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입력_시간외상세" sheetId="2" state="visible" r:id="rId2"/>
    <sheet xmlns:r="http://schemas.openxmlformats.org/officeDocument/2006/relationships" name="입력_시간외합계" sheetId="3" state="visible" r:id="rId3"/>
    <sheet xmlns:r="http://schemas.openxmlformats.org/officeDocument/2006/relationships" name="입력_기관명단" sheetId="4" state="visible" r:id="rId4"/>
    <sheet xmlns:r="http://schemas.openxmlformats.org/officeDocument/2006/relationships" name="입력_월별근무지" sheetId="5" state="visible" r:id="rId5"/>
    <sheet xmlns:r="http://schemas.openxmlformats.org/officeDocument/2006/relationships" name="출력_연속근무" sheetId="6" state="visible" r:id="rId6"/>
    <sheet xmlns:r="http://schemas.openxmlformats.org/officeDocument/2006/relationships" name="출력_월경계당직" sheetId="7" state="visible" r:id="rId7"/>
    <sheet xmlns:r="http://schemas.openxmlformats.org/officeDocument/2006/relationships" name="출력_서울급여판정" sheetId="8" state="visible" r:id="rId8"/>
    <sheet xmlns:r="http://schemas.openxmlformats.org/officeDocument/2006/relationships" name="출력_타병원발송" sheetId="9" state="visible" r:id="rId9"/>
    <sheet xmlns:r="http://schemas.openxmlformats.org/officeDocument/2006/relationships" name="설정" sheetId="10" state="visible" r:id="rId10"/>
  </sheets>
  <definedNames>
    <definedName name="연속허용분">'설정'!$B$2</definedName>
    <definedName name="대상월">'설정'!$B$4</definedName>
    <definedName name="대상월키">TEXT(대상월,"yyyy-mm")</definedName>
    <definedName name="공휴일목록">공휴일표[날짜]</definedName>
    <definedName name="병원목록">병원표[병원]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"/>
    <numFmt numFmtId="165" formatCode="yyyy-mm-dd"/>
    <numFmt numFmtId="166" formatCode="yyyy-mm-dd hh:mm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color rgb="000000FF"/>
      <sz val="10"/>
    </font>
    <font>
      <name val="맑은 고딕"/>
      <color rgb="007F7F7F"/>
      <sz val="9"/>
    </font>
    <font>
      <name val="맑은 고딕"/>
      <b val="1"/>
      <sz val="14"/>
    </font>
    <font>
      <name val="맑은 고딕"/>
      <sz val="10"/>
    </font>
    <font>
      <name val="맑은 고딕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808080"/>
      </patternFill>
    </fill>
    <fill>
      <patternFill patternType="solid">
        <fgColor rgb="00833C0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3" fillId="0" borderId="1" pivotButton="0" quotePrefix="0" xfId="0"/>
    <xf numFmtId="1" fontId="6" fillId="5" borderId="1" pivotButton="0" quotePrefix="0" xfId="0"/>
    <xf numFmtId="0" fontId="6" fillId="5" borderId="1" pivotButton="0" quotePrefix="0" xfId="0"/>
    <xf numFmtId="166" fontId="6" fillId="5" borderId="1" pivotButton="0" quotePrefix="0" xfId="0"/>
    <xf numFmtId="2" fontId="6" fillId="5" borderId="1" pivotButton="0" quotePrefix="0" xfId="0"/>
    <xf numFmtId="165" fontId="6" fillId="5" borderId="1" pivotButton="0" quotePrefix="0" xfId="0"/>
    <xf numFmtId="49" fontId="3" fillId="0" borderId="1" pivotButton="0" quotePrefix="0" xfId="0"/>
    <xf numFmtId="164" fontId="3" fillId="0" borderId="1" pivotButton="0" quotePrefix="0" xfId="0"/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0" borderId="1" pivotButton="0" quotePrefix="0" xfId="0"/>
  </cellXfs>
  <cellStyles count="1">
    <cellStyle name="Normal" xfId="0" builtinId="0" hidden="0"/>
  </cellStyles>
  <dxfs count="13">
    <dxf>
      <font>
        <name val="맑은 고딕"/>
        <b val="1"/>
        <color rgb="009C0006"/>
      </font>
      <fill>
        <patternFill patternType="solid">
          <bgColor rgb="00FFC7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DDEBF7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FF2CC"/>
        </patternFill>
      </fill>
    </dxf>
    <dxf>
      <font>
        <name val="맑은 고딕"/>
        <b val="1"/>
        <color rgb="002F5597"/>
      </font>
    </dxf>
    <dxf>
      <fill>
        <patternFill patternType="solid">
          <bgColor rgb="00E4DFEC"/>
        </patternFill>
      </fill>
    </dxf>
    <dxf>
      <fill>
        <patternFill patternType="solid">
          <bgColor rgb="00F8CBAD"/>
        </patternFill>
      </fill>
    </dxf>
    <dxf>
      <font>
        <name val="맑은 고딕"/>
        <color rgb="007F7F7F"/>
      </font>
      <fill>
        <patternFill patternType="solid">
          <bgColor rgb="00EDEDED"/>
        </patternFill>
      </fill>
    </dxf>
    <dxf>
      <font>
        <name val="맑은 고딕"/>
        <b val="1"/>
        <color rgb="00833C0B"/>
      </font>
      <fill>
        <patternFill patternType="solid">
          <bgColor rgb="00F8CBAD"/>
        </patternFill>
      </fill>
    </dxf>
    <dxf>
      <font>
        <name val="맑은 고딕"/>
        <b val="1"/>
      </font>
      <fill>
        <patternFill patternType="solid">
          <bgColor rgb="00C6E0B4"/>
        </patternFill>
      </fill>
    </dxf>
    <dxf>
      <font>
        <name val="맑은 고딕"/>
        <b val="1"/>
      </font>
      <fill>
        <patternFill patternType="solid">
          <bgColor rgb="00FFF2CC"/>
        </patternFill>
      </fill>
    </dxf>
    <dxf>
      <font>
        <name val="맑은 고딕"/>
        <b val="1"/>
        <color rgb="005B2C6F"/>
      </font>
      <fill>
        <patternFill patternType="solid">
          <b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상세표" displayName="상세표" ref="A4:BF16" headerRowCount="1">
  <tableColumns count="58">
    <tableColumn id="1" name="부서"/>
    <tableColumn id="2" name="사번"/>
    <tableColumn id="3" name="성명"/>
    <tableColumn id="4" name="직위"/>
    <tableColumn id="5" name="근무일자"/>
    <tableColumn id="6" name="시작시간"/>
    <tableColumn id="7" name="종료시간"/>
    <tableColumn id="8" name="06~07시"/>
    <tableColumn id="9" name="07~18시"/>
    <tableColumn id="10" name="18~22시"/>
    <tableColumn id="11" name="22~06시"/>
    <tableColumn id="12" name="행">
      <calculatedColumnFormula>ROW()-ROW(상세표[#Headers])</calculatedColumnFormula>
    </tableColumn>
    <tableColumn id="13" name="사번키">
      <calculatedColumnFormula>IF(TRIM(상세표[[#This Row],[사번]]&amp;"")="","","S|"&amp;TRIM(상세표[[#This Row],[사번]]&amp;""))</calculatedColumnFormula>
    </tableColumn>
    <tableColumn id="14" name="시작">
      <calculatedColumnFormula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calculatedColumnFormula>
    </tableColumn>
    <tableColumn id="15" name="종료">
      <calculatedColumnFormula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calculatedColumnFormula>
    </tableColumn>
    <tableColumn id="16" name="이어짐">
      <calculatedColumnFormula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calculatedColumnFormula>
    </tableColumn>
    <tableColumn id="17" name="블록시작">
      <calculatedColumnFormula>IF(AND(ISNUMBER(상세표[[#This Row],[시작]]),ISNUMBER(상세표[[#This Row],[종료]]),상세표[[#This Row],[이어짐]]=""),1,0)</calculatedColumnFormula>
    </tableColumn>
    <tableColumn id="18" name="다음블록시작">
      <calculatedColumnFormula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calculatedColumnFormula>
    </tableColumn>
    <tableColumn id="19" name="블록종료">
      <calculatedColumnFormula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calculatedColumnFormula>
    </tableColumn>
    <tableColumn id="20" name="연속 시간">
      <calculatedColumnFormula>IF(상세표[[#This Row],[블록시작]]&lt;&gt;1,"",ROUND((상세표[[#This Row],[블록종료]]-상세표[[#This Row],[시작]])*24,2))</calculatedColumnFormula>
    </tableColumn>
    <tableColumn id="21" name="기록 수">
      <calculatedColumnFormula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calculatedColumnFormula>
    </tableColumn>
    <tableColumn id="22" name="블록 06~07시">
      <calculatedColumnFormula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calculatedColumnFormula>
    </tableColumn>
    <tableColumn id="23" name="블록 07~18시">
      <calculatedColumnFormula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calculatedColumnFormula>
    </tableColumn>
    <tableColumn id="24" name="블록 18~22시">
      <calculatedColumnFormula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calculatedColumnFormula>
    </tableColumn>
    <tableColumn id="25" name="블록 22~06시">
      <calculatedColumnFormula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calculatedColumnFormula>
    </tableColumn>
    <tableColumn id="26" name="주말·휴일 포함">
      <calculatedColumnFormula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calculatedColumnFormula>
    </tableColumn>
    <tableColumn id="27" name="시작월">
      <calculatedColumnFormula>IF(상세표[[#This Row],[블록시작]]&lt;&gt;1,"",TEXT(상세표[[#This Row],[시작]],"yyyy-mm"))</calculatedColumnFormula>
    </tableColumn>
    <tableColumn id="28" name="블록종료월">
      <calculatedColumnFormula>IF(상세표[[#This Row],[블록시작]]&lt;&gt;1,"",TEXT(상세표[[#This Row],[블록종료]]-1/86400,"yyyy-mm"))</calculatedColumnFormula>
    </tableColumn>
    <tableColumn id="29" name="월 넘김 포함">
      <calculatedColumnFormula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calculatedColumnFormula>
    </tableColumn>
    <tableColumn id="30" name="기록 시간외">
      <calculatedColumnFormula>N(상세표[[#This Row],[06~07시]])+N(상세표[[#This Row],[07~18시]])+N(상세표[[#This Row],[18~22시]])+N(상세표[[#This Row],[22~06시]])</calculatedColumnFormula>
    </tableColumn>
    <tableColumn id="31" name="야간 기준일">
      <calculatedColumnFormula>IF(AND(ISNUMBER(상세표[[#This Row],[시작]]),N(상세표[[#This Row],[22~06시]])&gt;0),INT(상세표[[#This Row],[시작]]-6/24),"")</calculatedColumnFormula>
    </tableColumn>
    <tableColumn id="32" name="야간 구분">
      <calculatedColumnFormula>IF(상세표[[#This Row],[야간 기준일]]="","",IF(OR(WEEKDAY(상세표[[#This Row],[야간 기준일]],2)&gt;5,COUNTIF(공휴일목록,상세표[[#This Row],[야간 기준일]])&gt;0),"휴일","평일"))</calculatedColumnFormula>
    </tableColumn>
    <tableColumn id="33" name="그 밤 22~06시">
      <calculatedColumnFormula>IF(상세표[[#This Row],[야간 구분]]="","",SUMIFS(상세표[22~06시],상세표[사번키],상세표[[#This Row],[사번키]],상세표[야간 기준일],상세표[[#This Row],[야간 기준일]]))</calculatedColumnFormula>
    </tableColumn>
    <tableColumn id="34" name="야간첫행">
      <calculatedColumnFormula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calculatedColumnFormula>
    </tableColumn>
    <tableColumn id="35" name="야간당직">
      <calculatedColumnFormula>IF(AND(상세표[[#This Row],[야간첫행]]=1,상세표[[#This Row],[그 밤 22~06시]]&gt;=8-0.001),1,0)</calculatedColumnFormula>
    </tableColumn>
    <tableColumn id="36" name="기록월">
      <calculatedColumnFormula>IF(ISNUMBER(상세표[[#This Row],[시작]]),TEXT(상세표[[#This Row],[시작]],"yyyy-mm"),"")</calculatedColumnFormula>
    </tableColumn>
    <tableColumn id="37" name="종료월">
      <calculatedColumnFormula>IF(ISNUMBER(상세표[[#This Row],[종료]]),TEXT(상세표[[#This Row],[종료]]-1/86400,"yyyy-mm"),"")</calculatedColumnFormula>
    </tableColumn>
    <tableColumn id="38" name="월 넘김">
      <calculatedColumnFormula>IF(AND(상세표[[#This Row],[기록월]]&lt;&gt;"",상세표[[#This Row],[종료월]]&lt;&gt;"",상세표[[#This Row],[기록월]]&lt;&gt;상세표[[#This Row],[종료월]]),"월 넘김","")</calculatedColumnFormula>
    </tableColumn>
    <tableColumn id="39" name="기관명단">
      <calculatedColumnFormula>IF(상세표[[#This Row],[사번키]]="","",IF(COUNTIF(기관표[사번키],상세표[[#This Row],[사번키]])&gt;0,"있음",IF(COUNTIF(월별근무지표[사번키],상세표[[#This Row],[사번키]])&gt;0,"직접 입력만","없음")))</calculatedColumnFormula>
    </tableColumn>
    <tableColumn id="40" name="시작월 직접행">
      <calculatedColumnFormula>IF(상세표[[#This Row],[기록월]]="","",IFERROR(MATCH(상세표[[#This Row],[사번키]]&amp;"|"&amp;상세표[[#This Row],[기록월]],월별근무지표[키],0),""))</calculatedColumnFormula>
    </tableColumn>
    <tableColumn id="41" name="종료월 직접행">
      <calculatedColumnFormula>IF(상세표[[#This Row],[종료월]]="","",IFERROR(MATCH(상세표[[#This Row],[사번키]]&amp;"|"&amp;상세표[[#This Row],[종료월]],월별근무지표[키],0),""))</calculatedColumnFormula>
    </tableColumn>
    <tableColumn id="42" name="시작월 기관">
      <calculatedColumnFormula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calculatedColumnFormula>
    </tableColumn>
    <tableColumn id="43" name="종료월 기관">
      <calculatedColumnFormula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calculatedColumnFormula>
    </tableColumn>
    <tableColumn id="44" name="기관 출처">
      <calculatedColumnFormula>IF(상세표[[#This Row],[기록월]]="","",IF(OR(상세표[[#This Row],[시작월 직접행]]&lt;&gt;"",AND(상세표[[#This Row],[월 넘김]]&lt;&gt;"",상세표[[#This Row],[종료월 직접행]]&lt;&gt;"")),"직접 입력","기관명단"))</calculatedColumnFormula>
    </tableColumn>
    <tableColumn id="45" name="월경계 판정">
      <calculatedColumnFormula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calculatedColumnFormula>
    </tableColumn>
    <tableColumn id="46" name="반영월">
      <calculatedColumnFormula>IF(상세표[[#This Row],[기록월]]="","",상세표[[#This Row],[기록월]])</calculatedColumnFormula>
    </tableColumn>
    <tableColumn id="47" name="반영 기관">
      <calculatedColumnFormula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calculatedColumnFormula>
    </tableColumn>
    <tableColumn id="48" name="연속표시">
      <calculatedColumnFormula>IF(AND(상세표[[#This Row],[블록시작]]=1,OR(상세표[[#This Row],[시작월]]=대상월키,상세표[[#This Row],[블록종료월]]=대상월키)),1,0)</calculatedColumnFormula>
    </tableColumn>
    <tableColumn id="49" name="연속순번">
      <calculatedColumnFormula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calculatedColumnFormula>
    </tableColumn>
    <tableColumn id="50" name="경계표시">
      <calculatedColumnFormula>IF(AND(상세표[[#This Row],[월 넘김]]="월 넘김",OR(상세표[[#This Row],[기록월]]=대상월키,상세표[[#This Row],[종료월]]=대상월키)),1,0)</calculatedColumnFormula>
    </tableColumn>
    <tableColumn id="51" name="경계순번">
      <calculatedColumnFormula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calculatedColumnFormula>
    </tableColumn>
    <tableColumn id="52" name="발송표시">
      <calculatedColumnFormula>IF(AND(상세표[[#This Row],[기관명단]]="없음",OR(상세표[[#This Row],[기록월]]=대상월키,상세표[[#This Row],[반영월]]=대상월키)),1,0)</calculatedColumnFormula>
    </tableColumn>
    <tableColumn id="53" name="발송순번">
      <calculatedColumnFormula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calculatedColumnFormula>
    </tableColumn>
    <tableColumn id="54" name="발송첫행">
      <calculatedColumnFormula>IF(상세표[[#This Row],[발송표시]]&lt;&gt;1,0,IF(COUNTIFS(상세표[발송표시],1,상세표[사번키],상세표[[#This Row],[사번키]],상세표[행],"&lt;"&amp;상세표[[#This Row],[행]])&gt;0,0,1))</calculatedColumnFormula>
    </tableColumn>
    <tableColumn id="55" name="발송인원순번">
      <calculatedColumnFormula>IF(상세표[[#This Row],[발송첫행]]&lt;&gt;1,"",COUNTIFS(상세표[발송첫행],1,상세표[행],"&lt;="&amp;상세표[[#This Row],[행]]))</calculatedColumnFormula>
    </tableColumn>
    <tableColumn id="56" name="합계없음표시">
      <calculatedColumnFormula>IF(AND(상세표[[#This Row],[반영월]]=대상월키,상세표[[#This Row],[사번키]]&lt;&gt;"",COUNTIF(합계표[사번키],상세표[[#This Row],[사번키]])=0),1,0)</calculatedColumnFormula>
    </tableColumn>
    <tableColumn id="57" name="합계없음첫행">
      <calculatedColumnFormula>IF(상세표[[#This Row],[합계없음표시]]&lt;&gt;1,0,IF(COUNTIFS(상세표[합계없음표시],1,상세표[사번키],상세표[[#This Row],[사번키]],상세표[행],"&lt;"&amp;상세표[[#This Row],[행]])&gt;0,0,1))</calculatedColumnFormula>
    </tableColumn>
    <tableColumn id="58" name="합계없음순번">
      <calculatedColumnFormula>IF(상세표[[#This Row],[합계없음첫행]]&lt;&gt;1,"",COUNTIFS(상세표[합계없음첫행],1,상세표[행],"&lt;="&amp;상세표[[#This Row],[행]]))</calculatedColumnFormula>
    </tableColumn>
  </tableColumns>
  <tableStyleInfo name="TableStyleLight9" showRowStripes="1"/>
</table>
</file>

<file path=xl/tables/table2.xml><?xml version="1.0" encoding="utf-8"?>
<table xmlns="http://schemas.openxmlformats.org/spreadsheetml/2006/main" id="2" name="합계표" displayName="합계표" ref="A4:V9" headerRowCount="1">
  <tableColumns count="22">
    <tableColumn id="1" name="부서"/>
    <tableColumn id="2" name="사번"/>
    <tableColumn id="3" name="성명"/>
    <tableColumn id="4" name="직위"/>
    <tableColumn id="5" name="직위(변환)"/>
    <tableColumn id="6" name="06~07시"/>
    <tableColumn id="7" name="07~18시"/>
    <tableColumn id="8" name="18~22시"/>
    <tableColumn id="9" name="22~06시"/>
    <tableColumn id="10" name="사번키">
      <calculatedColumnFormula>IF(TRIM(합계표[[#This Row],[사번]]&amp;"")="","","S|"&amp;TRIM(합계표[[#This Row],[사번]]&amp;""))</calculatedColumnFormula>
    </tableColumn>
    <tableColumn id="11" name="시스템 합계">
      <calculatedColumnFormula>IFERROR(VALUE(TRIM(합계표[[#This Row],[06~07시]]&amp;"")),0)+IFERROR(VALUE(TRIM(합계표[[#This Row],[07~18시]]&amp;"")),0)+IFERROR(VALUE(TRIM(합계표[[#This Row],[18~22시]]&amp;"")),0)+IFERROR(VALUE(TRIM(합계표[[#This Row],[22~06시]]&amp;"")),0)</calculatedColumnFormula>
    </tableColumn>
    <tableColumn id="12" name="사번내순서">
      <calculatedColumnFormula>IF(합계표[[#This Row],[사번키]]="","",COUNTIF(INDEX(합계표[사번키],1):합계표[[#This Row],[사번키]],합계표[[#This Row],[사번키]]))</calculatedColumnFormula>
    </tableColumn>
    <tableColumn id="13" name="순서키">
      <calculatedColumnFormula>IF(합계표[[#This Row],[사번키]]="","",합계표[[#This Row],[사번키]]&amp;"#"&amp;합계표[[#This Row],[사번내순서]])</calculatedColumnFormula>
    </tableColumn>
    <tableColumn id="14" name="직위순위">
      <calculatedColumnFormula>IF(합계표[[#This Row],[사번키]]="","",IF(UPPER(LEFT(TRIM(합계표[[#This Row],[직위]]&amp;""),1))="B",IFERROR(VALUE(MID(TRIM(합계표[[#This Row],[직위]]&amp;""),2,3)),99),99))</calculatedColumnFormula>
    </tableColumn>
    <tableColumn id="15" name="순위키">
      <calculatedColumnFormula>IF(합계표[[#This Row],[사번키]]="","",합계표[[#This Row],[사번키]]&amp;"#"&amp;합계표[[#This Row],[직위순위]])</calculatedColumnFormula>
    </tableColumn>
    <tableColumn id="16" name="직위첫행">
      <calculatedColumnFormula>IF(합계표[[#This Row],[사번키]]="",0,IF(COUNTIFS(INDEX(합계표[사번키],1):합계표[[#This Row],[사번키]],합계표[[#This Row],[사번키]],INDEX(합계표[직위],1):합계표[[#This Row],[직위]],TRIM(합계표[[#This Row],[직위]]&amp;""))=1,1,0))</calculatedColumnFormula>
    </tableColumn>
    <tableColumn id="17" name="직위 종류">
      <calculatedColumnFormula>IF(합계표[[#This Row],[사번키]]="","",COUNTIFS(합계표[사번키],합계표[[#This Row],[사번키]],합계표[직위첫행],1))</calculatedColumnFormula>
    </tableColumn>
    <tableColumn id="18" name="요약행">
      <calculatedColumnFormula>IF(합계표[[#This Row],[사번키]]="","",MATCH(합계표[[#This Row],[사번키]]&amp;"#"&amp;_xlfn.MINIFS(합계표[직위순위],합계표[사번키],합계표[[#This Row],[사번키]]),합계표[순위키],0))</calculatedColumnFormula>
    </tableColumn>
    <tableColumn id="19" name="이전직급행">
      <calculatedColumnFormula>IF(합계표[[#This Row],[사번키]]="","",MATCH(합계표[[#This Row],[사번키]]&amp;"#"&amp;_xlfn.MAXIFS(합계표[직위순위],합계표[사번키],합계표[[#This Row],[사번키]]),합계표[순위키],0))</calculatedColumnFormula>
    </tableColumn>
    <tableColumn id="20" name="직위(요약)">
      <calculatedColumnFormula>IF(합계표[[#This Row],[사번키]]="","",IF(INDEX(합계표[직위(변환)],합계표[[#This Row],[요약행]])&amp;""="",INDEX(합계표[직위],합계표[[#This Row],[요약행]])&amp;"",INDEX(합계표[직위(변환)],합계표[[#This Row],[요약행]])&amp;""))</calculatedColumnFormula>
    </tableColumn>
    <tableColumn id="21" name="직급 공존">
      <calculatedColumnFormula>IF(N(합계표[[#This Row],[직위 종류]])&lt;2,"",IF(합계표[[#This Row],[요약행]]&lt;&gt;합계표[[#This Row],[이전직급행]],"공존: "&amp;IF(INDEX(합계표[직위(변환)],합계표[[#This Row],[이전직급행]])&amp;""="",INDEX(합계표[직위],합계표[[#This Row],[이전직급행]])&amp;"",INDEX(합계표[직위],합계표[[#This Row],[이전직급행]])&amp;" "&amp;INDEX(합계표[직위(변환)],합계표[[#This Row],[이전직급행]]))&amp;" → "&amp;IF(INDEX(합계표[직위(변환)],합계표[[#This Row],[요약행]])&amp;""="",INDEX(합계표[직위],합계표[[#This Row],[요약행]])&amp;"",INDEX(합계표[직위],합계표[[#This Row],[요약행]])&amp;" "&amp;INDEX(합계표[직위(변환)],합계표[[#This Row],[요약행]])),"공존: "&amp;INDEX(합계표[직위],MATCH(합계표[[#This Row],[사번키]]&amp;"#1",합계표[순서키],0))&amp;" · "&amp;INDEX(합계표[직위],MATCH(합계표[[#This Row],[사번키]]&amp;"#"&amp;COUNTIF(합계표[사번키],합계표[[#This Row],[사번키]]),합계표[순서키],0))&amp;" (우선순위 판단 불가)"))</calculatedColumnFormula>
    </tableColumn>
    <tableColumn id="22" name="판정순번">
      <calculatedColumnFormula>IF(합계표[[#This Row],[사번내순서]]=1,COUNTIF(INDEX(합계표[사번내순서],1):합계표[[#This Row],[사번내순서]],1),"")</calculatedColumnFormula>
    </tableColumn>
  </tableColumns>
  <tableStyleInfo name="TableStyleLight9" showRowStripes="1"/>
</table>
</file>

<file path=xl/tables/table3.xml><?xml version="1.0" encoding="utf-8"?>
<table xmlns="http://schemas.openxmlformats.org/spreadsheetml/2006/main" id="3" name="기관표" displayName="기관표" ref="A1:L9" headerRowCount="1">
  <tableColumns count="12">
    <tableColumn id="1" name="기준월"/>
    <tableColumn id="2" name="사번"/>
    <tableColumn id="3" name="이름"/>
    <tableColumn id="4" name="수련과목"/>
    <tableColumn id="5" name="연차"/>
    <tableColumn id="6" name="소속병원"/>
    <tableColumn id="7" name="기준월 근무병원"/>
    <tableColumn id="8" name="급여지급병원(기준월)"/>
    <tableColumn id="9" name="급여 판정 근거"/>
    <tableColumn id="10" name="월키">
      <calculatedColumnFormula>IF(ISNUMBER(기관표[[#This Row],[기준월]]),TEXT(기관표[[#This Row],[기준월]],"yyyy-mm"),LEFT(TRIM(기관표[[#This Row],[기준월]]&amp;""),7))</calculatedColumnFormula>
    </tableColumn>
    <tableColumn id="11" name="사번키">
      <calculatedColumnFormula>IF(TRIM(기관표[[#This Row],[사번]]&amp;"")="","","S|"&amp;TRIM(기관표[[#This Row],[사번]]&amp;""))</calculatedColumnFormula>
    </tableColumn>
    <tableColumn id="12" name="키">
      <calculatedColumnFormula>IF(기관표[[#This Row],[사번키]]="","",기관표[[#This Row],[사번키]]&amp;"|"&amp;기관표[[#This Row],[월키]])</calculatedColumnFormula>
    </tableColumn>
  </tableColumns>
  <tableStyleInfo name="TableStyleLight9" showRowStripes="1"/>
</table>
</file>

<file path=xl/tables/table4.xml><?xml version="1.0" encoding="utf-8"?>
<table xmlns="http://schemas.openxmlformats.org/spreadsheetml/2006/main" id="4" name="월별근무지표" displayName="월별근무지표" ref="A3:K4" headerRowCount="1">
  <tableColumns count="11">
    <tableColumn id="1" name="월"/>
    <tableColumn id="2" name="사번"/>
    <tableColumn id="3" name="근무병원"/>
    <tableColumn id="4" name="급여지급병원"/>
    <tableColumn id="5" name="비고"/>
    <tableColumn id="6" name="월키">
      <calculatedColumnFormula>IF(월별근무지표[[#This Row],[월]]&amp;""="","",IFERROR(IF(ISNUMBER(월별근무지표[[#This Row],[월]]),IF(월별근무지표[[#This Row],[월]]&lt;10000,TEXT(DATE(INT(월별근무지표[[#This Row],[월]]),ROUND(MOD(월별근무지표[[#This Row],[월]],1)*100,0),1),"yyyy-mm"),TEXT(월별근무지표[[#This Row],[월]],"yyyy-mm")),TEXT(DATEVALUE(SUBSTITUTE(SUBSTITUTE(LEFT(TRIM(월별근무지표[[#This Row],[월]]),7),".","-"),"/","-")&amp;"-01"),"yyyy-mm")),"⚠형식 오류"))</calculatedColumnFormula>
    </tableColumn>
    <tableColumn id="7" name="사번키">
      <calculatedColumnFormula>IF(TRIM(월별근무지표[[#This Row],[사번]]&amp;"")="","","S|"&amp;TRIM(월별근무지표[[#This Row],[사번]]&amp;""))</calculatedColumnFormula>
    </tableColumn>
    <tableColumn id="8" name="키">
      <calculatedColumnFormula>IF(LEFT(월별근무지표[[#This Row],[월키]],1)="⚠","",IF(OR(월별근무지표[[#This Row],[사번키]]="",월별근무지표[[#This Row],[월키]]=""),"",월별근무지표[[#This Row],[사번키]]&amp;"|"&amp;월별근무지표[[#This Row],[월키]]))</calculatedColumnFormula>
    </tableColumn>
    <tableColumn id="9" name="이름(확인)">
      <calculatedColumnFormula>IF(월별근무지표[[#This Row],[사번키]]="","",IFERROR(INDEX(기관표[이름],MATCH(월별근무지표[[#This Row],[사번키]],기관표[사번키],0))&amp;"",IFERROR(INDEX(상세표[성명],MATCH(월별근무지표[[#This Row],[사번키]],상세표[사번키],0))&amp;"","(자료에 없음)")))</calculatedColumnFormula>
    </tableColumn>
    <tableColumn id="10" name="적용 급여병원">
      <calculatedColumnFormula>IF(월별근무지표[[#This Row],[근무병원]]="","",IF(월별근무지표[[#This Row],[급여지급병원]]="",월별근무지표[[#This Row],[근무병원]],월별근무지표[[#This Row],[급여지급병원]]))</calculatedColumnFormula>
    </tableColumn>
    <tableColumn id="11" name="점검">
      <calculatedColumnFormula>IF(AND(TRIM(월별근무지표[[#This Row],[사번]]&amp;"")="",월별근무지표[[#This Row],[월]]&amp;""=""),"",IF(OR(TRIM(월별근무지표[[#This Row],[사번]]&amp;"")="",월별근무지표[[#This Row],[월]]&amp;""=""),"월·사번 모두 입력",IF(LEFT(월별근무지표[[#This Row],[월키]],1)="⚠","월 형식 확인(예: 2026-10)",IF(월별근무지표[[#This Row],[근무병원]]="","근무병원 입력",IF(COUNTIF(월별근무지표[키],월별근무지표[[#This Row],[키]])&gt;1,"같은 사번·월 중복(위쪽 줄 적용)","정상")))))</calculatedColumnFormula>
    </tableColumn>
  </tableColumns>
  <tableStyleInfo name="TableStyleLight9" showRowStripes="1"/>
</table>
</file>

<file path=xl/tables/table5.xml><?xml version="1.0" encoding="utf-8"?>
<table xmlns="http://schemas.openxmlformats.org/spreadsheetml/2006/main" id="5" name="공휴일표" displayName="공휴일표" ref="A6:B26" headerRowCount="1">
  <tableColumns count="2">
    <tableColumn id="1" name="날짜"/>
    <tableColumn id="2" name="이름"/>
  </tableColumns>
  <tableStyleInfo name="TableStyleLight1" showRowStripes="1"/>
</table>
</file>

<file path=xl/tables/table6.xml><?xml version="1.0" encoding="utf-8"?>
<table xmlns="http://schemas.openxmlformats.org/spreadsheetml/2006/main" id="6" name="병원표" displayName="병원표" ref="F6:F12" headerRowCount="1">
  <tableColumns count="1">
    <tableColumn id="1" name="병원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시간외 근무 — 연속 근무 · 월 넘김 당직 · 서울급여 판정 (Excel 2019 이상 · Microsoft 365 공통)</t>
        </is>
      </c>
    </row>
    <row r="2">
      <c r="A2" s="2" t="inlineStr"/>
    </row>
    <row r="3">
      <c r="A3" s="3" t="inlineStr">
        <is>
          <t>[매달 하는 일]</t>
        </is>
      </c>
    </row>
    <row r="4">
      <c r="A4" s="2" t="inlineStr">
        <is>
          <t>1) 설정 B4에 대상월(급여 처리할 달) 입력 — 기본값은 지난달</t>
        </is>
      </c>
    </row>
    <row r="5">
      <c r="A5" s="2" t="inlineStr">
        <is>
          <t>2) 입력_시간외상세: 대상월 상세내역 + 전월 상세내역 중 말일 기록(또는 전월 전체)을 A5부터 붙여넣기. 익월 상세가 이미 있으면 함께 넣어도 됩니다.</t>
        </is>
      </c>
    </row>
    <row r="6">
      <c r="A6" s="2" t="inlineStr">
        <is>
          <t>3) 입력_시간외합계: 대상월 '월별 전공의 시간외 근무'의 5행부터 끝까지를 A5에 붙여넣기</t>
        </is>
      </c>
    </row>
    <row r="7">
      <c r="A7" s="2" t="inlineStr">
        <is>
          <t>4) 입력_기관명단: 전공의 파견 모니터링 파일의 출력_기관명단을 값으로 복사해 붙여넣기 — 전월·대상월·익월 3개월치 (365판은 한 번에 3개월, 2019판은 급여 기준월을 바꿔 가며 복사)</t>
        </is>
      </c>
    </row>
    <row r="8">
      <c r="A8" s="2" t="inlineStr">
        <is>
          <t>5) 입력_월별근무지(필요할 때만): 기관명단에 없거나 다르게 처리할 사람의 그 달 근무병원(·급여지급병원)을 직접 입력 — 기관명단보다 우선합니다.</t>
        </is>
      </c>
    </row>
    <row r="9">
      <c r="A9" s="2" t="inlineStr"/>
    </row>
    <row r="10">
      <c r="A10" s="3" t="inlineStr">
        <is>
          <t>[월별 근무지 직접 입력]</t>
        </is>
      </c>
    </row>
    <row r="11">
      <c r="A11" s="2" t="inlineStr">
        <is>
          <t>• 월(예: 2026-10)·사번·근무병원을 넣고, 급여지급병원이 근무병원과 다를 때만 급여지급병원도 넣습니다. 판정에는 '적용 급여병원'(급여지급병원, 비면 근무병원)이 쓰입니다.</t>
        </is>
      </c>
    </row>
    <row r="12">
      <c r="A12" s="2" t="inlineStr">
        <is>
          <t>• 적용되는 곳: 월을 넘는 당직의 시작월·종료월 기관, 대상월 급여지급병원(서울급여 해당 여부). 출력_월경계당직·출력_서울급여판정의 '기관 출처' 열에 '직접 입력'으로 표시됩니다.</t>
        </is>
      </c>
    </row>
    <row r="13">
      <c r="A13" s="2" t="inlineStr">
        <is>
          <t>• 기관명단에 사번이 없어도 직접 입력이 있으면 '기관명단에 없음(다른 병원으로 발송)'으로 보내지 않습니다.</t>
        </is>
      </c>
    </row>
    <row r="14">
      <c r="A14" s="2" t="inlineStr">
        <is>
          <t>• 모니터링 파일(365판)의 입력_월별근무지와 열 순서(월·사번·근무병원·급여지급병원·비고)가 같아 그대로 복사해 붙여넣을 수 있습니다.</t>
        </is>
      </c>
    </row>
    <row r="15">
      <c r="A15" s="2" t="inlineStr"/>
    </row>
    <row r="16">
      <c r="A16" s="3" t="inlineStr">
        <is>
          <t>[출력 시트]</t>
        </is>
      </c>
    </row>
    <row r="17">
      <c r="A17" s="2" t="inlineStr">
        <is>
          <t>• 출력_연속근무: 대상월에 걸친 이어진 근무를 한 줄로(전월 말일에 시작한 당직 포함), 부서·사번·성명·직위·근무일자 순 열, 사번·시작 순 정렬, 빈 줄 없음. 주말·휴일, 36시간 초과, 월 넘김 표시</t>
        </is>
      </c>
    </row>
    <row r="18">
      <c r="A18" s="2" t="inlineStr">
        <is>
          <t>• 출력_월경계당직: 전월 말일→대상월, 대상월 말일→익월로 넘어가는 당직마다 시작월·종료월 기관, 판정, 반영 급여월·기관</t>
        </is>
      </c>
    </row>
    <row r="19">
      <c r="A19" s="2" t="inlineStr">
        <is>
          <t>• 출력_서울급여판정: 사번별(직위가 달라도 같은 사번이면 한 사람) 시스템 합계·상세 대조, 이월(−)/전입(+), 대상월 반영 시간, 대상월 급여지급병원, 서울 반영 시간(시간대별), 평일·휴일 야간 당직 건수</t>
        </is>
      </c>
    </row>
    <row r="20">
      <c r="A20" s="2" t="inlineStr">
        <is>
          <t>• 출력_타병원발송: 기관명단에 사번이 없는 시간외 근무자(다른 병원으로 발송할 대상)와 그 사람들의 대상월 상세 기록</t>
        </is>
      </c>
    </row>
    <row r="21">
      <c r="A21" s="2" t="inlineStr"/>
    </row>
    <row r="22">
      <c r="A22" s="3" t="inlineStr">
        <is>
          <t>[월을 넘는 당직 규칙] — 기록(당직 1건) 단위로 판단</t>
        </is>
      </c>
    </row>
    <row r="23">
      <c r="A23" s="2" t="inlineStr">
        <is>
          <t>• 말일 근무(말일에 시작해 익월로 넘어가는 근무)는 언제나 말일이 속한 달(시작한 달) 급여에 반영합니다. 기관은 아래 순서(입력_월별근무지 → 입력_기관명단의 급여지급병원):</t>
        </is>
      </c>
    </row>
    <row r="24">
      <c r="A24" s="2" t="inlineStr">
        <is>
          <t>• 시작한 달과 끝난 달의 기관이 같으면: 그 기관</t>
        </is>
      </c>
    </row>
    <row r="25">
      <c r="A25" s="2" t="inlineStr">
        <is>
          <t>• 서울↔구리: 시작한 달의 15일 이상 근무 기관(그 달 급여지급병원)</t>
        </is>
      </c>
    </row>
    <row r="26">
      <c r="A26" s="2" t="inlineStr">
        <is>
          <t>• 그 밖의 조합(예: 창원→서울, 구리→인천): 말일 근무를 한 익월 기관. 예) 9월 창원 근무 인턴이 9/30 저녁부터 서울에서 당직 → 9월 급여, 서울병원 → 9월 서울급여 '해당(말일 근무)'</t>
        </is>
      </c>
    </row>
    <row r="27">
      <c r="A27" s="2" t="inlineStr">
        <is>
          <t>• 익월 기관명단이 없으면 '말일 근무: 익월 기관 정보 없음(시작월 기관 반영)', 두 달 모두 없으면 '기관 정보 없음', 사번이 기관명단·직접 입력에 아예 없으면 '기관명단에 없음(다른 병원으로 발송)'</t>
        </is>
      </c>
    </row>
    <row r="28">
      <c r="A28" s="2" t="inlineStr">
        <is>
          <t>• 그래서 출력_서울급여판정의 이월(−)/전입(+)은 0이 정상입니다(다른 달 기록이 대상월에 섞이지 않았는지 보는 대조용).</t>
        </is>
      </c>
    </row>
    <row r="29">
      <c r="A29" s="2" t="inlineStr"/>
    </row>
    <row r="30">
      <c r="A30" s="3" t="inlineStr">
        <is>
          <t>[직급 공존(승급하는 달)] — 출력_서울급여판정의 직위·직급 공존 열</t>
        </is>
      </c>
    </row>
    <row r="31">
      <c r="A31" s="2" t="inlineStr">
        <is>
          <t>• 같은 사번이 입력_시간외합계에 다른 직위(B 코드)로 두 줄 이상 있으면 '직급 공존'에 이전 직급 → 승급 직급을 표시하고 보라색으로 칠합니다.</t>
        </is>
      </c>
    </row>
    <row r="32">
      <c r="A32" s="2" t="inlineStr">
        <is>
          <t>• 요약 직위는 B 숫자가 작은 쪽을 씁니다: B4+B3 → B3, B3+B2 → B2, B2+B1 → B1, B1+B0 → B0. 시간·건수는 직위와 관계없이 사번 기준으로 합칩니다.</t>
        </is>
      </c>
    </row>
    <row r="33">
      <c r="A33" s="2" t="inlineStr">
        <is>
          <t>• B 코드가 아닌 직위끼리(예: 레지던트2·전임의) 공존하면 '우선순위 판단 불가'로 표시하고 첫 줄 직위를 씁니다.</t>
        </is>
      </c>
    </row>
    <row r="34">
      <c r="A34" s="2" t="inlineStr"/>
    </row>
    <row r="35">
      <c r="A35" s="3" t="inlineStr">
        <is>
          <t>[야간 당직 건수] — 출력_서울급여판정의 평일/휴일 야간 당직(건)</t>
        </is>
      </c>
    </row>
    <row r="36">
      <c r="A36" s="2" t="inlineStr">
        <is>
          <t>• 22시부터 06시까지 모두 근무한 밤만 야간 당직 1건입니다: 같은 사람·같은 밤의 22~06시 시간 합계가 8시간이어야 합니다(기록이 여러 줄로 나뉘어도 합산, 1건으로 셈 — 그 밤의 가장 이른 기록의 반영 급여월에 셈). 8시간 미만인 밤은 세지 않고 판정 시트 R3에 따로 셉니다.</t>
        </is>
      </c>
    </row>
    <row r="37">
      <c r="A37" s="2" t="inlineStr">
        <is>
          <t>• 9/1 00:00에 시작한 기록처럼 밤의 앞부분(8/31 22~24시)이 전월 자료에 있으면, 전월 말일 기록도 함께 붙여넣어야 8시간이 채워져 1건으로 셉니다.</t>
        </is>
      </c>
    </row>
    <row r="38">
      <c r="A38" s="2" t="inlineStr">
        <is>
          <t>• 평일/휴일은 그 밤이 시작된 날(22시가 속한 날)로 나눕니다: 토·일·설정의 공휴일이면 휴일, 아니면 평일. 예: 금 20:00~토 08:00 = 평일 야간, 토 20:00~일 08:00 = 휴일 야간, 일 20:00~월 08:00 = 휴일 야간. 공휴일 전날 밤은 평일입니다.</t>
        </is>
      </c>
    </row>
    <row r="39">
      <c r="A39" s="2" t="inlineStr">
        <is>
          <t>• 건수는 반영 급여월이 대상월인 기록만 셉니다(월을 넘는 당직 규칙과 같음). '서울' 열은 그중 반영 기관이 서울병원인 건수입니다.</t>
        </is>
      </c>
    </row>
    <row r="40">
      <c r="A40" s="2" t="inlineStr"/>
    </row>
    <row r="41">
      <c r="A41" s="3" t="inlineStr">
        <is>
          <t>[연속 근무 판단]</t>
        </is>
      </c>
    </row>
    <row r="42">
      <c r="A42" s="2" t="inlineStr">
        <is>
          <t>• 같은 사번에서 시작 시각이 다른 근무의 종료 시각과 같거나 겹치면 이어진 근무입니다(설정의 허용 공백(분) 이내 포함). 행 순서와 관계없이 시작 시각으로 찾습니다.</t>
        </is>
      </c>
    </row>
    <row r="43">
      <c r="A43" s="2" t="inlineStr">
        <is>
          <t>• 주말·휴일 포함: 토·일 또는 설정의 공휴일에 하루라도 걸치면 '포함'. 36시간 초과 연속 근무는 빨간색(전공의법 연속수련 한도 참고).</t>
        </is>
      </c>
    </row>
    <row r="44">
      <c r="A44" s="2" t="inlineStr"/>
    </row>
    <row r="45">
      <c r="A45" s="3" t="inlineStr">
        <is>
          <t>[참고]</t>
        </is>
      </c>
    </row>
    <row r="46">
      <c r="A46" s="2" t="inlineStr">
        <is>
          <t>• 시스템 합계와 비교하는 '상세 합계'는 시작 시각이 대상월인 기록의 합입니다(전월 말일 기록은 제외).</t>
        </is>
      </c>
    </row>
    <row r="47">
      <c r="A47" s="2" t="inlineStr">
        <is>
          <t>• Excel 2019·2021·Microsoft 365에서 같은 결과가 나옵니다(FILTER·XLOOKUP 같은 365 전용 함수를 쓰지 않음). 2016 이하는 확인하지 않았습니다.</t>
        </is>
      </c>
    </row>
    <row r="48">
      <c r="A48" s="2" t="inlineStr">
        <is>
          <t>• 입력 표는 행 수 제한이 없고, 출력 목록은 미리 수식을 넣어 둔 행까지만 보입니다: 연속근무 3000건, 월경계당직 1000건, 서울급여판정 1000명, 타병원발송 300명·2000건. 넘으면 시트 위쪽에 ⚠ 경고가 뜹니다.</t>
        </is>
      </c>
    </row>
    <row r="49">
      <c r="A49" s="2" t="inlineStr">
        <is>
          <t>• 출력 시트의 셀은 지우거나 덮어쓰지 마세요. 회색 머리글 '(행)' 열은 목록을 만드는 보조 계산입니다. 입력 표의 초록 머리글 열(…순번·…표시 포함)도 수정 금지.</t>
        </is>
      </c>
    </row>
    <row r="50">
      <c r="A50" s="2" t="inlineStr">
        <is>
          <t>• 연속근무·월경계·발송 기록은 사번 → 시작 시각 순, 사람별 목록은 입력 순서입니다.</t>
        </is>
      </c>
    </row>
    <row r="51">
      <c r="A51" s="2" t="inlineStr">
        <is>
          <t>• 예시 데이터(ㅇㅇ)는 지우고 실제 자료를 넣으세요. 개인정보가 포함되므로 파일 암호와 접근 권한 관리를 권장합니다.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BF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1" customWidth="1" min="5" max="5"/>
    <col width="16" customWidth="1" min="6" max="6"/>
    <col width="16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10" customWidth="1" min="13" max="13"/>
    <col width="15" customWidth="1" min="14" max="14"/>
    <col width="15" customWidth="1" min="15" max="15"/>
    <col width="7" customWidth="1" min="16" max="16"/>
    <col width="7" customWidth="1" min="17" max="17"/>
    <col width="15" customWidth="1" min="18" max="18"/>
    <col width="15" customWidth="1" min="19" max="19"/>
    <col width="8" customWidth="1" min="20" max="20"/>
    <col width="6" customWidth="1" min="21" max="21"/>
    <col width="8" customWidth="1" min="22" max="22"/>
    <col width="8" customWidth="1" min="23" max="23"/>
    <col width="8" customWidth="1" min="24" max="24"/>
    <col width="8" customWidth="1" min="25" max="25"/>
    <col width="9" customWidth="1" min="26" max="26"/>
    <col width="8" customWidth="1" min="27" max="27"/>
    <col width="8" customWidth="1" min="28" max="28"/>
    <col width="8" customWidth="1" min="29" max="29"/>
    <col width="8" customWidth="1" min="30" max="30"/>
    <col width="11" customWidth="1" min="31" max="31"/>
    <col width="7" customWidth="1" min="32" max="32"/>
    <col width="7" customWidth="1" min="33" max="33"/>
    <col width="6" customWidth="1" min="34" max="34"/>
    <col width="6" customWidth="1" min="35" max="35"/>
    <col width="8" customWidth="1" min="36" max="36"/>
    <col width="8" customWidth="1" min="37" max="37"/>
    <col width="7" customWidth="1" min="38" max="38"/>
    <col width="8" customWidth="1" min="39" max="39"/>
    <col width="7" customWidth="1" min="40" max="40"/>
    <col width="7" customWidth="1" min="41" max="41"/>
    <col width="10" customWidth="1" min="42" max="42"/>
    <col width="10" customWidth="1" min="43" max="43"/>
    <col width="9" customWidth="1" min="44" max="44"/>
    <col width="24" customWidth="1" min="45" max="45"/>
    <col width="8" customWidth="1" min="46" max="46"/>
    <col width="22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</cols>
  <sheetData>
    <row r="1">
      <c r="A1" s="1" t="inlineStr">
        <is>
          <t>월별 전공의 시간외 근무 상세내역</t>
        </is>
      </c>
    </row>
    <row r="2">
      <c r="A2" s="4" t="inlineStr">
        <is>
          <t>※ 원본 파일의 5행(자료 첫 행)부터 마지막 행까지 복사해 A5에 붙여넣으세요. 표가 자동으로 늘어납니다. 초록 머리글 열은 자동 계산.</t>
        </is>
      </c>
    </row>
    <row r="3">
      <c r="A3" s="4" t="inlineStr">
        <is>
          <t>※ 여러 달을 이어 붙여도 됩니다(월이 바뀌어도 이어진 근무를 찾음).</t>
        </is>
      </c>
    </row>
    <row r="4">
      <c r="A4" s="5" t="inlineStr">
        <is>
          <t>부서</t>
        </is>
      </c>
      <c r="B4" s="5" t="inlineStr">
        <is>
          <t>사번</t>
        </is>
      </c>
      <c r="C4" s="5" t="inlineStr">
        <is>
          <t>성명</t>
        </is>
      </c>
      <c r="D4" s="5" t="inlineStr">
        <is>
          <t>직위</t>
        </is>
      </c>
      <c r="E4" s="5" t="inlineStr">
        <is>
          <t>근무일자</t>
        </is>
      </c>
      <c r="F4" s="5" t="inlineStr">
        <is>
          <t>시작시간</t>
        </is>
      </c>
      <c r="G4" s="5" t="inlineStr">
        <is>
          <t>종료시간</t>
        </is>
      </c>
      <c r="H4" s="5" t="inlineStr">
        <is>
          <t>06~07시</t>
        </is>
      </c>
      <c r="I4" s="5" t="inlineStr">
        <is>
          <t>07~18시</t>
        </is>
      </c>
      <c r="J4" s="5" t="inlineStr">
        <is>
          <t>18~22시</t>
        </is>
      </c>
      <c r="K4" s="5" t="inlineStr">
        <is>
          <t>22~06시</t>
        </is>
      </c>
      <c r="L4" s="6" t="inlineStr">
        <is>
          <t>행</t>
        </is>
      </c>
      <c r="M4" s="6" t="inlineStr">
        <is>
          <t>사번키</t>
        </is>
      </c>
      <c r="N4" s="6" t="inlineStr">
        <is>
          <t>시작</t>
        </is>
      </c>
      <c r="O4" s="6" t="inlineStr">
        <is>
          <t>종료</t>
        </is>
      </c>
      <c r="P4" s="6" t="inlineStr">
        <is>
          <t>이어짐</t>
        </is>
      </c>
      <c r="Q4" s="6" t="inlineStr">
        <is>
          <t>블록시작</t>
        </is>
      </c>
      <c r="R4" s="6" t="inlineStr">
        <is>
          <t>다음블록시작</t>
        </is>
      </c>
      <c r="S4" s="6" t="inlineStr">
        <is>
          <t>블록종료</t>
        </is>
      </c>
      <c r="T4" s="6" t="inlineStr">
        <is>
          <t>연속 시간</t>
        </is>
      </c>
      <c r="U4" s="6" t="inlineStr">
        <is>
          <t>기록 수</t>
        </is>
      </c>
      <c r="V4" s="6" t="inlineStr">
        <is>
          <t>블록 06~07시</t>
        </is>
      </c>
      <c r="W4" s="6" t="inlineStr">
        <is>
          <t>블록 07~18시</t>
        </is>
      </c>
      <c r="X4" s="6" t="inlineStr">
        <is>
          <t>블록 18~22시</t>
        </is>
      </c>
      <c r="Y4" s="6" t="inlineStr">
        <is>
          <t>블록 22~06시</t>
        </is>
      </c>
      <c r="Z4" s="6" t="inlineStr">
        <is>
          <t>주말·휴일 포함</t>
        </is>
      </c>
      <c r="AA4" s="6" t="inlineStr">
        <is>
          <t>시작월</t>
        </is>
      </c>
      <c r="AB4" s="6" t="inlineStr">
        <is>
          <t>블록종료월</t>
        </is>
      </c>
      <c r="AC4" s="6" t="inlineStr">
        <is>
          <t>월 넘김 포함</t>
        </is>
      </c>
      <c r="AD4" s="6" t="inlineStr">
        <is>
          <t>기록 시간외</t>
        </is>
      </c>
      <c r="AE4" s="6" t="inlineStr">
        <is>
          <t>야간 기준일</t>
        </is>
      </c>
      <c r="AF4" s="6" t="inlineStr">
        <is>
          <t>야간 구분</t>
        </is>
      </c>
      <c r="AG4" s="6" t="inlineStr">
        <is>
          <t>그 밤 22~06시</t>
        </is>
      </c>
      <c r="AH4" s="6" t="inlineStr">
        <is>
          <t>야간첫행</t>
        </is>
      </c>
      <c r="AI4" s="6" t="inlineStr">
        <is>
          <t>야간당직</t>
        </is>
      </c>
      <c r="AJ4" s="6" t="inlineStr">
        <is>
          <t>기록월</t>
        </is>
      </c>
      <c r="AK4" s="6" t="inlineStr">
        <is>
          <t>종료월</t>
        </is>
      </c>
      <c r="AL4" s="6" t="inlineStr">
        <is>
          <t>월 넘김</t>
        </is>
      </c>
      <c r="AM4" s="6" t="inlineStr">
        <is>
          <t>기관명단</t>
        </is>
      </c>
      <c r="AN4" s="6" t="inlineStr">
        <is>
          <t>시작월 직접행</t>
        </is>
      </c>
      <c r="AO4" s="6" t="inlineStr">
        <is>
          <t>종료월 직접행</t>
        </is>
      </c>
      <c r="AP4" s="6" t="inlineStr">
        <is>
          <t>시작월 기관</t>
        </is>
      </c>
      <c r="AQ4" s="6" t="inlineStr">
        <is>
          <t>종료월 기관</t>
        </is>
      </c>
      <c r="AR4" s="6" t="inlineStr">
        <is>
          <t>기관 출처</t>
        </is>
      </c>
      <c r="AS4" s="6" t="inlineStr">
        <is>
          <t>월경계 판정</t>
        </is>
      </c>
      <c r="AT4" s="6" t="inlineStr">
        <is>
          <t>반영월</t>
        </is>
      </c>
      <c r="AU4" s="6" t="inlineStr">
        <is>
          <t>반영 기관</t>
        </is>
      </c>
      <c r="AV4" s="6" t="inlineStr">
        <is>
          <t>연속표시</t>
        </is>
      </c>
      <c r="AW4" s="6" t="inlineStr">
        <is>
          <t>연속순번</t>
        </is>
      </c>
      <c r="AX4" s="6" t="inlineStr">
        <is>
          <t>경계표시</t>
        </is>
      </c>
      <c r="AY4" s="6" t="inlineStr">
        <is>
          <t>경계순번</t>
        </is>
      </c>
      <c r="AZ4" s="6" t="inlineStr">
        <is>
          <t>발송표시</t>
        </is>
      </c>
      <c r="BA4" s="6" t="inlineStr">
        <is>
          <t>발송순번</t>
        </is>
      </c>
      <c r="BB4" s="6" t="inlineStr">
        <is>
          <t>발송첫행</t>
        </is>
      </c>
      <c r="BC4" s="6" t="inlineStr">
        <is>
          <t>발송인원순번</t>
        </is>
      </c>
      <c r="BD4" s="6" t="inlineStr">
        <is>
          <t>합계없음표시</t>
        </is>
      </c>
      <c r="BE4" s="6" t="inlineStr">
        <is>
          <t>합계없음첫행</t>
        </is>
      </c>
      <c r="BF4" s="6" t="inlineStr">
        <is>
          <t>합계없음순번</t>
        </is>
      </c>
    </row>
    <row r="5">
      <c r="A5" s="7" t="inlineStr">
        <is>
          <t>ㅇㅇ과</t>
        </is>
      </c>
      <c r="B5" s="7" t="n">
        <v>2222222</v>
      </c>
      <c r="C5" s="7" t="inlineStr">
        <is>
          <t>김ㅇㅇ</t>
        </is>
      </c>
      <c r="D5" s="7" t="inlineStr">
        <is>
          <t>레지던트2</t>
        </is>
      </c>
      <c r="E5" s="7" t="inlineStr">
        <is>
          <t>2026-08-31</t>
        </is>
      </c>
      <c r="F5" s="7" t="inlineStr">
        <is>
          <t>2026-08-31 20:00</t>
        </is>
      </c>
      <c r="G5" s="7" t="inlineStr">
        <is>
          <t>2026-09-01 08:00</t>
        </is>
      </c>
      <c r="H5" s="8" t="n">
        <v>1</v>
      </c>
      <c r="I5" s="8" t="n">
        <v>1</v>
      </c>
      <c r="J5" s="8" t="n">
        <v>2</v>
      </c>
      <c r="K5" s="8" t="n">
        <v>8</v>
      </c>
      <c r="L5" s="9">
        <f>ROW()-ROW(상세표[#Headers])</f>
        <v/>
      </c>
      <c r="M5" s="10">
        <f>IF(TRIM(상세표[[#This Row],[사번]]&amp;"")="","","S|"&amp;TRIM(상세표[[#This Row],[사번]]&amp;""))</f>
        <v/>
      </c>
      <c r="N5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5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5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5" s="9">
        <f>IF(AND(ISNUMBER(상세표[[#This Row],[시작]]),ISNUMBER(상세표[[#This Row],[종료]]),상세표[[#This Row],[이어짐]]=""),1,0)</f>
        <v/>
      </c>
      <c r="R5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5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5" s="12">
        <f>IF(상세표[[#This Row],[블록시작]]&lt;&gt;1,"",ROUND((상세표[[#This Row],[블록종료]]-상세표[[#This Row],[시작]])*24,2))</f>
        <v/>
      </c>
      <c r="U5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5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5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5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5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5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5" s="10">
        <f>IF(상세표[[#This Row],[블록시작]]&lt;&gt;1,"",TEXT(상세표[[#This Row],[시작]],"yyyy-mm"))</f>
        <v/>
      </c>
      <c r="AB5" s="10">
        <f>IF(상세표[[#This Row],[블록시작]]&lt;&gt;1,"",TEXT(상세표[[#This Row],[블록종료]]-1/86400,"yyyy-mm"))</f>
        <v/>
      </c>
      <c r="AC5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5" s="12">
        <f>N(상세표[[#This Row],[06~07시]])+N(상세표[[#This Row],[07~18시]])+N(상세표[[#This Row],[18~22시]])+N(상세표[[#This Row],[22~06시]])</f>
        <v/>
      </c>
      <c r="AE5" s="13">
        <f>IF(AND(ISNUMBER(상세표[[#This Row],[시작]]),N(상세표[[#This Row],[22~06시]])&gt;0),INT(상세표[[#This Row],[시작]]-6/24),"")</f>
        <v/>
      </c>
      <c r="AF5" s="10">
        <f>IF(상세표[[#This Row],[야간 기준일]]="","",IF(OR(WEEKDAY(상세표[[#This Row],[야간 기준일]],2)&gt;5,COUNTIF(공휴일목록,상세표[[#This Row],[야간 기준일]])&gt;0),"휴일","평일"))</f>
        <v/>
      </c>
      <c r="AG5" s="12">
        <f>IF(상세표[[#This Row],[야간 구분]]="","",SUMIFS(상세표[22~06시],상세표[사번키],상세표[[#This Row],[사번키]],상세표[야간 기준일],상세표[[#This Row],[야간 기준일]]))</f>
        <v/>
      </c>
      <c r="AH5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5" s="9">
        <f>IF(AND(상세표[[#This Row],[야간첫행]]=1,상세표[[#This Row],[그 밤 22~06시]]&gt;=8-0.001),1,0)</f>
        <v/>
      </c>
      <c r="AJ5" s="10">
        <f>IF(ISNUMBER(상세표[[#This Row],[시작]]),TEXT(상세표[[#This Row],[시작]],"yyyy-mm"),"")</f>
        <v/>
      </c>
      <c r="AK5" s="10">
        <f>IF(ISNUMBER(상세표[[#This Row],[종료]]),TEXT(상세표[[#This Row],[종료]]-1/86400,"yyyy-mm"),"")</f>
        <v/>
      </c>
      <c r="AL5" s="10">
        <f>IF(AND(상세표[[#This Row],[기록월]]&lt;&gt;"",상세표[[#This Row],[종료월]]&lt;&gt;"",상세표[[#This Row],[기록월]]&lt;&gt;상세표[[#This Row],[종료월]]),"월 넘김","")</f>
        <v/>
      </c>
      <c r="AM5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5" s="9">
        <f>IF(상세표[[#This Row],[기록월]]="","",IFERROR(MATCH(상세표[[#This Row],[사번키]]&amp;"|"&amp;상세표[[#This Row],[기록월]],월별근무지표[키],0),""))</f>
        <v/>
      </c>
      <c r="AO5" s="9">
        <f>IF(상세표[[#This Row],[종료월]]="","",IFERROR(MATCH(상세표[[#This Row],[사번키]]&amp;"|"&amp;상세표[[#This Row],[종료월]],월별근무지표[키],0),""))</f>
        <v/>
      </c>
      <c r="AP5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5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5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5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5" s="10">
        <f>IF(상세표[[#This Row],[기록월]]="","",상세표[[#This Row],[기록월]])</f>
        <v/>
      </c>
      <c r="AU5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5" s="9">
        <f>IF(AND(상세표[[#This Row],[블록시작]]=1,OR(상세표[[#This Row],[시작월]]=대상월키,상세표[[#This Row],[블록종료월]]=대상월키)),1,0)</f>
        <v/>
      </c>
      <c r="AW5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5" s="9">
        <f>IF(AND(상세표[[#This Row],[월 넘김]]="월 넘김",OR(상세표[[#This Row],[기록월]]=대상월키,상세표[[#This Row],[종료월]]=대상월키)),1,0)</f>
        <v/>
      </c>
      <c r="AY5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5" s="9">
        <f>IF(AND(상세표[[#This Row],[기관명단]]="없음",OR(상세표[[#This Row],[기록월]]=대상월키,상세표[[#This Row],[반영월]]=대상월키)),1,0)</f>
        <v/>
      </c>
      <c r="BA5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5" s="9">
        <f>IF(상세표[[#This Row],[발송표시]]&lt;&gt;1,0,IF(COUNTIFS(상세표[발송표시],1,상세표[사번키],상세표[[#This Row],[사번키]],상세표[행],"&lt;"&amp;상세표[[#This Row],[행]])&gt;0,0,1))</f>
        <v/>
      </c>
      <c r="BC5" s="9">
        <f>IF(상세표[[#This Row],[발송첫행]]&lt;&gt;1,"",COUNTIFS(상세표[발송첫행],1,상세표[행],"&lt;="&amp;상세표[[#This Row],[행]]))</f>
        <v/>
      </c>
      <c r="BD5" s="9">
        <f>IF(AND(상세표[[#This Row],[반영월]]=대상월키,상세표[[#This Row],[사번키]]&lt;&gt;"",COUNTIF(합계표[사번키],상세표[[#This Row],[사번키]])=0),1,0)</f>
        <v/>
      </c>
      <c r="BE5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5" s="9">
        <f>IF(상세표[[#This Row],[합계없음첫행]]&lt;&gt;1,"",COUNTIFS(상세표[합계없음첫행],1,상세표[행],"&lt;="&amp;상세표[[#This Row],[행]]))</f>
        <v/>
      </c>
    </row>
    <row r="6">
      <c r="A6" s="7" t="inlineStr">
        <is>
          <t>ㅇㅇ과</t>
        </is>
      </c>
      <c r="B6" s="7" t="n">
        <v>2222222</v>
      </c>
      <c r="C6" s="7" t="inlineStr">
        <is>
          <t>김ㅇㅇ</t>
        </is>
      </c>
      <c r="D6" s="7" t="inlineStr">
        <is>
          <t>레지던트2</t>
        </is>
      </c>
      <c r="E6" s="7" t="inlineStr">
        <is>
          <t>2026-09-01</t>
        </is>
      </c>
      <c r="F6" s="7" t="inlineStr">
        <is>
          <t>2026-09-01 08:00</t>
        </is>
      </c>
      <c r="G6" s="7" t="inlineStr">
        <is>
          <t>2026-09-01 20:00</t>
        </is>
      </c>
      <c r="H6" s="8" t="n">
        <v>0</v>
      </c>
      <c r="I6" s="8" t="n">
        <v>10</v>
      </c>
      <c r="J6" s="8" t="n">
        <v>2</v>
      </c>
      <c r="K6" s="8" t="n">
        <v>0</v>
      </c>
      <c r="L6" s="9">
        <f>ROW()-ROW(상세표[#Headers])</f>
        <v/>
      </c>
      <c r="M6" s="10">
        <f>IF(TRIM(상세표[[#This Row],[사번]]&amp;"")="","","S|"&amp;TRIM(상세표[[#This Row],[사번]]&amp;""))</f>
        <v/>
      </c>
      <c r="N6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6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6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6" s="9">
        <f>IF(AND(ISNUMBER(상세표[[#This Row],[시작]]),ISNUMBER(상세표[[#This Row],[종료]]),상세표[[#This Row],[이어짐]]=""),1,0)</f>
        <v/>
      </c>
      <c r="R6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6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6" s="12">
        <f>IF(상세표[[#This Row],[블록시작]]&lt;&gt;1,"",ROUND((상세표[[#This Row],[블록종료]]-상세표[[#This Row],[시작]])*24,2))</f>
        <v/>
      </c>
      <c r="U6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6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6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6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6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6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6" s="10">
        <f>IF(상세표[[#This Row],[블록시작]]&lt;&gt;1,"",TEXT(상세표[[#This Row],[시작]],"yyyy-mm"))</f>
        <v/>
      </c>
      <c r="AB6" s="10">
        <f>IF(상세표[[#This Row],[블록시작]]&lt;&gt;1,"",TEXT(상세표[[#This Row],[블록종료]]-1/86400,"yyyy-mm"))</f>
        <v/>
      </c>
      <c r="AC6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6" s="12">
        <f>N(상세표[[#This Row],[06~07시]])+N(상세표[[#This Row],[07~18시]])+N(상세표[[#This Row],[18~22시]])+N(상세표[[#This Row],[22~06시]])</f>
        <v/>
      </c>
      <c r="AE6" s="13">
        <f>IF(AND(ISNUMBER(상세표[[#This Row],[시작]]),N(상세표[[#This Row],[22~06시]])&gt;0),INT(상세표[[#This Row],[시작]]-6/24),"")</f>
        <v/>
      </c>
      <c r="AF6" s="10">
        <f>IF(상세표[[#This Row],[야간 기준일]]="","",IF(OR(WEEKDAY(상세표[[#This Row],[야간 기준일]],2)&gt;5,COUNTIF(공휴일목록,상세표[[#This Row],[야간 기준일]])&gt;0),"휴일","평일"))</f>
        <v/>
      </c>
      <c r="AG6" s="12">
        <f>IF(상세표[[#This Row],[야간 구분]]="","",SUMIFS(상세표[22~06시],상세표[사번키],상세표[[#This Row],[사번키]],상세표[야간 기준일],상세표[[#This Row],[야간 기준일]]))</f>
        <v/>
      </c>
      <c r="AH6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6" s="9">
        <f>IF(AND(상세표[[#This Row],[야간첫행]]=1,상세표[[#This Row],[그 밤 22~06시]]&gt;=8-0.001),1,0)</f>
        <v/>
      </c>
      <c r="AJ6" s="10">
        <f>IF(ISNUMBER(상세표[[#This Row],[시작]]),TEXT(상세표[[#This Row],[시작]],"yyyy-mm"),"")</f>
        <v/>
      </c>
      <c r="AK6" s="10">
        <f>IF(ISNUMBER(상세표[[#This Row],[종료]]),TEXT(상세표[[#This Row],[종료]]-1/86400,"yyyy-mm"),"")</f>
        <v/>
      </c>
      <c r="AL6" s="10">
        <f>IF(AND(상세표[[#This Row],[기록월]]&lt;&gt;"",상세표[[#This Row],[종료월]]&lt;&gt;"",상세표[[#This Row],[기록월]]&lt;&gt;상세표[[#This Row],[종료월]]),"월 넘김","")</f>
        <v/>
      </c>
      <c r="AM6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6" s="9">
        <f>IF(상세표[[#This Row],[기록월]]="","",IFERROR(MATCH(상세표[[#This Row],[사번키]]&amp;"|"&amp;상세표[[#This Row],[기록월]],월별근무지표[키],0),""))</f>
        <v/>
      </c>
      <c r="AO6" s="9">
        <f>IF(상세표[[#This Row],[종료월]]="","",IFERROR(MATCH(상세표[[#This Row],[사번키]]&amp;"|"&amp;상세표[[#This Row],[종료월]],월별근무지표[키],0),""))</f>
        <v/>
      </c>
      <c r="AP6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6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6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6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6" s="10">
        <f>IF(상세표[[#This Row],[기록월]]="","",상세표[[#This Row],[기록월]])</f>
        <v/>
      </c>
      <c r="AU6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6" s="9">
        <f>IF(AND(상세표[[#This Row],[블록시작]]=1,OR(상세표[[#This Row],[시작월]]=대상월키,상세표[[#This Row],[블록종료월]]=대상월키)),1,0)</f>
        <v/>
      </c>
      <c r="AW6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6" s="9">
        <f>IF(AND(상세표[[#This Row],[월 넘김]]="월 넘김",OR(상세표[[#This Row],[기록월]]=대상월키,상세표[[#This Row],[종료월]]=대상월키)),1,0)</f>
        <v/>
      </c>
      <c r="AY6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6" s="9">
        <f>IF(AND(상세표[[#This Row],[기관명단]]="없음",OR(상세표[[#This Row],[기록월]]=대상월키,상세표[[#This Row],[반영월]]=대상월키)),1,0)</f>
        <v/>
      </c>
      <c r="BA6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6" s="9">
        <f>IF(상세표[[#This Row],[발송표시]]&lt;&gt;1,0,IF(COUNTIFS(상세표[발송표시],1,상세표[사번키],상세표[[#This Row],[사번키]],상세표[행],"&lt;"&amp;상세표[[#This Row],[행]])&gt;0,0,1))</f>
        <v/>
      </c>
      <c r="BC6" s="9">
        <f>IF(상세표[[#This Row],[발송첫행]]&lt;&gt;1,"",COUNTIFS(상세표[발송첫행],1,상세표[행],"&lt;="&amp;상세표[[#This Row],[행]]))</f>
        <v/>
      </c>
      <c r="BD6" s="9">
        <f>IF(AND(상세표[[#This Row],[반영월]]=대상월키,상세표[[#This Row],[사번키]]&lt;&gt;"",COUNTIF(합계표[사번키],상세표[[#This Row],[사번키]])=0),1,0)</f>
        <v/>
      </c>
      <c r="BE6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6" s="9">
        <f>IF(상세표[[#This Row],[합계없음첫행]]&lt;&gt;1,"",COUNTIFS(상세표[합계없음첫행],1,상세표[행],"&lt;="&amp;상세표[[#This Row],[행]]))</f>
        <v/>
      </c>
    </row>
    <row r="7">
      <c r="A7" s="7" t="inlineStr">
        <is>
          <t>ㅇㅇ과</t>
        </is>
      </c>
      <c r="B7" s="7" t="n">
        <v>2222222</v>
      </c>
      <c r="C7" s="7" t="inlineStr">
        <is>
          <t>김ㅇㅇ</t>
        </is>
      </c>
      <c r="D7" s="7" t="inlineStr">
        <is>
          <t>레지던트2</t>
        </is>
      </c>
      <c r="E7" s="7" t="inlineStr">
        <is>
          <t>2026-09-04</t>
        </is>
      </c>
      <c r="F7" s="7" t="inlineStr">
        <is>
          <t>2026-09-04 06:00</t>
        </is>
      </c>
      <c r="G7" s="7" t="inlineStr">
        <is>
          <t>2026-09-04 20:00</t>
        </is>
      </c>
      <c r="H7" s="8" t="n">
        <v>1</v>
      </c>
      <c r="I7" s="8" t="n">
        <v>11</v>
      </c>
      <c r="J7" s="8" t="n">
        <v>2</v>
      </c>
      <c r="K7" s="8" t="n">
        <v>0</v>
      </c>
      <c r="L7" s="9">
        <f>ROW()-ROW(상세표[#Headers])</f>
        <v/>
      </c>
      <c r="M7" s="10">
        <f>IF(TRIM(상세표[[#This Row],[사번]]&amp;"")="","","S|"&amp;TRIM(상세표[[#This Row],[사번]]&amp;""))</f>
        <v/>
      </c>
      <c r="N7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7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7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7" s="9">
        <f>IF(AND(ISNUMBER(상세표[[#This Row],[시작]]),ISNUMBER(상세표[[#This Row],[종료]]),상세표[[#This Row],[이어짐]]=""),1,0)</f>
        <v/>
      </c>
      <c r="R7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7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7" s="12">
        <f>IF(상세표[[#This Row],[블록시작]]&lt;&gt;1,"",ROUND((상세표[[#This Row],[블록종료]]-상세표[[#This Row],[시작]])*24,2))</f>
        <v/>
      </c>
      <c r="U7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7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7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7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7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7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7" s="10">
        <f>IF(상세표[[#This Row],[블록시작]]&lt;&gt;1,"",TEXT(상세표[[#This Row],[시작]],"yyyy-mm"))</f>
        <v/>
      </c>
      <c r="AB7" s="10">
        <f>IF(상세표[[#This Row],[블록시작]]&lt;&gt;1,"",TEXT(상세표[[#This Row],[블록종료]]-1/86400,"yyyy-mm"))</f>
        <v/>
      </c>
      <c r="AC7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7" s="12">
        <f>N(상세표[[#This Row],[06~07시]])+N(상세표[[#This Row],[07~18시]])+N(상세표[[#This Row],[18~22시]])+N(상세표[[#This Row],[22~06시]])</f>
        <v/>
      </c>
      <c r="AE7" s="13">
        <f>IF(AND(ISNUMBER(상세표[[#This Row],[시작]]),N(상세표[[#This Row],[22~06시]])&gt;0),INT(상세표[[#This Row],[시작]]-6/24),"")</f>
        <v/>
      </c>
      <c r="AF7" s="10">
        <f>IF(상세표[[#This Row],[야간 기준일]]="","",IF(OR(WEEKDAY(상세표[[#This Row],[야간 기준일]],2)&gt;5,COUNTIF(공휴일목록,상세표[[#This Row],[야간 기준일]])&gt;0),"휴일","평일"))</f>
        <v/>
      </c>
      <c r="AG7" s="12">
        <f>IF(상세표[[#This Row],[야간 구분]]="","",SUMIFS(상세표[22~06시],상세표[사번키],상세표[[#This Row],[사번키]],상세표[야간 기준일],상세표[[#This Row],[야간 기준일]]))</f>
        <v/>
      </c>
      <c r="AH7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7" s="9">
        <f>IF(AND(상세표[[#This Row],[야간첫행]]=1,상세표[[#This Row],[그 밤 22~06시]]&gt;=8-0.001),1,0)</f>
        <v/>
      </c>
      <c r="AJ7" s="10">
        <f>IF(ISNUMBER(상세표[[#This Row],[시작]]),TEXT(상세표[[#This Row],[시작]],"yyyy-mm"),"")</f>
        <v/>
      </c>
      <c r="AK7" s="10">
        <f>IF(ISNUMBER(상세표[[#This Row],[종료]]),TEXT(상세표[[#This Row],[종료]]-1/86400,"yyyy-mm"),"")</f>
        <v/>
      </c>
      <c r="AL7" s="10">
        <f>IF(AND(상세표[[#This Row],[기록월]]&lt;&gt;"",상세표[[#This Row],[종료월]]&lt;&gt;"",상세표[[#This Row],[기록월]]&lt;&gt;상세표[[#This Row],[종료월]]),"월 넘김","")</f>
        <v/>
      </c>
      <c r="AM7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7" s="9">
        <f>IF(상세표[[#This Row],[기록월]]="","",IFERROR(MATCH(상세표[[#This Row],[사번키]]&amp;"|"&amp;상세표[[#This Row],[기록월]],월별근무지표[키],0),""))</f>
        <v/>
      </c>
      <c r="AO7" s="9">
        <f>IF(상세표[[#This Row],[종료월]]="","",IFERROR(MATCH(상세표[[#This Row],[사번키]]&amp;"|"&amp;상세표[[#This Row],[종료월]],월별근무지표[키],0),""))</f>
        <v/>
      </c>
      <c r="AP7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7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7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7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7" s="10">
        <f>IF(상세표[[#This Row],[기록월]]="","",상세표[[#This Row],[기록월]])</f>
        <v/>
      </c>
      <c r="AU7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7" s="9">
        <f>IF(AND(상세표[[#This Row],[블록시작]]=1,OR(상세표[[#This Row],[시작월]]=대상월키,상세표[[#This Row],[블록종료월]]=대상월키)),1,0)</f>
        <v/>
      </c>
      <c r="AW7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7" s="9">
        <f>IF(AND(상세표[[#This Row],[월 넘김]]="월 넘김",OR(상세표[[#This Row],[기록월]]=대상월키,상세표[[#This Row],[종료월]]=대상월키)),1,0)</f>
        <v/>
      </c>
      <c r="AY7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7" s="9">
        <f>IF(AND(상세표[[#This Row],[기관명단]]="없음",OR(상세표[[#This Row],[기록월]]=대상월키,상세표[[#This Row],[반영월]]=대상월키)),1,0)</f>
        <v/>
      </c>
      <c r="BA7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7" s="9">
        <f>IF(상세표[[#This Row],[발송표시]]&lt;&gt;1,0,IF(COUNTIFS(상세표[발송표시],1,상세표[사번키],상세표[[#This Row],[사번키]],상세표[행],"&lt;"&amp;상세표[[#This Row],[행]])&gt;0,0,1))</f>
        <v/>
      </c>
      <c r="BC7" s="9">
        <f>IF(상세표[[#This Row],[발송첫행]]&lt;&gt;1,"",COUNTIFS(상세표[발송첫행],1,상세표[행],"&lt;="&amp;상세표[[#This Row],[행]]))</f>
        <v/>
      </c>
      <c r="BD7" s="9">
        <f>IF(AND(상세표[[#This Row],[반영월]]=대상월키,상세표[[#This Row],[사번키]]&lt;&gt;"",COUNTIF(합계표[사번키],상세표[[#This Row],[사번키]])=0),1,0)</f>
        <v/>
      </c>
      <c r="BE7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7" s="9">
        <f>IF(상세표[[#This Row],[합계없음첫행]]&lt;&gt;1,"",COUNTIFS(상세표[합계없음첫행],1,상세표[행],"&lt;="&amp;상세표[[#This Row],[행]]))</f>
        <v/>
      </c>
    </row>
    <row r="8">
      <c r="A8" s="7" t="inlineStr">
        <is>
          <t>ㅇㅇ과</t>
        </is>
      </c>
      <c r="B8" s="7" t="n">
        <v>2222222</v>
      </c>
      <c r="C8" s="7" t="inlineStr">
        <is>
          <t>김ㅇㅇ</t>
        </is>
      </c>
      <c r="D8" s="7" t="inlineStr">
        <is>
          <t>레지던트2</t>
        </is>
      </c>
      <c r="E8" s="7" t="inlineStr">
        <is>
          <t>2026-09-04</t>
        </is>
      </c>
      <c r="F8" s="7" t="inlineStr">
        <is>
          <t>2026-09-04 20:00</t>
        </is>
      </c>
      <c r="G8" s="7" t="inlineStr">
        <is>
          <t>2026-09-05 08:00</t>
        </is>
      </c>
      <c r="H8" s="8" t="n">
        <v>1</v>
      </c>
      <c r="I8" s="8" t="n">
        <v>1</v>
      </c>
      <c r="J8" s="8" t="n">
        <v>2</v>
      </c>
      <c r="K8" s="8" t="n">
        <v>8</v>
      </c>
      <c r="L8" s="9">
        <f>ROW()-ROW(상세표[#Headers])</f>
        <v/>
      </c>
      <c r="M8" s="10">
        <f>IF(TRIM(상세표[[#This Row],[사번]]&amp;"")="","","S|"&amp;TRIM(상세표[[#This Row],[사번]]&amp;""))</f>
        <v/>
      </c>
      <c r="N8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8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8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8" s="9">
        <f>IF(AND(ISNUMBER(상세표[[#This Row],[시작]]),ISNUMBER(상세표[[#This Row],[종료]]),상세표[[#This Row],[이어짐]]=""),1,0)</f>
        <v/>
      </c>
      <c r="R8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8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8" s="12">
        <f>IF(상세표[[#This Row],[블록시작]]&lt;&gt;1,"",ROUND((상세표[[#This Row],[블록종료]]-상세표[[#This Row],[시작]])*24,2))</f>
        <v/>
      </c>
      <c r="U8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8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8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8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8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8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8" s="10">
        <f>IF(상세표[[#This Row],[블록시작]]&lt;&gt;1,"",TEXT(상세표[[#This Row],[시작]],"yyyy-mm"))</f>
        <v/>
      </c>
      <c r="AB8" s="10">
        <f>IF(상세표[[#This Row],[블록시작]]&lt;&gt;1,"",TEXT(상세표[[#This Row],[블록종료]]-1/86400,"yyyy-mm"))</f>
        <v/>
      </c>
      <c r="AC8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8" s="12">
        <f>N(상세표[[#This Row],[06~07시]])+N(상세표[[#This Row],[07~18시]])+N(상세표[[#This Row],[18~22시]])+N(상세표[[#This Row],[22~06시]])</f>
        <v/>
      </c>
      <c r="AE8" s="13">
        <f>IF(AND(ISNUMBER(상세표[[#This Row],[시작]]),N(상세표[[#This Row],[22~06시]])&gt;0),INT(상세표[[#This Row],[시작]]-6/24),"")</f>
        <v/>
      </c>
      <c r="AF8" s="10">
        <f>IF(상세표[[#This Row],[야간 기준일]]="","",IF(OR(WEEKDAY(상세표[[#This Row],[야간 기준일]],2)&gt;5,COUNTIF(공휴일목록,상세표[[#This Row],[야간 기준일]])&gt;0),"휴일","평일"))</f>
        <v/>
      </c>
      <c r="AG8" s="12">
        <f>IF(상세표[[#This Row],[야간 구분]]="","",SUMIFS(상세표[22~06시],상세표[사번키],상세표[[#This Row],[사번키]],상세표[야간 기준일],상세표[[#This Row],[야간 기준일]]))</f>
        <v/>
      </c>
      <c r="AH8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8" s="9">
        <f>IF(AND(상세표[[#This Row],[야간첫행]]=1,상세표[[#This Row],[그 밤 22~06시]]&gt;=8-0.001),1,0)</f>
        <v/>
      </c>
      <c r="AJ8" s="10">
        <f>IF(ISNUMBER(상세표[[#This Row],[시작]]),TEXT(상세표[[#This Row],[시작]],"yyyy-mm"),"")</f>
        <v/>
      </c>
      <c r="AK8" s="10">
        <f>IF(ISNUMBER(상세표[[#This Row],[종료]]),TEXT(상세표[[#This Row],[종료]]-1/86400,"yyyy-mm"),"")</f>
        <v/>
      </c>
      <c r="AL8" s="10">
        <f>IF(AND(상세표[[#This Row],[기록월]]&lt;&gt;"",상세표[[#This Row],[종료월]]&lt;&gt;"",상세표[[#This Row],[기록월]]&lt;&gt;상세표[[#This Row],[종료월]]),"월 넘김","")</f>
        <v/>
      </c>
      <c r="AM8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8" s="9">
        <f>IF(상세표[[#This Row],[기록월]]="","",IFERROR(MATCH(상세표[[#This Row],[사번키]]&amp;"|"&amp;상세표[[#This Row],[기록월]],월별근무지표[키],0),""))</f>
        <v/>
      </c>
      <c r="AO8" s="9">
        <f>IF(상세표[[#This Row],[종료월]]="","",IFERROR(MATCH(상세표[[#This Row],[사번키]]&amp;"|"&amp;상세표[[#This Row],[종료월]],월별근무지표[키],0),""))</f>
        <v/>
      </c>
      <c r="AP8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8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8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8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8" s="10">
        <f>IF(상세표[[#This Row],[기록월]]="","",상세표[[#This Row],[기록월]])</f>
        <v/>
      </c>
      <c r="AU8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8" s="9">
        <f>IF(AND(상세표[[#This Row],[블록시작]]=1,OR(상세표[[#This Row],[시작월]]=대상월키,상세표[[#This Row],[블록종료월]]=대상월키)),1,0)</f>
        <v/>
      </c>
      <c r="AW8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8" s="9">
        <f>IF(AND(상세표[[#This Row],[월 넘김]]="월 넘김",OR(상세표[[#This Row],[기록월]]=대상월키,상세표[[#This Row],[종료월]]=대상월키)),1,0)</f>
        <v/>
      </c>
      <c r="AY8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8" s="9">
        <f>IF(AND(상세표[[#This Row],[기관명단]]="없음",OR(상세표[[#This Row],[기록월]]=대상월키,상세표[[#This Row],[반영월]]=대상월키)),1,0)</f>
        <v/>
      </c>
      <c r="BA8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8" s="9">
        <f>IF(상세표[[#This Row],[발송표시]]&lt;&gt;1,0,IF(COUNTIFS(상세표[발송표시],1,상세표[사번키],상세표[[#This Row],[사번키]],상세표[행],"&lt;"&amp;상세표[[#This Row],[행]])&gt;0,0,1))</f>
        <v/>
      </c>
      <c r="BC8" s="9">
        <f>IF(상세표[[#This Row],[발송첫행]]&lt;&gt;1,"",COUNTIFS(상세표[발송첫행],1,상세표[행],"&lt;="&amp;상세표[[#This Row],[행]]))</f>
        <v/>
      </c>
      <c r="BD8" s="9">
        <f>IF(AND(상세표[[#This Row],[반영월]]=대상월키,상세표[[#This Row],[사번키]]&lt;&gt;"",COUNTIF(합계표[사번키],상세표[[#This Row],[사번키]])=0),1,0)</f>
        <v/>
      </c>
      <c r="BE8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8" s="9">
        <f>IF(상세표[[#This Row],[합계없음첫행]]&lt;&gt;1,"",COUNTIFS(상세표[합계없음첫행],1,상세표[행],"&lt;="&amp;상세표[[#This Row],[행]]))</f>
        <v/>
      </c>
    </row>
    <row r="9">
      <c r="A9" s="7" t="inlineStr">
        <is>
          <t>ㅇㅇ과</t>
        </is>
      </c>
      <c r="B9" s="7" t="n">
        <v>2222222</v>
      </c>
      <c r="C9" s="7" t="inlineStr">
        <is>
          <t>김ㅇㅇ</t>
        </is>
      </c>
      <c r="D9" s="7" t="inlineStr">
        <is>
          <t>전임의</t>
        </is>
      </c>
      <c r="E9" s="7" t="inlineStr">
        <is>
          <t>2026-09-24</t>
        </is>
      </c>
      <c r="F9" s="7" t="inlineStr">
        <is>
          <t>2026-09-24 08:00</t>
        </is>
      </c>
      <c r="G9" s="7" t="inlineStr">
        <is>
          <t>2026-09-24 20:00</t>
        </is>
      </c>
      <c r="H9" s="8" t="n">
        <v>0</v>
      </c>
      <c r="I9" s="8" t="n">
        <v>10</v>
      </c>
      <c r="J9" s="8" t="n">
        <v>2</v>
      </c>
      <c r="K9" s="8" t="n">
        <v>0</v>
      </c>
      <c r="L9" s="9">
        <f>ROW()-ROW(상세표[#Headers])</f>
        <v/>
      </c>
      <c r="M9" s="10">
        <f>IF(TRIM(상세표[[#This Row],[사번]]&amp;"")="","","S|"&amp;TRIM(상세표[[#This Row],[사번]]&amp;""))</f>
        <v/>
      </c>
      <c r="N9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9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9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9" s="9">
        <f>IF(AND(ISNUMBER(상세표[[#This Row],[시작]]),ISNUMBER(상세표[[#This Row],[종료]]),상세표[[#This Row],[이어짐]]=""),1,0)</f>
        <v/>
      </c>
      <c r="R9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9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9" s="12">
        <f>IF(상세표[[#This Row],[블록시작]]&lt;&gt;1,"",ROUND((상세표[[#This Row],[블록종료]]-상세표[[#This Row],[시작]])*24,2))</f>
        <v/>
      </c>
      <c r="U9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9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9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9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9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9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9" s="10">
        <f>IF(상세표[[#This Row],[블록시작]]&lt;&gt;1,"",TEXT(상세표[[#This Row],[시작]],"yyyy-mm"))</f>
        <v/>
      </c>
      <c r="AB9" s="10">
        <f>IF(상세표[[#This Row],[블록시작]]&lt;&gt;1,"",TEXT(상세표[[#This Row],[블록종료]]-1/86400,"yyyy-mm"))</f>
        <v/>
      </c>
      <c r="AC9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9" s="12">
        <f>N(상세표[[#This Row],[06~07시]])+N(상세표[[#This Row],[07~18시]])+N(상세표[[#This Row],[18~22시]])+N(상세표[[#This Row],[22~06시]])</f>
        <v/>
      </c>
      <c r="AE9" s="13">
        <f>IF(AND(ISNUMBER(상세표[[#This Row],[시작]]),N(상세표[[#This Row],[22~06시]])&gt;0),INT(상세표[[#This Row],[시작]]-6/24),"")</f>
        <v/>
      </c>
      <c r="AF9" s="10">
        <f>IF(상세표[[#This Row],[야간 기준일]]="","",IF(OR(WEEKDAY(상세표[[#This Row],[야간 기준일]],2)&gt;5,COUNTIF(공휴일목록,상세표[[#This Row],[야간 기준일]])&gt;0),"휴일","평일"))</f>
        <v/>
      </c>
      <c r="AG9" s="12">
        <f>IF(상세표[[#This Row],[야간 구분]]="","",SUMIFS(상세표[22~06시],상세표[사번키],상세표[[#This Row],[사번키]],상세표[야간 기준일],상세표[[#This Row],[야간 기준일]]))</f>
        <v/>
      </c>
      <c r="AH9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9" s="9">
        <f>IF(AND(상세표[[#This Row],[야간첫행]]=1,상세표[[#This Row],[그 밤 22~06시]]&gt;=8-0.001),1,0)</f>
        <v/>
      </c>
      <c r="AJ9" s="10">
        <f>IF(ISNUMBER(상세표[[#This Row],[시작]]),TEXT(상세표[[#This Row],[시작]],"yyyy-mm"),"")</f>
        <v/>
      </c>
      <c r="AK9" s="10">
        <f>IF(ISNUMBER(상세표[[#This Row],[종료]]),TEXT(상세표[[#This Row],[종료]]-1/86400,"yyyy-mm"),"")</f>
        <v/>
      </c>
      <c r="AL9" s="10">
        <f>IF(AND(상세표[[#This Row],[기록월]]&lt;&gt;"",상세표[[#This Row],[종료월]]&lt;&gt;"",상세표[[#This Row],[기록월]]&lt;&gt;상세표[[#This Row],[종료월]]),"월 넘김","")</f>
        <v/>
      </c>
      <c r="AM9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9" s="9">
        <f>IF(상세표[[#This Row],[기록월]]="","",IFERROR(MATCH(상세표[[#This Row],[사번키]]&amp;"|"&amp;상세표[[#This Row],[기록월]],월별근무지표[키],0),""))</f>
        <v/>
      </c>
      <c r="AO9" s="9">
        <f>IF(상세표[[#This Row],[종료월]]="","",IFERROR(MATCH(상세표[[#This Row],[사번키]]&amp;"|"&amp;상세표[[#This Row],[종료월]],월별근무지표[키],0),""))</f>
        <v/>
      </c>
      <c r="AP9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9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9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9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9" s="10">
        <f>IF(상세표[[#This Row],[기록월]]="","",상세표[[#This Row],[기록월]])</f>
        <v/>
      </c>
      <c r="AU9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9" s="9">
        <f>IF(AND(상세표[[#This Row],[블록시작]]=1,OR(상세표[[#This Row],[시작월]]=대상월키,상세표[[#This Row],[블록종료월]]=대상월키)),1,0)</f>
        <v/>
      </c>
      <c r="AW9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9" s="9">
        <f>IF(AND(상세표[[#This Row],[월 넘김]]="월 넘김",OR(상세표[[#This Row],[기록월]]=대상월키,상세표[[#This Row],[종료월]]=대상월키)),1,0)</f>
        <v/>
      </c>
      <c r="AY9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9" s="9">
        <f>IF(AND(상세표[[#This Row],[기관명단]]="없음",OR(상세표[[#This Row],[기록월]]=대상월키,상세표[[#This Row],[반영월]]=대상월키)),1,0)</f>
        <v/>
      </c>
      <c r="BA9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9" s="9">
        <f>IF(상세표[[#This Row],[발송표시]]&lt;&gt;1,0,IF(COUNTIFS(상세표[발송표시],1,상세표[사번키],상세표[[#This Row],[사번키]],상세표[행],"&lt;"&amp;상세표[[#This Row],[행]])&gt;0,0,1))</f>
        <v/>
      </c>
      <c r="BC9" s="9">
        <f>IF(상세표[[#This Row],[발송첫행]]&lt;&gt;1,"",COUNTIFS(상세표[발송첫행],1,상세표[행],"&lt;="&amp;상세표[[#This Row],[행]]))</f>
        <v/>
      </c>
      <c r="BD9" s="9">
        <f>IF(AND(상세표[[#This Row],[반영월]]=대상월키,상세표[[#This Row],[사번키]]&lt;&gt;"",COUNTIF(합계표[사번키],상세표[[#This Row],[사번키]])=0),1,0)</f>
        <v/>
      </c>
      <c r="BE9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9" s="9">
        <f>IF(상세표[[#This Row],[합계없음첫행]]&lt;&gt;1,"",COUNTIFS(상세표[합계없음첫행],1,상세표[행],"&lt;="&amp;상세표[[#This Row],[행]]))</f>
        <v/>
      </c>
    </row>
    <row r="10">
      <c r="A10" s="7" t="inlineStr">
        <is>
          <t>ㅇㅇ과</t>
        </is>
      </c>
      <c r="B10" s="7" t="n">
        <v>2222222</v>
      </c>
      <c r="C10" s="7" t="inlineStr">
        <is>
          <t>김ㅇㅇ</t>
        </is>
      </c>
      <c r="D10" s="7" t="inlineStr">
        <is>
          <t>레지던트2</t>
        </is>
      </c>
      <c r="E10" s="7" t="inlineStr">
        <is>
          <t>2026-09-30</t>
        </is>
      </c>
      <c r="F10" s="7" t="inlineStr">
        <is>
          <t>2026-09-30 20:00</t>
        </is>
      </c>
      <c r="G10" s="7" t="inlineStr">
        <is>
          <t>2026-10-01 08:00</t>
        </is>
      </c>
      <c r="H10" s="8" t="n">
        <v>1</v>
      </c>
      <c r="I10" s="8" t="n">
        <v>1</v>
      </c>
      <c r="J10" s="8" t="n">
        <v>2</v>
      </c>
      <c r="K10" s="8" t="n">
        <v>8</v>
      </c>
      <c r="L10" s="9">
        <f>ROW()-ROW(상세표[#Headers])</f>
        <v/>
      </c>
      <c r="M10" s="10">
        <f>IF(TRIM(상세표[[#This Row],[사번]]&amp;"")="","","S|"&amp;TRIM(상세표[[#This Row],[사번]]&amp;""))</f>
        <v/>
      </c>
      <c r="N10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10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10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10" s="9">
        <f>IF(AND(ISNUMBER(상세표[[#This Row],[시작]]),ISNUMBER(상세표[[#This Row],[종료]]),상세표[[#This Row],[이어짐]]=""),1,0)</f>
        <v/>
      </c>
      <c r="R10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10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10" s="12">
        <f>IF(상세표[[#This Row],[블록시작]]&lt;&gt;1,"",ROUND((상세표[[#This Row],[블록종료]]-상세표[[#This Row],[시작]])*24,2))</f>
        <v/>
      </c>
      <c r="U10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10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10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10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10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10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10" s="10">
        <f>IF(상세표[[#This Row],[블록시작]]&lt;&gt;1,"",TEXT(상세표[[#This Row],[시작]],"yyyy-mm"))</f>
        <v/>
      </c>
      <c r="AB10" s="10">
        <f>IF(상세표[[#This Row],[블록시작]]&lt;&gt;1,"",TEXT(상세표[[#This Row],[블록종료]]-1/86400,"yyyy-mm"))</f>
        <v/>
      </c>
      <c r="AC10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10" s="12">
        <f>N(상세표[[#This Row],[06~07시]])+N(상세표[[#This Row],[07~18시]])+N(상세표[[#This Row],[18~22시]])+N(상세표[[#This Row],[22~06시]])</f>
        <v/>
      </c>
      <c r="AE10" s="13">
        <f>IF(AND(ISNUMBER(상세표[[#This Row],[시작]]),N(상세표[[#This Row],[22~06시]])&gt;0),INT(상세표[[#This Row],[시작]]-6/24),"")</f>
        <v/>
      </c>
      <c r="AF10" s="10">
        <f>IF(상세표[[#This Row],[야간 기준일]]="","",IF(OR(WEEKDAY(상세표[[#This Row],[야간 기준일]],2)&gt;5,COUNTIF(공휴일목록,상세표[[#This Row],[야간 기준일]])&gt;0),"휴일","평일"))</f>
        <v/>
      </c>
      <c r="AG10" s="12">
        <f>IF(상세표[[#This Row],[야간 구분]]="","",SUMIFS(상세표[22~06시],상세표[사번키],상세표[[#This Row],[사번키]],상세표[야간 기준일],상세표[[#This Row],[야간 기준일]]))</f>
        <v/>
      </c>
      <c r="AH10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10" s="9">
        <f>IF(AND(상세표[[#This Row],[야간첫행]]=1,상세표[[#This Row],[그 밤 22~06시]]&gt;=8-0.001),1,0)</f>
        <v/>
      </c>
      <c r="AJ10" s="10">
        <f>IF(ISNUMBER(상세표[[#This Row],[시작]]),TEXT(상세표[[#This Row],[시작]],"yyyy-mm"),"")</f>
        <v/>
      </c>
      <c r="AK10" s="10">
        <f>IF(ISNUMBER(상세표[[#This Row],[종료]]),TEXT(상세표[[#This Row],[종료]]-1/86400,"yyyy-mm"),"")</f>
        <v/>
      </c>
      <c r="AL10" s="10">
        <f>IF(AND(상세표[[#This Row],[기록월]]&lt;&gt;"",상세표[[#This Row],[종료월]]&lt;&gt;"",상세표[[#This Row],[기록월]]&lt;&gt;상세표[[#This Row],[종료월]]),"월 넘김","")</f>
        <v/>
      </c>
      <c r="AM10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10" s="9">
        <f>IF(상세표[[#This Row],[기록월]]="","",IFERROR(MATCH(상세표[[#This Row],[사번키]]&amp;"|"&amp;상세표[[#This Row],[기록월]],월별근무지표[키],0),""))</f>
        <v/>
      </c>
      <c r="AO10" s="9">
        <f>IF(상세표[[#This Row],[종료월]]="","",IFERROR(MATCH(상세표[[#This Row],[사번키]]&amp;"|"&amp;상세표[[#This Row],[종료월]],월별근무지표[키],0),""))</f>
        <v/>
      </c>
      <c r="AP10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10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10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10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10" s="10">
        <f>IF(상세표[[#This Row],[기록월]]="","",상세표[[#This Row],[기록월]])</f>
        <v/>
      </c>
      <c r="AU10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10" s="9">
        <f>IF(AND(상세표[[#This Row],[블록시작]]=1,OR(상세표[[#This Row],[시작월]]=대상월키,상세표[[#This Row],[블록종료월]]=대상월키)),1,0)</f>
        <v/>
      </c>
      <c r="AW10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10" s="9">
        <f>IF(AND(상세표[[#This Row],[월 넘김]]="월 넘김",OR(상세표[[#This Row],[기록월]]=대상월키,상세표[[#This Row],[종료월]]=대상월키)),1,0)</f>
        <v/>
      </c>
      <c r="AY10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10" s="9">
        <f>IF(AND(상세표[[#This Row],[기관명단]]="없음",OR(상세표[[#This Row],[기록월]]=대상월키,상세표[[#This Row],[반영월]]=대상월키)),1,0)</f>
        <v/>
      </c>
      <c r="BA10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10" s="9">
        <f>IF(상세표[[#This Row],[발송표시]]&lt;&gt;1,0,IF(COUNTIFS(상세표[발송표시],1,상세표[사번키],상세표[[#This Row],[사번키]],상세표[행],"&lt;"&amp;상세표[[#This Row],[행]])&gt;0,0,1))</f>
        <v/>
      </c>
      <c r="BC10" s="9">
        <f>IF(상세표[[#This Row],[발송첫행]]&lt;&gt;1,"",COUNTIFS(상세표[발송첫행],1,상세표[행],"&lt;="&amp;상세표[[#This Row],[행]]))</f>
        <v/>
      </c>
      <c r="BD10" s="9">
        <f>IF(AND(상세표[[#This Row],[반영월]]=대상월키,상세표[[#This Row],[사번키]]&lt;&gt;"",COUNTIF(합계표[사번키],상세표[[#This Row],[사번키]])=0),1,0)</f>
        <v/>
      </c>
      <c r="BE10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10" s="9">
        <f>IF(상세표[[#This Row],[합계없음첫행]]&lt;&gt;1,"",COUNTIFS(상세표[합계없음첫행],1,상세표[행],"&lt;="&amp;상세표[[#This Row],[행]]))</f>
        <v/>
      </c>
    </row>
    <row r="11">
      <c r="A11" s="7" t="inlineStr">
        <is>
          <t>수련교육부</t>
        </is>
      </c>
      <c r="B11" s="7" t="n">
        <v>3333333</v>
      </c>
      <c r="C11" s="7" t="inlineStr">
        <is>
          <t>이ㅇㅇ</t>
        </is>
      </c>
      <c r="D11" s="7" t="inlineStr">
        <is>
          <t>인턴</t>
        </is>
      </c>
      <c r="E11" s="7" t="inlineStr">
        <is>
          <t>2026-08-31</t>
        </is>
      </c>
      <c r="F11" s="7" t="inlineStr">
        <is>
          <t>2026-08-31 20:00</t>
        </is>
      </c>
      <c r="G11" s="7" t="inlineStr">
        <is>
          <t>2026-09-01 08:00</t>
        </is>
      </c>
      <c r="H11" s="8" t="n">
        <v>1</v>
      </c>
      <c r="I11" s="8" t="n">
        <v>1</v>
      </c>
      <c r="J11" s="8" t="n">
        <v>2</v>
      </c>
      <c r="K11" s="8" t="n">
        <v>8</v>
      </c>
      <c r="L11" s="9">
        <f>ROW()-ROW(상세표[#Headers])</f>
        <v/>
      </c>
      <c r="M11" s="10">
        <f>IF(TRIM(상세표[[#This Row],[사번]]&amp;"")="","","S|"&amp;TRIM(상세표[[#This Row],[사번]]&amp;""))</f>
        <v/>
      </c>
      <c r="N11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11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11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11" s="9">
        <f>IF(AND(ISNUMBER(상세표[[#This Row],[시작]]),ISNUMBER(상세표[[#This Row],[종료]]),상세표[[#This Row],[이어짐]]=""),1,0)</f>
        <v/>
      </c>
      <c r="R11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11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11" s="12">
        <f>IF(상세표[[#This Row],[블록시작]]&lt;&gt;1,"",ROUND((상세표[[#This Row],[블록종료]]-상세표[[#This Row],[시작]])*24,2))</f>
        <v/>
      </c>
      <c r="U11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11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11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11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11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11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11" s="10">
        <f>IF(상세표[[#This Row],[블록시작]]&lt;&gt;1,"",TEXT(상세표[[#This Row],[시작]],"yyyy-mm"))</f>
        <v/>
      </c>
      <c r="AB11" s="10">
        <f>IF(상세표[[#This Row],[블록시작]]&lt;&gt;1,"",TEXT(상세표[[#This Row],[블록종료]]-1/86400,"yyyy-mm"))</f>
        <v/>
      </c>
      <c r="AC11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11" s="12">
        <f>N(상세표[[#This Row],[06~07시]])+N(상세표[[#This Row],[07~18시]])+N(상세표[[#This Row],[18~22시]])+N(상세표[[#This Row],[22~06시]])</f>
        <v/>
      </c>
      <c r="AE11" s="13">
        <f>IF(AND(ISNUMBER(상세표[[#This Row],[시작]]),N(상세표[[#This Row],[22~06시]])&gt;0),INT(상세표[[#This Row],[시작]]-6/24),"")</f>
        <v/>
      </c>
      <c r="AF11" s="10">
        <f>IF(상세표[[#This Row],[야간 기준일]]="","",IF(OR(WEEKDAY(상세표[[#This Row],[야간 기준일]],2)&gt;5,COUNTIF(공휴일목록,상세표[[#This Row],[야간 기준일]])&gt;0),"휴일","평일"))</f>
        <v/>
      </c>
      <c r="AG11" s="12">
        <f>IF(상세표[[#This Row],[야간 구분]]="","",SUMIFS(상세표[22~06시],상세표[사번키],상세표[[#This Row],[사번키]],상세표[야간 기준일],상세표[[#This Row],[야간 기준일]]))</f>
        <v/>
      </c>
      <c r="AH11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11" s="9">
        <f>IF(AND(상세표[[#This Row],[야간첫행]]=1,상세표[[#This Row],[그 밤 22~06시]]&gt;=8-0.001),1,0)</f>
        <v/>
      </c>
      <c r="AJ11" s="10">
        <f>IF(ISNUMBER(상세표[[#This Row],[시작]]),TEXT(상세표[[#This Row],[시작]],"yyyy-mm"),"")</f>
        <v/>
      </c>
      <c r="AK11" s="10">
        <f>IF(ISNUMBER(상세표[[#This Row],[종료]]),TEXT(상세표[[#This Row],[종료]]-1/86400,"yyyy-mm"),"")</f>
        <v/>
      </c>
      <c r="AL11" s="10">
        <f>IF(AND(상세표[[#This Row],[기록월]]&lt;&gt;"",상세표[[#This Row],[종료월]]&lt;&gt;"",상세표[[#This Row],[기록월]]&lt;&gt;상세표[[#This Row],[종료월]]),"월 넘김","")</f>
        <v/>
      </c>
      <c r="AM11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11" s="9">
        <f>IF(상세표[[#This Row],[기록월]]="","",IFERROR(MATCH(상세표[[#This Row],[사번키]]&amp;"|"&amp;상세표[[#This Row],[기록월]],월별근무지표[키],0),""))</f>
        <v/>
      </c>
      <c r="AO11" s="9">
        <f>IF(상세표[[#This Row],[종료월]]="","",IFERROR(MATCH(상세표[[#This Row],[사번키]]&amp;"|"&amp;상세표[[#This Row],[종료월]],월별근무지표[키],0),""))</f>
        <v/>
      </c>
      <c r="AP11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11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11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11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11" s="10">
        <f>IF(상세표[[#This Row],[기록월]]="","",상세표[[#This Row],[기록월]])</f>
        <v/>
      </c>
      <c r="AU11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11" s="9">
        <f>IF(AND(상세표[[#This Row],[블록시작]]=1,OR(상세표[[#This Row],[시작월]]=대상월키,상세표[[#This Row],[블록종료월]]=대상월키)),1,0)</f>
        <v/>
      </c>
      <c r="AW11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11" s="9">
        <f>IF(AND(상세표[[#This Row],[월 넘김]]="월 넘김",OR(상세표[[#This Row],[기록월]]=대상월키,상세표[[#This Row],[종료월]]=대상월키)),1,0)</f>
        <v/>
      </c>
      <c r="AY11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11" s="9">
        <f>IF(AND(상세표[[#This Row],[기관명단]]="없음",OR(상세표[[#This Row],[기록월]]=대상월키,상세표[[#This Row],[반영월]]=대상월키)),1,0)</f>
        <v/>
      </c>
      <c r="BA11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11" s="9">
        <f>IF(상세표[[#This Row],[발송표시]]&lt;&gt;1,0,IF(COUNTIFS(상세표[발송표시],1,상세표[사번키],상세표[[#This Row],[사번키]],상세표[행],"&lt;"&amp;상세표[[#This Row],[행]])&gt;0,0,1))</f>
        <v/>
      </c>
      <c r="BC11" s="9">
        <f>IF(상세표[[#This Row],[발송첫행]]&lt;&gt;1,"",COUNTIFS(상세표[발송첫행],1,상세표[행],"&lt;="&amp;상세표[[#This Row],[행]]))</f>
        <v/>
      </c>
      <c r="BD11" s="9">
        <f>IF(AND(상세표[[#This Row],[반영월]]=대상월키,상세표[[#This Row],[사번키]]&lt;&gt;"",COUNTIF(합계표[사번키],상세표[[#This Row],[사번키]])=0),1,0)</f>
        <v/>
      </c>
      <c r="BE11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11" s="9">
        <f>IF(상세표[[#This Row],[합계없음첫행]]&lt;&gt;1,"",COUNTIFS(상세표[합계없음첫행],1,상세표[행],"&lt;="&amp;상세표[[#This Row],[행]]))</f>
        <v/>
      </c>
    </row>
    <row r="12">
      <c r="A12" s="7" t="inlineStr">
        <is>
          <t>수련교육부</t>
        </is>
      </c>
      <c r="B12" s="7" t="n">
        <v>3333333</v>
      </c>
      <c r="C12" s="7" t="inlineStr">
        <is>
          <t>이ㅇㅇ</t>
        </is>
      </c>
      <c r="D12" s="7" t="inlineStr">
        <is>
          <t>인턴</t>
        </is>
      </c>
      <c r="E12" s="7" t="inlineStr">
        <is>
          <t>2026-09-07</t>
        </is>
      </c>
      <c r="F12" s="7" t="inlineStr">
        <is>
          <t>2026-09-07 18:00</t>
        </is>
      </c>
      <c r="G12" s="7" t="inlineStr">
        <is>
          <t>2026-09-07 22:00</t>
        </is>
      </c>
      <c r="H12" s="8" t="n">
        <v>0</v>
      </c>
      <c r="I12" s="8" t="n">
        <v>0</v>
      </c>
      <c r="J12" s="8" t="n">
        <v>4</v>
      </c>
      <c r="K12" s="8" t="n">
        <v>0</v>
      </c>
      <c r="L12" s="9">
        <f>ROW()-ROW(상세표[#Headers])</f>
        <v/>
      </c>
      <c r="M12" s="10">
        <f>IF(TRIM(상세표[[#This Row],[사번]]&amp;"")="","","S|"&amp;TRIM(상세표[[#This Row],[사번]]&amp;""))</f>
        <v/>
      </c>
      <c r="N12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12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12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12" s="9">
        <f>IF(AND(ISNUMBER(상세표[[#This Row],[시작]]),ISNUMBER(상세표[[#This Row],[종료]]),상세표[[#This Row],[이어짐]]=""),1,0)</f>
        <v/>
      </c>
      <c r="R12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12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12" s="12">
        <f>IF(상세표[[#This Row],[블록시작]]&lt;&gt;1,"",ROUND((상세표[[#This Row],[블록종료]]-상세표[[#This Row],[시작]])*24,2))</f>
        <v/>
      </c>
      <c r="U12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12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12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12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12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12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12" s="10">
        <f>IF(상세표[[#This Row],[블록시작]]&lt;&gt;1,"",TEXT(상세표[[#This Row],[시작]],"yyyy-mm"))</f>
        <v/>
      </c>
      <c r="AB12" s="10">
        <f>IF(상세표[[#This Row],[블록시작]]&lt;&gt;1,"",TEXT(상세표[[#This Row],[블록종료]]-1/86400,"yyyy-mm"))</f>
        <v/>
      </c>
      <c r="AC12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12" s="12">
        <f>N(상세표[[#This Row],[06~07시]])+N(상세표[[#This Row],[07~18시]])+N(상세표[[#This Row],[18~22시]])+N(상세표[[#This Row],[22~06시]])</f>
        <v/>
      </c>
      <c r="AE12" s="13">
        <f>IF(AND(ISNUMBER(상세표[[#This Row],[시작]]),N(상세표[[#This Row],[22~06시]])&gt;0),INT(상세표[[#This Row],[시작]]-6/24),"")</f>
        <v/>
      </c>
      <c r="AF12" s="10">
        <f>IF(상세표[[#This Row],[야간 기준일]]="","",IF(OR(WEEKDAY(상세표[[#This Row],[야간 기준일]],2)&gt;5,COUNTIF(공휴일목록,상세표[[#This Row],[야간 기준일]])&gt;0),"휴일","평일"))</f>
        <v/>
      </c>
      <c r="AG12" s="12">
        <f>IF(상세표[[#This Row],[야간 구분]]="","",SUMIFS(상세표[22~06시],상세표[사번키],상세표[[#This Row],[사번키]],상세표[야간 기준일],상세표[[#This Row],[야간 기준일]]))</f>
        <v/>
      </c>
      <c r="AH12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12" s="9">
        <f>IF(AND(상세표[[#This Row],[야간첫행]]=1,상세표[[#This Row],[그 밤 22~06시]]&gt;=8-0.001),1,0)</f>
        <v/>
      </c>
      <c r="AJ12" s="10">
        <f>IF(ISNUMBER(상세표[[#This Row],[시작]]),TEXT(상세표[[#This Row],[시작]],"yyyy-mm"),"")</f>
        <v/>
      </c>
      <c r="AK12" s="10">
        <f>IF(ISNUMBER(상세표[[#This Row],[종료]]),TEXT(상세표[[#This Row],[종료]]-1/86400,"yyyy-mm"),"")</f>
        <v/>
      </c>
      <c r="AL12" s="10">
        <f>IF(AND(상세표[[#This Row],[기록월]]&lt;&gt;"",상세표[[#This Row],[종료월]]&lt;&gt;"",상세표[[#This Row],[기록월]]&lt;&gt;상세표[[#This Row],[종료월]]),"월 넘김","")</f>
        <v/>
      </c>
      <c r="AM12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12" s="9">
        <f>IF(상세표[[#This Row],[기록월]]="","",IFERROR(MATCH(상세표[[#This Row],[사번키]]&amp;"|"&amp;상세표[[#This Row],[기록월]],월별근무지표[키],0),""))</f>
        <v/>
      </c>
      <c r="AO12" s="9">
        <f>IF(상세표[[#This Row],[종료월]]="","",IFERROR(MATCH(상세표[[#This Row],[사번키]]&amp;"|"&amp;상세표[[#This Row],[종료월]],월별근무지표[키],0),""))</f>
        <v/>
      </c>
      <c r="AP12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12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12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12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12" s="10">
        <f>IF(상세표[[#This Row],[기록월]]="","",상세표[[#This Row],[기록월]])</f>
        <v/>
      </c>
      <c r="AU12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12" s="9">
        <f>IF(AND(상세표[[#This Row],[블록시작]]=1,OR(상세표[[#This Row],[시작월]]=대상월키,상세표[[#This Row],[블록종료월]]=대상월키)),1,0)</f>
        <v/>
      </c>
      <c r="AW12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12" s="9">
        <f>IF(AND(상세표[[#This Row],[월 넘김]]="월 넘김",OR(상세표[[#This Row],[기록월]]=대상월키,상세표[[#This Row],[종료월]]=대상월키)),1,0)</f>
        <v/>
      </c>
      <c r="AY12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12" s="9">
        <f>IF(AND(상세표[[#This Row],[기관명단]]="없음",OR(상세표[[#This Row],[기록월]]=대상월키,상세표[[#This Row],[반영월]]=대상월키)),1,0)</f>
        <v/>
      </c>
      <c r="BA12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12" s="9">
        <f>IF(상세표[[#This Row],[발송표시]]&lt;&gt;1,0,IF(COUNTIFS(상세표[발송표시],1,상세표[사번키],상세표[[#This Row],[사번키]],상세표[행],"&lt;"&amp;상세표[[#This Row],[행]])&gt;0,0,1))</f>
        <v/>
      </c>
      <c r="BC12" s="9">
        <f>IF(상세표[[#This Row],[발송첫행]]&lt;&gt;1,"",COUNTIFS(상세표[발송첫행],1,상세표[행],"&lt;="&amp;상세표[[#This Row],[행]]))</f>
        <v/>
      </c>
      <c r="BD12" s="9">
        <f>IF(AND(상세표[[#This Row],[반영월]]=대상월키,상세표[[#This Row],[사번키]]&lt;&gt;"",COUNTIF(합계표[사번키],상세표[[#This Row],[사번키]])=0),1,0)</f>
        <v/>
      </c>
      <c r="BE12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12" s="9">
        <f>IF(상세표[[#This Row],[합계없음첫행]]&lt;&gt;1,"",COUNTIFS(상세표[합계없음첫행],1,상세표[행],"&lt;="&amp;상세표[[#This Row],[행]]))</f>
        <v/>
      </c>
    </row>
    <row r="13">
      <c r="A13" s="7" t="inlineStr">
        <is>
          <t>수련교육부</t>
        </is>
      </c>
      <c r="B13" s="7" t="n">
        <v>3333333</v>
      </c>
      <c r="C13" s="7" t="inlineStr">
        <is>
          <t>이ㅇㅇ</t>
        </is>
      </c>
      <c r="D13" s="7" t="inlineStr">
        <is>
          <t>인턴</t>
        </is>
      </c>
      <c r="E13" s="7" t="inlineStr">
        <is>
          <t>2026-09-07</t>
        </is>
      </c>
      <c r="F13" s="7" t="inlineStr">
        <is>
          <t>2026-09-07 07:00</t>
        </is>
      </c>
      <c r="G13" s="7" t="inlineStr">
        <is>
          <t>2026-09-07 18:00</t>
        </is>
      </c>
      <c r="H13" s="8" t="n">
        <v>0</v>
      </c>
      <c r="I13" s="8" t="n">
        <v>11</v>
      </c>
      <c r="J13" s="8" t="n">
        <v>0</v>
      </c>
      <c r="K13" s="8" t="n">
        <v>0</v>
      </c>
      <c r="L13" s="9">
        <f>ROW()-ROW(상세표[#Headers])</f>
        <v/>
      </c>
      <c r="M13" s="10">
        <f>IF(TRIM(상세표[[#This Row],[사번]]&amp;"")="","","S|"&amp;TRIM(상세표[[#This Row],[사번]]&amp;""))</f>
        <v/>
      </c>
      <c r="N13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13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13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13" s="9">
        <f>IF(AND(ISNUMBER(상세표[[#This Row],[시작]]),ISNUMBER(상세표[[#This Row],[종료]]),상세표[[#This Row],[이어짐]]=""),1,0)</f>
        <v/>
      </c>
      <c r="R13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13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13" s="12">
        <f>IF(상세표[[#This Row],[블록시작]]&lt;&gt;1,"",ROUND((상세표[[#This Row],[블록종료]]-상세표[[#This Row],[시작]])*24,2))</f>
        <v/>
      </c>
      <c r="U13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13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13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13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13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13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13" s="10">
        <f>IF(상세표[[#This Row],[블록시작]]&lt;&gt;1,"",TEXT(상세표[[#This Row],[시작]],"yyyy-mm"))</f>
        <v/>
      </c>
      <c r="AB13" s="10">
        <f>IF(상세표[[#This Row],[블록시작]]&lt;&gt;1,"",TEXT(상세표[[#This Row],[블록종료]]-1/86400,"yyyy-mm"))</f>
        <v/>
      </c>
      <c r="AC13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13" s="12">
        <f>N(상세표[[#This Row],[06~07시]])+N(상세표[[#This Row],[07~18시]])+N(상세표[[#This Row],[18~22시]])+N(상세표[[#This Row],[22~06시]])</f>
        <v/>
      </c>
      <c r="AE13" s="13">
        <f>IF(AND(ISNUMBER(상세표[[#This Row],[시작]]),N(상세표[[#This Row],[22~06시]])&gt;0),INT(상세표[[#This Row],[시작]]-6/24),"")</f>
        <v/>
      </c>
      <c r="AF13" s="10">
        <f>IF(상세표[[#This Row],[야간 기준일]]="","",IF(OR(WEEKDAY(상세표[[#This Row],[야간 기준일]],2)&gt;5,COUNTIF(공휴일목록,상세표[[#This Row],[야간 기준일]])&gt;0),"휴일","평일"))</f>
        <v/>
      </c>
      <c r="AG13" s="12">
        <f>IF(상세표[[#This Row],[야간 구분]]="","",SUMIFS(상세표[22~06시],상세표[사번키],상세표[[#This Row],[사번키]],상세표[야간 기준일],상세표[[#This Row],[야간 기준일]]))</f>
        <v/>
      </c>
      <c r="AH13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13" s="9">
        <f>IF(AND(상세표[[#This Row],[야간첫행]]=1,상세표[[#This Row],[그 밤 22~06시]]&gt;=8-0.001),1,0)</f>
        <v/>
      </c>
      <c r="AJ13" s="10">
        <f>IF(ISNUMBER(상세표[[#This Row],[시작]]),TEXT(상세표[[#This Row],[시작]],"yyyy-mm"),"")</f>
        <v/>
      </c>
      <c r="AK13" s="10">
        <f>IF(ISNUMBER(상세표[[#This Row],[종료]]),TEXT(상세표[[#This Row],[종료]]-1/86400,"yyyy-mm"),"")</f>
        <v/>
      </c>
      <c r="AL13" s="10">
        <f>IF(AND(상세표[[#This Row],[기록월]]&lt;&gt;"",상세표[[#This Row],[종료월]]&lt;&gt;"",상세표[[#This Row],[기록월]]&lt;&gt;상세표[[#This Row],[종료월]]),"월 넘김","")</f>
        <v/>
      </c>
      <c r="AM13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13" s="9">
        <f>IF(상세표[[#This Row],[기록월]]="","",IFERROR(MATCH(상세표[[#This Row],[사번키]]&amp;"|"&amp;상세표[[#This Row],[기록월]],월별근무지표[키],0),""))</f>
        <v/>
      </c>
      <c r="AO13" s="9">
        <f>IF(상세표[[#This Row],[종료월]]="","",IFERROR(MATCH(상세표[[#This Row],[사번키]]&amp;"|"&amp;상세표[[#This Row],[종료월]],월별근무지표[키],0),""))</f>
        <v/>
      </c>
      <c r="AP13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13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13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13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13" s="10">
        <f>IF(상세표[[#This Row],[기록월]]="","",상세표[[#This Row],[기록월]])</f>
        <v/>
      </c>
      <c r="AU13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13" s="9">
        <f>IF(AND(상세표[[#This Row],[블록시작]]=1,OR(상세표[[#This Row],[시작월]]=대상월키,상세표[[#This Row],[블록종료월]]=대상월키)),1,0)</f>
        <v/>
      </c>
      <c r="AW13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13" s="9">
        <f>IF(AND(상세표[[#This Row],[월 넘김]]="월 넘김",OR(상세표[[#This Row],[기록월]]=대상월키,상세표[[#This Row],[종료월]]=대상월키)),1,0)</f>
        <v/>
      </c>
      <c r="AY13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13" s="9">
        <f>IF(AND(상세표[[#This Row],[기관명단]]="없음",OR(상세표[[#This Row],[기록월]]=대상월키,상세표[[#This Row],[반영월]]=대상월키)),1,0)</f>
        <v/>
      </c>
      <c r="BA13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13" s="9">
        <f>IF(상세표[[#This Row],[발송표시]]&lt;&gt;1,0,IF(COUNTIFS(상세표[발송표시],1,상세표[사번키],상세표[[#This Row],[사번키]],상세표[행],"&lt;"&amp;상세표[[#This Row],[행]])&gt;0,0,1))</f>
        <v/>
      </c>
      <c r="BC13" s="9">
        <f>IF(상세표[[#This Row],[발송첫행]]&lt;&gt;1,"",COUNTIFS(상세표[발송첫행],1,상세표[행],"&lt;="&amp;상세표[[#This Row],[행]]))</f>
        <v/>
      </c>
      <c r="BD13" s="9">
        <f>IF(AND(상세표[[#This Row],[반영월]]=대상월키,상세표[[#This Row],[사번키]]&lt;&gt;"",COUNTIF(합계표[사번키],상세표[[#This Row],[사번키]])=0),1,0)</f>
        <v/>
      </c>
      <c r="BE13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13" s="9">
        <f>IF(상세표[[#This Row],[합계없음첫행]]&lt;&gt;1,"",COUNTIFS(상세표[합계없음첫행],1,상세표[행],"&lt;="&amp;상세표[[#This Row],[행]]))</f>
        <v/>
      </c>
    </row>
    <row r="14">
      <c r="A14" s="7" t="inlineStr">
        <is>
          <t>수련교육부</t>
        </is>
      </c>
      <c r="B14" s="7" t="n">
        <v>4444444</v>
      </c>
      <c r="C14" s="7" t="inlineStr">
        <is>
          <t>박ㅇㅇ</t>
        </is>
      </c>
      <c r="D14" s="7" t="inlineStr">
        <is>
          <t>인턴</t>
        </is>
      </c>
      <c r="E14" s="7" t="inlineStr">
        <is>
          <t>2026-09-30</t>
        </is>
      </c>
      <c r="F14" s="7" t="inlineStr">
        <is>
          <t>2026-09-30 20:00</t>
        </is>
      </c>
      <c r="G14" s="7" t="inlineStr">
        <is>
          <t>2026-10-01 08:00</t>
        </is>
      </c>
      <c r="H14" s="8" t="n">
        <v>1</v>
      </c>
      <c r="I14" s="8" t="n">
        <v>1</v>
      </c>
      <c r="J14" s="8" t="n">
        <v>2</v>
      </c>
      <c r="K14" s="8" t="n">
        <v>8</v>
      </c>
      <c r="L14" s="9">
        <f>ROW()-ROW(상세표[#Headers])</f>
        <v/>
      </c>
      <c r="M14" s="10">
        <f>IF(TRIM(상세표[[#This Row],[사번]]&amp;"")="","","S|"&amp;TRIM(상세표[[#This Row],[사번]]&amp;""))</f>
        <v/>
      </c>
      <c r="N14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14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14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14" s="9">
        <f>IF(AND(ISNUMBER(상세표[[#This Row],[시작]]),ISNUMBER(상세표[[#This Row],[종료]]),상세표[[#This Row],[이어짐]]=""),1,0)</f>
        <v/>
      </c>
      <c r="R14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14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14" s="12">
        <f>IF(상세표[[#This Row],[블록시작]]&lt;&gt;1,"",ROUND((상세표[[#This Row],[블록종료]]-상세표[[#This Row],[시작]])*24,2))</f>
        <v/>
      </c>
      <c r="U14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14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14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14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14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14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14" s="10">
        <f>IF(상세표[[#This Row],[블록시작]]&lt;&gt;1,"",TEXT(상세표[[#This Row],[시작]],"yyyy-mm"))</f>
        <v/>
      </c>
      <c r="AB14" s="10">
        <f>IF(상세표[[#This Row],[블록시작]]&lt;&gt;1,"",TEXT(상세표[[#This Row],[블록종료]]-1/86400,"yyyy-mm"))</f>
        <v/>
      </c>
      <c r="AC14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14" s="12">
        <f>N(상세표[[#This Row],[06~07시]])+N(상세표[[#This Row],[07~18시]])+N(상세표[[#This Row],[18~22시]])+N(상세표[[#This Row],[22~06시]])</f>
        <v/>
      </c>
      <c r="AE14" s="13">
        <f>IF(AND(ISNUMBER(상세표[[#This Row],[시작]]),N(상세표[[#This Row],[22~06시]])&gt;0),INT(상세표[[#This Row],[시작]]-6/24),"")</f>
        <v/>
      </c>
      <c r="AF14" s="10">
        <f>IF(상세표[[#This Row],[야간 기준일]]="","",IF(OR(WEEKDAY(상세표[[#This Row],[야간 기준일]],2)&gt;5,COUNTIF(공휴일목록,상세표[[#This Row],[야간 기준일]])&gt;0),"휴일","평일"))</f>
        <v/>
      </c>
      <c r="AG14" s="12">
        <f>IF(상세표[[#This Row],[야간 구분]]="","",SUMIFS(상세표[22~06시],상세표[사번키],상세표[[#This Row],[사번키]],상세표[야간 기준일],상세표[[#This Row],[야간 기준일]]))</f>
        <v/>
      </c>
      <c r="AH14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14" s="9">
        <f>IF(AND(상세표[[#This Row],[야간첫행]]=1,상세표[[#This Row],[그 밤 22~06시]]&gt;=8-0.001),1,0)</f>
        <v/>
      </c>
      <c r="AJ14" s="10">
        <f>IF(ISNUMBER(상세표[[#This Row],[시작]]),TEXT(상세표[[#This Row],[시작]],"yyyy-mm"),"")</f>
        <v/>
      </c>
      <c r="AK14" s="10">
        <f>IF(ISNUMBER(상세표[[#This Row],[종료]]),TEXT(상세표[[#This Row],[종료]]-1/86400,"yyyy-mm"),"")</f>
        <v/>
      </c>
      <c r="AL14" s="10">
        <f>IF(AND(상세표[[#This Row],[기록월]]&lt;&gt;"",상세표[[#This Row],[종료월]]&lt;&gt;"",상세표[[#This Row],[기록월]]&lt;&gt;상세표[[#This Row],[종료월]]),"월 넘김","")</f>
        <v/>
      </c>
      <c r="AM14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14" s="9">
        <f>IF(상세표[[#This Row],[기록월]]="","",IFERROR(MATCH(상세표[[#This Row],[사번키]]&amp;"|"&amp;상세표[[#This Row],[기록월]],월별근무지표[키],0),""))</f>
        <v/>
      </c>
      <c r="AO14" s="9">
        <f>IF(상세표[[#This Row],[종료월]]="","",IFERROR(MATCH(상세표[[#This Row],[사번키]]&amp;"|"&amp;상세표[[#This Row],[종료월]],월별근무지표[키],0),""))</f>
        <v/>
      </c>
      <c r="AP14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14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14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14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14" s="10">
        <f>IF(상세표[[#This Row],[기록월]]="","",상세표[[#This Row],[기록월]])</f>
        <v/>
      </c>
      <c r="AU14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14" s="9">
        <f>IF(AND(상세표[[#This Row],[블록시작]]=1,OR(상세표[[#This Row],[시작월]]=대상월키,상세표[[#This Row],[블록종료월]]=대상월키)),1,0)</f>
        <v/>
      </c>
      <c r="AW14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14" s="9">
        <f>IF(AND(상세표[[#This Row],[월 넘김]]="월 넘김",OR(상세표[[#This Row],[기록월]]=대상월키,상세표[[#This Row],[종료월]]=대상월키)),1,0)</f>
        <v/>
      </c>
      <c r="AY14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14" s="9">
        <f>IF(AND(상세표[[#This Row],[기관명단]]="없음",OR(상세표[[#This Row],[기록월]]=대상월키,상세표[[#This Row],[반영월]]=대상월키)),1,0)</f>
        <v/>
      </c>
      <c r="BA14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14" s="9">
        <f>IF(상세표[[#This Row],[발송표시]]&lt;&gt;1,0,IF(COUNTIFS(상세표[발송표시],1,상세표[사번키],상세표[[#This Row],[사번키]],상세표[행],"&lt;"&amp;상세표[[#This Row],[행]])&gt;0,0,1))</f>
        <v/>
      </c>
      <c r="BC14" s="9">
        <f>IF(상세표[[#This Row],[발송첫행]]&lt;&gt;1,"",COUNTIFS(상세표[발송첫행],1,상세표[행],"&lt;="&amp;상세표[[#This Row],[행]]))</f>
        <v/>
      </c>
      <c r="BD14" s="9">
        <f>IF(AND(상세표[[#This Row],[반영월]]=대상월키,상세표[[#This Row],[사번키]]&lt;&gt;"",COUNTIF(합계표[사번키],상세표[[#This Row],[사번키]])=0),1,0)</f>
        <v/>
      </c>
      <c r="BE14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14" s="9">
        <f>IF(상세표[[#This Row],[합계없음첫행]]&lt;&gt;1,"",COUNTIFS(상세표[합계없음첫행],1,상세표[행],"&lt;="&amp;상세표[[#This Row],[행]]))</f>
        <v/>
      </c>
    </row>
    <row r="15">
      <c r="A15" s="7" t="inlineStr">
        <is>
          <t>△△과</t>
        </is>
      </c>
      <c r="B15" s="7" t="n">
        <v>5555555</v>
      </c>
      <c r="C15" s="7" t="inlineStr">
        <is>
          <t>정ㅇㅇ</t>
        </is>
      </c>
      <c r="D15" s="7" t="inlineStr">
        <is>
          <t>레지던트3</t>
        </is>
      </c>
      <c r="E15" s="7" t="inlineStr">
        <is>
          <t>2026-09-10</t>
        </is>
      </c>
      <c r="F15" s="7" t="inlineStr">
        <is>
          <t>2026-09-10 08:00</t>
        </is>
      </c>
      <c r="G15" s="7" t="inlineStr">
        <is>
          <t>2026-09-10 20:00</t>
        </is>
      </c>
      <c r="H15" s="8" t="n">
        <v>0</v>
      </c>
      <c r="I15" s="8" t="n">
        <v>10</v>
      </c>
      <c r="J15" s="8" t="n">
        <v>2</v>
      </c>
      <c r="K15" s="8" t="n">
        <v>0</v>
      </c>
      <c r="L15" s="9">
        <f>ROW()-ROW(상세표[#Headers])</f>
        <v/>
      </c>
      <c r="M15" s="10">
        <f>IF(TRIM(상세표[[#This Row],[사번]]&amp;"")="","","S|"&amp;TRIM(상세표[[#This Row],[사번]]&amp;""))</f>
        <v/>
      </c>
      <c r="N15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15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15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15" s="9">
        <f>IF(AND(ISNUMBER(상세표[[#This Row],[시작]]),ISNUMBER(상세표[[#This Row],[종료]]),상세표[[#This Row],[이어짐]]=""),1,0)</f>
        <v/>
      </c>
      <c r="R15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15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15" s="12">
        <f>IF(상세표[[#This Row],[블록시작]]&lt;&gt;1,"",ROUND((상세표[[#This Row],[블록종료]]-상세표[[#This Row],[시작]])*24,2))</f>
        <v/>
      </c>
      <c r="U15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15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15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15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15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15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15" s="10">
        <f>IF(상세표[[#This Row],[블록시작]]&lt;&gt;1,"",TEXT(상세표[[#This Row],[시작]],"yyyy-mm"))</f>
        <v/>
      </c>
      <c r="AB15" s="10">
        <f>IF(상세표[[#This Row],[블록시작]]&lt;&gt;1,"",TEXT(상세표[[#This Row],[블록종료]]-1/86400,"yyyy-mm"))</f>
        <v/>
      </c>
      <c r="AC15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15" s="12">
        <f>N(상세표[[#This Row],[06~07시]])+N(상세표[[#This Row],[07~18시]])+N(상세표[[#This Row],[18~22시]])+N(상세표[[#This Row],[22~06시]])</f>
        <v/>
      </c>
      <c r="AE15" s="13">
        <f>IF(AND(ISNUMBER(상세표[[#This Row],[시작]]),N(상세표[[#This Row],[22~06시]])&gt;0),INT(상세표[[#This Row],[시작]]-6/24),"")</f>
        <v/>
      </c>
      <c r="AF15" s="10">
        <f>IF(상세표[[#This Row],[야간 기준일]]="","",IF(OR(WEEKDAY(상세표[[#This Row],[야간 기준일]],2)&gt;5,COUNTIF(공휴일목록,상세표[[#This Row],[야간 기준일]])&gt;0),"휴일","평일"))</f>
        <v/>
      </c>
      <c r="AG15" s="12">
        <f>IF(상세표[[#This Row],[야간 구분]]="","",SUMIFS(상세표[22~06시],상세표[사번키],상세표[[#This Row],[사번키]],상세표[야간 기준일],상세표[[#This Row],[야간 기준일]]))</f>
        <v/>
      </c>
      <c r="AH15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15" s="9">
        <f>IF(AND(상세표[[#This Row],[야간첫행]]=1,상세표[[#This Row],[그 밤 22~06시]]&gt;=8-0.001),1,0)</f>
        <v/>
      </c>
      <c r="AJ15" s="10">
        <f>IF(ISNUMBER(상세표[[#This Row],[시작]]),TEXT(상세표[[#This Row],[시작]],"yyyy-mm"),"")</f>
        <v/>
      </c>
      <c r="AK15" s="10">
        <f>IF(ISNUMBER(상세표[[#This Row],[종료]]),TEXT(상세표[[#This Row],[종료]]-1/86400,"yyyy-mm"),"")</f>
        <v/>
      </c>
      <c r="AL15" s="10">
        <f>IF(AND(상세표[[#This Row],[기록월]]&lt;&gt;"",상세표[[#This Row],[종료월]]&lt;&gt;"",상세표[[#This Row],[기록월]]&lt;&gt;상세표[[#This Row],[종료월]]),"월 넘김","")</f>
        <v/>
      </c>
      <c r="AM15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15" s="9">
        <f>IF(상세표[[#This Row],[기록월]]="","",IFERROR(MATCH(상세표[[#This Row],[사번키]]&amp;"|"&amp;상세표[[#This Row],[기록월]],월별근무지표[키],0),""))</f>
        <v/>
      </c>
      <c r="AO15" s="9">
        <f>IF(상세표[[#This Row],[종료월]]="","",IFERROR(MATCH(상세표[[#This Row],[사번키]]&amp;"|"&amp;상세표[[#This Row],[종료월]],월별근무지표[키],0),""))</f>
        <v/>
      </c>
      <c r="AP15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15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15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15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15" s="10">
        <f>IF(상세표[[#This Row],[기록월]]="","",상세표[[#This Row],[기록월]])</f>
        <v/>
      </c>
      <c r="AU15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15" s="9">
        <f>IF(AND(상세표[[#This Row],[블록시작]]=1,OR(상세표[[#This Row],[시작월]]=대상월키,상세표[[#This Row],[블록종료월]]=대상월키)),1,0)</f>
        <v/>
      </c>
      <c r="AW15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15" s="9">
        <f>IF(AND(상세표[[#This Row],[월 넘김]]="월 넘김",OR(상세표[[#This Row],[기록월]]=대상월키,상세표[[#This Row],[종료월]]=대상월키)),1,0)</f>
        <v/>
      </c>
      <c r="AY15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15" s="9">
        <f>IF(AND(상세표[[#This Row],[기관명단]]="없음",OR(상세표[[#This Row],[기록월]]=대상월키,상세표[[#This Row],[반영월]]=대상월키)),1,0)</f>
        <v/>
      </c>
      <c r="BA15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15" s="9">
        <f>IF(상세표[[#This Row],[발송표시]]&lt;&gt;1,0,IF(COUNTIFS(상세표[발송표시],1,상세표[사번키],상세표[[#This Row],[사번키]],상세표[행],"&lt;"&amp;상세표[[#This Row],[행]])&gt;0,0,1))</f>
        <v/>
      </c>
      <c r="BC15" s="9">
        <f>IF(상세표[[#This Row],[발송첫행]]&lt;&gt;1,"",COUNTIFS(상세표[발송첫행],1,상세표[행],"&lt;="&amp;상세표[[#This Row],[행]]))</f>
        <v/>
      </c>
      <c r="BD15" s="9">
        <f>IF(AND(상세표[[#This Row],[반영월]]=대상월키,상세표[[#This Row],[사번키]]&lt;&gt;"",COUNTIF(합계표[사번키],상세표[[#This Row],[사번키]])=0),1,0)</f>
        <v/>
      </c>
      <c r="BE15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15" s="9">
        <f>IF(상세표[[#This Row],[합계없음첫행]]&lt;&gt;1,"",COUNTIFS(상세표[합계없음첫행],1,상세표[행],"&lt;="&amp;상세표[[#This Row],[행]]))</f>
        <v/>
      </c>
    </row>
    <row r="16">
      <c r="A16" s="7" t="inlineStr">
        <is>
          <t>△△과</t>
        </is>
      </c>
      <c r="B16" s="7" t="n">
        <v>5555555</v>
      </c>
      <c r="C16" s="7" t="inlineStr">
        <is>
          <t>정ㅇㅇ</t>
        </is>
      </c>
      <c r="D16" s="7" t="inlineStr">
        <is>
          <t>레지던트3</t>
        </is>
      </c>
      <c r="E16" s="7" t="inlineStr">
        <is>
          <t>2026-09-10</t>
        </is>
      </c>
      <c r="F16" s="7" t="inlineStr">
        <is>
          <t>2026-09-10 20:00</t>
        </is>
      </c>
      <c r="G16" s="7" t="inlineStr">
        <is>
          <t>2026-09-11 08:00</t>
        </is>
      </c>
      <c r="H16" s="8" t="n">
        <v>1</v>
      </c>
      <c r="I16" s="8" t="n">
        <v>1</v>
      </c>
      <c r="J16" s="8" t="n">
        <v>2</v>
      </c>
      <c r="K16" s="8" t="n">
        <v>8</v>
      </c>
      <c r="L16" s="9">
        <f>ROW()-ROW(상세표[#Headers])</f>
        <v/>
      </c>
      <c r="M16" s="10">
        <f>IF(TRIM(상세표[[#This Row],[사번]]&amp;"")="","","S|"&amp;TRIM(상세표[[#This Row],[사번]]&amp;""))</f>
        <v/>
      </c>
      <c r="N16" s="11">
        <f>IF(ISNUMBER(상세표[[#This Row],[시작시간]]),상세표[[#This Row],[시작시간]],IF(TRIM(상세표[[#This Row],[시작시간]]&amp;"")="","",IFERROR(VALUE(TRIM(상세표[[#This Row],[시작시간]])),IFERROR(DATEVALUE(LEFT(TRIM(상세표[[#This Row],[시작시간]]),10))+VALUE(MID(TRIM(상세표[[#This Row],[시작시간]]),12,2))/24+VALUE(MID(TRIM(상세표[[#This Row],[시작시간]]),15,2))/1440,"⚠"&amp;상세표[[#This Row],[시작시간]]))))</f>
        <v/>
      </c>
      <c r="O16" s="11">
        <f>IF(ISNUMBER(상세표[[#This Row],[종료시간]]),상세표[[#This Row],[종료시간]],IF(TRIM(상세표[[#This Row],[종료시간]]&amp;"")="","",IFERROR(VALUE(TRIM(상세표[[#This Row],[종료시간]])),IFERROR(DATEVALUE(LEFT(TRIM(상세표[[#This Row],[종료시간]]),10))+VALUE(MID(TRIM(상세표[[#This Row],[종료시간]]),12,2))/24+VALUE(MID(TRIM(상세표[[#This Row],[종료시간]]),15,2))/1440,"⚠"&amp;상세표[[#This Row],[종료시간]]))))</f>
        <v/>
      </c>
      <c r="P16" s="10">
        <f>IF(NOT(ISNUMBER(상세표[[#This Row],[시작]])),"",IF(COUNTIFS(상세표[사번키],상세표[[#This Row],[사번키]],상세표[시작],"&lt;"&amp;(상세표[[#This Row],[시작]]-1/86400),상세표[종료],"&gt;="&amp;(상세표[[#This Row],[시작]]-연속허용분/1440-1/86400))&gt;0,"이어짐",""))</f>
        <v/>
      </c>
      <c r="Q16" s="9">
        <f>IF(AND(ISNUMBER(상세표[[#This Row],[시작]]),ISNUMBER(상세표[[#This Row],[종료]]),상세표[[#This Row],[이어짐]]=""),1,0)</f>
        <v/>
      </c>
      <c r="R16" s="11">
        <f>IF(상세표[[#This Row],[블록시작]]&lt;&gt;1,"",IF(_xlfn.MINIFS(상세표[시작],상세표[사번키],상세표[[#This Row],[사번키]],상세표[블록시작],1,상세표[시작],"&gt;"&amp;(상세표[[#This Row],[시작]]+1/86400))=0,"",_xlfn.MINIFS(상세표[시작],상세표[사번키],상세표[[#This Row],[사번키]],상세표[블록시작],1,상세표[시작],"&gt;"&amp;(상세표[[#This Row],[시작]]+1/86400))))</f>
        <v/>
      </c>
      <c r="S16" s="11">
        <f>IF(상세표[[#This Row],[블록시작]]&lt;&gt;1,"",_xlfn.MAXIFS(상세표[종료],상세표[사번키],상세표[[#This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T16" s="12">
        <f>IF(상세표[[#This Row],[블록시작]]&lt;&gt;1,"",ROUND((상세표[[#This Row],[블록종료]]-상세표[[#This Row],[시작]])*24,2))</f>
        <v/>
      </c>
      <c r="U16" s="9">
        <f>IF(상세표[[#This Row],[블록시작]]&lt;&gt;1,"",COUNTIFS(상세표[사번키],상세표[[#This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V16" s="12">
        <f>IF(상세표[[#This Row],[블록시작]]&lt;&gt;1,"",SUMIFS(상세표[06~07시],상세표[사번키],상세표[[#This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W16" s="12">
        <f>IF(상세표[[#This Row],[블록시작]]&lt;&gt;1,"",SUMIFS(상세표[07~18시],상세표[사번키],상세표[[#This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X16" s="12">
        <f>IF(상세표[[#This Row],[블록시작]]&lt;&gt;1,"",SUMIFS(상세표[18~22시],상세표[사번키],상세표[[#This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Y16" s="12">
        <f>IF(상세표[[#This Row],[블록시작]]&lt;&gt;1,"",SUMIFS(상세표[22~06시],상세표[사번키],상세표[[#This Row],[사번키]],상세표[시작],"&gt;="&amp;(상세표[[#This Row],[시작]]-1/86400),상세표[시작],"&lt;"&amp;(IF(상세표[[#This Row],[다음블록시작]]="",1E+9,상세표[[#This Row],[다음블록시작]])-1/86400)))</f>
        <v/>
      </c>
      <c r="Z16" s="10">
        <f>IF(상세표[[#This Row],[블록시작]]&lt;&gt;1,"",IF((INT(상세표[[#This Row],[블록종료]]-1/86400)-INT(상세표[[#This Row],[시작]])+1)-NETWORKDAYS(INT(상세표[[#This Row],[시작]]),INT(상세표[[#This Row],[블록종료]]-1/86400),공휴일목록)&gt;0,"포함",""))</f>
        <v/>
      </c>
      <c r="AA16" s="10">
        <f>IF(상세표[[#This Row],[블록시작]]&lt;&gt;1,"",TEXT(상세표[[#This Row],[시작]],"yyyy-mm"))</f>
        <v/>
      </c>
      <c r="AB16" s="10">
        <f>IF(상세표[[#This Row],[블록시작]]&lt;&gt;1,"",TEXT(상세표[[#This Row],[블록종료]]-1/86400,"yyyy-mm"))</f>
        <v/>
      </c>
      <c r="AC16" s="10">
        <f>IF(상세표[[#This Row],[블록시작]]&lt;&gt;1,"",IF(COUNTIFS(상세표[사번키],상세표[[#This Row],[사번키]],상세표[시작],"&gt;="&amp;(상세표[[#This Row],[시작]]-1/86400),상세표[시작],"&lt;"&amp;(IF(상세표[[#This Row],[다음블록시작]]="",1E+9,상세표[[#This Row],[다음블록시작]])-1/86400),상세표[월 넘김],"월 넘김")&gt;0,"포함",""))</f>
        <v/>
      </c>
      <c r="AD16" s="12">
        <f>N(상세표[[#This Row],[06~07시]])+N(상세표[[#This Row],[07~18시]])+N(상세표[[#This Row],[18~22시]])+N(상세표[[#This Row],[22~06시]])</f>
        <v/>
      </c>
      <c r="AE16" s="13">
        <f>IF(AND(ISNUMBER(상세표[[#This Row],[시작]]),N(상세표[[#This Row],[22~06시]])&gt;0),INT(상세표[[#This Row],[시작]]-6/24),"")</f>
        <v/>
      </c>
      <c r="AF16" s="10">
        <f>IF(상세표[[#This Row],[야간 기준일]]="","",IF(OR(WEEKDAY(상세표[[#This Row],[야간 기준일]],2)&gt;5,COUNTIF(공휴일목록,상세표[[#This Row],[야간 기준일]])&gt;0),"휴일","평일"))</f>
        <v/>
      </c>
      <c r="AG16" s="12">
        <f>IF(상세표[[#This Row],[야간 구분]]="","",SUMIFS(상세표[22~06시],상세표[사번키],상세표[[#This Row],[사번키]],상세표[야간 기준일],상세표[[#This Row],[야간 기준일]]))</f>
        <v/>
      </c>
      <c r="AH16" s="9">
        <f>IF(상세표[[#This Row],[야간 구분]]="",0,IF(COUNTIFS(상세표[사번키],상세표[[#This Row],[사번키]],상세표[야간 기준일],상세표[[#This Row],[야간 기준일]],상세표[시작],"&lt;"&amp;(상세표[[#This Row],[시작]]-1/86400))+COUNTIFS(상세표[사번키],상세표[[#This Row],[사번키]],상세표[야간 기준일],상세표[[#This Row],[야간 기준일]],상세표[시작],"&gt;="&amp;(상세표[[#This Row],[시작]]-1/86400),상세표[시작],"&lt;="&amp;(상세표[[#This Row],[시작]]+1/86400),상세표[행],"&lt;"&amp;상세표[[#This Row],[행]])&gt;0,0,1))</f>
        <v/>
      </c>
      <c r="AI16" s="9">
        <f>IF(AND(상세표[[#This Row],[야간첫행]]=1,상세표[[#This Row],[그 밤 22~06시]]&gt;=8-0.001),1,0)</f>
        <v/>
      </c>
      <c r="AJ16" s="10">
        <f>IF(ISNUMBER(상세표[[#This Row],[시작]]),TEXT(상세표[[#This Row],[시작]],"yyyy-mm"),"")</f>
        <v/>
      </c>
      <c r="AK16" s="10">
        <f>IF(ISNUMBER(상세표[[#This Row],[종료]]),TEXT(상세표[[#This Row],[종료]]-1/86400,"yyyy-mm"),"")</f>
        <v/>
      </c>
      <c r="AL16" s="10">
        <f>IF(AND(상세표[[#This Row],[기록월]]&lt;&gt;"",상세표[[#This Row],[종료월]]&lt;&gt;"",상세표[[#This Row],[기록월]]&lt;&gt;상세표[[#This Row],[종료월]]),"월 넘김","")</f>
        <v/>
      </c>
      <c r="AM16" s="10">
        <f>IF(상세표[[#This Row],[사번키]]="","",IF(COUNTIF(기관표[사번키],상세표[[#This Row],[사번키]])&gt;0,"있음",IF(COUNTIF(월별근무지표[사번키],상세표[[#This Row],[사번키]])&gt;0,"직접 입력만","없음")))</f>
        <v/>
      </c>
      <c r="AN16" s="9">
        <f>IF(상세표[[#This Row],[기록월]]="","",IFERROR(MATCH(상세표[[#This Row],[사번키]]&amp;"|"&amp;상세표[[#This Row],[기록월]],월별근무지표[키],0),""))</f>
        <v/>
      </c>
      <c r="AO16" s="9">
        <f>IF(상세표[[#This Row],[종료월]]="","",IFERROR(MATCH(상세표[[#This Row],[사번키]]&amp;"|"&amp;상세표[[#This Row],[종료월]],월별근무지표[키],0),""))</f>
        <v/>
      </c>
      <c r="AP16" s="10">
        <f>IF(상세표[[#This Row],[기록월]]="","",IF(상세표[[#This Row],[시작월 직접행]]&lt;&gt;"",INDEX(월별근무지표[적용 급여병원],상세표[[#This Row],[시작월 직접행]])&amp;"",IFERROR(INDEX(기관표[급여지급병원(기준월)],MATCH(상세표[[#This Row],[사번키]]&amp;"|"&amp;상세표[[#This Row],[기록월]],기관표[키],0))&amp;"","")))</f>
        <v/>
      </c>
      <c r="AQ16" s="10">
        <f>IF(상세표[[#This Row],[월 넘김]]="",상세표[[#This Row],[시작월 기관]],IF(상세표[[#This Row],[종료월 직접행]]&lt;&gt;"",INDEX(월별근무지표[적용 급여병원],상세표[[#This Row],[종료월 직접행]])&amp;"",IFERROR(INDEX(기관표[급여지급병원(기준월)],MATCH(상세표[[#This Row],[사번키]]&amp;"|"&amp;상세표[[#This Row],[종료월]],기관표[키],0))&amp;"","")))</f>
        <v/>
      </c>
      <c r="AR16" s="10">
        <f>IF(상세표[[#This Row],[기록월]]="","",IF(OR(상세표[[#This Row],[시작월 직접행]]&lt;&gt;"",AND(상세표[[#This Row],[월 넘김]]&lt;&gt;"",상세표[[#This Row],[종료월 직접행]]&lt;&gt;"")),"직접 입력","기관명단"))</f>
        <v/>
      </c>
      <c r="AS16" s="10">
        <f>IF(상세표[[#This Row],[월 넘김]]="","",IF(상세표[[#This Row],[기관명단]]="없음","기관명단에 없음(다른 병원으로 발송)",IF(AND(상세표[[#This Row],[시작월 기관]]="",상세표[[#This Row],[종료월 기관]]=""),"기관 정보 없음(기관명단·직접 입력 필요)",IF(OR(LEFT(상세표[[#This Row],[시작월 기관]],1)="⚠",LEFT(상세표[[#This Row],[종료월 기관]],1)="⚠"),"기관 판정 불가(15일 판정불가)",IF(상세표[[#This Row],[시작월 기관]]=상세표[[#This Row],[종료월 기관]],"같은 기관",IF(AND(OR(상세표[[#This Row],[시작월 기관]]="서울병원",상세표[[#This Row],[시작월 기관]]="구리병원"),OR(상세표[[#This Row],[종료월 기관]]="서울병원",상세표[[#This Row],[종료월 기관]]="구리병원")),"서울↔구리: 15일 이상 근무 기관",IF(상세표[[#This Row],[종료월 기관]]="","말일 근무: 익월 기관 정보 없음(시작월 기관 반영)","말일 근무: 근무한 익월 기관에 반영")))))))</f>
        <v/>
      </c>
      <c r="AT16" s="10">
        <f>IF(상세표[[#This Row],[기록월]]="","",상세표[[#This Row],[기록월]])</f>
        <v/>
      </c>
      <c r="AU16" s="10">
        <f>IF(상세표[[#This Row],[기록월]]="","",IF(상세표[[#This Row],[기관명단]]="없음","기관명단에 없음(다른 병원으로 발송)",IF(상세표[[#This Row],[월경계 판정]]="말일 근무: 근무한 익월 기관에 반영",상세표[[#This Row],[종료월 기관]],상세표[[#This Row],[시작월 기관]])))</f>
        <v/>
      </c>
      <c r="AV16" s="9">
        <f>IF(AND(상세표[[#This Row],[블록시작]]=1,OR(상세표[[#This Row],[시작월]]=대상월키,상세표[[#This Row],[블록종료월]]=대상월키)),1,0)</f>
        <v/>
      </c>
      <c r="AW16" s="9">
        <f>IF(상세표[[#This Row],[연속표시]]&lt;&gt;1,"",COUNTIFS(상세표[연속표시],1,상세표[사번키],"&lt;"&amp;상세표[[#This Row],[사번키]])+COUNTIFS(상세표[연속표시],1,상세표[사번키],상세표[[#This Row],[사번키]],상세표[시작],"&lt;"&amp;(상세표[[#This Row],[시작]]-1/86400))+COUNTIFS(상세표[연속표시],1,상세표[사번키],상세표[[#This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X16" s="9">
        <f>IF(AND(상세표[[#This Row],[월 넘김]]="월 넘김",OR(상세표[[#This Row],[기록월]]=대상월키,상세표[[#This Row],[종료월]]=대상월키)),1,0)</f>
        <v/>
      </c>
      <c r="AY16" s="9">
        <f>IF(상세표[[#This Row],[경계표시]]&lt;&gt;1,"",COUNTIFS(상세표[경계표시],1,상세표[사번키],"&lt;"&amp;상세표[[#This Row],[사번키]])+COUNTIFS(상세표[경계표시],1,상세표[사번키],상세표[[#This Row],[사번키]],상세표[시작],"&lt;"&amp;(상세표[[#This Row],[시작]]-1/86400))+COUNTIFS(상세표[경계표시],1,상세표[사번키],상세표[[#This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AZ16" s="9">
        <f>IF(AND(상세표[[#This Row],[기관명단]]="없음",OR(상세표[[#This Row],[기록월]]=대상월키,상세표[[#This Row],[반영월]]=대상월키)),1,0)</f>
        <v/>
      </c>
      <c r="BA16" s="9">
        <f>IF(상세표[[#This Row],[발송표시]]&lt;&gt;1,"",COUNTIFS(상세표[발송표시],1,상세표[사번키],"&lt;"&amp;상세표[[#This Row],[사번키]])+COUNTIFS(상세표[발송표시],1,상세표[사번키],상세표[[#This Row],[사번키]],상세표[시작],"&lt;"&amp;(상세표[[#This Row],[시작]]-1/86400))+COUNTIFS(상세표[발송표시],1,상세표[사번키],상세표[[#This Row],[사번키]],상세표[시작],"&gt;="&amp;(상세표[[#This Row],[시작]]-1/86400),상세표[시작],"&lt;="&amp;(상세표[[#This Row],[시작]]+1/86400),상세표[행],"&lt;"&amp;상세표[[#This Row],[행]])+1)</f>
        <v/>
      </c>
      <c r="BB16" s="9">
        <f>IF(상세표[[#This Row],[발송표시]]&lt;&gt;1,0,IF(COUNTIFS(상세표[발송표시],1,상세표[사번키],상세표[[#This Row],[사번키]],상세표[행],"&lt;"&amp;상세표[[#This Row],[행]])&gt;0,0,1))</f>
        <v/>
      </c>
      <c r="BC16" s="9">
        <f>IF(상세표[[#This Row],[발송첫행]]&lt;&gt;1,"",COUNTIFS(상세표[발송첫행],1,상세표[행],"&lt;="&amp;상세표[[#This Row],[행]]))</f>
        <v/>
      </c>
      <c r="BD16" s="9">
        <f>IF(AND(상세표[[#This Row],[반영월]]=대상월키,상세표[[#This Row],[사번키]]&lt;&gt;"",COUNTIF(합계표[사번키],상세표[[#This Row],[사번키]])=0),1,0)</f>
        <v/>
      </c>
      <c r="BE16" s="9">
        <f>IF(상세표[[#This Row],[합계없음표시]]&lt;&gt;1,0,IF(COUNTIFS(상세표[합계없음표시],1,상세표[사번키],상세표[[#This Row],[사번키]],상세표[행],"&lt;"&amp;상세표[[#This Row],[행]])&gt;0,0,1))</f>
        <v/>
      </c>
      <c r="BF16" s="9">
        <f>IF(상세표[[#This Row],[합계없음첫행]]&lt;&gt;1,"",COUNTIFS(상세표[합계없음첫행],1,상세표[행],"&lt;="&amp;상세표[[#This Row],[행]]))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V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7" customWidth="1" min="12" max="12"/>
    <col width="12" customWidth="1" min="13" max="13"/>
    <col width="7" customWidth="1" min="14" max="14"/>
    <col width="12" customWidth="1" min="15" max="15"/>
    <col width="6" customWidth="1" min="16" max="16"/>
    <col width="6" customWidth="1" min="17" max="17"/>
    <col width="6" customWidth="1" min="18" max="18"/>
    <col width="6" customWidth="1" min="19" max="19"/>
    <col width="14" customWidth="1" min="20" max="20"/>
    <col width="26" customWidth="1" min="21" max="21"/>
    <col width="7" customWidth="1" min="22" max="22"/>
  </cols>
  <sheetData>
    <row r="1">
      <c r="A1" s="1" t="inlineStr">
        <is>
          <t>월별 전공의 시간외 근무 (합계)</t>
        </is>
      </c>
    </row>
    <row r="2">
      <c r="A2" s="4" t="inlineStr">
        <is>
          <t>※ 원본 파일의 5행부터 마지막 행까지 복사해 A5에 붙여넣으세요. 시간 칸이 '20.00' 같은 글자여도 숫자로 읽습니다.</t>
        </is>
      </c>
    </row>
    <row r="3"/>
    <row r="4">
      <c r="A4" s="5" t="inlineStr">
        <is>
          <t>부서</t>
        </is>
      </c>
      <c r="B4" s="5" t="inlineStr">
        <is>
          <t>사번</t>
        </is>
      </c>
      <c r="C4" s="5" t="inlineStr">
        <is>
          <t>성명</t>
        </is>
      </c>
      <c r="D4" s="5" t="inlineStr">
        <is>
          <t>직위</t>
        </is>
      </c>
      <c r="E4" s="5" t="inlineStr">
        <is>
          <t>직위(변환)</t>
        </is>
      </c>
      <c r="F4" s="5" t="inlineStr">
        <is>
          <t>06~07시</t>
        </is>
      </c>
      <c r="G4" s="5" t="inlineStr">
        <is>
          <t>07~18시</t>
        </is>
      </c>
      <c r="H4" s="5" t="inlineStr">
        <is>
          <t>18~22시</t>
        </is>
      </c>
      <c r="I4" s="5" t="inlineStr">
        <is>
          <t>22~06시</t>
        </is>
      </c>
      <c r="J4" s="6" t="inlineStr">
        <is>
          <t>사번키</t>
        </is>
      </c>
      <c r="K4" s="6" t="inlineStr">
        <is>
          <t>시스템 합계</t>
        </is>
      </c>
      <c r="L4" s="6" t="inlineStr">
        <is>
          <t>사번내순서</t>
        </is>
      </c>
      <c r="M4" s="6" t="inlineStr">
        <is>
          <t>순서키</t>
        </is>
      </c>
      <c r="N4" s="6" t="inlineStr">
        <is>
          <t>직위순위</t>
        </is>
      </c>
      <c r="O4" s="6" t="inlineStr">
        <is>
          <t>순위키</t>
        </is>
      </c>
      <c r="P4" s="6" t="inlineStr">
        <is>
          <t>직위첫행</t>
        </is>
      </c>
      <c r="Q4" s="6" t="inlineStr">
        <is>
          <t>직위 종류</t>
        </is>
      </c>
      <c r="R4" s="6" t="inlineStr">
        <is>
          <t>요약행</t>
        </is>
      </c>
      <c r="S4" s="6" t="inlineStr">
        <is>
          <t>이전직급행</t>
        </is>
      </c>
      <c r="T4" s="6" t="inlineStr">
        <is>
          <t>직위(요약)</t>
        </is>
      </c>
      <c r="U4" s="6" t="inlineStr">
        <is>
          <t>직급 공존</t>
        </is>
      </c>
      <c r="V4" s="6" t="inlineStr">
        <is>
          <t>판정순번</t>
        </is>
      </c>
    </row>
    <row r="5">
      <c r="A5" s="7" t="inlineStr">
        <is>
          <t>ㅇㅇ과</t>
        </is>
      </c>
      <c r="B5" s="7" t="n">
        <v>2222222</v>
      </c>
      <c r="C5" s="7" t="inlineStr">
        <is>
          <t>김ㅇㅇ</t>
        </is>
      </c>
      <c r="D5" s="7" t="inlineStr">
        <is>
          <t>레지던트2</t>
        </is>
      </c>
      <c r="E5" s="7" t="inlineStr">
        <is>
          <t>레지던트2</t>
        </is>
      </c>
      <c r="F5" s="8" t="inlineStr">
        <is>
          <t>3.00</t>
        </is>
      </c>
      <c r="G5" s="8" t="inlineStr">
        <is>
          <t>23.00</t>
        </is>
      </c>
      <c r="H5" s="8" t="inlineStr">
        <is>
          <t>8.00</t>
        </is>
      </c>
      <c r="I5" s="8" t="inlineStr">
        <is>
          <t>16.00</t>
        </is>
      </c>
      <c r="J5" s="10">
        <f>IF(TRIM(합계표[[#This Row],[사번]]&amp;"")="","","S|"&amp;TRIM(합계표[[#This Row],[사번]]&amp;""))</f>
        <v/>
      </c>
      <c r="K5" s="12">
        <f>IFERROR(VALUE(TRIM(합계표[[#This Row],[06~07시]]&amp;"")),0)+IFERROR(VALUE(TRIM(합계표[[#This Row],[07~18시]]&amp;"")),0)+IFERROR(VALUE(TRIM(합계표[[#This Row],[18~22시]]&amp;"")),0)+IFERROR(VALUE(TRIM(합계표[[#This Row],[22~06시]]&amp;"")),0)</f>
        <v/>
      </c>
      <c r="L5" s="9">
        <f>IF(합계표[[#This Row],[사번키]]="","",COUNTIF(INDEX(합계표[사번키],1):합계표[[#This Row],[사번키]],합계표[[#This Row],[사번키]]))</f>
        <v/>
      </c>
      <c r="M5" s="10">
        <f>IF(합계표[[#This Row],[사번키]]="","",합계표[[#This Row],[사번키]]&amp;"#"&amp;합계표[[#This Row],[사번내순서]])</f>
        <v/>
      </c>
      <c r="N5" s="9">
        <f>IF(합계표[[#This Row],[사번키]]="","",IF(UPPER(LEFT(TRIM(합계표[[#This Row],[직위]]&amp;""),1))="B",IFERROR(VALUE(MID(TRIM(합계표[[#This Row],[직위]]&amp;""),2,3)),99),99))</f>
        <v/>
      </c>
      <c r="O5" s="10">
        <f>IF(합계표[[#This Row],[사번키]]="","",합계표[[#This Row],[사번키]]&amp;"#"&amp;합계표[[#This Row],[직위순위]])</f>
        <v/>
      </c>
      <c r="P5" s="9">
        <f>IF(합계표[[#This Row],[사번키]]="",0,IF(COUNTIFS(INDEX(합계표[사번키],1):합계표[[#This Row],[사번키]],합계표[[#This Row],[사번키]],INDEX(합계표[직위],1):합계표[[#This Row],[직위]],TRIM(합계표[[#This Row],[직위]]&amp;""))=1,1,0))</f>
        <v/>
      </c>
      <c r="Q5" s="9">
        <f>IF(합계표[[#This Row],[사번키]]="","",COUNTIFS(합계표[사번키],합계표[[#This Row],[사번키]],합계표[직위첫행],1))</f>
        <v/>
      </c>
      <c r="R5" s="9">
        <f>IF(합계표[[#This Row],[사번키]]="","",MATCH(합계표[[#This Row],[사번키]]&amp;"#"&amp;_xlfn.MINIFS(합계표[직위순위],합계표[사번키],합계표[[#This Row],[사번키]]),합계표[순위키],0))</f>
        <v/>
      </c>
      <c r="S5" s="9">
        <f>IF(합계표[[#This Row],[사번키]]="","",MATCH(합계표[[#This Row],[사번키]]&amp;"#"&amp;_xlfn.MAXIFS(합계표[직위순위],합계표[사번키],합계표[[#This Row],[사번키]]),합계표[순위키],0))</f>
        <v/>
      </c>
      <c r="T5" s="10">
        <f>IF(합계표[[#This Row],[사번키]]="","",IF(INDEX(합계표[직위(변환)],합계표[[#This Row],[요약행]])&amp;""="",INDEX(합계표[직위],합계표[[#This Row],[요약행]])&amp;"",INDEX(합계표[직위(변환)],합계표[[#This Row],[요약행]])&amp;""))</f>
        <v/>
      </c>
      <c r="U5" s="10">
        <f>IF(N(합계표[[#This Row],[직위 종류]])&lt;2,"",IF(합계표[[#This Row],[요약행]]&lt;&gt;합계표[[#This Row],[이전직급행]],"공존: "&amp;IF(INDEX(합계표[직위(변환)],합계표[[#This Row],[이전직급행]])&amp;""="",INDEX(합계표[직위],합계표[[#This Row],[이전직급행]])&amp;"",INDEX(합계표[직위],합계표[[#This Row],[이전직급행]])&amp;" "&amp;INDEX(합계표[직위(변환)],합계표[[#This Row],[이전직급행]]))&amp;" → "&amp;IF(INDEX(합계표[직위(변환)],합계표[[#This Row],[요약행]])&amp;""="",INDEX(합계표[직위],합계표[[#This Row],[요약행]])&amp;"",INDEX(합계표[직위],합계표[[#This Row],[요약행]])&amp;" "&amp;INDEX(합계표[직위(변환)],합계표[[#This Row],[요약행]])),"공존: "&amp;INDEX(합계표[직위],MATCH(합계표[[#This Row],[사번키]]&amp;"#1",합계표[순서키],0))&amp;" · "&amp;INDEX(합계표[직위],MATCH(합계표[[#This Row],[사번키]]&amp;"#"&amp;COUNTIF(합계표[사번키],합계표[[#This Row],[사번키]]),합계표[순서키],0))&amp;" (우선순위 판단 불가)"))</f>
        <v/>
      </c>
      <c r="V5" s="9">
        <f>IF(합계표[[#This Row],[사번내순서]]=1,COUNTIF(INDEX(합계표[사번내순서],1):합계표[[#This Row],[사번내순서]],1),"")</f>
        <v/>
      </c>
    </row>
    <row r="6">
      <c r="A6" s="7" t="inlineStr">
        <is>
          <t>ㅇㅇ과</t>
        </is>
      </c>
      <c r="B6" s="7" t="n">
        <v>2222222</v>
      </c>
      <c r="C6" s="7" t="inlineStr">
        <is>
          <t>김ㅇㅇ</t>
        </is>
      </c>
      <c r="D6" s="7" t="inlineStr">
        <is>
          <t>전임의</t>
        </is>
      </c>
      <c r="E6" s="7" t="inlineStr">
        <is>
          <t>전임의</t>
        </is>
      </c>
      <c r="F6" s="8" t="inlineStr">
        <is>
          <t>0.00</t>
        </is>
      </c>
      <c r="G6" s="8" t="inlineStr">
        <is>
          <t>10.00</t>
        </is>
      </c>
      <c r="H6" s="8" t="inlineStr">
        <is>
          <t>2.00</t>
        </is>
      </c>
      <c r="I6" s="8" t="inlineStr">
        <is>
          <t>0.00</t>
        </is>
      </c>
      <c r="J6" s="10">
        <f>IF(TRIM(합계표[[#This Row],[사번]]&amp;"")="","","S|"&amp;TRIM(합계표[[#This Row],[사번]]&amp;""))</f>
        <v/>
      </c>
      <c r="K6" s="12">
        <f>IFERROR(VALUE(TRIM(합계표[[#This Row],[06~07시]]&amp;"")),0)+IFERROR(VALUE(TRIM(합계표[[#This Row],[07~18시]]&amp;"")),0)+IFERROR(VALUE(TRIM(합계표[[#This Row],[18~22시]]&amp;"")),0)+IFERROR(VALUE(TRIM(합계표[[#This Row],[22~06시]]&amp;"")),0)</f>
        <v/>
      </c>
      <c r="L6" s="9">
        <f>IF(합계표[[#This Row],[사번키]]="","",COUNTIF(INDEX(합계표[사번키],1):합계표[[#This Row],[사번키]],합계표[[#This Row],[사번키]]))</f>
        <v/>
      </c>
      <c r="M6" s="10">
        <f>IF(합계표[[#This Row],[사번키]]="","",합계표[[#This Row],[사번키]]&amp;"#"&amp;합계표[[#This Row],[사번내순서]])</f>
        <v/>
      </c>
      <c r="N6" s="9">
        <f>IF(합계표[[#This Row],[사번키]]="","",IF(UPPER(LEFT(TRIM(합계표[[#This Row],[직위]]&amp;""),1))="B",IFERROR(VALUE(MID(TRIM(합계표[[#This Row],[직위]]&amp;""),2,3)),99),99))</f>
        <v/>
      </c>
      <c r="O6" s="10">
        <f>IF(합계표[[#This Row],[사번키]]="","",합계표[[#This Row],[사번키]]&amp;"#"&amp;합계표[[#This Row],[직위순위]])</f>
        <v/>
      </c>
      <c r="P6" s="9">
        <f>IF(합계표[[#This Row],[사번키]]="",0,IF(COUNTIFS(INDEX(합계표[사번키],1):합계표[[#This Row],[사번키]],합계표[[#This Row],[사번키]],INDEX(합계표[직위],1):합계표[[#This Row],[직위]],TRIM(합계표[[#This Row],[직위]]&amp;""))=1,1,0))</f>
        <v/>
      </c>
      <c r="Q6" s="9">
        <f>IF(합계표[[#This Row],[사번키]]="","",COUNTIFS(합계표[사번키],합계표[[#This Row],[사번키]],합계표[직위첫행],1))</f>
        <v/>
      </c>
      <c r="R6" s="9">
        <f>IF(합계표[[#This Row],[사번키]]="","",MATCH(합계표[[#This Row],[사번키]]&amp;"#"&amp;_xlfn.MINIFS(합계표[직위순위],합계표[사번키],합계표[[#This Row],[사번키]]),합계표[순위키],0))</f>
        <v/>
      </c>
      <c r="S6" s="9">
        <f>IF(합계표[[#This Row],[사번키]]="","",MATCH(합계표[[#This Row],[사번키]]&amp;"#"&amp;_xlfn.MAXIFS(합계표[직위순위],합계표[사번키],합계표[[#This Row],[사번키]]),합계표[순위키],0))</f>
        <v/>
      </c>
      <c r="T6" s="10">
        <f>IF(합계표[[#This Row],[사번키]]="","",IF(INDEX(합계표[직위(변환)],합계표[[#This Row],[요약행]])&amp;""="",INDEX(합계표[직위],합계표[[#This Row],[요약행]])&amp;"",INDEX(합계표[직위(변환)],합계표[[#This Row],[요약행]])&amp;""))</f>
        <v/>
      </c>
      <c r="U6" s="10">
        <f>IF(N(합계표[[#This Row],[직위 종류]])&lt;2,"",IF(합계표[[#This Row],[요약행]]&lt;&gt;합계표[[#This Row],[이전직급행]],"공존: "&amp;IF(INDEX(합계표[직위(변환)],합계표[[#This Row],[이전직급행]])&amp;""="",INDEX(합계표[직위],합계표[[#This Row],[이전직급행]])&amp;"",INDEX(합계표[직위],합계표[[#This Row],[이전직급행]])&amp;" "&amp;INDEX(합계표[직위(변환)],합계표[[#This Row],[이전직급행]]))&amp;" → "&amp;IF(INDEX(합계표[직위(변환)],합계표[[#This Row],[요약행]])&amp;""="",INDEX(합계표[직위],합계표[[#This Row],[요약행]])&amp;"",INDEX(합계표[직위],합계표[[#This Row],[요약행]])&amp;" "&amp;INDEX(합계표[직위(변환)],합계표[[#This Row],[요약행]])),"공존: "&amp;INDEX(합계표[직위],MATCH(합계표[[#This Row],[사번키]]&amp;"#1",합계표[순서키],0))&amp;" · "&amp;INDEX(합계표[직위],MATCH(합계표[[#This Row],[사번키]]&amp;"#"&amp;COUNTIF(합계표[사번키],합계표[[#This Row],[사번키]]),합계표[순서키],0))&amp;" (우선순위 판단 불가)"))</f>
        <v/>
      </c>
      <c r="V6" s="9">
        <f>IF(합계표[[#This Row],[사번내순서]]=1,COUNTIF(INDEX(합계표[사번내순서],1):합계표[[#This Row],[사번내순서]],1),"")</f>
        <v/>
      </c>
    </row>
    <row r="7">
      <c r="A7" s="7" t="inlineStr">
        <is>
          <t>수련교육부</t>
        </is>
      </c>
      <c r="B7" s="7" t="n">
        <v>3333333</v>
      </c>
      <c r="C7" s="7" t="inlineStr">
        <is>
          <t>이ㅇㅇ</t>
        </is>
      </c>
      <c r="D7" s="7" t="inlineStr">
        <is>
          <t>인턴</t>
        </is>
      </c>
      <c r="E7" s="7" t="inlineStr">
        <is>
          <t>인턴</t>
        </is>
      </c>
      <c r="F7" s="8" t="inlineStr">
        <is>
          <t>0.00</t>
        </is>
      </c>
      <c r="G7" s="8" t="inlineStr">
        <is>
          <t>11.00</t>
        </is>
      </c>
      <c r="H7" s="8" t="inlineStr">
        <is>
          <t>4.00</t>
        </is>
      </c>
      <c r="I7" s="8" t="inlineStr">
        <is>
          <t>0.00</t>
        </is>
      </c>
      <c r="J7" s="10">
        <f>IF(TRIM(합계표[[#This Row],[사번]]&amp;"")="","","S|"&amp;TRIM(합계표[[#This Row],[사번]]&amp;""))</f>
        <v/>
      </c>
      <c r="K7" s="12">
        <f>IFERROR(VALUE(TRIM(합계표[[#This Row],[06~07시]]&amp;"")),0)+IFERROR(VALUE(TRIM(합계표[[#This Row],[07~18시]]&amp;"")),0)+IFERROR(VALUE(TRIM(합계표[[#This Row],[18~22시]]&amp;"")),0)+IFERROR(VALUE(TRIM(합계표[[#This Row],[22~06시]]&amp;"")),0)</f>
        <v/>
      </c>
      <c r="L7" s="9">
        <f>IF(합계표[[#This Row],[사번키]]="","",COUNTIF(INDEX(합계표[사번키],1):합계표[[#This Row],[사번키]],합계표[[#This Row],[사번키]]))</f>
        <v/>
      </c>
      <c r="M7" s="10">
        <f>IF(합계표[[#This Row],[사번키]]="","",합계표[[#This Row],[사번키]]&amp;"#"&amp;합계표[[#This Row],[사번내순서]])</f>
        <v/>
      </c>
      <c r="N7" s="9">
        <f>IF(합계표[[#This Row],[사번키]]="","",IF(UPPER(LEFT(TRIM(합계표[[#This Row],[직위]]&amp;""),1))="B",IFERROR(VALUE(MID(TRIM(합계표[[#This Row],[직위]]&amp;""),2,3)),99),99))</f>
        <v/>
      </c>
      <c r="O7" s="10">
        <f>IF(합계표[[#This Row],[사번키]]="","",합계표[[#This Row],[사번키]]&amp;"#"&amp;합계표[[#This Row],[직위순위]])</f>
        <v/>
      </c>
      <c r="P7" s="9">
        <f>IF(합계표[[#This Row],[사번키]]="",0,IF(COUNTIFS(INDEX(합계표[사번키],1):합계표[[#This Row],[사번키]],합계표[[#This Row],[사번키]],INDEX(합계표[직위],1):합계표[[#This Row],[직위]],TRIM(합계표[[#This Row],[직위]]&amp;""))=1,1,0))</f>
        <v/>
      </c>
      <c r="Q7" s="9">
        <f>IF(합계표[[#This Row],[사번키]]="","",COUNTIFS(합계표[사번키],합계표[[#This Row],[사번키]],합계표[직위첫행],1))</f>
        <v/>
      </c>
      <c r="R7" s="9">
        <f>IF(합계표[[#This Row],[사번키]]="","",MATCH(합계표[[#This Row],[사번키]]&amp;"#"&amp;_xlfn.MINIFS(합계표[직위순위],합계표[사번키],합계표[[#This Row],[사번키]]),합계표[순위키],0))</f>
        <v/>
      </c>
      <c r="S7" s="9">
        <f>IF(합계표[[#This Row],[사번키]]="","",MATCH(합계표[[#This Row],[사번키]]&amp;"#"&amp;_xlfn.MAXIFS(합계표[직위순위],합계표[사번키],합계표[[#This Row],[사번키]]),합계표[순위키],0))</f>
        <v/>
      </c>
      <c r="T7" s="10">
        <f>IF(합계표[[#This Row],[사번키]]="","",IF(INDEX(합계표[직위(변환)],합계표[[#This Row],[요약행]])&amp;""="",INDEX(합계표[직위],합계표[[#This Row],[요약행]])&amp;"",INDEX(합계표[직위(변환)],합계표[[#This Row],[요약행]])&amp;""))</f>
        <v/>
      </c>
      <c r="U7" s="10">
        <f>IF(N(합계표[[#This Row],[직위 종류]])&lt;2,"",IF(합계표[[#This Row],[요약행]]&lt;&gt;합계표[[#This Row],[이전직급행]],"공존: "&amp;IF(INDEX(합계표[직위(변환)],합계표[[#This Row],[이전직급행]])&amp;""="",INDEX(합계표[직위],합계표[[#This Row],[이전직급행]])&amp;"",INDEX(합계표[직위],합계표[[#This Row],[이전직급행]])&amp;" "&amp;INDEX(합계표[직위(변환)],합계표[[#This Row],[이전직급행]]))&amp;" → "&amp;IF(INDEX(합계표[직위(변환)],합계표[[#This Row],[요약행]])&amp;""="",INDEX(합계표[직위],합계표[[#This Row],[요약행]])&amp;"",INDEX(합계표[직위],합계표[[#This Row],[요약행]])&amp;" "&amp;INDEX(합계표[직위(변환)],합계표[[#This Row],[요약행]])),"공존: "&amp;INDEX(합계표[직위],MATCH(합계표[[#This Row],[사번키]]&amp;"#1",합계표[순서키],0))&amp;" · "&amp;INDEX(합계표[직위],MATCH(합계표[[#This Row],[사번키]]&amp;"#"&amp;COUNTIF(합계표[사번키],합계표[[#This Row],[사번키]]),합계표[순서키],0))&amp;" (우선순위 판단 불가)"))</f>
        <v/>
      </c>
      <c r="V7" s="9">
        <f>IF(합계표[[#This Row],[사번내순서]]=1,COUNTIF(INDEX(합계표[사번내순서],1):합계표[[#This Row],[사번내순서]],1),"")</f>
        <v/>
      </c>
    </row>
    <row r="8">
      <c r="A8" s="7" t="inlineStr">
        <is>
          <t>수련교육부</t>
        </is>
      </c>
      <c r="B8" s="7" t="n">
        <v>4444444</v>
      </c>
      <c r="C8" s="7" t="inlineStr">
        <is>
          <t>박ㅇㅇ</t>
        </is>
      </c>
      <c r="D8" s="7" t="inlineStr">
        <is>
          <t>인턴</t>
        </is>
      </c>
      <c r="E8" s="7" t="inlineStr">
        <is>
          <t>인턴</t>
        </is>
      </c>
      <c r="F8" s="8" t="inlineStr">
        <is>
          <t>1.00</t>
        </is>
      </c>
      <c r="G8" s="8" t="inlineStr">
        <is>
          <t>1.00</t>
        </is>
      </c>
      <c r="H8" s="8" t="inlineStr">
        <is>
          <t>2.00</t>
        </is>
      </c>
      <c r="I8" s="8" t="inlineStr">
        <is>
          <t>8.00</t>
        </is>
      </c>
      <c r="J8" s="10">
        <f>IF(TRIM(합계표[[#This Row],[사번]]&amp;"")="","","S|"&amp;TRIM(합계표[[#This Row],[사번]]&amp;""))</f>
        <v/>
      </c>
      <c r="K8" s="12">
        <f>IFERROR(VALUE(TRIM(합계표[[#This Row],[06~07시]]&amp;"")),0)+IFERROR(VALUE(TRIM(합계표[[#This Row],[07~18시]]&amp;"")),0)+IFERROR(VALUE(TRIM(합계표[[#This Row],[18~22시]]&amp;"")),0)+IFERROR(VALUE(TRIM(합계표[[#This Row],[22~06시]]&amp;"")),0)</f>
        <v/>
      </c>
      <c r="L8" s="9">
        <f>IF(합계표[[#This Row],[사번키]]="","",COUNTIF(INDEX(합계표[사번키],1):합계표[[#This Row],[사번키]],합계표[[#This Row],[사번키]]))</f>
        <v/>
      </c>
      <c r="M8" s="10">
        <f>IF(합계표[[#This Row],[사번키]]="","",합계표[[#This Row],[사번키]]&amp;"#"&amp;합계표[[#This Row],[사번내순서]])</f>
        <v/>
      </c>
      <c r="N8" s="9">
        <f>IF(합계표[[#This Row],[사번키]]="","",IF(UPPER(LEFT(TRIM(합계표[[#This Row],[직위]]&amp;""),1))="B",IFERROR(VALUE(MID(TRIM(합계표[[#This Row],[직위]]&amp;""),2,3)),99),99))</f>
        <v/>
      </c>
      <c r="O8" s="10">
        <f>IF(합계표[[#This Row],[사번키]]="","",합계표[[#This Row],[사번키]]&amp;"#"&amp;합계표[[#This Row],[직위순위]])</f>
        <v/>
      </c>
      <c r="P8" s="9">
        <f>IF(합계표[[#This Row],[사번키]]="",0,IF(COUNTIFS(INDEX(합계표[사번키],1):합계표[[#This Row],[사번키]],합계표[[#This Row],[사번키]],INDEX(합계표[직위],1):합계표[[#This Row],[직위]],TRIM(합계표[[#This Row],[직위]]&amp;""))=1,1,0))</f>
        <v/>
      </c>
      <c r="Q8" s="9">
        <f>IF(합계표[[#This Row],[사번키]]="","",COUNTIFS(합계표[사번키],합계표[[#This Row],[사번키]],합계표[직위첫행],1))</f>
        <v/>
      </c>
      <c r="R8" s="9">
        <f>IF(합계표[[#This Row],[사번키]]="","",MATCH(합계표[[#This Row],[사번키]]&amp;"#"&amp;_xlfn.MINIFS(합계표[직위순위],합계표[사번키],합계표[[#This Row],[사번키]]),합계표[순위키],0))</f>
        <v/>
      </c>
      <c r="S8" s="9">
        <f>IF(합계표[[#This Row],[사번키]]="","",MATCH(합계표[[#This Row],[사번키]]&amp;"#"&amp;_xlfn.MAXIFS(합계표[직위순위],합계표[사번키],합계표[[#This Row],[사번키]]),합계표[순위키],0))</f>
        <v/>
      </c>
      <c r="T8" s="10">
        <f>IF(합계표[[#This Row],[사번키]]="","",IF(INDEX(합계표[직위(변환)],합계표[[#This Row],[요약행]])&amp;""="",INDEX(합계표[직위],합계표[[#This Row],[요약행]])&amp;"",INDEX(합계표[직위(변환)],합계표[[#This Row],[요약행]])&amp;""))</f>
        <v/>
      </c>
      <c r="U8" s="10">
        <f>IF(N(합계표[[#This Row],[직위 종류]])&lt;2,"",IF(합계표[[#This Row],[요약행]]&lt;&gt;합계표[[#This Row],[이전직급행]],"공존: "&amp;IF(INDEX(합계표[직위(변환)],합계표[[#This Row],[이전직급행]])&amp;""="",INDEX(합계표[직위],합계표[[#This Row],[이전직급행]])&amp;"",INDEX(합계표[직위],합계표[[#This Row],[이전직급행]])&amp;" "&amp;INDEX(합계표[직위(변환)],합계표[[#This Row],[이전직급행]]))&amp;" → "&amp;IF(INDEX(합계표[직위(변환)],합계표[[#This Row],[요약행]])&amp;""="",INDEX(합계표[직위],합계표[[#This Row],[요약행]])&amp;"",INDEX(합계표[직위],합계표[[#This Row],[요약행]])&amp;" "&amp;INDEX(합계표[직위(변환)],합계표[[#This Row],[요약행]])),"공존: "&amp;INDEX(합계표[직위],MATCH(합계표[[#This Row],[사번키]]&amp;"#1",합계표[순서키],0))&amp;" · "&amp;INDEX(합계표[직위],MATCH(합계표[[#This Row],[사번키]]&amp;"#"&amp;COUNTIF(합계표[사번키],합계표[[#This Row],[사번키]]),합계표[순서키],0))&amp;" (우선순위 판단 불가)"))</f>
        <v/>
      </c>
      <c r="V8" s="9">
        <f>IF(합계표[[#This Row],[사번내순서]]=1,COUNTIF(INDEX(합계표[사번내순서],1):합계표[[#This Row],[사번내순서]],1),"")</f>
        <v/>
      </c>
    </row>
    <row r="9">
      <c r="A9" s="7" t="inlineStr">
        <is>
          <t>△△과</t>
        </is>
      </c>
      <c r="B9" s="7" t="n">
        <v>5555555</v>
      </c>
      <c r="C9" s="7" t="inlineStr">
        <is>
          <t>정ㅇㅇ</t>
        </is>
      </c>
      <c r="D9" s="7" t="inlineStr">
        <is>
          <t>레지던트3</t>
        </is>
      </c>
      <c r="E9" s="7" t="inlineStr">
        <is>
          <t>레지던트3</t>
        </is>
      </c>
      <c r="F9" s="8" t="inlineStr">
        <is>
          <t>1.00</t>
        </is>
      </c>
      <c r="G9" s="8" t="inlineStr">
        <is>
          <t>11.00</t>
        </is>
      </c>
      <c r="H9" s="8" t="inlineStr">
        <is>
          <t>4.00</t>
        </is>
      </c>
      <c r="I9" s="8" t="inlineStr">
        <is>
          <t>8.00</t>
        </is>
      </c>
      <c r="J9" s="10">
        <f>IF(TRIM(합계표[[#This Row],[사번]]&amp;"")="","","S|"&amp;TRIM(합계표[[#This Row],[사번]]&amp;""))</f>
        <v/>
      </c>
      <c r="K9" s="12">
        <f>IFERROR(VALUE(TRIM(합계표[[#This Row],[06~07시]]&amp;"")),0)+IFERROR(VALUE(TRIM(합계표[[#This Row],[07~18시]]&amp;"")),0)+IFERROR(VALUE(TRIM(합계표[[#This Row],[18~22시]]&amp;"")),0)+IFERROR(VALUE(TRIM(합계표[[#This Row],[22~06시]]&amp;"")),0)</f>
        <v/>
      </c>
      <c r="L9" s="9">
        <f>IF(합계표[[#This Row],[사번키]]="","",COUNTIF(INDEX(합계표[사번키],1):합계표[[#This Row],[사번키]],합계표[[#This Row],[사번키]]))</f>
        <v/>
      </c>
      <c r="M9" s="10">
        <f>IF(합계표[[#This Row],[사번키]]="","",합계표[[#This Row],[사번키]]&amp;"#"&amp;합계표[[#This Row],[사번내순서]])</f>
        <v/>
      </c>
      <c r="N9" s="9">
        <f>IF(합계표[[#This Row],[사번키]]="","",IF(UPPER(LEFT(TRIM(합계표[[#This Row],[직위]]&amp;""),1))="B",IFERROR(VALUE(MID(TRIM(합계표[[#This Row],[직위]]&amp;""),2,3)),99),99))</f>
        <v/>
      </c>
      <c r="O9" s="10">
        <f>IF(합계표[[#This Row],[사번키]]="","",합계표[[#This Row],[사번키]]&amp;"#"&amp;합계표[[#This Row],[직위순위]])</f>
        <v/>
      </c>
      <c r="P9" s="9">
        <f>IF(합계표[[#This Row],[사번키]]="",0,IF(COUNTIFS(INDEX(합계표[사번키],1):합계표[[#This Row],[사번키]],합계표[[#This Row],[사번키]],INDEX(합계표[직위],1):합계표[[#This Row],[직위]],TRIM(합계표[[#This Row],[직위]]&amp;""))=1,1,0))</f>
        <v/>
      </c>
      <c r="Q9" s="9">
        <f>IF(합계표[[#This Row],[사번키]]="","",COUNTIFS(합계표[사번키],합계표[[#This Row],[사번키]],합계표[직위첫행],1))</f>
        <v/>
      </c>
      <c r="R9" s="9">
        <f>IF(합계표[[#This Row],[사번키]]="","",MATCH(합계표[[#This Row],[사번키]]&amp;"#"&amp;_xlfn.MINIFS(합계표[직위순위],합계표[사번키],합계표[[#This Row],[사번키]]),합계표[순위키],0))</f>
        <v/>
      </c>
      <c r="S9" s="9">
        <f>IF(합계표[[#This Row],[사번키]]="","",MATCH(합계표[[#This Row],[사번키]]&amp;"#"&amp;_xlfn.MAXIFS(합계표[직위순위],합계표[사번키],합계표[[#This Row],[사번키]]),합계표[순위키],0))</f>
        <v/>
      </c>
      <c r="T9" s="10">
        <f>IF(합계표[[#This Row],[사번키]]="","",IF(INDEX(합계표[직위(변환)],합계표[[#This Row],[요약행]])&amp;""="",INDEX(합계표[직위],합계표[[#This Row],[요약행]])&amp;"",INDEX(합계표[직위(변환)],합계표[[#This Row],[요약행]])&amp;""))</f>
        <v/>
      </c>
      <c r="U9" s="10">
        <f>IF(N(합계표[[#This Row],[직위 종류]])&lt;2,"",IF(합계표[[#This Row],[요약행]]&lt;&gt;합계표[[#This Row],[이전직급행]],"공존: "&amp;IF(INDEX(합계표[직위(변환)],합계표[[#This Row],[이전직급행]])&amp;""="",INDEX(합계표[직위],합계표[[#This Row],[이전직급행]])&amp;"",INDEX(합계표[직위],합계표[[#This Row],[이전직급행]])&amp;" "&amp;INDEX(합계표[직위(변환)],합계표[[#This Row],[이전직급행]]))&amp;" → "&amp;IF(INDEX(합계표[직위(변환)],합계표[[#This Row],[요약행]])&amp;""="",INDEX(합계표[직위],합계표[[#This Row],[요약행]])&amp;"",INDEX(합계표[직위],합계표[[#This Row],[요약행]])&amp;" "&amp;INDEX(합계표[직위(변환)],합계표[[#This Row],[요약행]])),"공존: "&amp;INDEX(합계표[직위],MATCH(합계표[[#This Row],[사번키]]&amp;"#1",합계표[순서키],0))&amp;" · "&amp;INDEX(합계표[직위],MATCH(합계표[[#This Row],[사번키]]&amp;"#"&amp;COUNTIF(합계표[사번키],합계표[[#This Row],[사번키]]),합계표[순서키],0))&amp;" (우선순위 판단 불가)"))</f>
        <v/>
      </c>
      <c r="V9" s="9">
        <f>IF(합계표[[#This Row],[사번내순서]]=1,COUNTIF(INDEX(합계표[사번내순서],1):합계표[[#This Row],[사번내순서]],1),"")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2" customWidth="1" min="4" max="4"/>
    <col width="9" customWidth="1" min="5" max="5"/>
    <col width="10" customWidth="1" min="6" max="6"/>
    <col width="11" customWidth="1" min="7" max="7"/>
    <col width="13" customWidth="1" min="8" max="8"/>
    <col width="34" customWidth="1" min="9" max="9"/>
    <col width="8" customWidth="1" min="10" max="10"/>
    <col width="10" customWidth="1" min="11" max="11"/>
    <col width="16" customWidth="1" min="12" max="12"/>
  </cols>
  <sheetData>
    <row r="1">
      <c r="A1" s="5" t="inlineStr">
        <is>
          <t>기준월</t>
        </is>
      </c>
      <c r="B1" s="5" t="inlineStr">
        <is>
          <t>사번</t>
        </is>
      </c>
      <c r="C1" s="5" t="inlineStr">
        <is>
          <t>이름</t>
        </is>
      </c>
      <c r="D1" s="5" t="inlineStr">
        <is>
          <t>수련과목</t>
        </is>
      </c>
      <c r="E1" s="5" t="inlineStr">
        <is>
          <t>연차</t>
        </is>
      </c>
      <c r="F1" s="5" t="inlineStr">
        <is>
          <t>소속병원</t>
        </is>
      </c>
      <c r="G1" s="5" t="inlineStr">
        <is>
          <t>기준월 근무병원</t>
        </is>
      </c>
      <c r="H1" s="5" t="inlineStr">
        <is>
          <t>급여지급병원(기준월)</t>
        </is>
      </c>
      <c r="I1" s="5" t="inlineStr">
        <is>
          <t>급여 판정 근거</t>
        </is>
      </c>
      <c r="J1" s="6" t="inlineStr">
        <is>
          <t>월키</t>
        </is>
      </c>
      <c r="K1" s="6" t="inlineStr">
        <is>
          <t>사번키</t>
        </is>
      </c>
      <c r="L1" s="6" t="inlineStr">
        <is>
          <t>키</t>
        </is>
      </c>
    </row>
    <row r="2">
      <c r="A2" s="14" t="inlineStr">
        <is>
          <t>2026-08</t>
        </is>
      </c>
      <c r="B2" s="14" t="inlineStr">
        <is>
          <t>2222222</t>
        </is>
      </c>
      <c r="C2" s="7" t="inlineStr">
        <is>
          <t>김ㅇㅇ</t>
        </is>
      </c>
      <c r="D2" s="7" t="inlineStr">
        <is>
          <t>ㅇㅇ과</t>
        </is>
      </c>
      <c r="E2" s="7" t="inlineStr">
        <is>
          <t>레지던트2</t>
        </is>
      </c>
      <c r="F2" s="7" t="inlineStr">
        <is>
          <t>서울병원</t>
        </is>
      </c>
      <c r="G2" s="7" t="inlineStr">
        <is>
          <t>서울병원</t>
        </is>
      </c>
      <c r="H2" s="7" t="inlineStr">
        <is>
          <t>서울병원</t>
        </is>
      </c>
      <c r="I2" s="7" t="inlineStr">
        <is>
          <t>예시</t>
        </is>
      </c>
      <c r="J2" s="10">
        <f>IF(ISNUMBER(기관표[[#This Row],[기준월]]),TEXT(기관표[[#This Row],[기준월]],"yyyy-mm"),LEFT(TRIM(기관표[[#This Row],[기준월]]&amp;""),7))</f>
        <v/>
      </c>
      <c r="K2" s="10">
        <f>IF(TRIM(기관표[[#This Row],[사번]]&amp;"")="","","S|"&amp;TRIM(기관표[[#This Row],[사번]]&amp;""))</f>
        <v/>
      </c>
      <c r="L2" s="10">
        <f>IF(기관표[[#This Row],[사번키]]="","",기관표[[#This Row],[사번키]]&amp;"|"&amp;기관표[[#This Row],[월키]])</f>
        <v/>
      </c>
    </row>
    <row r="3">
      <c r="A3" s="14" t="inlineStr">
        <is>
          <t>2026-09</t>
        </is>
      </c>
      <c r="B3" s="14" t="inlineStr">
        <is>
          <t>2222222</t>
        </is>
      </c>
      <c r="C3" s="7" t="inlineStr">
        <is>
          <t>김ㅇㅇ</t>
        </is>
      </c>
      <c r="D3" s="7" t="inlineStr">
        <is>
          <t>ㅇㅇ과</t>
        </is>
      </c>
      <c r="E3" s="7" t="inlineStr">
        <is>
          <t>레지던트2</t>
        </is>
      </c>
      <c r="F3" s="7" t="inlineStr">
        <is>
          <t>서울병원</t>
        </is>
      </c>
      <c r="G3" s="7" t="inlineStr">
        <is>
          <t>서울병원</t>
        </is>
      </c>
      <c r="H3" s="7" t="inlineStr">
        <is>
          <t>서울병원</t>
        </is>
      </c>
      <c r="I3" s="7" t="inlineStr">
        <is>
          <t>예시</t>
        </is>
      </c>
      <c r="J3" s="10">
        <f>IF(ISNUMBER(기관표[[#This Row],[기준월]]),TEXT(기관표[[#This Row],[기준월]],"yyyy-mm"),LEFT(TRIM(기관표[[#This Row],[기준월]]&amp;""),7))</f>
        <v/>
      </c>
      <c r="K3" s="10">
        <f>IF(TRIM(기관표[[#This Row],[사번]]&amp;"")="","","S|"&amp;TRIM(기관표[[#This Row],[사번]]&amp;""))</f>
        <v/>
      </c>
      <c r="L3" s="10">
        <f>IF(기관표[[#This Row],[사번키]]="","",기관표[[#This Row],[사번키]]&amp;"|"&amp;기관표[[#This Row],[월키]])</f>
        <v/>
      </c>
    </row>
    <row r="4">
      <c r="A4" s="14" t="inlineStr">
        <is>
          <t>2026-10</t>
        </is>
      </c>
      <c r="B4" s="14" t="inlineStr">
        <is>
          <t>2222222</t>
        </is>
      </c>
      <c r="C4" s="7" t="inlineStr">
        <is>
          <t>김ㅇㅇ</t>
        </is>
      </c>
      <c r="D4" s="7" t="inlineStr">
        <is>
          <t>ㅇㅇ과</t>
        </is>
      </c>
      <c r="E4" s="7" t="inlineStr">
        <is>
          <t>레지던트2</t>
        </is>
      </c>
      <c r="F4" s="7" t="inlineStr">
        <is>
          <t>서울병원</t>
        </is>
      </c>
      <c r="G4" s="7" t="inlineStr">
        <is>
          <t>서울병원</t>
        </is>
      </c>
      <c r="H4" s="7" t="inlineStr">
        <is>
          <t>구리병원</t>
        </is>
      </c>
      <c r="I4" s="7" t="inlineStr">
        <is>
          <t>예시</t>
        </is>
      </c>
      <c r="J4" s="10">
        <f>IF(ISNUMBER(기관표[[#This Row],[기준월]]),TEXT(기관표[[#This Row],[기준월]],"yyyy-mm"),LEFT(TRIM(기관표[[#This Row],[기준월]]&amp;""),7))</f>
        <v/>
      </c>
      <c r="K4" s="10">
        <f>IF(TRIM(기관표[[#This Row],[사번]]&amp;"")="","","S|"&amp;TRIM(기관표[[#This Row],[사번]]&amp;""))</f>
        <v/>
      </c>
      <c r="L4" s="10">
        <f>IF(기관표[[#This Row],[사번키]]="","",기관표[[#This Row],[사번키]]&amp;"|"&amp;기관표[[#This Row],[월키]])</f>
        <v/>
      </c>
    </row>
    <row r="5">
      <c r="A5" s="14" t="inlineStr">
        <is>
          <t>2026-09</t>
        </is>
      </c>
      <c r="B5" s="14" t="inlineStr">
        <is>
          <t>3333333</t>
        </is>
      </c>
      <c r="C5" s="7" t="inlineStr">
        <is>
          <t>이ㅇㅇ</t>
        </is>
      </c>
      <c r="D5" s="7" t="inlineStr">
        <is>
          <t>인턴</t>
        </is>
      </c>
      <c r="E5" s="7" t="inlineStr">
        <is>
          <t>인턴</t>
        </is>
      </c>
      <c r="F5" s="7" t="inlineStr">
        <is>
          <t>서울병원</t>
        </is>
      </c>
      <c r="G5" s="7" t="inlineStr">
        <is>
          <t>구리병원</t>
        </is>
      </c>
      <c r="H5" s="7" t="inlineStr">
        <is>
          <t>구리병원</t>
        </is>
      </c>
      <c r="I5" s="7" t="inlineStr">
        <is>
          <t>예시</t>
        </is>
      </c>
      <c r="J5" s="10">
        <f>IF(ISNUMBER(기관표[[#This Row],[기준월]]),TEXT(기관표[[#This Row],[기준월]],"yyyy-mm"),LEFT(TRIM(기관표[[#This Row],[기준월]]&amp;""),7))</f>
        <v/>
      </c>
      <c r="K5" s="10">
        <f>IF(TRIM(기관표[[#This Row],[사번]]&amp;"")="","","S|"&amp;TRIM(기관표[[#This Row],[사번]]&amp;""))</f>
        <v/>
      </c>
      <c r="L5" s="10">
        <f>IF(기관표[[#This Row],[사번키]]="","",기관표[[#This Row],[사번키]]&amp;"|"&amp;기관표[[#This Row],[월키]])</f>
        <v/>
      </c>
    </row>
    <row r="6">
      <c r="A6" s="14" t="inlineStr">
        <is>
          <t>2026-10</t>
        </is>
      </c>
      <c r="B6" s="14" t="inlineStr">
        <is>
          <t>3333333</t>
        </is>
      </c>
      <c r="C6" s="7" t="inlineStr">
        <is>
          <t>이ㅇㅇ</t>
        </is>
      </c>
      <c r="D6" s="7" t="inlineStr">
        <is>
          <t>인턴</t>
        </is>
      </c>
      <c r="E6" s="7" t="inlineStr">
        <is>
          <t>인턴</t>
        </is>
      </c>
      <c r="F6" s="7" t="inlineStr">
        <is>
          <t>서울병원</t>
        </is>
      </c>
      <c r="G6" s="7" t="inlineStr">
        <is>
          <t>구리병원</t>
        </is>
      </c>
      <c r="H6" s="7" t="inlineStr">
        <is>
          <t>구리병원</t>
        </is>
      </c>
      <c r="I6" s="7" t="inlineStr">
        <is>
          <t>예시</t>
        </is>
      </c>
      <c r="J6" s="10">
        <f>IF(ISNUMBER(기관표[[#This Row],[기준월]]),TEXT(기관표[[#This Row],[기준월]],"yyyy-mm"),LEFT(TRIM(기관표[[#This Row],[기준월]]&amp;""),7))</f>
        <v/>
      </c>
      <c r="K6" s="10">
        <f>IF(TRIM(기관표[[#This Row],[사번]]&amp;"")="","","S|"&amp;TRIM(기관표[[#This Row],[사번]]&amp;""))</f>
        <v/>
      </c>
      <c r="L6" s="10">
        <f>IF(기관표[[#This Row],[사번키]]="","",기관표[[#This Row],[사번키]]&amp;"|"&amp;기관표[[#This Row],[월키]])</f>
        <v/>
      </c>
    </row>
    <row r="7">
      <c r="A7" s="14" t="inlineStr">
        <is>
          <t>2026-08</t>
        </is>
      </c>
      <c r="B7" s="14" t="inlineStr">
        <is>
          <t>4444444</t>
        </is>
      </c>
      <c r="C7" s="7" t="inlineStr">
        <is>
          <t>박ㅇㅇ</t>
        </is>
      </c>
      <c r="D7" s="7" t="inlineStr">
        <is>
          <t>인턴</t>
        </is>
      </c>
      <c r="E7" s="7" t="inlineStr">
        <is>
          <t>인턴</t>
        </is>
      </c>
      <c r="F7" s="7" t="inlineStr">
        <is>
          <t>구리병원</t>
        </is>
      </c>
      <c r="G7" s="7" t="inlineStr">
        <is>
          <t>구리병원</t>
        </is>
      </c>
      <c r="H7" s="7" t="inlineStr">
        <is>
          <t>구리병원</t>
        </is>
      </c>
      <c r="I7" s="7" t="inlineStr">
        <is>
          <t>예시</t>
        </is>
      </c>
      <c r="J7" s="10">
        <f>IF(ISNUMBER(기관표[[#This Row],[기준월]]),TEXT(기관표[[#This Row],[기준월]],"yyyy-mm"),LEFT(TRIM(기관표[[#This Row],[기준월]]&amp;""),7))</f>
        <v/>
      </c>
      <c r="K7" s="10">
        <f>IF(TRIM(기관표[[#This Row],[사번]]&amp;"")="","","S|"&amp;TRIM(기관표[[#This Row],[사번]]&amp;""))</f>
        <v/>
      </c>
      <c r="L7" s="10">
        <f>IF(기관표[[#This Row],[사번키]]="","",기관표[[#This Row],[사번키]]&amp;"|"&amp;기관표[[#This Row],[월키]])</f>
        <v/>
      </c>
    </row>
    <row r="8">
      <c r="A8" s="14" t="inlineStr">
        <is>
          <t>2026-09</t>
        </is>
      </c>
      <c r="B8" s="14" t="inlineStr">
        <is>
          <t>4444444</t>
        </is>
      </c>
      <c r="C8" s="7" t="inlineStr">
        <is>
          <t>박ㅇㅇ</t>
        </is>
      </c>
      <c r="D8" s="7" t="inlineStr">
        <is>
          <t>인턴</t>
        </is>
      </c>
      <c r="E8" s="7" t="inlineStr">
        <is>
          <t>인턴</t>
        </is>
      </c>
      <c r="F8" s="7" t="inlineStr">
        <is>
          <t>구리병원</t>
        </is>
      </c>
      <c r="G8" s="7" t="inlineStr">
        <is>
          <t>구리병원</t>
        </is>
      </c>
      <c r="H8" s="7" t="inlineStr">
        <is>
          <t>구리병원</t>
        </is>
      </c>
      <c r="I8" s="7" t="inlineStr">
        <is>
          <t>예시</t>
        </is>
      </c>
      <c r="J8" s="10">
        <f>IF(ISNUMBER(기관표[[#This Row],[기준월]]),TEXT(기관표[[#This Row],[기준월]],"yyyy-mm"),LEFT(TRIM(기관표[[#This Row],[기준월]]&amp;""),7))</f>
        <v/>
      </c>
      <c r="K8" s="10">
        <f>IF(TRIM(기관표[[#This Row],[사번]]&amp;"")="","","S|"&amp;TRIM(기관표[[#This Row],[사번]]&amp;""))</f>
        <v/>
      </c>
      <c r="L8" s="10">
        <f>IF(기관표[[#This Row],[사번키]]="","",기관표[[#This Row],[사번키]]&amp;"|"&amp;기관표[[#This Row],[월키]])</f>
        <v/>
      </c>
    </row>
    <row r="9">
      <c r="A9" s="14" t="inlineStr">
        <is>
          <t>2026-10</t>
        </is>
      </c>
      <c r="B9" s="14" t="inlineStr">
        <is>
          <t>4444444</t>
        </is>
      </c>
      <c r="C9" s="7" t="inlineStr">
        <is>
          <t>박ㅇㅇ</t>
        </is>
      </c>
      <c r="D9" s="7" t="inlineStr">
        <is>
          <t>인턴</t>
        </is>
      </c>
      <c r="E9" s="7" t="inlineStr">
        <is>
          <t>인턴</t>
        </is>
      </c>
      <c r="F9" s="7" t="inlineStr">
        <is>
          <t>구리병원</t>
        </is>
      </c>
      <c r="G9" s="7" t="inlineStr">
        <is>
          <t>인천병원</t>
        </is>
      </c>
      <c r="H9" s="7" t="inlineStr">
        <is>
          <t>인천병원</t>
        </is>
      </c>
      <c r="I9" s="7" t="inlineStr">
        <is>
          <t>예시</t>
        </is>
      </c>
      <c r="J9" s="10">
        <f>IF(ISNUMBER(기관표[[#This Row],[기준월]]),TEXT(기관표[[#This Row],[기준월]],"yyyy-mm"),LEFT(TRIM(기관표[[#This Row],[기준월]]&amp;""),7))</f>
        <v/>
      </c>
      <c r="K9" s="10">
        <f>IF(TRIM(기관표[[#This Row],[사번]]&amp;"")="","","S|"&amp;TRIM(기관표[[#This Row],[사번]]&amp;""))</f>
        <v/>
      </c>
      <c r="L9" s="10">
        <f>IF(기관표[[#This Row],[사번키]]="","",기관표[[#This Row],[사번키]]&amp;"|"&amp;기관표[[#This Row],[월키]])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2" customWidth="1" min="4" max="4"/>
    <col width="28" customWidth="1" min="5" max="5"/>
    <col width="9" customWidth="1" min="6" max="6"/>
    <col width="11" customWidth="1" min="7" max="7"/>
    <col width="16" customWidth="1" min="8" max="8"/>
    <col width="9" customWidth="1" min="9" max="9"/>
    <col width="12" customWidth="1" min="10" max="10"/>
    <col width="26" customWidth="1" min="11" max="11"/>
  </cols>
  <sheetData>
    <row r="1">
      <c r="A1" s="1" t="inlineStr">
        <is>
          <t>월별 근무지 직접 입력 (입력_기관명단보다 우선)</t>
        </is>
      </c>
    </row>
    <row r="2">
      <c r="A2" s="4" t="inlineStr">
        <is>
          <t>※ 그 달 기관을 직접 정할 사람만 한 줄씩: 월(예: 2026-10)·사번·근무병원. 급여지급병원이 근무병원과 다를 때만 급여지급병원도 입력. 판정에는 '적용 급여병원'이 쓰입니다. 모니터링 파일(365판) 입력_월별근무지와 열 순서가 같아 A~E열을 그대로 복사해 와도 됩니다. 같은 사번·월이 두 줄이면 위쪽 줄이 적용됩니다.</t>
        </is>
      </c>
    </row>
    <row r="3">
      <c r="A3" s="5" t="inlineStr">
        <is>
          <t>월</t>
        </is>
      </c>
      <c r="B3" s="5" t="inlineStr">
        <is>
          <t>사번</t>
        </is>
      </c>
      <c r="C3" s="5" t="inlineStr">
        <is>
          <t>근무병원</t>
        </is>
      </c>
      <c r="D3" s="5" t="inlineStr">
        <is>
          <t>급여지급병원</t>
        </is>
      </c>
      <c r="E3" s="5" t="inlineStr">
        <is>
          <t>비고</t>
        </is>
      </c>
      <c r="F3" s="6" t="inlineStr">
        <is>
          <t>월키</t>
        </is>
      </c>
      <c r="G3" s="6" t="inlineStr">
        <is>
          <t>사번키</t>
        </is>
      </c>
      <c r="H3" s="6" t="inlineStr">
        <is>
          <t>키</t>
        </is>
      </c>
      <c r="I3" s="6" t="inlineStr">
        <is>
          <t>이름(확인)</t>
        </is>
      </c>
      <c r="J3" s="6" t="inlineStr">
        <is>
          <t>적용 급여병원</t>
        </is>
      </c>
      <c r="K3" s="6" t="inlineStr">
        <is>
          <t>점검</t>
        </is>
      </c>
    </row>
    <row r="4">
      <c r="A4" s="15" t="n">
        <v>46235</v>
      </c>
      <c r="B4" s="14" t="inlineStr">
        <is>
          <t>3333333</t>
        </is>
      </c>
      <c r="C4" s="7" t="inlineStr">
        <is>
          <t>제주병원</t>
        </is>
      </c>
      <c r="D4" s="7" t="n"/>
      <c r="E4" s="7" t="inlineStr">
        <is>
          <t>예시: 8월 기관명단 대신 직접 입력</t>
        </is>
      </c>
      <c r="F4" s="10">
        <f>IF(월별근무지표[[#This Row],[월]]&amp;""="","",IFERROR(IF(ISNUMBER(월별근무지표[[#This Row],[월]]),IF(월별근무지표[[#This Row],[월]]&lt;10000,TEXT(DATE(INT(월별근무지표[[#This Row],[월]]),ROUND(MOD(월별근무지표[[#This Row],[월]],1)*100,0),1),"yyyy-mm"),TEXT(월별근무지표[[#This Row],[월]],"yyyy-mm")),TEXT(DATEVALUE(SUBSTITUTE(SUBSTITUTE(LEFT(TRIM(월별근무지표[[#This Row],[월]]),7),".","-"),"/","-")&amp;"-01"),"yyyy-mm")),"⚠형식 오류"))</f>
        <v/>
      </c>
      <c r="G4" s="10">
        <f>IF(TRIM(월별근무지표[[#This Row],[사번]]&amp;"")="","","S|"&amp;TRIM(월별근무지표[[#This Row],[사번]]&amp;""))</f>
        <v/>
      </c>
      <c r="H4" s="10">
        <f>IF(LEFT(월별근무지표[[#This Row],[월키]],1)="⚠","",IF(OR(월별근무지표[[#This Row],[사번키]]="",월별근무지표[[#This Row],[월키]]=""),"",월별근무지표[[#This Row],[사번키]]&amp;"|"&amp;월별근무지표[[#This Row],[월키]]))</f>
        <v/>
      </c>
      <c r="I4" s="10">
        <f>IF(월별근무지표[[#This Row],[사번키]]="","",IFERROR(INDEX(기관표[이름],MATCH(월별근무지표[[#This Row],[사번키]],기관표[사번키],0))&amp;"",IFERROR(INDEX(상세표[성명],MATCH(월별근무지표[[#This Row],[사번키]],상세표[사번키],0))&amp;"","(자료에 없음)")))</f>
        <v/>
      </c>
      <c r="J4" s="10">
        <f>IF(월별근무지표[[#This Row],[근무병원]]="","",IF(월별근무지표[[#This Row],[급여지급병원]]="",월별근무지표[[#This Row],[근무병원]],월별근무지표[[#This Row],[급여지급병원]]))</f>
        <v/>
      </c>
      <c r="K4" s="10">
        <f>IF(AND(TRIM(월별근무지표[[#This Row],[사번]]&amp;"")="",월별근무지표[[#This Row],[월]]&amp;""=""),"",IF(OR(TRIM(월별근무지표[[#This Row],[사번]]&amp;"")="",월별근무지표[[#This Row],[월]]&amp;""=""),"월·사번 모두 입력",IF(LEFT(월별근무지표[[#This Row],[월키]],1)="⚠","월 형식 확인(예: 2026-10)",IF(월별근무지표[[#This Row],[근무병원]]="","근무병원 입력",IF(COUNTIF(월별근무지표[키],월별근무지표[[#This Row],[키]])&gt;1,"같은 사번·월 중복(위쪽 줄 적용)","정상")))))</f>
        <v/>
      </c>
    </row>
  </sheetData>
  <conditionalFormatting sqref="K4:K1048576">
    <cfRule type="expression" priority="1" dxfId="0">
      <formula>AND($K4&lt;&gt;"",$K4&lt;&gt;"정상")</formula>
    </cfRule>
  </conditionalFormatting>
  <dataValidations count="2">
    <dataValidation sqref="C4:C1048576" showDropDown="0" showInputMessage="0" showErrorMessage="1" allowBlank="1" errorTitle="등록되지 않은 병원" error="병원 목록에 없습니다. 새 병원이면 '설정' 시트의 병원 목록 표에 먼저 추가하세요." type="list" errorStyle="stop">
      <formula1>=병원목록</formula1>
    </dataValidation>
    <dataValidation sqref="D4:D1048576" showDropDown="0" showInputMessage="0" showErrorMessage="1" allowBlank="1" errorTitle="등록되지 않은 병원" error="병원 목록에 없습니다. 새 병원이면 '설정' 시트의 병원 목록 표에 먼저 추가하세요." type="list" errorStyle="stop">
      <formula1>=병원목록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Q300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1" customWidth="1" min="5" max="5"/>
    <col width="16" customWidth="1" min="6" max="6"/>
    <col width="16" customWidth="1" min="7" max="7"/>
    <col width="6" customWidth="1" min="8" max="8"/>
    <col width="8" customWidth="1" min="9" max="9"/>
    <col width="6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</cols>
  <sheetData>
    <row r="1">
      <c r="A1" s="1" t="inlineStr">
        <is>
          <t>연속 근무 (이어진 시간외 근무를 한 줄로)</t>
        </is>
      </c>
    </row>
    <row r="2">
      <c r="A2" s="4" t="inlineStr">
        <is>
          <t>※ 자동 목록(입력 금지, 최대 3000건). 대상월에 걸친 연속 근무만 사번·시작 시각 순으로 빈 줄 없이 보여줍니다. 전월 말일에 시작한 당직도 포함됩니다. 월 넘김 표시가 있으면 출력_월경계당직에서 반영 급여월·기관을 확인하세요.</t>
        </is>
      </c>
    </row>
    <row r="3">
      <c r="A3" s="16" t="inlineStr">
        <is>
          <t>연속 근무 건수</t>
        </is>
      </c>
      <c r="B3" s="17">
        <f>SUM(상세표[연속표시])</f>
        <v/>
      </c>
      <c r="C3" s="16" t="inlineStr">
        <is>
          <t>2개 이상 기록을 묶은 건수</t>
        </is>
      </c>
      <c r="D3" s="17">
        <f>COUNTIFS(상세표[연속표시],1,상세표[기록 수],"&gt;1")</f>
        <v/>
      </c>
      <c r="E3" s="16" t="inlineStr">
        <is>
          <t>주말·휴일 포함</t>
        </is>
      </c>
      <c r="F3" s="17">
        <f>COUNTIFS(상세표[연속표시],1,상세표[주말·휴일 포함],"포함")</f>
        <v/>
      </c>
      <c r="G3" s="16" t="inlineStr">
        <is>
          <t>36시간 초과</t>
        </is>
      </c>
      <c r="H3" s="17">
        <f>COUNTIFS(상세표[연속표시],1,상세표[연속 시간],"&gt;36")</f>
        <v/>
      </c>
      <c r="I3" s="16" t="inlineStr">
        <is>
          <t>시각 형식 오류</t>
        </is>
      </c>
      <c r="J3" s="17">
        <f>COUNTIF(상세표[시작],"⚠*")+COUNTIF(상세표[종료],"⚠*")</f>
        <v/>
      </c>
      <c r="K3" s="18">
        <f>IF(B3&gt;3000,"⚠ 표시 한도(3000건) 초과","")</f>
        <v/>
      </c>
    </row>
    <row r="4"/>
    <row r="5" ht="30" customHeight="1">
      <c r="A5" s="5" t="inlineStr">
        <is>
          <t>부서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직위</t>
        </is>
      </c>
      <c r="E5" s="5" t="inlineStr">
        <is>
          <t>근무일자</t>
        </is>
      </c>
      <c r="F5" s="5" t="inlineStr">
        <is>
          <t>시작</t>
        </is>
      </c>
      <c r="G5" s="5" t="inlineStr">
        <is>
          <t>종료</t>
        </is>
      </c>
      <c r="H5" s="5" t="inlineStr">
        <is>
          <t>시작 요일</t>
        </is>
      </c>
      <c r="I5" s="5" t="inlineStr">
        <is>
          <t>연속 시간</t>
        </is>
      </c>
      <c r="J5" s="5" t="inlineStr">
        <is>
          <t>기록 수</t>
        </is>
      </c>
      <c r="K5" s="5" t="inlineStr">
        <is>
          <t>06~07시</t>
        </is>
      </c>
      <c r="L5" s="5" t="inlineStr">
        <is>
          <t>07~18시</t>
        </is>
      </c>
      <c r="M5" s="5" t="inlineStr">
        <is>
          <t>18~22시</t>
        </is>
      </c>
      <c r="N5" s="5" t="inlineStr">
        <is>
          <t>22~06시</t>
        </is>
      </c>
      <c r="O5" s="5" t="inlineStr">
        <is>
          <t>주말·휴일 포함</t>
        </is>
      </c>
      <c r="P5" s="5" t="inlineStr">
        <is>
          <t>월 넘김 포함</t>
        </is>
      </c>
      <c r="Q5" s="19" t="inlineStr">
        <is>
          <t>(행)</t>
        </is>
      </c>
    </row>
    <row r="6">
      <c r="A6">
        <f>IF($Q6="",IF(SUM(상세표[연속표시])=0,"연속 근무 없음",""),INDEX(상세표[부서],$Q6)&amp;"")</f>
        <v/>
      </c>
      <c r="B6">
        <f>IF($Q6="","",INDEX(상세표[사번],$Q6)&amp;"")</f>
        <v/>
      </c>
      <c r="C6">
        <f>IF($Q6="","",INDEX(상세표[성명],$Q6)&amp;"")</f>
        <v/>
      </c>
      <c r="D6">
        <f>IF($Q6="","",INDEX(상세표[직위],$Q6)&amp;"")</f>
        <v/>
      </c>
      <c r="E6">
        <f>IF($Q6="","",IF(ISNUMBER(INDEX(상세표[근무일자],$Q6)),TEXT(INDEX(상세표[근무일자],$Q6),"yyyy-mm-dd"),INDEX(상세표[근무일자],$Q6)&amp;""))</f>
        <v/>
      </c>
      <c r="F6">
        <f>IF($Q6="","",IF(ISNUMBER(INDEX(상세표[시작],$Q6)),TEXT(INDEX(상세표[시작],$Q6),"yyyy-mm-dd hh:mm"),INDEX(상세표[시작],$Q6)&amp;""))</f>
        <v/>
      </c>
      <c r="G6">
        <f>IF($Q6="","",IF(ISNUMBER(INDEX(상세표[블록종료],$Q6)),TEXT(INDEX(상세표[블록종료],$Q6),"yyyy-mm-dd hh:mm"),INDEX(상세표[블록종료],$Q6)&amp;""))</f>
        <v/>
      </c>
      <c r="H6">
        <f>IF($Q6="","",CHOOSE(WEEKDAY(INDEX(상세표[시작],$Q6)),"일","월","화","수","목","금","토"))</f>
        <v/>
      </c>
      <c r="I6" s="20">
        <f>IF($Q6="","",INDEX(상세표[연속 시간],$Q6))</f>
        <v/>
      </c>
      <c r="J6">
        <f>IF($Q6="","",INDEX(상세표[기록 수],$Q6))</f>
        <v/>
      </c>
      <c r="K6" s="20">
        <f>IF($Q6="","",INDEX(상세표[블록 06~07시],$Q6))</f>
        <v/>
      </c>
      <c r="L6" s="20">
        <f>IF($Q6="","",INDEX(상세표[블록 07~18시],$Q6))</f>
        <v/>
      </c>
      <c r="M6" s="20">
        <f>IF($Q6="","",INDEX(상세표[블록 18~22시],$Q6))</f>
        <v/>
      </c>
      <c r="N6" s="20">
        <f>IF($Q6="","",INDEX(상세표[블록 22~06시],$Q6))</f>
        <v/>
      </c>
      <c r="O6">
        <f>IF($Q6="","",INDEX(상세표[주말·휴일 포함],$Q6)&amp;"")</f>
        <v/>
      </c>
      <c r="P6">
        <f>IF($Q6="","",INDEX(상세표[월 넘김 포함],$Q6)&amp;"")</f>
        <v/>
      </c>
      <c r="Q6" s="4">
        <f>IFERROR(MATCH(1,상세표[연속순번],0),"")</f>
        <v/>
      </c>
    </row>
    <row r="7">
      <c r="A7">
        <f>IF($Q7="","",INDEX(상세표[부서],$Q7)&amp;"")</f>
        <v/>
      </c>
      <c r="B7">
        <f>IF($Q7="","",INDEX(상세표[사번],$Q7)&amp;"")</f>
        <v/>
      </c>
      <c r="C7">
        <f>IF($Q7="","",INDEX(상세표[성명],$Q7)&amp;"")</f>
        <v/>
      </c>
      <c r="D7">
        <f>IF($Q7="","",INDEX(상세표[직위],$Q7)&amp;"")</f>
        <v/>
      </c>
      <c r="E7">
        <f>IF($Q7="","",IF(ISNUMBER(INDEX(상세표[근무일자],$Q7)),TEXT(INDEX(상세표[근무일자],$Q7),"yyyy-mm-dd"),INDEX(상세표[근무일자],$Q7)&amp;""))</f>
        <v/>
      </c>
      <c r="F7">
        <f>IF($Q7="","",IF(ISNUMBER(INDEX(상세표[시작],$Q7)),TEXT(INDEX(상세표[시작],$Q7),"yyyy-mm-dd hh:mm"),INDEX(상세표[시작],$Q7)&amp;""))</f>
        <v/>
      </c>
      <c r="G7">
        <f>IF($Q7="","",IF(ISNUMBER(INDEX(상세표[블록종료],$Q7)),TEXT(INDEX(상세표[블록종료],$Q7),"yyyy-mm-dd hh:mm"),INDEX(상세표[블록종료],$Q7)&amp;""))</f>
        <v/>
      </c>
      <c r="H7">
        <f>IF($Q7="","",CHOOSE(WEEKDAY(INDEX(상세표[시작],$Q7)),"일","월","화","수","목","금","토"))</f>
        <v/>
      </c>
      <c r="I7" s="20">
        <f>IF($Q7="","",INDEX(상세표[연속 시간],$Q7))</f>
        <v/>
      </c>
      <c r="J7">
        <f>IF($Q7="","",INDEX(상세표[기록 수],$Q7))</f>
        <v/>
      </c>
      <c r="K7" s="20">
        <f>IF($Q7="","",INDEX(상세표[블록 06~07시],$Q7))</f>
        <v/>
      </c>
      <c r="L7" s="20">
        <f>IF($Q7="","",INDEX(상세표[블록 07~18시],$Q7))</f>
        <v/>
      </c>
      <c r="M7" s="20">
        <f>IF($Q7="","",INDEX(상세표[블록 18~22시],$Q7))</f>
        <v/>
      </c>
      <c r="N7" s="20">
        <f>IF($Q7="","",INDEX(상세표[블록 22~06시],$Q7))</f>
        <v/>
      </c>
      <c r="O7">
        <f>IF($Q7="","",INDEX(상세표[주말·휴일 포함],$Q7)&amp;"")</f>
        <v/>
      </c>
      <c r="P7">
        <f>IF($Q7="","",INDEX(상세표[월 넘김 포함],$Q7)&amp;"")</f>
        <v/>
      </c>
      <c r="Q7" s="4">
        <f>IFERROR(MATCH(2,상세표[연속순번],0),"")</f>
        <v/>
      </c>
    </row>
    <row r="8">
      <c r="A8">
        <f>IF($Q8="","",INDEX(상세표[부서],$Q8)&amp;"")</f>
        <v/>
      </c>
      <c r="B8">
        <f>IF($Q8="","",INDEX(상세표[사번],$Q8)&amp;"")</f>
        <v/>
      </c>
      <c r="C8">
        <f>IF($Q8="","",INDEX(상세표[성명],$Q8)&amp;"")</f>
        <v/>
      </c>
      <c r="D8">
        <f>IF($Q8="","",INDEX(상세표[직위],$Q8)&amp;"")</f>
        <v/>
      </c>
      <c r="E8">
        <f>IF($Q8="","",IF(ISNUMBER(INDEX(상세표[근무일자],$Q8)),TEXT(INDEX(상세표[근무일자],$Q8),"yyyy-mm-dd"),INDEX(상세표[근무일자],$Q8)&amp;""))</f>
        <v/>
      </c>
      <c r="F8">
        <f>IF($Q8="","",IF(ISNUMBER(INDEX(상세표[시작],$Q8)),TEXT(INDEX(상세표[시작],$Q8),"yyyy-mm-dd hh:mm"),INDEX(상세표[시작],$Q8)&amp;""))</f>
        <v/>
      </c>
      <c r="G8">
        <f>IF($Q8="","",IF(ISNUMBER(INDEX(상세표[블록종료],$Q8)),TEXT(INDEX(상세표[블록종료],$Q8),"yyyy-mm-dd hh:mm"),INDEX(상세표[블록종료],$Q8)&amp;""))</f>
        <v/>
      </c>
      <c r="H8">
        <f>IF($Q8="","",CHOOSE(WEEKDAY(INDEX(상세표[시작],$Q8)),"일","월","화","수","목","금","토"))</f>
        <v/>
      </c>
      <c r="I8" s="20">
        <f>IF($Q8="","",INDEX(상세표[연속 시간],$Q8))</f>
        <v/>
      </c>
      <c r="J8">
        <f>IF($Q8="","",INDEX(상세표[기록 수],$Q8))</f>
        <v/>
      </c>
      <c r="K8" s="20">
        <f>IF($Q8="","",INDEX(상세표[블록 06~07시],$Q8))</f>
        <v/>
      </c>
      <c r="L8" s="20">
        <f>IF($Q8="","",INDEX(상세표[블록 07~18시],$Q8))</f>
        <v/>
      </c>
      <c r="M8" s="20">
        <f>IF($Q8="","",INDEX(상세표[블록 18~22시],$Q8))</f>
        <v/>
      </c>
      <c r="N8" s="20">
        <f>IF($Q8="","",INDEX(상세표[블록 22~06시],$Q8))</f>
        <v/>
      </c>
      <c r="O8">
        <f>IF($Q8="","",INDEX(상세표[주말·휴일 포함],$Q8)&amp;"")</f>
        <v/>
      </c>
      <c r="P8">
        <f>IF($Q8="","",INDEX(상세표[월 넘김 포함],$Q8)&amp;"")</f>
        <v/>
      </c>
      <c r="Q8" s="4">
        <f>IFERROR(MATCH(3,상세표[연속순번],0),"")</f>
        <v/>
      </c>
    </row>
    <row r="9">
      <c r="A9">
        <f>IF($Q9="","",INDEX(상세표[부서],$Q9)&amp;"")</f>
        <v/>
      </c>
      <c r="B9">
        <f>IF($Q9="","",INDEX(상세표[사번],$Q9)&amp;"")</f>
        <v/>
      </c>
      <c r="C9">
        <f>IF($Q9="","",INDEX(상세표[성명],$Q9)&amp;"")</f>
        <v/>
      </c>
      <c r="D9">
        <f>IF($Q9="","",INDEX(상세표[직위],$Q9)&amp;"")</f>
        <v/>
      </c>
      <c r="E9">
        <f>IF($Q9="","",IF(ISNUMBER(INDEX(상세표[근무일자],$Q9)),TEXT(INDEX(상세표[근무일자],$Q9),"yyyy-mm-dd"),INDEX(상세표[근무일자],$Q9)&amp;""))</f>
        <v/>
      </c>
      <c r="F9">
        <f>IF($Q9="","",IF(ISNUMBER(INDEX(상세표[시작],$Q9)),TEXT(INDEX(상세표[시작],$Q9),"yyyy-mm-dd hh:mm"),INDEX(상세표[시작],$Q9)&amp;""))</f>
        <v/>
      </c>
      <c r="G9">
        <f>IF($Q9="","",IF(ISNUMBER(INDEX(상세표[블록종료],$Q9)),TEXT(INDEX(상세표[블록종료],$Q9),"yyyy-mm-dd hh:mm"),INDEX(상세표[블록종료],$Q9)&amp;""))</f>
        <v/>
      </c>
      <c r="H9">
        <f>IF($Q9="","",CHOOSE(WEEKDAY(INDEX(상세표[시작],$Q9)),"일","월","화","수","목","금","토"))</f>
        <v/>
      </c>
      <c r="I9" s="20">
        <f>IF($Q9="","",INDEX(상세표[연속 시간],$Q9))</f>
        <v/>
      </c>
      <c r="J9">
        <f>IF($Q9="","",INDEX(상세표[기록 수],$Q9))</f>
        <v/>
      </c>
      <c r="K9" s="20">
        <f>IF($Q9="","",INDEX(상세표[블록 06~07시],$Q9))</f>
        <v/>
      </c>
      <c r="L9" s="20">
        <f>IF($Q9="","",INDEX(상세표[블록 07~18시],$Q9))</f>
        <v/>
      </c>
      <c r="M9" s="20">
        <f>IF($Q9="","",INDEX(상세표[블록 18~22시],$Q9))</f>
        <v/>
      </c>
      <c r="N9" s="20">
        <f>IF($Q9="","",INDEX(상세표[블록 22~06시],$Q9))</f>
        <v/>
      </c>
      <c r="O9">
        <f>IF($Q9="","",INDEX(상세표[주말·휴일 포함],$Q9)&amp;"")</f>
        <v/>
      </c>
      <c r="P9">
        <f>IF($Q9="","",INDEX(상세표[월 넘김 포함],$Q9)&amp;"")</f>
        <v/>
      </c>
      <c r="Q9" s="4">
        <f>IFERROR(MATCH(4,상세표[연속순번],0),"")</f>
        <v/>
      </c>
    </row>
    <row r="10">
      <c r="A10">
        <f>IF($Q10="","",INDEX(상세표[부서],$Q10)&amp;"")</f>
        <v/>
      </c>
      <c r="B10">
        <f>IF($Q10="","",INDEX(상세표[사번],$Q10)&amp;"")</f>
        <v/>
      </c>
      <c r="C10">
        <f>IF($Q10="","",INDEX(상세표[성명],$Q10)&amp;"")</f>
        <v/>
      </c>
      <c r="D10">
        <f>IF($Q10="","",INDEX(상세표[직위],$Q10)&amp;"")</f>
        <v/>
      </c>
      <c r="E10">
        <f>IF($Q10="","",IF(ISNUMBER(INDEX(상세표[근무일자],$Q10)),TEXT(INDEX(상세표[근무일자],$Q10),"yyyy-mm-dd"),INDEX(상세표[근무일자],$Q10)&amp;""))</f>
        <v/>
      </c>
      <c r="F10">
        <f>IF($Q10="","",IF(ISNUMBER(INDEX(상세표[시작],$Q10)),TEXT(INDEX(상세표[시작],$Q10),"yyyy-mm-dd hh:mm"),INDEX(상세표[시작],$Q10)&amp;""))</f>
        <v/>
      </c>
      <c r="G10">
        <f>IF($Q10="","",IF(ISNUMBER(INDEX(상세표[블록종료],$Q10)),TEXT(INDEX(상세표[블록종료],$Q10),"yyyy-mm-dd hh:mm"),INDEX(상세표[블록종료],$Q10)&amp;""))</f>
        <v/>
      </c>
      <c r="H10">
        <f>IF($Q10="","",CHOOSE(WEEKDAY(INDEX(상세표[시작],$Q10)),"일","월","화","수","목","금","토"))</f>
        <v/>
      </c>
      <c r="I10" s="20">
        <f>IF($Q10="","",INDEX(상세표[연속 시간],$Q10))</f>
        <v/>
      </c>
      <c r="J10">
        <f>IF($Q10="","",INDEX(상세표[기록 수],$Q10))</f>
        <v/>
      </c>
      <c r="K10" s="20">
        <f>IF($Q10="","",INDEX(상세표[블록 06~07시],$Q10))</f>
        <v/>
      </c>
      <c r="L10" s="20">
        <f>IF($Q10="","",INDEX(상세표[블록 07~18시],$Q10))</f>
        <v/>
      </c>
      <c r="M10" s="20">
        <f>IF($Q10="","",INDEX(상세표[블록 18~22시],$Q10))</f>
        <v/>
      </c>
      <c r="N10" s="20">
        <f>IF($Q10="","",INDEX(상세표[블록 22~06시],$Q10))</f>
        <v/>
      </c>
      <c r="O10">
        <f>IF($Q10="","",INDEX(상세표[주말·휴일 포함],$Q10)&amp;"")</f>
        <v/>
      </c>
      <c r="P10">
        <f>IF($Q10="","",INDEX(상세표[월 넘김 포함],$Q10)&amp;"")</f>
        <v/>
      </c>
      <c r="Q10" s="4">
        <f>IFERROR(MATCH(5,상세표[연속순번],0),"")</f>
        <v/>
      </c>
    </row>
    <row r="11">
      <c r="A11">
        <f>IF($Q11="","",INDEX(상세표[부서],$Q11)&amp;"")</f>
        <v/>
      </c>
      <c r="B11">
        <f>IF($Q11="","",INDEX(상세표[사번],$Q11)&amp;"")</f>
        <v/>
      </c>
      <c r="C11">
        <f>IF($Q11="","",INDEX(상세표[성명],$Q11)&amp;"")</f>
        <v/>
      </c>
      <c r="D11">
        <f>IF($Q11="","",INDEX(상세표[직위],$Q11)&amp;"")</f>
        <v/>
      </c>
      <c r="E11">
        <f>IF($Q11="","",IF(ISNUMBER(INDEX(상세표[근무일자],$Q11)),TEXT(INDEX(상세표[근무일자],$Q11),"yyyy-mm-dd"),INDEX(상세표[근무일자],$Q11)&amp;""))</f>
        <v/>
      </c>
      <c r="F11">
        <f>IF($Q11="","",IF(ISNUMBER(INDEX(상세표[시작],$Q11)),TEXT(INDEX(상세표[시작],$Q11),"yyyy-mm-dd hh:mm"),INDEX(상세표[시작],$Q11)&amp;""))</f>
        <v/>
      </c>
      <c r="G11">
        <f>IF($Q11="","",IF(ISNUMBER(INDEX(상세표[블록종료],$Q11)),TEXT(INDEX(상세표[블록종료],$Q11),"yyyy-mm-dd hh:mm"),INDEX(상세표[블록종료],$Q11)&amp;""))</f>
        <v/>
      </c>
      <c r="H11">
        <f>IF($Q11="","",CHOOSE(WEEKDAY(INDEX(상세표[시작],$Q11)),"일","월","화","수","목","금","토"))</f>
        <v/>
      </c>
      <c r="I11" s="20">
        <f>IF($Q11="","",INDEX(상세표[연속 시간],$Q11))</f>
        <v/>
      </c>
      <c r="J11">
        <f>IF($Q11="","",INDEX(상세표[기록 수],$Q11))</f>
        <v/>
      </c>
      <c r="K11" s="20">
        <f>IF($Q11="","",INDEX(상세표[블록 06~07시],$Q11))</f>
        <v/>
      </c>
      <c r="L11" s="20">
        <f>IF($Q11="","",INDEX(상세표[블록 07~18시],$Q11))</f>
        <v/>
      </c>
      <c r="M11" s="20">
        <f>IF($Q11="","",INDEX(상세표[블록 18~22시],$Q11))</f>
        <v/>
      </c>
      <c r="N11" s="20">
        <f>IF($Q11="","",INDEX(상세표[블록 22~06시],$Q11))</f>
        <v/>
      </c>
      <c r="O11">
        <f>IF($Q11="","",INDEX(상세표[주말·휴일 포함],$Q11)&amp;"")</f>
        <v/>
      </c>
      <c r="P11">
        <f>IF($Q11="","",INDEX(상세표[월 넘김 포함],$Q11)&amp;"")</f>
        <v/>
      </c>
      <c r="Q11" s="4">
        <f>IFERROR(MATCH(6,상세표[연속순번],0),"")</f>
        <v/>
      </c>
    </row>
    <row r="12">
      <c r="A12">
        <f>IF($Q12="","",INDEX(상세표[부서],$Q12)&amp;"")</f>
        <v/>
      </c>
      <c r="B12">
        <f>IF($Q12="","",INDEX(상세표[사번],$Q12)&amp;"")</f>
        <v/>
      </c>
      <c r="C12">
        <f>IF($Q12="","",INDEX(상세표[성명],$Q12)&amp;"")</f>
        <v/>
      </c>
      <c r="D12">
        <f>IF($Q12="","",INDEX(상세표[직위],$Q12)&amp;"")</f>
        <v/>
      </c>
      <c r="E12">
        <f>IF($Q12="","",IF(ISNUMBER(INDEX(상세표[근무일자],$Q12)),TEXT(INDEX(상세표[근무일자],$Q12),"yyyy-mm-dd"),INDEX(상세표[근무일자],$Q12)&amp;""))</f>
        <v/>
      </c>
      <c r="F12">
        <f>IF($Q12="","",IF(ISNUMBER(INDEX(상세표[시작],$Q12)),TEXT(INDEX(상세표[시작],$Q12),"yyyy-mm-dd hh:mm"),INDEX(상세표[시작],$Q12)&amp;""))</f>
        <v/>
      </c>
      <c r="G12">
        <f>IF($Q12="","",IF(ISNUMBER(INDEX(상세표[블록종료],$Q12)),TEXT(INDEX(상세표[블록종료],$Q12),"yyyy-mm-dd hh:mm"),INDEX(상세표[블록종료],$Q12)&amp;""))</f>
        <v/>
      </c>
      <c r="H12">
        <f>IF($Q12="","",CHOOSE(WEEKDAY(INDEX(상세표[시작],$Q12)),"일","월","화","수","목","금","토"))</f>
        <v/>
      </c>
      <c r="I12" s="20">
        <f>IF($Q12="","",INDEX(상세표[연속 시간],$Q12))</f>
        <v/>
      </c>
      <c r="J12">
        <f>IF($Q12="","",INDEX(상세표[기록 수],$Q12))</f>
        <v/>
      </c>
      <c r="K12" s="20">
        <f>IF($Q12="","",INDEX(상세표[블록 06~07시],$Q12))</f>
        <v/>
      </c>
      <c r="L12" s="20">
        <f>IF($Q12="","",INDEX(상세표[블록 07~18시],$Q12))</f>
        <v/>
      </c>
      <c r="M12" s="20">
        <f>IF($Q12="","",INDEX(상세표[블록 18~22시],$Q12))</f>
        <v/>
      </c>
      <c r="N12" s="20">
        <f>IF($Q12="","",INDEX(상세표[블록 22~06시],$Q12))</f>
        <v/>
      </c>
      <c r="O12">
        <f>IF($Q12="","",INDEX(상세표[주말·휴일 포함],$Q12)&amp;"")</f>
        <v/>
      </c>
      <c r="P12">
        <f>IF($Q12="","",INDEX(상세표[월 넘김 포함],$Q12)&amp;"")</f>
        <v/>
      </c>
      <c r="Q12" s="4">
        <f>IFERROR(MATCH(7,상세표[연속순번],0),"")</f>
        <v/>
      </c>
    </row>
    <row r="13">
      <c r="A13">
        <f>IF($Q13="","",INDEX(상세표[부서],$Q13)&amp;"")</f>
        <v/>
      </c>
      <c r="B13">
        <f>IF($Q13="","",INDEX(상세표[사번],$Q13)&amp;"")</f>
        <v/>
      </c>
      <c r="C13">
        <f>IF($Q13="","",INDEX(상세표[성명],$Q13)&amp;"")</f>
        <v/>
      </c>
      <c r="D13">
        <f>IF($Q13="","",INDEX(상세표[직위],$Q13)&amp;"")</f>
        <v/>
      </c>
      <c r="E13">
        <f>IF($Q13="","",IF(ISNUMBER(INDEX(상세표[근무일자],$Q13)),TEXT(INDEX(상세표[근무일자],$Q13),"yyyy-mm-dd"),INDEX(상세표[근무일자],$Q13)&amp;""))</f>
        <v/>
      </c>
      <c r="F13">
        <f>IF($Q13="","",IF(ISNUMBER(INDEX(상세표[시작],$Q13)),TEXT(INDEX(상세표[시작],$Q13),"yyyy-mm-dd hh:mm"),INDEX(상세표[시작],$Q13)&amp;""))</f>
        <v/>
      </c>
      <c r="G13">
        <f>IF($Q13="","",IF(ISNUMBER(INDEX(상세표[블록종료],$Q13)),TEXT(INDEX(상세표[블록종료],$Q13),"yyyy-mm-dd hh:mm"),INDEX(상세표[블록종료],$Q13)&amp;""))</f>
        <v/>
      </c>
      <c r="H13">
        <f>IF($Q13="","",CHOOSE(WEEKDAY(INDEX(상세표[시작],$Q13)),"일","월","화","수","목","금","토"))</f>
        <v/>
      </c>
      <c r="I13" s="20">
        <f>IF($Q13="","",INDEX(상세표[연속 시간],$Q13))</f>
        <v/>
      </c>
      <c r="J13">
        <f>IF($Q13="","",INDEX(상세표[기록 수],$Q13))</f>
        <v/>
      </c>
      <c r="K13" s="20">
        <f>IF($Q13="","",INDEX(상세표[블록 06~07시],$Q13))</f>
        <v/>
      </c>
      <c r="L13" s="20">
        <f>IF($Q13="","",INDEX(상세표[블록 07~18시],$Q13))</f>
        <v/>
      </c>
      <c r="M13" s="20">
        <f>IF($Q13="","",INDEX(상세표[블록 18~22시],$Q13))</f>
        <v/>
      </c>
      <c r="N13" s="20">
        <f>IF($Q13="","",INDEX(상세표[블록 22~06시],$Q13))</f>
        <v/>
      </c>
      <c r="O13">
        <f>IF($Q13="","",INDEX(상세표[주말·휴일 포함],$Q13)&amp;"")</f>
        <v/>
      </c>
      <c r="P13">
        <f>IF($Q13="","",INDEX(상세표[월 넘김 포함],$Q13)&amp;"")</f>
        <v/>
      </c>
      <c r="Q13" s="4">
        <f>IFERROR(MATCH(8,상세표[연속순번],0),"")</f>
        <v/>
      </c>
    </row>
    <row r="14">
      <c r="A14">
        <f>IF($Q14="","",INDEX(상세표[부서],$Q14)&amp;"")</f>
        <v/>
      </c>
      <c r="B14">
        <f>IF($Q14="","",INDEX(상세표[사번],$Q14)&amp;"")</f>
        <v/>
      </c>
      <c r="C14">
        <f>IF($Q14="","",INDEX(상세표[성명],$Q14)&amp;"")</f>
        <v/>
      </c>
      <c r="D14">
        <f>IF($Q14="","",INDEX(상세표[직위],$Q14)&amp;"")</f>
        <v/>
      </c>
      <c r="E14">
        <f>IF($Q14="","",IF(ISNUMBER(INDEX(상세표[근무일자],$Q14)),TEXT(INDEX(상세표[근무일자],$Q14),"yyyy-mm-dd"),INDEX(상세표[근무일자],$Q14)&amp;""))</f>
        <v/>
      </c>
      <c r="F14">
        <f>IF($Q14="","",IF(ISNUMBER(INDEX(상세표[시작],$Q14)),TEXT(INDEX(상세표[시작],$Q14),"yyyy-mm-dd hh:mm"),INDEX(상세표[시작],$Q14)&amp;""))</f>
        <v/>
      </c>
      <c r="G14">
        <f>IF($Q14="","",IF(ISNUMBER(INDEX(상세표[블록종료],$Q14)),TEXT(INDEX(상세표[블록종료],$Q14),"yyyy-mm-dd hh:mm"),INDEX(상세표[블록종료],$Q14)&amp;""))</f>
        <v/>
      </c>
      <c r="H14">
        <f>IF($Q14="","",CHOOSE(WEEKDAY(INDEX(상세표[시작],$Q14)),"일","월","화","수","목","금","토"))</f>
        <v/>
      </c>
      <c r="I14" s="20">
        <f>IF($Q14="","",INDEX(상세표[연속 시간],$Q14))</f>
        <v/>
      </c>
      <c r="J14">
        <f>IF($Q14="","",INDEX(상세표[기록 수],$Q14))</f>
        <v/>
      </c>
      <c r="K14" s="20">
        <f>IF($Q14="","",INDEX(상세표[블록 06~07시],$Q14))</f>
        <v/>
      </c>
      <c r="L14" s="20">
        <f>IF($Q14="","",INDEX(상세표[블록 07~18시],$Q14))</f>
        <v/>
      </c>
      <c r="M14" s="20">
        <f>IF($Q14="","",INDEX(상세표[블록 18~22시],$Q14))</f>
        <v/>
      </c>
      <c r="N14" s="20">
        <f>IF($Q14="","",INDEX(상세표[블록 22~06시],$Q14))</f>
        <v/>
      </c>
      <c r="O14">
        <f>IF($Q14="","",INDEX(상세표[주말·휴일 포함],$Q14)&amp;"")</f>
        <v/>
      </c>
      <c r="P14">
        <f>IF($Q14="","",INDEX(상세표[월 넘김 포함],$Q14)&amp;"")</f>
        <v/>
      </c>
      <c r="Q14" s="4">
        <f>IFERROR(MATCH(9,상세표[연속순번],0),"")</f>
        <v/>
      </c>
    </row>
    <row r="15">
      <c r="A15">
        <f>IF($Q15="","",INDEX(상세표[부서],$Q15)&amp;"")</f>
        <v/>
      </c>
      <c r="B15">
        <f>IF($Q15="","",INDEX(상세표[사번],$Q15)&amp;"")</f>
        <v/>
      </c>
      <c r="C15">
        <f>IF($Q15="","",INDEX(상세표[성명],$Q15)&amp;"")</f>
        <v/>
      </c>
      <c r="D15">
        <f>IF($Q15="","",INDEX(상세표[직위],$Q15)&amp;"")</f>
        <v/>
      </c>
      <c r="E15">
        <f>IF($Q15="","",IF(ISNUMBER(INDEX(상세표[근무일자],$Q15)),TEXT(INDEX(상세표[근무일자],$Q15),"yyyy-mm-dd"),INDEX(상세표[근무일자],$Q15)&amp;""))</f>
        <v/>
      </c>
      <c r="F15">
        <f>IF($Q15="","",IF(ISNUMBER(INDEX(상세표[시작],$Q15)),TEXT(INDEX(상세표[시작],$Q15),"yyyy-mm-dd hh:mm"),INDEX(상세표[시작],$Q15)&amp;""))</f>
        <v/>
      </c>
      <c r="G15">
        <f>IF($Q15="","",IF(ISNUMBER(INDEX(상세표[블록종료],$Q15)),TEXT(INDEX(상세표[블록종료],$Q15),"yyyy-mm-dd hh:mm"),INDEX(상세표[블록종료],$Q15)&amp;""))</f>
        <v/>
      </c>
      <c r="H15">
        <f>IF($Q15="","",CHOOSE(WEEKDAY(INDEX(상세표[시작],$Q15)),"일","월","화","수","목","금","토"))</f>
        <v/>
      </c>
      <c r="I15" s="20">
        <f>IF($Q15="","",INDEX(상세표[연속 시간],$Q15))</f>
        <v/>
      </c>
      <c r="J15">
        <f>IF($Q15="","",INDEX(상세표[기록 수],$Q15))</f>
        <v/>
      </c>
      <c r="K15" s="20">
        <f>IF($Q15="","",INDEX(상세표[블록 06~07시],$Q15))</f>
        <v/>
      </c>
      <c r="L15" s="20">
        <f>IF($Q15="","",INDEX(상세표[블록 07~18시],$Q15))</f>
        <v/>
      </c>
      <c r="M15" s="20">
        <f>IF($Q15="","",INDEX(상세표[블록 18~22시],$Q15))</f>
        <v/>
      </c>
      <c r="N15" s="20">
        <f>IF($Q15="","",INDEX(상세표[블록 22~06시],$Q15))</f>
        <v/>
      </c>
      <c r="O15">
        <f>IF($Q15="","",INDEX(상세표[주말·휴일 포함],$Q15)&amp;"")</f>
        <v/>
      </c>
      <c r="P15">
        <f>IF($Q15="","",INDEX(상세표[월 넘김 포함],$Q15)&amp;"")</f>
        <v/>
      </c>
      <c r="Q15" s="4">
        <f>IFERROR(MATCH(10,상세표[연속순번],0),"")</f>
        <v/>
      </c>
    </row>
    <row r="16">
      <c r="A16">
        <f>IF($Q16="","",INDEX(상세표[부서],$Q16)&amp;"")</f>
        <v/>
      </c>
      <c r="B16">
        <f>IF($Q16="","",INDEX(상세표[사번],$Q16)&amp;"")</f>
        <v/>
      </c>
      <c r="C16">
        <f>IF($Q16="","",INDEX(상세표[성명],$Q16)&amp;"")</f>
        <v/>
      </c>
      <c r="D16">
        <f>IF($Q16="","",INDEX(상세표[직위],$Q16)&amp;"")</f>
        <v/>
      </c>
      <c r="E16">
        <f>IF($Q16="","",IF(ISNUMBER(INDEX(상세표[근무일자],$Q16)),TEXT(INDEX(상세표[근무일자],$Q16),"yyyy-mm-dd"),INDEX(상세표[근무일자],$Q16)&amp;""))</f>
        <v/>
      </c>
      <c r="F16">
        <f>IF($Q16="","",IF(ISNUMBER(INDEX(상세표[시작],$Q16)),TEXT(INDEX(상세표[시작],$Q16),"yyyy-mm-dd hh:mm"),INDEX(상세표[시작],$Q16)&amp;""))</f>
        <v/>
      </c>
      <c r="G16">
        <f>IF($Q16="","",IF(ISNUMBER(INDEX(상세표[블록종료],$Q16)),TEXT(INDEX(상세표[블록종료],$Q16),"yyyy-mm-dd hh:mm"),INDEX(상세표[블록종료],$Q16)&amp;""))</f>
        <v/>
      </c>
      <c r="H16">
        <f>IF($Q16="","",CHOOSE(WEEKDAY(INDEX(상세표[시작],$Q16)),"일","월","화","수","목","금","토"))</f>
        <v/>
      </c>
      <c r="I16" s="20">
        <f>IF($Q16="","",INDEX(상세표[연속 시간],$Q16))</f>
        <v/>
      </c>
      <c r="J16">
        <f>IF($Q16="","",INDEX(상세표[기록 수],$Q16))</f>
        <v/>
      </c>
      <c r="K16" s="20">
        <f>IF($Q16="","",INDEX(상세표[블록 06~07시],$Q16))</f>
        <v/>
      </c>
      <c r="L16" s="20">
        <f>IF($Q16="","",INDEX(상세표[블록 07~18시],$Q16))</f>
        <v/>
      </c>
      <c r="M16" s="20">
        <f>IF($Q16="","",INDEX(상세표[블록 18~22시],$Q16))</f>
        <v/>
      </c>
      <c r="N16" s="20">
        <f>IF($Q16="","",INDEX(상세표[블록 22~06시],$Q16))</f>
        <v/>
      </c>
      <c r="O16">
        <f>IF($Q16="","",INDEX(상세표[주말·휴일 포함],$Q16)&amp;"")</f>
        <v/>
      </c>
      <c r="P16">
        <f>IF($Q16="","",INDEX(상세표[월 넘김 포함],$Q16)&amp;"")</f>
        <v/>
      </c>
      <c r="Q16" s="4">
        <f>IFERROR(MATCH(11,상세표[연속순번],0),"")</f>
        <v/>
      </c>
    </row>
    <row r="17">
      <c r="A17">
        <f>IF($Q17="","",INDEX(상세표[부서],$Q17)&amp;"")</f>
        <v/>
      </c>
      <c r="B17">
        <f>IF($Q17="","",INDEX(상세표[사번],$Q17)&amp;"")</f>
        <v/>
      </c>
      <c r="C17">
        <f>IF($Q17="","",INDEX(상세표[성명],$Q17)&amp;"")</f>
        <v/>
      </c>
      <c r="D17">
        <f>IF($Q17="","",INDEX(상세표[직위],$Q17)&amp;"")</f>
        <v/>
      </c>
      <c r="E17">
        <f>IF($Q17="","",IF(ISNUMBER(INDEX(상세표[근무일자],$Q17)),TEXT(INDEX(상세표[근무일자],$Q17),"yyyy-mm-dd"),INDEX(상세표[근무일자],$Q17)&amp;""))</f>
        <v/>
      </c>
      <c r="F17">
        <f>IF($Q17="","",IF(ISNUMBER(INDEX(상세표[시작],$Q17)),TEXT(INDEX(상세표[시작],$Q17),"yyyy-mm-dd hh:mm"),INDEX(상세표[시작],$Q17)&amp;""))</f>
        <v/>
      </c>
      <c r="G17">
        <f>IF($Q17="","",IF(ISNUMBER(INDEX(상세표[블록종료],$Q17)),TEXT(INDEX(상세표[블록종료],$Q17),"yyyy-mm-dd hh:mm"),INDEX(상세표[블록종료],$Q17)&amp;""))</f>
        <v/>
      </c>
      <c r="H17">
        <f>IF($Q17="","",CHOOSE(WEEKDAY(INDEX(상세표[시작],$Q17)),"일","월","화","수","목","금","토"))</f>
        <v/>
      </c>
      <c r="I17" s="20">
        <f>IF($Q17="","",INDEX(상세표[연속 시간],$Q17))</f>
        <v/>
      </c>
      <c r="J17">
        <f>IF($Q17="","",INDEX(상세표[기록 수],$Q17))</f>
        <v/>
      </c>
      <c r="K17" s="20">
        <f>IF($Q17="","",INDEX(상세표[블록 06~07시],$Q17))</f>
        <v/>
      </c>
      <c r="L17" s="20">
        <f>IF($Q17="","",INDEX(상세표[블록 07~18시],$Q17))</f>
        <v/>
      </c>
      <c r="M17" s="20">
        <f>IF($Q17="","",INDEX(상세표[블록 18~22시],$Q17))</f>
        <v/>
      </c>
      <c r="N17" s="20">
        <f>IF($Q17="","",INDEX(상세표[블록 22~06시],$Q17))</f>
        <v/>
      </c>
      <c r="O17">
        <f>IF($Q17="","",INDEX(상세표[주말·휴일 포함],$Q17)&amp;"")</f>
        <v/>
      </c>
      <c r="P17">
        <f>IF($Q17="","",INDEX(상세표[월 넘김 포함],$Q17)&amp;"")</f>
        <v/>
      </c>
      <c r="Q17" s="4">
        <f>IFERROR(MATCH(12,상세표[연속순번],0),"")</f>
        <v/>
      </c>
    </row>
    <row r="18">
      <c r="A18">
        <f>IF($Q18="","",INDEX(상세표[부서],$Q18)&amp;"")</f>
        <v/>
      </c>
      <c r="B18">
        <f>IF($Q18="","",INDEX(상세표[사번],$Q18)&amp;"")</f>
        <v/>
      </c>
      <c r="C18">
        <f>IF($Q18="","",INDEX(상세표[성명],$Q18)&amp;"")</f>
        <v/>
      </c>
      <c r="D18">
        <f>IF($Q18="","",INDEX(상세표[직위],$Q18)&amp;"")</f>
        <v/>
      </c>
      <c r="E18">
        <f>IF($Q18="","",IF(ISNUMBER(INDEX(상세표[근무일자],$Q18)),TEXT(INDEX(상세표[근무일자],$Q18),"yyyy-mm-dd"),INDEX(상세표[근무일자],$Q18)&amp;""))</f>
        <v/>
      </c>
      <c r="F18">
        <f>IF($Q18="","",IF(ISNUMBER(INDEX(상세표[시작],$Q18)),TEXT(INDEX(상세표[시작],$Q18),"yyyy-mm-dd hh:mm"),INDEX(상세표[시작],$Q18)&amp;""))</f>
        <v/>
      </c>
      <c r="G18">
        <f>IF($Q18="","",IF(ISNUMBER(INDEX(상세표[블록종료],$Q18)),TEXT(INDEX(상세표[블록종료],$Q18),"yyyy-mm-dd hh:mm"),INDEX(상세표[블록종료],$Q18)&amp;""))</f>
        <v/>
      </c>
      <c r="H18">
        <f>IF($Q18="","",CHOOSE(WEEKDAY(INDEX(상세표[시작],$Q18)),"일","월","화","수","목","금","토"))</f>
        <v/>
      </c>
      <c r="I18" s="20">
        <f>IF($Q18="","",INDEX(상세표[연속 시간],$Q18))</f>
        <v/>
      </c>
      <c r="J18">
        <f>IF($Q18="","",INDEX(상세표[기록 수],$Q18))</f>
        <v/>
      </c>
      <c r="K18" s="20">
        <f>IF($Q18="","",INDEX(상세표[블록 06~07시],$Q18))</f>
        <v/>
      </c>
      <c r="L18" s="20">
        <f>IF($Q18="","",INDEX(상세표[블록 07~18시],$Q18))</f>
        <v/>
      </c>
      <c r="M18" s="20">
        <f>IF($Q18="","",INDEX(상세표[블록 18~22시],$Q18))</f>
        <v/>
      </c>
      <c r="N18" s="20">
        <f>IF($Q18="","",INDEX(상세표[블록 22~06시],$Q18))</f>
        <v/>
      </c>
      <c r="O18">
        <f>IF($Q18="","",INDEX(상세표[주말·휴일 포함],$Q18)&amp;"")</f>
        <v/>
      </c>
      <c r="P18">
        <f>IF($Q18="","",INDEX(상세표[월 넘김 포함],$Q18)&amp;"")</f>
        <v/>
      </c>
      <c r="Q18" s="4">
        <f>IFERROR(MATCH(13,상세표[연속순번],0),"")</f>
        <v/>
      </c>
    </row>
    <row r="19">
      <c r="A19">
        <f>IF($Q19="","",INDEX(상세표[부서],$Q19)&amp;"")</f>
        <v/>
      </c>
      <c r="B19">
        <f>IF($Q19="","",INDEX(상세표[사번],$Q19)&amp;"")</f>
        <v/>
      </c>
      <c r="C19">
        <f>IF($Q19="","",INDEX(상세표[성명],$Q19)&amp;"")</f>
        <v/>
      </c>
      <c r="D19">
        <f>IF($Q19="","",INDEX(상세표[직위],$Q19)&amp;"")</f>
        <v/>
      </c>
      <c r="E19">
        <f>IF($Q19="","",IF(ISNUMBER(INDEX(상세표[근무일자],$Q19)),TEXT(INDEX(상세표[근무일자],$Q19),"yyyy-mm-dd"),INDEX(상세표[근무일자],$Q19)&amp;""))</f>
        <v/>
      </c>
      <c r="F19">
        <f>IF($Q19="","",IF(ISNUMBER(INDEX(상세표[시작],$Q19)),TEXT(INDEX(상세표[시작],$Q19),"yyyy-mm-dd hh:mm"),INDEX(상세표[시작],$Q19)&amp;""))</f>
        <v/>
      </c>
      <c r="G19">
        <f>IF($Q19="","",IF(ISNUMBER(INDEX(상세표[블록종료],$Q19)),TEXT(INDEX(상세표[블록종료],$Q19),"yyyy-mm-dd hh:mm"),INDEX(상세표[블록종료],$Q19)&amp;""))</f>
        <v/>
      </c>
      <c r="H19">
        <f>IF($Q19="","",CHOOSE(WEEKDAY(INDEX(상세표[시작],$Q19)),"일","월","화","수","목","금","토"))</f>
        <v/>
      </c>
      <c r="I19" s="20">
        <f>IF($Q19="","",INDEX(상세표[연속 시간],$Q19))</f>
        <v/>
      </c>
      <c r="J19">
        <f>IF($Q19="","",INDEX(상세표[기록 수],$Q19))</f>
        <v/>
      </c>
      <c r="K19" s="20">
        <f>IF($Q19="","",INDEX(상세표[블록 06~07시],$Q19))</f>
        <v/>
      </c>
      <c r="L19" s="20">
        <f>IF($Q19="","",INDEX(상세표[블록 07~18시],$Q19))</f>
        <v/>
      </c>
      <c r="M19" s="20">
        <f>IF($Q19="","",INDEX(상세표[블록 18~22시],$Q19))</f>
        <v/>
      </c>
      <c r="N19" s="20">
        <f>IF($Q19="","",INDEX(상세표[블록 22~06시],$Q19))</f>
        <v/>
      </c>
      <c r="O19">
        <f>IF($Q19="","",INDEX(상세표[주말·휴일 포함],$Q19)&amp;"")</f>
        <v/>
      </c>
      <c r="P19">
        <f>IF($Q19="","",INDEX(상세표[월 넘김 포함],$Q19)&amp;"")</f>
        <v/>
      </c>
      <c r="Q19" s="4">
        <f>IFERROR(MATCH(14,상세표[연속순번],0),"")</f>
        <v/>
      </c>
    </row>
    <row r="20">
      <c r="A20">
        <f>IF($Q20="","",INDEX(상세표[부서],$Q20)&amp;"")</f>
        <v/>
      </c>
      <c r="B20">
        <f>IF($Q20="","",INDEX(상세표[사번],$Q20)&amp;"")</f>
        <v/>
      </c>
      <c r="C20">
        <f>IF($Q20="","",INDEX(상세표[성명],$Q20)&amp;"")</f>
        <v/>
      </c>
      <c r="D20">
        <f>IF($Q20="","",INDEX(상세표[직위],$Q20)&amp;"")</f>
        <v/>
      </c>
      <c r="E20">
        <f>IF($Q20="","",IF(ISNUMBER(INDEX(상세표[근무일자],$Q20)),TEXT(INDEX(상세표[근무일자],$Q20),"yyyy-mm-dd"),INDEX(상세표[근무일자],$Q20)&amp;""))</f>
        <v/>
      </c>
      <c r="F20">
        <f>IF($Q20="","",IF(ISNUMBER(INDEX(상세표[시작],$Q20)),TEXT(INDEX(상세표[시작],$Q20),"yyyy-mm-dd hh:mm"),INDEX(상세표[시작],$Q20)&amp;""))</f>
        <v/>
      </c>
      <c r="G20">
        <f>IF($Q20="","",IF(ISNUMBER(INDEX(상세표[블록종료],$Q20)),TEXT(INDEX(상세표[블록종료],$Q20),"yyyy-mm-dd hh:mm"),INDEX(상세표[블록종료],$Q20)&amp;""))</f>
        <v/>
      </c>
      <c r="H20">
        <f>IF($Q20="","",CHOOSE(WEEKDAY(INDEX(상세표[시작],$Q20)),"일","월","화","수","목","금","토"))</f>
        <v/>
      </c>
      <c r="I20" s="20">
        <f>IF($Q20="","",INDEX(상세표[연속 시간],$Q20))</f>
        <v/>
      </c>
      <c r="J20">
        <f>IF($Q20="","",INDEX(상세표[기록 수],$Q20))</f>
        <v/>
      </c>
      <c r="K20" s="20">
        <f>IF($Q20="","",INDEX(상세표[블록 06~07시],$Q20))</f>
        <v/>
      </c>
      <c r="L20" s="20">
        <f>IF($Q20="","",INDEX(상세표[블록 07~18시],$Q20))</f>
        <v/>
      </c>
      <c r="M20" s="20">
        <f>IF($Q20="","",INDEX(상세표[블록 18~22시],$Q20))</f>
        <v/>
      </c>
      <c r="N20" s="20">
        <f>IF($Q20="","",INDEX(상세표[블록 22~06시],$Q20))</f>
        <v/>
      </c>
      <c r="O20">
        <f>IF($Q20="","",INDEX(상세표[주말·휴일 포함],$Q20)&amp;"")</f>
        <v/>
      </c>
      <c r="P20">
        <f>IF($Q20="","",INDEX(상세표[월 넘김 포함],$Q20)&amp;"")</f>
        <v/>
      </c>
      <c r="Q20" s="4">
        <f>IFERROR(MATCH(15,상세표[연속순번],0),"")</f>
        <v/>
      </c>
    </row>
    <row r="21">
      <c r="A21">
        <f>IF($Q21="","",INDEX(상세표[부서],$Q21)&amp;"")</f>
        <v/>
      </c>
      <c r="B21">
        <f>IF($Q21="","",INDEX(상세표[사번],$Q21)&amp;"")</f>
        <v/>
      </c>
      <c r="C21">
        <f>IF($Q21="","",INDEX(상세표[성명],$Q21)&amp;"")</f>
        <v/>
      </c>
      <c r="D21">
        <f>IF($Q21="","",INDEX(상세표[직위],$Q21)&amp;"")</f>
        <v/>
      </c>
      <c r="E21">
        <f>IF($Q21="","",IF(ISNUMBER(INDEX(상세표[근무일자],$Q21)),TEXT(INDEX(상세표[근무일자],$Q21),"yyyy-mm-dd"),INDEX(상세표[근무일자],$Q21)&amp;""))</f>
        <v/>
      </c>
      <c r="F21">
        <f>IF($Q21="","",IF(ISNUMBER(INDEX(상세표[시작],$Q21)),TEXT(INDEX(상세표[시작],$Q21),"yyyy-mm-dd hh:mm"),INDEX(상세표[시작],$Q21)&amp;""))</f>
        <v/>
      </c>
      <c r="G21">
        <f>IF($Q21="","",IF(ISNUMBER(INDEX(상세표[블록종료],$Q21)),TEXT(INDEX(상세표[블록종료],$Q21),"yyyy-mm-dd hh:mm"),INDEX(상세표[블록종료],$Q21)&amp;""))</f>
        <v/>
      </c>
      <c r="H21">
        <f>IF($Q21="","",CHOOSE(WEEKDAY(INDEX(상세표[시작],$Q21)),"일","월","화","수","목","금","토"))</f>
        <v/>
      </c>
      <c r="I21" s="20">
        <f>IF($Q21="","",INDEX(상세표[연속 시간],$Q21))</f>
        <v/>
      </c>
      <c r="J21">
        <f>IF($Q21="","",INDEX(상세표[기록 수],$Q21))</f>
        <v/>
      </c>
      <c r="K21" s="20">
        <f>IF($Q21="","",INDEX(상세표[블록 06~07시],$Q21))</f>
        <v/>
      </c>
      <c r="L21" s="20">
        <f>IF($Q21="","",INDEX(상세표[블록 07~18시],$Q21))</f>
        <v/>
      </c>
      <c r="M21" s="20">
        <f>IF($Q21="","",INDEX(상세표[블록 18~22시],$Q21))</f>
        <v/>
      </c>
      <c r="N21" s="20">
        <f>IF($Q21="","",INDEX(상세표[블록 22~06시],$Q21))</f>
        <v/>
      </c>
      <c r="O21">
        <f>IF($Q21="","",INDEX(상세표[주말·휴일 포함],$Q21)&amp;"")</f>
        <v/>
      </c>
      <c r="P21">
        <f>IF($Q21="","",INDEX(상세표[월 넘김 포함],$Q21)&amp;"")</f>
        <v/>
      </c>
      <c r="Q21" s="4">
        <f>IFERROR(MATCH(16,상세표[연속순번],0),"")</f>
        <v/>
      </c>
    </row>
    <row r="22">
      <c r="A22">
        <f>IF($Q22="","",INDEX(상세표[부서],$Q22)&amp;"")</f>
        <v/>
      </c>
      <c r="B22">
        <f>IF($Q22="","",INDEX(상세표[사번],$Q22)&amp;"")</f>
        <v/>
      </c>
      <c r="C22">
        <f>IF($Q22="","",INDEX(상세표[성명],$Q22)&amp;"")</f>
        <v/>
      </c>
      <c r="D22">
        <f>IF($Q22="","",INDEX(상세표[직위],$Q22)&amp;"")</f>
        <v/>
      </c>
      <c r="E22">
        <f>IF($Q22="","",IF(ISNUMBER(INDEX(상세표[근무일자],$Q22)),TEXT(INDEX(상세표[근무일자],$Q22),"yyyy-mm-dd"),INDEX(상세표[근무일자],$Q22)&amp;""))</f>
        <v/>
      </c>
      <c r="F22">
        <f>IF($Q22="","",IF(ISNUMBER(INDEX(상세표[시작],$Q22)),TEXT(INDEX(상세표[시작],$Q22),"yyyy-mm-dd hh:mm"),INDEX(상세표[시작],$Q22)&amp;""))</f>
        <v/>
      </c>
      <c r="G22">
        <f>IF($Q22="","",IF(ISNUMBER(INDEX(상세표[블록종료],$Q22)),TEXT(INDEX(상세표[블록종료],$Q22),"yyyy-mm-dd hh:mm"),INDEX(상세표[블록종료],$Q22)&amp;""))</f>
        <v/>
      </c>
      <c r="H22">
        <f>IF($Q22="","",CHOOSE(WEEKDAY(INDEX(상세표[시작],$Q22)),"일","월","화","수","목","금","토"))</f>
        <v/>
      </c>
      <c r="I22" s="20">
        <f>IF($Q22="","",INDEX(상세표[연속 시간],$Q22))</f>
        <v/>
      </c>
      <c r="J22">
        <f>IF($Q22="","",INDEX(상세표[기록 수],$Q22))</f>
        <v/>
      </c>
      <c r="K22" s="20">
        <f>IF($Q22="","",INDEX(상세표[블록 06~07시],$Q22))</f>
        <v/>
      </c>
      <c r="L22" s="20">
        <f>IF($Q22="","",INDEX(상세표[블록 07~18시],$Q22))</f>
        <v/>
      </c>
      <c r="M22" s="20">
        <f>IF($Q22="","",INDEX(상세표[블록 18~22시],$Q22))</f>
        <v/>
      </c>
      <c r="N22" s="20">
        <f>IF($Q22="","",INDEX(상세표[블록 22~06시],$Q22))</f>
        <v/>
      </c>
      <c r="O22">
        <f>IF($Q22="","",INDEX(상세표[주말·휴일 포함],$Q22)&amp;"")</f>
        <v/>
      </c>
      <c r="P22">
        <f>IF($Q22="","",INDEX(상세표[월 넘김 포함],$Q22)&amp;"")</f>
        <v/>
      </c>
      <c r="Q22" s="4">
        <f>IFERROR(MATCH(17,상세표[연속순번],0),"")</f>
        <v/>
      </c>
    </row>
    <row r="23">
      <c r="A23">
        <f>IF($Q23="","",INDEX(상세표[부서],$Q23)&amp;"")</f>
        <v/>
      </c>
      <c r="B23">
        <f>IF($Q23="","",INDEX(상세표[사번],$Q23)&amp;"")</f>
        <v/>
      </c>
      <c r="C23">
        <f>IF($Q23="","",INDEX(상세표[성명],$Q23)&amp;"")</f>
        <v/>
      </c>
      <c r="D23">
        <f>IF($Q23="","",INDEX(상세표[직위],$Q23)&amp;"")</f>
        <v/>
      </c>
      <c r="E23">
        <f>IF($Q23="","",IF(ISNUMBER(INDEX(상세표[근무일자],$Q23)),TEXT(INDEX(상세표[근무일자],$Q23),"yyyy-mm-dd"),INDEX(상세표[근무일자],$Q23)&amp;""))</f>
        <v/>
      </c>
      <c r="F23">
        <f>IF($Q23="","",IF(ISNUMBER(INDEX(상세표[시작],$Q23)),TEXT(INDEX(상세표[시작],$Q23),"yyyy-mm-dd hh:mm"),INDEX(상세표[시작],$Q23)&amp;""))</f>
        <v/>
      </c>
      <c r="G23">
        <f>IF($Q23="","",IF(ISNUMBER(INDEX(상세표[블록종료],$Q23)),TEXT(INDEX(상세표[블록종료],$Q23),"yyyy-mm-dd hh:mm"),INDEX(상세표[블록종료],$Q23)&amp;""))</f>
        <v/>
      </c>
      <c r="H23">
        <f>IF($Q23="","",CHOOSE(WEEKDAY(INDEX(상세표[시작],$Q23)),"일","월","화","수","목","금","토"))</f>
        <v/>
      </c>
      <c r="I23" s="20">
        <f>IF($Q23="","",INDEX(상세표[연속 시간],$Q23))</f>
        <v/>
      </c>
      <c r="J23">
        <f>IF($Q23="","",INDEX(상세표[기록 수],$Q23))</f>
        <v/>
      </c>
      <c r="K23" s="20">
        <f>IF($Q23="","",INDEX(상세표[블록 06~07시],$Q23))</f>
        <v/>
      </c>
      <c r="L23" s="20">
        <f>IF($Q23="","",INDEX(상세표[블록 07~18시],$Q23))</f>
        <v/>
      </c>
      <c r="M23" s="20">
        <f>IF($Q23="","",INDEX(상세표[블록 18~22시],$Q23))</f>
        <v/>
      </c>
      <c r="N23" s="20">
        <f>IF($Q23="","",INDEX(상세표[블록 22~06시],$Q23))</f>
        <v/>
      </c>
      <c r="O23">
        <f>IF($Q23="","",INDEX(상세표[주말·휴일 포함],$Q23)&amp;"")</f>
        <v/>
      </c>
      <c r="P23">
        <f>IF($Q23="","",INDEX(상세표[월 넘김 포함],$Q23)&amp;"")</f>
        <v/>
      </c>
      <c r="Q23" s="4">
        <f>IFERROR(MATCH(18,상세표[연속순번],0),"")</f>
        <v/>
      </c>
    </row>
    <row r="24">
      <c r="A24">
        <f>IF($Q24="","",INDEX(상세표[부서],$Q24)&amp;"")</f>
        <v/>
      </c>
      <c r="B24">
        <f>IF($Q24="","",INDEX(상세표[사번],$Q24)&amp;"")</f>
        <v/>
      </c>
      <c r="C24">
        <f>IF($Q24="","",INDEX(상세표[성명],$Q24)&amp;"")</f>
        <v/>
      </c>
      <c r="D24">
        <f>IF($Q24="","",INDEX(상세표[직위],$Q24)&amp;"")</f>
        <v/>
      </c>
      <c r="E24">
        <f>IF($Q24="","",IF(ISNUMBER(INDEX(상세표[근무일자],$Q24)),TEXT(INDEX(상세표[근무일자],$Q24),"yyyy-mm-dd"),INDEX(상세표[근무일자],$Q24)&amp;""))</f>
        <v/>
      </c>
      <c r="F24">
        <f>IF($Q24="","",IF(ISNUMBER(INDEX(상세표[시작],$Q24)),TEXT(INDEX(상세표[시작],$Q24),"yyyy-mm-dd hh:mm"),INDEX(상세표[시작],$Q24)&amp;""))</f>
        <v/>
      </c>
      <c r="G24">
        <f>IF($Q24="","",IF(ISNUMBER(INDEX(상세표[블록종료],$Q24)),TEXT(INDEX(상세표[블록종료],$Q24),"yyyy-mm-dd hh:mm"),INDEX(상세표[블록종료],$Q24)&amp;""))</f>
        <v/>
      </c>
      <c r="H24">
        <f>IF($Q24="","",CHOOSE(WEEKDAY(INDEX(상세표[시작],$Q24)),"일","월","화","수","목","금","토"))</f>
        <v/>
      </c>
      <c r="I24" s="20">
        <f>IF($Q24="","",INDEX(상세표[연속 시간],$Q24))</f>
        <v/>
      </c>
      <c r="J24">
        <f>IF($Q24="","",INDEX(상세표[기록 수],$Q24))</f>
        <v/>
      </c>
      <c r="K24" s="20">
        <f>IF($Q24="","",INDEX(상세표[블록 06~07시],$Q24))</f>
        <v/>
      </c>
      <c r="L24" s="20">
        <f>IF($Q24="","",INDEX(상세표[블록 07~18시],$Q24))</f>
        <v/>
      </c>
      <c r="M24" s="20">
        <f>IF($Q24="","",INDEX(상세표[블록 18~22시],$Q24))</f>
        <v/>
      </c>
      <c r="N24" s="20">
        <f>IF($Q24="","",INDEX(상세표[블록 22~06시],$Q24))</f>
        <v/>
      </c>
      <c r="O24">
        <f>IF($Q24="","",INDEX(상세표[주말·휴일 포함],$Q24)&amp;"")</f>
        <v/>
      </c>
      <c r="P24">
        <f>IF($Q24="","",INDEX(상세표[월 넘김 포함],$Q24)&amp;"")</f>
        <v/>
      </c>
      <c r="Q24" s="4">
        <f>IFERROR(MATCH(19,상세표[연속순번],0),"")</f>
        <v/>
      </c>
    </row>
    <row r="25">
      <c r="A25">
        <f>IF($Q25="","",INDEX(상세표[부서],$Q25)&amp;"")</f>
        <v/>
      </c>
      <c r="B25">
        <f>IF($Q25="","",INDEX(상세표[사번],$Q25)&amp;"")</f>
        <v/>
      </c>
      <c r="C25">
        <f>IF($Q25="","",INDEX(상세표[성명],$Q25)&amp;"")</f>
        <v/>
      </c>
      <c r="D25">
        <f>IF($Q25="","",INDEX(상세표[직위],$Q25)&amp;"")</f>
        <v/>
      </c>
      <c r="E25">
        <f>IF($Q25="","",IF(ISNUMBER(INDEX(상세표[근무일자],$Q25)),TEXT(INDEX(상세표[근무일자],$Q25),"yyyy-mm-dd"),INDEX(상세표[근무일자],$Q25)&amp;""))</f>
        <v/>
      </c>
      <c r="F25">
        <f>IF($Q25="","",IF(ISNUMBER(INDEX(상세표[시작],$Q25)),TEXT(INDEX(상세표[시작],$Q25),"yyyy-mm-dd hh:mm"),INDEX(상세표[시작],$Q25)&amp;""))</f>
        <v/>
      </c>
      <c r="G25">
        <f>IF($Q25="","",IF(ISNUMBER(INDEX(상세표[블록종료],$Q25)),TEXT(INDEX(상세표[블록종료],$Q25),"yyyy-mm-dd hh:mm"),INDEX(상세표[블록종료],$Q25)&amp;""))</f>
        <v/>
      </c>
      <c r="H25">
        <f>IF($Q25="","",CHOOSE(WEEKDAY(INDEX(상세표[시작],$Q25)),"일","월","화","수","목","금","토"))</f>
        <v/>
      </c>
      <c r="I25" s="20">
        <f>IF($Q25="","",INDEX(상세표[연속 시간],$Q25))</f>
        <v/>
      </c>
      <c r="J25">
        <f>IF($Q25="","",INDEX(상세표[기록 수],$Q25))</f>
        <v/>
      </c>
      <c r="K25" s="20">
        <f>IF($Q25="","",INDEX(상세표[블록 06~07시],$Q25))</f>
        <v/>
      </c>
      <c r="L25" s="20">
        <f>IF($Q25="","",INDEX(상세표[블록 07~18시],$Q25))</f>
        <v/>
      </c>
      <c r="M25" s="20">
        <f>IF($Q25="","",INDEX(상세표[블록 18~22시],$Q25))</f>
        <v/>
      </c>
      <c r="N25" s="20">
        <f>IF($Q25="","",INDEX(상세표[블록 22~06시],$Q25))</f>
        <v/>
      </c>
      <c r="O25">
        <f>IF($Q25="","",INDEX(상세표[주말·휴일 포함],$Q25)&amp;"")</f>
        <v/>
      </c>
      <c r="P25">
        <f>IF($Q25="","",INDEX(상세표[월 넘김 포함],$Q25)&amp;"")</f>
        <v/>
      </c>
      <c r="Q25" s="4">
        <f>IFERROR(MATCH(20,상세표[연속순번],0),"")</f>
        <v/>
      </c>
    </row>
    <row r="26">
      <c r="A26">
        <f>IF($Q26="","",INDEX(상세표[부서],$Q26)&amp;"")</f>
        <v/>
      </c>
      <c r="B26">
        <f>IF($Q26="","",INDEX(상세표[사번],$Q26)&amp;"")</f>
        <v/>
      </c>
      <c r="C26">
        <f>IF($Q26="","",INDEX(상세표[성명],$Q26)&amp;"")</f>
        <v/>
      </c>
      <c r="D26">
        <f>IF($Q26="","",INDEX(상세표[직위],$Q26)&amp;"")</f>
        <v/>
      </c>
      <c r="E26">
        <f>IF($Q26="","",IF(ISNUMBER(INDEX(상세표[근무일자],$Q26)),TEXT(INDEX(상세표[근무일자],$Q26),"yyyy-mm-dd"),INDEX(상세표[근무일자],$Q26)&amp;""))</f>
        <v/>
      </c>
      <c r="F26">
        <f>IF($Q26="","",IF(ISNUMBER(INDEX(상세표[시작],$Q26)),TEXT(INDEX(상세표[시작],$Q26),"yyyy-mm-dd hh:mm"),INDEX(상세표[시작],$Q26)&amp;""))</f>
        <v/>
      </c>
      <c r="G26">
        <f>IF($Q26="","",IF(ISNUMBER(INDEX(상세표[블록종료],$Q26)),TEXT(INDEX(상세표[블록종료],$Q26),"yyyy-mm-dd hh:mm"),INDEX(상세표[블록종료],$Q26)&amp;""))</f>
        <v/>
      </c>
      <c r="H26">
        <f>IF($Q26="","",CHOOSE(WEEKDAY(INDEX(상세표[시작],$Q26)),"일","월","화","수","목","금","토"))</f>
        <v/>
      </c>
      <c r="I26" s="20">
        <f>IF($Q26="","",INDEX(상세표[연속 시간],$Q26))</f>
        <v/>
      </c>
      <c r="J26">
        <f>IF($Q26="","",INDEX(상세표[기록 수],$Q26))</f>
        <v/>
      </c>
      <c r="K26" s="20">
        <f>IF($Q26="","",INDEX(상세표[블록 06~07시],$Q26))</f>
        <v/>
      </c>
      <c r="L26" s="20">
        <f>IF($Q26="","",INDEX(상세표[블록 07~18시],$Q26))</f>
        <v/>
      </c>
      <c r="M26" s="20">
        <f>IF($Q26="","",INDEX(상세표[블록 18~22시],$Q26))</f>
        <v/>
      </c>
      <c r="N26" s="20">
        <f>IF($Q26="","",INDEX(상세표[블록 22~06시],$Q26))</f>
        <v/>
      </c>
      <c r="O26">
        <f>IF($Q26="","",INDEX(상세표[주말·휴일 포함],$Q26)&amp;"")</f>
        <v/>
      </c>
      <c r="P26">
        <f>IF($Q26="","",INDEX(상세표[월 넘김 포함],$Q26)&amp;"")</f>
        <v/>
      </c>
      <c r="Q26" s="4">
        <f>IFERROR(MATCH(21,상세표[연속순번],0),"")</f>
        <v/>
      </c>
    </row>
    <row r="27">
      <c r="A27">
        <f>IF($Q27="","",INDEX(상세표[부서],$Q27)&amp;"")</f>
        <v/>
      </c>
      <c r="B27">
        <f>IF($Q27="","",INDEX(상세표[사번],$Q27)&amp;"")</f>
        <v/>
      </c>
      <c r="C27">
        <f>IF($Q27="","",INDEX(상세표[성명],$Q27)&amp;"")</f>
        <v/>
      </c>
      <c r="D27">
        <f>IF($Q27="","",INDEX(상세표[직위],$Q27)&amp;"")</f>
        <v/>
      </c>
      <c r="E27">
        <f>IF($Q27="","",IF(ISNUMBER(INDEX(상세표[근무일자],$Q27)),TEXT(INDEX(상세표[근무일자],$Q27),"yyyy-mm-dd"),INDEX(상세표[근무일자],$Q27)&amp;""))</f>
        <v/>
      </c>
      <c r="F27">
        <f>IF($Q27="","",IF(ISNUMBER(INDEX(상세표[시작],$Q27)),TEXT(INDEX(상세표[시작],$Q27),"yyyy-mm-dd hh:mm"),INDEX(상세표[시작],$Q27)&amp;""))</f>
        <v/>
      </c>
      <c r="G27">
        <f>IF($Q27="","",IF(ISNUMBER(INDEX(상세표[블록종료],$Q27)),TEXT(INDEX(상세표[블록종료],$Q27),"yyyy-mm-dd hh:mm"),INDEX(상세표[블록종료],$Q27)&amp;""))</f>
        <v/>
      </c>
      <c r="H27">
        <f>IF($Q27="","",CHOOSE(WEEKDAY(INDEX(상세표[시작],$Q27)),"일","월","화","수","목","금","토"))</f>
        <v/>
      </c>
      <c r="I27" s="20">
        <f>IF($Q27="","",INDEX(상세표[연속 시간],$Q27))</f>
        <v/>
      </c>
      <c r="J27">
        <f>IF($Q27="","",INDEX(상세표[기록 수],$Q27))</f>
        <v/>
      </c>
      <c r="K27" s="20">
        <f>IF($Q27="","",INDEX(상세표[블록 06~07시],$Q27))</f>
        <v/>
      </c>
      <c r="L27" s="20">
        <f>IF($Q27="","",INDEX(상세표[블록 07~18시],$Q27))</f>
        <v/>
      </c>
      <c r="M27" s="20">
        <f>IF($Q27="","",INDEX(상세표[블록 18~22시],$Q27))</f>
        <v/>
      </c>
      <c r="N27" s="20">
        <f>IF($Q27="","",INDEX(상세표[블록 22~06시],$Q27))</f>
        <v/>
      </c>
      <c r="O27">
        <f>IF($Q27="","",INDEX(상세표[주말·휴일 포함],$Q27)&amp;"")</f>
        <v/>
      </c>
      <c r="P27">
        <f>IF($Q27="","",INDEX(상세표[월 넘김 포함],$Q27)&amp;"")</f>
        <v/>
      </c>
      <c r="Q27" s="4">
        <f>IFERROR(MATCH(22,상세표[연속순번],0),"")</f>
        <v/>
      </c>
    </row>
    <row r="28">
      <c r="A28">
        <f>IF($Q28="","",INDEX(상세표[부서],$Q28)&amp;"")</f>
        <v/>
      </c>
      <c r="B28">
        <f>IF($Q28="","",INDEX(상세표[사번],$Q28)&amp;"")</f>
        <v/>
      </c>
      <c r="C28">
        <f>IF($Q28="","",INDEX(상세표[성명],$Q28)&amp;"")</f>
        <v/>
      </c>
      <c r="D28">
        <f>IF($Q28="","",INDEX(상세표[직위],$Q28)&amp;"")</f>
        <v/>
      </c>
      <c r="E28">
        <f>IF($Q28="","",IF(ISNUMBER(INDEX(상세표[근무일자],$Q28)),TEXT(INDEX(상세표[근무일자],$Q28),"yyyy-mm-dd"),INDEX(상세표[근무일자],$Q28)&amp;""))</f>
        <v/>
      </c>
      <c r="F28">
        <f>IF($Q28="","",IF(ISNUMBER(INDEX(상세표[시작],$Q28)),TEXT(INDEX(상세표[시작],$Q28),"yyyy-mm-dd hh:mm"),INDEX(상세표[시작],$Q28)&amp;""))</f>
        <v/>
      </c>
      <c r="G28">
        <f>IF($Q28="","",IF(ISNUMBER(INDEX(상세표[블록종료],$Q28)),TEXT(INDEX(상세표[블록종료],$Q28),"yyyy-mm-dd hh:mm"),INDEX(상세표[블록종료],$Q28)&amp;""))</f>
        <v/>
      </c>
      <c r="H28">
        <f>IF($Q28="","",CHOOSE(WEEKDAY(INDEX(상세표[시작],$Q28)),"일","월","화","수","목","금","토"))</f>
        <v/>
      </c>
      <c r="I28" s="20">
        <f>IF($Q28="","",INDEX(상세표[연속 시간],$Q28))</f>
        <v/>
      </c>
      <c r="J28">
        <f>IF($Q28="","",INDEX(상세표[기록 수],$Q28))</f>
        <v/>
      </c>
      <c r="K28" s="20">
        <f>IF($Q28="","",INDEX(상세표[블록 06~07시],$Q28))</f>
        <v/>
      </c>
      <c r="L28" s="20">
        <f>IF($Q28="","",INDEX(상세표[블록 07~18시],$Q28))</f>
        <v/>
      </c>
      <c r="M28" s="20">
        <f>IF($Q28="","",INDEX(상세표[블록 18~22시],$Q28))</f>
        <v/>
      </c>
      <c r="N28" s="20">
        <f>IF($Q28="","",INDEX(상세표[블록 22~06시],$Q28))</f>
        <v/>
      </c>
      <c r="O28">
        <f>IF($Q28="","",INDEX(상세표[주말·휴일 포함],$Q28)&amp;"")</f>
        <v/>
      </c>
      <c r="P28">
        <f>IF($Q28="","",INDEX(상세표[월 넘김 포함],$Q28)&amp;"")</f>
        <v/>
      </c>
      <c r="Q28" s="4">
        <f>IFERROR(MATCH(23,상세표[연속순번],0),"")</f>
        <v/>
      </c>
    </row>
    <row r="29">
      <c r="A29">
        <f>IF($Q29="","",INDEX(상세표[부서],$Q29)&amp;"")</f>
        <v/>
      </c>
      <c r="B29">
        <f>IF($Q29="","",INDEX(상세표[사번],$Q29)&amp;"")</f>
        <v/>
      </c>
      <c r="C29">
        <f>IF($Q29="","",INDEX(상세표[성명],$Q29)&amp;"")</f>
        <v/>
      </c>
      <c r="D29">
        <f>IF($Q29="","",INDEX(상세표[직위],$Q29)&amp;"")</f>
        <v/>
      </c>
      <c r="E29">
        <f>IF($Q29="","",IF(ISNUMBER(INDEX(상세표[근무일자],$Q29)),TEXT(INDEX(상세표[근무일자],$Q29),"yyyy-mm-dd"),INDEX(상세표[근무일자],$Q29)&amp;""))</f>
        <v/>
      </c>
      <c r="F29">
        <f>IF($Q29="","",IF(ISNUMBER(INDEX(상세표[시작],$Q29)),TEXT(INDEX(상세표[시작],$Q29),"yyyy-mm-dd hh:mm"),INDEX(상세표[시작],$Q29)&amp;""))</f>
        <v/>
      </c>
      <c r="G29">
        <f>IF($Q29="","",IF(ISNUMBER(INDEX(상세표[블록종료],$Q29)),TEXT(INDEX(상세표[블록종료],$Q29),"yyyy-mm-dd hh:mm"),INDEX(상세표[블록종료],$Q29)&amp;""))</f>
        <v/>
      </c>
      <c r="H29">
        <f>IF($Q29="","",CHOOSE(WEEKDAY(INDEX(상세표[시작],$Q29)),"일","월","화","수","목","금","토"))</f>
        <v/>
      </c>
      <c r="I29" s="20">
        <f>IF($Q29="","",INDEX(상세표[연속 시간],$Q29))</f>
        <v/>
      </c>
      <c r="J29">
        <f>IF($Q29="","",INDEX(상세표[기록 수],$Q29))</f>
        <v/>
      </c>
      <c r="K29" s="20">
        <f>IF($Q29="","",INDEX(상세표[블록 06~07시],$Q29))</f>
        <v/>
      </c>
      <c r="L29" s="20">
        <f>IF($Q29="","",INDEX(상세표[블록 07~18시],$Q29))</f>
        <v/>
      </c>
      <c r="M29" s="20">
        <f>IF($Q29="","",INDEX(상세표[블록 18~22시],$Q29))</f>
        <v/>
      </c>
      <c r="N29" s="20">
        <f>IF($Q29="","",INDEX(상세표[블록 22~06시],$Q29))</f>
        <v/>
      </c>
      <c r="O29">
        <f>IF($Q29="","",INDEX(상세표[주말·휴일 포함],$Q29)&amp;"")</f>
        <v/>
      </c>
      <c r="P29">
        <f>IF($Q29="","",INDEX(상세표[월 넘김 포함],$Q29)&amp;"")</f>
        <v/>
      </c>
      <c r="Q29" s="4">
        <f>IFERROR(MATCH(24,상세표[연속순번],0),"")</f>
        <v/>
      </c>
    </row>
    <row r="30">
      <c r="A30">
        <f>IF($Q30="","",INDEX(상세표[부서],$Q30)&amp;"")</f>
        <v/>
      </c>
      <c r="B30">
        <f>IF($Q30="","",INDEX(상세표[사번],$Q30)&amp;"")</f>
        <v/>
      </c>
      <c r="C30">
        <f>IF($Q30="","",INDEX(상세표[성명],$Q30)&amp;"")</f>
        <v/>
      </c>
      <c r="D30">
        <f>IF($Q30="","",INDEX(상세표[직위],$Q30)&amp;"")</f>
        <v/>
      </c>
      <c r="E30">
        <f>IF($Q30="","",IF(ISNUMBER(INDEX(상세표[근무일자],$Q30)),TEXT(INDEX(상세표[근무일자],$Q30),"yyyy-mm-dd"),INDEX(상세표[근무일자],$Q30)&amp;""))</f>
        <v/>
      </c>
      <c r="F30">
        <f>IF($Q30="","",IF(ISNUMBER(INDEX(상세표[시작],$Q30)),TEXT(INDEX(상세표[시작],$Q30),"yyyy-mm-dd hh:mm"),INDEX(상세표[시작],$Q30)&amp;""))</f>
        <v/>
      </c>
      <c r="G30">
        <f>IF($Q30="","",IF(ISNUMBER(INDEX(상세표[블록종료],$Q30)),TEXT(INDEX(상세표[블록종료],$Q30),"yyyy-mm-dd hh:mm"),INDEX(상세표[블록종료],$Q30)&amp;""))</f>
        <v/>
      </c>
      <c r="H30">
        <f>IF($Q30="","",CHOOSE(WEEKDAY(INDEX(상세표[시작],$Q30)),"일","월","화","수","목","금","토"))</f>
        <v/>
      </c>
      <c r="I30" s="20">
        <f>IF($Q30="","",INDEX(상세표[연속 시간],$Q30))</f>
        <v/>
      </c>
      <c r="J30">
        <f>IF($Q30="","",INDEX(상세표[기록 수],$Q30))</f>
        <v/>
      </c>
      <c r="K30" s="20">
        <f>IF($Q30="","",INDEX(상세표[블록 06~07시],$Q30))</f>
        <v/>
      </c>
      <c r="L30" s="20">
        <f>IF($Q30="","",INDEX(상세표[블록 07~18시],$Q30))</f>
        <v/>
      </c>
      <c r="M30" s="20">
        <f>IF($Q30="","",INDEX(상세표[블록 18~22시],$Q30))</f>
        <v/>
      </c>
      <c r="N30" s="20">
        <f>IF($Q30="","",INDEX(상세표[블록 22~06시],$Q30))</f>
        <v/>
      </c>
      <c r="O30">
        <f>IF($Q30="","",INDEX(상세표[주말·휴일 포함],$Q30)&amp;"")</f>
        <v/>
      </c>
      <c r="P30">
        <f>IF($Q30="","",INDEX(상세표[월 넘김 포함],$Q30)&amp;"")</f>
        <v/>
      </c>
      <c r="Q30" s="4">
        <f>IFERROR(MATCH(25,상세표[연속순번],0),"")</f>
        <v/>
      </c>
    </row>
    <row r="31">
      <c r="A31">
        <f>IF($Q31="","",INDEX(상세표[부서],$Q31)&amp;"")</f>
        <v/>
      </c>
      <c r="B31">
        <f>IF($Q31="","",INDEX(상세표[사번],$Q31)&amp;"")</f>
        <v/>
      </c>
      <c r="C31">
        <f>IF($Q31="","",INDEX(상세표[성명],$Q31)&amp;"")</f>
        <v/>
      </c>
      <c r="D31">
        <f>IF($Q31="","",INDEX(상세표[직위],$Q31)&amp;"")</f>
        <v/>
      </c>
      <c r="E31">
        <f>IF($Q31="","",IF(ISNUMBER(INDEX(상세표[근무일자],$Q31)),TEXT(INDEX(상세표[근무일자],$Q31),"yyyy-mm-dd"),INDEX(상세표[근무일자],$Q31)&amp;""))</f>
        <v/>
      </c>
      <c r="F31">
        <f>IF($Q31="","",IF(ISNUMBER(INDEX(상세표[시작],$Q31)),TEXT(INDEX(상세표[시작],$Q31),"yyyy-mm-dd hh:mm"),INDEX(상세표[시작],$Q31)&amp;""))</f>
        <v/>
      </c>
      <c r="G31">
        <f>IF($Q31="","",IF(ISNUMBER(INDEX(상세표[블록종료],$Q31)),TEXT(INDEX(상세표[블록종료],$Q31),"yyyy-mm-dd hh:mm"),INDEX(상세표[블록종료],$Q31)&amp;""))</f>
        <v/>
      </c>
      <c r="H31">
        <f>IF($Q31="","",CHOOSE(WEEKDAY(INDEX(상세표[시작],$Q31)),"일","월","화","수","목","금","토"))</f>
        <v/>
      </c>
      <c r="I31" s="20">
        <f>IF($Q31="","",INDEX(상세표[연속 시간],$Q31))</f>
        <v/>
      </c>
      <c r="J31">
        <f>IF($Q31="","",INDEX(상세표[기록 수],$Q31))</f>
        <v/>
      </c>
      <c r="K31" s="20">
        <f>IF($Q31="","",INDEX(상세표[블록 06~07시],$Q31))</f>
        <v/>
      </c>
      <c r="L31" s="20">
        <f>IF($Q31="","",INDEX(상세표[블록 07~18시],$Q31))</f>
        <v/>
      </c>
      <c r="M31" s="20">
        <f>IF($Q31="","",INDEX(상세표[블록 18~22시],$Q31))</f>
        <v/>
      </c>
      <c r="N31" s="20">
        <f>IF($Q31="","",INDEX(상세표[블록 22~06시],$Q31))</f>
        <v/>
      </c>
      <c r="O31">
        <f>IF($Q31="","",INDEX(상세표[주말·휴일 포함],$Q31)&amp;"")</f>
        <v/>
      </c>
      <c r="P31">
        <f>IF($Q31="","",INDEX(상세표[월 넘김 포함],$Q31)&amp;"")</f>
        <v/>
      </c>
      <c r="Q31" s="4">
        <f>IFERROR(MATCH(26,상세표[연속순번],0),"")</f>
        <v/>
      </c>
    </row>
    <row r="32">
      <c r="A32">
        <f>IF($Q32="","",INDEX(상세표[부서],$Q32)&amp;"")</f>
        <v/>
      </c>
      <c r="B32">
        <f>IF($Q32="","",INDEX(상세표[사번],$Q32)&amp;"")</f>
        <v/>
      </c>
      <c r="C32">
        <f>IF($Q32="","",INDEX(상세표[성명],$Q32)&amp;"")</f>
        <v/>
      </c>
      <c r="D32">
        <f>IF($Q32="","",INDEX(상세표[직위],$Q32)&amp;"")</f>
        <v/>
      </c>
      <c r="E32">
        <f>IF($Q32="","",IF(ISNUMBER(INDEX(상세표[근무일자],$Q32)),TEXT(INDEX(상세표[근무일자],$Q32),"yyyy-mm-dd"),INDEX(상세표[근무일자],$Q32)&amp;""))</f>
        <v/>
      </c>
      <c r="F32">
        <f>IF($Q32="","",IF(ISNUMBER(INDEX(상세표[시작],$Q32)),TEXT(INDEX(상세표[시작],$Q32),"yyyy-mm-dd hh:mm"),INDEX(상세표[시작],$Q32)&amp;""))</f>
        <v/>
      </c>
      <c r="G32">
        <f>IF($Q32="","",IF(ISNUMBER(INDEX(상세표[블록종료],$Q32)),TEXT(INDEX(상세표[블록종료],$Q32),"yyyy-mm-dd hh:mm"),INDEX(상세표[블록종료],$Q32)&amp;""))</f>
        <v/>
      </c>
      <c r="H32">
        <f>IF($Q32="","",CHOOSE(WEEKDAY(INDEX(상세표[시작],$Q32)),"일","월","화","수","목","금","토"))</f>
        <v/>
      </c>
      <c r="I32" s="20">
        <f>IF($Q32="","",INDEX(상세표[연속 시간],$Q32))</f>
        <v/>
      </c>
      <c r="J32">
        <f>IF($Q32="","",INDEX(상세표[기록 수],$Q32))</f>
        <v/>
      </c>
      <c r="K32" s="20">
        <f>IF($Q32="","",INDEX(상세표[블록 06~07시],$Q32))</f>
        <v/>
      </c>
      <c r="L32" s="20">
        <f>IF($Q32="","",INDEX(상세표[블록 07~18시],$Q32))</f>
        <v/>
      </c>
      <c r="M32" s="20">
        <f>IF($Q32="","",INDEX(상세표[블록 18~22시],$Q32))</f>
        <v/>
      </c>
      <c r="N32" s="20">
        <f>IF($Q32="","",INDEX(상세표[블록 22~06시],$Q32))</f>
        <v/>
      </c>
      <c r="O32">
        <f>IF($Q32="","",INDEX(상세표[주말·휴일 포함],$Q32)&amp;"")</f>
        <v/>
      </c>
      <c r="P32">
        <f>IF($Q32="","",INDEX(상세표[월 넘김 포함],$Q32)&amp;"")</f>
        <v/>
      </c>
      <c r="Q32" s="4">
        <f>IFERROR(MATCH(27,상세표[연속순번],0),"")</f>
        <v/>
      </c>
    </row>
    <row r="33">
      <c r="A33">
        <f>IF($Q33="","",INDEX(상세표[부서],$Q33)&amp;"")</f>
        <v/>
      </c>
      <c r="B33">
        <f>IF($Q33="","",INDEX(상세표[사번],$Q33)&amp;"")</f>
        <v/>
      </c>
      <c r="C33">
        <f>IF($Q33="","",INDEX(상세표[성명],$Q33)&amp;"")</f>
        <v/>
      </c>
      <c r="D33">
        <f>IF($Q33="","",INDEX(상세표[직위],$Q33)&amp;"")</f>
        <v/>
      </c>
      <c r="E33">
        <f>IF($Q33="","",IF(ISNUMBER(INDEX(상세표[근무일자],$Q33)),TEXT(INDEX(상세표[근무일자],$Q33),"yyyy-mm-dd"),INDEX(상세표[근무일자],$Q33)&amp;""))</f>
        <v/>
      </c>
      <c r="F33">
        <f>IF($Q33="","",IF(ISNUMBER(INDEX(상세표[시작],$Q33)),TEXT(INDEX(상세표[시작],$Q33),"yyyy-mm-dd hh:mm"),INDEX(상세표[시작],$Q33)&amp;""))</f>
        <v/>
      </c>
      <c r="G33">
        <f>IF($Q33="","",IF(ISNUMBER(INDEX(상세표[블록종료],$Q33)),TEXT(INDEX(상세표[블록종료],$Q33),"yyyy-mm-dd hh:mm"),INDEX(상세표[블록종료],$Q33)&amp;""))</f>
        <v/>
      </c>
      <c r="H33">
        <f>IF($Q33="","",CHOOSE(WEEKDAY(INDEX(상세표[시작],$Q33)),"일","월","화","수","목","금","토"))</f>
        <v/>
      </c>
      <c r="I33" s="20">
        <f>IF($Q33="","",INDEX(상세표[연속 시간],$Q33))</f>
        <v/>
      </c>
      <c r="J33">
        <f>IF($Q33="","",INDEX(상세표[기록 수],$Q33))</f>
        <v/>
      </c>
      <c r="K33" s="20">
        <f>IF($Q33="","",INDEX(상세표[블록 06~07시],$Q33))</f>
        <v/>
      </c>
      <c r="L33" s="20">
        <f>IF($Q33="","",INDEX(상세표[블록 07~18시],$Q33))</f>
        <v/>
      </c>
      <c r="M33" s="20">
        <f>IF($Q33="","",INDEX(상세표[블록 18~22시],$Q33))</f>
        <v/>
      </c>
      <c r="N33" s="20">
        <f>IF($Q33="","",INDEX(상세표[블록 22~06시],$Q33))</f>
        <v/>
      </c>
      <c r="O33">
        <f>IF($Q33="","",INDEX(상세표[주말·휴일 포함],$Q33)&amp;"")</f>
        <v/>
      </c>
      <c r="P33">
        <f>IF($Q33="","",INDEX(상세표[월 넘김 포함],$Q33)&amp;"")</f>
        <v/>
      </c>
      <c r="Q33" s="4">
        <f>IFERROR(MATCH(28,상세표[연속순번],0),"")</f>
        <v/>
      </c>
    </row>
    <row r="34">
      <c r="A34">
        <f>IF($Q34="","",INDEX(상세표[부서],$Q34)&amp;"")</f>
        <v/>
      </c>
      <c r="B34">
        <f>IF($Q34="","",INDEX(상세표[사번],$Q34)&amp;"")</f>
        <v/>
      </c>
      <c r="C34">
        <f>IF($Q34="","",INDEX(상세표[성명],$Q34)&amp;"")</f>
        <v/>
      </c>
      <c r="D34">
        <f>IF($Q34="","",INDEX(상세표[직위],$Q34)&amp;"")</f>
        <v/>
      </c>
      <c r="E34">
        <f>IF($Q34="","",IF(ISNUMBER(INDEX(상세표[근무일자],$Q34)),TEXT(INDEX(상세표[근무일자],$Q34),"yyyy-mm-dd"),INDEX(상세표[근무일자],$Q34)&amp;""))</f>
        <v/>
      </c>
      <c r="F34">
        <f>IF($Q34="","",IF(ISNUMBER(INDEX(상세표[시작],$Q34)),TEXT(INDEX(상세표[시작],$Q34),"yyyy-mm-dd hh:mm"),INDEX(상세표[시작],$Q34)&amp;""))</f>
        <v/>
      </c>
      <c r="G34">
        <f>IF($Q34="","",IF(ISNUMBER(INDEX(상세표[블록종료],$Q34)),TEXT(INDEX(상세표[블록종료],$Q34),"yyyy-mm-dd hh:mm"),INDEX(상세표[블록종료],$Q34)&amp;""))</f>
        <v/>
      </c>
      <c r="H34">
        <f>IF($Q34="","",CHOOSE(WEEKDAY(INDEX(상세표[시작],$Q34)),"일","월","화","수","목","금","토"))</f>
        <v/>
      </c>
      <c r="I34" s="20">
        <f>IF($Q34="","",INDEX(상세표[연속 시간],$Q34))</f>
        <v/>
      </c>
      <c r="J34">
        <f>IF($Q34="","",INDEX(상세표[기록 수],$Q34))</f>
        <v/>
      </c>
      <c r="K34" s="20">
        <f>IF($Q34="","",INDEX(상세표[블록 06~07시],$Q34))</f>
        <v/>
      </c>
      <c r="L34" s="20">
        <f>IF($Q34="","",INDEX(상세표[블록 07~18시],$Q34))</f>
        <v/>
      </c>
      <c r="M34" s="20">
        <f>IF($Q34="","",INDEX(상세표[블록 18~22시],$Q34))</f>
        <v/>
      </c>
      <c r="N34" s="20">
        <f>IF($Q34="","",INDEX(상세표[블록 22~06시],$Q34))</f>
        <v/>
      </c>
      <c r="O34">
        <f>IF($Q34="","",INDEX(상세표[주말·휴일 포함],$Q34)&amp;"")</f>
        <v/>
      </c>
      <c r="P34">
        <f>IF($Q34="","",INDEX(상세표[월 넘김 포함],$Q34)&amp;"")</f>
        <v/>
      </c>
      <c r="Q34" s="4">
        <f>IFERROR(MATCH(29,상세표[연속순번],0),"")</f>
        <v/>
      </c>
    </row>
    <row r="35">
      <c r="A35">
        <f>IF($Q35="","",INDEX(상세표[부서],$Q35)&amp;"")</f>
        <v/>
      </c>
      <c r="B35">
        <f>IF($Q35="","",INDEX(상세표[사번],$Q35)&amp;"")</f>
        <v/>
      </c>
      <c r="C35">
        <f>IF($Q35="","",INDEX(상세표[성명],$Q35)&amp;"")</f>
        <v/>
      </c>
      <c r="D35">
        <f>IF($Q35="","",INDEX(상세표[직위],$Q35)&amp;"")</f>
        <v/>
      </c>
      <c r="E35">
        <f>IF($Q35="","",IF(ISNUMBER(INDEX(상세표[근무일자],$Q35)),TEXT(INDEX(상세표[근무일자],$Q35),"yyyy-mm-dd"),INDEX(상세표[근무일자],$Q35)&amp;""))</f>
        <v/>
      </c>
      <c r="F35">
        <f>IF($Q35="","",IF(ISNUMBER(INDEX(상세표[시작],$Q35)),TEXT(INDEX(상세표[시작],$Q35),"yyyy-mm-dd hh:mm"),INDEX(상세표[시작],$Q35)&amp;""))</f>
        <v/>
      </c>
      <c r="G35">
        <f>IF($Q35="","",IF(ISNUMBER(INDEX(상세표[블록종료],$Q35)),TEXT(INDEX(상세표[블록종료],$Q35),"yyyy-mm-dd hh:mm"),INDEX(상세표[블록종료],$Q35)&amp;""))</f>
        <v/>
      </c>
      <c r="H35">
        <f>IF($Q35="","",CHOOSE(WEEKDAY(INDEX(상세표[시작],$Q35)),"일","월","화","수","목","금","토"))</f>
        <v/>
      </c>
      <c r="I35" s="20">
        <f>IF($Q35="","",INDEX(상세표[연속 시간],$Q35))</f>
        <v/>
      </c>
      <c r="J35">
        <f>IF($Q35="","",INDEX(상세표[기록 수],$Q35))</f>
        <v/>
      </c>
      <c r="K35" s="20">
        <f>IF($Q35="","",INDEX(상세표[블록 06~07시],$Q35))</f>
        <v/>
      </c>
      <c r="L35" s="20">
        <f>IF($Q35="","",INDEX(상세표[블록 07~18시],$Q35))</f>
        <v/>
      </c>
      <c r="M35" s="20">
        <f>IF($Q35="","",INDEX(상세표[블록 18~22시],$Q35))</f>
        <v/>
      </c>
      <c r="N35" s="20">
        <f>IF($Q35="","",INDEX(상세표[블록 22~06시],$Q35))</f>
        <v/>
      </c>
      <c r="O35">
        <f>IF($Q35="","",INDEX(상세표[주말·휴일 포함],$Q35)&amp;"")</f>
        <v/>
      </c>
      <c r="P35">
        <f>IF($Q35="","",INDEX(상세표[월 넘김 포함],$Q35)&amp;"")</f>
        <v/>
      </c>
      <c r="Q35" s="4">
        <f>IFERROR(MATCH(30,상세표[연속순번],0),"")</f>
        <v/>
      </c>
    </row>
    <row r="36">
      <c r="A36">
        <f>IF($Q36="","",INDEX(상세표[부서],$Q36)&amp;"")</f>
        <v/>
      </c>
      <c r="B36">
        <f>IF($Q36="","",INDEX(상세표[사번],$Q36)&amp;"")</f>
        <v/>
      </c>
      <c r="C36">
        <f>IF($Q36="","",INDEX(상세표[성명],$Q36)&amp;"")</f>
        <v/>
      </c>
      <c r="D36">
        <f>IF($Q36="","",INDEX(상세표[직위],$Q36)&amp;"")</f>
        <v/>
      </c>
      <c r="E36">
        <f>IF($Q36="","",IF(ISNUMBER(INDEX(상세표[근무일자],$Q36)),TEXT(INDEX(상세표[근무일자],$Q36),"yyyy-mm-dd"),INDEX(상세표[근무일자],$Q36)&amp;""))</f>
        <v/>
      </c>
      <c r="F36">
        <f>IF($Q36="","",IF(ISNUMBER(INDEX(상세표[시작],$Q36)),TEXT(INDEX(상세표[시작],$Q36),"yyyy-mm-dd hh:mm"),INDEX(상세표[시작],$Q36)&amp;""))</f>
        <v/>
      </c>
      <c r="G36">
        <f>IF($Q36="","",IF(ISNUMBER(INDEX(상세표[블록종료],$Q36)),TEXT(INDEX(상세표[블록종료],$Q36),"yyyy-mm-dd hh:mm"),INDEX(상세표[블록종료],$Q36)&amp;""))</f>
        <v/>
      </c>
      <c r="H36">
        <f>IF($Q36="","",CHOOSE(WEEKDAY(INDEX(상세표[시작],$Q36)),"일","월","화","수","목","금","토"))</f>
        <v/>
      </c>
      <c r="I36" s="20">
        <f>IF($Q36="","",INDEX(상세표[연속 시간],$Q36))</f>
        <v/>
      </c>
      <c r="J36">
        <f>IF($Q36="","",INDEX(상세표[기록 수],$Q36))</f>
        <v/>
      </c>
      <c r="K36" s="20">
        <f>IF($Q36="","",INDEX(상세표[블록 06~07시],$Q36))</f>
        <v/>
      </c>
      <c r="L36" s="20">
        <f>IF($Q36="","",INDEX(상세표[블록 07~18시],$Q36))</f>
        <v/>
      </c>
      <c r="M36" s="20">
        <f>IF($Q36="","",INDEX(상세표[블록 18~22시],$Q36))</f>
        <v/>
      </c>
      <c r="N36" s="20">
        <f>IF($Q36="","",INDEX(상세표[블록 22~06시],$Q36))</f>
        <v/>
      </c>
      <c r="O36">
        <f>IF($Q36="","",INDEX(상세표[주말·휴일 포함],$Q36)&amp;"")</f>
        <v/>
      </c>
      <c r="P36">
        <f>IF($Q36="","",INDEX(상세표[월 넘김 포함],$Q36)&amp;"")</f>
        <v/>
      </c>
      <c r="Q36" s="4">
        <f>IFERROR(MATCH(31,상세표[연속순번],0),"")</f>
        <v/>
      </c>
    </row>
    <row r="37">
      <c r="A37">
        <f>IF($Q37="","",INDEX(상세표[부서],$Q37)&amp;"")</f>
        <v/>
      </c>
      <c r="B37">
        <f>IF($Q37="","",INDEX(상세표[사번],$Q37)&amp;"")</f>
        <v/>
      </c>
      <c r="C37">
        <f>IF($Q37="","",INDEX(상세표[성명],$Q37)&amp;"")</f>
        <v/>
      </c>
      <c r="D37">
        <f>IF($Q37="","",INDEX(상세표[직위],$Q37)&amp;"")</f>
        <v/>
      </c>
      <c r="E37">
        <f>IF($Q37="","",IF(ISNUMBER(INDEX(상세표[근무일자],$Q37)),TEXT(INDEX(상세표[근무일자],$Q37),"yyyy-mm-dd"),INDEX(상세표[근무일자],$Q37)&amp;""))</f>
        <v/>
      </c>
      <c r="F37">
        <f>IF($Q37="","",IF(ISNUMBER(INDEX(상세표[시작],$Q37)),TEXT(INDEX(상세표[시작],$Q37),"yyyy-mm-dd hh:mm"),INDEX(상세표[시작],$Q37)&amp;""))</f>
        <v/>
      </c>
      <c r="G37">
        <f>IF($Q37="","",IF(ISNUMBER(INDEX(상세표[블록종료],$Q37)),TEXT(INDEX(상세표[블록종료],$Q37),"yyyy-mm-dd hh:mm"),INDEX(상세표[블록종료],$Q37)&amp;""))</f>
        <v/>
      </c>
      <c r="H37">
        <f>IF($Q37="","",CHOOSE(WEEKDAY(INDEX(상세표[시작],$Q37)),"일","월","화","수","목","금","토"))</f>
        <v/>
      </c>
      <c r="I37" s="20">
        <f>IF($Q37="","",INDEX(상세표[연속 시간],$Q37))</f>
        <v/>
      </c>
      <c r="J37">
        <f>IF($Q37="","",INDEX(상세표[기록 수],$Q37))</f>
        <v/>
      </c>
      <c r="K37" s="20">
        <f>IF($Q37="","",INDEX(상세표[블록 06~07시],$Q37))</f>
        <v/>
      </c>
      <c r="L37" s="20">
        <f>IF($Q37="","",INDEX(상세표[블록 07~18시],$Q37))</f>
        <v/>
      </c>
      <c r="M37" s="20">
        <f>IF($Q37="","",INDEX(상세표[블록 18~22시],$Q37))</f>
        <v/>
      </c>
      <c r="N37" s="20">
        <f>IF($Q37="","",INDEX(상세표[블록 22~06시],$Q37))</f>
        <v/>
      </c>
      <c r="O37">
        <f>IF($Q37="","",INDEX(상세표[주말·휴일 포함],$Q37)&amp;"")</f>
        <v/>
      </c>
      <c r="P37">
        <f>IF($Q37="","",INDEX(상세표[월 넘김 포함],$Q37)&amp;"")</f>
        <v/>
      </c>
      <c r="Q37" s="4">
        <f>IFERROR(MATCH(32,상세표[연속순번],0),"")</f>
        <v/>
      </c>
    </row>
    <row r="38">
      <c r="A38">
        <f>IF($Q38="","",INDEX(상세표[부서],$Q38)&amp;"")</f>
        <v/>
      </c>
      <c r="B38">
        <f>IF($Q38="","",INDEX(상세표[사번],$Q38)&amp;"")</f>
        <v/>
      </c>
      <c r="C38">
        <f>IF($Q38="","",INDEX(상세표[성명],$Q38)&amp;"")</f>
        <v/>
      </c>
      <c r="D38">
        <f>IF($Q38="","",INDEX(상세표[직위],$Q38)&amp;"")</f>
        <v/>
      </c>
      <c r="E38">
        <f>IF($Q38="","",IF(ISNUMBER(INDEX(상세표[근무일자],$Q38)),TEXT(INDEX(상세표[근무일자],$Q38),"yyyy-mm-dd"),INDEX(상세표[근무일자],$Q38)&amp;""))</f>
        <v/>
      </c>
      <c r="F38">
        <f>IF($Q38="","",IF(ISNUMBER(INDEX(상세표[시작],$Q38)),TEXT(INDEX(상세표[시작],$Q38),"yyyy-mm-dd hh:mm"),INDEX(상세표[시작],$Q38)&amp;""))</f>
        <v/>
      </c>
      <c r="G38">
        <f>IF($Q38="","",IF(ISNUMBER(INDEX(상세표[블록종료],$Q38)),TEXT(INDEX(상세표[블록종료],$Q38),"yyyy-mm-dd hh:mm"),INDEX(상세표[블록종료],$Q38)&amp;""))</f>
        <v/>
      </c>
      <c r="H38">
        <f>IF($Q38="","",CHOOSE(WEEKDAY(INDEX(상세표[시작],$Q38)),"일","월","화","수","목","금","토"))</f>
        <v/>
      </c>
      <c r="I38" s="20">
        <f>IF($Q38="","",INDEX(상세표[연속 시간],$Q38))</f>
        <v/>
      </c>
      <c r="J38">
        <f>IF($Q38="","",INDEX(상세표[기록 수],$Q38))</f>
        <v/>
      </c>
      <c r="K38" s="20">
        <f>IF($Q38="","",INDEX(상세표[블록 06~07시],$Q38))</f>
        <v/>
      </c>
      <c r="L38" s="20">
        <f>IF($Q38="","",INDEX(상세표[블록 07~18시],$Q38))</f>
        <v/>
      </c>
      <c r="M38" s="20">
        <f>IF($Q38="","",INDEX(상세표[블록 18~22시],$Q38))</f>
        <v/>
      </c>
      <c r="N38" s="20">
        <f>IF($Q38="","",INDEX(상세표[블록 22~06시],$Q38))</f>
        <v/>
      </c>
      <c r="O38">
        <f>IF($Q38="","",INDEX(상세표[주말·휴일 포함],$Q38)&amp;"")</f>
        <v/>
      </c>
      <c r="P38">
        <f>IF($Q38="","",INDEX(상세표[월 넘김 포함],$Q38)&amp;"")</f>
        <v/>
      </c>
      <c r="Q38" s="4">
        <f>IFERROR(MATCH(33,상세표[연속순번],0),"")</f>
        <v/>
      </c>
    </row>
    <row r="39">
      <c r="A39">
        <f>IF($Q39="","",INDEX(상세표[부서],$Q39)&amp;"")</f>
        <v/>
      </c>
      <c r="B39">
        <f>IF($Q39="","",INDEX(상세표[사번],$Q39)&amp;"")</f>
        <v/>
      </c>
      <c r="C39">
        <f>IF($Q39="","",INDEX(상세표[성명],$Q39)&amp;"")</f>
        <v/>
      </c>
      <c r="D39">
        <f>IF($Q39="","",INDEX(상세표[직위],$Q39)&amp;"")</f>
        <v/>
      </c>
      <c r="E39">
        <f>IF($Q39="","",IF(ISNUMBER(INDEX(상세표[근무일자],$Q39)),TEXT(INDEX(상세표[근무일자],$Q39),"yyyy-mm-dd"),INDEX(상세표[근무일자],$Q39)&amp;""))</f>
        <v/>
      </c>
      <c r="F39">
        <f>IF($Q39="","",IF(ISNUMBER(INDEX(상세표[시작],$Q39)),TEXT(INDEX(상세표[시작],$Q39),"yyyy-mm-dd hh:mm"),INDEX(상세표[시작],$Q39)&amp;""))</f>
        <v/>
      </c>
      <c r="G39">
        <f>IF($Q39="","",IF(ISNUMBER(INDEX(상세표[블록종료],$Q39)),TEXT(INDEX(상세표[블록종료],$Q39),"yyyy-mm-dd hh:mm"),INDEX(상세표[블록종료],$Q39)&amp;""))</f>
        <v/>
      </c>
      <c r="H39">
        <f>IF($Q39="","",CHOOSE(WEEKDAY(INDEX(상세표[시작],$Q39)),"일","월","화","수","목","금","토"))</f>
        <v/>
      </c>
      <c r="I39" s="20">
        <f>IF($Q39="","",INDEX(상세표[연속 시간],$Q39))</f>
        <v/>
      </c>
      <c r="J39">
        <f>IF($Q39="","",INDEX(상세표[기록 수],$Q39))</f>
        <v/>
      </c>
      <c r="K39" s="20">
        <f>IF($Q39="","",INDEX(상세표[블록 06~07시],$Q39))</f>
        <v/>
      </c>
      <c r="L39" s="20">
        <f>IF($Q39="","",INDEX(상세표[블록 07~18시],$Q39))</f>
        <v/>
      </c>
      <c r="M39" s="20">
        <f>IF($Q39="","",INDEX(상세표[블록 18~22시],$Q39))</f>
        <v/>
      </c>
      <c r="N39" s="20">
        <f>IF($Q39="","",INDEX(상세표[블록 22~06시],$Q39))</f>
        <v/>
      </c>
      <c r="O39">
        <f>IF($Q39="","",INDEX(상세표[주말·휴일 포함],$Q39)&amp;"")</f>
        <v/>
      </c>
      <c r="P39">
        <f>IF($Q39="","",INDEX(상세표[월 넘김 포함],$Q39)&amp;"")</f>
        <v/>
      </c>
      <c r="Q39" s="4">
        <f>IFERROR(MATCH(34,상세표[연속순번],0),"")</f>
        <v/>
      </c>
    </row>
    <row r="40">
      <c r="A40">
        <f>IF($Q40="","",INDEX(상세표[부서],$Q40)&amp;"")</f>
        <v/>
      </c>
      <c r="B40">
        <f>IF($Q40="","",INDEX(상세표[사번],$Q40)&amp;"")</f>
        <v/>
      </c>
      <c r="C40">
        <f>IF($Q40="","",INDEX(상세표[성명],$Q40)&amp;"")</f>
        <v/>
      </c>
      <c r="D40">
        <f>IF($Q40="","",INDEX(상세표[직위],$Q40)&amp;"")</f>
        <v/>
      </c>
      <c r="E40">
        <f>IF($Q40="","",IF(ISNUMBER(INDEX(상세표[근무일자],$Q40)),TEXT(INDEX(상세표[근무일자],$Q40),"yyyy-mm-dd"),INDEX(상세표[근무일자],$Q40)&amp;""))</f>
        <v/>
      </c>
      <c r="F40">
        <f>IF($Q40="","",IF(ISNUMBER(INDEX(상세표[시작],$Q40)),TEXT(INDEX(상세표[시작],$Q40),"yyyy-mm-dd hh:mm"),INDEX(상세표[시작],$Q40)&amp;""))</f>
        <v/>
      </c>
      <c r="G40">
        <f>IF($Q40="","",IF(ISNUMBER(INDEX(상세표[블록종료],$Q40)),TEXT(INDEX(상세표[블록종료],$Q40),"yyyy-mm-dd hh:mm"),INDEX(상세표[블록종료],$Q40)&amp;""))</f>
        <v/>
      </c>
      <c r="H40">
        <f>IF($Q40="","",CHOOSE(WEEKDAY(INDEX(상세표[시작],$Q40)),"일","월","화","수","목","금","토"))</f>
        <v/>
      </c>
      <c r="I40" s="20">
        <f>IF($Q40="","",INDEX(상세표[연속 시간],$Q40))</f>
        <v/>
      </c>
      <c r="J40">
        <f>IF($Q40="","",INDEX(상세표[기록 수],$Q40))</f>
        <v/>
      </c>
      <c r="K40" s="20">
        <f>IF($Q40="","",INDEX(상세표[블록 06~07시],$Q40))</f>
        <v/>
      </c>
      <c r="L40" s="20">
        <f>IF($Q40="","",INDEX(상세표[블록 07~18시],$Q40))</f>
        <v/>
      </c>
      <c r="M40" s="20">
        <f>IF($Q40="","",INDEX(상세표[블록 18~22시],$Q40))</f>
        <v/>
      </c>
      <c r="N40" s="20">
        <f>IF($Q40="","",INDEX(상세표[블록 22~06시],$Q40))</f>
        <v/>
      </c>
      <c r="O40">
        <f>IF($Q40="","",INDEX(상세표[주말·휴일 포함],$Q40)&amp;"")</f>
        <v/>
      </c>
      <c r="P40">
        <f>IF($Q40="","",INDEX(상세표[월 넘김 포함],$Q40)&amp;"")</f>
        <v/>
      </c>
      <c r="Q40" s="4">
        <f>IFERROR(MATCH(35,상세표[연속순번],0),"")</f>
        <v/>
      </c>
    </row>
    <row r="41">
      <c r="A41">
        <f>IF($Q41="","",INDEX(상세표[부서],$Q41)&amp;"")</f>
        <v/>
      </c>
      <c r="B41">
        <f>IF($Q41="","",INDEX(상세표[사번],$Q41)&amp;"")</f>
        <v/>
      </c>
      <c r="C41">
        <f>IF($Q41="","",INDEX(상세표[성명],$Q41)&amp;"")</f>
        <v/>
      </c>
      <c r="D41">
        <f>IF($Q41="","",INDEX(상세표[직위],$Q41)&amp;"")</f>
        <v/>
      </c>
      <c r="E41">
        <f>IF($Q41="","",IF(ISNUMBER(INDEX(상세표[근무일자],$Q41)),TEXT(INDEX(상세표[근무일자],$Q41),"yyyy-mm-dd"),INDEX(상세표[근무일자],$Q41)&amp;""))</f>
        <v/>
      </c>
      <c r="F41">
        <f>IF($Q41="","",IF(ISNUMBER(INDEX(상세표[시작],$Q41)),TEXT(INDEX(상세표[시작],$Q41),"yyyy-mm-dd hh:mm"),INDEX(상세표[시작],$Q41)&amp;""))</f>
        <v/>
      </c>
      <c r="G41">
        <f>IF($Q41="","",IF(ISNUMBER(INDEX(상세표[블록종료],$Q41)),TEXT(INDEX(상세표[블록종료],$Q41),"yyyy-mm-dd hh:mm"),INDEX(상세표[블록종료],$Q41)&amp;""))</f>
        <v/>
      </c>
      <c r="H41">
        <f>IF($Q41="","",CHOOSE(WEEKDAY(INDEX(상세표[시작],$Q41)),"일","월","화","수","목","금","토"))</f>
        <v/>
      </c>
      <c r="I41" s="20">
        <f>IF($Q41="","",INDEX(상세표[연속 시간],$Q41))</f>
        <v/>
      </c>
      <c r="J41">
        <f>IF($Q41="","",INDEX(상세표[기록 수],$Q41))</f>
        <v/>
      </c>
      <c r="K41" s="20">
        <f>IF($Q41="","",INDEX(상세표[블록 06~07시],$Q41))</f>
        <v/>
      </c>
      <c r="L41" s="20">
        <f>IF($Q41="","",INDEX(상세표[블록 07~18시],$Q41))</f>
        <v/>
      </c>
      <c r="M41" s="20">
        <f>IF($Q41="","",INDEX(상세표[블록 18~22시],$Q41))</f>
        <v/>
      </c>
      <c r="N41" s="20">
        <f>IF($Q41="","",INDEX(상세표[블록 22~06시],$Q41))</f>
        <v/>
      </c>
      <c r="O41">
        <f>IF($Q41="","",INDEX(상세표[주말·휴일 포함],$Q41)&amp;"")</f>
        <v/>
      </c>
      <c r="P41">
        <f>IF($Q41="","",INDEX(상세표[월 넘김 포함],$Q41)&amp;"")</f>
        <v/>
      </c>
      <c r="Q41" s="4">
        <f>IFERROR(MATCH(36,상세표[연속순번],0),"")</f>
        <v/>
      </c>
    </row>
    <row r="42">
      <c r="A42">
        <f>IF($Q42="","",INDEX(상세표[부서],$Q42)&amp;"")</f>
        <v/>
      </c>
      <c r="B42">
        <f>IF($Q42="","",INDEX(상세표[사번],$Q42)&amp;"")</f>
        <v/>
      </c>
      <c r="C42">
        <f>IF($Q42="","",INDEX(상세표[성명],$Q42)&amp;"")</f>
        <v/>
      </c>
      <c r="D42">
        <f>IF($Q42="","",INDEX(상세표[직위],$Q42)&amp;"")</f>
        <v/>
      </c>
      <c r="E42">
        <f>IF($Q42="","",IF(ISNUMBER(INDEX(상세표[근무일자],$Q42)),TEXT(INDEX(상세표[근무일자],$Q42),"yyyy-mm-dd"),INDEX(상세표[근무일자],$Q42)&amp;""))</f>
        <v/>
      </c>
      <c r="F42">
        <f>IF($Q42="","",IF(ISNUMBER(INDEX(상세표[시작],$Q42)),TEXT(INDEX(상세표[시작],$Q42),"yyyy-mm-dd hh:mm"),INDEX(상세표[시작],$Q42)&amp;""))</f>
        <v/>
      </c>
      <c r="G42">
        <f>IF($Q42="","",IF(ISNUMBER(INDEX(상세표[블록종료],$Q42)),TEXT(INDEX(상세표[블록종료],$Q42),"yyyy-mm-dd hh:mm"),INDEX(상세표[블록종료],$Q42)&amp;""))</f>
        <v/>
      </c>
      <c r="H42">
        <f>IF($Q42="","",CHOOSE(WEEKDAY(INDEX(상세표[시작],$Q42)),"일","월","화","수","목","금","토"))</f>
        <v/>
      </c>
      <c r="I42" s="20">
        <f>IF($Q42="","",INDEX(상세표[연속 시간],$Q42))</f>
        <v/>
      </c>
      <c r="J42">
        <f>IF($Q42="","",INDEX(상세표[기록 수],$Q42))</f>
        <v/>
      </c>
      <c r="K42" s="20">
        <f>IF($Q42="","",INDEX(상세표[블록 06~07시],$Q42))</f>
        <v/>
      </c>
      <c r="L42" s="20">
        <f>IF($Q42="","",INDEX(상세표[블록 07~18시],$Q42))</f>
        <v/>
      </c>
      <c r="M42" s="20">
        <f>IF($Q42="","",INDEX(상세표[블록 18~22시],$Q42))</f>
        <v/>
      </c>
      <c r="N42" s="20">
        <f>IF($Q42="","",INDEX(상세표[블록 22~06시],$Q42))</f>
        <v/>
      </c>
      <c r="O42">
        <f>IF($Q42="","",INDEX(상세표[주말·휴일 포함],$Q42)&amp;"")</f>
        <v/>
      </c>
      <c r="P42">
        <f>IF($Q42="","",INDEX(상세표[월 넘김 포함],$Q42)&amp;"")</f>
        <v/>
      </c>
      <c r="Q42" s="4">
        <f>IFERROR(MATCH(37,상세표[연속순번],0),"")</f>
        <v/>
      </c>
    </row>
    <row r="43">
      <c r="A43">
        <f>IF($Q43="","",INDEX(상세표[부서],$Q43)&amp;"")</f>
        <v/>
      </c>
      <c r="B43">
        <f>IF($Q43="","",INDEX(상세표[사번],$Q43)&amp;"")</f>
        <v/>
      </c>
      <c r="C43">
        <f>IF($Q43="","",INDEX(상세표[성명],$Q43)&amp;"")</f>
        <v/>
      </c>
      <c r="D43">
        <f>IF($Q43="","",INDEX(상세표[직위],$Q43)&amp;"")</f>
        <v/>
      </c>
      <c r="E43">
        <f>IF($Q43="","",IF(ISNUMBER(INDEX(상세표[근무일자],$Q43)),TEXT(INDEX(상세표[근무일자],$Q43),"yyyy-mm-dd"),INDEX(상세표[근무일자],$Q43)&amp;""))</f>
        <v/>
      </c>
      <c r="F43">
        <f>IF($Q43="","",IF(ISNUMBER(INDEX(상세표[시작],$Q43)),TEXT(INDEX(상세표[시작],$Q43),"yyyy-mm-dd hh:mm"),INDEX(상세표[시작],$Q43)&amp;""))</f>
        <v/>
      </c>
      <c r="G43">
        <f>IF($Q43="","",IF(ISNUMBER(INDEX(상세표[블록종료],$Q43)),TEXT(INDEX(상세표[블록종료],$Q43),"yyyy-mm-dd hh:mm"),INDEX(상세표[블록종료],$Q43)&amp;""))</f>
        <v/>
      </c>
      <c r="H43">
        <f>IF($Q43="","",CHOOSE(WEEKDAY(INDEX(상세표[시작],$Q43)),"일","월","화","수","목","금","토"))</f>
        <v/>
      </c>
      <c r="I43" s="20">
        <f>IF($Q43="","",INDEX(상세표[연속 시간],$Q43))</f>
        <v/>
      </c>
      <c r="J43">
        <f>IF($Q43="","",INDEX(상세표[기록 수],$Q43))</f>
        <v/>
      </c>
      <c r="K43" s="20">
        <f>IF($Q43="","",INDEX(상세표[블록 06~07시],$Q43))</f>
        <v/>
      </c>
      <c r="L43" s="20">
        <f>IF($Q43="","",INDEX(상세표[블록 07~18시],$Q43))</f>
        <v/>
      </c>
      <c r="M43" s="20">
        <f>IF($Q43="","",INDEX(상세표[블록 18~22시],$Q43))</f>
        <v/>
      </c>
      <c r="N43" s="20">
        <f>IF($Q43="","",INDEX(상세표[블록 22~06시],$Q43))</f>
        <v/>
      </c>
      <c r="O43">
        <f>IF($Q43="","",INDEX(상세표[주말·휴일 포함],$Q43)&amp;"")</f>
        <v/>
      </c>
      <c r="P43">
        <f>IF($Q43="","",INDEX(상세표[월 넘김 포함],$Q43)&amp;"")</f>
        <v/>
      </c>
      <c r="Q43" s="4">
        <f>IFERROR(MATCH(38,상세표[연속순번],0),"")</f>
        <v/>
      </c>
    </row>
    <row r="44">
      <c r="A44">
        <f>IF($Q44="","",INDEX(상세표[부서],$Q44)&amp;"")</f>
        <v/>
      </c>
      <c r="B44">
        <f>IF($Q44="","",INDEX(상세표[사번],$Q44)&amp;"")</f>
        <v/>
      </c>
      <c r="C44">
        <f>IF($Q44="","",INDEX(상세표[성명],$Q44)&amp;"")</f>
        <v/>
      </c>
      <c r="D44">
        <f>IF($Q44="","",INDEX(상세표[직위],$Q44)&amp;"")</f>
        <v/>
      </c>
      <c r="E44">
        <f>IF($Q44="","",IF(ISNUMBER(INDEX(상세표[근무일자],$Q44)),TEXT(INDEX(상세표[근무일자],$Q44),"yyyy-mm-dd"),INDEX(상세표[근무일자],$Q44)&amp;""))</f>
        <v/>
      </c>
      <c r="F44">
        <f>IF($Q44="","",IF(ISNUMBER(INDEX(상세표[시작],$Q44)),TEXT(INDEX(상세표[시작],$Q44),"yyyy-mm-dd hh:mm"),INDEX(상세표[시작],$Q44)&amp;""))</f>
        <v/>
      </c>
      <c r="G44">
        <f>IF($Q44="","",IF(ISNUMBER(INDEX(상세표[블록종료],$Q44)),TEXT(INDEX(상세표[블록종료],$Q44),"yyyy-mm-dd hh:mm"),INDEX(상세표[블록종료],$Q44)&amp;""))</f>
        <v/>
      </c>
      <c r="H44">
        <f>IF($Q44="","",CHOOSE(WEEKDAY(INDEX(상세표[시작],$Q44)),"일","월","화","수","목","금","토"))</f>
        <v/>
      </c>
      <c r="I44" s="20">
        <f>IF($Q44="","",INDEX(상세표[연속 시간],$Q44))</f>
        <v/>
      </c>
      <c r="J44">
        <f>IF($Q44="","",INDEX(상세표[기록 수],$Q44))</f>
        <v/>
      </c>
      <c r="K44" s="20">
        <f>IF($Q44="","",INDEX(상세표[블록 06~07시],$Q44))</f>
        <v/>
      </c>
      <c r="L44" s="20">
        <f>IF($Q44="","",INDEX(상세표[블록 07~18시],$Q44))</f>
        <v/>
      </c>
      <c r="M44" s="20">
        <f>IF($Q44="","",INDEX(상세표[블록 18~22시],$Q44))</f>
        <v/>
      </c>
      <c r="N44" s="20">
        <f>IF($Q44="","",INDEX(상세표[블록 22~06시],$Q44))</f>
        <v/>
      </c>
      <c r="O44">
        <f>IF($Q44="","",INDEX(상세표[주말·휴일 포함],$Q44)&amp;"")</f>
        <v/>
      </c>
      <c r="P44">
        <f>IF($Q44="","",INDEX(상세표[월 넘김 포함],$Q44)&amp;"")</f>
        <v/>
      </c>
      <c r="Q44" s="4">
        <f>IFERROR(MATCH(39,상세표[연속순번],0),"")</f>
        <v/>
      </c>
    </row>
    <row r="45">
      <c r="A45">
        <f>IF($Q45="","",INDEX(상세표[부서],$Q45)&amp;"")</f>
        <v/>
      </c>
      <c r="B45">
        <f>IF($Q45="","",INDEX(상세표[사번],$Q45)&amp;"")</f>
        <v/>
      </c>
      <c r="C45">
        <f>IF($Q45="","",INDEX(상세표[성명],$Q45)&amp;"")</f>
        <v/>
      </c>
      <c r="D45">
        <f>IF($Q45="","",INDEX(상세표[직위],$Q45)&amp;"")</f>
        <v/>
      </c>
      <c r="E45">
        <f>IF($Q45="","",IF(ISNUMBER(INDEX(상세표[근무일자],$Q45)),TEXT(INDEX(상세표[근무일자],$Q45),"yyyy-mm-dd"),INDEX(상세표[근무일자],$Q45)&amp;""))</f>
        <v/>
      </c>
      <c r="F45">
        <f>IF($Q45="","",IF(ISNUMBER(INDEX(상세표[시작],$Q45)),TEXT(INDEX(상세표[시작],$Q45),"yyyy-mm-dd hh:mm"),INDEX(상세표[시작],$Q45)&amp;""))</f>
        <v/>
      </c>
      <c r="G45">
        <f>IF($Q45="","",IF(ISNUMBER(INDEX(상세표[블록종료],$Q45)),TEXT(INDEX(상세표[블록종료],$Q45),"yyyy-mm-dd hh:mm"),INDEX(상세표[블록종료],$Q45)&amp;""))</f>
        <v/>
      </c>
      <c r="H45">
        <f>IF($Q45="","",CHOOSE(WEEKDAY(INDEX(상세표[시작],$Q45)),"일","월","화","수","목","금","토"))</f>
        <v/>
      </c>
      <c r="I45" s="20">
        <f>IF($Q45="","",INDEX(상세표[연속 시간],$Q45))</f>
        <v/>
      </c>
      <c r="J45">
        <f>IF($Q45="","",INDEX(상세표[기록 수],$Q45))</f>
        <v/>
      </c>
      <c r="K45" s="20">
        <f>IF($Q45="","",INDEX(상세표[블록 06~07시],$Q45))</f>
        <v/>
      </c>
      <c r="L45" s="20">
        <f>IF($Q45="","",INDEX(상세표[블록 07~18시],$Q45))</f>
        <v/>
      </c>
      <c r="M45" s="20">
        <f>IF($Q45="","",INDEX(상세표[블록 18~22시],$Q45))</f>
        <v/>
      </c>
      <c r="N45" s="20">
        <f>IF($Q45="","",INDEX(상세표[블록 22~06시],$Q45))</f>
        <v/>
      </c>
      <c r="O45">
        <f>IF($Q45="","",INDEX(상세표[주말·휴일 포함],$Q45)&amp;"")</f>
        <v/>
      </c>
      <c r="P45">
        <f>IF($Q45="","",INDEX(상세표[월 넘김 포함],$Q45)&amp;"")</f>
        <v/>
      </c>
      <c r="Q45" s="4">
        <f>IFERROR(MATCH(40,상세표[연속순번],0),"")</f>
        <v/>
      </c>
    </row>
    <row r="46">
      <c r="A46">
        <f>IF($Q46="","",INDEX(상세표[부서],$Q46)&amp;"")</f>
        <v/>
      </c>
      <c r="B46">
        <f>IF($Q46="","",INDEX(상세표[사번],$Q46)&amp;"")</f>
        <v/>
      </c>
      <c r="C46">
        <f>IF($Q46="","",INDEX(상세표[성명],$Q46)&amp;"")</f>
        <v/>
      </c>
      <c r="D46">
        <f>IF($Q46="","",INDEX(상세표[직위],$Q46)&amp;"")</f>
        <v/>
      </c>
      <c r="E46">
        <f>IF($Q46="","",IF(ISNUMBER(INDEX(상세표[근무일자],$Q46)),TEXT(INDEX(상세표[근무일자],$Q46),"yyyy-mm-dd"),INDEX(상세표[근무일자],$Q46)&amp;""))</f>
        <v/>
      </c>
      <c r="F46">
        <f>IF($Q46="","",IF(ISNUMBER(INDEX(상세표[시작],$Q46)),TEXT(INDEX(상세표[시작],$Q46),"yyyy-mm-dd hh:mm"),INDEX(상세표[시작],$Q46)&amp;""))</f>
        <v/>
      </c>
      <c r="G46">
        <f>IF($Q46="","",IF(ISNUMBER(INDEX(상세표[블록종료],$Q46)),TEXT(INDEX(상세표[블록종료],$Q46),"yyyy-mm-dd hh:mm"),INDEX(상세표[블록종료],$Q46)&amp;""))</f>
        <v/>
      </c>
      <c r="H46">
        <f>IF($Q46="","",CHOOSE(WEEKDAY(INDEX(상세표[시작],$Q46)),"일","월","화","수","목","금","토"))</f>
        <v/>
      </c>
      <c r="I46" s="20">
        <f>IF($Q46="","",INDEX(상세표[연속 시간],$Q46))</f>
        <v/>
      </c>
      <c r="J46">
        <f>IF($Q46="","",INDEX(상세표[기록 수],$Q46))</f>
        <v/>
      </c>
      <c r="K46" s="20">
        <f>IF($Q46="","",INDEX(상세표[블록 06~07시],$Q46))</f>
        <v/>
      </c>
      <c r="L46" s="20">
        <f>IF($Q46="","",INDEX(상세표[블록 07~18시],$Q46))</f>
        <v/>
      </c>
      <c r="M46" s="20">
        <f>IF($Q46="","",INDEX(상세표[블록 18~22시],$Q46))</f>
        <v/>
      </c>
      <c r="N46" s="20">
        <f>IF($Q46="","",INDEX(상세표[블록 22~06시],$Q46))</f>
        <v/>
      </c>
      <c r="O46">
        <f>IF($Q46="","",INDEX(상세표[주말·휴일 포함],$Q46)&amp;"")</f>
        <v/>
      </c>
      <c r="P46">
        <f>IF($Q46="","",INDEX(상세표[월 넘김 포함],$Q46)&amp;"")</f>
        <v/>
      </c>
      <c r="Q46" s="4">
        <f>IFERROR(MATCH(41,상세표[연속순번],0),"")</f>
        <v/>
      </c>
    </row>
    <row r="47">
      <c r="A47">
        <f>IF($Q47="","",INDEX(상세표[부서],$Q47)&amp;"")</f>
        <v/>
      </c>
      <c r="B47">
        <f>IF($Q47="","",INDEX(상세표[사번],$Q47)&amp;"")</f>
        <v/>
      </c>
      <c r="C47">
        <f>IF($Q47="","",INDEX(상세표[성명],$Q47)&amp;"")</f>
        <v/>
      </c>
      <c r="D47">
        <f>IF($Q47="","",INDEX(상세표[직위],$Q47)&amp;"")</f>
        <v/>
      </c>
      <c r="E47">
        <f>IF($Q47="","",IF(ISNUMBER(INDEX(상세표[근무일자],$Q47)),TEXT(INDEX(상세표[근무일자],$Q47),"yyyy-mm-dd"),INDEX(상세표[근무일자],$Q47)&amp;""))</f>
        <v/>
      </c>
      <c r="F47">
        <f>IF($Q47="","",IF(ISNUMBER(INDEX(상세표[시작],$Q47)),TEXT(INDEX(상세표[시작],$Q47),"yyyy-mm-dd hh:mm"),INDEX(상세표[시작],$Q47)&amp;""))</f>
        <v/>
      </c>
      <c r="G47">
        <f>IF($Q47="","",IF(ISNUMBER(INDEX(상세표[블록종료],$Q47)),TEXT(INDEX(상세표[블록종료],$Q47),"yyyy-mm-dd hh:mm"),INDEX(상세표[블록종료],$Q47)&amp;""))</f>
        <v/>
      </c>
      <c r="H47">
        <f>IF($Q47="","",CHOOSE(WEEKDAY(INDEX(상세표[시작],$Q47)),"일","월","화","수","목","금","토"))</f>
        <v/>
      </c>
      <c r="I47" s="20">
        <f>IF($Q47="","",INDEX(상세표[연속 시간],$Q47))</f>
        <v/>
      </c>
      <c r="J47">
        <f>IF($Q47="","",INDEX(상세표[기록 수],$Q47))</f>
        <v/>
      </c>
      <c r="K47" s="20">
        <f>IF($Q47="","",INDEX(상세표[블록 06~07시],$Q47))</f>
        <v/>
      </c>
      <c r="L47" s="20">
        <f>IF($Q47="","",INDEX(상세표[블록 07~18시],$Q47))</f>
        <v/>
      </c>
      <c r="M47" s="20">
        <f>IF($Q47="","",INDEX(상세표[블록 18~22시],$Q47))</f>
        <v/>
      </c>
      <c r="N47" s="20">
        <f>IF($Q47="","",INDEX(상세표[블록 22~06시],$Q47))</f>
        <v/>
      </c>
      <c r="O47">
        <f>IF($Q47="","",INDEX(상세표[주말·휴일 포함],$Q47)&amp;"")</f>
        <v/>
      </c>
      <c r="P47">
        <f>IF($Q47="","",INDEX(상세표[월 넘김 포함],$Q47)&amp;"")</f>
        <v/>
      </c>
      <c r="Q47" s="4">
        <f>IFERROR(MATCH(42,상세표[연속순번],0),"")</f>
        <v/>
      </c>
    </row>
    <row r="48">
      <c r="A48">
        <f>IF($Q48="","",INDEX(상세표[부서],$Q48)&amp;"")</f>
        <v/>
      </c>
      <c r="B48">
        <f>IF($Q48="","",INDEX(상세표[사번],$Q48)&amp;"")</f>
        <v/>
      </c>
      <c r="C48">
        <f>IF($Q48="","",INDEX(상세표[성명],$Q48)&amp;"")</f>
        <v/>
      </c>
      <c r="D48">
        <f>IF($Q48="","",INDEX(상세표[직위],$Q48)&amp;"")</f>
        <v/>
      </c>
      <c r="E48">
        <f>IF($Q48="","",IF(ISNUMBER(INDEX(상세표[근무일자],$Q48)),TEXT(INDEX(상세표[근무일자],$Q48),"yyyy-mm-dd"),INDEX(상세표[근무일자],$Q48)&amp;""))</f>
        <v/>
      </c>
      <c r="F48">
        <f>IF($Q48="","",IF(ISNUMBER(INDEX(상세표[시작],$Q48)),TEXT(INDEX(상세표[시작],$Q48),"yyyy-mm-dd hh:mm"),INDEX(상세표[시작],$Q48)&amp;""))</f>
        <v/>
      </c>
      <c r="G48">
        <f>IF($Q48="","",IF(ISNUMBER(INDEX(상세표[블록종료],$Q48)),TEXT(INDEX(상세표[블록종료],$Q48),"yyyy-mm-dd hh:mm"),INDEX(상세표[블록종료],$Q48)&amp;""))</f>
        <v/>
      </c>
      <c r="H48">
        <f>IF($Q48="","",CHOOSE(WEEKDAY(INDEX(상세표[시작],$Q48)),"일","월","화","수","목","금","토"))</f>
        <v/>
      </c>
      <c r="I48" s="20">
        <f>IF($Q48="","",INDEX(상세표[연속 시간],$Q48))</f>
        <v/>
      </c>
      <c r="J48">
        <f>IF($Q48="","",INDEX(상세표[기록 수],$Q48))</f>
        <v/>
      </c>
      <c r="K48" s="20">
        <f>IF($Q48="","",INDEX(상세표[블록 06~07시],$Q48))</f>
        <v/>
      </c>
      <c r="L48" s="20">
        <f>IF($Q48="","",INDEX(상세표[블록 07~18시],$Q48))</f>
        <v/>
      </c>
      <c r="M48" s="20">
        <f>IF($Q48="","",INDEX(상세표[블록 18~22시],$Q48))</f>
        <v/>
      </c>
      <c r="N48" s="20">
        <f>IF($Q48="","",INDEX(상세표[블록 22~06시],$Q48))</f>
        <v/>
      </c>
      <c r="O48">
        <f>IF($Q48="","",INDEX(상세표[주말·휴일 포함],$Q48)&amp;"")</f>
        <v/>
      </c>
      <c r="P48">
        <f>IF($Q48="","",INDEX(상세표[월 넘김 포함],$Q48)&amp;"")</f>
        <v/>
      </c>
      <c r="Q48" s="4">
        <f>IFERROR(MATCH(43,상세표[연속순번],0),"")</f>
        <v/>
      </c>
    </row>
    <row r="49">
      <c r="A49">
        <f>IF($Q49="","",INDEX(상세표[부서],$Q49)&amp;"")</f>
        <v/>
      </c>
      <c r="B49">
        <f>IF($Q49="","",INDEX(상세표[사번],$Q49)&amp;"")</f>
        <v/>
      </c>
      <c r="C49">
        <f>IF($Q49="","",INDEX(상세표[성명],$Q49)&amp;"")</f>
        <v/>
      </c>
      <c r="D49">
        <f>IF($Q49="","",INDEX(상세표[직위],$Q49)&amp;"")</f>
        <v/>
      </c>
      <c r="E49">
        <f>IF($Q49="","",IF(ISNUMBER(INDEX(상세표[근무일자],$Q49)),TEXT(INDEX(상세표[근무일자],$Q49),"yyyy-mm-dd"),INDEX(상세표[근무일자],$Q49)&amp;""))</f>
        <v/>
      </c>
      <c r="F49">
        <f>IF($Q49="","",IF(ISNUMBER(INDEX(상세표[시작],$Q49)),TEXT(INDEX(상세표[시작],$Q49),"yyyy-mm-dd hh:mm"),INDEX(상세표[시작],$Q49)&amp;""))</f>
        <v/>
      </c>
      <c r="G49">
        <f>IF($Q49="","",IF(ISNUMBER(INDEX(상세표[블록종료],$Q49)),TEXT(INDEX(상세표[블록종료],$Q49),"yyyy-mm-dd hh:mm"),INDEX(상세표[블록종료],$Q49)&amp;""))</f>
        <v/>
      </c>
      <c r="H49">
        <f>IF($Q49="","",CHOOSE(WEEKDAY(INDEX(상세표[시작],$Q49)),"일","월","화","수","목","금","토"))</f>
        <v/>
      </c>
      <c r="I49" s="20">
        <f>IF($Q49="","",INDEX(상세표[연속 시간],$Q49))</f>
        <v/>
      </c>
      <c r="J49">
        <f>IF($Q49="","",INDEX(상세표[기록 수],$Q49))</f>
        <v/>
      </c>
      <c r="K49" s="20">
        <f>IF($Q49="","",INDEX(상세표[블록 06~07시],$Q49))</f>
        <v/>
      </c>
      <c r="L49" s="20">
        <f>IF($Q49="","",INDEX(상세표[블록 07~18시],$Q49))</f>
        <v/>
      </c>
      <c r="M49" s="20">
        <f>IF($Q49="","",INDEX(상세표[블록 18~22시],$Q49))</f>
        <v/>
      </c>
      <c r="N49" s="20">
        <f>IF($Q49="","",INDEX(상세표[블록 22~06시],$Q49))</f>
        <v/>
      </c>
      <c r="O49">
        <f>IF($Q49="","",INDEX(상세표[주말·휴일 포함],$Q49)&amp;"")</f>
        <v/>
      </c>
      <c r="P49">
        <f>IF($Q49="","",INDEX(상세표[월 넘김 포함],$Q49)&amp;"")</f>
        <v/>
      </c>
      <c r="Q49" s="4">
        <f>IFERROR(MATCH(44,상세표[연속순번],0),"")</f>
        <v/>
      </c>
    </row>
    <row r="50">
      <c r="A50">
        <f>IF($Q50="","",INDEX(상세표[부서],$Q50)&amp;"")</f>
        <v/>
      </c>
      <c r="B50">
        <f>IF($Q50="","",INDEX(상세표[사번],$Q50)&amp;"")</f>
        <v/>
      </c>
      <c r="C50">
        <f>IF($Q50="","",INDEX(상세표[성명],$Q50)&amp;"")</f>
        <v/>
      </c>
      <c r="D50">
        <f>IF($Q50="","",INDEX(상세표[직위],$Q50)&amp;"")</f>
        <v/>
      </c>
      <c r="E50">
        <f>IF($Q50="","",IF(ISNUMBER(INDEX(상세표[근무일자],$Q50)),TEXT(INDEX(상세표[근무일자],$Q50),"yyyy-mm-dd"),INDEX(상세표[근무일자],$Q50)&amp;""))</f>
        <v/>
      </c>
      <c r="F50">
        <f>IF($Q50="","",IF(ISNUMBER(INDEX(상세표[시작],$Q50)),TEXT(INDEX(상세표[시작],$Q50),"yyyy-mm-dd hh:mm"),INDEX(상세표[시작],$Q50)&amp;""))</f>
        <v/>
      </c>
      <c r="G50">
        <f>IF($Q50="","",IF(ISNUMBER(INDEX(상세표[블록종료],$Q50)),TEXT(INDEX(상세표[블록종료],$Q50),"yyyy-mm-dd hh:mm"),INDEX(상세표[블록종료],$Q50)&amp;""))</f>
        <v/>
      </c>
      <c r="H50">
        <f>IF($Q50="","",CHOOSE(WEEKDAY(INDEX(상세표[시작],$Q50)),"일","월","화","수","목","금","토"))</f>
        <v/>
      </c>
      <c r="I50" s="20">
        <f>IF($Q50="","",INDEX(상세표[연속 시간],$Q50))</f>
        <v/>
      </c>
      <c r="J50">
        <f>IF($Q50="","",INDEX(상세표[기록 수],$Q50))</f>
        <v/>
      </c>
      <c r="K50" s="20">
        <f>IF($Q50="","",INDEX(상세표[블록 06~07시],$Q50))</f>
        <v/>
      </c>
      <c r="L50" s="20">
        <f>IF($Q50="","",INDEX(상세표[블록 07~18시],$Q50))</f>
        <v/>
      </c>
      <c r="M50" s="20">
        <f>IF($Q50="","",INDEX(상세표[블록 18~22시],$Q50))</f>
        <v/>
      </c>
      <c r="N50" s="20">
        <f>IF($Q50="","",INDEX(상세표[블록 22~06시],$Q50))</f>
        <v/>
      </c>
      <c r="O50">
        <f>IF($Q50="","",INDEX(상세표[주말·휴일 포함],$Q50)&amp;"")</f>
        <v/>
      </c>
      <c r="P50">
        <f>IF($Q50="","",INDEX(상세표[월 넘김 포함],$Q50)&amp;"")</f>
        <v/>
      </c>
      <c r="Q50" s="4">
        <f>IFERROR(MATCH(45,상세표[연속순번],0),"")</f>
        <v/>
      </c>
    </row>
    <row r="51">
      <c r="A51">
        <f>IF($Q51="","",INDEX(상세표[부서],$Q51)&amp;"")</f>
        <v/>
      </c>
      <c r="B51">
        <f>IF($Q51="","",INDEX(상세표[사번],$Q51)&amp;"")</f>
        <v/>
      </c>
      <c r="C51">
        <f>IF($Q51="","",INDEX(상세표[성명],$Q51)&amp;"")</f>
        <v/>
      </c>
      <c r="D51">
        <f>IF($Q51="","",INDEX(상세표[직위],$Q51)&amp;"")</f>
        <v/>
      </c>
      <c r="E51">
        <f>IF($Q51="","",IF(ISNUMBER(INDEX(상세표[근무일자],$Q51)),TEXT(INDEX(상세표[근무일자],$Q51),"yyyy-mm-dd"),INDEX(상세표[근무일자],$Q51)&amp;""))</f>
        <v/>
      </c>
      <c r="F51">
        <f>IF($Q51="","",IF(ISNUMBER(INDEX(상세표[시작],$Q51)),TEXT(INDEX(상세표[시작],$Q51),"yyyy-mm-dd hh:mm"),INDEX(상세표[시작],$Q51)&amp;""))</f>
        <v/>
      </c>
      <c r="G51">
        <f>IF($Q51="","",IF(ISNUMBER(INDEX(상세표[블록종료],$Q51)),TEXT(INDEX(상세표[블록종료],$Q51),"yyyy-mm-dd hh:mm"),INDEX(상세표[블록종료],$Q51)&amp;""))</f>
        <v/>
      </c>
      <c r="H51">
        <f>IF($Q51="","",CHOOSE(WEEKDAY(INDEX(상세표[시작],$Q51)),"일","월","화","수","목","금","토"))</f>
        <v/>
      </c>
      <c r="I51" s="20">
        <f>IF($Q51="","",INDEX(상세표[연속 시간],$Q51))</f>
        <v/>
      </c>
      <c r="J51">
        <f>IF($Q51="","",INDEX(상세표[기록 수],$Q51))</f>
        <v/>
      </c>
      <c r="K51" s="20">
        <f>IF($Q51="","",INDEX(상세표[블록 06~07시],$Q51))</f>
        <v/>
      </c>
      <c r="L51" s="20">
        <f>IF($Q51="","",INDEX(상세표[블록 07~18시],$Q51))</f>
        <v/>
      </c>
      <c r="M51" s="20">
        <f>IF($Q51="","",INDEX(상세표[블록 18~22시],$Q51))</f>
        <v/>
      </c>
      <c r="N51" s="20">
        <f>IF($Q51="","",INDEX(상세표[블록 22~06시],$Q51))</f>
        <v/>
      </c>
      <c r="O51">
        <f>IF($Q51="","",INDEX(상세표[주말·휴일 포함],$Q51)&amp;"")</f>
        <v/>
      </c>
      <c r="P51">
        <f>IF($Q51="","",INDEX(상세표[월 넘김 포함],$Q51)&amp;"")</f>
        <v/>
      </c>
      <c r="Q51" s="4">
        <f>IFERROR(MATCH(46,상세표[연속순번],0),"")</f>
        <v/>
      </c>
    </row>
    <row r="52">
      <c r="A52">
        <f>IF($Q52="","",INDEX(상세표[부서],$Q52)&amp;"")</f>
        <v/>
      </c>
      <c r="B52">
        <f>IF($Q52="","",INDEX(상세표[사번],$Q52)&amp;"")</f>
        <v/>
      </c>
      <c r="C52">
        <f>IF($Q52="","",INDEX(상세표[성명],$Q52)&amp;"")</f>
        <v/>
      </c>
      <c r="D52">
        <f>IF($Q52="","",INDEX(상세표[직위],$Q52)&amp;"")</f>
        <v/>
      </c>
      <c r="E52">
        <f>IF($Q52="","",IF(ISNUMBER(INDEX(상세표[근무일자],$Q52)),TEXT(INDEX(상세표[근무일자],$Q52),"yyyy-mm-dd"),INDEX(상세표[근무일자],$Q52)&amp;""))</f>
        <v/>
      </c>
      <c r="F52">
        <f>IF($Q52="","",IF(ISNUMBER(INDEX(상세표[시작],$Q52)),TEXT(INDEX(상세표[시작],$Q52),"yyyy-mm-dd hh:mm"),INDEX(상세표[시작],$Q52)&amp;""))</f>
        <v/>
      </c>
      <c r="G52">
        <f>IF($Q52="","",IF(ISNUMBER(INDEX(상세표[블록종료],$Q52)),TEXT(INDEX(상세표[블록종료],$Q52),"yyyy-mm-dd hh:mm"),INDEX(상세표[블록종료],$Q52)&amp;""))</f>
        <v/>
      </c>
      <c r="H52">
        <f>IF($Q52="","",CHOOSE(WEEKDAY(INDEX(상세표[시작],$Q52)),"일","월","화","수","목","금","토"))</f>
        <v/>
      </c>
      <c r="I52" s="20">
        <f>IF($Q52="","",INDEX(상세표[연속 시간],$Q52))</f>
        <v/>
      </c>
      <c r="J52">
        <f>IF($Q52="","",INDEX(상세표[기록 수],$Q52))</f>
        <v/>
      </c>
      <c r="K52" s="20">
        <f>IF($Q52="","",INDEX(상세표[블록 06~07시],$Q52))</f>
        <v/>
      </c>
      <c r="L52" s="20">
        <f>IF($Q52="","",INDEX(상세표[블록 07~18시],$Q52))</f>
        <v/>
      </c>
      <c r="M52" s="20">
        <f>IF($Q52="","",INDEX(상세표[블록 18~22시],$Q52))</f>
        <v/>
      </c>
      <c r="N52" s="20">
        <f>IF($Q52="","",INDEX(상세표[블록 22~06시],$Q52))</f>
        <v/>
      </c>
      <c r="O52">
        <f>IF($Q52="","",INDEX(상세표[주말·휴일 포함],$Q52)&amp;"")</f>
        <v/>
      </c>
      <c r="P52">
        <f>IF($Q52="","",INDEX(상세표[월 넘김 포함],$Q52)&amp;"")</f>
        <v/>
      </c>
      <c r="Q52" s="4">
        <f>IFERROR(MATCH(47,상세표[연속순번],0),"")</f>
        <v/>
      </c>
    </row>
    <row r="53">
      <c r="A53">
        <f>IF($Q53="","",INDEX(상세표[부서],$Q53)&amp;"")</f>
        <v/>
      </c>
      <c r="B53">
        <f>IF($Q53="","",INDEX(상세표[사번],$Q53)&amp;"")</f>
        <v/>
      </c>
      <c r="C53">
        <f>IF($Q53="","",INDEX(상세표[성명],$Q53)&amp;"")</f>
        <v/>
      </c>
      <c r="D53">
        <f>IF($Q53="","",INDEX(상세표[직위],$Q53)&amp;"")</f>
        <v/>
      </c>
      <c r="E53">
        <f>IF($Q53="","",IF(ISNUMBER(INDEX(상세표[근무일자],$Q53)),TEXT(INDEX(상세표[근무일자],$Q53),"yyyy-mm-dd"),INDEX(상세표[근무일자],$Q53)&amp;""))</f>
        <v/>
      </c>
      <c r="F53">
        <f>IF($Q53="","",IF(ISNUMBER(INDEX(상세표[시작],$Q53)),TEXT(INDEX(상세표[시작],$Q53),"yyyy-mm-dd hh:mm"),INDEX(상세표[시작],$Q53)&amp;""))</f>
        <v/>
      </c>
      <c r="G53">
        <f>IF($Q53="","",IF(ISNUMBER(INDEX(상세표[블록종료],$Q53)),TEXT(INDEX(상세표[블록종료],$Q53),"yyyy-mm-dd hh:mm"),INDEX(상세표[블록종료],$Q53)&amp;""))</f>
        <v/>
      </c>
      <c r="H53">
        <f>IF($Q53="","",CHOOSE(WEEKDAY(INDEX(상세표[시작],$Q53)),"일","월","화","수","목","금","토"))</f>
        <v/>
      </c>
      <c r="I53" s="20">
        <f>IF($Q53="","",INDEX(상세표[연속 시간],$Q53))</f>
        <v/>
      </c>
      <c r="J53">
        <f>IF($Q53="","",INDEX(상세표[기록 수],$Q53))</f>
        <v/>
      </c>
      <c r="K53" s="20">
        <f>IF($Q53="","",INDEX(상세표[블록 06~07시],$Q53))</f>
        <v/>
      </c>
      <c r="L53" s="20">
        <f>IF($Q53="","",INDEX(상세표[블록 07~18시],$Q53))</f>
        <v/>
      </c>
      <c r="M53" s="20">
        <f>IF($Q53="","",INDEX(상세표[블록 18~22시],$Q53))</f>
        <v/>
      </c>
      <c r="N53" s="20">
        <f>IF($Q53="","",INDEX(상세표[블록 22~06시],$Q53))</f>
        <v/>
      </c>
      <c r="O53">
        <f>IF($Q53="","",INDEX(상세표[주말·휴일 포함],$Q53)&amp;"")</f>
        <v/>
      </c>
      <c r="P53">
        <f>IF($Q53="","",INDEX(상세표[월 넘김 포함],$Q53)&amp;"")</f>
        <v/>
      </c>
      <c r="Q53" s="4">
        <f>IFERROR(MATCH(48,상세표[연속순번],0),"")</f>
        <v/>
      </c>
    </row>
    <row r="54">
      <c r="A54">
        <f>IF($Q54="","",INDEX(상세표[부서],$Q54)&amp;"")</f>
        <v/>
      </c>
      <c r="B54">
        <f>IF($Q54="","",INDEX(상세표[사번],$Q54)&amp;"")</f>
        <v/>
      </c>
      <c r="C54">
        <f>IF($Q54="","",INDEX(상세표[성명],$Q54)&amp;"")</f>
        <v/>
      </c>
      <c r="D54">
        <f>IF($Q54="","",INDEX(상세표[직위],$Q54)&amp;"")</f>
        <v/>
      </c>
      <c r="E54">
        <f>IF($Q54="","",IF(ISNUMBER(INDEX(상세표[근무일자],$Q54)),TEXT(INDEX(상세표[근무일자],$Q54),"yyyy-mm-dd"),INDEX(상세표[근무일자],$Q54)&amp;""))</f>
        <v/>
      </c>
      <c r="F54">
        <f>IF($Q54="","",IF(ISNUMBER(INDEX(상세표[시작],$Q54)),TEXT(INDEX(상세표[시작],$Q54),"yyyy-mm-dd hh:mm"),INDEX(상세표[시작],$Q54)&amp;""))</f>
        <v/>
      </c>
      <c r="G54">
        <f>IF($Q54="","",IF(ISNUMBER(INDEX(상세표[블록종료],$Q54)),TEXT(INDEX(상세표[블록종료],$Q54),"yyyy-mm-dd hh:mm"),INDEX(상세표[블록종료],$Q54)&amp;""))</f>
        <v/>
      </c>
      <c r="H54">
        <f>IF($Q54="","",CHOOSE(WEEKDAY(INDEX(상세표[시작],$Q54)),"일","월","화","수","목","금","토"))</f>
        <v/>
      </c>
      <c r="I54" s="20">
        <f>IF($Q54="","",INDEX(상세표[연속 시간],$Q54))</f>
        <v/>
      </c>
      <c r="J54">
        <f>IF($Q54="","",INDEX(상세표[기록 수],$Q54))</f>
        <v/>
      </c>
      <c r="K54" s="20">
        <f>IF($Q54="","",INDEX(상세표[블록 06~07시],$Q54))</f>
        <v/>
      </c>
      <c r="L54" s="20">
        <f>IF($Q54="","",INDEX(상세표[블록 07~18시],$Q54))</f>
        <v/>
      </c>
      <c r="M54" s="20">
        <f>IF($Q54="","",INDEX(상세표[블록 18~22시],$Q54))</f>
        <v/>
      </c>
      <c r="N54" s="20">
        <f>IF($Q54="","",INDEX(상세표[블록 22~06시],$Q54))</f>
        <v/>
      </c>
      <c r="O54">
        <f>IF($Q54="","",INDEX(상세표[주말·휴일 포함],$Q54)&amp;"")</f>
        <v/>
      </c>
      <c r="P54">
        <f>IF($Q54="","",INDEX(상세표[월 넘김 포함],$Q54)&amp;"")</f>
        <v/>
      </c>
      <c r="Q54" s="4">
        <f>IFERROR(MATCH(49,상세표[연속순번],0),"")</f>
        <v/>
      </c>
    </row>
    <row r="55">
      <c r="A55">
        <f>IF($Q55="","",INDEX(상세표[부서],$Q55)&amp;"")</f>
        <v/>
      </c>
      <c r="B55">
        <f>IF($Q55="","",INDEX(상세표[사번],$Q55)&amp;"")</f>
        <v/>
      </c>
      <c r="C55">
        <f>IF($Q55="","",INDEX(상세표[성명],$Q55)&amp;"")</f>
        <v/>
      </c>
      <c r="D55">
        <f>IF($Q55="","",INDEX(상세표[직위],$Q55)&amp;"")</f>
        <v/>
      </c>
      <c r="E55">
        <f>IF($Q55="","",IF(ISNUMBER(INDEX(상세표[근무일자],$Q55)),TEXT(INDEX(상세표[근무일자],$Q55),"yyyy-mm-dd"),INDEX(상세표[근무일자],$Q55)&amp;""))</f>
        <v/>
      </c>
      <c r="F55">
        <f>IF($Q55="","",IF(ISNUMBER(INDEX(상세표[시작],$Q55)),TEXT(INDEX(상세표[시작],$Q55),"yyyy-mm-dd hh:mm"),INDEX(상세표[시작],$Q55)&amp;""))</f>
        <v/>
      </c>
      <c r="G55">
        <f>IF($Q55="","",IF(ISNUMBER(INDEX(상세표[블록종료],$Q55)),TEXT(INDEX(상세표[블록종료],$Q55),"yyyy-mm-dd hh:mm"),INDEX(상세표[블록종료],$Q55)&amp;""))</f>
        <v/>
      </c>
      <c r="H55">
        <f>IF($Q55="","",CHOOSE(WEEKDAY(INDEX(상세표[시작],$Q55)),"일","월","화","수","목","금","토"))</f>
        <v/>
      </c>
      <c r="I55" s="20">
        <f>IF($Q55="","",INDEX(상세표[연속 시간],$Q55))</f>
        <v/>
      </c>
      <c r="J55">
        <f>IF($Q55="","",INDEX(상세표[기록 수],$Q55))</f>
        <v/>
      </c>
      <c r="K55" s="20">
        <f>IF($Q55="","",INDEX(상세표[블록 06~07시],$Q55))</f>
        <v/>
      </c>
      <c r="L55" s="20">
        <f>IF($Q55="","",INDEX(상세표[블록 07~18시],$Q55))</f>
        <v/>
      </c>
      <c r="M55" s="20">
        <f>IF($Q55="","",INDEX(상세표[블록 18~22시],$Q55))</f>
        <v/>
      </c>
      <c r="N55" s="20">
        <f>IF($Q55="","",INDEX(상세표[블록 22~06시],$Q55))</f>
        <v/>
      </c>
      <c r="O55">
        <f>IF($Q55="","",INDEX(상세표[주말·휴일 포함],$Q55)&amp;"")</f>
        <v/>
      </c>
      <c r="P55">
        <f>IF($Q55="","",INDEX(상세표[월 넘김 포함],$Q55)&amp;"")</f>
        <v/>
      </c>
      <c r="Q55" s="4">
        <f>IFERROR(MATCH(50,상세표[연속순번],0),"")</f>
        <v/>
      </c>
    </row>
    <row r="56">
      <c r="A56">
        <f>IF($Q56="","",INDEX(상세표[부서],$Q56)&amp;"")</f>
        <v/>
      </c>
      <c r="B56">
        <f>IF($Q56="","",INDEX(상세표[사번],$Q56)&amp;"")</f>
        <v/>
      </c>
      <c r="C56">
        <f>IF($Q56="","",INDEX(상세표[성명],$Q56)&amp;"")</f>
        <v/>
      </c>
      <c r="D56">
        <f>IF($Q56="","",INDEX(상세표[직위],$Q56)&amp;"")</f>
        <v/>
      </c>
      <c r="E56">
        <f>IF($Q56="","",IF(ISNUMBER(INDEX(상세표[근무일자],$Q56)),TEXT(INDEX(상세표[근무일자],$Q56),"yyyy-mm-dd"),INDEX(상세표[근무일자],$Q56)&amp;""))</f>
        <v/>
      </c>
      <c r="F56">
        <f>IF($Q56="","",IF(ISNUMBER(INDEX(상세표[시작],$Q56)),TEXT(INDEX(상세표[시작],$Q56),"yyyy-mm-dd hh:mm"),INDEX(상세표[시작],$Q56)&amp;""))</f>
        <v/>
      </c>
      <c r="G56">
        <f>IF($Q56="","",IF(ISNUMBER(INDEX(상세표[블록종료],$Q56)),TEXT(INDEX(상세표[블록종료],$Q56),"yyyy-mm-dd hh:mm"),INDEX(상세표[블록종료],$Q56)&amp;""))</f>
        <v/>
      </c>
      <c r="H56">
        <f>IF($Q56="","",CHOOSE(WEEKDAY(INDEX(상세표[시작],$Q56)),"일","월","화","수","목","금","토"))</f>
        <v/>
      </c>
      <c r="I56" s="20">
        <f>IF($Q56="","",INDEX(상세표[연속 시간],$Q56))</f>
        <v/>
      </c>
      <c r="J56">
        <f>IF($Q56="","",INDEX(상세표[기록 수],$Q56))</f>
        <v/>
      </c>
      <c r="K56" s="20">
        <f>IF($Q56="","",INDEX(상세표[블록 06~07시],$Q56))</f>
        <v/>
      </c>
      <c r="L56" s="20">
        <f>IF($Q56="","",INDEX(상세표[블록 07~18시],$Q56))</f>
        <v/>
      </c>
      <c r="M56" s="20">
        <f>IF($Q56="","",INDEX(상세표[블록 18~22시],$Q56))</f>
        <v/>
      </c>
      <c r="N56" s="20">
        <f>IF($Q56="","",INDEX(상세표[블록 22~06시],$Q56))</f>
        <v/>
      </c>
      <c r="O56">
        <f>IF($Q56="","",INDEX(상세표[주말·휴일 포함],$Q56)&amp;"")</f>
        <v/>
      </c>
      <c r="P56">
        <f>IF($Q56="","",INDEX(상세표[월 넘김 포함],$Q56)&amp;"")</f>
        <v/>
      </c>
      <c r="Q56" s="4">
        <f>IFERROR(MATCH(51,상세표[연속순번],0),"")</f>
        <v/>
      </c>
    </row>
    <row r="57">
      <c r="A57">
        <f>IF($Q57="","",INDEX(상세표[부서],$Q57)&amp;"")</f>
        <v/>
      </c>
      <c r="B57">
        <f>IF($Q57="","",INDEX(상세표[사번],$Q57)&amp;"")</f>
        <v/>
      </c>
      <c r="C57">
        <f>IF($Q57="","",INDEX(상세표[성명],$Q57)&amp;"")</f>
        <v/>
      </c>
      <c r="D57">
        <f>IF($Q57="","",INDEX(상세표[직위],$Q57)&amp;"")</f>
        <v/>
      </c>
      <c r="E57">
        <f>IF($Q57="","",IF(ISNUMBER(INDEX(상세표[근무일자],$Q57)),TEXT(INDEX(상세표[근무일자],$Q57),"yyyy-mm-dd"),INDEX(상세표[근무일자],$Q57)&amp;""))</f>
        <v/>
      </c>
      <c r="F57">
        <f>IF($Q57="","",IF(ISNUMBER(INDEX(상세표[시작],$Q57)),TEXT(INDEX(상세표[시작],$Q57),"yyyy-mm-dd hh:mm"),INDEX(상세표[시작],$Q57)&amp;""))</f>
        <v/>
      </c>
      <c r="G57">
        <f>IF($Q57="","",IF(ISNUMBER(INDEX(상세표[블록종료],$Q57)),TEXT(INDEX(상세표[블록종료],$Q57),"yyyy-mm-dd hh:mm"),INDEX(상세표[블록종료],$Q57)&amp;""))</f>
        <v/>
      </c>
      <c r="H57">
        <f>IF($Q57="","",CHOOSE(WEEKDAY(INDEX(상세표[시작],$Q57)),"일","월","화","수","목","금","토"))</f>
        <v/>
      </c>
      <c r="I57" s="20">
        <f>IF($Q57="","",INDEX(상세표[연속 시간],$Q57))</f>
        <v/>
      </c>
      <c r="J57">
        <f>IF($Q57="","",INDEX(상세표[기록 수],$Q57))</f>
        <v/>
      </c>
      <c r="K57" s="20">
        <f>IF($Q57="","",INDEX(상세표[블록 06~07시],$Q57))</f>
        <v/>
      </c>
      <c r="L57" s="20">
        <f>IF($Q57="","",INDEX(상세표[블록 07~18시],$Q57))</f>
        <v/>
      </c>
      <c r="M57" s="20">
        <f>IF($Q57="","",INDEX(상세표[블록 18~22시],$Q57))</f>
        <v/>
      </c>
      <c r="N57" s="20">
        <f>IF($Q57="","",INDEX(상세표[블록 22~06시],$Q57))</f>
        <v/>
      </c>
      <c r="O57">
        <f>IF($Q57="","",INDEX(상세표[주말·휴일 포함],$Q57)&amp;"")</f>
        <v/>
      </c>
      <c r="P57">
        <f>IF($Q57="","",INDEX(상세표[월 넘김 포함],$Q57)&amp;"")</f>
        <v/>
      </c>
      <c r="Q57" s="4">
        <f>IFERROR(MATCH(52,상세표[연속순번],0),"")</f>
        <v/>
      </c>
    </row>
    <row r="58">
      <c r="A58">
        <f>IF($Q58="","",INDEX(상세표[부서],$Q58)&amp;"")</f>
        <v/>
      </c>
      <c r="B58">
        <f>IF($Q58="","",INDEX(상세표[사번],$Q58)&amp;"")</f>
        <v/>
      </c>
      <c r="C58">
        <f>IF($Q58="","",INDEX(상세표[성명],$Q58)&amp;"")</f>
        <v/>
      </c>
      <c r="D58">
        <f>IF($Q58="","",INDEX(상세표[직위],$Q58)&amp;"")</f>
        <v/>
      </c>
      <c r="E58">
        <f>IF($Q58="","",IF(ISNUMBER(INDEX(상세표[근무일자],$Q58)),TEXT(INDEX(상세표[근무일자],$Q58),"yyyy-mm-dd"),INDEX(상세표[근무일자],$Q58)&amp;""))</f>
        <v/>
      </c>
      <c r="F58">
        <f>IF($Q58="","",IF(ISNUMBER(INDEX(상세표[시작],$Q58)),TEXT(INDEX(상세표[시작],$Q58),"yyyy-mm-dd hh:mm"),INDEX(상세표[시작],$Q58)&amp;""))</f>
        <v/>
      </c>
      <c r="G58">
        <f>IF($Q58="","",IF(ISNUMBER(INDEX(상세표[블록종료],$Q58)),TEXT(INDEX(상세표[블록종료],$Q58),"yyyy-mm-dd hh:mm"),INDEX(상세표[블록종료],$Q58)&amp;""))</f>
        <v/>
      </c>
      <c r="H58">
        <f>IF($Q58="","",CHOOSE(WEEKDAY(INDEX(상세표[시작],$Q58)),"일","월","화","수","목","금","토"))</f>
        <v/>
      </c>
      <c r="I58" s="20">
        <f>IF($Q58="","",INDEX(상세표[연속 시간],$Q58))</f>
        <v/>
      </c>
      <c r="J58">
        <f>IF($Q58="","",INDEX(상세표[기록 수],$Q58))</f>
        <v/>
      </c>
      <c r="K58" s="20">
        <f>IF($Q58="","",INDEX(상세표[블록 06~07시],$Q58))</f>
        <v/>
      </c>
      <c r="L58" s="20">
        <f>IF($Q58="","",INDEX(상세표[블록 07~18시],$Q58))</f>
        <v/>
      </c>
      <c r="M58" s="20">
        <f>IF($Q58="","",INDEX(상세표[블록 18~22시],$Q58))</f>
        <v/>
      </c>
      <c r="N58" s="20">
        <f>IF($Q58="","",INDEX(상세표[블록 22~06시],$Q58))</f>
        <v/>
      </c>
      <c r="O58">
        <f>IF($Q58="","",INDEX(상세표[주말·휴일 포함],$Q58)&amp;"")</f>
        <v/>
      </c>
      <c r="P58">
        <f>IF($Q58="","",INDEX(상세표[월 넘김 포함],$Q58)&amp;"")</f>
        <v/>
      </c>
      <c r="Q58" s="4">
        <f>IFERROR(MATCH(53,상세표[연속순번],0),"")</f>
        <v/>
      </c>
    </row>
    <row r="59">
      <c r="A59">
        <f>IF($Q59="","",INDEX(상세표[부서],$Q59)&amp;"")</f>
        <v/>
      </c>
      <c r="B59">
        <f>IF($Q59="","",INDEX(상세표[사번],$Q59)&amp;"")</f>
        <v/>
      </c>
      <c r="C59">
        <f>IF($Q59="","",INDEX(상세표[성명],$Q59)&amp;"")</f>
        <v/>
      </c>
      <c r="D59">
        <f>IF($Q59="","",INDEX(상세표[직위],$Q59)&amp;"")</f>
        <v/>
      </c>
      <c r="E59">
        <f>IF($Q59="","",IF(ISNUMBER(INDEX(상세표[근무일자],$Q59)),TEXT(INDEX(상세표[근무일자],$Q59),"yyyy-mm-dd"),INDEX(상세표[근무일자],$Q59)&amp;""))</f>
        <v/>
      </c>
      <c r="F59">
        <f>IF($Q59="","",IF(ISNUMBER(INDEX(상세표[시작],$Q59)),TEXT(INDEX(상세표[시작],$Q59),"yyyy-mm-dd hh:mm"),INDEX(상세표[시작],$Q59)&amp;""))</f>
        <v/>
      </c>
      <c r="G59">
        <f>IF($Q59="","",IF(ISNUMBER(INDEX(상세표[블록종료],$Q59)),TEXT(INDEX(상세표[블록종료],$Q59),"yyyy-mm-dd hh:mm"),INDEX(상세표[블록종료],$Q59)&amp;""))</f>
        <v/>
      </c>
      <c r="H59">
        <f>IF($Q59="","",CHOOSE(WEEKDAY(INDEX(상세표[시작],$Q59)),"일","월","화","수","목","금","토"))</f>
        <v/>
      </c>
      <c r="I59" s="20">
        <f>IF($Q59="","",INDEX(상세표[연속 시간],$Q59))</f>
        <v/>
      </c>
      <c r="J59">
        <f>IF($Q59="","",INDEX(상세표[기록 수],$Q59))</f>
        <v/>
      </c>
      <c r="K59" s="20">
        <f>IF($Q59="","",INDEX(상세표[블록 06~07시],$Q59))</f>
        <v/>
      </c>
      <c r="L59" s="20">
        <f>IF($Q59="","",INDEX(상세표[블록 07~18시],$Q59))</f>
        <v/>
      </c>
      <c r="M59" s="20">
        <f>IF($Q59="","",INDEX(상세표[블록 18~22시],$Q59))</f>
        <v/>
      </c>
      <c r="N59" s="20">
        <f>IF($Q59="","",INDEX(상세표[블록 22~06시],$Q59))</f>
        <v/>
      </c>
      <c r="O59">
        <f>IF($Q59="","",INDEX(상세표[주말·휴일 포함],$Q59)&amp;"")</f>
        <v/>
      </c>
      <c r="P59">
        <f>IF($Q59="","",INDEX(상세표[월 넘김 포함],$Q59)&amp;"")</f>
        <v/>
      </c>
      <c r="Q59" s="4">
        <f>IFERROR(MATCH(54,상세표[연속순번],0),"")</f>
        <v/>
      </c>
    </row>
    <row r="60">
      <c r="A60">
        <f>IF($Q60="","",INDEX(상세표[부서],$Q60)&amp;"")</f>
        <v/>
      </c>
      <c r="B60">
        <f>IF($Q60="","",INDEX(상세표[사번],$Q60)&amp;"")</f>
        <v/>
      </c>
      <c r="C60">
        <f>IF($Q60="","",INDEX(상세표[성명],$Q60)&amp;"")</f>
        <v/>
      </c>
      <c r="D60">
        <f>IF($Q60="","",INDEX(상세표[직위],$Q60)&amp;"")</f>
        <v/>
      </c>
      <c r="E60">
        <f>IF($Q60="","",IF(ISNUMBER(INDEX(상세표[근무일자],$Q60)),TEXT(INDEX(상세표[근무일자],$Q60),"yyyy-mm-dd"),INDEX(상세표[근무일자],$Q60)&amp;""))</f>
        <v/>
      </c>
      <c r="F60">
        <f>IF($Q60="","",IF(ISNUMBER(INDEX(상세표[시작],$Q60)),TEXT(INDEX(상세표[시작],$Q60),"yyyy-mm-dd hh:mm"),INDEX(상세표[시작],$Q60)&amp;""))</f>
        <v/>
      </c>
      <c r="G60">
        <f>IF($Q60="","",IF(ISNUMBER(INDEX(상세표[블록종료],$Q60)),TEXT(INDEX(상세표[블록종료],$Q60),"yyyy-mm-dd hh:mm"),INDEX(상세표[블록종료],$Q60)&amp;""))</f>
        <v/>
      </c>
      <c r="H60">
        <f>IF($Q60="","",CHOOSE(WEEKDAY(INDEX(상세표[시작],$Q60)),"일","월","화","수","목","금","토"))</f>
        <v/>
      </c>
      <c r="I60" s="20">
        <f>IF($Q60="","",INDEX(상세표[연속 시간],$Q60))</f>
        <v/>
      </c>
      <c r="J60">
        <f>IF($Q60="","",INDEX(상세표[기록 수],$Q60))</f>
        <v/>
      </c>
      <c r="K60" s="20">
        <f>IF($Q60="","",INDEX(상세표[블록 06~07시],$Q60))</f>
        <v/>
      </c>
      <c r="L60" s="20">
        <f>IF($Q60="","",INDEX(상세표[블록 07~18시],$Q60))</f>
        <v/>
      </c>
      <c r="M60" s="20">
        <f>IF($Q60="","",INDEX(상세표[블록 18~22시],$Q60))</f>
        <v/>
      </c>
      <c r="N60" s="20">
        <f>IF($Q60="","",INDEX(상세표[블록 22~06시],$Q60))</f>
        <v/>
      </c>
      <c r="O60">
        <f>IF($Q60="","",INDEX(상세표[주말·휴일 포함],$Q60)&amp;"")</f>
        <v/>
      </c>
      <c r="P60">
        <f>IF($Q60="","",INDEX(상세표[월 넘김 포함],$Q60)&amp;"")</f>
        <v/>
      </c>
      <c r="Q60" s="4">
        <f>IFERROR(MATCH(55,상세표[연속순번],0),"")</f>
        <v/>
      </c>
    </row>
    <row r="61">
      <c r="A61">
        <f>IF($Q61="","",INDEX(상세표[부서],$Q61)&amp;"")</f>
        <v/>
      </c>
      <c r="B61">
        <f>IF($Q61="","",INDEX(상세표[사번],$Q61)&amp;"")</f>
        <v/>
      </c>
      <c r="C61">
        <f>IF($Q61="","",INDEX(상세표[성명],$Q61)&amp;"")</f>
        <v/>
      </c>
      <c r="D61">
        <f>IF($Q61="","",INDEX(상세표[직위],$Q61)&amp;"")</f>
        <v/>
      </c>
      <c r="E61">
        <f>IF($Q61="","",IF(ISNUMBER(INDEX(상세표[근무일자],$Q61)),TEXT(INDEX(상세표[근무일자],$Q61),"yyyy-mm-dd"),INDEX(상세표[근무일자],$Q61)&amp;""))</f>
        <v/>
      </c>
      <c r="F61">
        <f>IF($Q61="","",IF(ISNUMBER(INDEX(상세표[시작],$Q61)),TEXT(INDEX(상세표[시작],$Q61),"yyyy-mm-dd hh:mm"),INDEX(상세표[시작],$Q61)&amp;""))</f>
        <v/>
      </c>
      <c r="G61">
        <f>IF($Q61="","",IF(ISNUMBER(INDEX(상세표[블록종료],$Q61)),TEXT(INDEX(상세표[블록종료],$Q61),"yyyy-mm-dd hh:mm"),INDEX(상세표[블록종료],$Q61)&amp;""))</f>
        <v/>
      </c>
      <c r="H61">
        <f>IF($Q61="","",CHOOSE(WEEKDAY(INDEX(상세표[시작],$Q61)),"일","월","화","수","목","금","토"))</f>
        <v/>
      </c>
      <c r="I61" s="20">
        <f>IF($Q61="","",INDEX(상세표[연속 시간],$Q61))</f>
        <v/>
      </c>
      <c r="J61">
        <f>IF($Q61="","",INDEX(상세표[기록 수],$Q61))</f>
        <v/>
      </c>
      <c r="K61" s="20">
        <f>IF($Q61="","",INDEX(상세표[블록 06~07시],$Q61))</f>
        <v/>
      </c>
      <c r="L61" s="20">
        <f>IF($Q61="","",INDEX(상세표[블록 07~18시],$Q61))</f>
        <v/>
      </c>
      <c r="M61" s="20">
        <f>IF($Q61="","",INDEX(상세표[블록 18~22시],$Q61))</f>
        <v/>
      </c>
      <c r="N61" s="20">
        <f>IF($Q61="","",INDEX(상세표[블록 22~06시],$Q61))</f>
        <v/>
      </c>
      <c r="O61">
        <f>IF($Q61="","",INDEX(상세표[주말·휴일 포함],$Q61)&amp;"")</f>
        <v/>
      </c>
      <c r="P61">
        <f>IF($Q61="","",INDEX(상세표[월 넘김 포함],$Q61)&amp;"")</f>
        <v/>
      </c>
      <c r="Q61" s="4">
        <f>IFERROR(MATCH(56,상세표[연속순번],0),"")</f>
        <v/>
      </c>
    </row>
    <row r="62">
      <c r="A62">
        <f>IF($Q62="","",INDEX(상세표[부서],$Q62)&amp;"")</f>
        <v/>
      </c>
      <c r="B62">
        <f>IF($Q62="","",INDEX(상세표[사번],$Q62)&amp;"")</f>
        <v/>
      </c>
      <c r="C62">
        <f>IF($Q62="","",INDEX(상세표[성명],$Q62)&amp;"")</f>
        <v/>
      </c>
      <c r="D62">
        <f>IF($Q62="","",INDEX(상세표[직위],$Q62)&amp;"")</f>
        <v/>
      </c>
      <c r="E62">
        <f>IF($Q62="","",IF(ISNUMBER(INDEX(상세표[근무일자],$Q62)),TEXT(INDEX(상세표[근무일자],$Q62),"yyyy-mm-dd"),INDEX(상세표[근무일자],$Q62)&amp;""))</f>
        <v/>
      </c>
      <c r="F62">
        <f>IF($Q62="","",IF(ISNUMBER(INDEX(상세표[시작],$Q62)),TEXT(INDEX(상세표[시작],$Q62),"yyyy-mm-dd hh:mm"),INDEX(상세표[시작],$Q62)&amp;""))</f>
        <v/>
      </c>
      <c r="G62">
        <f>IF($Q62="","",IF(ISNUMBER(INDEX(상세표[블록종료],$Q62)),TEXT(INDEX(상세표[블록종료],$Q62),"yyyy-mm-dd hh:mm"),INDEX(상세표[블록종료],$Q62)&amp;""))</f>
        <v/>
      </c>
      <c r="H62">
        <f>IF($Q62="","",CHOOSE(WEEKDAY(INDEX(상세표[시작],$Q62)),"일","월","화","수","목","금","토"))</f>
        <v/>
      </c>
      <c r="I62" s="20">
        <f>IF($Q62="","",INDEX(상세표[연속 시간],$Q62))</f>
        <v/>
      </c>
      <c r="J62">
        <f>IF($Q62="","",INDEX(상세표[기록 수],$Q62))</f>
        <v/>
      </c>
      <c r="K62" s="20">
        <f>IF($Q62="","",INDEX(상세표[블록 06~07시],$Q62))</f>
        <v/>
      </c>
      <c r="L62" s="20">
        <f>IF($Q62="","",INDEX(상세표[블록 07~18시],$Q62))</f>
        <v/>
      </c>
      <c r="M62" s="20">
        <f>IF($Q62="","",INDEX(상세표[블록 18~22시],$Q62))</f>
        <v/>
      </c>
      <c r="N62" s="20">
        <f>IF($Q62="","",INDEX(상세표[블록 22~06시],$Q62))</f>
        <v/>
      </c>
      <c r="O62">
        <f>IF($Q62="","",INDEX(상세표[주말·휴일 포함],$Q62)&amp;"")</f>
        <v/>
      </c>
      <c r="P62">
        <f>IF($Q62="","",INDEX(상세표[월 넘김 포함],$Q62)&amp;"")</f>
        <v/>
      </c>
      <c r="Q62" s="4">
        <f>IFERROR(MATCH(57,상세표[연속순번],0),"")</f>
        <v/>
      </c>
    </row>
    <row r="63">
      <c r="A63">
        <f>IF($Q63="","",INDEX(상세표[부서],$Q63)&amp;"")</f>
        <v/>
      </c>
      <c r="B63">
        <f>IF($Q63="","",INDEX(상세표[사번],$Q63)&amp;"")</f>
        <v/>
      </c>
      <c r="C63">
        <f>IF($Q63="","",INDEX(상세표[성명],$Q63)&amp;"")</f>
        <v/>
      </c>
      <c r="D63">
        <f>IF($Q63="","",INDEX(상세표[직위],$Q63)&amp;"")</f>
        <v/>
      </c>
      <c r="E63">
        <f>IF($Q63="","",IF(ISNUMBER(INDEX(상세표[근무일자],$Q63)),TEXT(INDEX(상세표[근무일자],$Q63),"yyyy-mm-dd"),INDEX(상세표[근무일자],$Q63)&amp;""))</f>
        <v/>
      </c>
      <c r="F63">
        <f>IF($Q63="","",IF(ISNUMBER(INDEX(상세표[시작],$Q63)),TEXT(INDEX(상세표[시작],$Q63),"yyyy-mm-dd hh:mm"),INDEX(상세표[시작],$Q63)&amp;""))</f>
        <v/>
      </c>
      <c r="G63">
        <f>IF($Q63="","",IF(ISNUMBER(INDEX(상세표[블록종료],$Q63)),TEXT(INDEX(상세표[블록종료],$Q63),"yyyy-mm-dd hh:mm"),INDEX(상세표[블록종료],$Q63)&amp;""))</f>
        <v/>
      </c>
      <c r="H63">
        <f>IF($Q63="","",CHOOSE(WEEKDAY(INDEX(상세표[시작],$Q63)),"일","월","화","수","목","금","토"))</f>
        <v/>
      </c>
      <c r="I63" s="20">
        <f>IF($Q63="","",INDEX(상세표[연속 시간],$Q63))</f>
        <v/>
      </c>
      <c r="J63">
        <f>IF($Q63="","",INDEX(상세표[기록 수],$Q63))</f>
        <v/>
      </c>
      <c r="K63" s="20">
        <f>IF($Q63="","",INDEX(상세표[블록 06~07시],$Q63))</f>
        <v/>
      </c>
      <c r="L63" s="20">
        <f>IF($Q63="","",INDEX(상세표[블록 07~18시],$Q63))</f>
        <v/>
      </c>
      <c r="M63" s="20">
        <f>IF($Q63="","",INDEX(상세표[블록 18~22시],$Q63))</f>
        <v/>
      </c>
      <c r="N63" s="20">
        <f>IF($Q63="","",INDEX(상세표[블록 22~06시],$Q63))</f>
        <v/>
      </c>
      <c r="O63">
        <f>IF($Q63="","",INDEX(상세표[주말·휴일 포함],$Q63)&amp;"")</f>
        <v/>
      </c>
      <c r="P63">
        <f>IF($Q63="","",INDEX(상세표[월 넘김 포함],$Q63)&amp;"")</f>
        <v/>
      </c>
      <c r="Q63" s="4">
        <f>IFERROR(MATCH(58,상세표[연속순번],0),"")</f>
        <v/>
      </c>
    </row>
    <row r="64">
      <c r="A64">
        <f>IF($Q64="","",INDEX(상세표[부서],$Q64)&amp;"")</f>
        <v/>
      </c>
      <c r="B64">
        <f>IF($Q64="","",INDEX(상세표[사번],$Q64)&amp;"")</f>
        <v/>
      </c>
      <c r="C64">
        <f>IF($Q64="","",INDEX(상세표[성명],$Q64)&amp;"")</f>
        <v/>
      </c>
      <c r="D64">
        <f>IF($Q64="","",INDEX(상세표[직위],$Q64)&amp;"")</f>
        <v/>
      </c>
      <c r="E64">
        <f>IF($Q64="","",IF(ISNUMBER(INDEX(상세표[근무일자],$Q64)),TEXT(INDEX(상세표[근무일자],$Q64),"yyyy-mm-dd"),INDEX(상세표[근무일자],$Q64)&amp;""))</f>
        <v/>
      </c>
      <c r="F64">
        <f>IF($Q64="","",IF(ISNUMBER(INDEX(상세표[시작],$Q64)),TEXT(INDEX(상세표[시작],$Q64),"yyyy-mm-dd hh:mm"),INDEX(상세표[시작],$Q64)&amp;""))</f>
        <v/>
      </c>
      <c r="G64">
        <f>IF($Q64="","",IF(ISNUMBER(INDEX(상세표[블록종료],$Q64)),TEXT(INDEX(상세표[블록종료],$Q64),"yyyy-mm-dd hh:mm"),INDEX(상세표[블록종료],$Q64)&amp;""))</f>
        <v/>
      </c>
      <c r="H64">
        <f>IF($Q64="","",CHOOSE(WEEKDAY(INDEX(상세표[시작],$Q64)),"일","월","화","수","목","금","토"))</f>
        <v/>
      </c>
      <c r="I64" s="20">
        <f>IF($Q64="","",INDEX(상세표[연속 시간],$Q64))</f>
        <v/>
      </c>
      <c r="J64">
        <f>IF($Q64="","",INDEX(상세표[기록 수],$Q64))</f>
        <v/>
      </c>
      <c r="K64" s="20">
        <f>IF($Q64="","",INDEX(상세표[블록 06~07시],$Q64))</f>
        <v/>
      </c>
      <c r="L64" s="20">
        <f>IF($Q64="","",INDEX(상세표[블록 07~18시],$Q64))</f>
        <v/>
      </c>
      <c r="M64" s="20">
        <f>IF($Q64="","",INDEX(상세표[블록 18~22시],$Q64))</f>
        <v/>
      </c>
      <c r="N64" s="20">
        <f>IF($Q64="","",INDEX(상세표[블록 22~06시],$Q64))</f>
        <v/>
      </c>
      <c r="O64">
        <f>IF($Q64="","",INDEX(상세표[주말·휴일 포함],$Q64)&amp;"")</f>
        <v/>
      </c>
      <c r="P64">
        <f>IF($Q64="","",INDEX(상세표[월 넘김 포함],$Q64)&amp;"")</f>
        <v/>
      </c>
      <c r="Q64" s="4">
        <f>IFERROR(MATCH(59,상세표[연속순번],0),"")</f>
        <v/>
      </c>
    </row>
    <row r="65">
      <c r="A65">
        <f>IF($Q65="","",INDEX(상세표[부서],$Q65)&amp;"")</f>
        <v/>
      </c>
      <c r="B65">
        <f>IF($Q65="","",INDEX(상세표[사번],$Q65)&amp;"")</f>
        <v/>
      </c>
      <c r="C65">
        <f>IF($Q65="","",INDEX(상세표[성명],$Q65)&amp;"")</f>
        <v/>
      </c>
      <c r="D65">
        <f>IF($Q65="","",INDEX(상세표[직위],$Q65)&amp;"")</f>
        <v/>
      </c>
      <c r="E65">
        <f>IF($Q65="","",IF(ISNUMBER(INDEX(상세표[근무일자],$Q65)),TEXT(INDEX(상세표[근무일자],$Q65),"yyyy-mm-dd"),INDEX(상세표[근무일자],$Q65)&amp;""))</f>
        <v/>
      </c>
      <c r="F65">
        <f>IF($Q65="","",IF(ISNUMBER(INDEX(상세표[시작],$Q65)),TEXT(INDEX(상세표[시작],$Q65),"yyyy-mm-dd hh:mm"),INDEX(상세표[시작],$Q65)&amp;""))</f>
        <v/>
      </c>
      <c r="G65">
        <f>IF($Q65="","",IF(ISNUMBER(INDEX(상세표[블록종료],$Q65)),TEXT(INDEX(상세표[블록종료],$Q65),"yyyy-mm-dd hh:mm"),INDEX(상세표[블록종료],$Q65)&amp;""))</f>
        <v/>
      </c>
      <c r="H65">
        <f>IF($Q65="","",CHOOSE(WEEKDAY(INDEX(상세표[시작],$Q65)),"일","월","화","수","목","금","토"))</f>
        <v/>
      </c>
      <c r="I65" s="20">
        <f>IF($Q65="","",INDEX(상세표[연속 시간],$Q65))</f>
        <v/>
      </c>
      <c r="J65">
        <f>IF($Q65="","",INDEX(상세표[기록 수],$Q65))</f>
        <v/>
      </c>
      <c r="K65" s="20">
        <f>IF($Q65="","",INDEX(상세표[블록 06~07시],$Q65))</f>
        <v/>
      </c>
      <c r="L65" s="20">
        <f>IF($Q65="","",INDEX(상세표[블록 07~18시],$Q65))</f>
        <v/>
      </c>
      <c r="M65" s="20">
        <f>IF($Q65="","",INDEX(상세표[블록 18~22시],$Q65))</f>
        <v/>
      </c>
      <c r="N65" s="20">
        <f>IF($Q65="","",INDEX(상세표[블록 22~06시],$Q65))</f>
        <v/>
      </c>
      <c r="O65">
        <f>IF($Q65="","",INDEX(상세표[주말·휴일 포함],$Q65)&amp;"")</f>
        <v/>
      </c>
      <c r="P65">
        <f>IF($Q65="","",INDEX(상세표[월 넘김 포함],$Q65)&amp;"")</f>
        <v/>
      </c>
      <c r="Q65" s="4">
        <f>IFERROR(MATCH(60,상세표[연속순번],0),"")</f>
        <v/>
      </c>
    </row>
    <row r="66">
      <c r="A66">
        <f>IF($Q66="","",INDEX(상세표[부서],$Q66)&amp;"")</f>
        <v/>
      </c>
      <c r="B66">
        <f>IF($Q66="","",INDEX(상세표[사번],$Q66)&amp;"")</f>
        <v/>
      </c>
      <c r="C66">
        <f>IF($Q66="","",INDEX(상세표[성명],$Q66)&amp;"")</f>
        <v/>
      </c>
      <c r="D66">
        <f>IF($Q66="","",INDEX(상세표[직위],$Q66)&amp;"")</f>
        <v/>
      </c>
      <c r="E66">
        <f>IF($Q66="","",IF(ISNUMBER(INDEX(상세표[근무일자],$Q66)),TEXT(INDEX(상세표[근무일자],$Q66),"yyyy-mm-dd"),INDEX(상세표[근무일자],$Q66)&amp;""))</f>
        <v/>
      </c>
      <c r="F66">
        <f>IF($Q66="","",IF(ISNUMBER(INDEX(상세표[시작],$Q66)),TEXT(INDEX(상세표[시작],$Q66),"yyyy-mm-dd hh:mm"),INDEX(상세표[시작],$Q66)&amp;""))</f>
        <v/>
      </c>
      <c r="G66">
        <f>IF($Q66="","",IF(ISNUMBER(INDEX(상세표[블록종료],$Q66)),TEXT(INDEX(상세표[블록종료],$Q66),"yyyy-mm-dd hh:mm"),INDEX(상세표[블록종료],$Q66)&amp;""))</f>
        <v/>
      </c>
      <c r="H66">
        <f>IF($Q66="","",CHOOSE(WEEKDAY(INDEX(상세표[시작],$Q66)),"일","월","화","수","목","금","토"))</f>
        <v/>
      </c>
      <c r="I66" s="20">
        <f>IF($Q66="","",INDEX(상세표[연속 시간],$Q66))</f>
        <v/>
      </c>
      <c r="J66">
        <f>IF($Q66="","",INDEX(상세표[기록 수],$Q66))</f>
        <v/>
      </c>
      <c r="K66" s="20">
        <f>IF($Q66="","",INDEX(상세표[블록 06~07시],$Q66))</f>
        <v/>
      </c>
      <c r="L66" s="20">
        <f>IF($Q66="","",INDEX(상세표[블록 07~18시],$Q66))</f>
        <v/>
      </c>
      <c r="M66" s="20">
        <f>IF($Q66="","",INDEX(상세표[블록 18~22시],$Q66))</f>
        <v/>
      </c>
      <c r="N66" s="20">
        <f>IF($Q66="","",INDEX(상세표[블록 22~06시],$Q66))</f>
        <v/>
      </c>
      <c r="O66">
        <f>IF($Q66="","",INDEX(상세표[주말·휴일 포함],$Q66)&amp;"")</f>
        <v/>
      </c>
      <c r="P66">
        <f>IF($Q66="","",INDEX(상세표[월 넘김 포함],$Q66)&amp;"")</f>
        <v/>
      </c>
      <c r="Q66" s="4">
        <f>IFERROR(MATCH(61,상세표[연속순번],0),"")</f>
        <v/>
      </c>
    </row>
    <row r="67">
      <c r="A67">
        <f>IF($Q67="","",INDEX(상세표[부서],$Q67)&amp;"")</f>
        <v/>
      </c>
      <c r="B67">
        <f>IF($Q67="","",INDEX(상세표[사번],$Q67)&amp;"")</f>
        <v/>
      </c>
      <c r="C67">
        <f>IF($Q67="","",INDEX(상세표[성명],$Q67)&amp;"")</f>
        <v/>
      </c>
      <c r="D67">
        <f>IF($Q67="","",INDEX(상세표[직위],$Q67)&amp;"")</f>
        <v/>
      </c>
      <c r="E67">
        <f>IF($Q67="","",IF(ISNUMBER(INDEX(상세표[근무일자],$Q67)),TEXT(INDEX(상세표[근무일자],$Q67),"yyyy-mm-dd"),INDEX(상세표[근무일자],$Q67)&amp;""))</f>
        <v/>
      </c>
      <c r="F67">
        <f>IF($Q67="","",IF(ISNUMBER(INDEX(상세표[시작],$Q67)),TEXT(INDEX(상세표[시작],$Q67),"yyyy-mm-dd hh:mm"),INDEX(상세표[시작],$Q67)&amp;""))</f>
        <v/>
      </c>
      <c r="G67">
        <f>IF($Q67="","",IF(ISNUMBER(INDEX(상세표[블록종료],$Q67)),TEXT(INDEX(상세표[블록종료],$Q67),"yyyy-mm-dd hh:mm"),INDEX(상세표[블록종료],$Q67)&amp;""))</f>
        <v/>
      </c>
      <c r="H67">
        <f>IF($Q67="","",CHOOSE(WEEKDAY(INDEX(상세표[시작],$Q67)),"일","월","화","수","목","금","토"))</f>
        <v/>
      </c>
      <c r="I67" s="20">
        <f>IF($Q67="","",INDEX(상세표[연속 시간],$Q67))</f>
        <v/>
      </c>
      <c r="J67">
        <f>IF($Q67="","",INDEX(상세표[기록 수],$Q67))</f>
        <v/>
      </c>
      <c r="K67" s="20">
        <f>IF($Q67="","",INDEX(상세표[블록 06~07시],$Q67))</f>
        <v/>
      </c>
      <c r="L67" s="20">
        <f>IF($Q67="","",INDEX(상세표[블록 07~18시],$Q67))</f>
        <v/>
      </c>
      <c r="M67" s="20">
        <f>IF($Q67="","",INDEX(상세표[블록 18~22시],$Q67))</f>
        <v/>
      </c>
      <c r="N67" s="20">
        <f>IF($Q67="","",INDEX(상세표[블록 22~06시],$Q67))</f>
        <v/>
      </c>
      <c r="O67">
        <f>IF($Q67="","",INDEX(상세표[주말·휴일 포함],$Q67)&amp;"")</f>
        <v/>
      </c>
      <c r="P67">
        <f>IF($Q67="","",INDEX(상세표[월 넘김 포함],$Q67)&amp;"")</f>
        <v/>
      </c>
      <c r="Q67" s="4">
        <f>IFERROR(MATCH(62,상세표[연속순번],0),"")</f>
        <v/>
      </c>
    </row>
    <row r="68">
      <c r="A68">
        <f>IF($Q68="","",INDEX(상세표[부서],$Q68)&amp;"")</f>
        <v/>
      </c>
      <c r="B68">
        <f>IF($Q68="","",INDEX(상세표[사번],$Q68)&amp;"")</f>
        <v/>
      </c>
      <c r="C68">
        <f>IF($Q68="","",INDEX(상세표[성명],$Q68)&amp;"")</f>
        <v/>
      </c>
      <c r="D68">
        <f>IF($Q68="","",INDEX(상세표[직위],$Q68)&amp;"")</f>
        <v/>
      </c>
      <c r="E68">
        <f>IF($Q68="","",IF(ISNUMBER(INDEX(상세표[근무일자],$Q68)),TEXT(INDEX(상세표[근무일자],$Q68),"yyyy-mm-dd"),INDEX(상세표[근무일자],$Q68)&amp;""))</f>
        <v/>
      </c>
      <c r="F68">
        <f>IF($Q68="","",IF(ISNUMBER(INDEX(상세표[시작],$Q68)),TEXT(INDEX(상세표[시작],$Q68),"yyyy-mm-dd hh:mm"),INDEX(상세표[시작],$Q68)&amp;""))</f>
        <v/>
      </c>
      <c r="G68">
        <f>IF($Q68="","",IF(ISNUMBER(INDEX(상세표[블록종료],$Q68)),TEXT(INDEX(상세표[블록종료],$Q68),"yyyy-mm-dd hh:mm"),INDEX(상세표[블록종료],$Q68)&amp;""))</f>
        <v/>
      </c>
      <c r="H68">
        <f>IF($Q68="","",CHOOSE(WEEKDAY(INDEX(상세표[시작],$Q68)),"일","월","화","수","목","금","토"))</f>
        <v/>
      </c>
      <c r="I68" s="20">
        <f>IF($Q68="","",INDEX(상세표[연속 시간],$Q68))</f>
        <v/>
      </c>
      <c r="J68">
        <f>IF($Q68="","",INDEX(상세표[기록 수],$Q68))</f>
        <v/>
      </c>
      <c r="K68" s="20">
        <f>IF($Q68="","",INDEX(상세표[블록 06~07시],$Q68))</f>
        <v/>
      </c>
      <c r="L68" s="20">
        <f>IF($Q68="","",INDEX(상세표[블록 07~18시],$Q68))</f>
        <v/>
      </c>
      <c r="M68" s="20">
        <f>IF($Q68="","",INDEX(상세표[블록 18~22시],$Q68))</f>
        <v/>
      </c>
      <c r="N68" s="20">
        <f>IF($Q68="","",INDEX(상세표[블록 22~06시],$Q68))</f>
        <v/>
      </c>
      <c r="O68">
        <f>IF($Q68="","",INDEX(상세표[주말·휴일 포함],$Q68)&amp;"")</f>
        <v/>
      </c>
      <c r="P68">
        <f>IF($Q68="","",INDEX(상세표[월 넘김 포함],$Q68)&amp;"")</f>
        <v/>
      </c>
      <c r="Q68" s="4">
        <f>IFERROR(MATCH(63,상세표[연속순번],0),"")</f>
        <v/>
      </c>
    </row>
    <row r="69">
      <c r="A69">
        <f>IF($Q69="","",INDEX(상세표[부서],$Q69)&amp;"")</f>
        <v/>
      </c>
      <c r="B69">
        <f>IF($Q69="","",INDEX(상세표[사번],$Q69)&amp;"")</f>
        <v/>
      </c>
      <c r="C69">
        <f>IF($Q69="","",INDEX(상세표[성명],$Q69)&amp;"")</f>
        <v/>
      </c>
      <c r="D69">
        <f>IF($Q69="","",INDEX(상세표[직위],$Q69)&amp;"")</f>
        <v/>
      </c>
      <c r="E69">
        <f>IF($Q69="","",IF(ISNUMBER(INDEX(상세표[근무일자],$Q69)),TEXT(INDEX(상세표[근무일자],$Q69),"yyyy-mm-dd"),INDEX(상세표[근무일자],$Q69)&amp;""))</f>
        <v/>
      </c>
      <c r="F69">
        <f>IF($Q69="","",IF(ISNUMBER(INDEX(상세표[시작],$Q69)),TEXT(INDEX(상세표[시작],$Q69),"yyyy-mm-dd hh:mm"),INDEX(상세표[시작],$Q69)&amp;""))</f>
        <v/>
      </c>
      <c r="G69">
        <f>IF($Q69="","",IF(ISNUMBER(INDEX(상세표[블록종료],$Q69)),TEXT(INDEX(상세표[블록종료],$Q69),"yyyy-mm-dd hh:mm"),INDEX(상세표[블록종료],$Q69)&amp;""))</f>
        <v/>
      </c>
      <c r="H69">
        <f>IF($Q69="","",CHOOSE(WEEKDAY(INDEX(상세표[시작],$Q69)),"일","월","화","수","목","금","토"))</f>
        <v/>
      </c>
      <c r="I69" s="20">
        <f>IF($Q69="","",INDEX(상세표[연속 시간],$Q69))</f>
        <v/>
      </c>
      <c r="J69">
        <f>IF($Q69="","",INDEX(상세표[기록 수],$Q69))</f>
        <v/>
      </c>
      <c r="K69" s="20">
        <f>IF($Q69="","",INDEX(상세표[블록 06~07시],$Q69))</f>
        <v/>
      </c>
      <c r="L69" s="20">
        <f>IF($Q69="","",INDEX(상세표[블록 07~18시],$Q69))</f>
        <v/>
      </c>
      <c r="M69" s="20">
        <f>IF($Q69="","",INDEX(상세표[블록 18~22시],$Q69))</f>
        <v/>
      </c>
      <c r="N69" s="20">
        <f>IF($Q69="","",INDEX(상세표[블록 22~06시],$Q69))</f>
        <v/>
      </c>
      <c r="O69">
        <f>IF($Q69="","",INDEX(상세표[주말·휴일 포함],$Q69)&amp;"")</f>
        <v/>
      </c>
      <c r="P69">
        <f>IF($Q69="","",INDEX(상세표[월 넘김 포함],$Q69)&amp;"")</f>
        <v/>
      </c>
      <c r="Q69" s="4">
        <f>IFERROR(MATCH(64,상세표[연속순번],0),"")</f>
        <v/>
      </c>
    </row>
    <row r="70">
      <c r="A70">
        <f>IF($Q70="","",INDEX(상세표[부서],$Q70)&amp;"")</f>
        <v/>
      </c>
      <c r="B70">
        <f>IF($Q70="","",INDEX(상세표[사번],$Q70)&amp;"")</f>
        <v/>
      </c>
      <c r="C70">
        <f>IF($Q70="","",INDEX(상세표[성명],$Q70)&amp;"")</f>
        <v/>
      </c>
      <c r="D70">
        <f>IF($Q70="","",INDEX(상세표[직위],$Q70)&amp;"")</f>
        <v/>
      </c>
      <c r="E70">
        <f>IF($Q70="","",IF(ISNUMBER(INDEX(상세표[근무일자],$Q70)),TEXT(INDEX(상세표[근무일자],$Q70),"yyyy-mm-dd"),INDEX(상세표[근무일자],$Q70)&amp;""))</f>
        <v/>
      </c>
      <c r="F70">
        <f>IF($Q70="","",IF(ISNUMBER(INDEX(상세표[시작],$Q70)),TEXT(INDEX(상세표[시작],$Q70),"yyyy-mm-dd hh:mm"),INDEX(상세표[시작],$Q70)&amp;""))</f>
        <v/>
      </c>
      <c r="G70">
        <f>IF($Q70="","",IF(ISNUMBER(INDEX(상세표[블록종료],$Q70)),TEXT(INDEX(상세표[블록종료],$Q70),"yyyy-mm-dd hh:mm"),INDEX(상세표[블록종료],$Q70)&amp;""))</f>
        <v/>
      </c>
      <c r="H70">
        <f>IF($Q70="","",CHOOSE(WEEKDAY(INDEX(상세표[시작],$Q70)),"일","월","화","수","목","금","토"))</f>
        <v/>
      </c>
      <c r="I70" s="20">
        <f>IF($Q70="","",INDEX(상세표[연속 시간],$Q70))</f>
        <v/>
      </c>
      <c r="J70">
        <f>IF($Q70="","",INDEX(상세표[기록 수],$Q70))</f>
        <v/>
      </c>
      <c r="K70" s="20">
        <f>IF($Q70="","",INDEX(상세표[블록 06~07시],$Q70))</f>
        <v/>
      </c>
      <c r="L70" s="20">
        <f>IF($Q70="","",INDEX(상세표[블록 07~18시],$Q70))</f>
        <v/>
      </c>
      <c r="M70" s="20">
        <f>IF($Q70="","",INDEX(상세표[블록 18~22시],$Q70))</f>
        <v/>
      </c>
      <c r="N70" s="20">
        <f>IF($Q70="","",INDEX(상세표[블록 22~06시],$Q70))</f>
        <v/>
      </c>
      <c r="O70">
        <f>IF($Q70="","",INDEX(상세표[주말·휴일 포함],$Q70)&amp;"")</f>
        <v/>
      </c>
      <c r="P70">
        <f>IF($Q70="","",INDEX(상세표[월 넘김 포함],$Q70)&amp;"")</f>
        <v/>
      </c>
      <c r="Q70" s="4">
        <f>IFERROR(MATCH(65,상세표[연속순번],0),"")</f>
        <v/>
      </c>
    </row>
    <row r="71">
      <c r="A71">
        <f>IF($Q71="","",INDEX(상세표[부서],$Q71)&amp;"")</f>
        <v/>
      </c>
      <c r="B71">
        <f>IF($Q71="","",INDEX(상세표[사번],$Q71)&amp;"")</f>
        <v/>
      </c>
      <c r="C71">
        <f>IF($Q71="","",INDEX(상세표[성명],$Q71)&amp;"")</f>
        <v/>
      </c>
      <c r="D71">
        <f>IF($Q71="","",INDEX(상세표[직위],$Q71)&amp;"")</f>
        <v/>
      </c>
      <c r="E71">
        <f>IF($Q71="","",IF(ISNUMBER(INDEX(상세표[근무일자],$Q71)),TEXT(INDEX(상세표[근무일자],$Q71),"yyyy-mm-dd"),INDEX(상세표[근무일자],$Q71)&amp;""))</f>
        <v/>
      </c>
      <c r="F71">
        <f>IF($Q71="","",IF(ISNUMBER(INDEX(상세표[시작],$Q71)),TEXT(INDEX(상세표[시작],$Q71),"yyyy-mm-dd hh:mm"),INDEX(상세표[시작],$Q71)&amp;""))</f>
        <v/>
      </c>
      <c r="G71">
        <f>IF($Q71="","",IF(ISNUMBER(INDEX(상세표[블록종료],$Q71)),TEXT(INDEX(상세표[블록종료],$Q71),"yyyy-mm-dd hh:mm"),INDEX(상세표[블록종료],$Q71)&amp;""))</f>
        <v/>
      </c>
      <c r="H71">
        <f>IF($Q71="","",CHOOSE(WEEKDAY(INDEX(상세표[시작],$Q71)),"일","월","화","수","목","금","토"))</f>
        <v/>
      </c>
      <c r="I71" s="20">
        <f>IF($Q71="","",INDEX(상세표[연속 시간],$Q71))</f>
        <v/>
      </c>
      <c r="J71">
        <f>IF($Q71="","",INDEX(상세표[기록 수],$Q71))</f>
        <v/>
      </c>
      <c r="K71" s="20">
        <f>IF($Q71="","",INDEX(상세표[블록 06~07시],$Q71))</f>
        <v/>
      </c>
      <c r="L71" s="20">
        <f>IF($Q71="","",INDEX(상세표[블록 07~18시],$Q71))</f>
        <v/>
      </c>
      <c r="M71" s="20">
        <f>IF($Q71="","",INDEX(상세표[블록 18~22시],$Q71))</f>
        <v/>
      </c>
      <c r="N71" s="20">
        <f>IF($Q71="","",INDEX(상세표[블록 22~06시],$Q71))</f>
        <v/>
      </c>
      <c r="O71">
        <f>IF($Q71="","",INDEX(상세표[주말·휴일 포함],$Q71)&amp;"")</f>
        <v/>
      </c>
      <c r="P71">
        <f>IF($Q71="","",INDEX(상세표[월 넘김 포함],$Q71)&amp;"")</f>
        <v/>
      </c>
      <c r="Q71" s="4">
        <f>IFERROR(MATCH(66,상세표[연속순번],0),"")</f>
        <v/>
      </c>
    </row>
    <row r="72">
      <c r="A72">
        <f>IF($Q72="","",INDEX(상세표[부서],$Q72)&amp;"")</f>
        <v/>
      </c>
      <c r="B72">
        <f>IF($Q72="","",INDEX(상세표[사번],$Q72)&amp;"")</f>
        <v/>
      </c>
      <c r="C72">
        <f>IF($Q72="","",INDEX(상세표[성명],$Q72)&amp;"")</f>
        <v/>
      </c>
      <c r="D72">
        <f>IF($Q72="","",INDEX(상세표[직위],$Q72)&amp;"")</f>
        <v/>
      </c>
      <c r="E72">
        <f>IF($Q72="","",IF(ISNUMBER(INDEX(상세표[근무일자],$Q72)),TEXT(INDEX(상세표[근무일자],$Q72),"yyyy-mm-dd"),INDEX(상세표[근무일자],$Q72)&amp;""))</f>
        <v/>
      </c>
      <c r="F72">
        <f>IF($Q72="","",IF(ISNUMBER(INDEX(상세표[시작],$Q72)),TEXT(INDEX(상세표[시작],$Q72),"yyyy-mm-dd hh:mm"),INDEX(상세표[시작],$Q72)&amp;""))</f>
        <v/>
      </c>
      <c r="G72">
        <f>IF($Q72="","",IF(ISNUMBER(INDEX(상세표[블록종료],$Q72)),TEXT(INDEX(상세표[블록종료],$Q72),"yyyy-mm-dd hh:mm"),INDEX(상세표[블록종료],$Q72)&amp;""))</f>
        <v/>
      </c>
      <c r="H72">
        <f>IF($Q72="","",CHOOSE(WEEKDAY(INDEX(상세표[시작],$Q72)),"일","월","화","수","목","금","토"))</f>
        <v/>
      </c>
      <c r="I72" s="20">
        <f>IF($Q72="","",INDEX(상세표[연속 시간],$Q72))</f>
        <v/>
      </c>
      <c r="J72">
        <f>IF($Q72="","",INDEX(상세표[기록 수],$Q72))</f>
        <v/>
      </c>
      <c r="K72" s="20">
        <f>IF($Q72="","",INDEX(상세표[블록 06~07시],$Q72))</f>
        <v/>
      </c>
      <c r="L72" s="20">
        <f>IF($Q72="","",INDEX(상세표[블록 07~18시],$Q72))</f>
        <v/>
      </c>
      <c r="M72" s="20">
        <f>IF($Q72="","",INDEX(상세표[블록 18~22시],$Q72))</f>
        <v/>
      </c>
      <c r="N72" s="20">
        <f>IF($Q72="","",INDEX(상세표[블록 22~06시],$Q72))</f>
        <v/>
      </c>
      <c r="O72">
        <f>IF($Q72="","",INDEX(상세표[주말·휴일 포함],$Q72)&amp;"")</f>
        <v/>
      </c>
      <c r="P72">
        <f>IF($Q72="","",INDEX(상세표[월 넘김 포함],$Q72)&amp;"")</f>
        <v/>
      </c>
      <c r="Q72" s="4">
        <f>IFERROR(MATCH(67,상세표[연속순번],0),"")</f>
        <v/>
      </c>
    </row>
    <row r="73">
      <c r="A73">
        <f>IF($Q73="","",INDEX(상세표[부서],$Q73)&amp;"")</f>
        <v/>
      </c>
      <c r="B73">
        <f>IF($Q73="","",INDEX(상세표[사번],$Q73)&amp;"")</f>
        <v/>
      </c>
      <c r="C73">
        <f>IF($Q73="","",INDEX(상세표[성명],$Q73)&amp;"")</f>
        <v/>
      </c>
      <c r="D73">
        <f>IF($Q73="","",INDEX(상세표[직위],$Q73)&amp;"")</f>
        <v/>
      </c>
      <c r="E73">
        <f>IF($Q73="","",IF(ISNUMBER(INDEX(상세표[근무일자],$Q73)),TEXT(INDEX(상세표[근무일자],$Q73),"yyyy-mm-dd"),INDEX(상세표[근무일자],$Q73)&amp;""))</f>
        <v/>
      </c>
      <c r="F73">
        <f>IF($Q73="","",IF(ISNUMBER(INDEX(상세표[시작],$Q73)),TEXT(INDEX(상세표[시작],$Q73),"yyyy-mm-dd hh:mm"),INDEX(상세표[시작],$Q73)&amp;""))</f>
        <v/>
      </c>
      <c r="G73">
        <f>IF($Q73="","",IF(ISNUMBER(INDEX(상세표[블록종료],$Q73)),TEXT(INDEX(상세표[블록종료],$Q73),"yyyy-mm-dd hh:mm"),INDEX(상세표[블록종료],$Q73)&amp;""))</f>
        <v/>
      </c>
      <c r="H73">
        <f>IF($Q73="","",CHOOSE(WEEKDAY(INDEX(상세표[시작],$Q73)),"일","월","화","수","목","금","토"))</f>
        <v/>
      </c>
      <c r="I73" s="20">
        <f>IF($Q73="","",INDEX(상세표[연속 시간],$Q73))</f>
        <v/>
      </c>
      <c r="J73">
        <f>IF($Q73="","",INDEX(상세표[기록 수],$Q73))</f>
        <v/>
      </c>
      <c r="K73" s="20">
        <f>IF($Q73="","",INDEX(상세표[블록 06~07시],$Q73))</f>
        <v/>
      </c>
      <c r="L73" s="20">
        <f>IF($Q73="","",INDEX(상세표[블록 07~18시],$Q73))</f>
        <v/>
      </c>
      <c r="M73" s="20">
        <f>IF($Q73="","",INDEX(상세표[블록 18~22시],$Q73))</f>
        <v/>
      </c>
      <c r="N73" s="20">
        <f>IF($Q73="","",INDEX(상세표[블록 22~06시],$Q73))</f>
        <v/>
      </c>
      <c r="O73">
        <f>IF($Q73="","",INDEX(상세표[주말·휴일 포함],$Q73)&amp;"")</f>
        <v/>
      </c>
      <c r="P73">
        <f>IF($Q73="","",INDEX(상세표[월 넘김 포함],$Q73)&amp;"")</f>
        <v/>
      </c>
      <c r="Q73" s="4">
        <f>IFERROR(MATCH(68,상세표[연속순번],0),"")</f>
        <v/>
      </c>
    </row>
    <row r="74">
      <c r="A74">
        <f>IF($Q74="","",INDEX(상세표[부서],$Q74)&amp;"")</f>
        <v/>
      </c>
      <c r="B74">
        <f>IF($Q74="","",INDEX(상세표[사번],$Q74)&amp;"")</f>
        <v/>
      </c>
      <c r="C74">
        <f>IF($Q74="","",INDEX(상세표[성명],$Q74)&amp;"")</f>
        <v/>
      </c>
      <c r="D74">
        <f>IF($Q74="","",INDEX(상세표[직위],$Q74)&amp;"")</f>
        <v/>
      </c>
      <c r="E74">
        <f>IF($Q74="","",IF(ISNUMBER(INDEX(상세표[근무일자],$Q74)),TEXT(INDEX(상세표[근무일자],$Q74),"yyyy-mm-dd"),INDEX(상세표[근무일자],$Q74)&amp;""))</f>
        <v/>
      </c>
      <c r="F74">
        <f>IF($Q74="","",IF(ISNUMBER(INDEX(상세표[시작],$Q74)),TEXT(INDEX(상세표[시작],$Q74),"yyyy-mm-dd hh:mm"),INDEX(상세표[시작],$Q74)&amp;""))</f>
        <v/>
      </c>
      <c r="G74">
        <f>IF($Q74="","",IF(ISNUMBER(INDEX(상세표[블록종료],$Q74)),TEXT(INDEX(상세표[블록종료],$Q74),"yyyy-mm-dd hh:mm"),INDEX(상세표[블록종료],$Q74)&amp;""))</f>
        <v/>
      </c>
      <c r="H74">
        <f>IF($Q74="","",CHOOSE(WEEKDAY(INDEX(상세표[시작],$Q74)),"일","월","화","수","목","금","토"))</f>
        <v/>
      </c>
      <c r="I74" s="20">
        <f>IF($Q74="","",INDEX(상세표[연속 시간],$Q74))</f>
        <v/>
      </c>
      <c r="J74">
        <f>IF($Q74="","",INDEX(상세표[기록 수],$Q74))</f>
        <v/>
      </c>
      <c r="K74" s="20">
        <f>IF($Q74="","",INDEX(상세표[블록 06~07시],$Q74))</f>
        <v/>
      </c>
      <c r="L74" s="20">
        <f>IF($Q74="","",INDEX(상세표[블록 07~18시],$Q74))</f>
        <v/>
      </c>
      <c r="M74" s="20">
        <f>IF($Q74="","",INDEX(상세표[블록 18~22시],$Q74))</f>
        <v/>
      </c>
      <c r="N74" s="20">
        <f>IF($Q74="","",INDEX(상세표[블록 22~06시],$Q74))</f>
        <v/>
      </c>
      <c r="O74">
        <f>IF($Q74="","",INDEX(상세표[주말·휴일 포함],$Q74)&amp;"")</f>
        <v/>
      </c>
      <c r="P74">
        <f>IF($Q74="","",INDEX(상세표[월 넘김 포함],$Q74)&amp;"")</f>
        <v/>
      </c>
      <c r="Q74" s="4">
        <f>IFERROR(MATCH(69,상세표[연속순번],0),"")</f>
        <v/>
      </c>
    </row>
    <row r="75">
      <c r="A75">
        <f>IF($Q75="","",INDEX(상세표[부서],$Q75)&amp;"")</f>
        <v/>
      </c>
      <c r="B75">
        <f>IF($Q75="","",INDEX(상세표[사번],$Q75)&amp;"")</f>
        <v/>
      </c>
      <c r="C75">
        <f>IF($Q75="","",INDEX(상세표[성명],$Q75)&amp;"")</f>
        <v/>
      </c>
      <c r="D75">
        <f>IF($Q75="","",INDEX(상세표[직위],$Q75)&amp;"")</f>
        <v/>
      </c>
      <c r="E75">
        <f>IF($Q75="","",IF(ISNUMBER(INDEX(상세표[근무일자],$Q75)),TEXT(INDEX(상세표[근무일자],$Q75),"yyyy-mm-dd"),INDEX(상세표[근무일자],$Q75)&amp;""))</f>
        <v/>
      </c>
      <c r="F75">
        <f>IF($Q75="","",IF(ISNUMBER(INDEX(상세표[시작],$Q75)),TEXT(INDEX(상세표[시작],$Q75),"yyyy-mm-dd hh:mm"),INDEX(상세표[시작],$Q75)&amp;""))</f>
        <v/>
      </c>
      <c r="G75">
        <f>IF($Q75="","",IF(ISNUMBER(INDEX(상세표[블록종료],$Q75)),TEXT(INDEX(상세표[블록종료],$Q75),"yyyy-mm-dd hh:mm"),INDEX(상세표[블록종료],$Q75)&amp;""))</f>
        <v/>
      </c>
      <c r="H75">
        <f>IF($Q75="","",CHOOSE(WEEKDAY(INDEX(상세표[시작],$Q75)),"일","월","화","수","목","금","토"))</f>
        <v/>
      </c>
      <c r="I75" s="20">
        <f>IF($Q75="","",INDEX(상세표[연속 시간],$Q75))</f>
        <v/>
      </c>
      <c r="J75">
        <f>IF($Q75="","",INDEX(상세표[기록 수],$Q75))</f>
        <v/>
      </c>
      <c r="K75" s="20">
        <f>IF($Q75="","",INDEX(상세표[블록 06~07시],$Q75))</f>
        <v/>
      </c>
      <c r="L75" s="20">
        <f>IF($Q75="","",INDEX(상세표[블록 07~18시],$Q75))</f>
        <v/>
      </c>
      <c r="M75" s="20">
        <f>IF($Q75="","",INDEX(상세표[블록 18~22시],$Q75))</f>
        <v/>
      </c>
      <c r="N75" s="20">
        <f>IF($Q75="","",INDEX(상세표[블록 22~06시],$Q75))</f>
        <v/>
      </c>
      <c r="O75">
        <f>IF($Q75="","",INDEX(상세표[주말·휴일 포함],$Q75)&amp;"")</f>
        <v/>
      </c>
      <c r="P75">
        <f>IF($Q75="","",INDEX(상세표[월 넘김 포함],$Q75)&amp;"")</f>
        <v/>
      </c>
      <c r="Q75" s="4">
        <f>IFERROR(MATCH(70,상세표[연속순번],0),"")</f>
        <v/>
      </c>
    </row>
    <row r="76">
      <c r="A76">
        <f>IF($Q76="","",INDEX(상세표[부서],$Q76)&amp;"")</f>
        <v/>
      </c>
      <c r="B76">
        <f>IF($Q76="","",INDEX(상세표[사번],$Q76)&amp;"")</f>
        <v/>
      </c>
      <c r="C76">
        <f>IF($Q76="","",INDEX(상세표[성명],$Q76)&amp;"")</f>
        <v/>
      </c>
      <c r="D76">
        <f>IF($Q76="","",INDEX(상세표[직위],$Q76)&amp;"")</f>
        <v/>
      </c>
      <c r="E76">
        <f>IF($Q76="","",IF(ISNUMBER(INDEX(상세표[근무일자],$Q76)),TEXT(INDEX(상세표[근무일자],$Q76),"yyyy-mm-dd"),INDEX(상세표[근무일자],$Q76)&amp;""))</f>
        <v/>
      </c>
      <c r="F76">
        <f>IF($Q76="","",IF(ISNUMBER(INDEX(상세표[시작],$Q76)),TEXT(INDEX(상세표[시작],$Q76),"yyyy-mm-dd hh:mm"),INDEX(상세표[시작],$Q76)&amp;""))</f>
        <v/>
      </c>
      <c r="G76">
        <f>IF($Q76="","",IF(ISNUMBER(INDEX(상세표[블록종료],$Q76)),TEXT(INDEX(상세표[블록종료],$Q76),"yyyy-mm-dd hh:mm"),INDEX(상세표[블록종료],$Q76)&amp;""))</f>
        <v/>
      </c>
      <c r="H76">
        <f>IF($Q76="","",CHOOSE(WEEKDAY(INDEX(상세표[시작],$Q76)),"일","월","화","수","목","금","토"))</f>
        <v/>
      </c>
      <c r="I76" s="20">
        <f>IF($Q76="","",INDEX(상세표[연속 시간],$Q76))</f>
        <v/>
      </c>
      <c r="J76">
        <f>IF($Q76="","",INDEX(상세표[기록 수],$Q76))</f>
        <v/>
      </c>
      <c r="K76" s="20">
        <f>IF($Q76="","",INDEX(상세표[블록 06~07시],$Q76))</f>
        <v/>
      </c>
      <c r="L76" s="20">
        <f>IF($Q76="","",INDEX(상세표[블록 07~18시],$Q76))</f>
        <v/>
      </c>
      <c r="M76" s="20">
        <f>IF($Q76="","",INDEX(상세표[블록 18~22시],$Q76))</f>
        <v/>
      </c>
      <c r="N76" s="20">
        <f>IF($Q76="","",INDEX(상세표[블록 22~06시],$Q76))</f>
        <v/>
      </c>
      <c r="O76">
        <f>IF($Q76="","",INDEX(상세표[주말·휴일 포함],$Q76)&amp;"")</f>
        <v/>
      </c>
      <c r="P76">
        <f>IF($Q76="","",INDEX(상세표[월 넘김 포함],$Q76)&amp;"")</f>
        <v/>
      </c>
      <c r="Q76" s="4">
        <f>IFERROR(MATCH(71,상세표[연속순번],0),"")</f>
        <v/>
      </c>
    </row>
    <row r="77">
      <c r="A77">
        <f>IF($Q77="","",INDEX(상세표[부서],$Q77)&amp;"")</f>
        <v/>
      </c>
      <c r="B77">
        <f>IF($Q77="","",INDEX(상세표[사번],$Q77)&amp;"")</f>
        <v/>
      </c>
      <c r="C77">
        <f>IF($Q77="","",INDEX(상세표[성명],$Q77)&amp;"")</f>
        <v/>
      </c>
      <c r="D77">
        <f>IF($Q77="","",INDEX(상세표[직위],$Q77)&amp;"")</f>
        <v/>
      </c>
      <c r="E77">
        <f>IF($Q77="","",IF(ISNUMBER(INDEX(상세표[근무일자],$Q77)),TEXT(INDEX(상세표[근무일자],$Q77),"yyyy-mm-dd"),INDEX(상세표[근무일자],$Q77)&amp;""))</f>
        <v/>
      </c>
      <c r="F77">
        <f>IF($Q77="","",IF(ISNUMBER(INDEX(상세표[시작],$Q77)),TEXT(INDEX(상세표[시작],$Q77),"yyyy-mm-dd hh:mm"),INDEX(상세표[시작],$Q77)&amp;""))</f>
        <v/>
      </c>
      <c r="G77">
        <f>IF($Q77="","",IF(ISNUMBER(INDEX(상세표[블록종료],$Q77)),TEXT(INDEX(상세표[블록종료],$Q77),"yyyy-mm-dd hh:mm"),INDEX(상세표[블록종료],$Q77)&amp;""))</f>
        <v/>
      </c>
      <c r="H77">
        <f>IF($Q77="","",CHOOSE(WEEKDAY(INDEX(상세표[시작],$Q77)),"일","월","화","수","목","금","토"))</f>
        <v/>
      </c>
      <c r="I77" s="20">
        <f>IF($Q77="","",INDEX(상세표[연속 시간],$Q77))</f>
        <v/>
      </c>
      <c r="J77">
        <f>IF($Q77="","",INDEX(상세표[기록 수],$Q77))</f>
        <v/>
      </c>
      <c r="K77" s="20">
        <f>IF($Q77="","",INDEX(상세표[블록 06~07시],$Q77))</f>
        <v/>
      </c>
      <c r="L77" s="20">
        <f>IF($Q77="","",INDEX(상세표[블록 07~18시],$Q77))</f>
        <v/>
      </c>
      <c r="M77" s="20">
        <f>IF($Q77="","",INDEX(상세표[블록 18~22시],$Q77))</f>
        <v/>
      </c>
      <c r="N77" s="20">
        <f>IF($Q77="","",INDEX(상세표[블록 22~06시],$Q77))</f>
        <v/>
      </c>
      <c r="O77">
        <f>IF($Q77="","",INDEX(상세표[주말·휴일 포함],$Q77)&amp;"")</f>
        <v/>
      </c>
      <c r="P77">
        <f>IF($Q77="","",INDEX(상세표[월 넘김 포함],$Q77)&amp;"")</f>
        <v/>
      </c>
      <c r="Q77" s="4">
        <f>IFERROR(MATCH(72,상세표[연속순번],0),"")</f>
        <v/>
      </c>
    </row>
    <row r="78">
      <c r="A78">
        <f>IF($Q78="","",INDEX(상세표[부서],$Q78)&amp;"")</f>
        <v/>
      </c>
      <c r="B78">
        <f>IF($Q78="","",INDEX(상세표[사번],$Q78)&amp;"")</f>
        <v/>
      </c>
      <c r="C78">
        <f>IF($Q78="","",INDEX(상세표[성명],$Q78)&amp;"")</f>
        <v/>
      </c>
      <c r="D78">
        <f>IF($Q78="","",INDEX(상세표[직위],$Q78)&amp;"")</f>
        <v/>
      </c>
      <c r="E78">
        <f>IF($Q78="","",IF(ISNUMBER(INDEX(상세표[근무일자],$Q78)),TEXT(INDEX(상세표[근무일자],$Q78),"yyyy-mm-dd"),INDEX(상세표[근무일자],$Q78)&amp;""))</f>
        <v/>
      </c>
      <c r="F78">
        <f>IF($Q78="","",IF(ISNUMBER(INDEX(상세표[시작],$Q78)),TEXT(INDEX(상세표[시작],$Q78),"yyyy-mm-dd hh:mm"),INDEX(상세표[시작],$Q78)&amp;""))</f>
        <v/>
      </c>
      <c r="G78">
        <f>IF($Q78="","",IF(ISNUMBER(INDEX(상세표[블록종료],$Q78)),TEXT(INDEX(상세표[블록종료],$Q78),"yyyy-mm-dd hh:mm"),INDEX(상세표[블록종료],$Q78)&amp;""))</f>
        <v/>
      </c>
      <c r="H78">
        <f>IF($Q78="","",CHOOSE(WEEKDAY(INDEX(상세표[시작],$Q78)),"일","월","화","수","목","금","토"))</f>
        <v/>
      </c>
      <c r="I78" s="20">
        <f>IF($Q78="","",INDEX(상세표[연속 시간],$Q78))</f>
        <v/>
      </c>
      <c r="J78">
        <f>IF($Q78="","",INDEX(상세표[기록 수],$Q78))</f>
        <v/>
      </c>
      <c r="K78" s="20">
        <f>IF($Q78="","",INDEX(상세표[블록 06~07시],$Q78))</f>
        <v/>
      </c>
      <c r="L78" s="20">
        <f>IF($Q78="","",INDEX(상세표[블록 07~18시],$Q78))</f>
        <v/>
      </c>
      <c r="M78" s="20">
        <f>IF($Q78="","",INDEX(상세표[블록 18~22시],$Q78))</f>
        <v/>
      </c>
      <c r="N78" s="20">
        <f>IF($Q78="","",INDEX(상세표[블록 22~06시],$Q78))</f>
        <v/>
      </c>
      <c r="O78">
        <f>IF($Q78="","",INDEX(상세표[주말·휴일 포함],$Q78)&amp;"")</f>
        <v/>
      </c>
      <c r="P78">
        <f>IF($Q78="","",INDEX(상세표[월 넘김 포함],$Q78)&amp;"")</f>
        <v/>
      </c>
      <c r="Q78" s="4">
        <f>IFERROR(MATCH(73,상세표[연속순번],0),"")</f>
        <v/>
      </c>
    </row>
    <row r="79">
      <c r="A79">
        <f>IF($Q79="","",INDEX(상세표[부서],$Q79)&amp;"")</f>
        <v/>
      </c>
      <c r="B79">
        <f>IF($Q79="","",INDEX(상세표[사번],$Q79)&amp;"")</f>
        <v/>
      </c>
      <c r="C79">
        <f>IF($Q79="","",INDEX(상세표[성명],$Q79)&amp;"")</f>
        <v/>
      </c>
      <c r="D79">
        <f>IF($Q79="","",INDEX(상세표[직위],$Q79)&amp;"")</f>
        <v/>
      </c>
      <c r="E79">
        <f>IF($Q79="","",IF(ISNUMBER(INDEX(상세표[근무일자],$Q79)),TEXT(INDEX(상세표[근무일자],$Q79),"yyyy-mm-dd"),INDEX(상세표[근무일자],$Q79)&amp;""))</f>
        <v/>
      </c>
      <c r="F79">
        <f>IF($Q79="","",IF(ISNUMBER(INDEX(상세표[시작],$Q79)),TEXT(INDEX(상세표[시작],$Q79),"yyyy-mm-dd hh:mm"),INDEX(상세표[시작],$Q79)&amp;""))</f>
        <v/>
      </c>
      <c r="G79">
        <f>IF($Q79="","",IF(ISNUMBER(INDEX(상세표[블록종료],$Q79)),TEXT(INDEX(상세표[블록종료],$Q79),"yyyy-mm-dd hh:mm"),INDEX(상세표[블록종료],$Q79)&amp;""))</f>
        <v/>
      </c>
      <c r="H79">
        <f>IF($Q79="","",CHOOSE(WEEKDAY(INDEX(상세표[시작],$Q79)),"일","월","화","수","목","금","토"))</f>
        <v/>
      </c>
      <c r="I79" s="20">
        <f>IF($Q79="","",INDEX(상세표[연속 시간],$Q79))</f>
        <v/>
      </c>
      <c r="J79">
        <f>IF($Q79="","",INDEX(상세표[기록 수],$Q79))</f>
        <v/>
      </c>
      <c r="K79" s="20">
        <f>IF($Q79="","",INDEX(상세표[블록 06~07시],$Q79))</f>
        <v/>
      </c>
      <c r="L79" s="20">
        <f>IF($Q79="","",INDEX(상세표[블록 07~18시],$Q79))</f>
        <v/>
      </c>
      <c r="M79" s="20">
        <f>IF($Q79="","",INDEX(상세표[블록 18~22시],$Q79))</f>
        <v/>
      </c>
      <c r="N79" s="20">
        <f>IF($Q79="","",INDEX(상세표[블록 22~06시],$Q79))</f>
        <v/>
      </c>
      <c r="O79">
        <f>IF($Q79="","",INDEX(상세표[주말·휴일 포함],$Q79)&amp;"")</f>
        <v/>
      </c>
      <c r="P79">
        <f>IF($Q79="","",INDEX(상세표[월 넘김 포함],$Q79)&amp;"")</f>
        <v/>
      </c>
      <c r="Q79" s="4">
        <f>IFERROR(MATCH(74,상세표[연속순번],0),"")</f>
        <v/>
      </c>
    </row>
    <row r="80">
      <c r="A80">
        <f>IF($Q80="","",INDEX(상세표[부서],$Q80)&amp;"")</f>
        <v/>
      </c>
      <c r="B80">
        <f>IF($Q80="","",INDEX(상세표[사번],$Q80)&amp;"")</f>
        <v/>
      </c>
      <c r="C80">
        <f>IF($Q80="","",INDEX(상세표[성명],$Q80)&amp;"")</f>
        <v/>
      </c>
      <c r="D80">
        <f>IF($Q80="","",INDEX(상세표[직위],$Q80)&amp;"")</f>
        <v/>
      </c>
      <c r="E80">
        <f>IF($Q80="","",IF(ISNUMBER(INDEX(상세표[근무일자],$Q80)),TEXT(INDEX(상세표[근무일자],$Q80),"yyyy-mm-dd"),INDEX(상세표[근무일자],$Q80)&amp;""))</f>
        <v/>
      </c>
      <c r="F80">
        <f>IF($Q80="","",IF(ISNUMBER(INDEX(상세표[시작],$Q80)),TEXT(INDEX(상세표[시작],$Q80),"yyyy-mm-dd hh:mm"),INDEX(상세표[시작],$Q80)&amp;""))</f>
        <v/>
      </c>
      <c r="G80">
        <f>IF($Q80="","",IF(ISNUMBER(INDEX(상세표[블록종료],$Q80)),TEXT(INDEX(상세표[블록종료],$Q80),"yyyy-mm-dd hh:mm"),INDEX(상세표[블록종료],$Q80)&amp;""))</f>
        <v/>
      </c>
      <c r="H80">
        <f>IF($Q80="","",CHOOSE(WEEKDAY(INDEX(상세표[시작],$Q80)),"일","월","화","수","목","금","토"))</f>
        <v/>
      </c>
      <c r="I80" s="20">
        <f>IF($Q80="","",INDEX(상세표[연속 시간],$Q80))</f>
        <v/>
      </c>
      <c r="J80">
        <f>IF($Q80="","",INDEX(상세표[기록 수],$Q80))</f>
        <v/>
      </c>
      <c r="K80" s="20">
        <f>IF($Q80="","",INDEX(상세표[블록 06~07시],$Q80))</f>
        <v/>
      </c>
      <c r="L80" s="20">
        <f>IF($Q80="","",INDEX(상세표[블록 07~18시],$Q80))</f>
        <v/>
      </c>
      <c r="M80" s="20">
        <f>IF($Q80="","",INDEX(상세표[블록 18~22시],$Q80))</f>
        <v/>
      </c>
      <c r="N80" s="20">
        <f>IF($Q80="","",INDEX(상세표[블록 22~06시],$Q80))</f>
        <v/>
      </c>
      <c r="O80">
        <f>IF($Q80="","",INDEX(상세표[주말·휴일 포함],$Q80)&amp;"")</f>
        <v/>
      </c>
      <c r="P80">
        <f>IF($Q80="","",INDEX(상세표[월 넘김 포함],$Q80)&amp;"")</f>
        <v/>
      </c>
      <c r="Q80" s="4">
        <f>IFERROR(MATCH(75,상세표[연속순번],0),"")</f>
        <v/>
      </c>
    </row>
    <row r="81">
      <c r="A81">
        <f>IF($Q81="","",INDEX(상세표[부서],$Q81)&amp;"")</f>
        <v/>
      </c>
      <c r="B81">
        <f>IF($Q81="","",INDEX(상세표[사번],$Q81)&amp;"")</f>
        <v/>
      </c>
      <c r="C81">
        <f>IF($Q81="","",INDEX(상세표[성명],$Q81)&amp;"")</f>
        <v/>
      </c>
      <c r="D81">
        <f>IF($Q81="","",INDEX(상세표[직위],$Q81)&amp;"")</f>
        <v/>
      </c>
      <c r="E81">
        <f>IF($Q81="","",IF(ISNUMBER(INDEX(상세표[근무일자],$Q81)),TEXT(INDEX(상세표[근무일자],$Q81),"yyyy-mm-dd"),INDEX(상세표[근무일자],$Q81)&amp;""))</f>
        <v/>
      </c>
      <c r="F81">
        <f>IF($Q81="","",IF(ISNUMBER(INDEX(상세표[시작],$Q81)),TEXT(INDEX(상세표[시작],$Q81),"yyyy-mm-dd hh:mm"),INDEX(상세표[시작],$Q81)&amp;""))</f>
        <v/>
      </c>
      <c r="G81">
        <f>IF($Q81="","",IF(ISNUMBER(INDEX(상세표[블록종료],$Q81)),TEXT(INDEX(상세표[블록종료],$Q81),"yyyy-mm-dd hh:mm"),INDEX(상세표[블록종료],$Q81)&amp;""))</f>
        <v/>
      </c>
      <c r="H81">
        <f>IF($Q81="","",CHOOSE(WEEKDAY(INDEX(상세표[시작],$Q81)),"일","월","화","수","목","금","토"))</f>
        <v/>
      </c>
      <c r="I81" s="20">
        <f>IF($Q81="","",INDEX(상세표[연속 시간],$Q81))</f>
        <v/>
      </c>
      <c r="J81">
        <f>IF($Q81="","",INDEX(상세표[기록 수],$Q81))</f>
        <v/>
      </c>
      <c r="K81" s="20">
        <f>IF($Q81="","",INDEX(상세표[블록 06~07시],$Q81))</f>
        <v/>
      </c>
      <c r="L81" s="20">
        <f>IF($Q81="","",INDEX(상세표[블록 07~18시],$Q81))</f>
        <v/>
      </c>
      <c r="M81" s="20">
        <f>IF($Q81="","",INDEX(상세표[블록 18~22시],$Q81))</f>
        <v/>
      </c>
      <c r="N81" s="20">
        <f>IF($Q81="","",INDEX(상세표[블록 22~06시],$Q81))</f>
        <v/>
      </c>
      <c r="O81">
        <f>IF($Q81="","",INDEX(상세표[주말·휴일 포함],$Q81)&amp;"")</f>
        <v/>
      </c>
      <c r="P81">
        <f>IF($Q81="","",INDEX(상세표[월 넘김 포함],$Q81)&amp;"")</f>
        <v/>
      </c>
      <c r="Q81" s="4">
        <f>IFERROR(MATCH(76,상세표[연속순번],0),"")</f>
        <v/>
      </c>
    </row>
    <row r="82">
      <c r="A82">
        <f>IF($Q82="","",INDEX(상세표[부서],$Q82)&amp;"")</f>
        <v/>
      </c>
      <c r="B82">
        <f>IF($Q82="","",INDEX(상세표[사번],$Q82)&amp;"")</f>
        <v/>
      </c>
      <c r="C82">
        <f>IF($Q82="","",INDEX(상세표[성명],$Q82)&amp;"")</f>
        <v/>
      </c>
      <c r="D82">
        <f>IF($Q82="","",INDEX(상세표[직위],$Q82)&amp;"")</f>
        <v/>
      </c>
      <c r="E82">
        <f>IF($Q82="","",IF(ISNUMBER(INDEX(상세표[근무일자],$Q82)),TEXT(INDEX(상세표[근무일자],$Q82),"yyyy-mm-dd"),INDEX(상세표[근무일자],$Q82)&amp;""))</f>
        <v/>
      </c>
      <c r="F82">
        <f>IF($Q82="","",IF(ISNUMBER(INDEX(상세표[시작],$Q82)),TEXT(INDEX(상세표[시작],$Q82),"yyyy-mm-dd hh:mm"),INDEX(상세표[시작],$Q82)&amp;""))</f>
        <v/>
      </c>
      <c r="G82">
        <f>IF($Q82="","",IF(ISNUMBER(INDEX(상세표[블록종료],$Q82)),TEXT(INDEX(상세표[블록종료],$Q82),"yyyy-mm-dd hh:mm"),INDEX(상세표[블록종료],$Q82)&amp;""))</f>
        <v/>
      </c>
      <c r="H82">
        <f>IF($Q82="","",CHOOSE(WEEKDAY(INDEX(상세표[시작],$Q82)),"일","월","화","수","목","금","토"))</f>
        <v/>
      </c>
      <c r="I82" s="20">
        <f>IF($Q82="","",INDEX(상세표[연속 시간],$Q82))</f>
        <v/>
      </c>
      <c r="J82">
        <f>IF($Q82="","",INDEX(상세표[기록 수],$Q82))</f>
        <v/>
      </c>
      <c r="K82" s="20">
        <f>IF($Q82="","",INDEX(상세표[블록 06~07시],$Q82))</f>
        <v/>
      </c>
      <c r="L82" s="20">
        <f>IF($Q82="","",INDEX(상세표[블록 07~18시],$Q82))</f>
        <v/>
      </c>
      <c r="M82" s="20">
        <f>IF($Q82="","",INDEX(상세표[블록 18~22시],$Q82))</f>
        <v/>
      </c>
      <c r="N82" s="20">
        <f>IF($Q82="","",INDEX(상세표[블록 22~06시],$Q82))</f>
        <v/>
      </c>
      <c r="O82">
        <f>IF($Q82="","",INDEX(상세표[주말·휴일 포함],$Q82)&amp;"")</f>
        <v/>
      </c>
      <c r="P82">
        <f>IF($Q82="","",INDEX(상세표[월 넘김 포함],$Q82)&amp;"")</f>
        <v/>
      </c>
      <c r="Q82" s="4">
        <f>IFERROR(MATCH(77,상세표[연속순번],0),"")</f>
        <v/>
      </c>
    </row>
    <row r="83">
      <c r="A83">
        <f>IF($Q83="","",INDEX(상세표[부서],$Q83)&amp;"")</f>
        <v/>
      </c>
      <c r="B83">
        <f>IF($Q83="","",INDEX(상세표[사번],$Q83)&amp;"")</f>
        <v/>
      </c>
      <c r="C83">
        <f>IF($Q83="","",INDEX(상세표[성명],$Q83)&amp;"")</f>
        <v/>
      </c>
      <c r="D83">
        <f>IF($Q83="","",INDEX(상세표[직위],$Q83)&amp;"")</f>
        <v/>
      </c>
      <c r="E83">
        <f>IF($Q83="","",IF(ISNUMBER(INDEX(상세표[근무일자],$Q83)),TEXT(INDEX(상세표[근무일자],$Q83),"yyyy-mm-dd"),INDEX(상세표[근무일자],$Q83)&amp;""))</f>
        <v/>
      </c>
      <c r="F83">
        <f>IF($Q83="","",IF(ISNUMBER(INDEX(상세표[시작],$Q83)),TEXT(INDEX(상세표[시작],$Q83),"yyyy-mm-dd hh:mm"),INDEX(상세표[시작],$Q83)&amp;""))</f>
        <v/>
      </c>
      <c r="G83">
        <f>IF($Q83="","",IF(ISNUMBER(INDEX(상세표[블록종료],$Q83)),TEXT(INDEX(상세표[블록종료],$Q83),"yyyy-mm-dd hh:mm"),INDEX(상세표[블록종료],$Q83)&amp;""))</f>
        <v/>
      </c>
      <c r="H83">
        <f>IF($Q83="","",CHOOSE(WEEKDAY(INDEX(상세표[시작],$Q83)),"일","월","화","수","목","금","토"))</f>
        <v/>
      </c>
      <c r="I83" s="20">
        <f>IF($Q83="","",INDEX(상세표[연속 시간],$Q83))</f>
        <v/>
      </c>
      <c r="J83">
        <f>IF($Q83="","",INDEX(상세표[기록 수],$Q83))</f>
        <v/>
      </c>
      <c r="K83" s="20">
        <f>IF($Q83="","",INDEX(상세표[블록 06~07시],$Q83))</f>
        <v/>
      </c>
      <c r="L83" s="20">
        <f>IF($Q83="","",INDEX(상세표[블록 07~18시],$Q83))</f>
        <v/>
      </c>
      <c r="M83" s="20">
        <f>IF($Q83="","",INDEX(상세표[블록 18~22시],$Q83))</f>
        <v/>
      </c>
      <c r="N83" s="20">
        <f>IF($Q83="","",INDEX(상세표[블록 22~06시],$Q83))</f>
        <v/>
      </c>
      <c r="O83">
        <f>IF($Q83="","",INDEX(상세표[주말·휴일 포함],$Q83)&amp;"")</f>
        <v/>
      </c>
      <c r="P83">
        <f>IF($Q83="","",INDEX(상세표[월 넘김 포함],$Q83)&amp;"")</f>
        <v/>
      </c>
      <c r="Q83" s="4">
        <f>IFERROR(MATCH(78,상세표[연속순번],0),"")</f>
        <v/>
      </c>
    </row>
    <row r="84">
      <c r="A84">
        <f>IF($Q84="","",INDEX(상세표[부서],$Q84)&amp;"")</f>
        <v/>
      </c>
      <c r="B84">
        <f>IF($Q84="","",INDEX(상세표[사번],$Q84)&amp;"")</f>
        <v/>
      </c>
      <c r="C84">
        <f>IF($Q84="","",INDEX(상세표[성명],$Q84)&amp;"")</f>
        <v/>
      </c>
      <c r="D84">
        <f>IF($Q84="","",INDEX(상세표[직위],$Q84)&amp;"")</f>
        <v/>
      </c>
      <c r="E84">
        <f>IF($Q84="","",IF(ISNUMBER(INDEX(상세표[근무일자],$Q84)),TEXT(INDEX(상세표[근무일자],$Q84),"yyyy-mm-dd"),INDEX(상세표[근무일자],$Q84)&amp;""))</f>
        <v/>
      </c>
      <c r="F84">
        <f>IF($Q84="","",IF(ISNUMBER(INDEX(상세표[시작],$Q84)),TEXT(INDEX(상세표[시작],$Q84),"yyyy-mm-dd hh:mm"),INDEX(상세표[시작],$Q84)&amp;""))</f>
        <v/>
      </c>
      <c r="G84">
        <f>IF($Q84="","",IF(ISNUMBER(INDEX(상세표[블록종료],$Q84)),TEXT(INDEX(상세표[블록종료],$Q84),"yyyy-mm-dd hh:mm"),INDEX(상세표[블록종료],$Q84)&amp;""))</f>
        <v/>
      </c>
      <c r="H84">
        <f>IF($Q84="","",CHOOSE(WEEKDAY(INDEX(상세표[시작],$Q84)),"일","월","화","수","목","금","토"))</f>
        <v/>
      </c>
      <c r="I84" s="20">
        <f>IF($Q84="","",INDEX(상세표[연속 시간],$Q84))</f>
        <v/>
      </c>
      <c r="J84">
        <f>IF($Q84="","",INDEX(상세표[기록 수],$Q84))</f>
        <v/>
      </c>
      <c r="K84" s="20">
        <f>IF($Q84="","",INDEX(상세표[블록 06~07시],$Q84))</f>
        <v/>
      </c>
      <c r="L84" s="20">
        <f>IF($Q84="","",INDEX(상세표[블록 07~18시],$Q84))</f>
        <v/>
      </c>
      <c r="M84" s="20">
        <f>IF($Q84="","",INDEX(상세표[블록 18~22시],$Q84))</f>
        <v/>
      </c>
      <c r="N84" s="20">
        <f>IF($Q84="","",INDEX(상세표[블록 22~06시],$Q84))</f>
        <v/>
      </c>
      <c r="O84">
        <f>IF($Q84="","",INDEX(상세표[주말·휴일 포함],$Q84)&amp;"")</f>
        <v/>
      </c>
      <c r="P84">
        <f>IF($Q84="","",INDEX(상세표[월 넘김 포함],$Q84)&amp;"")</f>
        <v/>
      </c>
      <c r="Q84" s="4">
        <f>IFERROR(MATCH(79,상세표[연속순번],0),"")</f>
        <v/>
      </c>
    </row>
    <row r="85">
      <c r="A85">
        <f>IF($Q85="","",INDEX(상세표[부서],$Q85)&amp;"")</f>
        <v/>
      </c>
      <c r="B85">
        <f>IF($Q85="","",INDEX(상세표[사번],$Q85)&amp;"")</f>
        <v/>
      </c>
      <c r="C85">
        <f>IF($Q85="","",INDEX(상세표[성명],$Q85)&amp;"")</f>
        <v/>
      </c>
      <c r="D85">
        <f>IF($Q85="","",INDEX(상세표[직위],$Q85)&amp;"")</f>
        <v/>
      </c>
      <c r="E85">
        <f>IF($Q85="","",IF(ISNUMBER(INDEX(상세표[근무일자],$Q85)),TEXT(INDEX(상세표[근무일자],$Q85),"yyyy-mm-dd"),INDEX(상세표[근무일자],$Q85)&amp;""))</f>
        <v/>
      </c>
      <c r="F85">
        <f>IF($Q85="","",IF(ISNUMBER(INDEX(상세표[시작],$Q85)),TEXT(INDEX(상세표[시작],$Q85),"yyyy-mm-dd hh:mm"),INDEX(상세표[시작],$Q85)&amp;""))</f>
        <v/>
      </c>
      <c r="G85">
        <f>IF($Q85="","",IF(ISNUMBER(INDEX(상세표[블록종료],$Q85)),TEXT(INDEX(상세표[블록종료],$Q85),"yyyy-mm-dd hh:mm"),INDEX(상세표[블록종료],$Q85)&amp;""))</f>
        <v/>
      </c>
      <c r="H85">
        <f>IF($Q85="","",CHOOSE(WEEKDAY(INDEX(상세표[시작],$Q85)),"일","월","화","수","목","금","토"))</f>
        <v/>
      </c>
      <c r="I85" s="20">
        <f>IF($Q85="","",INDEX(상세표[연속 시간],$Q85))</f>
        <v/>
      </c>
      <c r="J85">
        <f>IF($Q85="","",INDEX(상세표[기록 수],$Q85))</f>
        <v/>
      </c>
      <c r="K85" s="20">
        <f>IF($Q85="","",INDEX(상세표[블록 06~07시],$Q85))</f>
        <v/>
      </c>
      <c r="L85" s="20">
        <f>IF($Q85="","",INDEX(상세표[블록 07~18시],$Q85))</f>
        <v/>
      </c>
      <c r="M85" s="20">
        <f>IF($Q85="","",INDEX(상세표[블록 18~22시],$Q85))</f>
        <v/>
      </c>
      <c r="N85" s="20">
        <f>IF($Q85="","",INDEX(상세표[블록 22~06시],$Q85))</f>
        <v/>
      </c>
      <c r="O85">
        <f>IF($Q85="","",INDEX(상세표[주말·휴일 포함],$Q85)&amp;"")</f>
        <v/>
      </c>
      <c r="P85">
        <f>IF($Q85="","",INDEX(상세표[월 넘김 포함],$Q85)&amp;"")</f>
        <v/>
      </c>
      <c r="Q85" s="4">
        <f>IFERROR(MATCH(80,상세표[연속순번],0),"")</f>
        <v/>
      </c>
    </row>
    <row r="86">
      <c r="A86">
        <f>IF($Q86="","",INDEX(상세표[부서],$Q86)&amp;"")</f>
        <v/>
      </c>
      <c r="B86">
        <f>IF($Q86="","",INDEX(상세표[사번],$Q86)&amp;"")</f>
        <v/>
      </c>
      <c r="C86">
        <f>IF($Q86="","",INDEX(상세표[성명],$Q86)&amp;"")</f>
        <v/>
      </c>
      <c r="D86">
        <f>IF($Q86="","",INDEX(상세표[직위],$Q86)&amp;"")</f>
        <v/>
      </c>
      <c r="E86">
        <f>IF($Q86="","",IF(ISNUMBER(INDEX(상세표[근무일자],$Q86)),TEXT(INDEX(상세표[근무일자],$Q86),"yyyy-mm-dd"),INDEX(상세표[근무일자],$Q86)&amp;""))</f>
        <v/>
      </c>
      <c r="F86">
        <f>IF($Q86="","",IF(ISNUMBER(INDEX(상세표[시작],$Q86)),TEXT(INDEX(상세표[시작],$Q86),"yyyy-mm-dd hh:mm"),INDEX(상세표[시작],$Q86)&amp;""))</f>
        <v/>
      </c>
      <c r="G86">
        <f>IF($Q86="","",IF(ISNUMBER(INDEX(상세표[블록종료],$Q86)),TEXT(INDEX(상세표[블록종료],$Q86),"yyyy-mm-dd hh:mm"),INDEX(상세표[블록종료],$Q86)&amp;""))</f>
        <v/>
      </c>
      <c r="H86">
        <f>IF($Q86="","",CHOOSE(WEEKDAY(INDEX(상세표[시작],$Q86)),"일","월","화","수","목","금","토"))</f>
        <v/>
      </c>
      <c r="I86" s="20">
        <f>IF($Q86="","",INDEX(상세표[연속 시간],$Q86))</f>
        <v/>
      </c>
      <c r="J86">
        <f>IF($Q86="","",INDEX(상세표[기록 수],$Q86))</f>
        <v/>
      </c>
      <c r="K86" s="20">
        <f>IF($Q86="","",INDEX(상세표[블록 06~07시],$Q86))</f>
        <v/>
      </c>
      <c r="L86" s="20">
        <f>IF($Q86="","",INDEX(상세표[블록 07~18시],$Q86))</f>
        <v/>
      </c>
      <c r="M86" s="20">
        <f>IF($Q86="","",INDEX(상세표[블록 18~22시],$Q86))</f>
        <v/>
      </c>
      <c r="N86" s="20">
        <f>IF($Q86="","",INDEX(상세표[블록 22~06시],$Q86))</f>
        <v/>
      </c>
      <c r="O86">
        <f>IF($Q86="","",INDEX(상세표[주말·휴일 포함],$Q86)&amp;"")</f>
        <v/>
      </c>
      <c r="P86">
        <f>IF($Q86="","",INDEX(상세표[월 넘김 포함],$Q86)&amp;"")</f>
        <v/>
      </c>
      <c r="Q86" s="4">
        <f>IFERROR(MATCH(81,상세표[연속순번],0),"")</f>
        <v/>
      </c>
    </row>
    <row r="87">
      <c r="A87">
        <f>IF($Q87="","",INDEX(상세표[부서],$Q87)&amp;"")</f>
        <v/>
      </c>
      <c r="B87">
        <f>IF($Q87="","",INDEX(상세표[사번],$Q87)&amp;"")</f>
        <v/>
      </c>
      <c r="C87">
        <f>IF($Q87="","",INDEX(상세표[성명],$Q87)&amp;"")</f>
        <v/>
      </c>
      <c r="D87">
        <f>IF($Q87="","",INDEX(상세표[직위],$Q87)&amp;"")</f>
        <v/>
      </c>
      <c r="E87">
        <f>IF($Q87="","",IF(ISNUMBER(INDEX(상세표[근무일자],$Q87)),TEXT(INDEX(상세표[근무일자],$Q87),"yyyy-mm-dd"),INDEX(상세표[근무일자],$Q87)&amp;""))</f>
        <v/>
      </c>
      <c r="F87">
        <f>IF($Q87="","",IF(ISNUMBER(INDEX(상세표[시작],$Q87)),TEXT(INDEX(상세표[시작],$Q87),"yyyy-mm-dd hh:mm"),INDEX(상세표[시작],$Q87)&amp;""))</f>
        <v/>
      </c>
      <c r="G87">
        <f>IF($Q87="","",IF(ISNUMBER(INDEX(상세표[블록종료],$Q87)),TEXT(INDEX(상세표[블록종료],$Q87),"yyyy-mm-dd hh:mm"),INDEX(상세표[블록종료],$Q87)&amp;""))</f>
        <v/>
      </c>
      <c r="H87">
        <f>IF($Q87="","",CHOOSE(WEEKDAY(INDEX(상세표[시작],$Q87)),"일","월","화","수","목","금","토"))</f>
        <v/>
      </c>
      <c r="I87" s="20">
        <f>IF($Q87="","",INDEX(상세표[연속 시간],$Q87))</f>
        <v/>
      </c>
      <c r="J87">
        <f>IF($Q87="","",INDEX(상세표[기록 수],$Q87))</f>
        <v/>
      </c>
      <c r="K87" s="20">
        <f>IF($Q87="","",INDEX(상세표[블록 06~07시],$Q87))</f>
        <v/>
      </c>
      <c r="L87" s="20">
        <f>IF($Q87="","",INDEX(상세표[블록 07~18시],$Q87))</f>
        <v/>
      </c>
      <c r="M87" s="20">
        <f>IF($Q87="","",INDEX(상세표[블록 18~22시],$Q87))</f>
        <v/>
      </c>
      <c r="N87" s="20">
        <f>IF($Q87="","",INDEX(상세표[블록 22~06시],$Q87))</f>
        <v/>
      </c>
      <c r="O87">
        <f>IF($Q87="","",INDEX(상세표[주말·휴일 포함],$Q87)&amp;"")</f>
        <v/>
      </c>
      <c r="P87">
        <f>IF($Q87="","",INDEX(상세표[월 넘김 포함],$Q87)&amp;"")</f>
        <v/>
      </c>
      <c r="Q87" s="4">
        <f>IFERROR(MATCH(82,상세표[연속순번],0),"")</f>
        <v/>
      </c>
    </row>
    <row r="88">
      <c r="A88">
        <f>IF($Q88="","",INDEX(상세표[부서],$Q88)&amp;"")</f>
        <v/>
      </c>
      <c r="B88">
        <f>IF($Q88="","",INDEX(상세표[사번],$Q88)&amp;"")</f>
        <v/>
      </c>
      <c r="C88">
        <f>IF($Q88="","",INDEX(상세표[성명],$Q88)&amp;"")</f>
        <v/>
      </c>
      <c r="D88">
        <f>IF($Q88="","",INDEX(상세표[직위],$Q88)&amp;"")</f>
        <v/>
      </c>
      <c r="E88">
        <f>IF($Q88="","",IF(ISNUMBER(INDEX(상세표[근무일자],$Q88)),TEXT(INDEX(상세표[근무일자],$Q88),"yyyy-mm-dd"),INDEX(상세표[근무일자],$Q88)&amp;""))</f>
        <v/>
      </c>
      <c r="F88">
        <f>IF($Q88="","",IF(ISNUMBER(INDEX(상세표[시작],$Q88)),TEXT(INDEX(상세표[시작],$Q88),"yyyy-mm-dd hh:mm"),INDEX(상세표[시작],$Q88)&amp;""))</f>
        <v/>
      </c>
      <c r="G88">
        <f>IF($Q88="","",IF(ISNUMBER(INDEX(상세표[블록종료],$Q88)),TEXT(INDEX(상세표[블록종료],$Q88),"yyyy-mm-dd hh:mm"),INDEX(상세표[블록종료],$Q88)&amp;""))</f>
        <v/>
      </c>
      <c r="H88">
        <f>IF($Q88="","",CHOOSE(WEEKDAY(INDEX(상세표[시작],$Q88)),"일","월","화","수","목","금","토"))</f>
        <v/>
      </c>
      <c r="I88" s="20">
        <f>IF($Q88="","",INDEX(상세표[연속 시간],$Q88))</f>
        <v/>
      </c>
      <c r="J88">
        <f>IF($Q88="","",INDEX(상세표[기록 수],$Q88))</f>
        <v/>
      </c>
      <c r="K88" s="20">
        <f>IF($Q88="","",INDEX(상세표[블록 06~07시],$Q88))</f>
        <v/>
      </c>
      <c r="L88" s="20">
        <f>IF($Q88="","",INDEX(상세표[블록 07~18시],$Q88))</f>
        <v/>
      </c>
      <c r="M88" s="20">
        <f>IF($Q88="","",INDEX(상세표[블록 18~22시],$Q88))</f>
        <v/>
      </c>
      <c r="N88" s="20">
        <f>IF($Q88="","",INDEX(상세표[블록 22~06시],$Q88))</f>
        <v/>
      </c>
      <c r="O88">
        <f>IF($Q88="","",INDEX(상세표[주말·휴일 포함],$Q88)&amp;"")</f>
        <v/>
      </c>
      <c r="P88">
        <f>IF($Q88="","",INDEX(상세표[월 넘김 포함],$Q88)&amp;"")</f>
        <v/>
      </c>
      <c r="Q88" s="4">
        <f>IFERROR(MATCH(83,상세표[연속순번],0),"")</f>
        <v/>
      </c>
    </row>
    <row r="89">
      <c r="A89">
        <f>IF($Q89="","",INDEX(상세표[부서],$Q89)&amp;"")</f>
        <v/>
      </c>
      <c r="B89">
        <f>IF($Q89="","",INDEX(상세표[사번],$Q89)&amp;"")</f>
        <v/>
      </c>
      <c r="C89">
        <f>IF($Q89="","",INDEX(상세표[성명],$Q89)&amp;"")</f>
        <v/>
      </c>
      <c r="D89">
        <f>IF($Q89="","",INDEX(상세표[직위],$Q89)&amp;"")</f>
        <v/>
      </c>
      <c r="E89">
        <f>IF($Q89="","",IF(ISNUMBER(INDEX(상세표[근무일자],$Q89)),TEXT(INDEX(상세표[근무일자],$Q89),"yyyy-mm-dd"),INDEX(상세표[근무일자],$Q89)&amp;""))</f>
        <v/>
      </c>
      <c r="F89">
        <f>IF($Q89="","",IF(ISNUMBER(INDEX(상세표[시작],$Q89)),TEXT(INDEX(상세표[시작],$Q89),"yyyy-mm-dd hh:mm"),INDEX(상세표[시작],$Q89)&amp;""))</f>
        <v/>
      </c>
      <c r="G89">
        <f>IF($Q89="","",IF(ISNUMBER(INDEX(상세표[블록종료],$Q89)),TEXT(INDEX(상세표[블록종료],$Q89),"yyyy-mm-dd hh:mm"),INDEX(상세표[블록종료],$Q89)&amp;""))</f>
        <v/>
      </c>
      <c r="H89">
        <f>IF($Q89="","",CHOOSE(WEEKDAY(INDEX(상세표[시작],$Q89)),"일","월","화","수","목","금","토"))</f>
        <v/>
      </c>
      <c r="I89" s="20">
        <f>IF($Q89="","",INDEX(상세표[연속 시간],$Q89))</f>
        <v/>
      </c>
      <c r="J89">
        <f>IF($Q89="","",INDEX(상세표[기록 수],$Q89))</f>
        <v/>
      </c>
      <c r="K89" s="20">
        <f>IF($Q89="","",INDEX(상세표[블록 06~07시],$Q89))</f>
        <v/>
      </c>
      <c r="L89" s="20">
        <f>IF($Q89="","",INDEX(상세표[블록 07~18시],$Q89))</f>
        <v/>
      </c>
      <c r="M89" s="20">
        <f>IF($Q89="","",INDEX(상세표[블록 18~22시],$Q89))</f>
        <v/>
      </c>
      <c r="N89" s="20">
        <f>IF($Q89="","",INDEX(상세표[블록 22~06시],$Q89))</f>
        <v/>
      </c>
      <c r="O89">
        <f>IF($Q89="","",INDEX(상세표[주말·휴일 포함],$Q89)&amp;"")</f>
        <v/>
      </c>
      <c r="P89">
        <f>IF($Q89="","",INDEX(상세표[월 넘김 포함],$Q89)&amp;"")</f>
        <v/>
      </c>
      <c r="Q89" s="4">
        <f>IFERROR(MATCH(84,상세표[연속순번],0),"")</f>
        <v/>
      </c>
    </row>
    <row r="90">
      <c r="A90">
        <f>IF($Q90="","",INDEX(상세표[부서],$Q90)&amp;"")</f>
        <v/>
      </c>
      <c r="B90">
        <f>IF($Q90="","",INDEX(상세표[사번],$Q90)&amp;"")</f>
        <v/>
      </c>
      <c r="C90">
        <f>IF($Q90="","",INDEX(상세표[성명],$Q90)&amp;"")</f>
        <v/>
      </c>
      <c r="D90">
        <f>IF($Q90="","",INDEX(상세표[직위],$Q90)&amp;"")</f>
        <v/>
      </c>
      <c r="E90">
        <f>IF($Q90="","",IF(ISNUMBER(INDEX(상세표[근무일자],$Q90)),TEXT(INDEX(상세표[근무일자],$Q90),"yyyy-mm-dd"),INDEX(상세표[근무일자],$Q90)&amp;""))</f>
        <v/>
      </c>
      <c r="F90">
        <f>IF($Q90="","",IF(ISNUMBER(INDEX(상세표[시작],$Q90)),TEXT(INDEX(상세표[시작],$Q90),"yyyy-mm-dd hh:mm"),INDEX(상세표[시작],$Q90)&amp;""))</f>
        <v/>
      </c>
      <c r="G90">
        <f>IF($Q90="","",IF(ISNUMBER(INDEX(상세표[블록종료],$Q90)),TEXT(INDEX(상세표[블록종료],$Q90),"yyyy-mm-dd hh:mm"),INDEX(상세표[블록종료],$Q90)&amp;""))</f>
        <v/>
      </c>
      <c r="H90">
        <f>IF($Q90="","",CHOOSE(WEEKDAY(INDEX(상세표[시작],$Q90)),"일","월","화","수","목","금","토"))</f>
        <v/>
      </c>
      <c r="I90" s="20">
        <f>IF($Q90="","",INDEX(상세표[연속 시간],$Q90))</f>
        <v/>
      </c>
      <c r="J90">
        <f>IF($Q90="","",INDEX(상세표[기록 수],$Q90))</f>
        <v/>
      </c>
      <c r="K90" s="20">
        <f>IF($Q90="","",INDEX(상세표[블록 06~07시],$Q90))</f>
        <v/>
      </c>
      <c r="L90" s="20">
        <f>IF($Q90="","",INDEX(상세표[블록 07~18시],$Q90))</f>
        <v/>
      </c>
      <c r="M90" s="20">
        <f>IF($Q90="","",INDEX(상세표[블록 18~22시],$Q90))</f>
        <v/>
      </c>
      <c r="N90" s="20">
        <f>IF($Q90="","",INDEX(상세표[블록 22~06시],$Q90))</f>
        <v/>
      </c>
      <c r="O90">
        <f>IF($Q90="","",INDEX(상세표[주말·휴일 포함],$Q90)&amp;"")</f>
        <v/>
      </c>
      <c r="P90">
        <f>IF($Q90="","",INDEX(상세표[월 넘김 포함],$Q90)&amp;"")</f>
        <v/>
      </c>
      <c r="Q90" s="4">
        <f>IFERROR(MATCH(85,상세표[연속순번],0),"")</f>
        <v/>
      </c>
    </row>
    <row r="91">
      <c r="A91">
        <f>IF($Q91="","",INDEX(상세표[부서],$Q91)&amp;"")</f>
        <v/>
      </c>
      <c r="B91">
        <f>IF($Q91="","",INDEX(상세표[사번],$Q91)&amp;"")</f>
        <v/>
      </c>
      <c r="C91">
        <f>IF($Q91="","",INDEX(상세표[성명],$Q91)&amp;"")</f>
        <v/>
      </c>
      <c r="D91">
        <f>IF($Q91="","",INDEX(상세표[직위],$Q91)&amp;"")</f>
        <v/>
      </c>
      <c r="E91">
        <f>IF($Q91="","",IF(ISNUMBER(INDEX(상세표[근무일자],$Q91)),TEXT(INDEX(상세표[근무일자],$Q91),"yyyy-mm-dd"),INDEX(상세표[근무일자],$Q91)&amp;""))</f>
        <v/>
      </c>
      <c r="F91">
        <f>IF($Q91="","",IF(ISNUMBER(INDEX(상세표[시작],$Q91)),TEXT(INDEX(상세표[시작],$Q91),"yyyy-mm-dd hh:mm"),INDEX(상세표[시작],$Q91)&amp;""))</f>
        <v/>
      </c>
      <c r="G91">
        <f>IF($Q91="","",IF(ISNUMBER(INDEX(상세표[블록종료],$Q91)),TEXT(INDEX(상세표[블록종료],$Q91),"yyyy-mm-dd hh:mm"),INDEX(상세표[블록종료],$Q91)&amp;""))</f>
        <v/>
      </c>
      <c r="H91">
        <f>IF($Q91="","",CHOOSE(WEEKDAY(INDEX(상세표[시작],$Q91)),"일","월","화","수","목","금","토"))</f>
        <v/>
      </c>
      <c r="I91" s="20">
        <f>IF($Q91="","",INDEX(상세표[연속 시간],$Q91))</f>
        <v/>
      </c>
      <c r="J91">
        <f>IF($Q91="","",INDEX(상세표[기록 수],$Q91))</f>
        <v/>
      </c>
      <c r="K91" s="20">
        <f>IF($Q91="","",INDEX(상세표[블록 06~07시],$Q91))</f>
        <v/>
      </c>
      <c r="L91" s="20">
        <f>IF($Q91="","",INDEX(상세표[블록 07~18시],$Q91))</f>
        <v/>
      </c>
      <c r="M91" s="20">
        <f>IF($Q91="","",INDEX(상세표[블록 18~22시],$Q91))</f>
        <v/>
      </c>
      <c r="N91" s="20">
        <f>IF($Q91="","",INDEX(상세표[블록 22~06시],$Q91))</f>
        <v/>
      </c>
      <c r="O91">
        <f>IF($Q91="","",INDEX(상세표[주말·휴일 포함],$Q91)&amp;"")</f>
        <v/>
      </c>
      <c r="P91">
        <f>IF($Q91="","",INDEX(상세표[월 넘김 포함],$Q91)&amp;"")</f>
        <v/>
      </c>
      <c r="Q91" s="4">
        <f>IFERROR(MATCH(86,상세표[연속순번],0),"")</f>
        <v/>
      </c>
    </row>
    <row r="92">
      <c r="A92">
        <f>IF($Q92="","",INDEX(상세표[부서],$Q92)&amp;"")</f>
        <v/>
      </c>
      <c r="B92">
        <f>IF($Q92="","",INDEX(상세표[사번],$Q92)&amp;"")</f>
        <v/>
      </c>
      <c r="C92">
        <f>IF($Q92="","",INDEX(상세표[성명],$Q92)&amp;"")</f>
        <v/>
      </c>
      <c r="D92">
        <f>IF($Q92="","",INDEX(상세표[직위],$Q92)&amp;"")</f>
        <v/>
      </c>
      <c r="E92">
        <f>IF($Q92="","",IF(ISNUMBER(INDEX(상세표[근무일자],$Q92)),TEXT(INDEX(상세표[근무일자],$Q92),"yyyy-mm-dd"),INDEX(상세표[근무일자],$Q92)&amp;""))</f>
        <v/>
      </c>
      <c r="F92">
        <f>IF($Q92="","",IF(ISNUMBER(INDEX(상세표[시작],$Q92)),TEXT(INDEX(상세표[시작],$Q92),"yyyy-mm-dd hh:mm"),INDEX(상세표[시작],$Q92)&amp;""))</f>
        <v/>
      </c>
      <c r="G92">
        <f>IF($Q92="","",IF(ISNUMBER(INDEX(상세표[블록종료],$Q92)),TEXT(INDEX(상세표[블록종료],$Q92),"yyyy-mm-dd hh:mm"),INDEX(상세표[블록종료],$Q92)&amp;""))</f>
        <v/>
      </c>
      <c r="H92">
        <f>IF($Q92="","",CHOOSE(WEEKDAY(INDEX(상세표[시작],$Q92)),"일","월","화","수","목","금","토"))</f>
        <v/>
      </c>
      <c r="I92" s="20">
        <f>IF($Q92="","",INDEX(상세표[연속 시간],$Q92))</f>
        <v/>
      </c>
      <c r="J92">
        <f>IF($Q92="","",INDEX(상세표[기록 수],$Q92))</f>
        <v/>
      </c>
      <c r="K92" s="20">
        <f>IF($Q92="","",INDEX(상세표[블록 06~07시],$Q92))</f>
        <v/>
      </c>
      <c r="L92" s="20">
        <f>IF($Q92="","",INDEX(상세표[블록 07~18시],$Q92))</f>
        <v/>
      </c>
      <c r="M92" s="20">
        <f>IF($Q92="","",INDEX(상세표[블록 18~22시],$Q92))</f>
        <v/>
      </c>
      <c r="N92" s="20">
        <f>IF($Q92="","",INDEX(상세표[블록 22~06시],$Q92))</f>
        <v/>
      </c>
      <c r="O92">
        <f>IF($Q92="","",INDEX(상세표[주말·휴일 포함],$Q92)&amp;"")</f>
        <v/>
      </c>
      <c r="P92">
        <f>IF($Q92="","",INDEX(상세표[월 넘김 포함],$Q92)&amp;"")</f>
        <v/>
      </c>
      <c r="Q92" s="4">
        <f>IFERROR(MATCH(87,상세표[연속순번],0),"")</f>
        <v/>
      </c>
    </row>
    <row r="93">
      <c r="A93">
        <f>IF($Q93="","",INDEX(상세표[부서],$Q93)&amp;"")</f>
        <v/>
      </c>
      <c r="B93">
        <f>IF($Q93="","",INDEX(상세표[사번],$Q93)&amp;"")</f>
        <v/>
      </c>
      <c r="C93">
        <f>IF($Q93="","",INDEX(상세표[성명],$Q93)&amp;"")</f>
        <v/>
      </c>
      <c r="D93">
        <f>IF($Q93="","",INDEX(상세표[직위],$Q93)&amp;"")</f>
        <v/>
      </c>
      <c r="E93">
        <f>IF($Q93="","",IF(ISNUMBER(INDEX(상세표[근무일자],$Q93)),TEXT(INDEX(상세표[근무일자],$Q93),"yyyy-mm-dd"),INDEX(상세표[근무일자],$Q93)&amp;""))</f>
        <v/>
      </c>
      <c r="F93">
        <f>IF($Q93="","",IF(ISNUMBER(INDEX(상세표[시작],$Q93)),TEXT(INDEX(상세표[시작],$Q93),"yyyy-mm-dd hh:mm"),INDEX(상세표[시작],$Q93)&amp;""))</f>
        <v/>
      </c>
      <c r="G93">
        <f>IF($Q93="","",IF(ISNUMBER(INDEX(상세표[블록종료],$Q93)),TEXT(INDEX(상세표[블록종료],$Q93),"yyyy-mm-dd hh:mm"),INDEX(상세표[블록종료],$Q93)&amp;""))</f>
        <v/>
      </c>
      <c r="H93">
        <f>IF($Q93="","",CHOOSE(WEEKDAY(INDEX(상세표[시작],$Q93)),"일","월","화","수","목","금","토"))</f>
        <v/>
      </c>
      <c r="I93" s="20">
        <f>IF($Q93="","",INDEX(상세표[연속 시간],$Q93))</f>
        <v/>
      </c>
      <c r="J93">
        <f>IF($Q93="","",INDEX(상세표[기록 수],$Q93))</f>
        <v/>
      </c>
      <c r="K93" s="20">
        <f>IF($Q93="","",INDEX(상세표[블록 06~07시],$Q93))</f>
        <v/>
      </c>
      <c r="L93" s="20">
        <f>IF($Q93="","",INDEX(상세표[블록 07~18시],$Q93))</f>
        <v/>
      </c>
      <c r="M93" s="20">
        <f>IF($Q93="","",INDEX(상세표[블록 18~22시],$Q93))</f>
        <v/>
      </c>
      <c r="N93" s="20">
        <f>IF($Q93="","",INDEX(상세표[블록 22~06시],$Q93))</f>
        <v/>
      </c>
      <c r="O93">
        <f>IF($Q93="","",INDEX(상세표[주말·휴일 포함],$Q93)&amp;"")</f>
        <v/>
      </c>
      <c r="P93">
        <f>IF($Q93="","",INDEX(상세표[월 넘김 포함],$Q93)&amp;"")</f>
        <v/>
      </c>
      <c r="Q93" s="4">
        <f>IFERROR(MATCH(88,상세표[연속순번],0),"")</f>
        <v/>
      </c>
    </row>
    <row r="94">
      <c r="A94">
        <f>IF($Q94="","",INDEX(상세표[부서],$Q94)&amp;"")</f>
        <v/>
      </c>
      <c r="B94">
        <f>IF($Q94="","",INDEX(상세표[사번],$Q94)&amp;"")</f>
        <v/>
      </c>
      <c r="C94">
        <f>IF($Q94="","",INDEX(상세표[성명],$Q94)&amp;"")</f>
        <v/>
      </c>
      <c r="D94">
        <f>IF($Q94="","",INDEX(상세표[직위],$Q94)&amp;"")</f>
        <v/>
      </c>
      <c r="E94">
        <f>IF($Q94="","",IF(ISNUMBER(INDEX(상세표[근무일자],$Q94)),TEXT(INDEX(상세표[근무일자],$Q94),"yyyy-mm-dd"),INDEX(상세표[근무일자],$Q94)&amp;""))</f>
        <v/>
      </c>
      <c r="F94">
        <f>IF($Q94="","",IF(ISNUMBER(INDEX(상세표[시작],$Q94)),TEXT(INDEX(상세표[시작],$Q94),"yyyy-mm-dd hh:mm"),INDEX(상세표[시작],$Q94)&amp;""))</f>
        <v/>
      </c>
      <c r="G94">
        <f>IF($Q94="","",IF(ISNUMBER(INDEX(상세표[블록종료],$Q94)),TEXT(INDEX(상세표[블록종료],$Q94),"yyyy-mm-dd hh:mm"),INDEX(상세표[블록종료],$Q94)&amp;""))</f>
        <v/>
      </c>
      <c r="H94">
        <f>IF($Q94="","",CHOOSE(WEEKDAY(INDEX(상세표[시작],$Q94)),"일","월","화","수","목","금","토"))</f>
        <v/>
      </c>
      <c r="I94" s="20">
        <f>IF($Q94="","",INDEX(상세표[연속 시간],$Q94))</f>
        <v/>
      </c>
      <c r="J94">
        <f>IF($Q94="","",INDEX(상세표[기록 수],$Q94))</f>
        <v/>
      </c>
      <c r="K94" s="20">
        <f>IF($Q94="","",INDEX(상세표[블록 06~07시],$Q94))</f>
        <v/>
      </c>
      <c r="L94" s="20">
        <f>IF($Q94="","",INDEX(상세표[블록 07~18시],$Q94))</f>
        <v/>
      </c>
      <c r="M94" s="20">
        <f>IF($Q94="","",INDEX(상세표[블록 18~22시],$Q94))</f>
        <v/>
      </c>
      <c r="N94" s="20">
        <f>IF($Q94="","",INDEX(상세표[블록 22~06시],$Q94))</f>
        <v/>
      </c>
      <c r="O94">
        <f>IF($Q94="","",INDEX(상세표[주말·휴일 포함],$Q94)&amp;"")</f>
        <v/>
      </c>
      <c r="P94">
        <f>IF($Q94="","",INDEX(상세표[월 넘김 포함],$Q94)&amp;"")</f>
        <v/>
      </c>
      <c r="Q94" s="4">
        <f>IFERROR(MATCH(89,상세표[연속순번],0),"")</f>
        <v/>
      </c>
    </row>
    <row r="95">
      <c r="A95">
        <f>IF($Q95="","",INDEX(상세표[부서],$Q95)&amp;"")</f>
        <v/>
      </c>
      <c r="B95">
        <f>IF($Q95="","",INDEX(상세표[사번],$Q95)&amp;"")</f>
        <v/>
      </c>
      <c r="C95">
        <f>IF($Q95="","",INDEX(상세표[성명],$Q95)&amp;"")</f>
        <v/>
      </c>
      <c r="D95">
        <f>IF($Q95="","",INDEX(상세표[직위],$Q95)&amp;"")</f>
        <v/>
      </c>
      <c r="E95">
        <f>IF($Q95="","",IF(ISNUMBER(INDEX(상세표[근무일자],$Q95)),TEXT(INDEX(상세표[근무일자],$Q95),"yyyy-mm-dd"),INDEX(상세표[근무일자],$Q95)&amp;""))</f>
        <v/>
      </c>
      <c r="F95">
        <f>IF($Q95="","",IF(ISNUMBER(INDEX(상세표[시작],$Q95)),TEXT(INDEX(상세표[시작],$Q95),"yyyy-mm-dd hh:mm"),INDEX(상세표[시작],$Q95)&amp;""))</f>
        <v/>
      </c>
      <c r="G95">
        <f>IF($Q95="","",IF(ISNUMBER(INDEX(상세표[블록종료],$Q95)),TEXT(INDEX(상세표[블록종료],$Q95),"yyyy-mm-dd hh:mm"),INDEX(상세표[블록종료],$Q95)&amp;""))</f>
        <v/>
      </c>
      <c r="H95">
        <f>IF($Q95="","",CHOOSE(WEEKDAY(INDEX(상세표[시작],$Q95)),"일","월","화","수","목","금","토"))</f>
        <v/>
      </c>
      <c r="I95" s="20">
        <f>IF($Q95="","",INDEX(상세표[연속 시간],$Q95))</f>
        <v/>
      </c>
      <c r="J95">
        <f>IF($Q95="","",INDEX(상세표[기록 수],$Q95))</f>
        <v/>
      </c>
      <c r="K95" s="20">
        <f>IF($Q95="","",INDEX(상세표[블록 06~07시],$Q95))</f>
        <v/>
      </c>
      <c r="L95" s="20">
        <f>IF($Q95="","",INDEX(상세표[블록 07~18시],$Q95))</f>
        <v/>
      </c>
      <c r="M95" s="20">
        <f>IF($Q95="","",INDEX(상세표[블록 18~22시],$Q95))</f>
        <v/>
      </c>
      <c r="N95" s="20">
        <f>IF($Q95="","",INDEX(상세표[블록 22~06시],$Q95))</f>
        <v/>
      </c>
      <c r="O95">
        <f>IF($Q95="","",INDEX(상세표[주말·휴일 포함],$Q95)&amp;"")</f>
        <v/>
      </c>
      <c r="P95">
        <f>IF($Q95="","",INDEX(상세표[월 넘김 포함],$Q95)&amp;"")</f>
        <v/>
      </c>
      <c r="Q95" s="4">
        <f>IFERROR(MATCH(90,상세표[연속순번],0),"")</f>
        <v/>
      </c>
    </row>
    <row r="96">
      <c r="A96">
        <f>IF($Q96="","",INDEX(상세표[부서],$Q96)&amp;"")</f>
        <v/>
      </c>
      <c r="B96">
        <f>IF($Q96="","",INDEX(상세표[사번],$Q96)&amp;"")</f>
        <v/>
      </c>
      <c r="C96">
        <f>IF($Q96="","",INDEX(상세표[성명],$Q96)&amp;"")</f>
        <v/>
      </c>
      <c r="D96">
        <f>IF($Q96="","",INDEX(상세표[직위],$Q96)&amp;"")</f>
        <v/>
      </c>
      <c r="E96">
        <f>IF($Q96="","",IF(ISNUMBER(INDEX(상세표[근무일자],$Q96)),TEXT(INDEX(상세표[근무일자],$Q96),"yyyy-mm-dd"),INDEX(상세표[근무일자],$Q96)&amp;""))</f>
        <v/>
      </c>
      <c r="F96">
        <f>IF($Q96="","",IF(ISNUMBER(INDEX(상세표[시작],$Q96)),TEXT(INDEX(상세표[시작],$Q96),"yyyy-mm-dd hh:mm"),INDEX(상세표[시작],$Q96)&amp;""))</f>
        <v/>
      </c>
      <c r="G96">
        <f>IF($Q96="","",IF(ISNUMBER(INDEX(상세표[블록종료],$Q96)),TEXT(INDEX(상세표[블록종료],$Q96),"yyyy-mm-dd hh:mm"),INDEX(상세표[블록종료],$Q96)&amp;""))</f>
        <v/>
      </c>
      <c r="H96">
        <f>IF($Q96="","",CHOOSE(WEEKDAY(INDEX(상세표[시작],$Q96)),"일","월","화","수","목","금","토"))</f>
        <v/>
      </c>
      <c r="I96" s="20">
        <f>IF($Q96="","",INDEX(상세표[연속 시간],$Q96))</f>
        <v/>
      </c>
      <c r="J96">
        <f>IF($Q96="","",INDEX(상세표[기록 수],$Q96))</f>
        <v/>
      </c>
      <c r="K96" s="20">
        <f>IF($Q96="","",INDEX(상세표[블록 06~07시],$Q96))</f>
        <v/>
      </c>
      <c r="L96" s="20">
        <f>IF($Q96="","",INDEX(상세표[블록 07~18시],$Q96))</f>
        <v/>
      </c>
      <c r="M96" s="20">
        <f>IF($Q96="","",INDEX(상세표[블록 18~22시],$Q96))</f>
        <v/>
      </c>
      <c r="N96" s="20">
        <f>IF($Q96="","",INDEX(상세표[블록 22~06시],$Q96))</f>
        <v/>
      </c>
      <c r="O96">
        <f>IF($Q96="","",INDEX(상세표[주말·휴일 포함],$Q96)&amp;"")</f>
        <v/>
      </c>
      <c r="P96">
        <f>IF($Q96="","",INDEX(상세표[월 넘김 포함],$Q96)&amp;"")</f>
        <v/>
      </c>
      <c r="Q96" s="4">
        <f>IFERROR(MATCH(91,상세표[연속순번],0),"")</f>
        <v/>
      </c>
    </row>
    <row r="97">
      <c r="A97">
        <f>IF($Q97="","",INDEX(상세표[부서],$Q97)&amp;"")</f>
        <v/>
      </c>
      <c r="B97">
        <f>IF($Q97="","",INDEX(상세표[사번],$Q97)&amp;"")</f>
        <v/>
      </c>
      <c r="C97">
        <f>IF($Q97="","",INDEX(상세표[성명],$Q97)&amp;"")</f>
        <v/>
      </c>
      <c r="D97">
        <f>IF($Q97="","",INDEX(상세표[직위],$Q97)&amp;"")</f>
        <v/>
      </c>
      <c r="E97">
        <f>IF($Q97="","",IF(ISNUMBER(INDEX(상세표[근무일자],$Q97)),TEXT(INDEX(상세표[근무일자],$Q97),"yyyy-mm-dd"),INDEX(상세표[근무일자],$Q97)&amp;""))</f>
        <v/>
      </c>
      <c r="F97">
        <f>IF($Q97="","",IF(ISNUMBER(INDEX(상세표[시작],$Q97)),TEXT(INDEX(상세표[시작],$Q97),"yyyy-mm-dd hh:mm"),INDEX(상세표[시작],$Q97)&amp;""))</f>
        <v/>
      </c>
      <c r="G97">
        <f>IF($Q97="","",IF(ISNUMBER(INDEX(상세표[블록종료],$Q97)),TEXT(INDEX(상세표[블록종료],$Q97),"yyyy-mm-dd hh:mm"),INDEX(상세표[블록종료],$Q97)&amp;""))</f>
        <v/>
      </c>
      <c r="H97">
        <f>IF($Q97="","",CHOOSE(WEEKDAY(INDEX(상세표[시작],$Q97)),"일","월","화","수","목","금","토"))</f>
        <v/>
      </c>
      <c r="I97" s="20">
        <f>IF($Q97="","",INDEX(상세표[연속 시간],$Q97))</f>
        <v/>
      </c>
      <c r="J97">
        <f>IF($Q97="","",INDEX(상세표[기록 수],$Q97))</f>
        <v/>
      </c>
      <c r="K97" s="20">
        <f>IF($Q97="","",INDEX(상세표[블록 06~07시],$Q97))</f>
        <v/>
      </c>
      <c r="L97" s="20">
        <f>IF($Q97="","",INDEX(상세표[블록 07~18시],$Q97))</f>
        <v/>
      </c>
      <c r="M97" s="20">
        <f>IF($Q97="","",INDEX(상세표[블록 18~22시],$Q97))</f>
        <v/>
      </c>
      <c r="N97" s="20">
        <f>IF($Q97="","",INDEX(상세표[블록 22~06시],$Q97))</f>
        <v/>
      </c>
      <c r="O97">
        <f>IF($Q97="","",INDEX(상세표[주말·휴일 포함],$Q97)&amp;"")</f>
        <v/>
      </c>
      <c r="P97">
        <f>IF($Q97="","",INDEX(상세표[월 넘김 포함],$Q97)&amp;"")</f>
        <v/>
      </c>
      <c r="Q97" s="4">
        <f>IFERROR(MATCH(92,상세표[연속순번],0),"")</f>
        <v/>
      </c>
    </row>
    <row r="98">
      <c r="A98">
        <f>IF($Q98="","",INDEX(상세표[부서],$Q98)&amp;"")</f>
        <v/>
      </c>
      <c r="B98">
        <f>IF($Q98="","",INDEX(상세표[사번],$Q98)&amp;"")</f>
        <v/>
      </c>
      <c r="C98">
        <f>IF($Q98="","",INDEX(상세표[성명],$Q98)&amp;"")</f>
        <v/>
      </c>
      <c r="D98">
        <f>IF($Q98="","",INDEX(상세표[직위],$Q98)&amp;"")</f>
        <v/>
      </c>
      <c r="E98">
        <f>IF($Q98="","",IF(ISNUMBER(INDEX(상세표[근무일자],$Q98)),TEXT(INDEX(상세표[근무일자],$Q98),"yyyy-mm-dd"),INDEX(상세표[근무일자],$Q98)&amp;""))</f>
        <v/>
      </c>
      <c r="F98">
        <f>IF($Q98="","",IF(ISNUMBER(INDEX(상세표[시작],$Q98)),TEXT(INDEX(상세표[시작],$Q98),"yyyy-mm-dd hh:mm"),INDEX(상세표[시작],$Q98)&amp;""))</f>
        <v/>
      </c>
      <c r="G98">
        <f>IF($Q98="","",IF(ISNUMBER(INDEX(상세표[블록종료],$Q98)),TEXT(INDEX(상세표[블록종료],$Q98),"yyyy-mm-dd hh:mm"),INDEX(상세표[블록종료],$Q98)&amp;""))</f>
        <v/>
      </c>
      <c r="H98">
        <f>IF($Q98="","",CHOOSE(WEEKDAY(INDEX(상세표[시작],$Q98)),"일","월","화","수","목","금","토"))</f>
        <v/>
      </c>
      <c r="I98" s="20">
        <f>IF($Q98="","",INDEX(상세표[연속 시간],$Q98))</f>
        <v/>
      </c>
      <c r="J98">
        <f>IF($Q98="","",INDEX(상세표[기록 수],$Q98))</f>
        <v/>
      </c>
      <c r="K98" s="20">
        <f>IF($Q98="","",INDEX(상세표[블록 06~07시],$Q98))</f>
        <v/>
      </c>
      <c r="L98" s="20">
        <f>IF($Q98="","",INDEX(상세표[블록 07~18시],$Q98))</f>
        <v/>
      </c>
      <c r="M98" s="20">
        <f>IF($Q98="","",INDEX(상세표[블록 18~22시],$Q98))</f>
        <v/>
      </c>
      <c r="N98" s="20">
        <f>IF($Q98="","",INDEX(상세표[블록 22~06시],$Q98))</f>
        <v/>
      </c>
      <c r="O98">
        <f>IF($Q98="","",INDEX(상세표[주말·휴일 포함],$Q98)&amp;"")</f>
        <v/>
      </c>
      <c r="P98">
        <f>IF($Q98="","",INDEX(상세표[월 넘김 포함],$Q98)&amp;"")</f>
        <v/>
      </c>
      <c r="Q98" s="4">
        <f>IFERROR(MATCH(93,상세표[연속순번],0),"")</f>
        <v/>
      </c>
    </row>
    <row r="99">
      <c r="A99">
        <f>IF($Q99="","",INDEX(상세표[부서],$Q99)&amp;"")</f>
        <v/>
      </c>
      <c r="B99">
        <f>IF($Q99="","",INDEX(상세표[사번],$Q99)&amp;"")</f>
        <v/>
      </c>
      <c r="C99">
        <f>IF($Q99="","",INDEX(상세표[성명],$Q99)&amp;"")</f>
        <v/>
      </c>
      <c r="D99">
        <f>IF($Q99="","",INDEX(상세표[직위],$Q99)&amp;"")</f>
        <v/>
      </c>
      <c r="E99">
        <f>IF($Q99="","",IF(ISNUMBER(INDEX(상세표[근무일자],$Q99)),TEXT(INDEX(상세표[근무일자],$Q99),"yyyy-mm-dd"),INDEX(상세표[근무일자],$Q99)&amp;""))</f>
        <v/>
      </c>
      <c r="F99">
        <f>IF($Q99="","",IF(ISNUMBER(INDEX(상세표[시작],$Q99)),TEXT(INDEX(상세표[시작],$Q99),"yyyy-mm-dd hh:mm"),INDEX(상세표[시작],$Q99)&amp;""))</f>
        <v/>
      </c>
      <c r="G99">
        <f>IF($Q99="","",IF(ISNUMBER(INDEX(상세표[블록종료],$Q99)),TEXT(INDEX(상세표[블록종료],$Q99),"yyyy-mm-dd hh:mm"),INDEX(상세표[블록종료],$Q99)&amp;""))</f>
        <v/>
      </c>
      <c r="H99">
        <f>IF($Q99="","",CHOOSE(WEEKDAY(INDEX(상세표[시작],$Q99)),"일","월","화","수","목","금","토"))</f>
        <v/>
      </c>
      <c r="I99" s="20">
        <f>IF($Q99="","",INDEX(상세표[연속 시간],$Q99))</f>
        <v/>
      </c>
      <c r="J99">
        <f>IF($Q99="","",INDEX(상세표[기록 수],$Q99))</f>
        <v/>
      </c>
      <c r="K99" s="20">
        <f>IF($Q99="","",INDEX(상세표[블록 06~07시],$Q99))</f>
        <v/>
      </c>
      <c r="L99" s="20">
        <f>IF($Q99="","",INDEX(상세표[블록 07~18시],$Q99))</f>
        <v/>
      </c>
      <c r="M99" s="20">
        <f>IF($Q99="","",INDEX(상세표[블록 18~22시],$Q99))</f>
        <v/>
      </c>
      <c r="N99" s="20">
        <f>IF($Q99="","",INDEX(상세표[블록 22~06시],$Q99))</f>
        <v/>
      </c>
      <c r="O99">
        <f>IF($Q99="","",INDEX(상세표[주말·휴일 포함],$Q99)&amp;"")</f>
        <v/>
      </c>
      <c r="P99">
        <f>IF($Q99="","",INDEX(상세표[월 넘김 포함],$Q99)&amp;"")</f>
        <v/>
      </c>
      <c r="Q99" s="4">
        <f>IFERROR(MATCH(94,상세표[연속순번],0),"")</f>
        <v/>
      </c>
    </row>
    <row r="100">
      <c r="A100">
        <f>IF($Q100="","",INDEX(상세표[부서],$Q100)&amp;"")</f>
        <v/>
      </c>
      <c r="B100">
        <f>IF($Q100="","",INDEX(상세표[사번],$Q100)&amp;"")</f>
        <v/>
      </c>
      <c r="C100">
        <f>IF($Q100="","",INDEX(상세표[성명],$Q100)&amp;"")</f>
        <v/>
      </c>
      <c r="D100">
        <f>IF($Q100="","",INDEX(상세표[직위],$Q100)&amp;"")</f>
        <v/>
      </c>
      <c r="E100">
        <f>IF($Q100="","",IF(ISNUMBER(INDEX(상세표[근무일자],$Q100)),TEXT(INDEX(상세표[근무일자],$Q100),"yyyy-mm-dd"),INDEX(상세표[근무일자],$Q100)&amp;""))</f>
        <v/>
      </c>
      <c r="F100">
        <f>IF($Q100="","",IF(ISNUMBER(INDEX(상세표[시작],$Q100)),TEXT(INDEX(상세표[시작],$Q100),"yyyy-mm-dd hh:mm"),INDEX(상세표[시작],$Q100)&amp;""))</f>
        <v/>
      </c>
      <c r="G100">
        <f>IF($Q100="","",IF(ISNUMBER(INDEX(상세표[블록종료],$Q100)),TEXT(INDEX(상세표[블록종료],$Q100),"yyyy-mm-dd hh:mm"),INDEX(상세표[블록종료],$Q100)&amp;""))</f>
        <v/>
      </c>
      <c r="H100">
        <f>IF($Q100="","",CHOOSE(WEEKDAY(INDEX(상세표[시작],$Q100)),"일","월","화","수","목","금","토"))</f>
        <v/>
      </c>
      <c r="I100" s="20">
        <f>IF($Q100="","",INDEX(상세표[연속 시간],$Q100))</f>
        <v/>
      </c>
      <c r="J100">
        <f>IF($Q100="","",INDEX(상세표[기록 수],$Q100))</f>
        <v/>
      </c>
      <c r="K100" s="20">
        <f>IF($Q100="","",INDEX(상세표[블록 06~07시],$Q100))</f>
        <v/>
      </c>
      <c r="L100" s="20">
        <f>IF($Q100="","",INDEX(상세표[블록 07~18시],$Q100))</f>
        <v/>
      </c>
      <c r="M100" s="20">
        <f>IF($Q100="","",INDEX(상세표[블록 18~22시],$Q100))</f>
        <v/>
      </c>
      <c r="N100" s="20">
        <f>IF($Q100="","",INDEX(상세표[블록 22~06시],$Q100))</f>
        <v/>
      </c>
      <c r="O100">
        <f>IF($Q100="","",INDEX(상세표[주말·휴일 포함],$Q100)&amp;"")</f>
        <v/>
      </c>
      <c r="P100">
        <f>IF($Q100="","",INDEX(상세표[월 넘김 포함],$Q100)&amp;"")</f>
        <v/>
      </c>
      <c r="Q100" s="4">
        <f>IFERROR(MATCH(95,상세표[연속순번],0),"")</f>
        <v/>
      </c>
    </row>
    <row r="101">
      <c r="A101">
        <f>IF($Q101="","",INDEX(상세표[부서],$Q101)&amp;"")</f>
        <v/>
      </c>
      <c r="B101">
        <f>IF($Q101="","",INDEX(상세표[사번],$Q101)&amp;"")</f>
        <v/>
      </c>
      <c r="C101">
        <f>IF($Q101="","",INDEX(상세표[성명],$Q101)&amp;"")</f>
        <v/>
      </c>
      <c r="D101">
        <f>IF($Q101="","",INDEX(상세표[직위],$Q101)&amp;"")</f>
        <v/>
      </c>
      <c r="E101">
        <f>IF($Q101="","",IF(ISNUMBER(INDEX(상세표[근무일자],$Q101)),TEXT(INDEX(상세표[근무일자],$Q101),"yyyy-mm-dd"),INDEX(상세표[근무일자],$Q101)&amp;""))</f>
        <v/>
      </c>
      <c r="F101">
        <f>IF($Q101="","",IF(ISNUMBER(INDEX(상세표[시작],$Q101)),TEXT(INDEX(상세표[시작],$Q101),"yyyy-mm-dd hh:mm"),INDEX(상세표[시작],$Q101)&amp;""))</f>
        <v/>
      </c>
      <c r="G101">
        <f>IF($Q101="","",IF(ISNUMBER(INDEX(상세표[블록종료],$Q101)),TEXT(INDEX(상세표[블록종료],$Q101),"yyyy-mm-dd hh:mm"),INDEX(상세표[블록종료],$Q101)&amp;""))</f>
        <v/>
      </c>
      <c r="H101">
        <f>IF($Q101="","",CHOOSE(WEEKDAY(INDEX(상세표[시작],$Q101)),"일","월","화","수","목","금","토"))</f>
        <v/>
      </c>
      <c r="I101" s="20">
        <f>IF($Q101="","",INDEX(상세표[연속 시간],$Q101))</f>
        <v/>
      </c>
      <c r="J101">
        <f>IF($Q101="","",INDEX(상세표[기록 수],$Q101))</f>
        <v/>
      </c>
      <c r="K101" s="20">
        <f>IF($Q101="","",INDEX(상세표[블록 06~07시],$Q101))</f>
        <v/>
      </c>
      <c r="L101" s="20">
        <f>IF($Q101="","",INDEX(상세표[블록 07~18시],$Q101))</f>
        <v/>
      </c>
      <c r="M101" s="20">
        <f>IF($Q101="","",INDEX(상세표[블록 18~22시],$Q101))</f>
        <v/>
      </c>
      <c r="N101" s="20">
        <f>IF($Q101="","",INDEX(상세표[블록 22~06시],$Q101))</f>
        <v/>
      </c>
      <c r="O101">
        <f>IF($Q101="","",INDEX(상세표[주말·휴일 포함],$Q101)&amp;"")</f>
        <v/>
      </c>
      <c r="P101">
        <f>IF($Q101="","",INDEX(상세표[월 넘김 포함],$Q101)&amp;"")</f>
        <v/>
      </c>
      <c r="Q101" s="4">
        <f>IFERROR(MATCH(96,상세표[연속순번],0),"")</f>
        <v/>
      </c>
    </row>
    <row r="102">
      <c r="A102">
        <f>IF($Q102="","",INDEX(상세표[부서],$Q102)&amp;"")</f>
        <v/>
      </c>
      <c r="B102">
        <f>IF($Q102="","",INDEX(상세표[사번],$Q102)&amp;"")</f>
        <v/>
      </c>
      <c r="C102">
        <f>IF($Q102="","",INDEX(상세표[성명],$Q102)&amp;"")</f>
        <v/>
      </c>
      <c r="D102">
        <f>IF($Q102="","",INDEX(상세표[직위],$Q102)&amp;"")</f>
        <v/>
      </c>
      <c r="E102">
        <f>IF($Q102="","",IF(ISNUMBER(INDEX(상세표[근무일자],$Q102)),TEXT(INDEX(상세표[근무일자],$Q102),"yyyy-mm-dd"),INDEX(상세표[근무일자],$Q102)&amp;""))</f>
        <v/>
      </c>
      <c r="F102">
        <f>IF($Q102="","",IF(ISNUMBER(INDEX(상세표[시작],$Q102)),TEXT(INDEX(상세표[시작],$Q102),"yyyy-mm-dd hh:mm"),INDEX(상세표[시작],$Q102)&amp;""))</f>
        <v/>
      </c>
      <c r="G102">
        <f>IF($Q102="","",IF(ISNUMBER(INDEX(상세표[블록종료],$Q102)),TEXT(INDEX(상세표[블록종료],$Q102),"yyyy-mm-dd hh:mm"),INDEX(상세표[블록종료],$Q102)&amp;""))</f>
        <v/>
      </c>
      <c r="H102">
        <f>IF($Q102="","",CHOOSE(WEEKDAY(INDEX(상세표[시작],$Q102)),"일","월","화","수","목","금","토"))</f>
        <v/>
      </c>
      <c r="I102" s="20">
        <f>IF($Q102="","",INDEX(상세표[연속 시간],$Q102))</f>
        <v/>
      </c>
      <c r="J102">
        <f>IF($Q102="","",INDEX(상세표[기록 수],$Q102))</f>
        <v/>
      </c>
      <c r="K102" s="20">
        <f>IF($Q102="","",INDEX(상세표[블록 06~07시],$Q102))</f>
        <v/>
      </c>
      <c r="L102" s="20">
        <f>IF($Q102="","",INDEX(상세표[블록 07~18시],$Q102))</f>
        <v/>
      </c>
      <c r="M102" s="20">
        <f>IF($Q102="","",INDEX(상세표[블록 18~22시],$Q102))</f>
        <v/>
      </c>
      <c r="N102" s="20">
        <f>IF($Q102="","",INDEX(상세표[블록 22~06시],$Q102))</f>
        <v/>
      </c>
      <c r="O102">
        <f>IF($Q102="","",INDEX(상세표[주말·휴일 포함],$Q102)&amp;"")</f>
        <v/>
      </c>
      <c r="P102">
        <f>IF($Q102="","",INDEX(상세표[월 넘김 포함],$Q102)&amp;"")</f>
        <v/>
      </c>
      <c r="Q102" s="4">
        <f>IFERROR(MATCH(97,상세표[연속순번],0),"")</f>
        <v/>
      </c>
    </row>
    <row r="103">
      <c r="A103">
        <f>IF($Q103="","",INDEX(상세표[부서],$Q103)&amp;"")</f>
        <v/>
      </c>
      <c r="B103">
        <f>IF($Q103="","",INDEX(상세표[사번],$Q103)&amp;"")</f>
        <v/>
      </c>
      <c r="C103">
        <f>IF($Q103="","",INDEX(상세표[성명],$Q103)&amp;"")</f>
        <v/>
      </c>
      <c r="D103">
        <f>IF($Q103="","",INDEX(상세표[직위],$Q103)&amp;"")</f>
        <v/>
      </c>
      <c r="E103">
        <f>IF($Q103="","",IF(ISNUMBER(INDEX(상세표[근무일자],$Q103)),TEXT(INDEX(상세표[근무일자],$Q103),"yyyy-mm-dd"),INDEX(상세표[근무일자],$Q103)&amp;""))</f>
        <v/>
      </c>
      <c r="F103">
        <f>IF($Q103="","",IF(ISNUMBER(INDEX(상세표[시작],$Q103)),TEXT(INDEX(상세표[시작],$Q103),"yyyy-mm-dd hh:mm"),INDEX(상세표[시작],$Q103)&amp;""))</f>
        <v/>
      </c>
      <c r="G103">
        <f>IF($Q103="","",IF(ISNUMBER(INDEX(상세표[블록종료],$Q103)),TEXT(INDEX(상세표[블록종료],$Q103),"yyyy-mm-dd hh:mm"),INDEX(상세표[블록종료],$Q103)&amp;""))</f>
        <v/>
      </c>
      <c r="H103">
        <f>IF($Q103="","",CHOOSE(WEEKDAY(INDEX(상세표[시작],$Q103)),"일","월","화","수","목","금","토"))</f>
        <v/>
      </c>
      <c r="I103" s="20">
        <f>IF($Q103="","",INDEX(상세표[연속 시간],$Q103))</f>
        <v/>
      </c>
      <c r="J103">
        <f>IF($Q103="","",INDEX(상세표[기록 수],$Q103))</f>
        <v/>
      </c>
      <c r="K103" s="20">
        <f>IF($Q103="","",INDEX(상세표[블록 06~07시],$Q103))</f>
        <v/>
      </c>
      <c r="L103" s="20">
        <f>IF($Q103="","",INDEX(상세표[블록 07~18시],$Q103))</f>
        <v/>
      </c>
      <c r="M103" s="20">
        <f>IF($Q103="","",INDEX(상세표[블록 18~22시],$Q103))</f>
        <v/>
      </c>
      <c r="N103" s="20">
        <f>IF($Q103="","",INDEX(상세표[블록 22~06시],$Q103))</f>
        <v/>
      </c>
      <c r="O103">
        <f>IF($Q103="","",INDEX(상세표[주말·휴일 포함],$Q103)&amp;"")</f>
        <v/>
      </c>
      <c r="P103">
        <f>IF($Q103="","",INDEX(상세표[월 넘김 포함],$Q103)&amp;"")</f>
        <v/>
      </c>
      <c r="Q103" s="4">
        <f>IFERROR(MATCH(98,상세표[연속순번],0),"")</f>
        <v/>
      </c>
    </row>
    <row r="104">
      <c r="A104">
        <f>IF($Q104="","",INDEX(상세표[부서],$Q104)&amp;"")</f>
        <v/>
      </c>
      <c r="B104">
        <f>IF($Q104="","",INDEX(상세표[사번],$Q104)&amp;"")</f>
        <v/>
      </c>
      <c r="C104">
        <f>IF($Q104="","",INDEX(상세표[성명],$Q104)&amp;"")</f>
        <v/>
      </c>
      <c r="D104">
        <f>IF($Q104="","",INDEX(상세표[직위],$Q104)&amp;"")</f>
        <v/>
      </c>
      <c r="E104">
        <f>IF($Q104="","",IF(ISNUMBER(INDEX(상세표[근무일자],$Q104)),TEXT(INDEX(상세표[근무일자],$Q104),"yyyy-mm-dd"),INDEX(상세표[근무일자],$Q104)&amp;""))</f>
        <v/>
      </c>
      <c r="F104">
        <f>IF($Q104="","",IF(ISNUMBER(INDEX(상세표[시작],$Q104)),TEXT(INDEX(상세표[시작],$Q104),"yyyy-mm-dd hh:mm"),INDEX(상세표[시작],$Q104)&amp;""))</f>
        <v/>
      </c>
      <c r="G104">
        <f>IF($Q104="","",IF(ISNUMBER(INDEX(상세표[블록종료],$Q104)),TEXT(INDEX(상세표[블록종료],$Q104),"yyyy-mm-dd hh:mm"),INDEX(상세표[블록종료],$Q104)&amp;""))</f>
        <v/>
      </c>
      <c r="H104">
        <f>IF($Q104="","",CHOOSE(WEEKDAY(INDEX(상세표[시작],$Q104)),"일","월","화","수","목","금","토"))</f>
        <v/>
      </c>
      <c r="I104" s="20">
        <f>IF($Q104="","",INDEX(상세표[연속 시간],$Q104))</f>
        <v/>
      </c>
      <c r="J104">
        <f>IF($Q104="","",INDEX(상세표[기록 수],$Q104))</f>
        <v/>
      </c>
      <c r="K104" s="20">
        <f>IF($Q104="","",INDEX(상세표[블록 06~07시],$Q104))</f>
        <v/>
      </c>
      <c r="L104" s="20">
        <f>IF($Q104="","",INDEX(상세표[블록 07~18시],$Q104))</f>
        <v/>
      </c>
      <c r="M104" s="20">
        <f>IF($Q104="","",INDEX(상세표[블록 18~22시],$Q104))</f>
        <v/>
      </c>
      <c r="N104" s="20">
        <f>IF($Q104="","",INDEX(상세표[블록 22~06시],$Q104))</f>
        <v/>
      </c>
      <c r="O104">
        <f>IF($Q104="","",INDEX(상세표[주말·휴일 포함],$Q104)&amp;"")</f>
        <v/>
      </c>
      <c r="P104">
        <f>IF($Q104="","",INDEX(상세표[월 넘김 포함],$Q104)&amp;"")</f>
        <v/>
      </c>
      <c r="Q104" s="4">
        <f>IFERROR(MATCH(99,상세표[연속순번],0),"")</f>
        <v/>
      </c>
    </row>
    <row r="105">
      <c r="A105">
        <f>IF($Q105="","",INDEX(상세표[부서],$Q105)&amp;"")</f>
        <v/>
      </c>
      <c r="B105">
        <f>IF($Q105="","",INDEX(상세표[사번],$Q105)&amp;"")</f>
        <v/>
      </c>
      <c r="C105">
        <f>IF($Q105="","",INDEX(상세표[성명],$Q105)&amp;"")</f>
        <v/>
      </c>
      <c r="D105">
        <f>IF($Q105="","",INDEX(상세표[직위],$Q105)&amp;"")</f>
        <v/>
      </c>
      <c r="E105">
        <f>IF($Q105="","",IF(ISNUMBER(INDEX(상세표[근무일자],$Q105)),TEXT(INDEX(상세표[근무일자],$Q105),"yyyy-mm-dd"),INDEX(상세표[근무일자],$Q105)&amp;""))</f>
        <v/>
      </c>
      <c r="F105">
        <f>IF($Q105="","",IF(ISNUMBER(INDEX(상세표[시작],$Q105)),TEXT(INDEX(상세표[시작],$Q105),"yyyy-mm-dd hh:mm"),INDEX(상세표[시작],$Q105)&amp;""))</f>
        <v/>
      </c>
      <c r="G105">
        <f>IF($Q105="","",IF(ISNUMBER(INDEX(상세표[블록종료],$Q105)),TEXT(INDEX(상세표[블록종료],$Q105),"yyyy-mm-dd hh:mm"),INDEX(상세표[블록종료],$Q105)&amp;""))</f>
        <v/>
      </c>
      <c r="H105">
        <f>IF($Q105="","",CHOOSE(WEEKDAY(INDEX(상세표[시작],$Q105)),"일","월","화","수","목","금","토"))</f>
        <v/>
      </c>
      <c r="I105" s="20">
        <f>IF($Q105="","",INDEX(상세표[연속 시간],$Q105))</f>
        <v/>
      </c>
      <c r="J105">
        <f>IF($Q105="","",INDEX(상세표[기록 수],$Q105))</f>
        <v/>
      </c>
      <c r="K105" s="20">
        <f>IF($Q105="","",INDEX(상세표[블록 06~07시],$Q105))</f>
        <v/>
      </c>
      <c r="L105" s="20">
        <f>IF($Q105="","",INDEX(상세표[블록 07~18시],$Q105))</f>
        <v/>
      </c>
      <c r="M105" s="20">
        <f>IF($Q105="","",INDEX(상세표[블록 18~22시],$Q105))</f>
        <v/>
      </c>
      <c r="N105" s="20">
        <f>IF($Q105="","",INDEX(상세표[블록 22~06시],$Q105))</f>
        <v/>
      </c>
      <c r="O105">
        <f>IF($Q105="","",INDEX(상세표[주말·휴일 포함],$Q105)&amp;"")</f>
        <v/>
      </c>
      <c r="P105">
        <f>IF($Q105="","",INDEX(상세표[월 넘김 포함],$Q105)&amp;"")</f>
        <v/>
      </c>
      <c r="Q105" s="4">
        <f>IFERROR(MATCH(100,상세표[연속순번],0),"")</f>
        <v/>
      </c>
    </row>
    <row r="106">
      <c r="A106">
        <f>IF($Q106="","",INDEX(상세표[부서],$Q106)&amp;"")</f>
        <v/>
      </c>
      <c r="B106">
        <f>IF($Q106="","",INDEX(상세표[사번],$Q106)&amp;"")</f>
        <v/>
      </c>
      <c r="C106">
        <f>IF($Q106="","",INDEX(상세표[성명],$Q106)&amp;"")</f>
        <v/>
      </c>
      <c r="D106">
        <f>IF($Q106="","",INDEX(상세표[직위],$Q106)&amp;"")</f>
        <v/>
      </c>
      <c r="E106">
        <f>IF($Q106="","",IF(ISNUMBER(INDEX(상세표[근무일자],$Q106)),TEXT(INDEX(상세표[근무일자],$Q106),"yyyy-mm-dd"),INDEX(상세표[근무일자],$Q106)&amp;""))</f>
        <v/>
      </c>
      <c r="F106">
        <f>IF($Q106="","",IF(ISNUMBER(INDEX(상세표[시작],$Q106)),TEXT(INDEX(상세표[시작],$Q106),"yyyy-mm-dd hh:mm"),INDEX(상세표[시작],$Q106)&amp;""))</f>
        <v/>
      </c>
      <c r="G106">
        <f>IF($Q106="","",IF(ISNUMBER(INDEX(상세표[블록종료],$Q106)),TEXT(INDEX(상세표[블록종료],$Q106),"yyyy-mm-dd hh:mm"),INDEX(상세표[블록종료],$Q106)&amp;""))</f>
        <v/>
      </c>
      <c r="H106">
        <f>IF($Q106="","",CHOOSE(WEEKDAY(INDEX(상세표[시작],$Q106)),"일","월","화","수","목","금","토"))</f>
        <v/>
      </c>
      <c r="I106" s="20">
        <f>IF($Q106="","",INDEX(상세표[연속 시간],$Q106))</f>
        <v/>
      </c>
      <c r="J106">
        <f>IF($Q106="","",INDEX(상세표[기록 수],$Q106))</f>
        <v/>
      </c>
      <c r="K106" s="20">
        <f>IF($Q106="","",INDEX(상세표[블록 06~07시],$Q106))</f>
        <v/>
      </c>
      <c r="L106" s="20">
        <f>IF($Q106="","",INDEX(상세표[블록 07~18시],$Q106))</f>
        <v/>
      </c>
      <c r="M106" s="20">
        <f>IF($Q106="","",INDEX(상세표[블록 18~22시],$Q106))</f>
        <v/>
      </c>
      <c r="N106" s="20">
        <f>IF($Q106="","",INDEX(상세표[블록 22~06시],$Q106))</f>
        <v/>
      </c>
      <c r="O106">
        <f>IF($Q106="","",INDEX(상세표[주말·휴일 포함],$Q106)&amp;"")</f>
        <v/>
      </c>
      <c r="P106">
        <f>IF($Q106="","",INDEX(상세표[월 넘김 포함],$Q106)&amp;"")</f>
        <v/>
      </c>
      <c r="Q106" s="4">
        <f>IFERROR(MATCH(101,상세표[연속순번],0),"")</f>
        <v/>
      </c>
    </row>
    <row r="107">
      <c r="A107">
        <f>IF($Q107="","",INDEX(상세표[부서],$Q107)&amp;"")</f>
        <v/>
      </c>
      <c r="B107">
        <f>IF($Q107="","",INDEX(상세표[사번],$Q107)&amp;"")</f>
        <v/>
      </c>
      <c r="C107">
        <f>IF($Q107="","",INDEX(상세표[성명],$Q107)&amp;"")</f>
        <v/>
      </c>
      <c r="D107">
        <f>IF($Q107="","",INDEX(상세표[직위],$Q107)&amp;"")</f>
        <v/>
      </c>
      <c r="E107">
        <f>IF($Q107="","",IF(ISNUMBER(INDEX(상세표[근무일자],$Q107)),TEXT(INDEX(상세표[근무일자],$Q107),"yyyy-mm-dd"),INDEX(상세표[근무일자],$Q107)&amp;""))</f>
        <v/>
      </c>
      <c r="F107">
        <f>IF($Q107="","",IF(ISNUMBER(INDEX(상세표[시작],$Q107)),TEXT(INDEX(상세표[시작],$Q107),"yyyy-mm-dd hh:mm"),INDEX(상세표[시작],$Q107)&amp;""))</f>
        <v/>
      </c>
      <c r="G107">
        <f>IF($Q107="","",IF(ISNUMBER(INDEX(상세표[블록종료],$Q107)),TEXT(INDEX(상세표[블록종료],$Q107),"yyyy-mm-dd hh:mm"),INDEX(상세표[블록종료],$Q107)&amp;""))</f>
        <v/>
      </c>
      <c r="H107">
        <f>IF($Q107="","",CHOOSE(WEEKDAY(INDEX(상세표[시작],$Q107)),"일","월","화","수","목","금","토"))</f>
        <v/>
      </c>
      <c r="I107" s="20">
        <f>IF($Q107="","",INDEX(상세표[연속 시간],$Q107))</f>
        <v/>
      </c>
      <c r="J107">
        <f>IF($Q107="","",INDEX(상세표[기록 수],$Q107))</f>
        <v/>
      </c>
      <c r="K107" s="20">
        <f>IF($Q107="","",INDEX(상세표[블록 06~07시],$Q107))</f>
        <v/>
      </c>
      <c r="L107" s="20">
        <f>IF($Q107="","",INDEX(상세표[블록 07~18시],$Q107))</f>
        <v/>
      </c>
      <c r="M107" s="20">
        <f>IF($Q107="","",INDEX(상세표[블록 18~22시],$Q107))</f>
        <v/>
      </c>
      <c r="N107" s="20">
        <f>IF($Q107="","",INDEX(상세표[블록 22~06시],$Q107))</f>
        <v/>
      </c>
      <c r="O107">
        <f>IF($Q107="","",INDEX(상세표[주말·휴일 포함],$Q107)&amp;"")</f>
        <v/>
      </c>
      <c r="P107">
        <f>IF($Q107="","",INDEX(상세표[월 넘김 포함],$Q107)&amp;"")</f>
        <v/>
      </c>
      <c r="Q107" s="4">
        <f>IFERROR(MATCH(102,상세표[연속순번],0),"")</f>
        <v/>
      </c>
    </row>
    <row r="108">
      <c r="A108">
        <f>IF($Q108="","",INDEX(상세표[부서],$Q108)&amp;"")</f>
        <v/>
      </c>
      <c r="B108">
        <f>IF($Q108="","",INDEX(상세표[사번],$Q108)&amp;"")</f>
        <v/>
      </c>
      <c r="C108">
        <f>IF($Q108="","",INDEX(상세표[성명],$Q108)&amp;"")</f>
        <v/>
      </c>
      <c r="D108">
        <f>IF($Q108="","",INDEX(상세표[직위],$Q108)&amp;"")</f>
        <v/>
      </c>
      <c r="E108">
        <f>IF($Q108="","",IF(ISNUMBER(INDEX(상세표[근무일자],$Q108)),TEXT(INDEX(상세표[근무일자],$Q108),"yyyy-mm-dd"),INDEX(상세표[근무일자],$Q108)&amp;""))</f>
        <v/>
      </c>
      <c r="F108">
        <f>IF($Q108="","",IF(ISNUMBER(INDEX(상세표[시작],$Q108)),TEXT(INDEX(상세표[시작],$Q108),"yyyy-mm-dd hh:mm"),INDEX(상세표[시작],$Q108)&amp;""))</f>
        <v/>
      </c>
      <c r="G108">
        <f>IF($Q108="","",IF(ISNUMBER(INDEX(상세표[블록종료],$Q108)),TEXT(INDEX(상세표[블록종료],$Q108),"yyyy-mm-dd hh:mm"),INDEX(상세표[블록종료],$Q108)&amp;""))</f>
        <v/>
      </c>
      <c r="H108">
        <f>IF($Q108="","",CHOOSE(WEEKDAY(INDEX(상세표[시작],$Q108)),"일","월","화","수","목","금","토"))</f>
        <v/>
      </c>
      <c r="I108" s="20">
        <f>IF($Q108="","",INDEX(상세표[연속 시간],$Q108))</f>
        <v/>
      </c>
      <c r="J108">
        <f>IF($Q108="","",INDEX(상세표[기록 수],$Q108))</f>
        <v/>
      </c>
      <c r="K108" s="20">
        <f>IF($Q108="","",INDEX(상세표[블록 06~07시],$Q108))</f>
        <v/>
      </c>
      <c r="L108" s="20">
        <f>IF($Q108="","",INDEX(상세표[블록 07~18시],$Q108))</f>
        <v/>
      </c>
      <c r="M108" s="20">
        <f>IF($Q108="","",INDEX(상세표[블록 18~22시],$Q108))</f>
        <v/>
      </c>
      <c r="N108" s="20">
        <f>IF($Q108="","",INDEX(상세표[블록 22~06시],$Q108))</f>
        <v/>
      </c>
      <c r="O108">
        <f>IF($Q108="","",INDEX(상세표[주말·휴일 포함],$Q108)&amp;"")</f>
        <v/>
      </c>
      <c r="P108">
        <f>IF($Q108="","",INDEX(상세표[월 넘김 포함],$Q108)&amp;"")</f>
        <v/>
      </c>
      <c r="Q108" s="4">
        <f>IFERROR(MATCH(103,상세표[연속순번],0),"")</f>
        <v/>
      </c>
    </row>
    <row r="109">
      <c r="A109">
        <f>IF($Q109="","",INDEX(상세표[부서],$Q109)&amp;"")</f>
        <v/>
      </c>
      <c r="B109">
        <f>IF($Q109="","",INDEX(상세표[사번],$Q109)&amp;"")</f>
        <v/>
      </c>
      <c r="C109">
        <f>IF($Q109="","",INDEX(상세표[성명],$Q109)&amp;"")</f>
        <v/>
      </c>
      <c r="D109">
        <f>IF($Q109="","",INDEX(상세표[직위],$Q109)&amp;"")</f>
        <v/>
      </c>
      <c r="E109">
        <f>IF($Q109="","",IF(ISNUMBER(INDEX(상세표[근무일자],$Q109)),TEXT(INDEX(상세표[근무일자],$Q109),"yyyy-mm-dd"),INDEX(상세표[근무일자],$Q109)&amp;""))</f>
        <v/>
      </c>
      <c r="F109">
        <f>IF($Q109="","",IF(ISNUMBER(INDEX(상세표[시작],$Q109)),TEXT(INDEX(상세표[시작],$Q109),"yyyy-mm-dd hh:mm"),INDEX(상세표[시작],$Q109)&amp;""))</f>
        <v/>
      </c>
      <c r="G109">
        <f>IF($Q109="","",IF(ISNUMBER(INDEX(상세표[블록종료],$Q109)),TEXT(INDEX(상세표[블록종료],$Q109),"yyyy-mm-dd hh:mm"),INDEX(상세표[블록종료],$Q109)&amp;""))</f>
        <v/>
      </c>
      <c r="H109">
        <f>IF($Q109="","",CHOOSE(WEEKDAY(INDEX(상세표[시작],$Q109)),"일","월","화","수","목","금","토"))</f>
        <v/>
      </c>
      <c r="I109" s="20">
        <f>IF($Q109="","",INDEX(상세표[연속 시간],$Q109))</f>
        <v/>
      </c>
      <c r="J109">
        <f>IF($Q109="","",INDEX(상세표[기록 수],$Q109))</f>
        <v/>
      </c>
      <c r="K109" s="20">
        <f>IF($Q109="","",INDEX(상세표[블록 06~07시],$Q109))</f>
        <v/>
      </c>
      <c r="L109" s="20">
        <f>IF($Q109="","",INDEX(상세표[블록 07~18시],$Q109))</f>
        <v/>
      </c>
      <c r="M109" s="20">
        <f>IF($Q109="","",INDEX(상세표[블록 18~22시],$Q109))</f>
        <v/>
      </c>
      <c r="N109" s="20">
        <f>IF($Q109="","",INDEX(상세표[블록 22~06시],$Q109))</f>
        <v/>
      </c>
      <c r="O109">
        <f>IF($Q109="","",INDEX(상세표[주말·휴일 포함],$Q109)&amp;"")</f>
        <v/>
      </c>
      <c r="P109">
        <f>IF($Q109="","",INDEX(상세표[월 넘김 포함],$Q109)&amp;"")</f>
        <v/>
      </c>
      <c r="Q109" s="4">
        <f>IFERROR(MATCH(104,상세표[연속순번],0),"")</f>
        <v/>
      </c>
    </row>
    <row r="110">
      <c r="A110">
        <f>IF($Q110="","",INDEX(상세표[부서],$Q110)&amp;"")</f>
        <v/>
      </c>
      <c r="B110">
        <f>IF($Q110="","",INDEX(상세표[사번],$Q110)&amp;"")</f>
        <v/>
      </c>
      <c r="C110">
        <f>IF($Q110="","",INDEX(상세표[성명],$Q110)&amp;"")</f>
        <v/>
      </c>
      <c r="D110">
        <f>IF($Q110="","",INDEX(상세표[직위],$Q110)&amp;"")</f>
        <v/>
      </c>
      <c r="E110">
        <f>IF($Q110="","",IF(ISNUMBER(INDEX(상세표[근무일자],$Q110)),TEXT(INDEX(상세표[근무일자],$Q110),"yyyy-mm-dd"),INDEX(상세표[근무일자],$Q110)&amp;""))</f>
        <v/>
      </c>
      <c r="F110">
        <f>IF($Q110="","",IF(ISNUMBER(INDEX(상세표[시작],$Q110)),TEXT(INDEX(상세표[시작],$Q110),"yyyy-mm-dd hh:mm"),INDEX(상세표[시작],$Q110)&amp;""))</f>
        <v/>
      </c>
      <c r="G110">
        <f>IF($Q110="","",IF(ISNUMBER(INDEX(상세표[블록종료],$Q110)),TEXT(INDEX(상세표[블록종료],$Q110),"yyyy-mm-dd hh:mm"),INDEX(상세표[블록종료],$Q110)&amp;""))</f>
        <v/>
      </c>
      <c r="H110">
        <f>IF($Q110="","",CHOOSE(WEEKDAY(INDEX(상세표[시작],$Q110)),"일","월","화","수","목","금","토"))</f>
        <v/>
      </c>
      <c r="I110" s="20">
        <f>IF($Q110="","",INDEX(상세표[연속 시간],$Q110))</f>
        <v/>
      </c>
      <c r="J110">
        <f>IF($Q110="","",INDEX(상세표[기록 수],$Q110))</f>
        <v/>
      </c>
      <c r="K110" s="20">
        <f>IF($Q110="","",INDEX(상세표[블록 06~07시],$Q110))</f>
        <v/>
      </c>
      <c r="L110" s="20">
        <f>IF($Q110="","",INDEX(상세표[블록 07~18시],$Q110))</f>
        <v/>
      </c>
      <c r="M110" s="20">
        <f>IF($Q110="","",INDEX(상세표[블록 18~22시],$Q110))</f>
        <v/>
      </c>
      <c r="N110" s="20">
        <f>IF($Q110="","",INDEX(상세표[블록 22~06시],$Q110))</f>
        <v/>
      </c>
      <c r="O110">
        <f>IF($Q110="","",INDEX(상세표[주말·휴일 포함],$Q110)&amp;"")</f>
        <v/>
      </c>
      <c r="P110">
        <f>IF($Q110="","",INDEX(상세표[월 넘김 포함],$Q110)&amp;"")</f>
        <v/>
      </c>
      <c r="Q110" s="4">
        <f>IFERROR(MATCH(105,상세표[연속순번],0),"")</f>
        <v/>
      </c>
    </row>
    <row r="111">
      <c r="A111">
        <f>IF($Q111="","",INDEX(상세표[부서],$Q111)&amp;"")</f>
        <v/>
      </c>
      <c r="B111">
        <f>IF($Q111="","",INDEX(상세표[사번],$Q111)&amp;"")</f>
        <v/>
      </c>
      <c r="C111">
        <f>IF($Q111="","",INDEX(상세표[성명],$Q111)&amp;"")</f>
        <v/>
      </c>
      <c r="D111">
        <f>IF($Q111="","",INDEX(상세표[직위],$Q111)&amp;"")</f>
        <v/>
      </c>
      <c r="E111">
        <f>IF($Q111="","",IF(ISNUMBER(INDEX(상세표[근무일자],$Q111)),TEXT(INDEX(상세표[근무일자],$Q111),"yyyy-mm-dd"),INDEX(상세표[근무일자],$Q111)&amp;""))</f>
        <v/>
      </c>
      <c r="F111">
        <f>IF($Q111="","",IF(ISNUMBER(INDEX(상세표[시작],$Q111)),TEXT(INDEX(상세표[시작],$Q111),"yyyy-mm-dd hh:mm"),INDEX(상세표[시작],$Q111)&amp;""))</f>
        <v/>
      </c>
      <c r="G111">
        <f>IF($Q111="","",IF(ISNUMBER(INDEX(상세표[블록종료],$Q111)),TEXT(INDEX(상세표[블록종료],$Q111),"yyyy-mm-dd hh:mm"),INDEX(상세표[블록종료],$Q111)&amp;""))</f>
        <v/>
      </c>
      <c r="H111">
        <f>IF($Q111="","",CHOOSE(WEEKDAY(INDEX(상세표[시작],$Q111)),"일","월","화","수","목","금","토"))</f>
        <v/>
      </c>
      <c r="I111" s="20">
        <f>IF($Q111="","",INDEX(상세표[연속 시간],$Q111))</f>
        <v/>
      </c>
      <c r="J111">
        <f>IF($Q111="","",INDEX(상세표[기록 수],$Q111))</f>
        <v/>
      </c>
      <c r="K111" s="20">
        <f>IF($Q111="","",INDEX(상세표[블록 06~07시],$Q111))</f>
        <v/>
      </c>
      <c r="L111" s="20">
        <f>IF($Q111="","",INDEX(상세표[블록 07~18시],$Q111))</f>
        <v/>
      </c>
      <c r="M111" s="20">
        <f>IF($Q111="","",INDEX(상세표[블록 18~22시],$Q111))</f>
        <v/>
      </c>
      <c r="N111" s="20">
        <f>IF($Q111="","",INDEX(상세표[블록 22~06시],$Q111))</f>
        <v/>
      </c>
      <c r="O111">
        <f>IF($Q111="","",INDEX(상세표[주말·휴일 포함],$Q111)&amp;"")</f>
        <v/>
      </c>
      <c r="P111">
        <f>IF($Q111="","",INDEX(상세표[월 넘김 포함],$Q111)&amp;"")</f>
        <v/>
      </c>
      <c r="Q111" s="4">
        <f>IFERROR(MATCH(106,상세표[연속순번],0),"")</f>
        <v/>
      </c>
    </row>
    <row r="112">
      <c r="A112">
        <f>IF($Q112="","",INDEX(상세표[부서],$Q112)&amp;"")</f>
        <v/>
      </c>
      <c r="B112">
        <f>IF($Q112="","",INDEX(상세표[사번],$Q112)&amp;"")</f>
        <v/>
      </c>
      <c r="C112">
        <f>IF($Q112="","",INDEX(상세표[성명],$Q112)&amp;"")</f>
        <v/>
      </c>
      <c r="D112">
        <f>IF($Q112="","",INDEX(상세표[직위],$Q112)&amp;"")</f>
        <v/>
      </c>
      <c r="E112">
        <f>IF($Q112="","",IF(ISNUMBER(INDEX(상세표[근무일자],$Q112)),TEXT(INDEX(상세표[근무일자],$Q112),"yyyy-mm-dd"),INDEX(상세표[근무일자],$Q112)&amp;""))</f>
        <v/>
      </c>
      <c r="F112">
        <f>IF($Q112="","",IF(ISNUMBER(INDEX(상세표[시작],$Q112)),TEXT(INDEX(상세표[시작],$Q112),"yyyy-mm-dd hh:mm"),INDEX(상세표[시작],$Q112)&amp;""))</f>
        <v/>
      </c>
      <c r="G112">
        <f>IF($Q112="","",IF(ISNUMBER(INDEX(상세표[블록종료],$Q112)),TEXT(INDEX(상세표[블록종료],$Q112),"yyyy-mm-dd hh:mm"),INDEX(상세표[블록종료],$Q112)&amp;""))</f>
        <v/>
      </c>
      <c r="H112">
        <f>IF($Q112="","",CHOOSE(WEEKDAY(INDEX(상세표[시작],$Q112)),"일","월","화","수","목","금","토"))</f>
        <v/>
      </c>
      <c r="I112" s="20">
        <f>IF($Q112="","",INDEX(상세표[연속 시간],$Q112))</f>
        <v/>
      </c>
      <c r="J112">
        <f>IF($Q112="","",INDEX(상세표[기록 수],$Q112))</f>
        <v/>
      </c>
      <c r="K112" s="20">
        <f>IF($Q112="","",INDEX(상세표[블록 06~07시],$Q112))</f>
        <v/>
      </c>
      <c r="L112" s="20">
        <f>IF($Q112="","",INDEX(상세표[블록 07~18시],$Q112))</f>
        <v/>
      </c>
      <c r="M112" s="20">
        <f>IF($Q112="","",INDEX(상세표[블록 18~22시],$Q112))</f>
        <v/>
      </c>
      <c r="N112" s="20">
        <f>IF($Q112="","",INDEX(상세표[블록 22~06시],$Q112))</f>
        <v/>
      </c>
      <c r="O112">
        <f>IF($Q112="","",INDEX(상세표[주말·휴일 포함],$Q112)&amp;"")</f>
        <v/>
      </c>
      <c r="P112">
        <f>IF($Q112="","",INDEX(상세표[월 넘김 포함],$Q112)&amp;"")</f>
        <v/>
      </c>
      <c r="Q112" s="4">
        <f>IFERROR(MATCH(107,상세표[연속순번],0),"")</f>
        <v/>
      </c>
    </row>
    <row r="113">
      <c r="A113">
        <f>IF($Q113="","",INDEX(상세표[부서],$Q113)&amp;"")</f>
        <v/>
      </c>
      <c r="B113">
        <f>IF($Q113="","",INDEX(상세표[사번],$Q113)&amp;"")</f>
        <v/>
      </c>
      <c r="C113">
        <f>IF($Q113="","",INDEX(상세표[성명],$Q113)&amp;"")</f>
        <v/>
      </c>
      <c r="D113">
        <f>IF($Q113="","",INDEX(상세표[직위],$Q113)&amp;"")</f>
        <v/>
      </c>
      <c r="E113">
        <f>IF($Q113="","",IF(ISNUMBER(INDEX(상세표[근무일자],$Q113)),TEXT(INDEX(상세표[근무일자],$Q113),"yyyy-mm-dd"),INDEX(상세표[근무일자],$Q113)&amp;""))</f>
        <v/>
      </c>
      <c r="F113">
        <f>IF($Q113="","",IF(ISNUMBER(INDEX(상세표[시작],$Q113)),TEXT(INDEX(상세표[시작],$Q113),"yyyy-mm-dd hh:mm"),INDEX(상세표[시작],$Q113)&amp;""))</f>
        <v/>
      </c>
      <c r="G113">
        <f>IF($Q113="","",IF(ISNUMBER(INDEX(상세표[블록종료],$Q113)),TEXT(INDEX(상세표[블록종료],$Q113),"yyyy-mm-dd hh:mm"),INDEX(상세표[블록종료],$Q113)&amp;""))</f>
        <v/>
      </c>
      <c r="H113">
        <f>IF($Q113="","",CHOOSE(WEEKDAY(INDEX(상세표[시작],$Q113)),"일","월","화","수","목","금","토"))</f>
        <v/>
      </c>
      <c r="I113" s="20">
        <f>IF($Q113="","",INDEX(상세표[연속 시간],$Q113))</f>
        <v/>
      </c>
      <c r="J113">
        <f>IF($Q113="","",INDEX(상세표[기록 수],$Q113))</f>
        <v/>
      </c>
      <c r="K113" s="20">
        <f>IF($Q113="","",INDEX(상세표[블록 06~07시],$Q113))</f>
        <v/>
      </c>
      <c r="L113" s="20">
        <f>IF($Q113="","",INDEX(상세표[블록 07~18시],$Q113))</f>
        <v/>
      </c>
      <c r="M113" s="20">
        <f>IF($Q113="","",INDEX(상세표[블록 18~22시],$Q113))</f>
        <v/>
      </c>
      <c r="N113" s="20">
        <f>IF($Q113="","",INDEX(상세표[블록 22~06시],$Q113))</f>
        <v/>
      </c>
      <c r="O113">
        <f>IF($Q113="","",INDEX(상세표[주말·휴일 포함],$Q113)&amp;"")</f>
        <v/>
      </c>
      <c r="P113">
        <f>IF($Q113="","",INDEX(상세표[월 넘김 포함],$Q113)&amp;"")</f>
        <v/>
      </c>
      <c r="Q113" s="4">
        <f>IFERROR(MATCH(108,상세표[연속순번],0),"")</f>
        <v/>
      </c>
    </row>
    <row r="114">
      <c r="A114">
        <f>IF($Q114="","",INDEX(상세표[부서],$Q114)&amp;"")</f>
        <v/>
      </c>
      <c r="B114">
        <f>IF($Q114="","",INDEX(상세표[사번],$Q114)&amp;"")</f>
        <v/>
      </c>
      <c r="C114">
        <f>IF($Q114="","",INDEX(상세표[성명],$Q114)&amp;"")</f>
        <v/>
      </c>
      <c r="D114">
        <f>IF($Q114="","",INDEX(상세표[직위],$Q114)&amp;"")</f>
        <v/>
      </c>
      <c r="E114">
        <f>IF($Q114="","",IF(ISNUMBER(INDEX(상세표[근무일자],$Q114)),TEXT(INDEX(상세표[근무일자],$Q114),"yyyy-mm-dd"),INDEX(상세표[근무일자],$Q114)&amp;""))</f>
        <v/>
      </c>
      <c r="F114">
        <f>IF($Q114="","",IF(ISNUMBER(INDEX(상세표[시작],$Q114)),TEXT(INDEX(상세표[시작],$Q114),"yyyy-mm-dd hh:mm"),INDEX(상세표[시작],$Q114)&amp;""))</f>
        <v/>
      </c>
      <c r="G114">
        <f>IF($Q114="","",IF(ISNUMBER(INDEX(상세표[블록종료],$Q114)),TEXT(INDEX(상세표[블록종료],$Q114),"yyyy-mm-dd hh:mm"),INDEX(상세표[블록종료],$Q114)&amp;""))</f>
        <v/>
      </c>
      <c r="H114">
        <f>IF($Q114="","",CHOOSE(WEEKDAY(INDEX(상세표[시작],$Q114)),"일","월","화","수","목","금","토"))</f>
        <v/>
      </c>
      <c r="I114" s="20">
        <f>IF($Q114="","",INDEX(상세표[연속 시간],$Q114))</f>
        <v/>
      </c>
      <c r="J114">
        <f>IF($Q114="","",INDEX(상세표[기록 수],$Q114))</f>
        <v/>
      </c>
      <c r="K114" s="20">
        <f>IF($Q114="","",INDEX(상세표[블록 06~07시],$Q114))</f>
        <v/>
      </c>
      <c r="L114" s="20">
        <f>IF($Q114="","",INDEX(상세표[블록 07~18시],$Q114))</f>
        <v/>
      </c>
      <c r="M114" s="20">
        <f>IF($Q114="","",INDEX(상세표[블록 18~22시],$Q114))</f>
        <v/>
      </c>
      <c r="N114" s="20">
        <f>IF($Q114="","",INDEX(상세표[블록 22~06시],$Q114))</f>
        <v/>
      </c>
      <c r="O114">
        <f>IF($Q114="","",INDEX(상세표[주말·휴일 포함],$Q114)&amp;"")</f>
        <v/>
      </c>
      <c r="P114">
        <f>IF($Q114="","",INDEX(상세표[월 넘김 포함],$Q114)&amp;"")</f>
        <v/>
      </c>
      <c r="Q114" s="4">
        <f>IFERROR(MATCH(109,상세표[연속순번],0),"")</f>
        <v/>
      </c>
    </row>
    <row r="115">
      <c r="A115">
        <f>IF($Q115="","",INDEX(상세표[부서],$Q115)&amp;"")</f>
        <v/>
      </c>
      <c r="B115">
        <f>IF($Q115="","",INDEX(상세표[사번],$Q115)&amp;"")</f>
        <v/>
      </c>
      <c r="C115">
        <f>IF($Q115="","",INDEX(상세표[성명],$Q115)&amp;"")</f>
        <v/>
      </c>
      <c r="D115">
        <f>IF($Q115="","",INDEX(상세표[직위],$Q115)&amp;"")</f>
        <v/>
      </c>
      <c r="E115">
        <f>IF($Q115="","",IF(ISNUMBER(INDEX(상세표[근무일자],$Q115)),TEXT(INDEX(상세표[근무일자],$Q115),"yyyy-mm-dd"),INDEX(상세표[근무일자],$Q115)&amp;""))</f>
        <v/>
      </c>
      <c r="F115">
        <f>IF($Q115="","",IF(ISNUMBER(INDEX(상세표[시작],$Q115)),TEXT(INDEX(상세표[시작],$Q115),"yyyy-mm-dd hh:mm"),INDEX(상세표[시작],$Q115)&amp;""))</f>
        <v/>
      </c>
      <c r="G115">
        <f>IF($Q115="","",IF(ISNUMBER(INDEX(상세표[블록종료],$Q115)),TEXT(INDEX(상세표[블록종료],$Q115),"yyyy-mm-dd hh:mm"),INDEX(상세표[블록종료],$Q115)&amp;""))</f>
        <v/>
      </c>
      <c r="H115">
        <f>IF($Q115="","",CHOOSE(WEEKDAY(INDEX(상세표[시작],$Q115)),"일","월","화","수","목","금","토"))</f>
        <v/>
      </c>
      <c r="I115" s="20">
        <f>IF($Q115="","",INDEX(상세표[연속 시간],$Q115))</f>
        <v/>
      </c>
      <c r="J115">
        <f>IF($Q115="","",INDEX(상세표[기록 수],$Q115))</f>
        <v/>
      </c>
      <c r="K115" s="20">
        <f>IF($Q115="","",INDEX(상세표[블록 06~07시],$Q115))</f>
        <v/>
      </c>
      <c r="L115" s="20">
        <f>IF($Q115="","",INDEX(상세표[블록 07~18시],$Q115))</f>
        <v/>
      </c>
      <c r="M115" s="20">
        <f>IF($Q115="","",INDEX(상세표[블록 18~22시],$Q115))</f>
        <v/>
      </c>
      <c r="N115" s="20">
        <f>IF($Q115="","",INDEX(상세표[블록 22~06시],$Q115))</f>
        <v/>
      </c>
      <c r="O115">
        <f>IF($Q115="","",INDEX(상세표[주말·휴일 포함],$Q115)&amp;"")</f>
        <v/>
      </c>
      <c r="P115">
        <f>IF($Q115="","",INDEX(상세표[월 넘김 포함],$Q115)&amp;"")</f>
        <v/>
      </c>
      <c r="Q115" s="4">
        <f>IFERROR(MATCH(110,상세표[연속순번],0),"")</f>
        <v/>
      </c>
    </row>
    <row r="116">
      <c r="A116">
        <f>IF($Q116="","",INDEX(상세표[부서],$Q116)&amp;"")</f>
        <v/>
      </c>
      <c r="B116">
        <f>IF($Q116="","",INDEX(상세표[사번],$Q116)&amp;"")</f>
        <v/>
      </c>
      <c r="C116">
        <f>IF($Q116="","",INDEX(상세표[성명],$Q116)&amp;"")</f>
        <v/>
      </c>
      <c r="D116">
        <f>IF($Q116="","",INDEX(상세표[직위],$Q116)&amp;"")</f>
        <v/>
      </c>
      <c r="E116">
        <f>IF($Q116="","",IF(ISNUMBER(INDEX(상세표[근무일자],$Q116)),TEXT(INDEX(상세표[근무일자],$Q116),"yyyy-mm-dd"),INDEX(상세표[근무일자],$Q116)&amp;""))</f>
        <v/>
      </c>
      <c r="F116">
        <f>IF($Q116="","",IF(ISNUMBER(INDEX(상세표[시작],$Q116)),TEXT(INDEX(상세표[시작],$Q116),"yyyy-mm-dd hh:mm"),INDEX(상세표[시작],$Q116)&amp;""))</f>
        <v/>
      </c>
      <c r="G116">
        <f>IF($Q116="","",IF(ISNUMBER(INDEX(상세표[블록종료],$Q116)),TEXT(INDEX(상세표[블록종료],$Q116),"yyyy-mm-dd hh:mm"),INDEX(상세표[블록종료],$Q116)&amp;""))</f>
        <v/>
      </c>
      <c r="H116">
        <f>IF($Q116="","",CHOOSE(WEEKDAY(INDEX(상세표[시작],$Q116)),"일","월","화","수","목","금","토"))</f>
        <v/>
      </c>
      <c r="I116" s="20">
        <f>IF($Q116="","",INDEX(상세표[연속 시간],$Q116))</f>
        <v/>
      </c>
      <c r="J116">
        <f>IF($Q116="","",INDEX(상세표[기록 수],$Q116))</f>
        <v/>
      </c>
      <c r="K116" s="20">
        <f>IF($Q116="","",INDEX(상세표[블록 06~07시],$Q116))</f>
        <v/>
      </c>
      <c r="L116" s="20">
        <f>IF($Q116="","",INDEX(상세표[블록 07~18시],$Q116))</f>
        <v/>
      </c>
      <c r="M116" s="20">
        <f>IF($Q116="","",INDEX(상세표[블록 18~22시],$Q116))</f>
        <v/>
      </c>
      <c r="N116" s="20">
        <f>IF($Q116="","",INDEX(상세표[블록 22~06시],$Q116))</f>
        <v/>
      </c>
      <c r="O116">
        <f>IF($Q116="","",INDEX(상세표[주말·휴일 포함],$Q116)&amp;"")</f>
        <v/>
      </c>
      <c r="P116">
        <f>IF($Q116="","",INDEX(상세표[월 넘김 포함],$Q116)&amp;"")</f>
        <v/>
      </c>
      <c r="Q116" s="4">
        <f>IFERROR(MATCH(111,상세표[연속순번],0),"")</f>
        <v/>
      </c>
    </row>
    <row r="117">
      <c r="A117">
        <f>IF($Q117="","",INDEX(상세표[부서],$Q117)&amp;"")</f>
        <v/>
      </c>
      <c r="B117">
        <f>IF($Q117="","",INDEX(상세표[사번],$Q117)&amp;"")</f>
        <v/>
      </c>
      <c r="C117">
        <f>IF($Q117="","",INDEX(상세표[성명],$Q117)&amp;"")</f>
        <v/>
      </c>
      <c r="D117">
        <f>IF($Q117="","",INDEX(상세표[직위],$Q117)&amp;"")</f>
        <v/>
      </c>
      <c r="E117">
        <f>IF($Q117="","",IF(ISNUMBER(INDEX(상세표[근무일자],$Q117)),TEXT(INDEX(상세표[근무일자],$Q117),"yyyy-mm-dd"),INDEX(상세표[근무일자],$Q117)&amp;""))</f>
        <v/>
      </c>
      <c r="F117">
        <f>IF($Q117="","",IF(ISNUMBER(INDEX(상세표[시작],$Q117)),TEXT(INDEX(상세표[시작],$Q117),"yyyy-mm-dd hh:mm"),INDEX(상세표[시작],$Q117)&amp;""))</f>
        <v/>
      </c>
      <c r="G117">
        <f>IF($Q117="","",IF(ISNUMBER(INDEX(상세표[블록종료],$Q117)),TEXT(INDEX(상세표[블록종료],$Q117),"yyyy-mm-dd hh:mm"),INDEX(상세표[블록종료],$Q117)&amp;""))</f>
        <v/>
      </c>
      <c r="H117">
        <f>IF($Q117="","",CHOOSE(WEEKDAY(INDEX(상세표[시작],$Q117)),"일","월","화","수","목","금","토"))</f>
        <v/>
      </c>
      <c r="I117" s="20">
        <f>IF($Q117="","",INDEX(상세표[연속 시간],$Q117))</f>
        <v/>
      </c>
      <c r="J117">
        <f>IF($Q117="","",INDEX(상세표[기록 수],$Q117))</f>
        <v/>
      </c>
      <c r="K117" s="20">
        <f>IF($Q117="","",INDEX(상세표[블록 06~07시],$Q117))</f>
        <v/>
      </c>
      <c r="L117" s="20">
        <f>IF($Q117="","",INDEX(상세표[블록 07~18시],$Q117))</f>
        <v/>
      </c>
      <c r="M117" s="20">
        <f>IF($Q117="","",INDEX(상세표[블록 18~22시],$Q117))</f>
        <v/>
      </c>
      <c r="N117" s="20">
        <f>IF($Q117="","",INDEX(상세표[블록 22~06시],$Q117))</f>
        <v/>
      </c>
      <c r="O117">
        <f>IF($Q117="","",INDEX(상세표[주말·휴일 포함],$Q117)&amp;"")</f>
        <v/>
      </c>
      <c r="P117">
        <f>IF($Q117="","",INDEX(상세표[월 넘김 포함],$Q117)&amp;"")</f>
        <v/>
      </c>
      <c r="Q117" s="4">
        <f>IFERROR(MATCH(112,상세표[연속순번],0),"")</f>
        <v/>
      </c>
    </row>
    <row r="118">
      <c r="A118">
        <f>IF($Q118="","",INDEX(상세표[부서],$Q118)&amp;"")</f>
        <v/>
      </c>
      <c r="B118">
        <f>IF($Q118="","",INDEX(상세표[사번],$Q118)&amp;"")</f>
        <v/>
      </c>
      <c r="C118">
        <f>IF($Q118="","",INDEX(상세표[성명],$Q118)&amp;"")</f>
        <v/>
      </c>
      <c r="D118">
        <f>IF($Q118="","",INDEX(상세표[직위],$Q118)&amp;"")</f>
        <v/>
      </c>
      <c r="E118">
        <f>IF($Q118="","",IF(ISNUMBER(INDEX(상세표[근무일자],$Q118)),TEXT(INDEX(상세표[근무일자],$Q118),"yyyy-mm-dd"),INDEX(상세표[근무일자],$Q118)&amp;""))</f>
        <v/>
      </c>
      <c r="F118">
        <f>IF($Q118="","",IF(ISNUMBER(INDEX(상세표[시작],$Q118)),TEXT(INDEX(상세표[시작],$Q118),"yyyy-mm-dd hh:mm"),INDEX(상세표[시작],$Q118)&amp;""))</f>
        <v/>
      </c>
      <c r="G118">
        <f>IF($Q118="","",IF(ISNUMBER(INDEX(상세표[블록종료],$Q118)),TEXT(INDEX(상세표[블록종료],$Q118),"yyyy-mm-dd hh:mm"),INDEX(상세표[블록종료],$Q118)&amp;""))</f>
        <v/>
      </c>
      <c r="H118">
        <f>IF($Q118="","",CHOOSE(WEEKDAY(INDEX(상세표[시작],$Q118)),"일","월","화","수","목","금","토"))</f>
        <v/>
      </c>
      <c r="I118" s="20">
        <f>IF($Q118="","",INDEX(상세표[연속 시간],$Q118))</f>
        <v/>
      </c>
      <c r="J118">
        <f>IF($Q118="","",INDEX(상세표[기록 수],$Q118))</f>
        <v/>
      </c>
      <c r="K118" s="20">
        <f>IF($Q118="","",INDEX(상세표[블록 06~07시],$Q118))</f>
        <v/>
      </c>
      <c r="L118" s="20">
        <f>IF($Q118="","",INDEX(상세표[블록 07~18시],$Q118))</f>
        <v/>
      </c>
      <c r="M118" s="20">
        <f>IF($Q118="","",INDEX(상세표[블록 18~22시],$Q118))</f>
        <v/>
      </c>
      <c r="N118" s="20">
        <f>IF($Q118="","",INDEX(상세표[블록 22~06시],$Q118))</f>
        <v/>
      </c>
      <c r="O118">
        <f>IF($Q118="","",INDEX(상세표[주말·휴일 포함],$Q118)&amp;"")</f>
        <v/>
      </c>
      <c r="P118">
        <f>IF($Q118="","",INDEX(상세표[월 넘김 포함],$Q118)&amp;"")</f>
        <v/>
      </c>
      <c r="Q118" s="4">
        <f>IFERROR(MATCH(113,상세표[연속순번],0),"")</f>
        <v/>
      </c>
    </row>
    <row r="119">
      <c r="A119">
        <f>IF($Q119="","",INDEX(상세표[부서],$Q119)&amp;"")</f>
        <v/>
      </c>
      <c r="B119">
        <f>IF($Q119="","",INDEX(상세표[사번],$Q119)&amp;"")</f>
        <v/>
      </c>
      <c r="C119">
        <f>IF($Q119="","",INDEX(상세표[성명],$Q119)&amp;"")</f>
        <v/>
      </c>
      <c r="D119">
        <f>IF($Q119="","",INDEX(상세표[직위],$Q119)&amp;"")</f>
        <v/>
      </c>
      <c r="E119">
        <f>IF($Q119="","",IF(ISNUMBER(INDEX(상세표[근무일자],$Q119)),TEXT(INDEX(상세표[근무일자],$Q119),"yyyy-mm-dd"),INDEX(상세표[근무일자],$Q119)&amp;""))</f>
        <v/>
      </c>
      <c r="F119">
        <f>IF($Q119="","",IF(ISNUMBER(INDEX(상세표[시작],$Q119)),TEXT(INDEX(상세표[시작],$Q119),"yyyy-mm-dd hh:mm"),INDEX(상세표[시작],$Q119)&amp;""))</f>
        <v/>
      </c>
      <c r="G119">
        <f>IF($Q119="","",IF(ISNUMBER(INDEX(상세표[블록종료],$Q119)),TEXT(INDEX(상세표[블록종료],$Q119),"yyyy-mm-dd hh:mm"),INDEX(상세표[블록종료],$Q119)&amp;""))</f>
        <v/>
      </c>
      <c r="H119">
        <f>IF($Q119="","",CHOOSE(WEEKDAY(INDEX(상세표[시작],$Q119)),"일","월","화","수","목","금","토"))</f>
        <v/>
      </c>
      <c r="I119" s="20">
        <f>IF($Q119="","",INDEX(상세표[연속 시간],$Q119))</f>
        <v/>
      </c>
      <c r="J119">
        <f>IF($Q119="","",INDEX(상세표[기록 수],$Q119))</f>
        <v/>
      </c>
      <c r="K119" s="20">
        <f>IF($Q119="","",INDEX(상세표[블록 06~07시],$Q119))</f>
        <v/>
      </c>
      <c r="L119" s="20">
        <f>IF($Q119="","",INDEX(상세표[블록 07~18시],$Q119))</f>
        <v/>
      </c>
      <c r="M119" s="20">
        <f>IF($Q119="","",INDEX(상세표[블록 18~22시],$Q119))</f>
        <v/>
      </c>
      <c r="N119" s="20">
        <f>IF($Q119="","",INDEX(상세표[블록 22~06시],$Q119))</f>
        <v/>
      </c>
      <c r="O119">
        <f>IF($Q119="","",INDEX(상세표[주말·휴일 포함],$Q119)&amp;"")</f>
        <v/>
      </c>
      <c r="P119">
        <f>IF($Q119="","",INDEX(상세표[월 넘김 포함],$Q119)&amp;"")</f>
        <v/>
      </c>
      <c r="Q119" s="4">
        <f>IFERROR(MATCH(114,상세표[연속순번],0),"")</f>
        <v/>
      </c>
    </row>
    <row r="120">
      <c r="A120">
        <f>IF($Q120="","",INDEX(상세표[부서],$Q120)&amp;"")</f>
        <v/>
      </c>
      <c r="B120">
        <f>IF($Q120="","",INDEX(상세표[사번],$Q120)&amp;"")</f>
        <v/>
      </c>
      <c r="C120">
        <f>IF($Q120="","",INDEX(상세표[성명],$Q120)&amp;"")</f>
        <v/>
      </c>
      <c r="D120">
        <f>IF($Q120="","",INDEX(상세표[직위],$Q120)&amp;"")</f>
        <v/>
      </c>
      <c r="E120">
        <f>IF($Q120="","",IF(ISNUMBER(INDEX(상세표[근무일자],$Q120)),TEXT(INDEX(상세표[근무일자],$Q120),"yyyy-mm-dd"),INDEX(상세표[근무일자],$Q120)&amp;""))</f>
        <v/>
      </c>
      <c r="F120">
        <f>IF($Q120="","",IF(ISNUMBER(INDEX(상세표[시작],$Q120)),TEXT(INDEX(상세표[시작],$Q120),"yyyy-mm-dd hh:mm"),INDEX(상세표[시작],$Q120)&amp;""))</f>
        <v/>
      </c>
      <c r="G120">
        <f>IF($Q120="","",IF(ISNUMBER(INDEX(상세표[블록종료],$Q120)),TEXT(INDEX(상세표[블록종료],$Q120),"yyyy-mm-dd hh:mm"),INDEX(상세표[블록종료],$Q120)&amp;""))</f>
        <v/>
      </c>
      <c r="H120">
        <f>IF($Q120="","",CHOOSE(WEEKDAY(INDEX(상세표[시작],$Q120)),"일","월","화","수","목","금","토"))</f>
        <v/>
      </c>
      <c r="I120" s="20">
        <f>IF($Q120="","",INDEX(상세표[연속 시간],$Q120))</f>
        <v/>
      </c>
      <c r="J120">
        <f>IF($Q120="","",INDEX(상세표[기록 수],$Q120))</f>
        <v/>
      </c>
      <c r="K120" s="20">
        <f>IF($Q120="","",INDEX(상세표[블록 06~07시],$Q120))</f>
        <v/>
      </c>
      <c r="L120" s="20">
        <f>IF($Q120="","",INDEX(상세표[블록 07~18시],$Q120))</f>
        <v/>
      </c>
      <c r="M120" s="20">
        <f>IF($Q120="","",INDEX(상세표[블록 18~22시],$Q120))</f>
        <v/>
      </c>
      <c r="N120" s="20">
        <f>IF($Q120="","",INDEX(상세표[블록 22~06시],$Q120))</f>
        <v/>
      </c>
      <c r="O120">
        <f>IF($Q120="","",INDEX(상세표[주말·휴일 포함],$Q120)&amp;"")</f>
        <v/>
      </c>
      <c r="P120">
        <f>IF($Q120="","",INDEX(상세표[월 넘김 포함],$Q120)&amp;"")</f>
        <v/>
      </c>
      <c r="Q120" s="4">
        <f>IFERROR(MATCH(115,상세표[연속순번],0),"")</f>
        <v/>
      </c>
    </row>
    <row r="121">
      <c r="A121">
        <f>IF($Q121="","",INDEX(상세표[부서],$Q121)&amp;"")</f>
        <v/>
      </c>
      <c r="B121">
        <f>IF($Q121="","",INDEX(상세표[사번],$Q121)&amp;"")</f>
        <v/>
      </c>
      <c r="C121">
        <f>IF($Q121="","",INDEX(상세표[성명],$Q121)&amp;"")</f>
        <v/>
      </c>
      <c r="D121">
        <f>IF($Q121="","",INDEX(상세표[직위],$Q121)&amp;"")</f>
        <v/>
      </c>
      <c r="E121">
        <f>IF($Q121="","",IF(ISNUMBER(INDEX(상세표[근무일자],$Q121)),TEXT(INDEX(상세표[근무일자],$Q121),"yyyy-mm-dd"),INDEX(상세표[근무일자],$Q121)&amp;""))</f>
        <v/>
      </c>
      <c r="F121">
        <f>IF($Q121="","",IF(ISNUMBER(INDEX(상세표[시작],$Q121)),TEXT(INDEX(상세표[시작],$Q121),"yyyy-mm-dd hh:mm"),INDEX(상세표[시작],$Q121)&amp;""))</f>
        <v/>
      </c>
      <c r="G121">
        <f>IF($Q121="","",IF(ISNUMBER(INDEX(상세표[블록종료],$Q121)),TEXT(INDEX(상세표[블록종료],$Q121),"yyyy-mm-dd hh:mm"),INDEX(상세표[블록종료],$Q121)&amp;""))</f>
        <v/>
      </c>
      <c r="H121">
        <f>IF($Q121="","",CHOOSE(WEEKDAY(INDEX(상세표[시작],$Q121)),"일","월","화","수","목","금","토"))</f>
        <v/>
      </c>
      <c r="I121" s="20">
        <f>IF($Q121="","",INDEX(상세표[연속 시간],$Q121))</f>
        <v/>
      </c>
      <c r="J121">
        <f>IF($Q121="","",INDEX(상세표[기록 수],$Q121))</f>
        <v/>
      </c>
      <c r="K121" s="20">
        <f>IF($Q121="","",INDEX(상세표[블록 06~07시],$Q121))</f>
        <v/>
      </c>
      <c r="L121" s="20">
        <f>IF($Q121="","",INDEX(상세표[블록 07~18시],$Q121))</f>
        <v/>
      </c>
      <c r="M121" s="20">
        <f>IF($Q121="","",INDEX(상세표[블록 18~22시],$Q121))</f>
        <v/>
      </c>
      <c r="N121" s="20">
        <f>IF($Q121="","",INDEX(상세표[블록 22~06시],$Q121))</f>
        <v/>
      </c>
      <c r="O121">
        <f>IF($Q121="","",INDEX(상세표[주말·휴일 포함],$Q121)&amp;"")</f>
        <v/>
      </c>
      <c r="P121">
        <f>IF($Q121="","",INDEX(상세표[월 넘김 포함],$Q121)&amp;"")</f>
        <v/>
      </c>
      <c r="Q121" s="4">
        <f>IFERROR(MATCH(116,상세표[연속순번],0),"")</f>
        <v/>
      </c>
    </row>
    <row r="122">
      <c r="A122">
        <f>IF($Q122="","",INDEX(상세표[부서],$Q122)&amp;"")</f>
        <v/>
      </c>
      <c r="B122">
        <f>IF($Q122="","",INDEX(상세표[사번],$Q122)&amp;"")</f>
        <v/>
      </c>
      <c r="C122">
        <f>IF($Q122="","",INDEX(상세표[성명],$Q122)&amp;"")</f>
        <v/>
      </c>
      <c r="D122">
        <f>IF($Q122="","",INDEX(상세표[직위],$Q122)&amp;"")</f>
        <v/>
      </c>
      <c r="E122">
        <f>IF($Q122="","",IF(ISNUMBER(INDEX(상세표[근무일자],$Q122)),TEXT(INDEX(상세표[근무일자],$Q122),"yyyy-mm-dd"),INDEX(상세표[근무일자],$Q122)&amp;""))</f>
        <v/>
      </c>
      <c r="F122">
        <f>IF($Q122="","",IF(ISNUMBER(INDEX(상세표[시작],$Q122)),TEXT(INDEX(상세표[시작],$Q122),"yyyy-mm-dd hh:mm"),INDEX(상세표[시작],$Q122)&amp;""))</f>
        <v/>
      </c>
      <c r="G122">
        <f>IF($Q122="","",IF(ISNUMBER(INDEX(상세표[블록종료],$Q122)),TEXT(INDEX(상세표[블록종료],$Q122),"yyyy-mm-dd hh:mm"),INDEX(상세표[블록종료],$Q122)&amp;""))</f>
        <v/>
      </c>
      <c r="H122">
        <f>IF($Q122="","",CHOOSE(WEEKDAY(INDEX(상세표[시작],$Q122)),"일","월","화","수","목","금","토"))</f>
        <v/>
      </c>
      <c r="I122" s="20">
        <f>IF($Q122="","",INDEX(상세표[연속 시간],$Q122))</f>
        <v/>
      </c>
      <c r="J122">
        <f>IF($Q122="","",INDEX(상세표[기록 수],$Q122))</f>
        <v/>
      </c>
      <c r="K122" s="20">
        <f>IF($Q122="","",INDEX(상세표[블록 06~07시],$Q122))</f>
        <v/>
      </c>
      <c r="L122" s="20">
        <f>IF($Q122="","",INDEX(상세표[블록 07~18시],$Q122))</f>
        <v/>
      </c>
      <c r="M122" s="20">
        <f>IF($Q122="","",INDEX(상세표[블록 18~22시],$Q122))</f>
        <v/>
      </c>
      <c r="N122" s="20">
        <f>IF($Q122="","",INDEX(상세표[블록 22~06시],$Q122))</f>
        <v/>
      </c>
      <c r="O122">
        <f>IF($Q122="","",INDEX(상세표[주말·휴일 포함],$Q122)&amp;"")</f>
        <v/>
      </c>
      <c r="P122">
        <f>IF($Q122="","",INDEX(상세표[월 넘김 포함],$Q122)&amp;"")</f>
        <v/>
      </c>
      <c r="Q122" s="4">
        <f>IFERROR(MATCH(117,상세표[연속순번],0),"")</f>
        <v/>
      </c>
    </row>
    <row r="123">
      <c r="A123">
        <f>IF($Q123="","",INDEX(상세표[부서],$Q123)&amp;"")</f>
        <v/>
      </c>
      <c r="B123">
        <f>IF($Q123="","",INDEX(상세표[사번],$Q123)&amp;"")</f>
        <v/>
      </c>
      <c r="C123">
        <f>IF($Q123="","",INDEX(상세표[성명],$Q123)&amp;"")</f>
        <v/>
      </c>
      <c r="D123">
        <f>IF($Q123="","",INDEX(상세표[직위],$Q123)&amp;"")</f>
        <v/>
      </c>
      <c r="E123">
        <f>IF($Q123="","",IF(ISNUMBER(INDEX(상세표[근무일자],$Q123)),TEXT(INDEX(상세표[근무일자],$Q123),"yyyy-mm-dd"),INDEX(상세표[근무일자],$Q123)&amp;""))</f>
        <v/>
      </c>
      <c r="F123">
        <f>IF($Q123="","",IF(ISNUMBER(INDEX(상세표[시작],$Q123)),TEXT(INDEX(상세표[시작],$Q123),"yyyy-mm-dd hh:mm"),INDEX(상세표[시작],$Q123)&amp;""))</f>
        <v/>
      </c>
      <c r="G123">
        <f>IF($Q123="","",IF(ISNUMBER(INDEX(상세표[블록종료],$Q123)),TEXT(INDEX(상세표[블록종료],$Q123),"yyyy-mm-dd hh:mm"),INDEX(상세표[블록종료],$Q123)&amp;""))</f>
        <v/>
      </c>
      <c r="H123">
        <f>IF($Q123="","",CHOOSE(WEEKDAY(INDEX(상세표[시작],$Q123)),"일","월","화","수","목","금","토"))</f>
        <v/>
      </c>
      <c r="I123" s="20">
        <f>IF($Q123="","",INDEX(상세표[연속 시간],$Q123))</f>
        <v/>
      </c>
      <c r="J123">
        <f>IF($Q123="","",INDEX(상세표[기록 수],$Q123))</f>
        <v/>
      </c>
      <c r="K123" s="20">
        <f>IF($Q123="","",INDEX(상세표[블록 06~07시],$Q123))</f>
        <v/>
      </c>
      <c r="L123" s="20">
        <f>IF($Q123="","",INDEX(상세표[블록 07~18시],$Q123))</f>
        <v/>
      </c>
      <c r="M123" s="20">
        <f>IF($Q123="","",INDEX(상세표[블록 18~22시],$Q123))</f>
        <v/>
      </c>
      <c r="N123" s="20">
        <f>IF($Q123="","",INDEX(상세표[블록 22~06시],$Q123))</f>
        <v/>
      </c>
      <c r="O123">
        <f>IF($Q123="","",INDEX(상세표[주말·휴일 포함],$Q123)&amp;"")</f>
        <v/>
      </c>
      <c r="P123">
        <f>IF($Q123="","",INDEX(상세표[월 넘김 포함],$Q123)&amp;"")</f>
        <v/>
      </c>
      <c r="Q123" s="4">
        <f>IFERROR(MATCH(118,상세표[연속순번],0),"")</f>
        <v/>
      </c>
    </row>
    <row r="124">
      <c r="A124">
        <f>IF($Q124="","",INDEX(상세표[부서],$Q124)&amp;"")</f>
        <v/>
      </c>
      <c r="B124">
        <f>IF($Q124="","",INDEX(상세표[사번],$Q124)&amp;"")</f>
        <v/>
      </c>
      <c r="C124">
        <f>IF($Q124="","",INDEX(상세표[성명],$Q124)&amp;"")</f>
        <v/>
      </c>
      <c r="D124">
        <f>IF($Q124="","",INDEX(상세표[직위],$Q124)&amp;"")</f>
        <v/>
      </c>
      <c r="E124">
        <f>IF($Q124="","",IF(ISNUMBER(INDEX(상세표[근무일자],$Q124)),TEXT(INDEX(상세표[근무일자],$Q124),"yyyy-mm-dd"),INDEX(상세표[근무일자],$Q124)&amp;""))</f>
        <v/>
      </c>
      <c r="F124">
        <f>IF($Q124="","",IF(ISNUMBER(INDEX(상세표[시작],$Q124)),TEXT(INDEX(상세표[시작],$Q124),"yyyy-mm-dd hh:mm"),INDEX(상세표[시작],$Q124)&amp;""))</f>
        <v/>
      </c>
      <c r="G124">
        <f>IF($Q124="","",IF(ISNUMBER(INDEX(상세표[블록종료],$Q124)),TEXT(INDEX(상세표[블록종료],$Q124),"yyyy-mm-dd hh:mm"),INDEX(상세표[블록종료],$Q124)&amp;""))</f>
        <v/>
      </c>
      <c r="H124">
        <f>IF($Q124="","",CHOOSE(WEEKDAY(INDEX(상세표[시작],$Q124)),"일","월","화","수","목","금","토"))</f>
        <v/>
      </c>
      <c r="I124" s="20">
        <f>IF($Q124="","",INDEX(상세표[연속 시간],$Q124))</f>
        <v/>
      </c>
      <c r="J124">
        <f>IF($Q124="","",INDEX(상세표[기록 수],$Q124))</f>
        <v/>
      </c>
      <c r="K124" s="20">
        <f>IF($Q124="","",INDEX(상세표[블록 06~07시],$Q124))</f>
        <v/>
      </c>
      <c r="L124" s="20">
        <f>IF($Q124="","",INDEX(상세표[블록 07~18시],$Q124))</f>
        <v/>
      </c>
      <c r="M124" s="20">
        <f>IF($Q124="","",INDEX(상세표[블록 18~22시],$Q124))</f>
        <v/>
      </c>
      <c r="N124" s="20">
        <f>IF($Q124="","",INDEX(상세표[블록 22~06시],$Q124))</f>
        <v/>
      </c>
      <c r="O124">
        <f>IF($Q124="","",INDEX(상세표[주말·휴일 포함],$Q124)&amp;"")</f>
        <v/>
      </c>
      <c r="P124">
        <f>IF($Q124="","",INDEX(상세표[월 넘김 포함],$Q124)&amp;"")</f>
        <v/>
      </c>
      <c r="Q124" s="4">
        <f>IFERROR(MATCH(119,상세표[연속순번],0),"")</f>
        <v/>
      </c>
    </row>
    <row r="125">
      <c r="A125">
        <f>IF($Q125="","",INDEX(상세표[부서],$Q125)&amp;"")</f>
        <v/>
      </c>
      <c r="B125">
        <f>IF($Q125="","",INDEX(상세표[사번],$Q125)&amp;"")</f>
        <v/>
      </c>
      <c r="C125">
        <f>IF($Q125="","",INDEX(상세표[성명],$Q125)&amp;"")</f>
        <v/>
      </c>
      <c r="D125">
        <f>IF($Q125="","",INDEX(상세표[직위],$Q125)&amp;"")</f>
        <v/>
      </c>
      <c r="E125">
        <f>IF($Q125="","",IF(ISNUMBER(INDEX(상세표[근무일자],$Q125)),TEXT(INDEX(상세표[근무일자],$Q125),"yyyy-mm-dd"),INDEX(상세표[근무일자],$Q125)&amp;""))</f>
        <v/>
      </c>
      <c r="F125">
        <f>IF($Q125="","",IF(ISNUMBER(INDEX(상세표[시작],$Q125)),TEXT(INDEX(상세표[시작],$Q125),"yyyy-mm-dd hh:mm"),INDEX(상세표[시작],$Q125)&amp;""))</f>
        <v/>
      </c>
      <c r="G125">
        <f>IF($Q125="","",IF(ISNUMBER(INDEX(상세표[블록종료],$Q125)),TEXT(INDEX(상세표[블록종료],$Q125),"yyyy-mm-dd hh:mm"),INDEX(상세표[블록종료],$Q125)&amp;""))</f>
        <v/>
      </c>
      <c r="H125">
        <f>IF($Q125="","",CHOOSE(WEEKDAY(INDEX(상세표[시작],$Q125)),"일","월","화","수","목","금","토"))</f>
        <v/>
      </c>
      <c r="I125" s="20">
        <f>IF($Q125="","",INDEX(상세표[연속 시간],$Q125))</f>
        <v/>
      </c>
      <c r="J125">
        <f>IF($Q125="","",INDEX(상세표[기록 수],$Q125))</f>
        <v/>
      </c>
      <c r="K125" s="20">
        <f>IF($Q125="","",INDEX(상세표[블록 06~07시],$Q125))</f>
        <v/>
      </c>
      <c r="L125" s="20">
        <f>IF($Q125="","",INDEX(상세표[블록 07~18시],$Q125))</f>
        <v/>
      </c>
      <c r="M125" s="20">
        <f>IF($Q125="","",INDEX(상세표[블록 18~22시],$Q125))</f>
        <v/>
      </c>
      <c r="N125" s="20">
        <f>IF($Q125="","",INDEX(상세표[블록 22~06시],$Q125))</f>
        <v/>
      </c>
      <c r="O125">
        <f>IF($Q125="","",INDEX(상세표[주말·휴일 포함],$Q125)&amp;"")</f>
        <v/>
      </c>
      <c r="P125">
        <f>IF($Q125="","",INDEX(상세표[월 넘김 포함],$Q125)&amp;"")</f>
        <v/>
      </c>
      <c r="Q125" s="4">
        <f>IFERROR(MATCH(120,상세표[연속순번],0),"")</f>
        <v/>
      </c>
    </row>
    <row r="126">
      <c r="A126">
        <f>IF($Q126="","",INDEX(상세표[부서],$Q126)&amp;"")</f>
        <v/>
      </c>
      <c r="B126">
        <f>IF($Q126="","",INDEX(상세표[사번],$Q126)&amp;"")</f>
        <v/>
      </c>
      <c r="C126">
        <f>IF($Q126="","",INDEX(상세표[성명],$Q126)&amp;"")</f>
        <v/>
      </c>
      <c r="D126">
        <f>IF($Q126="","",INDEX(상세표[직위],$Q126)&amp;"")</f>
        <v/>
      </c>
      <c r="E126">
        <f>IF($Q126="","",IF(ISNUMBER(INDEX(상세표[근무일자],$Q126)),TEXT(INDEX(상세표[근무일자],$Q126),"yyyy-mm-dd"),INDEX(상세표[근무일자],$Q126)&amp;""))</f>
        <v/>
      </c>
      <c r="F126">
        <f>IF($Q126="","",IF(ISNUMBER(INDEX(상세표[시작],$Q126)),TEXT(INDEX(상세표[시작],$Q126),"yyyy-mm-dd hh:mm"),INDEX(상세표[시작],$Q126)&amp;""))</f>
        <v/>
      </c>
      <c r="G126">
        <f>IF($Q126="","",IF(ISNUMBER(INDEX(상세표[블록종료],$Q126)),TEXT(INDEX(상세표[블록종료],$Q126),"yyyy-mm-dd hh:mm"),INDEX(상세표[블록종료],$Q126)&amp;""))</f>
        <v/>
      </c>
      <c r="H126">
        <f>IF($Q126="","",CHOOSE(WEEKDAY(INDEX(상세표[시작],$Q126)),"일","월","화","수","목","금","토"))</f>
        <v/>
      </c>
      <c r="I126" s="20">
        <f>IF($Q126="","",INDEX(상세표[연속 시간],$Q126))</f>
        <v/>
      </c>
      <c r="J126">
        <f>IF($Q126="","",INDEX(상세표[기록 수],$Q126))</f>
        <v/>
      </c>
      <c r="K126" s="20">
        <f>IF($Q126="","",INDEX(상세표[블록 06~07시],$Q126))</f>
        <v/>
      </c>
      <c r="L126" s="20">
        <f>IF($Q126="","",INDEX(상세표[블록 07~18시],$Q126))</f>
        <v/>
      </c>
      <c r="M126" s="20">
        <f>IF($Q126="","",INDEX(상세표[블록 18~22시],$Q126))</f>
        <v/>
      </c>
      <c r="N126" s="20">
        <f>IF($Q126="","",INDEX(상세표[블록 22~06시],$Q126))</f>
        <v/>
      </c>
      <c r="O126">
        <f>IF($Q126="","",INDEX(상세표[주말·휴일 포함],$Q126)&amp;"")</f>
        <v/>
      </c>
      <c r="P126">
        <f>IF($Q126="","",INDEX(상세표[월 넘김 포함],$Q126)&amp;"")</f>
        <v/>
      </c>
      <c r="Q126" s="4">
        <f>IFERROR(MATCH(121,상세표[연속순번],0),"")</f>
        <v/>
      </c>
    </row>
    <row r="127">
      <c r="A127">
        <f>IF($Q127="","",INDEX(상세표[부서],$Q127)&amp;"")</f>
        <v/>
      </c>
      <c r="B127">
        <f>IF($Q127="","",INDEX(상세표[사번],$Q127)&amp;"")</f>
        <v/>
      </c>
      <c r="C127">
        <f>IF($Q127="","",INDEX(상세표[성명],$Q127)&amp;"")</f>
        <v/>
      </c>
      <c r="D127">
        <f>IF($Q127="","",INDEX(상세표[직위],$Q127)&amp;"")</f>
        <v/>
      </c>
      <c r="E127">
        <f>IF($Q127="","",IF(ISNUMBER(INDEX(상세표[근무일자],$Q127)),TEXT(INDEX(상세표[근무일자],$Q127),"yyyy-mm-dd"),INDEX(상세표[근무일자],$Q127)&amp;""))</f>
        <v/>
      </c>
      <c r="F127">
        <f>IF($Q127="","",IF(ISNUMBER(INDEX(상세표[시작],$Q127)),TEXT(INDEX(상세표[시작],$Q127),"yyyy-mm-dd hh:mm"),INDEX(상세표[시작],$Q127)&amp;""))</f>
        <v/>
      </c>
      <c r="G127">
        <f>IF($Q127="","",IF(ISNUMBER(INDEX(상세표[블록종료],$Q127)),TEXT(INDEX(상세표[블록종료],$Q127),"yyyy-mm-dd hh:mm"),INDEX(상세표[블록종료],$Q127)&amp;""))</f>
        <v/>
      </c>
      <c r="H127">
        <f>IF($Q127="","",CHOOSE(WEEKDAY(INDEX(상세표[시작],$Q127)),"일","월","화","수","목","금","토"))</f>
        <v/>
      </c>
      <c r="I127" s="20">
        <f>IF($Q127="","",INDEX(상세표[연속 시간],$Q127))</f>
        <v/>
      </c>
      <c r="J127">
        <f>IF($Q127="","",INDEX(상세표[기록 수],$Q127))</f>
        <v/>
      </c>
      <c r="K127" s="20">
        <f>IF($Q127="","",INDEX(상세표[블록 06~07시],$Q127))</f>
        <v/>
      </c>
      <c r="L127" s="20">
        <f>IF($Q127="","",INDEX(상세표[블록 07~18시],$Q127))</f>
        <v/>
      </c>
      <c r="M127" s="20">
        <f>IF($Q127="","",INDEX(상세표[블록 18~22시],$Q127))</f>
        <v/>
      </c>
      <c r="N127" s="20">
        <f>IF($Q127="","",INDEX(상세표[블록 22~06시],$Q127))</f>
        <v/>
      </c>
      <c r="O127">
        <f>IF($Q127="","",INDEX(상세표[주말·휴일 포함],$Q127)&amp;"")</f>
        <v/>
      </c>
      <c r="P127">
        <f>IF($Q127="","",INDEX(상세표[월 넘김 포함],$Q127)&amp;"")</f>
        <v/>
      </c>
      <c r="Q127" s="4">
        <f>IFERROR(MATCH(122,상세표[연속순번],0),"")</f>
        <v/>
      </c>
    </row>
    <row r="128">
      <c r="A128">
        <f>IF($Q128="","",INDEX(상세표[부서],$Q128)&amp;"")</f>
        <v/>
      </c>
      <c r="B128">
        <f>IF($Q128="","",INDEX(상세표[사번],$Q128)&amp;"")</f>
        <v/>
      </c>
      <c r="C128">
        <f>IF($Q128="","",INDEX(상세표[성명],$Q128)&amp;"")</f>
        <v/>
      </c>
      <c r="D128">
        <f>IF($Q128="","",INDEX(상세표[직위],$Q128)&amp;"")</f>
        <v/>
      </c>
      <c r="E128">
        <f>IF($Q128="","",IF(ISNUMBER(INDEX(상세표[근무일자],$Q128)),TEXT(INDEX(상세표[근무일자],$Q128),"yyyy-mm-dd"),INDEX(상세표[근무일자],$Q128)&amp;""))</f>
        <v/>
      </c>
      <c r="F128">
        <f>IF($Q128="","",IF(ISNUMBER(INDEX(상세표[시작],$Q128)),TEXT(INDEX(상세표[시작],$Q128),"yyyy-mm-dd hh:mm"),INDEX(상세표[시작],$Q128)&amp;""))</f>
        <v/>
      </c>
      <c r="G128">
        <f>IF($Q128="","",IF(ISNUMBER(INDEX(상세표[블록종료],$Q128)),TEXT(INDEX(상세표[블록종료],$Q128),"yyyy-mm-dd hh:mm"),INDEX(상세표[블록종료],$Q128)&amp;""))</f>
        <v/>
      </c>
      <c r="H128">
        <f>IF($Q128="","",CHOOSE(WEEKDAY(INDEX(상세표[시작],$Q128)),"일","월","화","수","목","금","토"))</f>
        <v/>
      </c>
      <c r="I128" s="20">
        <f>IF($Q128="","",INDEX(상세표[연속 시간],$Q128))</f>
        <v/>
      </c>
      <c r="J128">
        <f>IF($Q128="","",INDEX(상세표[기록 수],$Q128))</f>
        <v/>
      </c>
      <c r="K128" s="20">
        <f>IF($Q128="","",INDEX(상세표[블록 06~07시],$Q128))</f>
        <v/>
      </c>
      <c r="L128" s="20">
        <f>IF($Q128="","",INDEX(상세표[블록 07~18시],$Q128))</f>
        <v/>
      </c>
      <c r="M128" s="20">
        <f>IF($Q128="","",INDEX(상세표[블록 18~22시],$Q128))</f>
        <v/>
      </c>
      <c r="N128" s="20">
        <f>IF($Q128="","",INDEX(상세표[블록 22~06시],$Q128))</f>
        <v/>
      </c>
      <c r="O128">
        <f>IF($Q128="","",INDEX(상세표[주말·휴일 포함],$Q128)&amp;"")</f>
        <v/>
      </c>
      <c r="P128">
        <f>IF($Q128="","",INDEX(상세표[월 넘김 포함],$Q128)&amp;"")</f>
        <v/>
      </c>
      <c r="Q128" s="4">
        <f>IFERROR(MATCH(123,상세표[연속순번],0),"")</f>
        <v/>
      </c>
    </row>
    <row r="129">
      <c r="A129">
        <f>IF($Q129="","",INDEX(상세표[부서],$Q129)&amp;"")</f>
        <v/>
      </c>
      <c r="B129">
        <f>IF($Q129="","",INDEX(상세표[사번],$Q129)&amp;"")</f>
        <v/>
      </c>
      <c r="C129">
        <f>IF($Q129="","",INDEX(상세표[성명],$Q129)&amp;"")</f>
        <v/>
      </c>
      <c r="D129">
        <f>IF($Q129="","",INDEX(상세표[직위],$Q129)&amp;"")</f>
        <v/>
      </c>
      <c r="E129">
        <f>IF($Q129="","",IF(ISNUMBER(INDEX(상세표[근무일자],$Q129)),TEXT(INDEX(상세표[근무일자],$Q129),"yyyy-mm-dd"),INDEX(상세표[근무일자],$Q129)&amp;""))</f>
        <v/>
      </c>
      <c r="F129">
        <f>IF($Q129="","",IF(ISNUMBER(INDEX(상세표[시작],$Q129)),TEXT(INDEX(상세표[시작],$Q129),"yyyy-mm-dd hh:mm"),INDEX(상세표[시작],$Q129)&amp;""))</f>
        <v/>
      </c>
      <c r="G129">
        <f>IF($Q129="","",IF(ISNUMBER(INDEX(상세표[블록종료],$Q129)),TEXT(INDEX(상세표[블록종료],$Q129),"yyyy-mm-dd hh:mm"),INDEX(상세표[블록종료],$Q129)&amp;""))</f>
        <v/>
      </c>
      <c r="H129">
        <f>IF($Q129="","",CHOOSE(WEEKDAY(INDEX(상세표[시작],$Q129)),"일","월","화","수","목","금","토"))</f>
        <v/>
      </c>
      <c r="I129" s="20">
        <f>IF($Q129="","",INDEX(상세표[연속 시간],$Q129))</f>
        <v/>
      </c>
      <c r="J129">
        <f>IF($Q129="","",INDEX(상세표[기록 수],$Q129))</f>
        <v/>
      </c>
      <c r="K129" s="20">
        <f>IF($Q129="","",INDEX(상세표[블록 06~07시],$Q129))</f>
        <v/>
      </c>
      <c r="L129" s="20">
        <f>IF($Q129="","",INDEX(상세표[블록 07~18시],$Q129))</f>
        <v/>
      </c>
      <c r="M129" s="20">
        <f>IF($Q129="","",INDEX(상세표[블록 18~22시],$Q129))</f>
        <v/>
      </c>
      <c r="N129" s="20">
        <f>IF($Q129="","",INDEX(상세표[블록 22~06시],$Q129))</f>
        <v/>
      </c>
      <c r="O129">
        <f>IF($Q129="","",INDEX(상세표[주말·휴일 포함],$Q129)&amp;"")</f>
        <v/>
      </c>
      <c r="P129">
        <f>IF($Q129="","",INDEX(상세표[월 넘김 포함],$Q129)&amp;"")</f>
        <v/>
      </c>
      <c r="Q129" s="4">
        <f>IFERROR(MATCH(124,상세표[연속순번],0),"")</f>
        <v/>
      </c>
    </row>
    <row r="130">
      <c r="A130">
        <f>IF($Q130="","",INDEX(상세표[부서],$Q130)&amp;"")</f>
        <v/>
      </c>
      <c r="B130">
        <f>IF($Q130="","",INDEX(상세표[사번],$Q130)&amp;"")</f>
        <v/>
      </c>
      <c r="C130">
        <f>IF($Q130="","",INDEX(상세표[성명],$Q130)&amp;"")</f>
        <v/>
      </c>
      <c r="D130">
        <f>IF($Q130="","",INDEX(상세표[직위],$Q130)&amp;"")</f>
        <v/>
      </c>
      <c r="E130">
        <f>IF($Q130="","",IF(ISNUMBER(INDEX(상세표[근무일자],$Q130)),TEXT(INDEX(상세표[근무일자],$Q130),"yyyy-mm-dd"),INDEX(상세표[근무일자],$Q130)&amp;""))</f>
        <v/>
      </c>
      <c r="F130">
        <f>IF($Q130="","",IF(ISNUMBER(INDEX(상세표[시작],$Q130)),TEXT(INDEX(상세표[시작],$Q130),"yyyy-mm-dd hh:mm"),INDEX(상세표[시작],$Q130)&amp;""))</f>
        <v/>
      </c>
      <c r="G130">
        <f>IF($Q130="","",IF(ISNUMBER(INDEX(상세표[블록종료],$Q130)),TEXT(INDEX(상세표[블록종료],$Q130),"yyyy-mm-dd hh:mm"),INDEX(상세표[블록종료],$Q130)&amp;""))</f>
        <v/>
      </c>
      <c r="H130">
        <f>IF($Q130="","",CHOOSE(WEEKDAY(INDEX(상세표[시작],$Q130)),"일","월","화","수","목","금","토"))</f>
        <v/>
      </c>
      <c r="I130" s="20">
        <f>IF($Q130="","",INDEX(상세표[연속 시간],$Q130))</f>
        <v/>
      </c>
      <c r="J130">
        <f>IF($Q130="","",INDEX(상세표[기록 수],$Q130))</f>
        <v/>
      </c>
      <c r="K130" s="20">
        <f>IF($Q130="","",INDEX(상세표[블록 06~07시],$Q130))</f>
        <v/>
      </c>
      <c r="L130" s="20">
        <f>IF($Q130="","",INDEX(상세표[블록 07~18시],$Q130))</f>
        <v/>
      </c>
      <c r="M130" s="20">
        <f>IF($Q130="","",INDEX(상세표[블록 18~22시],$Q130))</f>
        <v/>
      </c>
      <c r="N130" s="20">
        <f>IF($Q130="","",INDEX(상세표[블록 22~06시],$Q130))</f>
        <v/>
      </c>
      <c r="O130">
        <f>IF($Q130="","",INDEX(상세표[주말·휴일 포함],$Q130)&amp;"")</f>
        <v/>
      </c>
      <c r="P130">
        <f>IF($Q130="","",INDEX(상세표[월 넘김 포함],$Q130)&amp;"")</f>
        <v/>
      </c>
      <c r="Q130" s="4">
        <f>IFERROR(MATCH(125,상세표[연속순번],0),"")</f>
        <v/>
      </c>
    </row>
    <row r="131">
      <c r="A131">
        <f>IF($Q131="","",INDEX(상세표[부서],$Q131)&amp;"")</f>
        <v/>
      </c>
      <c r="B131">
        <f>IF($Q131="","",INDEX(상세표[사번],$Q131)&amp;"")</f>
        <v/>
      </c>
      <c r="C131">
        <f>IF($Q131="","",INDEX(상세표[성명],$Q131)&amp;"")</f>
        <v/>
      </c>
      <c r="D131">
        <f>IF($Q131="","",INDEX(상세표[직위],$Q131)&amp;"")</f>
        <v/>
      </c>
      <c r="E131">
        <f>IF($Q131="","",IF(ISNUMBER(INDEX(상세표[근무일자],$Q131)),TEXT(INDEX(상세표[근무일자],$Q131),"yyyy-mm-dd"),INDEX(상세표[근무일자],$Q131)&amp;""))</f>
        <v/>
      </c>
      <c r="F131">
        <f>IF($Q131="","",IF(ISNUMBER(INDEX(상세표[시작],$Q131)),TEXT(INDEX(상세표[시작],$Q131),"yyyy-mm-dd hh:mm"),INDEX(상세표[시작],$Q131)&amp;""))</f>
        <v/>
      </c>
      <c r="G131">
        <f>IF($Q131="","",IF(ISNUMBER(INDEX(상세표[블록종료],$Q131)),TEXT(INDEX(상세표[블록종료],$Q131),"yyyy-mm-dd hh:mm"),INDEX(상세표[블록종료],$Q131)&amp;""))</f>
        <v/>
      </c>
      <c r="H131">
        <f>IF($Q131="","",CHOOSE(WEEKDAY(INDEX(상세표[시작],$Q131)),"일","월","화","수","목","금","토"))</f>
        <v/>
      </c>
      <c r="I131" s="20">
        <f>IF($Q131="","",INDEX(상세표[연속 시간],$Q131))</f>
        <v/>
      </c>
      <c r="J131">
        <f>IF($Q131="","",INDEX(상세표[기록 수],$Q131))</f>
        <v/>
      </c>
      <c r="K131" s="20">
        <f>IF($Q131="","",INDEX(상세표[블록 06~07시],$Q131))</f>
        <v/>
      </c>
      <c r="L131" s="20">
        <f>IF($Q131="","",INDEX(상세표[블록 07~18시],$Q131))</f>
        <v/>
      </c>
      <c r="M131" s="20">
        <f>IF($Q131="","",INDEX(상세표[블록 18~22시],$Q131))</f>
        <v/>
      </c>
      <c r="N131" s="20">
        <f>IF($Q131="","",INDEX(상세표[블록 22~06시],$Q131))</f>
        <v/>
      </c>
      <c r="O131">
        <f>IF($Q131="","",INDEX(상세표[주말·휴일 포함],$Q131)&amp;"")</f>
        <v/>
      </c>
      <c r="P131">
        <f>IF($Q131="","",INDEX(상세표[월 넘김 포함],$Q131)&amp;"")</f>
        <v/>
      </c>
      <c r="Q131" s="4">
        <f>IFERROR(MATCH(126,상세표[연속순번],0),"")</f>
        <v/>
      </c>
    </row>
    <row r="132">
      <c r="A132">
        <f>IF($Q132="","",INDEX(상세표[부서],$Q132)&amp;"")</f>
        <v/>
      </c>
      <c r="B132">
        <f>IF($Q132="","",INDEX(상세표[사번],$Q132)&amp;"")</f>
        <v/>
      </c>
      <c r="C132">
        <f>IF($Q132="","",INDEX(상세표[성명],$Q132)&amp;"")</f>
        <v/>
      </c>
      <c r="D132">
        <f>IF($Q132="","",INDEX(상세표[직위],$Q132)&amp;"")</f>
        <v/>
      </c>
      <c r="E132">
        <f>IF($Q132="","",IF(ISNUMBER(INDEX(상세표[근무일자],$Q132)),TEXT(INDEX(상세표[근무일자],$Q132),"yyyy-mm-dd"),INDEX(상세표[근무일자],$Q132)&amp;""))</f>
        <v/>
      </c>
      <c r="F132">
        <f>IF($Q132="","",IF(ISNUMBER(INDEX(상세표[시작],$Q132)),TEXT(INDEX(상세표[시작],$Q132),"yyyy-mm-dd hh:mm"),INDEX(상세표[시작],$Q132)&amp;""))</f>
        <v/>
      </c>
      <c r="G132">
        <f>IF($Q132="","",IF(ISNUMBER(INDEX(상세표[블록종료],$Q132)),TEXT(INDEX(상세표[블록종료],$Q132),"yyyy-mm-dd hh:mm"),INDEX(상세표[블록종료],$Q132)&amp;""))</f>
        <v/>
      </c>
      <c r="H132">
        <f>IF($Q132="","",CHOOSE(WEEKDAY(INDEX(상세표[시작],$Q132)),"일","월","화","수","목","금","토"))</f>
        <v/>
      </c>
      <c r="I132" s="20">
        <f>IF($Q132="","",INDEX(상세표[연속 시간],$Q132))</f>
        <v/>
      </c>
      <c r="J132">
        <f>IF($Q132="","",INDEX(상세표[기록 수],$Q132))</f>
        <v/>
      </c>
      <c r="K132" s="20">
        <f>IF($Q132="","",INDEX(상세표[블록 06~07시],$Q132))</f>
        <v/>
      </c>
      <c r="L132" s="20">
        <f>IF($Q132="","",INDEX(상세표[블록 07~18시],$Q132))</f>
        <v/>
      </c>
      <c r="M132" s="20">
        <f>IF($Q132="","",INDEX(상세표[블록 18~22시],$Q132))</f>
        <v/>
      </c>
      <c r="N132" s="20">
        <f>IF($Q132="","",INDEX(상세표[블록 22~06시],$Q132))</f>
        <v/>
      </c>
      <c r="O132">
        <f>IF($Q132="","",INDEX(상세표[주말·휴일 포함],$Q132)&amp;"")</f>
        <v/>
      </c>
      <c r="P132">
        <f>IF($Q132="","",INDEX(상세표[월 넘김 포함],$Q132)&amp;"")</f>
        <v/>
      </c>
      <c r="Q132" s="4">
        <f>IFERROR(MATCH(127,상세표[연속순번],0),"")</f>
        <v/>
      </c>
    </row>
    <row r="133">
      <c r="A133">
        <f>IF($Q133="","",INDEX(상세표[부서],$Q133)&amp;"")</f>
        <v/>
      </c>
      <c r="B133">
        <f>IF($Q133="","",INDEX(상세표[사번],$Q133)&amp;"")</f>
        <v/>
      </c>
      <c r="C133">
        <f>IF($Q133="","",INDEX(상세표[성명],$Q133)&amp;"")</f>
        <v/>
      </c>
      <c r="D133">
        <f>IF($Q133="","",INDEX(상세표[직위],$Q133)&amp;"")</f>
        <v/>
      </c>
      <c r="E133">
        <f>IF($Q133="","",IF(ISNUMBER(INDEX(상세표[근무일자],$Q133)),TEXT(INDEX(상세표[근무일자],$Q133),"yyyy-mm-dd"),INDEX(상세표[근무일자],$Q133)&amp;""))</f>
        <v/>
      </c>
      <c r="F133">
        <f>IF($Q133="","",IF(ISNUMBER(INDEX(상세표[시작],$Q133)),TEXT(INDEX(상세표[시작],$Q133),"yyyy-mm-dd hh:mm"),INDEX(상세표[시작],$Q133)&amp;""))</f>
        <v/>
      </c>
      <c r="G133">
        <f>IF($Q133="","",IF(ISNUMBER(INDEX(상세표[블록종료],$Q133)),TEXT(INDEX(상세표[블록종료],$Q133),"yyyy-mm-dd hh:mm"),INDEX(상세표[블록종료],$Q133)&amp;""))</f>
        <v/>
      </c>
      <c r="H133">
        <f>IF($Q133="","",CHOOSE(WEEKDAY(INDEX(상세표[시작],$Q133)),"일","월","화","수","목","금","토"))</f>
        <v/>
      </c>
      <c r="I133" s="20">
        <f>IF($Q133="","",INDEX(상세표[연속 시간],$Q133))</f>
        <v/>
      </c>
      <c r="J133">
        <f>IF($Q133="","",INDEX(상세표[기록 수],$Q133))</f>
        <v/>
      </c>
      <c r="K133" s="20">
        <f>IF($Q133="","",INDEX(상세표[블록 06~07시],$Q133))</f>
        <v/>
      </c>
      <c r="L133" s="20">
        <f>IF($Q133="","",INDEX(상세표[블록 07~18시],$Q133))</f>
        <v/>
      </c>
      <c r="M133" s="20">
        <f>IF($Q133="","",INDEX(상세표[블록 18~22시],$Q133))</f>
        <v/>
      </c>
      <c r="N133" s="20">
        <f>IF($Q133="","",INDEX(상세표[블록 22~06시],$Q133))</f>
        <v/>
      </c>
      <c r="O133">
        <f>IF($Q133="","",INDEX(상세표[주말·휴일 포함],$Q133)&amp;"")</f>
        <v/>
      </c>
      <c r="P133">
        <f>IF($Q133="","",INDEX(상세표[월 넘김 포함],$Q133)&amp;"")</f>
        <v/>
      </c>
      <c r="Q133" s="4">
        <f>IFERROR(MATCH(128,상세표[연속순번],0),"")</f>
        <v/>
      </c>
    </row>
    <row r="134">
      <c r="A134">
        <f>IF($Q134="","",INDEX(상세표[부서],$Q134)&amp;"")</f>
        <v/>
      </c>
      <c r="B134">
        <f>IF($Q134="","",INDEX(상세표[사번],$Q134)&amp;"")</f>
        <v/>
      </c>
      <c r="C134">
        <f>IF($Q134="","",INDEX(상세표[성명],$Q134)&amp;"")</f>
        <v/>
      </c>
      <c r="D134">
        <f>IF($Q134="","",INDEX(상세표[직위],$Q134)&amp;"")</f>
        <v/>
      </c>
      <c r="E134">
        <f>IF($Q134="","",IF(ISNUMBER(INDEX(상세표[근무일자],$Q134)),TEXT(INDEX(상세표[근무일자],$Q134),"yyyy-mm-dd"),INDEX(상세표[근무일자],$Q134)&amp;""))</f>
        <v/>
      </c>
      <c r="F134">
        <f>IF($Q134="","",IF(ISNUMBER(INDEX(상세표[시작],$Q134)),TEXT(INDEX(상세표[시작],$Q134),"yyyy-mm-dd hh:mm"),INDEX(상세표[시작],$Q134)&amp;""))</f>
        <v/>
      </c>
      <c r="G134">
        <f>IF($Q134="","",IF(ISNUMBER(INDEX(상세표[블록종료],$Q134)),TEXT(INDEX(상세표[블록종료],$Q134),"yyyy-mm-dd hh:mm"),INDEX(상세표[블록종료],$Q134)&amp;""))</f>
        <v/>
      </c>
      <c r="H134">
        <f>IF($Q134="","",CHOOSE(WEEKDAY(INDEX(상세표[시작],$Q134)),"일","월","화","수","목","금","토"))</f>
        <v/>
      </c>
      <c r="I134" s="20">
        <f>IF($Q134="","",INDEX(상세표[연속 시간],$Q134))</f>
        <v/>
      </c>
      <c r="J134">
        <f>IF($Q134="","",INDEX(상세표[기록 수],$Q134))</f>
        <v/>
      </c>
      <c r="K134" s="20">
        <f>IF($Q134="","",INDEX(상세표[블록 06~07시],$Q134))</f>
        <v/>
      </c>
      <c r="L134" s="20">
        <f>IF($Q134="","",INDEX(상세표[블록 07~18시],$Q134))</f>
        <v/>
      </c>
      <c r="M134" s="20">
        <f>IF($Q134="","",INDEX(상세표[블록 18~22시],$Q134))</f>
        <v/>
      </c>
      <c r="N134" s="20">
        <f>IF($Q134="","",INDEX(상세표[블록 22~06시],$Q134))</f>
        <v/>
      </c>
      <c r="O134">
        <f>IF($Q134="","",INDEX(상세표[주말·휴일 포함],$Q134)&amp;"")</f>
        <v/>
      </c>
      <c r="P134">
        <f>IF($Q134="","",INDEX(상세표[월 넘김 포함],$Q134)&amp;"")</f>
        <v/>
      </c>
      <c r="Q134" s="4">
        <f>IFERROR(MATCH(129,상세표[연속순번],0),"")</f>
        <v/>
      </c>
    </row>
    <row r="135">
      <c r="A135">
        <f>IF($Q135="","",INDEX(상세표[부서],$Q135)&amp;"")</f>
        <v/>
      </c>
      <c r="B135">
        <f>IF($Q135="","",INDEX(상세표[사번],$Q135)&amp;"")</f>
        <v/>
      </c>
      <c r="C135">
        <f>IF($Q135="","",INDEX(상세표[성명],$Q135)&amp;"")</f>
        <v/>
      </c>
      <c r="D135">
        <f>IF($Q135="","",INDEX(상세표[직위],$Q135)&amp;"")</f>
        <v/>
      </c>
      <c r="E135">
        <f>IF($Q135="","",IF(ISNUMBER(INDEX(상세표[근무일자],$Q135)),TEXT(INDEX(상세표[근무일자],$Q135),"yyyy-mm-dd"),INDEX(상세표[근무일자],$Q135)&amp;""))</f>
        <v/>
      </c>
      <c r="F135">
        <f>IF($Q135="","",IF(ISNUMBER(INDEX(상세표[시작],$Q135)),TEXT(INDEX(상세표[시작],$Q135),"yyyy-mm-dd hh:mm"),INDEX(상세표[시작],$Q135)&amp;""))</f>
        <v/>
      </c>
      <c r="G135">
        <f>IF($Q135="","",IF(ISNUMBER(INDEX(상세표[블록종료],$Q135)),TEXT(INDEX(상세표[블록종료],$Q135),"yyyy-mm-dd hh:mm"),INDEX(상세표[블록종료],$Q135)&amp;""))</f>
        <v/>
      </c>
      <c r="H135">
        <f>IF($Q135="","",CHOOSE(WEEKDAY(INDEX(상세표[시작],$Q135)),"일","월","화","수","목","금","토"))</f>
        <v/>
      </c>
      <c r="I135" s="20">
        <f>IF($Q135="","",INDEX(상세표[연속 시간],$Q135))</f>
        <v/>
      </c>
      <c r="J135">
        <f>IF($Q135="","",INDEX(상세표[기록 수],$Q135))</f>
        <v/>
      </c>
      <c r="K135" s="20">
        <f>IF($Q135="","",INDEX(상세표[블록 06~07시],$Q135))</f>
        <v/>
      </c>
      <c r="L135" s="20">
        <f>IF($Q135="","",INDEX(상세표[블록 07~18시],$Q135))</f>
        <v/>
      </c>
      <c r="M135" s="20">
        <f>IF($Q135="","",INDEX(상세표[블록 18~22시],$Q135))</f>
        <v/>
      </c>
      <c r="N135" s="20">
        <f>IF($Q135="","",INDEX(상세표[블록 22~06시],$Q135))</f>
        <v/>
      </c>
      <c r="O135">
        <f>IF($Q135="","",INDEX(상세표[주말·휴일 포함],$Q135)&amp;"")</f>
        <v/>
      </c>
      <c r="P135">
        <f>IF($Q135="","",INDEX(상세표[월 넘김 포함],$Q135)&amp;"")</f>
        <v/>
      </c>
      <c r="Q135" s="4">
        <f>IFERROR(MATCH(130,상세표[연속순번],0),"")</f>
        <v/>
      </c>
    </row>
    <row r="136">
      <c r="A136">
        <f>IF($Q136="","",INDEX(상세표[부서],$Q136)&amp;"")</f>
        <v/>
      </c>
      <c r="B136">
        <f>IF($Q136="","",INDEX(상세표[사번],$Q136)&amp;"")</f>
        <v/>
      </c>
      <c r="C136">
        <f>IF($Q136="","",INDEX(상세표[성명],$Q136)&amp;"")</f>
        <v/>
      </c>
      <c r="D136">
        <f>IF($Q136="","",INDEX(상세표[직위],$Q136)&amp;"")</f>
        <v/>
      </c>
      <c r="E136">
        <f>IF($Q136="","",IF(ISNUMBER(INDEX(상세표[근무일자],$Q136)),TEXT(INDEX(상세표[근무일자],$Q136),"yyyy-mm-dd"),INDEX(상세표[근무일자],$Q136)&amp;""))</f>
        <v/>
      </c>
      <c r="F136">
        <f>IF($Q136="","",IF(ISNUMBER(INDEX(상세표[시작],$Q136)),TEXT(INDEX(상세표[시작],$Q136),"yyyy-mm-dd hh:mm"),INDEX(상세표[시작],$Q136)&amp;""))</f>
        <v/>
      </c>
      <c r="G136">
        <f>IF($Q136="","",IF(ISNUMBER(INDEX(상세표[블록종료],$Q136)),TEXT(INDEX(상세표[블록종료],$Q136),"yyyy-mm-dd hh:mm"),INDEX(상세표[블록종료],$Q136)&amp;""))</f>
        <v/>
      </c>
      <c r="H136">
        <f>IF($Q136="","",CHOOSE(WEEKDAY(INDEX(상세표[시작],$Q136)),"일","월","화","수","목","금","토"))</f>
        <v/>
      </c>
      <c r="I136" s="20">
        <f>IF($Q136="","",INDEX(상세표[연속 시간],$Q136))</f>
        <v/>
      </c>
      <c r="J136">
        <f>IF($Q136="","",INDEX(상세표[기록 수],$Q136))</f>
        <v/>
      </c>
      <c r="K136" s="20">
        <f>IF($Q136="","",INDEX(상세표[블록 06~07시],$Q136))</f>
        <v/>
      </c>
      <c r="L136" s="20">
        <f>IF($Q136="","",INDEX(상세표[블록 07~18시],$Q136))</f>
        <v/>
      </c>
      <c r="M136" s="20">
        <f>IF($Q136="","",INDEX(상세표[블록 18~22시],$Q136))</f>
        <v/>
      </c>
      <c r="N136" s="20">
        <f>IF($Q136="","",INDEX(상세표[블록 22~06시],$Q136))</f>
        <v/>
      </c>
      <c r="O136">
        <f>IF($Q136="","",INDEX(상세표[주말·휴일 포함],$Q136)&amp;"")</f>
        <v/>
      </c>
      <c r="P136">
        <f>IF($Q136="","",INDEX(상세표[월 넘김 포함],$Q136)&amp;"")</f>
        <v/>
      </c>
      <c r="Q136" s="4">
        <f>IFERROR(MATCH(131,상세표[연속순번],0),"")</f>
        <v/>
      </c>
    </row>
    <row r="137">
      <c r="A137">
        <f>IF($Q137="","",INDEX(상세표[부서],$Q137)&amp;"")</f>
        <v/>
      </c>
      <c r="B137">
        <f>IF($Q137="","",INDEX(상세표[사번],$Q137)&amp;"")</f>
        <v/>
      </c>
      <c r="C137">
        <f>IF($Q137="","",INDEX(상세표[성명],$Q137)&amp;"")</f>
        <v/>
      </c>
      <c r="D137">
        <f>IF($Q137="","",INDEX(상세표[직위],$Q137)&amp;"")</f>
        <v/>
      </c>
      <c r="E137">
        <f>IF($Q137="","",IF(ISNUMBER(INDEX(상세표[근무일자],$Q137)),TEXT(INDEX(상세표[근무일자],$Q137),"yyyy-mm-dd"),INDEX(상세표[근무일자],$Q137)&amp;""))</f>
        <v/>
      </c>
      <c r="F137">
        <f>IF($Q137="","",IF(ISNUMBER(INDEX(상세표[시작],$Q137)),TEXT(INDEX(상세표[시작],$Q137),"yyyy-mm-dd hh:mm"),INDEX(상세표[시작],$Q137)&amp;""))</f>
        <v/>
      </c>
      <c r="G137">
        <f>IF($Q137="","",IF(ISNUMBER(INDEX(상세표[블록종료],$Q137)),TEXT(INDEX(상세표[블록종료],$Q137),"yyyy-mm-dd hh:mm"),INDEX(상세표[블록종료],$Q137)&amp;""))</f>
        <v/>
      </c>
      <c r="H137">
        <f>IF($Q137="","",CHOOSE(WEEKDAY(INDEX(상세표[시작],$Q137)),"일","월","화","수","목","금","토"))</f>
        <v/>
      </c>
      <c r="I137" s="20">
        <f>IF($Q137="","",INDEX(상세표[연속 시간],$Q137))</f>
        <v/>
      </c>
      <c r="J137">
        <f>IF($Q137="","",INDEX(상세표[기록 수],$Q137))</f>
        <v/>
      </c>
      <c r="K137" s="20">
        <f>IF($Q137="","",INDEX(상세표[블록 06~07시],$Q137))</f>
        <v/>
      </c>
      <c r="L137" s="20">
        <f>IF($Q137="","",INDEX(상세표[블록 07~18시],$Q137))</f>
        <v/>
      </c>
      <c r="M137" s="20">
        <f>IF($Q137="","",INDEX(상세표[블록 18~22시],$Q137))</f>
        <v/>
      </c>
      <c r="N137" s="20">
        <f>IF($Q137="","",INDEX(상세표[블록 22~06시],$Q137))</f>
        <v/>
      </c>
      <c r="O137">
        <f>IF($Q137="","",INDEX(상세표[주말·휴일 포함],$Q137)&amp;"")</f>
        <v/>
      </c>
      <c r="P137">
        <f>IF($Q137="","",INDEX(상세표[월 넘김 포함],$Q137)&amp;"")</f>
        <v/>
      </c>
      <c r="Q137" s="4">
        <f>IFERROR(MATCH(132,상세표[연속순번],0),"")</f>
        <v/>
      </c>
    </row>
    <row r="138">
      <c r="A138">
        <f>IF($Q138="","",INDEX(상세표[부서],$Q138)&amp;"")</f>
        <v/>
      </c>
      <c r="B138">
        <f>IF($Q138="","",INDEX(상세표[사번],$Q138)&amp;"")</f>
        <v/>
      </c>
      <c r="C138">
        <f>IF($Q138="","",INDEX(상세표[성명],$Q138)&amp;"")</f>
        <v/>
      </c>
      <c r="D138">
        <f>IF($Q138="","",INDEX(상세표[직위],$Q138)&amp;"")</f>
        <v/>
      </c>
      <c r="E138">
        <f>IF($Q138="","",IF(ISNUMBER(INDEX(상세표[근무일자],$Q138)),TEXT(INDEX(상세표[근무일자],$Q138),"yyyy-mm-dd"),INDEX(상세표[근무일자],$Q138)&amp;""))</f>
        <v/>
      </c>
      <c r="F138">
        <f>IF($Q138="","",IF(ISNUMBER(INDEX(상세표[시작],$Q138)),TEXT(INDEX(상세표[시작],$Q138),"yyyy-mm-dd hh:mm"),INDEX(상세표[시작],$Q138)&amp;""))</f>
        <v/>
      </c>
      <c r="G138">
        <f>IF($Q138="","",IF(ISNUMBER(INDEX(상세표[블록종료],$Q138)),TEXT(INDEX(상세표[블록종료],$Q138),"yyyy-mm-dd hh:mm"),INDEX(상세표[블록종료],$Q138)&amp;""))</f>
        <v/>
      </c>
      <c r="H138">
        <f>IF($Q138="","",CHOOSE(WEEKDAY(INDEX(상세표[시작],$Q138)),"일","월","화","수","목","금","토"))</f>
        <v/>
      </c>
      <c r="I138" s="20">
        <f>IF($Q138="","",INDEX(상세표[연속 시간],$Q138))</f>
        <v/>
      </c>
      <c r="J138">
        <f>IF($Q138="","",INDEX(상세표[기록 수],$Q138))</f>
        <v/>
      </c>
      <c r="K138" s="20">
        <f>IF($Q138="","",INDEX(상세표[블록 06~07시],$Q138))</f>
        <v/>
      </c>
      <c r="L138" s="20">
        <f>IF($Q138="","",INDEX(상세표[블록 07~18시],$Q138))</f>
        <v/>
      </c>
      <c r="M138" s="20">
        <f>IF($Q138="","",INDEX(상세표[블록 18~22시],$Q138))</f>
        <v/>
      </c>
      <c r="N138" s="20">
        <f>IF($Q138="","",INDEX(상세표[블록 22~06시],$Q138))</f>
        <v/>
      </c>
      <c r="O138">
        <f>IF($Q138="","",INDEX(상세표[주말·휴일 포함],$Q138)&amp;"")</f>
        <v/>
      </c>
      <c r="P138">
        <f>IF($Q138="","",INDEX(상세표[월 넘김 포함],$Q138)&amp;"")</f>
        <v/>
      </c>
      <c r="Q138" s="4">
        <f>IFERROR(MATCH(133,상세표[연속순번],0),"")</f>
        <v/>
      </c>
    </row>
    <row r="139">
      <c r="A139">
        <f>IF($Q139="","",INDEX(상세표[부서],$Q139)&amp;"")</f>
        <v/>
      </c>
      <c r="B139">
        <f>IF($Q139="","",INDEX(상세표[사번],$Q139)&amp;"")</f>
        <v/>
      </c>
      <c r="C139">
        <f>IF($Q139="","",INDEX(상세표[성명],$Q139)&amp;"")</f>
        <v/>
      </c>
      <c r="D139">
        <f>IF($Q139="","",INDEX(상세표[직위],$Q139)&amp;"")</f>
        <v/>
      </c>
      <c r="E139">
        <f>IF($Q139="","",IF(ISNUMBER(INDEX(상세표[근무일자],$Q139)),TEXT(INDEX(상세표[근무일자],$Q139),"yyyy-mm-dd"),INDEX(상세표[근무일자],$Q139)&amp;""))</f>
        <v/>
      </c>
      <c r="F139">
        <f>IF($Q139="","",IF(ISNUMBER(INDEX(상세표[시작],$Q139)),TEXT(INDEX(상세표[시작],$Q139),"yyyy-mm-dd hh:mm"),INDEX(상세표[시작],$Q139)&amp;""))</f>
        <v/>
      </c>
      <c r="G139">
        <f>IF($Q139="","",IF(ISNUMBER(INDEX(상세표[블록종료],$Q139)),TEXT(INDEX(상세표[블록종료],$Q139),"yyyy-mm-dd hh:mm"),INDEX(상세표[블록종료],$Q139)&amp;""))</f>
        <v/>
      </c>
      <c r="H139">
        <f>IF($Q139="","",CHOOSE(WEEKDAY(INDEX(상세표[시작],$Q139)),"일","월","화","수","목","금","토"))</f>
        <v/>
      </c>
      <c r="I139" s="20">
        <f>IF($Q139="","",INDEX(상세표[연속 시간],$Q139))</f>
        <v/>
      </c>
      <c r="J139">
        <f>IF($Q139="","",INDEX(상세표[기록 수],$Q139))</f>
        <v/>
      </c>
      <c r="K139" s="20">
        <f>IF($Q139="","",INDEX(상세표[블록 06~07시],$Q139))</f>
        <v/>
      </c>
      <c r="L139" s="20">
        <f>IF($Q139="","",INDEX(상세표[블록 07~18시],$Q139))</f>
        <v/>
      </c>
      <c r="M139" s="20">
        <f>IF($Q139="","",INDEX(상세표[블록 18~22시],$Q139))</f>
        <v/>
      </c>
      <c r="N139" s="20">
        <f>IF($Q139="","",INDEX(상세표[블록 22~06시],$Q139))</f>
        <v/>
      </c>
      <c r="O139">
        <f>IF($Q139="","",INDEX(상세표[주말·휴일 포함],$Q139)&amp;"")</f>
        <v/>
      </c>
      <c r="P139">
        <f>IF($Q139="","",INDEX(상세표[월 넘김 포함],$Q139)&amp;"")</f>
        <v/>
      </c>
      <c r="Q139" s="4">
        <f>IFERROR(MATCH(134,상세표[연속순번],0),"")</f>
        <v/>
      </c>
    </row>
    <row r="140">
      <c r="A140">
        <f>IF($Q140="","",INDEX(상세표[부서],$Q140)&amp;"")</f>
        <v/>
      </c>
      <c r="B140">
        <f>IF($Q140="","",INDEX(상세표[사번],$Q140)&amp;"")</f>
        <v/>
      </c>
      <c r="C140">
        <f>IF($Q140="","",INDEX(상세표[성명],$Q140)&amp;"")</f>
        <v/>
      </c>
      <c r="D140">
        <f>IF($Q140="","",INDEX(상세표[직위],$Q140)&amp;"")</f>
        <v/>
      </c>
      <c r="E140">
        <f>IF($Q140="","",IF(ISNUMBER(INDEX(상세표[근무일자],$Q140)),TEXT(INDEX(상세표[근무일자],$Q140),"yyyy-mm-dd"),INDEX(상세표[근무일자],$Q140)&amp;""))</f>
        <v/>
      </c>
      <c r="F140">
        <f>IF($Q140="","",IF(ISNUMBER(INDEX(상세표[시작],$Q140)),TEXT(INDEX(상세표[시작],$Q140),"yyyy-mm-dd hh:mm"),INDEX(상세표[시작],$Q140)&amp;""))</f>
        <v/>
      </c>
      <c r="G140">
        <f>IF($Q140="","",IF(ISNUMBER(INDEX(상세표[블록종료],$Q140)),TEXT(INDEX(상세표[블록종료],$Q140),"yyyy-mm-dd hh:mm"),INDEX(상세표[블록종료],$Q140)&amp;""))</f>
        <v/>
      </c>
      <c r="H140">
        <f>IF($Q140="","",CHOOSE(WEEKDAY(INDEX(상세표[시작],$Q140)),"일","월","화","수","목","금","토"))</f>
        <v/>
      </c>
      <c r="I140" s="20">
        <f>IF($Q140="","",INDEX(상세표[연속 시간],$Q140))</f>
        <v/>
      </c>
      <c r="J140">
        <f>IF($Q140="","",INDEX(상세표[기록 수],$Q140))</f>
        <v/>
      </c>
      <c r="K140" s="20">
        <f>IF($Q140="","",INDEX(상세표[블록 06~07시],$Q140))</f>
        <v/>
      </c>
      <c r="L140" s="20">
        <f>IF($Q140="","",INDEX(상세표[블록 07~18시],$Q140))</f>
        <v/>
      </c>
      <c r="M140" s="20">
        <f>IF($Q140="","",INDEX(상세표[블록 18~22시],$Q140))</f>
        <v/>
      </c>
      <c r="N140" s="20">
        <f>IF($Q140="","",INDEX(상세표[블록 22~06시],$Q140))</f>
        <v/>
      </c>
      <c r="O140">
        <f>IF($Q140="","",INDEX(상세표[주말·휴일 포함],$Q140)&amp;"")</f>
        <v/>
      </c>
      <c r="P140">
        <f>IF($Q140="","",INDEX(상세표[월 넘김 포함],$Q140)&amp;"")</f>
        <v/>
      </c>
      <c r="Q140" s="4">
        <f>IFERROR(MATCH(135,상세표[연속순번],0),"")</f>
        <v/>
      </c>
    </row>
    <row r="141">
      <c r="A141">
        <f>IF($Q141="","",INDEX(상세표[부서],$Q141)&amp;"")</f>
        <v/>
      </c>
      <c r="B141">
        <f>IF($Q141="","",INDEX(상세표[사번],$Q141)&amp;"")</f>
        <v/>
      </c>
      <c r="C141">
        <f>IF($Q141="","",INDEX(상세표[성명],$Q141)&amp;"")</f>
        <v/>
      </c>
      <c r="D141">
        <f>IF($Q141="","",INDEX(상세표[직위],$Q141)&amp;"")</f>
        <v/>
      </c>
      <c r="E141">
        <f>IF($Q141="","",IF(ISNUMBER(INDEX(상세표[근무일자],$Q141)),TEXT(INDEX(상세표[근무일자],$Q141),"yyyy-mm-dd"),INDEX(상세표[근무일자],$Q141)&amp;""))</f>
        <v/>
      </c>
      <c r="F141">
        <f>IF($Q141="","",IF(ISNUMBER(INDEX(상세표[시작],$Q141)),TEXT(INDEX(상세표[시작],$Q141),"yyyy-mm-dd hh:mm"),INDEX(상세표[시작],$Q141)&amp;""))</f>
        <v/>
      </c>
      <c r="G141">
        <f>IF($Q141="","",IF(ISNUMBER(INDEX(상세표[블록종료],$Q141)),TEXT(INDEX(상세표[블록종료],$Q141),"yyyy-mm-dd hh:mm"),INDEX(상세표[블록종료],$Q141)&amp;""))</f>
        <v/>
      </c>
      <c r="H141">
        <f>IF($Q141="","",CHOOSE(WEEKDAY(INDEX(상세표[시작],$Q141)),"일","월","화","수","목","금","토"))</f>
        <v/>
      </c>
      <c r="I141" s="20">
        <f>IF($Q141="","",INDEX(상세표[연속 시간],$Q141))</f>
        <v/>
      </c>
      <c r="J141">
        <f>IF($Q141="","",INDEX(상세표[기록 수],$Q141))</f>
        <v/>
      </c>
      <c r="K141" s="20">
        <f>IF($Q141="","",INDEX(상세표[블록 06~07시],$Q141))</f>
        <v/>
      </c>
      <c r="L141" s="20">
        <f>IF($Q141="","",INDEX(상세표[블록 07~18시],$Q141))</f>
        <v/>
      </c>
      <c r="M141" s="20">
        <f>IF($Q141="","",INDEX(상세표[블록 18~22시],$Q141))</f>
        <v/>
      </c>
      <c r="N141" s="20">
        <f>IF($Q141="","",INDEX(상세표[블록 22~06시],$Q141))</f>
        <v/>
      </c>
      <c r="O141">
        <f>IF($Q141="","",INDEX(상세표[주말·휴일 포함],$Q141)&amp;"")</f>
        <v/>
      </c>
      <c r="P141">
        <f>IF($Q141="","",INDEX(상세표[월 넘김 포함],$Q141)&amp;"")</f>
        <v/>
      </c>
      <c r="Q141" s="4">
        <f>IFERROR(MATCH(136,상세표[연속순번],0),"")</f>
        <v/>
      </c>
    </row>
    <row r="142">
      <c r="A142">
        <f>IF($Q142="","",INDEX(상세표[부서],$Q142)&amp;"")</f>
        <v/>
      </c>
      <c r="B142">
        <f>IF($Q142="","",INDEX(상세표[사번],$Q142)&amp;"")</f>
        <v/>
      </c>
      <c r="C142">
        <f>IF($Q142="","",INDEX(상세표[성명],$Q142)&amp;"")</f>
        <v/>
      </c>
      <c r="D142">
        <f>IF($Q142="","",INDEX(상세표[직위],$Q142)&amp;"")</f>
        <v/>
      </c>
      <c r="E142">
        <f>IF($Q142="","",IF(ISNUMBER(INDEX(상세표[근무일자],$Q142)),TEXT(INDEX(상세표[근무일자],$Q142),"yyyy-mm-dd"),INDEX(상세표[근무일자],$Q142)&amp;""))</f>
        <v/>
      </c>
      <c r="F142">
        <f>IF($Q142="","",IF(ISNUMBER(INDEX(상세표[시작],$Q142)),TEXT(INDEX(상세표[시작],$Q142),"yyyy-mm-dd hh:mm"),INDEX(상세표[시작],$Q142)&amp;""))</f>
        <v/>
      </c>
      <c r="G142">
        <f>IF($Q142="","",IF(ISNUMBER(INDEX(상세표[블록종료],$Q142)),TEXT(INDEX(상세표[블록종료],$Q142),"yyyy-mm-dd hh:mm"),INDEX(상세표[블록종료],$Q142)&amp;""))</f>
        <v/>
      </c>
      <c r="H142">
        <f>IF($Q142="","",CHOOSE(WEEKDAY(INDEX(상세표[시작],$Q142)),"일","월","화","수","목","금","토"))</f>
        <v/>
      </c>
      <c r="I142" s="20">
        <f>IF($Q142="","",INDEX(상세표[연속 시간],$Q142))</f>
        <v/>
      </c>
      <c r="J142">
        <f>IF($Q142="","",INDEX(상세표[기록 수],$Q142))</f>
        <v/>
      </c>
      <c r="K142" s="20">
        <f>IF($Q142="","",INDEX(상세표[블록 06~07시],$Q142))</f>
        <v/>
      </c>
      <c r="L142" s="20">
        <f>IF($Q142="","",INDEX(상세표[블록 07~18시],$Q142))</f>
        <v/>
      </c>
      <c r="M142" s="20">
        <f>IF($Q142="","",INDEX(상세표[블록 18~22시],$Q142))</f>
        <v/>
      </c>
      <c r="N142" s="20">
        <f>IF($Q142="","",INDEX(상세표[블록 22~06시],$Q142))</f>
        <v/>
      </c>
      <c r="O142">
        <f>IF($Q142="","",INDEX(상세표[주말·휴일 포함],$Q142)&amp;"")</f>
        <v/>
      </c>
      <c r="P142">
        <f>IF($Q142="","",INDEX(상세표[월 넘김 포함],$Q142)&amp;"")</f>
        <v/>
      </c>
      <c r="Q142" s="4">
        <f>IFERROR(MATCH(137,상세표[연속순번],0),"")</f>
        <v/>
      </c>
    </row>
    <row r="143">
      <c r="A143">
        <f>IF($Q143="","",INDEX(상세표[부서],$Q143)&amp;"")</f>
        <v/>
      </c>
      <c r="B143">
        <f>IF($Q143="","",INDEX(상세표[사번],$Q143)&amp;"")</f>
        <v/>
      </c>
      <c r="C143">
        <f>IF($Q143="","",INDEX(상세표[성명],$Q143)&amp;"")</f>
        <v/>
      </c>
      <c r="D143">
        <f>IF($Q143="","",INDEX(상세표[직위],$Q143)&amp;"")</f>
        <v/>
      </c>
      <c r="E143">
        <f>IF($Q143="","",IF(ISNUMBER(INDEX(상세표[근무일자],$Q143)),TEXT(INDEX(상세표[근무일자],$Q143),"yyyy-mm-dd"),INDEX(상세표[근무일자],$Q143)&amp;""))</f>
        <v/>
      </c>
      <c r="F143">
        <f>IF($Q143="","",IF(ISNUMBER(INDEX(상세표[시작],$Q143)),TEXT(INDEX(상세표[시작],$Q143),"yyyy-mm-dd hh:mm"),INDEX(상세표[시작],$Q143)&amp;""))</f>
        <v/>
      </c>
      <c r="G143">
        <f>IF($Q143="","",IF(ISNUMBER(INDEX(상세표[블록종료],$Q143)),TEXT(INDEX(상세표[블록종료],$Q143),"yyyy-mm-dd hh:mm"),INDEX(상세표[블록종료],$Q143)&amp;""))</f>
        <v/>
      </c>
      <c r="H143">
        <f>IF($Q143="","",CHOOSE(WEEKDAY(INDEX(상세표[시작],$Q143)),"일","월","화","수","목","금","토"))</f>
        <v/>
      </c>
      <c r="I143" s="20">
        <f>IF($Q143="","",INDEX(상세표[연속 시간],$Q143))</f>
        <v/>
      </c>
      <c r="J143">
        <f>IF($Q143="","",INDEX(상세표[기록 수],$Q143))</f>
        <v/>
      </c>
      <c r="K143" s="20">
        <f>IF($Q143="","",INDEX(상세표[블록 06~07시],$Q143))</f>
        <v/>
      </c>
      <c r="L143" s="20">
        <f>IF($Q143="","",INDEX(상세표[블록 07~18시],$Q143))</f>
        <v/>
      </c>
      <c r="M143" s="20">
        <f>IF($Q143="","",INDEX(상세표[블록 18~22시],$Q143))</f>
        <v/>
      </c>
      <c r="N143" s="20">
        <f>IF($Q143="","",INDEX(상세표[블록 22~06시],$Q143))</f>
        <v/>
      </c>
      <c r="O143">
        <f>IF($Q143="","",INDEX(상세표[주말·휴일 포함],$Q143)&amp;"")</f>
        <v/>
      </c>
      <c r="P143">
        <f>IF($Q143="","",INDEX(상세표[월 넘김 포함],$Q143)&amp;"")</f>
        <v/>
      </c>
      <c r="Q143" s="4">
        <f>IFERROR(MATCH(138,상세표[연속순번],0),"")</f>
        <v/>
      </c>
    </row>
    <row r="144">
      <c r="A144">
        <f>IF($Q144="","",INDEX(상세표[부서],$Q144)&amp;"")</f>
        <v/>
      </c>
      <c r="B144">
        <f>IF($Q144="","",INDEX(상세표[사번],$Q144)&amp;"")</f>
        <v/>
      </c>
      <c r="C144">
        <f>IF($Q144="","",INDEX(상세표[성명],$Q144)&amp;"")</f>
        <v/>
      </c>
      <c r="D144">
        <f>IF($Q144="","",INDEX(상세표[직위],$Q144)&amp;"")</f>
        <v/>
      </c>
      <c r="E144">
        <f>IF($Q144="","",IF(ISNUMBER(INDEX(상세표[근무일자],$Q144)),TEXT(INDEX(상세표[근무일자],$Q144),"yyyy-mm-dd"),INDEX(상세표[근무일자],$Q144)&amp;""))</f>
        <v/>
      </c>
      <c r="F144">
        <f>IF($Q144="","",IF(ISNUMBER(INDEX(상세표[시작],$Q144)),TEXT(INDEX(상세표[시작],$Q144),"yyyy-mm-dd hh:mm"),INDEX(상세표[시작],$Q144)&amp;""))</f>
        <v/>
      </c>
      <c r="G144">
        <f>IF($Q144="","",IF(ISNUMBER(INDEX(상세표[블록종료],$Q144)),TEXT(INDEX(상세표[블록종료],$Q144),"yyyy-mm-dd hh:mm"),INDEX(상세표[블록종료],$Q144)&amp;""))</f>
        <v/>
      </c>
      <c r="H144">
        <f>IF($Q144="","",CHOOSE(WEEKDAY(INDEX(상세표[시작],$Q144)),"일","월","화","수","목","금","토"))</f>
        <v/>
      </c>
      <c r="I144" s="20">
        <f>IF($Q144="","",INDEX(상세표[연속 시간],$Q144))</f>
        <v/>
      </c>
      <c r="J144">
        <f>IF($Q144="","",INDEX(상세표[기록 수],$Q144))</f>
        <v/>
      </c>
      <c r="K144" s="20">
        <f>IF($Q144="","",INDEX(상세표[블록 06~07시],$Q144))</f>
        <v/>
      </c>
      <c r="L144" s="20">
        <f>IF($Q144="","",INDEX(상세표[블록 07~18시],$Q144))</f>
        <v/>
      </c>
      <c r="M144" s="20">
        <f>IF($Q144="","",INDEX(상세표[블록 18~22시],$Q144))</f>
        <v/>
      </c>
      <c r="N144" s="20">
        <f>IF($Q144="","",INDEX(상세표[블록 22~06시],$Q144))</f>
        <v/>
      </c>
      <c r="O144">
        <f>IF($Q144="","",INDEX(상세표[주말·휴일 포함],$Q144)&amp;"")</f>
        <v/>
      </c>
      <c r="P144">
        <f>IF($Q144="","",INDEX(상세표[월 넘김 포함],$Q144)&amp;"")</f>
        <v/>
      </c>
      <c r="Q144" s="4">
        <f>IFERROR(MATCH(139,상세표[연속순번],0),"")</f>
        <v/>
      </c>
    </row>
    <row r="145">
      <c r="A145">
        <f>IF($Q145="","",INDEX(상세표[부서],$Q145)&amp;"")</f>
        <v/>
      </c>
      <c r="B145">
        <f>IF($Q145="","",INDEX(상세표[사번],$Q145)&amp;"")</f>
        <v/>
      </c>
      <c r="C145">
        <f>IF($Q145="","",INDEX(상세표[성명],$Q145)&amp;"")</f>
        <v/>
      </c>
      <c r="D145">
        <f>IF($Q145="","",INDEX(상세표[직위],$Q145)&amp;"")</f>
        <v/>
      </c>
      <c r="E145">
        <f>IF($Q145="","",IF(ISNUMBER(INDEX(상세표[근무일자],$Q145)),TEXT(INDEX(상세표[근무일자],$Q145),"yyyy-mm-dd"),INDEX(상세표[근무일자],$Q145)&amp;""))</f>
        <v/>
      </c>
      <c r="F145">
        <f>IF($Q145="","",IF(ISNUMBER(INDEX(상세표[시작],$Q145)),TEXT(INDEX(상세표[시작],$Q145),"yyyy-mm-dd hh:mm"),INDEX(상세표[시작],$Q145)&amp;""))</f>
        <v/>
      </c>
      <c r="G145">
        <f>IF($Q145="","",IF(ISNUMBER(INDEX(상세표[블록종료],$Q145)),TEXT(INDEX(상세표[블록종료],$Q145),"yyyy-mm-dd hh:mm"),INDEX(상세표[블록종료],$Q145)&amp;""))</f>
        <v/>
      </c>
      <c r="H145">
        <f>IF($Q145="","",CHOOSE(WEEKDAY(INDEX(상세표[시작],$Q145)),"일","월","화","수","목","금","토"))</f>
        <v/>
      </c>
      <c r="I145" s="20">
        <f>IF($Q145="","",INDEX(상세표[연속 시간],$Q145))</f>
        <v/>
      </c>
      <c r="J145">
        <f>IF($Q145="","",INDEX(상세표[기록 수],$Q145))</f>
        <v/>
      </c>
      <c r="K145" s="20">
        <f>IF($Q145="","",INDEX(상세표[블록 06~07시],$Q145))</f>
        <v/>
      </c>
      <c r="L145" s="20">
        <f>IF($Q145="","",INDEX(상세표[블록 07~18시],$Q145))</f>
        <v/>
      </c>
      <c r="M145" s="20">
        <f>IF($Q145="","",INDEX(상세표[블록 18~22시],$Q145))</f>
        <v/>
      </c>
      <c r="N145" s="20">
        <f>IF($Q145="","",INDEX(상세표[블록 22~06시],$Q145))</f>
        <v/>
      </c>
      <c r="O145">
        <f>IF($Q145="","",INDEX(상세표[주말·휴일 포함],$Q145)&amp;"")</f>
        <v/>
      </c>
      <c r="P145">
        <f>IF($Q145="","",INDEX(상세표[월 넘김 포함],$Q145)&amp;"")</f>
        <v/>
      </c>
      <c r="Q145" s="4">
        <f>IFERROR(MATCH(140,상세표[연속순번],0),"")</f>
        <v/>
      </c>
    </row>
    <row r="146">
      <c r="A146">
        <f>IF($Q146="","",INDEX(상세표[부서],$Q146)&amp;"")</f>
        <v/>
      </c>
      <c r="B146">
        <f>IF($Q146="","",INDEX(상세표[사번],$Q146)&amp;"")</f>
        <v/>
      </c>
      <c r="C146">
        <f>IF($Q146="","",INDEX(상세표[성명],$Q146)&amp;"")</f>
        <v/>
      </c>
      <c r="D146">
        <f>IF($Q146="","",INDEX(상세표[직위],$Q146)&amp;"")</f>
        <v/>
      </c>
      <c r="E146">
        <f>IF($Q146="","",IF(ISNUMBER(INDEX(상세표[근무일자],$Q146)),TEXT(INDEX(상세표[근무일자],$Q146),"yyyy-mm-dd"),INDEX(상세표[근무일자],$Q146)&amp;""))</f>
        <v/>
      </c>
      <c r="F146">
        <f>IF($Q146="","",IF(ISNUMBER(INDEX(상세표[시작],$Q146)),TEXT(INDEX(상세표[시작],$Q146),"yyyy-mm-dd hh:mm"),INDEX(상세표[시작],$Q146)&amp;""))</f>
        <v/>
      </c>
      <c r="G146">
        <f>IF($Q146="","",IF(ISNUMBER(INDEX(상세표[블록종료],$Q146)),TEXT(INDEX(상세표[블록종료],$Q146),"yyyy-mm-dd hh:mm"),INDEX(상세표[블록종료],$Q146)&amp;""))</f>
        <v/>
      </c>
      <c r="H146">
        <f>IF($Q146="","",CHOOSE(WEEKDAY(INDEX(상세표[시작],$Q146)),"일","월","화","수","목","금","토"))</f>
        <v/>
      </c>
      <c r="I146" s="20">
        <f>IF($Q146="","",INDEX(상세표[연속 시간],$Q146))</f>
        <v/>
      </c>
      <c r="J146">
        <f>IF($Q146="","",INDEX(상세표[기록 수],$Q146))</f>
        <v/>
      </c>
      <c r="K146" s="20">
        <f>IF($Q146="","",INDEX(상세표[블록 06~07시],$Q146))</f>
        <v/>
      </c>
      <c r="L146" s="20">
        <f>IF($Q146="","",INDEX(상세표[블록 07~18시],$Q146))</f>
        <v/>
      </c>
      <c r="M146" s="20">
        <f>IF($Q146="","",INDEX(상세표[블록 18~22시],$Q146))</f>
        <v/>
      </c>
      <c r="N146" s="20">
        <f>IF($Q146="","",INDEX(상세표[블록 22~06시],$Q146))</f>
        <v/>
      </c>
      <c r="O146">
        <f>IF($Q146="","",INDEX(상세표[주말·휴일 포함],$Q146)&amp;"")</f>
        <v/>
      </c>
      <c r="P146">
        <f>IF($Q146="","",INDEX(상세표[월 넘김 포함],$Q146)&amp;"")</f>
        <v/>
      </c>
      <c r="Q146" s="4">
        <f>IFERROR(MATCH(141,상세표[연속순번],0),"")</f>
        <v/>
      </c>
    </row>
    <row r="147">
      <c r="A147">
        <f>IF($Q147="","",INDEX(상세표[부서],$Q147)&amp;"")</f>
        <v/>
      </c>
      <c r="B147">
        <f>IF($Q147="","",INDEX(상세표[사번],$Q147)&amp;"")</f>
        <v/>
      </c>
      <c r="C147">
        <f>IF($Q147="","",INDEX(상세표[성명],$Q147)&amp;"")</f>
        <v/>
      </c>
      <c r="D147">
        <f>IF($Q147="","",INDEX(상세표[직위],$Q147)&amp;"")</f>
        <v/>
      </c>
      <c r="E147">
        <f>IF($Q147="","",IF(ISNUMBER(INDEX(상세표[근무일자],$Q147)),TEXT(INDEX(상세표[근무일자],$Q147),"yyyy-mm-dd"),INDEX(상세표[근무일자],$Q147)&amp;""))</f>
        <v/>
      </c>
      <c r="F147">
        <f>IF($Q147="","",IF(ISNUMBER(INDEX(상세표[시작],$Q147)),TEXT(INDEX(상세표[시작],$Q147),"yyyy-mm-dd hh:mm"),INDEX(상세표[시작],$Q147)&amp;""))</f>
        <v/>
      </c>
      <c r="G147">
        <f>IF($Q147="","",IF(ISNUMBER(INDEX(상세표[블록종료],$Q147)),TEXT(INDEX(상세표[블록종료],$Q147),"yyyy-mm-dd hh:mm"),INDEX(상세표[블록종료],$Q147)&amp;""))</f>
        <v/>
      </c>
      <c r="H147">
        <f>IF($Q147="","",CHOOSE(WEEKDAY(INDEX(상세표[시작],$Q147)),"일","월","화","수","목","금","토"))</f>
        <v/>
      </c>
      <c r="I147" s="20">
        <f>IF($Q147="","",INDEX(상세표[연속 시간],$Q147))</f>
        <v/>
      </c>
      <c r="J147">
        <f>IF($Q147="","",INDEX(상세표[기록 수],$Q147))</f>
        <v/>
      </c>
      <c r="K147" s="20">
        <f>IF($Q147="","",INDEX(상세표[블록 06~07시],$Q147))</f>
        <v/>
      </c>
      <c r="L147" s="20">
        <f>IF($Q147="","",INDEX(상세표[블록 07~18시],$Q147))</f>
        <v/>
      </c>
      <c r="M147" s="20">
        <f>IF($Q147="","",INDEX(상세표[블록 18~22시],$Q147))</f>
        <v/>
      </c>
      <c r="N147" s="20">
        <f>IF($Q147="","",INDEX(상세표[블록 22~06시],$Q147))</f>
        <v/>
      </c>
      <c r="O147">
        <f>IF($Q147="","",INDEX(상세표[주말·휴일 포함],$Q147)&amp;"")</f>
        <v/>
      </c>
      <c r="P147">
        <f>IF($Q147="","",INDEX(상세표[월 넘김 포함],$Q147)&amp;"")</f>
        <v/>
      </c>
      <c r="Q147" s="4">
        <f>IFERROR(MATCH(142,상세표[연속순번],0),"")</f>
        <v/>
      </c>
    </row>
    <row r="148">
      <c r="A148">
        <f>IF($Q148="","",INDEX(상세표[부서],$Q148)&amp;"")</f>
        <v/>
      </c>
      <c r="B148">
        <f>IF($Q148="","",INDEX(상세표[사번],$Q148)&amp;"")</f>
        <v/>
      </c>
      <c r="C148">
        <f>IF($Q148="","",INDEX(상세표[성명],$Q148)&amp;"")</f>
        <v/>
      </c>
      <c r="D148">
        <f>IF($Q148="","",INDEX(상세표[직위],$Q148)&amp;"")</f>
        <v/>
      </c>
      <c r="E148">
        <f>IF($Q148="","",IF(ISNUMBER(INDEX(상세표[근무일자],$Q148)),TEXT(INDEX(상세표[근무일자],$Q148),"yyyy-mm-dd"),INDEX(상세표[근무일자],$Q148)&amp;""))</f>
        <v/>
      </c>
      <c r="F148">
        <f>IF($Q148="","",IF(ISNUMBER(INDEX(상세표[시작],$Q148)),TEXT(INDEX(상세표[시작],$Q148),"yyyy-mm-dd hh:mm"),INDEX(상세표[시작],$Q148)&amp;""))</f>
        <v/>
      </c>
      <c r="G148">
        <f>IF($Q148="","",IF(ISNUMBER(INDEX(상세표[블록종료],$Q148)),TEXT(INDEX(상세표[블록종료],$Q148),"yyyy-mm-dd hh:mm"),INDEX(상세표[블록종료],$Q148)&amp;""))</f>
        <v/>
      </c>
      <c r="H148">
        <f>IF($Q148="","",CHOOSE(WEEKDAY(INDEX(상세표[시작],$Q148)),"일","월","화","수","목","금","토"))</f>
        <v/>
      </c>
      <c r="I148" s="20">
        <f>IF($Q148="","",INDEX(상세표[연속 시간],$Q148))</f>
        <v/>
      </c>
      <c r="J148">
        <f>IF($Q148="","",INDEX(상세표[기록 수],$Q148))</f>
        <v/>
      </c>
      <c r="K148" s="20">
        <f>IF($Q148="","",INDEX(상세표[블록 06~07시],$Q148))</f>
        <v/>
      </c>
      <c r="L148" s="20">
        <f>IF($Q148="","",INDEX(상세표[블록 07~18시],$Q148))</f>
        <v/>
      </c>
      <c r="M148" s="20">
        <f>IF($Q148="","",INDEX(상세표[블록 18~22시],$Q148))</f>
        <v/>
      </c>
      <c r="N148" s="20">
        <f>IF($Q148="","",INDEX(상세표[블록 22~06시],$Q148))</f>
        <v/>
      </c>
      <c r="O148">
        <f>IF($Q148="","",INDEX(상세표[주말·휴일 포함],$Q148)&amp;"")</f>
        <v/>
      </c>
      <c r="P148">
        <f>IF($Q148="","",INDEX(상세표[월 넘김 포함],$Q148)&amp;"")</f>
        <v/>
      </c>
      <c r="Q148" s="4">
        <f>IFERROR(MATCH(143,상세표[연속순번],0),"")</f>
        <v/>
      </c>
    </row>
    <row r="149">
      <c r="A149">
        <f>IF($Q149="","",INDEX(상세표[부서],$Q149)&amp;"")</f>
        <v/>
      </c>
      <c r="B149">
        <f>IF($Q149="","",INDEX(상세표[사번],$Q149)&amp;"")</f>
        <v/>
      </c>
      <c r="C149">
        <f>IF($Q149="","",INDEX(상세표[성명],$Q149)&amp;"")</f>
        <v/>
      </c>
      <c r="D149">
        <f>IF($Q149="","",INDEX(상세표[직위],$Q149)&amp;"")</f>
        <v/>
      </c>
      <c r="E149">
        <f>IF($Q149="","",IF(ISNUMBER(INDEX(상세표[근무일자],$Q149)),TEXT(INDEX(상세표[근무일자],$Q149),"yyyy-mm-dd"),INDEX(상세표[근무일자],$Q149)&amp;""))</f>
        <v/>
      </c>
      <c r="F149">
        <f>IF($Q149="","",IF(ISNUMBER(INDEX(상세표[시작],$Q149)),TEXT(INDEX(상세표[시작],$Q149),"yyyy-mm-dd hh:mm"),INDEX(상세표[시작],$Q149)&amp;""))</f>
        <v/>
      </c>
      <c r="G149">
        <f>IF($Q149="","",IF(ISNUMBER(INDEX(상세표[블록종료],$Q149)),TEXT(INDEX(상세표[블록종료],$Q149),"yyyy-mm-dd hh:mm"),INDEX(상세표[블록종료],$Q149)&amp;""))</f>
        <v/>
      </c>
      <c r="H149">
        <f>IF($Q149="","",CHOOSE(WEEKDAY(INDEX(상세표[시작],$Q149)),"일","월","화","수","목","금","토"))</f>
        <v/>
      </c>
      <c r="I149" s="20">
        <f>IF($Q149="","",INDEX(상세표[연속 시간],$Q149))</f>
        <v/>
      </c>
      <c r="J149">
        <f>IF($Q149="","",INDEX(상세표[기록 수],$Q149))</f>
        <v/>
      </c>
      <c r="K149" s="20">
        <f>IF($Q149="","",INDEX(상세표[블록 06~07시],$Q149))</f>
        <v/>
      </c>
      <c r="L149" s="20">
        <f>IF($Q149="","",INDEX(상세표[블록 07~18시],$Q149))</f>
        <v/>
      </c>
      <c r="M149" s="20">
        <f>IF($Q149="","",INDEX(상세표[블록 18~22시],$Q149))</f>
        <v/>
      </c>
      <c r="N149" s="20">
        <f>IF($Q149="","",INDEX(상세표[블록 22~06시],$Q149))</f>
        <v/>
      </c>
      <c r="O149">
        <f>IF($Q149="","",INDEX(상세표[주말·휴일 포함],$Q149)&amp;"")</f>
        <v/>
      </c>
      <c r="P149">
        <f>IF($Q149="","",INDEX(상세표[월 넘김 포함],$Q149)&amp;"")</f>
        <v/>
      </c>
      <c r="Q149" s="4">
        <f>IFERROR(MATCH(144,상세표[연속순번],0),"")</f>
        <v/>
      </c>
    </row>
    <row r="150">
      <c r="A150">
        <f>IF($Q150="","",INDEX(상세표[부서],$Q150)&amp;"")</f>
        <v/>
      </c>
      <c r="B150">
        <f>IF($Q150="","",INDEX(상세표[사번],$Q150)&amp;"")</f>
        <v/>
      </c>
      <c r="C150">
        <f>IF($Q150="","",INDEX(상세표[성명],$Q150)&amp;"")</f>
        <v/>
      </c>
      <c r="D150">
        <f>IF($Q150="","",INDEX(상세표[직위],$Q150)&amp;"")</f>
        <v/>
      </c>
      <c r="E150">
        <f>IF($Q150="","",IF(ISNUMBER(INDEX(상세표[근무일자],$Q150)),TEXT(INDEX(상세표[근무일자],$Q150),"yyyy-mm-dd"),INDEX(상세표[근무일자],$Q150)&amp;""))</f>
        <v/>
      </c>
      <c r="F150">
        <f>IF($Q150="","",IF(ISNUMBER(INDEX(상세표[시작],$Q150)),TEXT(INDEX(상세표[시작],$Q150),"yyyy-mm-dd hh:mm"),INDEX(상세표[시작],$Q150)&amp;""))</f>
        <v/>
      </c>
      <c r="G150">
        <f>IF($Q150="","",IF(ISNUMBER(INDEX(상세표[블록종료],$Q150)),TEXT(INDEX(상세표[블록종료],$Q150),"yyyy-mm-dd hh:mm"),INDEX(상세표[블록종료],$Q150)&amp;""))</f>
        <v/>
      </c>
      <c r="H150">
        <f>IF($Q150="","",CHOOSE(WEEKDAY(INDEX(상세표[시작],$Q150)),"일","월","화","수","목","금","토"))</f>
        <v/>
      </c>
      <c r="I150" s="20">
        <f>IF($Q150="","",INDEX(상세표[연속 시간],$Q150))</f>
        <v/>
      </c>
      <c r="J150">
        <f>IF($Q150="","",INDEX(상세표[기록 수],$Q150))</f>
        <v/>
      </c>
      <c r="K150" s="20">
        <f>IF($Q150="","",INDEX(상세표[블록 06~07시],$Q150))</f>
        <v/>
      </c>
      <c r="L150" s="20">
        <f>IF($Q150="","",INDEX(상세표[블록 07~18시],$Q150))</f>
        <v/>
      </c>
      <c r="M150" s="20">
        <f>IF($Q150="","",INDEX(상세표[블록 18~22시],$Q150))</f>
        <v/>
      </c>
      <c r="N150" s="20">
        <f>IF($Q150="","",INDEX(상세표[블록 22~06시],$Q150))</f>
        <v/>
      </c>
      <c r="O150">
        <f>IF($Q150="","",INDEX(상세표[주말·휴일 포함],$Q150)&amp;"")</f>
        <v/>
      </c>
      <c r="P150">
        <f>IF($Q150="","",INDEX(상세표[월 넘김 포함],$Q150)&amp;"")</f>
        <v/>
      </c>
      <c r="Q150" s="4">
        <f>IFERROR(MATCH(145,상세표[연속순번],0),"")</f>
        <v/>
      </c>
    </row>
    <row r="151">
      <c r="A151">
        <f>IF($Q151="","",INDEX(상세표[부서],$Q151)&amp;"")</f>
        <v/>
      </c>
      <c r="B151">
        <f>IF($Q151="","",INDEX(상세표[사번],$Q151)&amp;"")</f>
        <v/>
      </c>
      <c r="C151">
        <f>IF($Q151="","",INDEX(상세표[성명],$Q151)&amp;"")</f>
        <v/>
      </c>
      <c r="D151">
        <f>IF($Q151="","",INDEX(상세표[직위],$Q151)&amp;"")</f>
        <v/>
      </c>
      <c r="E151">
        <f>IF($Q151="","",IF(ISNUMBER(INDEX(상세표[근무일자],$Q151)),TEXT(INDEX(상세표[근무일자],$Q151),"yyyy-mm-dd"),INDEX(상세표[근무일자],$Q151)&amp;""))</f>
        <v/>
      </c>
      <c r="F151">
        <f>IF($Q151="","",IF(ISNUMBER(INDEX(상세표[시작],$Q151)),TEXT(INDEX(상세표[시작],$Q151),"yyyy-mm-dd hh:mm"),INDEX(상세표[시작],$Q151)&amp;""))</f>
        <v/>
      </c>
      <c r="G151">
        <f>IF($Q151="","",IF(ISNUMBER(INDEX(상세표[블록종료],$Q151)),TEXT(INDEX(상세표[블록종료],$Q151),"yyyy-mm-dd hh:mm"),INDEX(상세표[블록종료],$Q151)&amp;""))</f>
        <v/>
      </c>
      <c r="H151">
        <f>IF($Q151="","",CHOOSE(WEEKDAY(INDEX(상세표[시작],$Q151)),"일","월","화","수","목","금","토"))</f>
        <v/>
      </c>
      <c r="I151" s="20">
        <f>IF($Q151="","",INDEX(상세표[연속 시간],$Q151))</f>
        <v/>
      </c>
      <c r="J151">
        <f>IF($Q151="","",INDEX(상세표[기록 수],$Q151))</f>
        <v/>
      </c>
      <c r="K151" s="20">
        <f>IF($Q151="","",INDEX(상세표[블록 06~07시],$Q151))</f>
        <v/>
      </c>
      <c r="L151" s="20">
        <f>IF($Q151="","",INDEX(상세표[블록 07~18시],$Q151))</f>
        <v/>
      </c>
      <c r="M151" s="20">
        <f>IF($Q151="","",INDEX(상세표[블록 18~22시],$Q151))</f>
        <v/>
      </c>
      <c r="N151" s="20">
        <f>IF($Q151="","",INDEX(상세표[블록 22~06시],$Q151))</f>
        <v/>
      </c>
      <c r="O151">
        <f>IF($Q151="","",INDEX(상세표[주말·휴일 포함],$Q151)&amp;"")</f>
        <v/>
      </c>
      <c r="P151">
        <f>IF($Q151="","",INDEX(상세표[월 넘김 포함],$Q151)&amp;"")</f>
        <v/>
      </c>
      <c r="Q151" s="4">
        <f>IFERROR(MATCH(146,상세표[연속순번],0),"")</f>
        <v/>
      </c>
    </row>
    <row r="152">
      <c r="A152">
        <f>IF($Q152="","",INDEX(상세표[부서],$Q152)&amp;"")</f>
        <v/>
      </c>
      <c r="B152">
        <f>IF($Q152="","",INDEX(상세표[사번],$Q152)&amp;"")</f>
        <v/>
      </c>
      <c r="C152">
        <f>IF($Q152="","",INDEX(상세표[성명],$Q152)&amp;"")</f>
        <v/>
      </c>
      <c r="D152">
        <f>IF($Q152="","",INDEX(상세표[직위],$Q152)&amp;"")</f>
        <v/>
      </c>
      <c r="E152">
        <f>IF($Q152="","",IF(ISNUMBER(INDEX(상세표[근무일자],$Q152)),TEXT(INDEX(상세표[근무일자],$Q152),"yyyy-mm-dd"),INDEX(상세표[근무일자],$Q152)&amp;""))</f>
        <v/>
      </c>
      <c r="F152">
        <f>IF($Q152="","",IF(ISNUMBER(INDEX(상세표[시작],$Q152)),TEXT(INDEX(상세표[시작],$Q152),"yyyy-mm-dd hh:mm"),INDEX(상세표[시작],$Q152)&amp;""))</f>
        <v/>
      </c>
      <c r="G152">
        <f>IF($Q152="","",IF(ISNUMBER(INDEX(상세표[블록종료],$Q152)),TEXT(INDEX(상세표[블록종료],$Q152),"yyyy-mm-dd hh:mm"),INDEX(상세표[블록종료],$Q152)&amp;""))</f>
        <v/>
      </c>
      <c r="H152">
        <f>IF($Q152="","",CHOOSE(WEEKDAY(INDEX(상세표[시작],$Q152)),"일","월","화","수","목","금","토"))</f>
        <v/>
      </c>
      <c r="I152" s="20">
        <f>IF($Q152="","",INDEX(상세표[연속 시간],$Q152))</f>
        <v/>
      </c>
      <c r="J152">
        <f>IF($Q152="","",INDEX(상세표[기록 수],$Q152))</f>
        <v/>
      </c>
      <c r="K152" s="20">
        <f>IF($Q152="","",INDEX(상세표[블록 06~07시],$Q152))</f>
        <v/>
      </c>
      <c r="L152" s="20">
        <f>IF($Q152="","",INDEX(상세표[블록 07~18시],$Q152))</f>
        <v/>
      </c>
      <c r="M152" s="20">
        <f>IF($Q152="","",INDEX(상세표[블록 18~22시],$Q152))</f>
        <v/>
      </c>
      <c r="N152" s="20">
        <f>IF($Q152="","",INDEX(상세표[블록 22~06시],$Q152))</f>
        <v/>
      </c>
      <c r="O152">
        <f>IF($Q152="","",INDEX(상세표[주말·휴일 포함],$Q152)&amp;"")</f>
        <v/>
      </c>
      <c r="P152">
        <f>IF($Q152="","",INDEX(상세표[월 넘김 포함],$Q152)&amp;"")</f>
        <v/>
      </c>
      <c r="Q152" s="4">
        <f>IFERROR(MATCH(147,상세표[연속순번],0),"")</f>
        <v/>
      </c>
    </row>
    <row r="153">
      <c r="A153">
        <f>IF($Q153="","",INDEX(상세표[부서],$Q153)&amp;"")</f>
        <v/>
      </c>
      <c r="B153">
        <f>IF($Q153="","",INDEX(상세표[사번],$Q153)&amp;"")</f>
        <v/>
      </c>
      <c r="C153">
        <f>IF($Q153="","",INDEX(상세표[성명],$Q153)&amp;"")</f>
        <v/>
      </c>
      <c r="D153">
        <f>IF($Q153="","",INDEX(상세표[직위],$Q153)&amp;"")</f>
        <v/>
      </c>
      <c r="E153">
        <f>IF($Q153="","",IF(ISNUMBER(INDEX(상세표[근무일자],$Q153)),TEXT(INDEX(상세표[근무일자],$Q153),"yyyy-mm-dd"),INDEX(상세표[근무일자],$Q153)&amp;""))</f>
        <v/>
      </c>
      <c r="F153">
        <f>IF($Q153="","",IF(ISNUMBER(INDEX(상세표[시작],$Q153)),TEXT(INDEX(상세표[시작],$Q153),"yyyy-mm-dd hh:mm"),INDEX(상세표[시작],$Q153)&amp;""))</f>
        <v/>
      </c>
      <c r="G153">
        <f>IF($Q153="","",IF(ISNUMBER(INDEX(상세표[블록종료],$Q153)),TEXT(INDEX(상세표[블록종료],$Q153),"yyyy-mm-dd hh:mm"),INDEX(상세표[블록종료],$Q153)&amp;""))</f>
        <v/>
      </c>
      <c r="H153">
        <f>IF($Q153="","",CHOOSE(WEEKDAY(INDEX(상세표[시작],$Q153)),"일","월","화","수","목","금","토"))</f>
        <v/>
      </c>
      <c r="I153" s="20">
        <f>IF($Q153="","",INDEX(상세표[연속 시간],$Q153))</f>
        <v/>
      </c>
      <c r="J153">
        <f>IF($Q153="","",INDEX(상세표[기록 수],$Q153))</f>
        <v/>
      </c>
      <c r="K153" s="20">
        <f>IF($Q153="","",INDEX(상세표[블록 06~07시],$Q153))</f>
        <v/>
      </c>
      <c r="L153" s="20">
        <f>IF($Q153="","",INDEX(상세표[블록 07~18시],$Q153))</f>
        <v/>
      </c>
      <c r="M153" s="20">
        <f>IF($Q153="","",INDEX(상세표[블록 18~22시],$Q153))</f>
        <v/>
      </c>
      <c r="N153" s="20">
        <f>IF($Q153="","",INDEX(상세표[블록 22~06시],$Q153))</f>
        <v/>
      </c>
      <c r="O153">
        <f>IF($Q153="","",INDEX(상세표[주말·휴일 포함],$Q153)&amp;"")</f>
        <v/>
      </c>
      <c r="P153">
        <f>IF($Q153="","",INDEX(상세표[월 넘김 포함],$Q153)&amp;"")</f>
        <v/>
      </c>
      <c r="Q153" s="4">
        <f>IFERROR(MATCH(148,상세표[연속순번],0),"")</f>
        <v/>
      </c>
    </row>
    <row r="154">
      <c r="A154">
        <f>IF($Q154="","",INDEX(상세표[부서],$Q154)&amp;"")</f>
        <v/>
      </c>
      <c r="B154">
        <f>IF($Q154="","",INDEX(상세표[사번],$Q154)&amp;"")</f>
        <v/>
      </c>
      <c r="C154">
        <f>IF($Q154="","",INDEX(상세표[성명],$Q154)&amp;"")</f>
        <v/>
      </c>
      <c r="D154">
        <f>IF($Q154="","",INDEX(상세표[직위],$Q154)&amp;"")</f>
        <v/>
      </c>
      <c r="E154">
        <f>IF($Q154="","",IF(ISNUMBER(INDEX(상세표[근무일자],$Q154)),TEXT(INDEX(상세표[근무일자],$Q154),"yyyy-mm-dd"),INDEX(상세표[근무일자],$Q154)&amp;""))</f>
        <v/>
      </c>
      <c r="F154">
        <f>IF($Q154="","",IF(ISNUMBER(INDEX(상세표[시작],$Q154)),TEXT(INDEX(상세표[시작],$Q154),"yyyy-mm-dd hh:mm"),INDEX(상세표[시작],$Q154)&amp;""))</f>
        <v/>
      </c>
      <c r="G154">
        <f>IF($Q154="","",IF(ISNUMBER(INDEX(상세표[블록종료],$Q154)),TEXT(INDEX(상세표[블록종료],$Q154),"yyyy-mm-dd hh:mm"),INDEX(상세표[블록종료],$Q154)&amp;""))</f>
        <v/>
      </c>
      <c r="H154">
        <f>IF($Q154="","",CHOOSE(WEEKDAY(INDEX(상세표[시작],$Q154)),"일","월","화","수","목","금","토"))</f>
        <v/>
      </c>
      <c r="I154" s="20">
        <f>IF($Q154="","",INDEX(상세표[연속 시간],$Q154))</f>
        <v/>
      </c>
      <c r="J154">
        <f>IF($Q154="","",INDEX(상세표[기록 수],$Q154))</f>
        <v/>
      </c>
      <c r="K154" s="20">
        <f>IF($Q154="","",INDEX(상세표[블록 06~07시],$Q154))</f>
        <v/>
      </c>
      <c r="L154" s="20">
        <f>IF($Q154="","",INDEX(상세표[블록 07~18시],$Q154))</f>
        <v/>
      </c>
      <c r="M154" s="20">
        <f>IF($Q154="","",INDEX(상세표[블록 18~22시],$Q154))</f>
        <v/>
      </c>
      <c r="N154" s="20">
        <f>IF($Q154="","",INDEX(상세표[블록 22~06시],$Q154))</f>
        <v/>
      </c>
      <c r="O154">
        <f>IF($Q154="","",INDEX(상세표[주말·휴일 포함],$Q154)&amp;"")</f>
        <v/>
      </c>
      <c r="P154">
        <f>IF($Q154="","",INDEX(상세표[월 넘김 포함],$Q154)&amp;"")</f>
        <v/>
      </c>
      <c r="Q154" s="4">
        <f>IFERROR(MATCH(149,상세표[연속순번],0),"")</f>
        <v/>
      </c>
    </row>
    <row r="155">
      <c r="A155">
        <f>IF($Q155="","",INDEX(상세표[부서],$Q155)&amp;"")</f>
        <v/>
      </c>
      <c r="B155">
        <f>IF($Q155="","",INDEX(상세표[사번],$Q155)&amp;"")</f>
        <v/>
      </c>
      <c r="C155">
        <f>IF($Q155="","",INDEX(상세표[성명],$Q155)&amp;"")</f>
        <v/>
      </c>
      <c r="D155">
        <f>IF($Q155="","",INDEX(상세표[직위],$Q155)&amp;"")</f>
        <v/>
      </c>
      <c r="E155">
        <f>IF($Q155="","",IF(ISNUMBER(INDEX(상세표[근무일자],$Q155)),TEXT(INDEX(상세표[근무일자],$Q155),"yyyy-mm-dd"),INDEX(상세표[근무일자],$Q155)&amp;""))</f>
        <v/>
      </c>
      <c r="F155">
        <f>IF($Q155="","",IF(ISNUMBER(INDEX(상세표[시작],$Q155)),TEXT(INDEX(상세표[시작],$Q155),"yyyy-mm-dd hh:mm"),INDEX(상세표[시작],$Q155)&amp;""))</f>
        <v/>
      </c>
      <c r="G155">
        <f>IF($Q155="","",IF(ISNUMBER(INDEX(상세표[블록종료],$Q155)),TEXT(INDEX(상세표[블록종료],$Q155),"yyyy-mm-dd hh:mm"),INDEX(상세표[블록종료],$Q155)&amp;""))</f>
        <v/>
      </c>
      <c r="H155">
        <f>IF($Q155="","",CHOOSE(WEEKDAY(INDEX(상세표[시작],$Q155)),"일","월","화","수","목","금","토"))</f>
        <v/>
      </c>
      <c r="I155" s="20">
        <f>IF($Q155="","",INDEX(상세표[연속 시간],$Q155))</f>
        <v/>
      </c>
      <c r="J155">
        <f>IF($Q155="","",INDEX(상세표[기록 수],$Q155))</f>
        <v/>
      </c>
      <c r="K155" s="20">
        <f>IF($Q155="","",INDEX(상세표[블록 06~07시],$Q155))</f>
        <v/>
      </c>
      <c r="L155" s="20">
        <f>IF($Q155="","",INDEX(상세표[블록 07~18시],$Q155))</f>
        <v/>
      </c>
      <c r="M155" s="20">
        <f>IF($Q155="","",INDEX(상세표[블록 18~22시],$Q155))</f>
        <v/>
      </c>
      <c r="N155" s="20">
        <f>IF($Q155="","",INDEX(상세표[블록 22~06시],$Q155))</f>
        <v/>
      </c>
      <c r="O155">
        <f>IF($Q155="","",INDEX(상세표[주말·휴일 포함],$Q155)&amp;"")</f>
        <v/>
      </c>
      <c r="P155">
        <f>IF($Q155="","",INDEX(상세표[월 넘김 포함],$Q155)&amp;"")</f>
        <v/>
      </c>
      <c r="Q155" s="4">
        <f>IFERROR(MATCH(150,상세표[연속순번],0),"")</f>
        <v/>
      </c>
    </row>
    <row r="156">
      <c r="A156">
        <f>IF($Q156="","",INDEX(상세표[부서],$Q156)&amp;"")</f>
        <v/>
      </c>
      <c r="B156">
        <f>IF($Q156="","",INDEX(상세표[사번],$Q156)&amp;"")</f>
        <v/>
      </c>
      <c r="C156">
        <f>IF($Q156="","",INDEX(상세표[성명],$Q156)&amp;"")</f>
        <v/>
      </c>
      <c r="D156">
        <f>IF($Q156="","",INDEX(상세표[직위],$Q156)&amp;"")</f>
        <v/>
      </c>
      <c r="E156">
        <f>IF($Q156="","",IF(ISNUMBER(INDEX(상세표[근무일자],$Q156)),TEXT(INDEX(상세표[근무일자],$Q156),"yyyy-mm-dd"),INDEX(상세표[근무일자],$Q156)&amp;""))</f>
        <v/>
      </c>
      <c r="F156">
        <f>IF($Q156="","",IF(ISNUMBER(INDEX(상세표[시작],$Q156)),TEXT(INDEX(상세표[시작],$Q156),"yyyy-mm-dd hh:mm"),INDEX(상세표[시작],$Q156)&amp;""))</f>
        <v/>
      </c>
      <c r="G156">
        <f>IF($Q156="","",IF(ISNUMBER(INDEX(상세표[블록종료],$Q156)),TEXT(INDEX(상세표[블록종료],$Q156),"yyyy-mm-dd hh:mm"),INDEX(상세표[블록종료],$Q156)&amp;""))</f>
        <v/>
      </c>
      <c r="H156">
        <f>IF($Q156="","",CHOOSE(WEEKDAY(INDEX(상세표[시작],$Q156)),"일","월","화","수","목","금","토"))</f>
        <v/>
      </c>
      <c r="I156" s="20">
        <f>IF($Q156="","",INDEX(상세표[연속 시간],$Q156))</f>
        <v/>
      </c>
      <c r="J156">
        <f>IF($Q156="","",INDEX(상세표[기록 수],$Q156))</f>
        <v/>
      </c>
      <c r="K156" s="20">
        <f>IF($Q156="","",INDEX(상세표[블록 06~07시],$Q156))</f>
        <v/>
      </c>
      <c r="L156" s="20">
        <f>IF($Q156="","",INDEX(상세표[블록 07~18시],$Q156))</f>
        <v/>
      </c>
      <c r="M156" s="20">
        <f>IF($Q156="","",INDEX(상세표[블록 18~22시],$Q156))</f>
        <v/>
      </c>
      <c r="N156" s="20">
        <f>IF($Q156="","",INDEX(상세표[블록 22~06시],$Q156))</f>
        <v/>
      </c>
      <c r="O156">
        <f>IF($Q156="","",INDEX(상세표[주말·휴일 포함],$Q156)&amp;"")</f>
        <v/>
      </c>
      <c r="P156">
        <f>IF($Q156="","",INDEX(상세표[월 넘김 포함],$Q156)&amp;"")</f>
        <v/>
      </c>
      <c r="Q156" s="4">
        <f>IFERROR(MATCH(151,상세표[연속순번],0),"")</f>
        <v/>
      </c>
    </row>
    <row r="157">
      <c r="A157">
        <f>IF($Q157="","",INDEX(상세표[부서],$Q157)&amp;"")</f>
        <v/>
      </c>
      <c r="B157">
        <f>IF($Q157="","",INDEX(상세표[사번],$Q157)&amp;"")</f>
        <v/>
      </c>
      <c r="C157">
        <f>IF($Q157="","",INDEX(상세표[성명],$Q157)&amp;"")</f>
        <v/>
      </c>
      <c r="D157">
        <f>IF($Q157="","",INDEX(상세표[직위],$Q157)&amp;"")</f>
        <v/>
      </c>
      <c r="E157">
        <f>IF($Q157="","",IF(ISNUMBER(INDEX(상세표[근무일자],$Q157)),TEXT(INDEX(상세표[근무일자],$Q157),"yyyy-mm-dd"),INDEX(상세표[근무일자],$Q157)&amp;""))</f>
        <v/>
      </c>
      <c r="F157">
        <f>IF($Q157="","",IF(ISNUMBER(INDEX(상세표[시작],$Q157)),TEXT(INDEX(상세표[시작],$Q157),"yyyy-mm-dd hh:mm"),INDEX(상세표[시작],$Q157)&amp;""))</f>
        <v/>
      </c>
      <c r="G157">
        <f>IF($Q157="","",IF(ISNUMBER(INDEX(상세표[블록종료],$Q157)),TEXT(INDEX(상세표[블록종료],$Q157),"yyyy-mm-dd hh:mm"),INDEX(상세표[블록종료],$Q157)&amp;""))</f>
        <v/>
      </c>
      <c r="H157">
        <f>IF($Q157="","",CHOOSE(WEEKDAY(INDEX(상세표[시작],$Q157)),"일","월","화","수","목","금","토"))</f>
        <v/>
      </c>
      <c r="I157" s="20">
        <f>IF($Q157="","",INDEX(상세표[연속 시간],$Q157))</f>
        <v/>
      </c>
      <c r="J157">
        <f>IF($Q157="","",INDEX(상세표[기록 수],$Q157))</f>
        <v/>
      </c>
      <c r="K157" s="20">
        <f>IF($Q157="","",INDEX(상세표[블록 06~07시],$Q157))</f>
        <v/>
      </c>
      <c r="L157" s="20">
        <f>IF($Q157="","",INDEX(상세표[블록 07~18시],$Q157))</f>
        <v/>
      </c>
      <c r="M157" s="20">
        <f>IF($Q157="","",INDEX(상세표[블록 18~22시],$Q157))</f>
        <v/>
      </c>
      <c r="N157" s="20">
        <f>IF($Q157="","",INDEX(상세표[블록 22~06시],$Q157))</f>
        <v/>
      </c>
      <c r="O157">
        <f>IF($Q157="","",INDEX(상세표[주말·휴일 포함],$Q157)&amp;"")</f>
        <v/>
      </c>
      <c r="P157">
        <f>IF($Q157="","",INDEX(상세표[월 넘김 포함],$Q157)&amp;"")</f>
        <v/>
      </c>
      <c r="Q157" s="4">
        <f>IFERROR(MATCH(152,상세표[연속순번],0),"")</f>
        <v/>
      </c>
    </row>
    <row r="158">
      <c r="A158">
        <f>IF($Q158="","",INDEX(상세표[부서],$Q158)&amp;"")</f>
        <v/>
      </c>
      <c r="B158">
        <f>IF($Q158="","",INDEX(상세표[사번],$Q158)&amp;"")</f>
        <v/>
      </c>
      <c r="C158">
        <f>IF($Q158="","",INDEX(상세표[성명],$Q158)&amp;"")</f>
        <v/>
      </c>
      <c r="D158">
        <f>IF($Q158="","",INDEX(상세표[직위],$Q158)&amp;"")</f>
        <v/>
      </c>
      <c r="E158">
        <f>IF($Q158="","",IF(ISNUMBER(INDEX(상세표[근무일자],$Q158)),TEXT(INDEX(상세표[근무일자],$Q158),"yyyy-mm-dd"),INDEX(상세표[근무일자],$Q158)&amp;""))</f>
        <v/>
      </c>
      <c r="F158">
        <f>IF($Q158="","",IF(ISNUMBER(INDEX(상세표[시작],$Q158)),TEXT(INDEX(상세표[시작],$Q158),"yyyy-mm-dd hh:mm"),INDEX(상세표[시작],$Q158)&amp;""))</f>
        <v/>
      </c>
      <c r="G158">
        <f>IF($Q158="","",IF(ISNUMBER(INDEX(상세표[블록종료],$Q158)),TEXT(INDEX(상세표[블록종료],$Q158),"yyyy-mm-dd hh:mm"),INDEX(상세표[블록종료],$Q158)&amp;""))</f>
        <v/>
      </c>
      <c r="H158">
        <f>IF($Q158="","",CHOOSE(WEEKDAY(INDEX(상세표[시작],$Q158)),"일","월","화","수","목","금","토"))</f>
        <v/>
      </c>
      <c r="I158" s="20">
        <f>IF($Q158="","",INDEX(상세표[연속 시간],$Q158))</f>
        <v/>
      </c>
      <c r="J158">
        <f>IF($Q158="","",INDEX(상세표[기록 수],$Q158))</f>
        <v/>
      </c>
      <c r="K158" s="20">
        <f>IF($Q158="","",INDEX(상세표[블록 06~07시],$Q158))</f>
        <v/>
      </c>
      <c r="L158" s="20">
        <f>IF($Q158="","",INDEX(상세표[블록 07~18시],$Q158))</f>
        <v/>
      </c>
      <c r="M158" s="20">
        <f>IF($Q158="","",INDEX(상세표[블록 18~22시],$Q158))</f>
        <v/>
      </c>
      <c r="N158" s="20">
        <f>IF($Q158="","",INDEX(상세표[블록 22~06시],$Q158))</f>
        <v/>
      </c>
      <c r="O158">
        <f>IF($Q158="","",INDEX(상세표[주말·휴일 포함],$Q158)&amp;"")</f>
        <v/>
      </c>
      <c r="P158">
        <f>IF($Q158="","",INDEX(상세표[월 넘김 포함],$Q158)&amp;"")</f>
        <v/>
      </c>
      <c r="Q158" s="4">
        <f>IFERROR(MATCH(153,상세표[연속순번],0),"")</f>
        <v/>
      </c>
    </row>
    <row r="159">
      <c r="A159">
        <f>IF($Q159="","",INDEX(상세표[부서],$Q159)&amp;"")</f>
        <v/>
      </c>
      <c r="B159">
        <f>IF($Q159="","",INDEX(상세표[사번],$Q159)&amp;"")</f>
        <v/>
      </c>
      <c r="C159">
        <f>IF($Q159="","",INDEX(상세표[성명],$Q159)&amp;"")</f>
        <v/>
      </c>
      <c r="D159">
        <f>IF($Q159="","",INDEX(상세표[직위],$Q159)&amp;"")</f>
        <v/>
      </c>
      <c r="E159">
        <f>IF($Q159="","",IF(ISNUMBER(INDEX(상세표[근무일자],$Q159)),TEXT(INDEX(상세표[근무일자],$Q159),"yyyy-mm-dd"),INDEX(상세표[근무일자],$Q159)&amp;""))</f>
        <v/>
      </c>
      <c r="F159">
        <f>IF($Q159="","",IF(ISNUMBER(INDEX(상세표[시작],$Q159)),TEXT(INDEX(상세표[시작],$Q159),"yyyy-mm-dd hh:mm"),INDEX(상세표[시작],$Q159)&amp;""))</f>
        <v/>
      </c>
      <c r="G159">
        <f>IF($Q159="","",IF(ISNUMBER(INDEX(상세표[블록종료],$Q159)),TEXT(INDEX(상세표[블록종료],$Q159),"yyyy-mm-dd hh:mm"),INDEX(상세표[블록종료],$Q159)&amp;""))</f>
        <v/>
      </c>
      <c r="H159">
        <f>IF($Q159="","",CHOOSE(WEEKDAY(INDEX(상세표[시작],$Q159)),"일","월","화","수","목","금","토"))</f>
        <v/>
      </c>
      <c r="I159" s="20">
        <f>IF($Q159="","",INDEX(상세표[연속 시간],$Q159))</f>
        <v/>
      </c>
      <c r="J159">
        <f>IF($Q159="","",INDEX(상세표[기록 수],$Q159))</f>
        <v/>
      </c>
      <c r="K159" s="20">
        <f>IF($Q159="","",INDEX(상세표[블록 06~07시],$Q159))</f>
        <v/>
      </c>
      <c r="L159" s="20">
        <f>IF($Q159="","",INDEX(상세표[블록 07~18시],$Q159))</f>
        <v/>
      </c>
      <c r="M159" s="20">
        <f>IF($Q159="","",INDEX(상세표[블록 18~22시],$Q159))</f>
        <v/>
      </c>
      <c r="N159" s="20">
        <f>IF($Q159="","",INDEX(상세표[블록 22~06시],$Q159))</f>
        <v/>
      </c>
      <c r="O159">
        <f>IF($Q159="","",INDEX(상세표[주말·휴일 포함],$Q159)&amp;"")</f>
        <v/>
      </c>
      <c r="P159">
        <f>IF($Q159="","",INDEX(상세표[월 넘김 포함],$Q159)&amp;"")</f>
        <v/>
      </c>
      <c r="Q159" s="4">
        <f>IFERROR(MATCH(154,상세표[연속순번],0),"")</f>
        <v/>
      </c>
    </row>
    <row r="160">
      <c r="A160">
        <f>IF($Q160="","",INDEX(상세표[부서],$Q160)&amp;"")</f>
        <v/>
      </c>
      <c r="B160">
        <f>IF($Q160="","",INDEX(상세표[사번],$Q160)&amp;"")</f>
        <v/>
      </c>
      <c r="C160">
        <f>IF($Q160="","",INDEX(상세표[성명],$Q160)&amp;"")</f>
        <v/>
      </c>
      <c r="D160">
        <f>IF($Q160="","",INDEX(상세표[직위],$Q160)&amp;"")</f>
        <v/>
      </c>
      <c r="E160">
        <f>IF($Q160="","",IF(ISNUMBER(INDEX(상세표[근무일자],$Q160)),TEXT(INDEX(상세표[근무일자],$Q160),"yyyy-mm-dd"),INDEX(상세표[근무일자],$Q160)&amp;""))</f>
        <v/>
      </c>
      <c r="F160">
        <f>IF($Q160="","",IF(ISNUMBER(INDEX(상세표[시작],$Q160)),TEXT(INDEX(상세표[시작],$Q160),"yyyy-mm-dd hh:mm"),INDEX(상세표[시작],$Q160)&amp;""))</f>
        <v/>
      </c>
      <c r="G160">
        <f>IF($Q160="","",IF(ISNUMBER(INDEX(상세표[블록종료],$Q160)),TEXT(INDEX(상세표[블록종료],$Q160),"yyyy-mm-dd hh:mm"),INDEX(상세표[블록종료],$Q160)&amp;""))</f>
        <v/>
      </c>
      <c r="H160">
        <f>IF($Q160="","",CHOOSE(WEEKDAY(INDEX(상세표[시작],$Q160)),"일","월","화","수","목","금","토"))</f>
        <v/>
      </c>
      <c r="I160" s="20">
        <f>IF($Q160="","",INDEX(상세표[연속 시간],$Q160))</f>
        <v/>
      </c>
      <c r="J160">
        <f>IF($Q160="","",INDEX(상세표[기록 수],$Q160))</f>
        <v/>
      </c>
      <c r="K160" s="20">
        <f>IF($Q160="","",INDEX(상세표[블록 06~07시],$Q160))</f>
        <v/>
      </c>
      <c r="L160" s="20">
        <f>IF($Q160="","",INDEX(상세표[블록 07~18시],$Q160))</f>
        <v/>
      </c>
      <c r="M160" s="20">
        <f>IF($Q160="","",INDEX(상세표[블록 18~22시],$Q160))</f>
        <v/>
      </c>
      <c r="N160" s="20">
        <f>IF($Q160="","",INDEX(상세표[블록 22~06시],$Q160))</f>
        <v/>
      </c>
      <c r="O160">
        <f>IF($Q160="","",INDEX(상세표[주말·휴일 포함],$Q160)&amp;"")</f>
        <v/>
      </c>
      <c r="P160">
        <f>IF($Q160="","",INDEX(상세표[월 넘김 포함],$Q160)&amp;"")</f>
        <v/>
      </c>
      <c r="Q160" s="4">
        <f>IFERROR(MATCH(155,상세표[연속순번],0),"")</f>
        <v/>
      </c>
    </row>
    <row r="161">
      <c r="A161">
        <f>IF($Q161="","",INDEX(상세표[부서],$Q161)&amp;"")</f>
        <v/>
      </c>
      <c r="B161">
        <f>IF($Q161="","",INDEX(상세표[사번],$Q161)&amp;"")</f>
        <v/>
      </c>
      <c r="C161">
        <f>IF($Q161="","",INDEX(상세표[성명],$Q161)&amp;"")</f>
        <v/>
      </c>
      <c r="D161">
        <f>IF($Q161="","",INDEX(상세표[직위],$Q161)&amp;"")</f>
        <v/>
      </c>
      <c r="E161">
        <f>IF($Q161="","",IF(ISNUMBER(INDEX(상세표[근무일자],$Q161)),TEXT(INDEX(상세표[근무일자],$Q161),"yyyy-mm-dd"),INDEX(상세표[근무일자],$Q161)&amp;""))</f>
        <v/>
      </c>
      <c r="F161">
        <f>IF($Q161="","",IF(ISNUMBER(INDEX(상세표[시작],$Q161)),TEXT(INDEX(상세표[시작],$Q161),"yyyy-mm-dd hh:mm"),INDEX(상세표[시작],$Q161)&amp;""))</f>
        <v/>
      </c>
      <c r="G161">
        <f>IF($Q161="","",IF(ISNUMBER(INDEX(상세표[블록종료],$Q161)),TEXT(INDEX(상세표[블록종료],$Q161),"yyyy-mm-dd hh:mm"),INDEX(상세표[블록종료],$Q161)&amp;""))</f>
        <v/>
      </c>
      <c r="H161">
        <f>IF($Q161="","",CHOOSE(WEEKDAY(INDEX(상세표[시작],$Q161)),"일","월","화","수","목","금","토"))</f>
        <v/>
      </c>
      <c r="I161" s="20">
        <f>IF($Q161="","",INDEX(상세표[연속 시간],$Q161))</f>
        <v/>
      </c>
      <c r="J161">
        <f>IF($Q161="","",INDEX(상세표[기록 수],$Q161))</f>
        <v/>
      </c>
      <c r="K161" s="20">
        <f>IF($Q161="","",INDEX(상세표[블록 06~07시],$Q161))</f>
        <v/>
      </c>
      <c r="L161" s="20">
        <f>IF($Q161="","",INDEX(상세표[블록 07~18시],$Q161))</f>
        <v/>
      </c>
      <c r="M161" s="20">
        <f>IF($Q161="","",INDEX(상세표[블록 18~22시],$Q161))</f>
        <v/>
      </c>
      <c r="N161" s="20">
        <f>IF($Q161="","",INDEX(상세표[블록 22~06시],$Q161))</f>
        <v/>
      </c>
      <c r="O161">
        <f>IF($Q161="","",INDEX(상세표[주말·휴일 포함],$Q161)&amp;"")</f>
        <v/>
      </c>
      <c r="P161">
        <f>IF($Q161="","",INDEX(상세표[월 넘김 포함],$Q161)&amp;"")</f>
        <v/>
      </c>
      <c r="Q161" s="4">
        <f>IFERROR(MATCH(156,상세표[연속순번],0),"")</f>
        <v/>
      </c>
    </row>
    <row r="162">
      <c r="A162">
        <f>IF($Q162="","",INDEX(상세표[부서],$Q162)&amp;"")</f>
        <v/>
      </c>
      <c r="B162">
        <f>IF($Q162="","",INDEX(상세표[사번],$Q162)&amp;"")</f>
        <v/>
      </c>
      <c r="C162">
        <f>IF($Q162="","",INDEX(상세표[성명],$Q162)&amp;"")</f>
        <v/>
      </c>
      <c r="D162">
        <f>IF($Q162="","",INDEX(상세표[직위],$Q162)&amp;"")</f>
        <v/>
      </c>
      <c r="E162">
        <f>IF($Q162="","",IF(ISNUMBER(INDEX(상세표[근무일자],$Q162)),TEXT(INDEX(상세표[근무일자],$Q162),"yyyy-mm-dd"),INDEX(상세표[근무일자],$Q162)&amp;""))</f>
        <v/>
      </c>
      <c r="F162">
        <f>IF($Q162="","",IF(ISNUMBER(INDEX(상세표[시작],$Q162)),TEXT(INDEX(상세표[시작],$Q162),"yyyy-mm-dd hh:mm"),INDEX(상세표[시작],$Q162)&amp;""))</f>
        <v/>
      </c>
      <c r="G162">
        <f>IF($Q162="","",IF(ISNUMBER(INDEX(상세표[블록종료],$Q162)),TEXT(INDEX(상세표[블록종료],$Q162),"yyyy-mm-dd hh:mm"),INDEX(상세표[블록종료],$Q162)&amp;""))</f>
        <v/>
      </c>
      <c r="H162">
        <f>IF($Q162="","",CHOOSE(WEEKDAY(INDEX(상세표[시작],$Q162)),"일","월","화","수","목","금","토"))</f>
        <v/>
      </c>
      <c r="I162" s="20">
        <f>IF($Q162="","",INDEX(상세표[연속 시간],$Q162))</f>
        <v/>
      </c>
      <c r="J162">
        <f>IF($Q162="","",INDEX(상세표[기록 수],$Q162))</f>
        <v/>
      </c>
      <c r="K162" s="20">
        <f>IF($Q162="","",INDEX(상세표[블록 06~07시],$Q162))</f>
        <v/>
      </c>
      <c r="L162" s="20">
        <f>IF($Q162="","",INDEX(상세표[블록 07~18시],$Q162))</f>
        <v/>
      </c>
      <c r="M162" s="20">
        <f>IF($Q162="","",INDEX(상세표[블록 18~22시],$Q162))</f>
        <v/>
      </c>
      <c r="N162" s="20">
        <f>IF($Q162="","",INDEX(상세표[블록 22~06시],$Q162))</f>
        <v/>
      </c>
      <c r="O162">
        <f>IF($Q162="","",INDEX(상세표[주말·휴일 포함],$Q162)&amp;"")</f>
        <v/>
      </c>
      <c r="P162">
        <f>IF($Q162="","",INDEX(상세표[월 넘김 포함],$Q162)&amp;"")</f>
        <v/>
      </c>
      <c r="Q162" s="4">
        <f>IFERROR(MATCH(157,상세표[연속순번],0),"")</f>
        <v/>
      </c>
    </row>
    <row r="163">
      <c r="A163">
        <f>IF($Q163="","",INDEX(상세표[부서],$Q163)&amp;"")</f>
        <v/>
      </c>
      <c r="B163">
        <f>IF($Q163="","",INDEX(상세표[사번],$Q163)&amp;"")</f>
        <v/>
      </c>
      <c r="C163">
        <f>IF($Q163="","",INDEX(상세표[성명],$Q163)&amp;"")</f>
        <v/>
      </c>
      <c r="D163">
        <f>IF($Q163="","",INDEX(상세표[직위],$Q163)&amp;"")</f>
        <v/>
      </c>
      <c r="E163">
        <f>IF($Q163="","",IF(ISNUMBER(INDEX(상세표[근무일자],$Q163)),TEXT(INDEX(상세표[근무일자],$Q163),"yyyy-mm-dd"),INDEX(상세표[근무일자],$Q163)&amp;""))</f>
        <v/>
      </c>
      <c r="F163">
        <f>IF($Q163="","",IF(ISNUMBER(INDEX(상세표[시작],$Q163)),TEXT(INDEX(상세표[시작],$Q163),"yyyy-mm-dd hh:mm"),INDEX(상세표[시작],$Q163)&amp;""))</f>
        <v/>
      </c>
      <c r="G163">
        <f>IF($Q163="","",IF(ISNUMBER(INDEX(상세표[블록종료],$Q163)),TEXT(INDEX(상세표[블록종료],$Q163),"yyyy-mm-dd hh:mm"),INDEX(상세표[블록종료],$Q163)&amp;""))</f>
        <v/>
      </c>
      <c r="H163">
        <f>IF($Q163="","",CHOOSE(WEEKDAY(INDEX(상세표[시작],$Q163)),"일","월","화","수","목","금","토"))</f>
        <v/>
      </c>
      <c r="I163" s="20">
        <f>IF($Q163="","",INDEX(상세표[연속 시간],$Q163))</f>
        <v/>
      </c>
      <c r="J163">
        <f>IF($Q163="","",INDEX(상세표[기록 수],$Q163))</f>
        <v/>
      </c>
      <c r="K163" s="20">
        <f>IF($Q163="","",INDEX(상세표[블록 06~07시],$Q163))</f>
        <v/>
      </c>
      <c r="L163" s="20">
        <f>IF($Q163="","",INDEX(상세표[블록 07~18시],$Q163))</f>
        <v/>
      </c>
      <c r="M163" s="20">
        <f>IF($Q163="","",INDEX(상세표[블록 18~22시],$Q163))</f>
        <v/>
      </c>
      <c r="N163" s="20">
        <f>IF($Q163="","",INDEX(상세표[블록 22~06시],$Q163))</f>
        <v/>
      </c>
      <c r="O163">
        <f>IF($Q163="","",INDEX(상세표[주말·휴일 포함],$Q163)&amp;"")</f>
        <v/>
      </c>
      <c r="P163">
        <f>IF($Q163="","",INDEX(상세표[월 넘김 포함],$Q163)&amp;"")</f>
        <v/>
      </c>
      <c r="Q163" s="4">
        <f>IFERROR(MATCH(158,상세표[연속순번],0),"")</f>
        <v/>
      </c>
    </row>
    <row r="164">
      <c r="A164">
        <f>IF($Q164="","",INDEX(상세표[부서],$Q164)&amp;"")</f>
        <v/>
      </c>
      <c r="B164">
        <f>IF($Q164="","",INDEX(상세표[사번],$Q164)&amp;"")</f>
        <v/>
      </c>
      <c r="C164">
        <f>IF($Q164="","",INDEX(상세표[성명],$Q164)&amp;"")</f>
        <v/>
      </c>
      <c r="D164">
        <f>IF($Q164="","",INDEX(상세표[직위],$Q164)&amp;"")</f>
        <v/>
      </c>
      <c r="E164">
        <f>IF($Q164="","",IF(ISNUMBER(INDEX(상세표[근무일자],$Q164)),TEXT(INDEX(상세표[근무일자],$Q164),"yyyy-mm-dd"),INDEX(상세표[근무일자],$Q164)&amp;""))</f>
        <v/>
      </c>
      <c r="F164">
        <f>IF($Q164="","",IF(ISNUMBER(INDEX(상세표[시작],$Q164)),TEXT(INDEX(상세표[시작],$Q164),"yyyy-mm-dd hh:mm"),INDEX(상세표[시작],$Q164)&amp;""))</f>
        <v/>
      </c>
      <c r="G164">
        <f>IF($Q164="","",IF(ISNUMBER(INDEX(상세표[블록종료],$Q164)),TEXT(INDEX(상세표[블록종료],$Q164),"yyyy-mm-dd hh:mm"),INDEX(상세표[블록종료],$Q164)&amp;""))</f>
        <v/>
      </c>
      <c r="H164">
        <f>IF($Q164="","",CHOOSE(WEEKDAY(INDEX(상세표[시작],$Q164)),"일","월","화","수","목","금","토"))</f>
        <v/>
      </c>
      <c r="I164" s="20">
        <f>IF($Q164="","",INDEX(상세표[연속 시간],$Q164))</f>
        <v/>
      </c>
      <c r="J164">
        <f>IF($Q164="","",INDEX(상세표[기록 수],$Q164))</f>
        <v/>
      </c>
      <c r="K164" s="20">
        <f>IF($Q164="","",INDEX(상세표[블록 06~07시],$Q164))</f>
        <v/>
      </c>
      <c r="L164" s="20">
        <f>IF($Q164="","",INDEX(상세표[블록 07~18시],$Q164))</f>
        <v/>
      </c>
      <c r="M164" s="20">
        <f>IF($Q164="","",INDEX(상세표[블록 18~22시],$Q164))</f>
        <v/>
      </c>
      <c r="N164" s="20">
        <f>IF($Q164="","",INDEX(상세표[블록 22~06시],$Q164))</f>
        <v/>
      </c>
      <c r="O164">
        <f>IF($Q164="","",INDEX(상세표[주말·휴일 포함],$Q164)&amp;"")</f>
        <v/>
      </c>
      <c r="P164">
        <f>IF($Q164="","",INDEX(상세표[월 넘김 포함],$Q164)&amp;"")</f>
        <v/>
      </c>
      <c r="Q164" s="4">
        <f>IFERROR(MATCH(159,상세표[연속순번],0),"")</f>
        <v/>
      </c>
    </row>
    <row r="165">
      <c r="A165">
        <f>IF($Q165="","",INDEX(상세표[부서],$Q165)&amp;"")</f>
        <v/>
      </c>
      <c r="B165">
        <f>IF($Q165="","",INDEX(상세표[사번],$Q165)&amp;"")</f>
        <v/>
      </c>
      <c r="C165">
        <f>IF($Q165="","",INDEX(상세표[성명],$Q165)&amp;"")</f>
        <v/>
      </c>
      <c r="D165">
        <f>IF($Q165="","",INDEX(상세표[직위],$Q165)&amp;"")</f>
        <v/>
      </c>
      <c r="E165">
        <f>IF($Q165="","",IF(ISNUMBER(INDEX(상세표[근무일자],$Q165)),TEXT(INDEX(상세표[근무일자],$Q165),"yyyy-mm-dd"),INDEX(상세표[근무일자],$Q165)&amp;""))</f>
        <v/>
      </c>
      <c r="F165">
        <f>IF($Q165="","",IF(ISNUMBER(INDEX(상세표[시작],$Q165)),TEXT(INDEX(상세표[시작],$Q165),"yyyy-mm-dd hh:mm"),INDEX(상세표[시작],$Q165)&amp;""))</f>
        <v/>
      </c>
      <c r="G165">
        <f>IF($Q165="","",IF(ISNUMBER(INDEX(상세표[블록종료],$Q165)),TEXT(INDEX(상세표[블록종료],$Q165),"yyyy-mm-dd hh:mm"),INDEX(상세표[블록종료],$Q165)&amp;""))</f>
        <v/>
      </c>
      <c r="H165">
        <f>IF($Q165="","",CHOOSE(WEEKDAY(INDEX(상세표[시작],$Q165)),"일","월","화","수","목","금","토"))</f>
        <v/>
      </c>
      <c r="I165" s="20">
        <f>IF($Q165="","",INDEX(상세표[연속 시간],$Q165))</f>
        <v/>
      </c>
      <c r="J165">
        <f>IF($Q165="","",INDEX(상세표[기록 수],$Q165))</f>
        <v/>
      </c>
      <c r="K165" s="20">
        <f>IF($Q165="","",INDEX(상세표[블록 06~07시],$Q165))</f>
        <v/>
      </c>
      <c r="L165" s="20">
        <f>IF($Q165="","",INDEX(상세표[블록 07~18시],$Q165))</f>
        <v/>
      </c>
      <c r="M165" s="20">
        <f>IF($Q165="","",INDEX(상세표[블록 18~22시],$Q165))</f>
        <v/>
      </c>
      <c r="N165" s="20">
        <f>IF($Q165="","",INDEX(상세표[블록 22~06시],$Q165))</f>
        <v/>
      </c>
      <c r="O165">
        <f>IF($Q165="","",INDEX(상세표[주말·휴일 포함],$Q165)&amp;"")</f>
        <v/>
      </c>
      <c r="P165">
        <f>IF($Q165="","",INDEX(상세표[월 넘김 포함],$Q165)&amp;"")</f>
        <v/>
      </c>
      <c r="Q165" s="4">
        <f>IFERROR(MATCH(160,상세표[연속순번],0),"")</f>
        <v/>
      </c>
    </row>
    <row r="166">
      <c r="A166">
        <f>IF($Q166="","",INDEX(상세표[부서],$Q166)&amp;"")</f>
        <v/>
      </c>
      <c r="B166">
        <f>IF($Q166="","",INDEX(상세표[사번],$Q166)&amp;"")</f>
        <v/>
      </c>
      <c r="C166">
        <f>IF($Q166="","",INDEX(상세표[성명],$Q166)&amp;"")</f>
        <v/>
      </c>
      <c r="D166">
        <f>IF($Q166="","",INDEX(상세표[직위],$Q166)&amp;"")</f>
        <v/>
      </c>
      <c r="E166">
        <f>IF($Q166="","",IF(ISNUMBER(INDEX(상세표[근무일자],$Q166)),TEXT(INDEX(상세표[근무일자],$Q166),"yyyy-mm-dd"),INDEX(상세표[근무일자],$Q166)&amp;""))</f>
        <v/>
      </c>
      <c r="F166">
        <f>IF($Q166="","",IF(ISNUMBER(INDEX(상세표[시작],$Q166)),TEXT(INDEX(상세표[시작],$Q166),"yyyy-mm-dd hh:mm"),INDEX(상세표[시작],$Q166)&amp;""))</f>
        <v/>
      </c>
      <c r="G166">
        <f>IF($Q166="","",IF(ISNUMBER(INDEX(상세표[블록종료],$Q166)),TEXT(INDEX(상세표[블록종료],$Q166),"yyyy-mm-dd hh:mm"),INDEX(상세표[블록종료],$Q166)&amp;""))</f>
        <v/>
      </c>
      <c r="H166">
        <f>IF($Q166="","",CHOOSE(WEEKDAY(INDEX(상세표[시작],$Q166)),"일","월","화","수","목","금","토"))</f>
        <v/>
      </c>
      <c r="I166" s="20">
        <f>IF($Q166="","",INDEX(상세표[연속 시간],$Q166))</f>
        <v/>
      </c>
      <c r="J166">
        <f>IF($Q166="","",INDEX(상세표[기록 수],$Q166))</f>
        <v/>
      </c>
      <c r="K166" s="20">
        <f>IF($Q166="","",INDEX(상세표[블록 06~07시],$Q166))</f>
        <v/>
      </c>
      <c r="L166" s="20">
        <f>IF($Q166="","",INDEX(상세표[블록 07~18시],$Q166))</f>
        <v/>
      </c>
      <c r="M166" s="20">
        <f>IF($Q166="","",INDEX(상세표[블록 18~22시],$Q166))</f>
        <v/>
      </c>
      <c r="N166" s="20">
        <f>IF($Q166="","",INDEX(상세표[블록 22~06시],$Q166))</f>
        <v/>
      </c>
      <c r="O166">
        <f>IF($Q166="","",INDEX(상세표[주말·휴일 포함],$Q166)&amp;"")</f>
        <v/>
      </c>
      <c r="P166">
        <f>IF($Q166="","",INDEX(상세표[월 넘김 포함],$Q166)&amp;"")</f>
        <v/>
      </c>
      <c r="Q166" s="4">
        <f>IFERROR(MATCH(161,상세표[연속순번],0),"")</f>
        <v/>
      </c>
    </row>
    <row r="167">
      <c r="A167">
        <f>IF($Q167="","",INDEX(상세표[부서],$Q167)&amp;"")</f>
        <v/>
      </c>
      <c r="B167">
        <f>IF($Q167="","",INDEX(상세표[사번],$Q167)&amp;"")</f>
        <v/>
      </c>
      <c r="C167">
        <f>IF($Q167="","",INDEX(상세표[성명],$Q167)&amp;"")</f>
        <v/>
      </c>
      <c r="D167">
        <f>IF($Q167="","",INDEX(상세표[직위],$Q167)&amp;"")</f>
        <v/>
      </c>
      <c r="E167">
        <f>IF($Q167="","",IF(ISNUMBER(INDEX(상세표[근무일자],$Q167)),TEXT(INDEX(상세표[근무일자],$Q167),"yyyy-mm-dd"),INDEX(상세표[근무일자],$Q167)&amp;""))</f>
        <v/>
      </c>
      <c r="F167">
        <f>IF($Q167="","",IF(ISNUMBER(INDEX(상세표[시작],$Q167)),TEXT(INDEX(상세표[시작],$Q167),"yyyy-mm-dd hh:mm"),INDEX(상세표[시작],$Q167)&amp;""))</f>
        <v/>
      </c>
      <c r="G167">
        <f>IF($Q167="","",IF(ISNUMBER(INDEX(상세표[블록종료],$Q167)),TEXT(INDEX(상세표[블록종료],$Q167),"yyyy-mm-dd hh:mm"),INDEX(상세표[블록종료],$Q167)&amp;""))</f>
        <v/>
      </c>
      <c r="H167">
        <f>IF($Q167="","",CHOOSE(WEEKDAY(INDEX(상세표[시작],$Q167)),"일","월","화","수","목","금","토"))</f>
        <v/>
      </c>
      <c r="I167" s="20">
        <f>IF($Q167="","",INDEX(상세표[연속 시간],$Q167))</f>
        <v/>
      </c>
      <c r="J167">
        <f>IF($Q167="","",INDEX(상세표[기록 수],$Q167))</f>
        <v/>
      </c>
      <c r="K167" s="20">
        <f>IF($Q167="","",INDEX(상세표[블록 06~07시],$Q167))</f>
        <v/>
      </c>
      <c r="L167" s="20">
        <f>IF($Q167="","",INDEX(상세표[블록 07~18시],$Q167))</f>
        <v/>
      </c>
      <c r="M167" s="20">
        <f>IF($Q167="","",INDEX(상세표[블록 18~22시],$Q167))</f>
        <v/>
      </c>
      <c r="N167" s="20">
        <f>IF($Q167="","",INDEX(상세표[블록 22~06시],$Q167))</f>
        <v/>
      </c>
      <c r="O167">
        <f>IF($Q167="","",INDEX(상세표[주말·휴일 포함],$Q167)&amp;"")</f>
        <v/>
      </c>
      <c r="P167">
        <f>IF($Q167="","",INDEX(상세표[월 넘김 포함],$Q167)&amp;"")</f>
        <v/>
      </c>
      <c r="Q167" s="4">
        <f>IFERROR(MATCH(162,상세표[연속순번],0),"")</f>
        <v/>
      </c>
    </row>
    <row r="168">
      <c r="A168">
        <f>IF($Q168="","",INDEX(상세표[부서],$Q168)&amp;"")</f>
        <v/>
      </c>
      <c r="B168">
        <f>IF($Q168="","",INDEX(상세표[사번],$Q168)&amp;"")</f>
        <v/>
      </c>
      <c r="C168">
        <f>IF($Q168="","",INDEX(상세표[성명],$Q168)&amp;"")</f>
        <v/>
      </c>
      <c r="D168">
        <f>IF($Q168="","",INDEX(상세표[직위],$Q168)&amp;"")</f>
        <v/>
      </c>
      <c r="E168">
        <f>IF($Q168="","",IF(ISNUMBER(INDEX(상세표[근무일자],$Q168)),TEXT(INDEX(상세표[근무일자],$Q168),"yyyy-mm-dd"),INDEX(상세표[근무일자],$Q168)&amp;""))</f>
        <v/>
      </c>
      <c r="F168">
        <f>IF($Q168="","",IF(ISNUMBER(INDEX(상세표[시작],$Q168)),TEXT(INDEX(상세표[시작],$Q168),"yyyy-mm-dd hh:mm"),INDEX(상세표[시작],$Q168)&amp;""))</f>
        <v/>
      </c>
      <c r="G168">
        <f>IF($Q168="","",IF(ISNUMBER(INDEX(상세표[블록종료],$Q168)),TEXT(INDEX(상세표[블록종료],$Q168),"yyyy-mm-dd hh:mm"),INDEX(상세표[블록종료],$Q168)&amp;""))</f>
        <v/>
      </c>
      <c r="H168">
        <f>IF($Q168="","",CHOOSE(WEEKDAY(INDEX(상세표[시작],$Q168)),"일","월","화","수","목","금","토"))</f>
        <v/>
      </c>
      <c r="I168" s="20">
        <f>IF($Q168="","",INDEX(상세표[연속 시간],$Q168))</f>
        <v/>
      </c>
      <c r="J168">
        <f>IF($Q168="","",INDEX(상세표[기록 수],$Q168))</f>
        <v/>
      </c>
      <c r="K168" s="20">
        <f>IF($Q168="","",INDEX(상세표[블록 06~07시],$Q168))</f>
        <v/>
      </c>
      <c r="L168" s="20">
        <f>IF($Q168="","",INDEX(상세표[블록 07~18시],$Q168))</f>
        <v/>
      </c>
      <c r="M168" s="20">
        <f>IF($Q168="","",INDEX(상세표[블록 18~22시],$Q168))</f>
        <v/>
      </c>
      <c r="N168" s="20">
        <f>IF($Q168="","",INDEX(상세표[블록 22~06시],$Q168))</f>
        <v/>
      </c>
      <c r="O168">
        <f>IF($Q168="","",INDEX(상세표[주말·휴일 포함],$Q168)&amp;"")</f>
        <v/>
      </c>
      <c r="P168">
        <f>IF($Q168="","",INDEX(상세표[월 넘김 포함],$Q168)&amp;"")</f>
        <v/>
      </c>
      <c r="Q168" s="4">
        <f>IFERROR(MATCH(163,상세표[연속순번],0),"")</f>
        <v/>
      </c>
    </row>
    <row r="169">
      <c r="A169">
        <f>IF($Q169="","",INDEX(상세표[부서],$Q169)&amp;"")</f>
        <v/>
      </c>
      <c r="B169">
        <f>IF($Q169="","",INDEX(상세표[사번],$Q169)&amp;"")</f>
        <v/>
      </c>
      <c r="C169">
        <f>IF($Q169="","",INDEX(상세표[성명],$Q169)&amp;"")</f>
        <v/>
      </c>
      <c r="D169">
        <f>IF($Q169="","",INDEX(상세표[직위],$Q169)&amp;"")</f>
        <v/>
      </c>
      <c r="E169">
        <f>IF($Q169="","",IF(ISNUMBER(INDEX(상세표[근무일자],$Q169)),TEXT(INDEX(상세표[근무일자],$Q169),"yyyy-mm-dd"),INDEX(상세표[근무일자],$Q169)&amp;""))</f>
        <v/>
      </c>
      <c r="F169">
        <f>IF($Q169="","",IF(ISNUMBER(INDEX(상세표[시작],$Q169)),TEXT(INDEX(상세표[시작],$Q169),"yyyy-mm-dd hh:mm"),INDEX(상세표[시작],$Q169)&amp;""))</f>
        <v/>
      </c>
      <c r="G169">
        <f>IF($Q169="","",IF(ISNUMBER(INDEX(상세표[블록종료],$Q169)),TEXT(INDEX(상세표[블록종료],$Q169),"yyyy-mm-dd hh:mm"),INDEX(상세표[블록종료],$Q169)&amp;""))</f>
        <v/>
      </c>
      <c r="H169">
        <f>IF($Q169="","",CHOOSE(WEEKDAY(INDEX(상세표[시작],$Q169)),"일","월","화","수","목","금","토"))</f>
        <v/>
      </c>
      <c r="I169" s="20">
        <f>IF($Q169="","",INDEX(상세표[연속 시간],$Q169))</f>
        <v/>
      </c>
      <c r="J169">
        <f>IF($Q169="","",INDEX(상세표[기록 수],$Q169))</f>
        <v/>
      </c>
      <c r="K169" s="20">
        <f>IF($Q169="","",INDEX(상세표[블록 06~07시],$Q169))</f>
        <v/>
      </c>
      <c r="L169" s="20">
        <f>IF($Q169="","",INDEX(상세표[블록 07~18시],$Q169))</f>
        <v/>
      </c>
      <c r="M169" s="20">
        <f>IF($Q169="","",INDEX(상세표[블록 18~22시],$Q169))</f>
        <v/>
      </c>
      <c r="N169" s="20">
        <f>IF($Q169="","",INDEX(상세표[블록 22~06시],$Q169))</f>
        <v/>
      </c>
      <c r="O169">
        <f>IF($Q169="","",INDEX(상세표[주말·휴일 포함],$Q169)&amp;"")</f>
        <v/>
      </c>
      <c r="P169">
        <f>IF($Q169="","",INDEX(상세표[월 넘김 포함],$Q169)&amp;"")</f>
        <v/>
      </c>
      <c r="Q169" s="4">
        <f>IFERROR(MATCH(164,상세표[연속순번],0),"")</f>
        <v/>
      </c>
    </row>
    <row r="170">
      <c r="A170">
        <f>IF($Q170="","",INDEX(상세표[부서],$Q170)&amp;"")</f>
        <v/>
      </c>
      <c r="B170">
        <f>IF($Q170="","",INDEX(상세표[사번],$Q170)&amp;"")</f>
        <v/>
      </c>
      <c r="C170">
        <f>IF($Q170="","",INDEX(상세표[성명],$Q170)&amp;"")</f>
        <v/>
      </c>
      <c r="D170">
        <f>IF($Q170="","",INDEX(상세표[직위],$Q170)&amp;"")</f>
        <v/>
      </c>
      <c r="E170">
        <f>IF($Q170="","",IF(ISNUMBER(INDEX(상세표[근무일자],$Q170)),TEXT(INDEX(상세표[근무일자],$Q170),"yyyy-mm-dd"),INDEX(상세표[근무일자],$Q170)&amp;""))</f>
        <v/>
      </c>
      <c r="F170">
        <f>IF($Q170="","",IF(ISNUMBER(INDEX(상세표[시작],$Q170)),TEXT(INDEX(상세표[시작],$Q170),"yyyy-mm-dd hh:mm"),INDEX(상세표[시작],$Q170)&amp;""))</f>
        <v/>
      </c>
      <c r="G170">
        <f>IF($Q170="","",IF(ISNUMBER(INDEX(상세표[블록종료],$Q170)),TEXT(INDEX(상세표[블록종료],$Q170),"yyyy-mm-dd hh:mm"),INDEX(상세표[블록종료],$Q170)&amp;""))</f>
        <v/>
      </c>
      <c r="H170">
        <f>IF($Q170="","",CHOOSE(WEEKDAY(INDEX(상세표[시작],$Q170)),"일","월","화","수","목","금","토"))</f>
        <v/>
      </c>
      <c r="I170" s="20">
        <f>IF($Q170="","",INDEX(상세표[연속 시간],$Q170))</f>
        <v/>
      </c>
      <c r="J170">
        <f>IF($Q170="","",INDEX(상세표[기록 수],$Q170))</f>
        <v/>
      </c>
      <c r="K170" s="20">
        <f>IF($Q170="","",INDEX(상세표[블록 06~07시],$Q170))</f>
        <v/>
      </c>
      <c r="L170" s="20">
        <f>IF($Q170="","",INDEX(상세표[블록 07~18시],$Q170))</f>
        <v/>
      </c>
      <c r="M170" s="20">
        <f>IF($Q170="","",INDEX(상세표[블록 18~22시],$Q170))</f>
        <v/>
      </c>
      <c r="N170" s="20">
        <f>IF($Q170="","",INDEX(상세표[블록 22~06시],$Q170))</f>
        <v/>
      </c>
      <c r="O170">
        <f>IF($Q170="","",INDEX(상세표[주말·휴일 포함],$Q170)&amp;"")</f>
        <v/>
      </c>
      <c r="P170">
        <f>IF($Q170="","",INDEX(상세표[월 넘김 포함],$Q170)&amp;"")</f>
        <v/>
      </c>
      <c r="Q170" s="4">
        <f>IFERROR(MATCH(165,상세표[연속순번],0),"")</f>
        <v/>
      </c>
    </row>
    <row r="171">
      <c r="A171">
        <f>IF($Q171="","",INDEX(상세표[부서],$Q171)&amp;"")</f>
        <v/>
      </c>
      <c r="B171">
        <f>IF($Q171="","",INDEX(상세표[사번],$Q171)&amp;"")</f>
        <v/>
      </c>
      <c r="C171">
        <f>IF($Q171="","",INDEX(상세표[성명],$Q171)&amp;"")</f>
        <v/>
      </c>
      <c r="D171">
        <f>IF($Q171="","",INDEX(상세표[직위],$Q171)&amp;"")</f>
        <v/>
      </c>
      <c r="E171">
        <f>IF($Q171="","",IF(ISNUMBER(INDEX(상세표[근무일자],$Q171)),TEXT(INDEX(상세표[근무일자],$Q171),"yyyy-mm-dd"),INDEX(상세표[근무일자],$Q171)&amp;""))</f>
        <v/>
      </c>
      <c r="F171">
        <f>IF($Q171="","",IF(ISNUMBER(INDEX(상세표[시작],$Q171)),TEXT(INDEX(상세표[시작],$Q171),"yyyy-mm-dd hh:mm"),INDEX(상세표[시작],$Q171)&amp;""))</f>
        <v/>
      </c>
      <c r="G171">
        <f>IF($Q171="","",IF(ISNUMBER(INDEX(상세표[블록종료],$Q171)),TEXT(INDEX(상세표[블록종료],$Q171),"yyyy-mm-dd hh:mm"),INDEX(상세표[블록종료],$Q171)&amp;""))</f>
        <v/>
      </c>
      <c r="H171">
        <f>IF($Q171="","",CHOOSE(WEEKDAY(INDEX(상세표[시작],$Q171)),"일","월","화","수","목","금","토"))</f>
        <v/>
      </c>
      <c r="I171" s="20">
        <f>IF($Q171="","",INDEX(상세표[연속 시간],$Q171))</f>
        <v/>
      </c>
      <c r="J171">
        <f>IF($Q171="","",INDEX(상세표[기록 수],$Q171))</f>
        <v/>
      </c>
      <c r="K171" s="20">
        <f>IF($Q171="","",INDEX(상세표[블록 06~07시],$Q171))</f>
        <v/>
      </c>
      <c r="L171" s="20">
        <f>IF($Q171="","",INDEX(상세표[블록 07~18시],$Q171))</f>
        <v/>
      </c>
      <c r="M171" s="20">
        <f>IF($Q171="","",INDEX(상세표[블록 18~22시],$Q171))</f>
        <v/>
      </c>
      <c r="N171" s="20">
        <f>IF($Q171="","",INDEX(상세표[블록 22~06시],$Q171))</f>
        <v/>
      </c>
      <c r="O171">
        <f>IF($Q171="","",INDEX(상세표[주말·휴일 포함],$Q171)&amp;"")</f>
        <v/>
      </c>
      <c r="P171">
        <f>IF($Q171="","",INDEX(상세표[월 넘김 포함],$Q171)&amp;"")</f>
        <v/>
      </c>
      <c r="Q171" s="4">
        <f>IFERROR(MATCH(166,상세표[연속순번],0),"")</f>
        <v/>
      </c>
    </row>
    <row r="172">
      <c r="A172">
        <f>IF($Q172="","",INDEX(상세표[부서],$Q172)&amp;"")</f>
        <v/>
      </c>
      <c r="B172">
        <f>IF($Q172="","",INDEX(상세표[사번],$Q172)&amp;"")</f>
        <v/>
      </c>
      <c r="C172">
        <f>IF($Q172="","",INDEX(상세표[성명],$Q172)&amp;"")</f>
        <v/>
      </c>
      <c r="D172">
        <f>IF($Q172="","",INDEX(상세표[직위],$Q172)&amp;"")</f>
        <v/>
      </c>
      <c r="E172">
        <f>IF($Q172="","",IF(ISNUMBER(INDEX(상세표[근무일자],$Q172)),TEXT(INDEX(상세표[근무일자],$Q172),"yyyy-mm-dd"),INDEX(상세표[근무일자],$Q172)&amp;""))</f>
        <v/>
      </c>
      <c r="F172">
        <f>IF($Q172="","",IF(ISNUMBER(INDEX(상세표[시작],$Q172)),TEXT(INDEX(상세표[시작],$Q172),"yyyy-mm-dd hh:mm"),INDEX(상세표[시작],$Q172)&amp;""))</f>
        <v/>
      </c>
      <c r="G172">
        <f>IF($Q172="","",IF(ISNUMBER(INDEX(상세표[블록종료],$Q172)),TEXT(INDEX(상세표[블록종료],$Q172),"yyyy-mm-dd hh:mm"),INDEX(상세표[블록종료],$Q172)&amp;""))</f>
        <v/>
      </c>
      <c r="H172">
        <f>IF($Q172="","",CHOOSE(WEEKDAY(INDEX(상세표[시작],$Q172)),"일","월","화","수","목","금","토"))</f>
        <v/>
      </c>
      <c r="I172" s="20">
        <f>IF($Q172="","",INDEX(상세표[연속 시간],$Q172))</f>
        <v/>
      </c>
      <c r="J172">
        <f>IF($Q172="","",INDEX(상세표[기록 수],$Q172))</f>
        <v/>
      </c>
      <c r="K172" s="20">
        <f>IF($Q172="","",INDEX(상세표[블록 06~07시],$Q172))</f>
        <v/>
      </c>
      <c r="L172" s="20">
        <f>IF($Q172="","",INDEX(상세표[블록 07~18시],$Q172))</f>
        <v/>
      </c>
      <c r="M172" s="20">
        <f>IF($Q172="","",INDEX(상세표[블록 18~22시],$Q172))</f>
        <v/>
      </c>
      <c r="N172" s="20">
        <f>IF($Q172="","",INDEX(상세표[블록 22~06시],$Q172))</f>
        <v/>
      </c>
      <c r="O172">
        <f>IF($Q172="","",INDEX(상세표[주말·휴일 포함],$Q172)&amp;"")</f>
        <v/>
      </c>
      <c r="P172">
        <f>IF($Q172="","",INDEX(상세표[월 넘김 포함],$Q172)&amp;"")</f>
        <v/>
      </c>
      <c r="Q172" s="4">
        <f>IFERROR(MATCH(167,상세표[연속순번],0),"")</f>
        <v/>
      </c>
    </row>
    <row r="173">
      <c r="A173">
        <f>IF($Q173="","",INDEX(상세표[부서],$Q173)&amp;"")</f>
        <v/>
      </c>
      <c r="B173">
        <f>IF($Q173="","",INDEX(상세표[사번],$Q173)&amp;"")</f>
        <v/>
      </c>
      <c r="C173">
        <f>IF($Q173="","",INDEX(상세표[성명],$Q173)&amp;"")</f>
        <v/>
      </c>
      <c r="D173">
        <f>IF($Q173="","",INDEX(상세표[직위],$Q173)&amp;"")</f>
        <v/>
      </c>
      <c r="E173">
        <f>IF($Q173="","",IF(ISNUMBER(INDEX(상세표[근무일자],$Q173)),TEXT(INDEX(상세표[근무일자],$Q173),"yyyy-mm-dd"),INDEX(상세표[근무일자],$Q173)&amp;""))</f>
        <v/>
      </c>
      <c r="F173">
        <f>IF($Q173="","",IF(ISNUMBER(INDEX(상세표[시작],$Q173)),TEXT(INDEX(상세표[시작],$Q173),"yyyy-mm-dd hh:mm"),INDEX(상세표[시작],$Q173)&amp;""))</f>
        <v/>
      </c>
      <c r="G173">
        <f>IF($Q173="","",IF(ISNUMBER(INDEX(상세표[블록종료],$Q173)),TEXT(INDEX(상세표[블록종료],$Q173),"yyyy-mm-dd hh:mm"),INDEX(상세표[블록종료],$Q173)&amp;""))</f>
        <v/>
      </c>
      <c r="H173">
        <f>IF($Q173="","",CHOOSE(WEEKDAY(INDEX(상세표[시작],$Q173)),"일","월","화","수","목","금","토"))</f>
        <v/>
      </c>
      <c r="I173" s="20">
        <f>IF($Q173="","",INDEX(상세표[연속 시간],$Q173))</f>
        <v/>
      </c>
      <c r="J173">
        <f>IF($Q173="","",INDEX(상세표[기록 수],$Q173))</f>
        <v/>
      </c>
      <c r="K173" s="20">
        <f>IF($Q173="","",INDEX(상세표[블록 06~07시],$Q173))</f>
        <v/>
      </c>
      <c r="L173" s="20">
        <f>IF($Q173="","",INDEX(상세표[블록 07~18시],$Q173))</f>
        <v/>
      </c>
      <c r="M173" s="20">
        <f>IF($Q173="","",INDEX(상세표[블록 18~22시],$Q173))</f>
        <v/>
      </c>
      <c r="N173" s="20">
        <f>IF($Q173="","",INDEX(상세표[블록 22~06시],$Q173))</f>
        <v/>
      </c>
      <c r="O173">
        <f>IF($Q173="","",INDEX(상세표[주말·휴일 포함],$Q173)&amp;"")</f>
        <v/>
      </c>
      <c r="P173">
        <f>IF($Q173="","",INDEX(상세표[월 넘김 포함],$Q173)&amp;"")</f>
        <v/>
      </c>
      <c r="Q173" s="4">
        <f>IFERROR(MATCH(168,상세표[연속순번],0),"")</f>
        <v/>
      </c>
    </row>
    <row r="174">
      <c r="A174">
        <f>IF($Q174="","",INDEX(상세표[부서],$Q174)&amp;"")</f>
        <v/>
      </c>
      <c r="B174">
        <f>IF($Q174="","",INDEX(상세표[사번],$Q174)&amp;"")</f>
        <v/>
      </c>
      <c r="C174">
        <f>IF($Q174="","",INDEX(상세표[성명],$Q174)&amp;"")</f>
        <v/>
      </c>
      <c r="D174">
        <f>IF($Q174="","",INDEX(상세표[직위],$Q174)&amp;"")</f>
        <v/>
      </c>
      <c r="E174">
        <f>IF($Q174="","",IF(ISNUMBER(INDEX(상세표[근무일자],$Q174)),TEXT(INDEX(상세표[근무일자],$Q174),"yyyy-mm-dd"),INDEX(상세표[근무일자],$Q174)&amp;""))</f>
        <v/>
      </c>
      <c r="F174">
        <f>IF($Q174="","",IF(ISNUMBER(INDEX(상세표[시작],$Q174)),TEXT(INDEX(상세표[시작],$Q174),"yyyy-mm-dd hh:mm"),INDEX(상세표[시작],$Q174)&amp;""))</f>
        <v/>
      </c>
      <c r="G174">
        <f>IF($Q174="","",IF(ISNUMBER(INDEX(상세표[블록종료],$Q174)),TEXT(INDEX(상세표[블록종료],$Q174),"yyyy-mm-dd hh:mm"),INDEX(상세표[블록종료],$Q174)&amp;""))</f>
        <v/>
      </c>
      <c r="H174">
        <f>IF($Q174="","",CHOOSE(WEEKDAY(INDEX(상세표[시작],$Q174)),"일","월","화","수","목","금","토"))</f>
        <v/>
      </c>
      <c r="I174" s="20">
        <f>IF($Q174="","",INDEX(상세표[연속 시간],$Q174))</f>
        <v/>
      </c>
      <c r="J174">
        <f>IF($Q174="","",INDEX(상세표[기록 수],$Q174))</f>
        <v/>
      </c>
      <c r="K174" s="20">
        <f>IF($Q174="","",INDEX(상세표[블록 06~07시],$Q174))</f>
        <v/>
      </c>
      <c r="L174" s="20">
        <f>IF($Q174="","",INDEX(상세표[블록 07~18시],$Q174))</f>
        <v/>
      </c>
      <c r="M174" s="20">
        <f>IF($Q174="","",INDEX(상세표[블록 18~22시],$Q174))</f>
        <v/>
      </c>
      <c r="N174" s="20">
        <f>IF($Q174="","",INDEX(상세표[블록 22~06시],$Q174))</f>
        <v/>
      </c>
      <c r="O174">
        <f>IF($Q174="","",INDEX(상세표[주말·휴일 포함],$Q174)&amp;"")</f>
        <v/>
      </c>
      <c r="P174">
        <f>IF($Q174="","",INDEX(상세표[월 넘김 포함],$Q174)&amp;"")</f>
        <v/>
      </c>
      <c r="Q174" s="4">
        <f>IFERROR(MATCH(169,상세표[연속순번],0),"")</f>
        <v/>
      </c>
    </row>
    <row r="175">
      <c r="A175">
        <f>IF($Q175="","",INDEX(상세표[부서],$Q175)&amp;"")</f>
        <v/>
      </c>
      <c r="B175">
        <f>IF($Q175="","",INDEX(상세표[사번],$Q175)&amp;"")</f>
        <v/>
      </c>
      <c r="C175">
        <f>IF($Q175="","",INDEX(상세표[성명],$Q175)&amp;"")</f>
        <v/>
      </c>
      <c r="D175">
        <f>IF($Q175="","",INDEX(상세표[직위],$Q175)&amp;"")</f>
        <v/>
      </c>
      <c r="E175">
        <f>IF($Q175="","",IF(ISNUMBER(INDEX(상세표[근무일자],$Q175)),TEXT(INDEX(상세표[근무일자],$Q175),"yyyy-mm-dd"),INDEX(상세표[근무일자],$Q175)&amp;""))</f>
        <v/>
      </c>
      <c r="F175">
        <f>IF($Q175="","",IF(ISNUMBER(INDEX(상세표[시작],$Q175)),TEXT(INDEX(상세표[시작],$Q175),"yyyy-mm-dd hh:mm"),INDEX(상세표[시작],$Q175)&amp;""))</f>
        <v/>
      </c>
      <c r="G175">
        <f>IF($Q175="","",IF(ISNUMBER(INDEX(상세표[블록종료],$Q175)),TEXT(INDEX(상세표[블록종료],$Q175),"yyyy-mm-dd hh:mm"),INDEX(상세표[블록종료],$Q175)&amp;""))</f>
        <v/>
      </c>
      <c r="H175">
        <f>IF($Q175="","",CHOOSE(WEEKDAY(INDEX(상세표[시작],$Q175)),"일","월","화","수","목","금","토"))</f>
        <v/>
      </c>
      <c r="I175" s="20">
        <f>IF($Q175="","",INDEX(상세표[연속 시간],$Q175))</f>
        <v/>
      </c>
      <c r="J175">
        <f>IF($Q175="","",INDEX(상세표[기록 수],$Q175))</f>
        <v/>
      </c>
      <c r="K175" s="20">
        <f>IF($Q175="","",INDEX(상세표[블록 06~07시],$Q175))</f>
        <v/>
      </c>
      <c r="L175" s="20">
        <f>IF($Q175="","",INDEX(상세표[블록 07~18시],$Q175))</f>
        <v/>
      </c>
      <c r="M175" s="20">
        <f>IF($Q175="","",INDEX(상세표[블록 18~22시],$Q175))</f>
        <v/>
      </c>
      <c r="N175" s="20">
        <f>IF($Q175="","",INDEX(상세표[블록 22~06시],$Q175))</f>
        <v/>
      </c>
      <c r="O175">
        <f>IF($Q175="","",INDEX(상세표[주말·휴일 포함],$Q175)&amp;"")</f>
        <v/>
      </c>
      <c r="P175">
        <f>IF($Q175="","",INDEX(상세표[월 넘김 포함],$Q175)&amp;"")</f>
        <v/>
      </c>
      <c r="Q175" s="4">
        <f>IFERROR(MATCH(170,상세표[연속순번],0),"")</f>
        <v/>
      </c>
    </row>
    <row r="176">
      <c r="A176">
        <f>IF($Q176="","",INDEX(상세표[부서],$Q176)&amp;"")</f>
        <v/>
      </c>
      <c r="B176">
        <f>IF($Q176="","",INDEX(상세표[사번],$Q176)&amp;"")</f>
        <v/>
      </c>
      <c r="C176">
        <f>IF($Q176="","",INDEX(상세표[성명],$Q176)&amp;"")</f>
        <v/>
      </c>
      <c r="D176">
        <f>IF($Q176="","",INDEX(상세표[직위],$Q176)&amp;"")</f>
        <v/>
      </c>
      <c r="E176">
        <f>IF($Q176="","",IF(ISNUMBER(INDEX(상세표[근무일자],$Q176)),TEXT(INDEX(상세표[근무일자],$Q176),"yyyy-mm-dd"),INDEX(상세표[근무일자],$Q176)&amp;""))</f>
        <v/>
      </c>
      <c r="F176">
        <f>IF($Q176="","",IF(ISNUMBER(INDEX(상세표[시작],$Q176)),TEXT(INDEX(상세표[시작],$Q176),"yyyy-mm-dd hh:mm"),INDEX(상세표[시작],$Q176)&amp;""))</f>
        <v/>
      </c>
      <c r="G176">
        <f>IF($Q176="","",IF(ISNUMBER(INDEX(상세표[블록종료],$Q176)),TEXT(INDEX(상세표[블록종료],$Q176),"yyyy-mm-dd hh:mm"),INDEX(상세표[블록종료],$Q176)&amp;""))</f>
        <v/>
      </c>
      <c r="H176">
        <f>IF($Q176="","",CHOOSE(WEEKDAY(INDEX(상세표[시작],$Q176)),"일","월","화","수","목","금","토"))</f>
        <v/>
      </c>
      <c r="I176" s="20">
        <f>IF($Q176="","",INDEX(상세표[연속 시간],$Q176))</f>
        <v/>
      </c>
      <c r="J176">
        <f>IF($Q176="","",INDEX(상세표[기록 수],$Q176))</f>
        <v/>
      </c>
      <c r="K176" s="20">
        <f>IF($Q176="","",INDEX(상세표[블록 06~07시],$Q176))</f>
        <v/>
      </c>
      <c r="L176" s="20">
        <f>IF($Q176="","",INDEX(상세표[블록 07~18시],$Q176))</f>
        <v/>
      </c>
      <c r="M176" s="20">
        <f>IF($Q176="","",INDEX(상세표[블록 18~22시],$Q176))</f>
        <v/>
      </c>
      <c r="N176" s="20">
        <f>IF($Q176="","",INDEX(상세표[블록 22~06시],$Q176))</f>
        <v/>
      </c>
      <c r="O176">
        <f>IF($Q176="","",INDEX(상세표[주말·휴일 포함],$Q176)&amp;"")</f>
        <v/>
      </c>
      <c r="P176">
        <f>IF($Q176="","",INDEX(상세표[월 넘김 포함],$Q176)&amp;"")</f>
        <v/>
      </c>
      <c r="Q176" s="4">
        <f>IFERROR(MATCH(171,상세표[연속순번],0),"")</f>
        <v/>
      </c>
    </row>
    <row r="177">
      <c r="A177">
        <f>IF($Q177="","",INDEX(상세표[부서],$Q177)&amp;"")</f>
        <v/>
      </c>
      <c r="B177">
        <f>IF($Q177="","",INDEX(상세표[사번],$Q177)&amp;"")</f>
        <v/>
      </c>
      <c r="C177">
        <f>IF($Q177="","",INDEX(상세표[성명],$Q177)&amp;"")</f>
        <v/>
      </c>
      <c r="D177">
        <f>IF($Q177="","",INDEX(상세표[직위],$Q177)&amp;"")</f>
        <v/>
      </c>
      <c r="E177">
        <f>IF($Q177="","",IF(ISNUMBER(INDEX(상세표[근무일자],$Q177)),TEXT(INDEX(상세표[근무일자],$Q177),"yyyy-mm-dd"),INDEX(상세표[근무일자],$Q177)&amp;""))</f>
        <v/>
      </c>
      <c r="F177">
        <f>IF($Q177="","",IF(ISNUMBER(INDEX(상세표[시작],$Q177)),TEXT(INDEX(상세표[시작],$Q177),"yyyy-mm-dd hh:mm"),INDEX(상세표[시작],$Q177)&amp;""))</f>
        <v/>
      </c>
      <c r="G177">
        <f>IF($Q177="","",IF(ISNUMBER(INDEX(상세표[블록종료],$Q177)),TEXT(INDEX(상세표[블록종료],$Q177),"yyyy-mm-dd hh:mm"),INDEX(상세표[블록종료],$Q177)&amp;""))</f>
        <v/>
      </c>
      <c r="H177">
        <f>IF($Q177="","",CHOOSE(WEEKDAY(INDEX(상세표[시작],$Q177)),"일","월","화","수","목","금","토"))</f>
        <v/>
      </c>
      <c r="I177" s="20">
        <f>IF($Q177="","",INDEX(상세표[연속 시간],$Q177))</f>
        <v/>
      </c>
      <c r="J177">
        <f>IF($Q177="","",INDEX(상세표[기록 수],$Q177))</f>
        <v/>
      </c>
      <c r="K177" s="20">
        <f>IF($Q177="","",INDEX(상세표[블록 06~07시],$Q177))</f>
        <v/>
      </c>
      <c r="L177" s="20">
        <f>IF($Q177="","",INDEX(상세표[블록 07~18시],$Q177))</f>
        <v/>
      </c>
      <c r="M177" s="20">
        <f>IF($Q177="","",INDEX(상세표[블록 18~22시],$Q177))</f>
        <v/>
      </c>
      <c r="N177" s="20">
        <f>IF($Q177="","",INDEX(상세표[블록 22~06시],$Q177))</f>
        <v/>
      </c>
      <c r="O177">
        <f>IF($Q177="","",INDEX(상세표[주말·휴일 포함],$Q177)&amp;"")</f>
        <v/>
      </c>
      <c r="P177">
        <f>IF($Q177="","",INDEX(상세표[월 넘김 포함],$Q177)&amp;"")</f>
        <v/>
      </c>
      <c r="Q177" s="4">
        <f>IFERROR(MATCH(172,상세표[연속순번],0),"")</f>
        <v/>
      </c>
    </row>
    <row r="178">
      <c r="A178">
        <f>IF($Q178="","",INDEX(상세표[부서],$Q178)&amp;"")</f>
        <v/>
      </c>
      <c r="B178">
        <f>IF($Q178="","",INDEX(상세표[사번],$Q178)&amp;"")</f>
        <v/>
      </c>
      <c r="C178">
        <f>IF($Q178="","",INDEX(상세표[성명],$Q178)&amp;"")</f>
        <v/>
      </c>
      <c r="D178">
        <f>IF($Q178="","",INDEX(상세표[직위],$Q178)&amp;"")</f>
        <v/>
      </c>
      <c r="E178">
        <f>IF($Q178="","",IF(ISNUMBER(INDEX(상세표[근무일자],$Q178)),TEXT(INDEX(상세표[근무일자],$Q178),"yyyy-mm-dd"),INDEX(상세표[근무일자],$Q178)&amp;""))</f>
        <v/>
      </c>
      <c r="F178">
        <f>IF($Q178="","",IF(ISNUMBER(INDEX(상세표[시작],$Q178)),TEXT(INDEX(상세표[시작],$Q178),"yyyy-mm-dd hh:mm"),INDEX(상세표[시작],$Q178)&amp;""))</f>
        <v/>
      </c>
      <c r="G178">
        <f>IF($Q178="","",IF(ISNUMBER(INDEX(상세표[블록종료],$Q178)),TEXT(INDEX(상세표[블록종료],$Q178),"yyyy-mm-dd hh:mm"),INDEX(상세표[블록종료],$Q178)&amp;""))</f>
        <v/>
      </c>
      <c r="H178">
        <f>IF($Q178="","",CHOOSE(WEEKDAY(INDEX(상세표[시작],$Q178)),"일","월","화","수","목","금","토"))</f>
        <v/>
      </c>
      <c r="I178" s="20">
        <f>IF($Q178="","",INDEX(상세표[연속 시간],$Q178))</f>
        <v/>
      </c>
      <c r="J178">
        <f>IF($Q178="","",INDEX(상세표[기록 수],$Q178))</f>
        <v/>
      </c>
      <c r="K178" s="20">
        <f>IF($Q178="","",INDEX(상세표[블록 06~07시],$Q178))</f>
        <v/>
      </c>
      <c r="L178" s="20">
        <f>IF($Q178="","",INDEX(상세표[블록 07~18시],$Q178))</f>
        <v/>
      </c>
      <c r="M178" s="20">
        <f>IF($Q178="","",INDEX(상세표[블록 18~22시],$Q178))</f>
        <v/>
      </c>
      <c r="N178" s="20">
        <f>IF($Q178="","",INDEX(상세표[블록 22~06시],$Q178))</f>
        <v/>
      </c>
      <c r="O178">
        <f>IF($Q178="","",INDEX(상세표[주말·휴일 포함],$Q178)&amp;"")</f>
        <v/>
      </c>
      <c r="P178">
        <f>IF($Q178="","",INDEX(상세표[월 넘김 포함],$Q178)&amp;"")</f>
        <v/>
      </c>
      <c r="Q178" s="4">
        <f>IFERROR(MATCH(173,상세표[연속순번],0),"")</f>
        <v/>
      </c>
    </row>
    <row r="179">
      <c r="A179">
        <f>IF($Q179="","",INDEX(상세표[부서],$Q179)&amp;"")</f>
        <v/>
      </c>
      <c r="B179">
        <f>IF($Q179="","",INDEX(상세표[사번],$Q179)&amp;"")</f>
        <v/>
      </c>
      <c r="C179">
        <f>IF($Q179="","",INDEX(상세표[성명],$Q179)&amp;"")</f>
        <v/>
      </c>
      <c r="D179">
        <f>IF($Q179="","",INDEX(상세표[직위],$Q179)&amp;"")</f>
        <v/>
      </c>
      <c r="E179">
        <f>IF($Q179="","",IF(ISNUMBER(INDEX(상세표[근무일자],$Q179)),TEXT(INDEX(상세표[근무일자],$Q179),"yyyy-mm-dd"),INDEX(상세표[근무일자],$Q179)&amp;""))</f>
        <v/>
      </c>
      <c r="F179">
        <f>IF($Q179="","",IF(ISNUMBER(INDEX(상세표[시작],$Q179)),TEXT(INDEX(상세표[시작],$Q179),"yyyy-mm-dd hh:mm"),INDEX(상세표[시작],$Q179)&amp;""))</f>
        <v/>
      </c>
      <c r="G179">
        <f>IF($Q179="","",IF(ISNUMBER(INDEX(상세표[블록종료],$Q179)),TEXT(INDEX(상세표[블록종료],$Q179),"yyyy-mm-dd hh:mm"),INDEX(상세표[블록종료],$Q179)&amp;""))</f>
        <v/>
      </c>
      <c r="H179">
        <f>IF($Q179="","",CHOOSE(WEEKDAY(INDEX(상세표[시작],$Q179)),"일","월","화","수","목","금","토"))</f>
        <v/>
      </c>
      <c r="I179" s="20">
        <f>IF($Q179="","",INDEX(상세표[연속 시간],$Q179))</f>
        <v/>
      </c>
      <c r="J179">
        <f>IF($Q179="","",INDEX(상세표[기록 수],$Q179))</f>
        <v/>
      </c>
      <c r="K179" s="20">
        <f>IF($Q179="","",INDEX(상세표[블록 06~07시],$Q179))</f>
        <v/>
      </c>
      <c r="L179" s="20">
        <f>IF($Q179="","",INDEX(상세표[블록 07~18시],$Q179))</f>
        <v/>
      </c>
      <c r="M179" s="20">
        <f>IF($Q179="","",INDEX(상세표[블록 18~22시],$Q179))</f>
        <v/>
      </c>
      <c r="N179" s="20">
        <f>IF($Q179="","",INDEX(상세표[블록 22~06시],$Q179))</f>
        <v/>
      </c>
      <c r="O179">
        <f>IF($Q179="","",INDEX(상세표[주말·휴일 포함],$Q179)&amp;"")</f>
        <v/>
      </c>
      <c r="P179">
        <f>IF($Q179="","",INDEX(상세표[월 넘김 포함],$Q179)&amp;"")</f>
        <v/>
      </c>
      <c r="Q179" s="4">
        <f>IFERROR(MATCH(174,상세표[연속순번],0),"")</f>
        <v/>
      </c>
    </row>
    <row r="180">
      <c r="A180">
        <f>IF($Q180="","",INDEX(상세표[부서],$Q180)&amp;"")</f>
        <v/>
      </c>
      <c r="B180">
        <f>IF($Q180="","",INDEX(상세표[사번],$Q180)&amp;"")</f>
        <v/>
      </c>
      <c r="C180">
        <f>IF($Q180="","",INDEX(상세표[성명],$Q180)&amp;"")</f>
        <v/>
      </c>
      <c r="D180">
        <f>IF($Q180="","",INDEX(상세표[직위],$Q180)&amp;"")</f>
        <v/>
      </c>
      <c r="E180">
        <f>IF($Q180="","",IF(ISNUMBER(INDEX(상세표[근무일자],$Q180)),TEXT(INDEX(상세표[근무일자],$Q180),"yyyy-mm-dd"),INDEX(상세표[근무일자],$Q180)&amp;""))</f>
        <v/>
      </c>
      <c r="F180">
        <f>IF($Q180="","",IF(ISNUMBER(INDEX(상세표[시작],$Q180)),TEXT(INDEX(상세표[시작],$Q180),"yyyy-mm-dd hh:mm"),INDEX(상세표[시작],$Q180)&amp;""))</f>
        <v/>
      </c>
      <c r="G180">
        <f>IF($Q180="","",IF(ISNUMBER(INDEX(상세표[블록종료],$Q180)),TEXT(INDEX(상세표[블록종료],$Q180),"yyyy-mm-dd hh:mm"),INDEX(상세표[블록종료],$Q180)&amp;""))</f>
        <v/>
      </c>
      <c r="H180">
        <f>IF($Q180="","",CHOOSE(WEEKDAY(INDEX(상세표[시작],$Q180)),"일","월","화","수","목","금","토"))</f>
        <v/>
      </c>
      <c r="I180" s="20">
        <f>IF($Q180="","",INDEX(상세표[연속 시간],$Q180))</f>
        <v/>
      </c>
      <c r="J180">
        <f>IF($Q180="","",INDEX(상세표[기록 수],$Q180))</f>
        <v/>
      </c>
      <c r="K180" s="20">
        <f>IF($Q180="","",INDEX(상세표[블록 06~07시],$Q180))</f>
        <v/>
      </c>
      <c r="L180" s="20">
        <f>IF($Q180="","",INDEX(상세표[블록 07~18시],$Q180))</f>
        <v/>
      </c>
      <c r="M180" s="20">
        <f>IF($Q180="","",INDEX(상세표[블록 18~22시],$Q180))</f>
        <v/>
      </c>
      <c r="N180" s="20">
        <f>IF($Q180="","",INDEX(상세표[블록 22~06시],$Q180))</f>
        <v/>
      </c>
      <c r="O180">
        <f>IF($Q180="","",INDEX(상세표[주말·휴일 포함],$Q180)&amp;"")</f>
        <v/>
      </c>
      <c r="P180">
        <f>IF($Q180="","",INDEX(상세표[월 넘김 포함],$Q180)&amp;"")</f>
        <v/>
      </c>
      <c r="Q180" s="4">
        <f>IFERROR(MATCH(175,상세표[연속순번],0),"")</f>
        <v/>
      </c>
    </row>
    <row r="181">
      <c r="A181">
        <f>IF($Q181="","",INDEX(상세표[부서],$Q181)&amp;"")</f>
        <v/>
      </c>
      <c r="B181">
        <f>IF($Q181="","",INDEX(상세표[사번],$Q181)&amp;"")</f>
        <v/>
      </c>
      <c r="C181">
        <f>IF($Q181="","",INDEX(상세표[성명],$Q181)&amp;"")</f>
        <v/>
      </c>
      <c r="D181">
        <f>IF($Q181="","",INDEX(상세표[직위],$Q181)&amp;"")</f>
        <v/>
      </c>
      <c r="E181">
        <f>IF($Q181="","",IF(ISNUMBER(INDEX(상세표[근무일자],$Q181)),TEXT(INDEX(상세표[근무일자],$Q181),"yyyy-mm-dd"),INDEX(상세표[근무일자],$Q181)&amp;""))</f>
        <v/>
      </c>
      <c r="F181">
        <f>IF($Q181="","",IF(ISNUMBER(INDEX(상세표[시작],$Q181)),TEXT(INDEX(상세표[시작],$Q181),"yyyy-mm-dd hh:mm"),INDEX(상세표[시작],$Q181)&amp;""))</f>
        <v/>
      </c>
      <c r="G181">
        <f>IF($Q181="","",IF(ISNUMBER(INDEX(상세표[블록종료],$Q181)),TEXT(INDEX(상세표[블록종료],$Q181),"yyyy-mm-dd hh:mm"),INDEX(상세표[블록종료],$Q181)&amp;""))</f>
        <v/>
      </c>
      <c r="H181">
        <f>IF($Q181="","",CHOOSE(WEEKDAY(INDEX(상세표[시작],$Q181)),"일","월","화","수","목","금","토"))</f>
        <v/>
      </c>
      <c r="I181" s="20">
        <f>IF($Q181="","",INDEX(상세표[연속 시간],$Q181))</f>
        <v/>
      </c>
      <c r="J181">
        <f>IF($Q181="","",INDEX(상세표[기록 수],$Q181))</f>
        <v/>
      </c>
      <c r="K181" s="20">
        <f>IF($Q181="","",INDEX(상세표[블록 06~07시],$Q181))</f>
        <v/>
      </c>
      <c r="L181" s="20">
        <f>IF($Q181="","",INDEX(상세표[블록 07~18시],$Q181))</f>
        <v/>
      </c>
      <c r="M181" s="20">
        <f>IF($Q181="","",INDEX(상세표[블록 18~22시],$Q181))</f>
        <v/>
      </c>
      <c r="N181" s="20">
        <f>IF($Q181="","",INDEX(상세표[블록 22~06시],$Q181))</f>
        <v/>
      </c>
      <c r="O181">
        <f>IF($Q181="","",INDEX(상세표[주말·휴일 포함],$Q181)&amp;"")</f>
        <v/>
      </c>
      <c r="P181">
        <f>IF($Q181="","",INDEX(상세표[월 넘김 포함],$Q181)&amp;"")</f>
        <v/>
      </c>
      <c r="Q181" s="4">
        <f>IFERROR(MATCH(176,상세표[연속순번],0),"")</f>
        <v/>
      </c>
    </row>
    <row r="182">
      <c r="A182">
        <f>IF($Q182="","",INDEX(상세표[부서],$Q182)&amp;"")</f>
        <v/>
      </c>
      <c r="B182">
        <f>IF($Q182="","",INDEX(상세표[사번],$Q182)&amp;"")</f>
        <v/>
      </c>
      <c r="C182">
        <f>IF($Q182="","",INDEX(상세표[성명],$Q182)&amp;"")</f>
        <v/>
      </c>
      <c r="D182">
        <f>IF($Q182="","",INDEX(상세표[직위],$Q182)&amp;"")</f>
        <v/>
      </c>
      <c r="E182">
        <f>IF($Q182="","",IF(ISNUMBER(INDEX(상세표[근무일자],$Q182)),TEXT(INDEX(상세표[근무일자],$Q182),"yyyy-mm-dd"),INDEX(상세표[근무일자],$Q182)&amp;""))</f>
        <v/>
      </c>
      <c r="F182">
        <f>IF($Q182="","",IF(ISNUMBER(INDEX(상세표[시작],$Q182)),TEXT(INDEX(상세표[시작],$Q182),"yyyy-mm-dd hh:mm"),INDEX(상세표[시작],$Q182)&amp;""))</f>
        <v/>
      </c>
      <c r="G182">
        <f>IF($Q182="","",IF(ISNUMBER(INDEX(상세표[블록종료],$Q182)),TEXT(INDEX(상세표[블록종료],$Q182),"yyyy-mm-dd hh:mm"),INDEX(상세표[블록종료],$Q182)&amp;""))</f>
        <v/>
      </c>
      <c r="H182">
        <f>IF($Q182="","",CHOOSE(WEEKDAY(INDEX(상세표[시작],$Q182)),"일","월","화","수","목","금","토"))</f>
        <v/>
      </c>
      <c r="I182" s="20">
        <f>IF($Q182="","",INDEX(상세표[연속 시간],$Q182))</f>
        <v/>
      </c>
      <c r="J182">
        <f>IF($Q182="","",INDEX(상세표[기록 수],$Q182))</f>
        <v/>
      </c>
      <c r="K182" s="20">
        <f>IF($Q182="","",INDEX(상세표[블록 06~07시],$Q182))</f>
        <v/>
      </c>
      <c r="L182" s="20">
        <f>IF($Q182="","",INDEX(상세표[블록 07~18시],$Q182))</f>
        <v/>
      </c>
      <c r="M182" s="20">
        <f>IF($Q182="","",INDEX(상세표[블록 18~22시],$Q182))</f>
        <v/>
      </c>
      <c r="N182" s="20">
        <f>IF($Q182="","",INDEX(상세표[블록 22~06시],$Q182))</f>
        <v/>
      </c>
      <c r="O182">
        <f>IF($Q182="","",INDEX(상세표[주말·휴일 포함],$Q182)&amp;"")</f>
        <v/>
      </c>
      <c r="P182">
        <f>IF($Q182="","",INDEX(상세표[월 넘김 포함],$Q182)&amp;"")</f>
        <v/>
      </c>
      <c r="Q182" s="4">
        <f>IFERROR(MATCH(177,상세표[연속순번],0),"")</f>
        <v/>
      </c>
    </row>
    <row r="183">
      <c r="A183">
        <f>IF($Q183="","",INDEX(상세표[부서],$Q183)&amp;"")</f>
        <v/>
      </c>
      <c r="B183">
        <f>IF($Q183="","",INDEX(상세표[사번],$Q183)&amp;"")</f>
        <v/>
      </c>
      <c r="C183">
        <f>IF($Q183="","",INDEX(상세표[성명],$Q183)&amp;"")</f>
        <v/>
      </c>
      <c r="D183">
        <f>IF($Q183="","",INDEX(상세표[직위],$Q183)&amp;"")</f>
        <v/>
      </c>
      <c r="E183">
        <f>IF($Q183="","",IF(ISNUMBER(INDEX(상세표[근무일자],$Q183)),TEXT(INDEX(상세표[근무일자],$Q183),"yyyy-mm-dd"),INDEX(상세표[근무일자],$Q183)&amp;""))</f>
        <v/>
      </c>
      <c r="F183">
        <f>IF($Q183="","",IF(ISNUMBER(INDEX(상세표[시작],$Q183)),TEXT(INDEX(상세표[시작],$Q183),"yyyy-mm-dd hh:mm"),INDEX(상세표[시작],$Q183)&amp;""))</f>
        <v/>
      </c>
      <c r="G183">
        <f>IF($Q183="","",IF(ISNUMBER(INDEX(상세표[블록종료],$Q183)),TEXT(INDEX(상세표[블록종료],$Q183),"yyyy-mm-dd hh:mm"),INDEX(상세표[블록종료],$Q183)&amp;""))</f>
        <v/>
      </c>
      <c r="H183">
        <f>IF($Q183="","",CHOOSE(WEEKDAY(INDEX(상세표[시작],$Q183)),"일","월","화","수","목","금","토"))</f>
        <v/>
      </c>
      <c r="I183" s="20">
        <f>IF($Q183="","",INDEX(상세표[연속 시간],$Q183))</f>
        <v/>
      </c>
      <c r="J183">
        <f>IF($Q183="","",INDEX(상세표[기록 수],$Q183))</f>
        <v/>
      </c>
      <c r="K183" s="20">
        <f>IF($Q183="","",INDEX(상세표[블록 06~07시],$Q183))</f>
        <v/>
      </c>
      <c r="L183" s="20">
        <f>IF($Q183="","",INDEX(상세표[블록 07~18시],$Q183))</f>
        <v/>
      </c>
      <c r="M183" s="20">
        <f>IF($Q183="","",INDEX(상세표[블록 18~22시],$Q183))</f>
        <v/>
      </c>
      <c r="N183" s="20">
        <f>IF($Q183="","",INDEX(상세표[블록 22~06시],$Q183))</f>
        <v/>
      </c>
      <c r="O183">
        <f>IF($Q183="","",INDEX(상세표[주말·휴일 포함],$Q183)&amp;"")</f>
        <v/>
      </c>
      <c r="P183">
        <f>IF($Q183="","",INDEX(상세표[월 넘김 포함],$Q183)&amp;"")</f>
        <v/>
      </c>
      <c r="Q183" s="4">
        <f>IFERROR(MATCH(178,상세표[연속순번],0),"")</f>
        <v/>
      </c>
    </row>
    <row r="184">
      <c r="A184">
        <f>IF($Q184="","",INDEX(상세표[부서],$Q184)&amp;"")</f>
        <v/>
      </c>
      <c r="B184">
        <f>IF($Q184="","",INDEX(상세표[사번],$Q184)&amp;"")</f>
        <v/>
      </c>
      <c r="C184">
        <f>IF($Q184="","",INDEX(상세표[성명],$Q184)&amp;"")</f>
        <v/>
      </c>
      <c r="D184">
        <f>IF($Q184="","",INDEX(상세표[직위],$Q184)&amp;"")</f>
        <v/>
      </c>
      <c r="E184">
        <f>IF($Q184="","",IF(ISNUMBER(INDEX(상세표[근무일자],$Q184)),TEXT(INDEX(상세표[근무일자],$Q184),"yyyy-mm-dd"),INDEX(상세표[근무일자],$Q184)&amp;""))</f>
        <v/>
      </c>
      <c r="F184">
        <f>IF($Q184="","",IF(ISNUMBER(INDEX(상세표[시작],$Q184)),TEXT(INDEX(상세표[시작],$Q184),"yyyy-mm-dd hh:mm"),INDEX(상세표[시작],$Q184)&amp;""))</f>
        <v/>
      </c>
      <c r="G184">
        <f>IF($Q184="","",IF(ISNUMBER(INDEX(상세표[블록종료],$Q184)),TEXT(INDEX(상세표[블록종료],$Q184),"yyyy-mm-dd hh:mm"),INDEX(상세표[블록종료],$Q184)&amp;""))</f>
        <v/>
      </c>
      <c r="H184">
        <f>IF($Q184="","",CHOOSE(WEEKDAY(INDEX(상세표[시작],$Q184)),"일","월","화","수","목","금","토"))</f>
        <v/>
      </c>
      <c r="I184" s="20">
        <f>IF($Q184="","",INDEX(상세표[연속 시간],$Q184))</f>
        <v/>
      </c>
      <c r="J184">
        <f>IF($Q184="","",INDEX(상세표[기록 수],$Q184))</f>
        <v/>
      </c>
      <c r="K184" s="20">
        <f>IF($Q184="","",INDEX(상세표[블록 06~07시],$Q184))</f>
        <v/>
      </c>
      <c r="L184" s="20">
        <f>IF($Q184="","",INDEX(상세표[블록 07~18시],$Q184))</f>
        <v/>
      </c>
      <c r="M184" s="20">
        <f>IF($Q184="","",INDEX(상세표[블록 18~22시],$Q184))</f>
        <v/>
      </c>
      <c r="N184" s="20">
        <f>IF($Q184="","",INDEX(상세표[블록 22~06시],$Q184))</f>
        <v/>
      </c>
      <c r="O184">
        <f>IF($Q184="","",INDEX(상세표[주말·휴일 포함],$Q184)&amp;"")</f>
        <v/>
      </c>
      <c r="P184">
        <f>IF($Q184="","",INDEX(상세표[월 넘김 포함],$Q184)&amp;"")</f>
        <v/>
      </c>
      <c r="Q184" s="4">
        <f>IFERROR(MATCH(179,상세표[연속순번],0),"")</f>
        <v/>
      </c>
    </row>
    <row r="185">
      <c r="A185">
        <f>IF($Q185="","",INDEX(상세표[부서],$Q185)&amp;"")</f>
        <v/>
      </c>
      <c r="B185">
        <f>IF($Q185="","",INDEX(상세표[사번],$Q185)&amp;"")</f>
        <v/>
      </c>
      <c r="C185">
        <f>IF($Q185="","",INDEX(상세표[성명],$Q185)&amp;"")</f>
        <v/>
      </c>
      <c r="D185">
        <f>IF($Q185="","",INDEX(상세표[직위],$Q185)&amp;"")</f>
        <v/>
      </c>
      <c r="E185">
        <f>IF($Q185="","",IF(ISNUMBER(INDEX(상세표[근무일자],$Q185)),TEXT(INDEX(상세표[근무일자],$Q185),"yyyy-mm-dd"),INDEX(상세표[근무일자],$Q185)&amp;""))</f>
        <v/>
      </c>
      <c r="F185">
        <f>IF($Q185="","",IF(ISNUMBER(INDEX(상세표[시작],$Q185)),TEXT(INDEX(상세표[시작],$Q185),"yyyy-mm-dd hh:mm"),INDEX(상세표[시작],$Q185)&amp;""))</f>
        <v/>
      </c>
      <c r="G185">
        <f>IF($Q185="","",IF(ISNUMBER(INDEX(상세표[블록종료],$Q185)),TEXT(INDEX(상세표[블록종료],$Q185),"yyyy-mm-dd hh:mm"),INDEX(상세표[블록종료],$Q185)&amp;""))</f>
        <v/>
      </c>
      <c r="H185">
        <f>IF($Q185="","",CHOOSE(WEEKDAY(INDEX(상세표[시작],$Q185)),"일","월","화","수","목","금","토"))</f>
        <v/>
      </c>
      <c r="I185" s="20">
        <f>IF($Q185="","",INDEX(상세표[연속 시간],$Q185))</f>
        <v/>
      </c>
      <c r="J185">
        <f>IF($Q185="","",INDEX(상세표[기록 수],$Q185))</f>
        <v/>
      </c>
      <c r="K185" s="20">
        <f>IF($Q185="","",INDEX(상세표[블록 06~07시],$Q185))</f>
        <v/>
      </c>
      <c r="L185" s="20">
        <f>IF($Q185="","",INDEX(상세표[블록 07~18시],$Q185))</f>
        <v/>
      </c>
      <c r="M185" s="20">
        <f>IF($Q185="","",INDEX(상세표[블록 18~22시],$Q185))</f>
        <v/>
      </c>
      <c r="N185" s="20">
        <f>IF($Q185="","",INDEX(상세표[블록 22~06시],$Q185))</f>
        <v/>
      </c>
      <c r="O185">
        <f>IF($Q185="","",INDEX(상세표[주말·휴일 포함],$Q185)&amp;"")</f>
        <v/>
      </c>
      <c r="P185">
        <f>IF($Q185="","",INDEX(상세표[월 넘김 포함],$Q185)&amp;"")</f>
        <v/>
      </c>
      <c r="Q185" s="4">
        <f>IFERROR(MATCH(180,상세표[연속순번],0),"")</f>
        <v/>
      </c>
    </row>
    <row r="186">
      <c r="A186">
        <f>IF($Q186="","",INDEX(상세표[부서],$Q186)&amp;"")</f>
        <v/>
      </c>
      <c r="B186">
        <f>IF($Q186="","",INDEX(상세표[사번],$Q186)&amp;"")</f>
        <v/>
      </c>
      <c r="C186">
        <f>IF($Q186="","",INDEX(상세표[성명],$Q186)&amp;"")</f>
        <v/>
      </c>
      <c r="D186">
        <f>IF($Q186="","",INDEX(상세표[직위],$Q186)&amp;"")</f>
        <v/>
      </c>
      <c r="E186">
        <f>IF($Q186="","",IF(ISNUMBER(INDEX(상세표[근무일자],$Q186)),TEXT(INDEX(상세표[근무일자],$Q186),"yyyy-mm-dd"),INDEX(상세표[근무일자],$Q186)&amp;""))</f>
        <v/>
      </c>
      <c r="F186">
        <f>IF($Q186="","",IF(ISNUMBER(INDEX(상세표[시작],$Q186)),TEXT(INDEX(상세표[시작],$Q186),"yyyy-mm-dd hh:mm"),INDEX(상세표[시작],$Q186)&amp;""))</f>
        <v/>
      </c>
      <c r="G186">
        <f>IF($Q186="","",IF(ISNUMBER(INDEX(상세표[블록종료],$Q186)),TEXT(INDEX(상세표[블록종료],$Q186),"yyyy-mm-dd hh:mm"),INDEX(상세표[블록종료],$Q186)&amp;""))</f>
        <v/>
      </c>
      <c r="H186">
        <f>IF($Q186="","",CHOOSE(WEEKDAY(INDEX(상세표[시작],$Q186)),"일","월","화","수","목","금","토"))</f>
        <v/>
      </c>
      <c r="I186" s="20">
        <f>IF($Q186="","",INDEX(상세표[연속 시간],$Q186))</f>
        <v/>
      </c>
      <c r="J186">
        <f>IF($Q186="","",INDEX(상세표[기록 수],$Q186))</f>
        <v/>
      </c>
      <c r="K186" s="20">
        <f>IF($Q186="","",INDEX(상세표[블록 06~07시],$Q186))</f>
        <v/>
      </c>
      <c r="L186" s="20">
        <f>IF($Q186="","",INDEX(상세표[블록 07~18시],$Q186))</f>
        <v/>
      </c>
      <c r="M186" s="20">
        <f>IF($Q186="","",INDEX(상세표[블록 18~22시],$Q186))</f>
        <v/>
      </c>
      <c r="N186" s="20">
        <f>IF($Q186="","",INDEX(상세표[블록 22~06시],$Q186))</f>
        <v/>
      </c>
      <c r="O186">
        <f>IF($Q186="","",INDEX(상세표[주말·휴일 포함],$Q186)&amp;"")</f>
        <v/>
      </c>
      <c r="P186">
        <f>IF($Q186="","",INDEX(상세표[월 넘김 포함],$Q186)&amp;"")</f>
        <v/>
      </c>
      <c r="Q186" s="4">
        <f>IFERROR(MATCH(181,상세표[연속순번],0),"")</f>
        <v/>
      </c>
    </row>
    <row r="187">
      <c r="A187">
        <f>IF($Q187="","",INDEX(상세표[부서],$Q187)&amp;"")</f>
        <v/>
      </c>
      <c r="B187">
        <f>IF($Q187="","",INDEX(상세표[사번],$Q187)&amp;"")</f>
        <v/>
      </c>
      <c r="C187">
        <f>IF($Q187="","",INDEX(상세표[성명],$Q187)&amp;"")</f>
        <v/>
      </c>
      <c r="D187">
        <f>IF($Q187="","",INDEX(상세표[직위],$Q187)&amp;"")</f>
        <v/>
      </c>
      <c r="E187">
        <f>IF($Q187="","",IF(ISNUMBER(INDEX(상세표[근무일자],$Q187)),TEXT(INDEX(상세표[근무일자],$Q187),"yyyy-mm-dd"),INDEX(상세표[근무일자],$Q187)&amp;""))</f>
        <v/>
      </c>
      <c r="F187">
        <f>IF($Q187="","",IF(ISNUMBER(INDEX(상세표[시작],$Q187)),TEXT(INDEX(상세표[시작],$Q187),"yyyy-mm-dd hh:mm"),INDEX(상세표[시작],$Q187)&amp;""))</f>
        <v/>
      </c>
      <c r="G187">
        <f>IF($Q187="","",IF(ISNUMBER(INDEX(상세표[블록종료],$Q187)),TEXT(INDEX(상세표[블록종료],$Q187),"yyyy-mm-dd hh:mm"),INDEX(상세표[블록종료],$Q187)&amp;""))</f>
        <v/>
      </c>
      <c r="H187">
        <f>IF($Q187="","",CHOOSE(WEEKDAY(INDEX(상세표[시작],$Q187)),"일","월","화","수","목","금","토"))</f>
        <v/>
      </c>
      <c r="I187" s="20">
        <f>IF($Q187="","",INDEX(상세표[연속 시간],$Q187))</f>
        <v/>
      </c>
      <c r="J187">
        <f>IF($Q187="","",INDEX(상세표[기록 수],$Q187))</f>
        <v/>
      </c>
      <c r="K187" s="20">
        <f>IF($Q187="","",INDEX(상세표[블록 06~07시],$Q187))</f>
        <v/>
      </c>
      <c r="L187" s="20">
        <f>IF($Q187="","",INDEX(상세표[블록 07~18시],$Q187))</f>
        <v/>
      </c>
      <c r="M187" s="20">
        <f>IF($Q187="","",INDEX(상세표[블록 18~22시],$Q187))</f>
        <v/>
      </c>
      <c r="N187" s="20">
        <f>IF($Q187="","",INDEX(상세표[블록 22~06시],$Q187))</f>
        <v/>
      </c>
      <c r="O187">
        <f>IF($Q187="","",INDEX(상세표[주말·휴일 포함],$Q187)&amp;"")</f>
        <v/>
      </c>
      <c r="P187">
        <f>IF($Q187="","",INDEX(상세표[월 넘김 포함],$Q187)&amp;"")</f>
        <v/>
      </c>
      <c r="Q187" s="4">
        <f>IFERROR(MATCH(182,상세표[연속순번],0),"")</f>
        <v/>
      </c>
    </row>
    <row r="188">
      <c r="A188">
        <f>IF($Q188="","",INDEX(상세표[부서],$Q188)&amp;"")</f>
        <v/>
      </c>
      <c r="B188">
        <f>IF($Q188="","",INDEX(상세표[사번],$Q188)&amp;"")</f>
        <v/>
      </c>
      <c r="C188">
        <f>IF($Q188="","",INDEX(상세표[성명],$Q188)&amp;"")</f>
        <v/>
      </c>
      <c r="D188">
        <f>IF($Q188="","",INDEX(상세표[직위],$Q188)&amp;"")</f>
        <v/>
      </c>
      <c r="E188">
        <f>IF($Q188="","",IF(ISNUMBER(INDEX(상세표[근무일자],$Q188)),TEXT(INDEX(상세표[근무일자],$Q188),"yyyy-mm-dd"),INDEX(상세표[근무일자],$Q188)&amp;""))</f>
        <v/>
      </c>
      <c r="F188">
        <f>IF($Q188="","",IF(ISNUMBER(INDEX(상세표[시작],$Q188)),TEXT(INDEX(상세표[시작],$Q188),"yyyy-mm-dd hh:mm"),INDEX(상세표[시작],$Q188)&amp;""))</f>
        <v/>
      </c>
      <c r="G188">
        <f>IF($Q188="","",IF(ISNUMBER(INDEX(상세표[블록종료],$Q188)),TEXT(INDEX(상세표[블록종료],$Q188),"yyyy-mm-dd hh:mm"),INDEX(상세표[블록종료],$Q188)&amp;""))</f>
        <v/>
      </c>
      <c r="H188">
        <f>IF($Q188="","",CHOOSE(WEEKDAY(INDEX(상세표[시작],$Q188)),"일","월","화","수","목","금","토"))</f>
        <v/>
      </c>
      <c r="I188" s="20">
        <f>IF($Q188="","",INDEX(상세표[연속 시간],$Q188))</f>
        <v/>
      </c>
      <c r="J188">
        <f>IF($Q188="","",INDEX(상세표[기록 수],$Q188))</f>
        <v/>
      </c>
      <c r="K188" s="20">
        <f>IF($Q188="","",INDEX(상세표[블록 06~07시],$Q188))</f>
        <v/>
      </c>
      <c r="L188" s="20">
        <f>IF($Q188="","",INDEX(상세표[블록 07~18시],$Q188))</f>
        <v/>
      </c>
      <c r="M188" s="20">
        <f>IF($Q188="","",INDEX(상세표[블록 18~22시],$Q188))</f>
        <v/>
      </c>
      <c r="N188" s="20">
        <f>IF($Q188="","",INDEX(상세표[블록 22~06시],$Q188))</f>
        <v/>
      </c>
      <c r="O188">
        <f>IF($Q188="","",INDEX(상세표[주말·휴일 포함],$Q188)&amp;"")</f>
        <v/>
      </c>
      <c r="P188">
        <f>IF($Q188="","",INDEX(상세표[월 넘김 포함],$Q188)&amp;"")</f>
        <v/>
      </c>
      <c r="Q188" s="4">
        <f>IFERROR(MATCH(183,상세표[연속순번],0),"")</f>
        <v/>
      </c>
    </row>
    <row r="189">
      <c r="A189">
        <f>IF($Q189="","",INDEX(상세표[부서],$Q189)&amp;"")</f>
        <v/>
      </c>
      <c r="B189">
        <f>IF($Q189="","",INDEX(상세표[사번],$Q189)&amp;"")</f>
        <v/>
      </c>
      <c r="C189">
        <f>IF($Q189="","",INDEX(상세표[성명],$Q189)&amp;"")</f>
        <v/>
      </c>
      <c r="D189">
        <f>IF($Q189="","",INDEX(상세표[직위],$Q189)&amp;"")</f>
        <v/>
      </c>
      <c r="E189">
        <f>IF($Q189="","",IF(ISNUMBER(INDEX(상세표[근무일자],$Q189)),TEXT(INDEX(상세표[근무일자],$Q189),"yyyy-mm-dd"),INDEX(상세표[근무일자],$Q189)&amp;""))</f>
        <v/>
      </c>
      <c r="F189">
        <f>IF($Q189="","",IF(ISNUMBER(INDEX(상세표[시작],$Q189)),TEXT(INDEX(상세표[시작],$Q189),"yyyy-mm-dd hh:mm"),INDEX(상세표[시작],$Q189)&amp;""))</f>
        <v/>
      </c>
      <c r="G189">
        <f>IF($Q189="","",IF(ISNUMBER(INDEX(상세표[블록종료],$Q189)),TEXT(INDEX(상세표[블록종료],$Q189),"yyyy-mm-dd hh:mm"),INDEX(상세표[블록종료],$Q189)&amp;""))</f>
        <v/>
      </c>
      <c r="H189">
        <f>IF($Q189="","",CHOOSE(WEEKDAY(INDEX(상세표[시작],$Q189)),"일","월","화","수","목","금","토"))</f>
        <v/>
      </c>
      <c r="I189" s="20">
        <f>IF($Q189="","",INDEX(상세표[연속 시간],$Q189))</f>
        <v/>
      </c>
      <c r="J189">
        <f>IF($Q189="","",INDEX(상세표[기록 수],$Q189))</f>
        <v/>
      </c>
      <c r="K189" s="20">
        <f>IF($Q189="","",INDEX(상세표[블록 06~07시],$Q189))</f>
        <v/>
      </c>
      <c r="L189" s="20">
        <f>IF($Q189="","",INDEX(상세표[블록 07~18시],$Q189))</f>
        <v/>
      </c>
      <c r="M189" s="20">
        <f>IF($Q189="","",INDEX(상세표[블록 18~22시],$Q189))</f>
        <v/>
      </c>
      <c r="N189" s="20">
        <f>IF($Q189="","",INDEX(상세표[블록 22~06시],$Q189))</f>
        <v/>
      </c>
      <c r="O189">
        <f>IF($Q189="","",INDEX(상세표[주말·휴일 포함],$Q189)&amp;"")</f>
        <v/>
      </c>
      <c r="P189">
        <f>IF($Q189="","",INDEX(상세표[월 넘김 포함],$Q189)&amp;"")</f>
        <v/>
      </c>
      <c r="Q189" s="4">
        <f>IFERROR(MATCH(184,상세표[연속순번],0),"")</f>
        <v/>
      </c>
    </row>
    <row r="190">
      <c r="A190">
        <f>IF($Q190="","",INDEX(상세표[부서],$Q190)&amp;"")</f>
        <v/>
      </c>
      <c r="B190">
        <f>IF($Q190="","",INDEX(상세표[사번],$Q190)&amp;"")</f>
        <v/>
      </c>
      <c r="C190">
        <f>IF($Q190="","",INDEX(상세표[성명],$Q190)&amp;"")</f>
        <v/>
      </c>
      <c r="D190">
        <f>IF($Q190="","",INDEX(상세표[직위],$Q190)&amp;"")</f>
        <v/>
      </c>
      <c r="E190">
        <f>IF($Q190="","",IF(ISNUMBER(INDEX(상세표[근무일자],$Q190)),TEXT(INDEX(상세표[근무일자],$Q190),"yyyy-mm-dd"),INDEX(상세표[근무일자],$Q190)&amp;""))</f>
        <v/>
      </c>
      <c r="F190">
        <f>IF($Q190="","",IF(ISNUMBER(INDEX(상세표[시작],$Q190)),TEXT(INDEX(상세표[시작],$Q190),"yyyy-mm-dd hh:mm"),INDEX(상세표[시작],$Q190)&amp;""))</f>
        <v/>
      </c>
      <c r="G190">
        <f>IF($Q190="","",IF(ISNUMBER(INDEX(상세표[블록종료],$Q190)),TEXT(INDEX(상세표[블록종료],$Q190),"yyyy-mm-dd hh:mm"),INDEX(상세표[블록종료],$Q190)&amp;""))</f>
        <v/>
      </c>
      <c r="H190">
        <f>IF($Q190="","",CHOOSE(WEEKDAY(INDEX(상세표[시작],$Q190)),"일","월","화","수","목","금","토"))</f>
        <v/>
      </c>
      <c r="I190" s="20">
        <f>IF($Q190="","",INDEX(상세표[연속 시간],$Q190))</f>
        <v/>
      </c>
      <c r="J190">
        <f>IF($Q190="","",INDEX(상세표[기록 수],$Q190))</f>
        <v/>
      </c>
      <c r="K190" s="20">
        <f>IF($Q190="","",INDEX(상세표[블록 06~07시],$Q190))</f>
        <v/>
      </c>
      <c r="L190" s="20">
        <f>IF($Q190="","",INDEX(상세표[블록 07~18시],$Q190))</f>
        <v/>
      </c>
      <c r="M190" s="20">
        <f>IF($Q190="","",INDEX(상세표[블록 18~22시],$Q190))</f>
        <v/>
      </c>
      <c r="N190" s="20">
        <f>IF($Q190="","",INDEX(상세표[블록 22~06시],$Q190))</f>
        <v/>
      </c>
      <c r="O190">
        <f>IF($Q190="","",INDEX(상세표[주말·휴일 포함],$Q190)&amp;"")</f>
        <v/>
      </c>
      <c r="P190">
        <f>IF($Q190="","",INDEX(상세표[월 넘김 포함],$Q190)&amp;"")</f>
        <v/>
      </c>
      <c r="Q190" s="4">
        <f>IFERROR(MATCH(185,상세표[연속순번],0),"")</f>
        <v/>
      </c>
    </row>
    <row r="191">
      <c r="A191">
        <f>IF($Q191="","",INDEX(상세표[부서],$Q191)&amp;"")</f>
        <v/>
      </c>
      <c r="B191">
        <f>IF($Q191="","",INDEX(상세표[사번],$Q191)&amp;"")</f>
        <v/>
      </c>
      <c r="C191">
        <f>IF($Q191="","",INDEX(상세표[성명],$Q191)&amp;"")</f>
        <v/>
      </c>
      <c r="D191">
        <f>IF($Q191="","",INDEX(상세표[직위],$Q191)&amp;"")</f>
        <v/>
      </c>
      <c r="E191">
        <f>IF($Q191="","",IF(ISNUMBER(INDEX(상세표[근무일자],$Q191)),TEXT(INDEX(상세표[근무일자],$Q191),"yyyy-mm-dd"),INDEX(상세표[근무일자],$Q191)&amp;""))</f>
        <v/>
      </c>
      <c r="F191">
        <f>IF($Q191="","",IF(ISNUMBER(INDEX(상세표[시작],$Q191)),TEXT(INDEX(상세표[시작],$Q191),"yyyy-mm-dd hh:mm"),INDEX(상세표[시작],$Q191)&amp;""))</f>
        <v/>
      </c>
      <c r="G191">
        <f>IF($Q191="","",IF(ISNUMBER(INDEX(상세표[블록종료],$Q191)),TEXT(INDEX(상세표[블록종료],$Q191),"yyyy-mm-dd hh:mm"),INDEX(상세표[블록종료],$Q191)&amp;""))</f>
        <v/>
      </c>
      <c r="H191">
        <f>IF($Q191="","",CHOOSE(WEEKDAY(INDEX(상세표[시작],$Q191)),"일","월","화","수","목","금","토"))</f>
        <v/>
      </c>
      <c r="I191" s="20">
        <f>IF($Q191="","",INDEX(상세표[연속 시간],$Q191))</f>
        <v/>
      </c>
      <c r="J191">
        <f>IF($Q191="","",INDEX(상세표[기록 수],$Q191))</f>
        <v/>
      </c>
      <c r="K191" s="20">
        <f>IF($Q191="","",INDEX(상세표[블록 06~07시],$Q191))</f>
        <v/>
      </c>
      <c r="L191" s="20">
        <f>IF($Q191="","",INDEX(상세표[블록 07~18시],$Q191))</f>
        <v/>
      </c>
      <c r="M191" s="20">
        <f>IF($Q191="","",INDEX(상세표[블록 18~22시],$Q191))</f>
        <v/>
      </c>
      <c r="N191" s="20">
        <f>IF($Q191="","",INDEX(상세표[블록 22~06시],$Q191))</f>
        <v/>
      </c>
      <c r="O191">
        <f>IF($Q191="","",INDEX(상세표[주말·휴일 포함],$Q191)&amp;"")</f>
        <v/>
      </c>
      <c r="P191">
        <f>IF($Q191="","",INDEX(상세표[월 넘김 포함],$Q191)&amp;"")</f>
        <v/>
      </c>
      <c r="Q191" s="4">
        <f>IFERROR(MATCH(186,상세표[연속순번],0),"")</f>
        <v/>
      </c>
    </row>
    <row r="192">
      <c r="A192">
        <f>IF($Q192="","",INDEX(상세표[부서],$Q192)&amp;"")</f>
        <v/>
      </c>
      <c r="B192">
        <f>IF($Q192="","",INDEX(상세표[사번],$Q192)&amp;"")</f>
        <v/>
      </c>
      <c r="C192">
        <f>IF($Q192="","",INDEX(상세표[성명],$Q192)&amp;"")</f>
        <v/>
      </c>
      <c r="D192">
        <f>IF($Q192="","",INDEX(상세표[직위],$Q192)&amp;"")</f>
        <v/>
      </c>
      <c r="E192">
        <f>IF($Q192="","",IF(ISNUMBER(INDEX(상세표[근무일자],$Q192)),TEXT(INDEX(상세표[근무일자],$Q192),"yyyy-mm-dd"),INDEX(상세표[근무일자],$Q192)&amp;""))</f>
        <v/>
      </c>
      <c r="F192">
        <f>IF($Q192="","",IF(ISNUMBER(INDEX(상세표[시작],$Q192)),TEXT(INDEX(상세표[시작],$Q192),"yyyy-mm-dd hh:mm"),INDEX(상세표[시작],$Q192)&amp;""))</f>
        <v/>
      </c>
      <c r="G192">
        <f>IF($Q192="","",IF(ISNUMBER(INDEX(상세표[블록종료],$Q192)),TEXT(INDEX(상세표[블록종료],$Q192),"yyyy-mm-dd hh:mm"),INDEX(상세표[블록종료],$Q192)&amp;""))</f>
        <v/>
      </c>
      <c r="H192">
        <f>IF($Q192="","",CHOOSE(WEEKDAY(INDEX(상세표[시작],$Q192)),"일","월","화","수","목","금","토"))</f>
        <v/>
      </c>
      <c r="I192" s="20">
        <f>IF($Q192="","",INDEX(상세표[연속 시간],$Q192))</f>
        <v/>
      </c>
      <c r="J192">
        <f>IF($Q192="","",INDEX(상세표[기록 수],$Q192))</f>
        <v/>
      </c>
      <c r="K192" s="20">
        <f>IF($Q192="","",INDEX(상세표[블록 06~07시],$Q192))</f>
        <v/>
      </c>
      <c r="L192" s="20">
        <f>IF($Q192="","",INDEX(상세표[블록 07~18시],$Q192))</f>
        <v/>
      </c>
      <c r="M192" s="20">
        <f>IF($Q192="","",INDEX(상세표[블록 18~22시],$Q192))</f>
        <v/>
      </c>
      <c r="N192" s="20">
        <f>IF($Q192="","",INDEX(상세표[블록 22~06시],$Q192))</f>
        <v/>
      </c>
      <c r="O192">
        <f>IF($Q192="","",INDEX(상세표[주말·휴일 포함],$Q192)&amp;"")</f>
        <v/>
      </c>
      <c r="P192">
        <f>IF($Q192="","",INDEX(상세표[월 넘김 포함],$Q192)&amp;"")</f>
        <v/>
      </c>
      <c r="Q192" s="4">
        <f>IFERROR(MATCH(187,상세표[연속순번],0),"")</f>
        <v/>
      </c>
    </row>
    <row r="193">
      <c r="A193">
        <f>IF($Q193="","",INDEX(상세표[부서],$Q193)&amp;"")</f>
        <v/>
      </c>
      <c r="B193">
        <f>IF($Q193="","",INDEX(상세표[사번],$Q193)&amp;"")</f>
        <v/>
      </c>
      <c r="C193">
        <f>IF($Q193="","",INDEX(상세표[성명],$Q193)&amp;"")</f>
        <v/>
      </c>
      <c r="D193">
        <f>IF($Q193="","",INDEX(상세표[직위],$Q193)&amp;"")</f>
        <v/>
      </c>
      <c r="E193">
        <f>IF($Q193="","",IF(ISNUMBER(INDEX(상세표[근무일자],$Q193)),TEXT(INDEX(상세표[근무일자],$Q193),"yyyy-mm-dd"),INDEX(상세표[근무일자],$Q193)&amp;""))</f>
        <v/>
      </c>
      <c r="F193">
        <f>IF($Q193="","",IF(ISNUMBER(INDEX(상세표[시작],$Q193)),TEXT(INDEX(상세표[시작],$Q193),"yyyy-mm-dd hh:mm"),INDEX(상세표[시작],$Q193)&amp;""))</f>
        <v/>
      </c>
      <c r="G193">
        <f>IF($Q193="","",IF(ISNUMBER(INDEX(상세표[블록종료],$Q193)),TEXT(INDEX(상세표[블록종료],$Q193),"yyyy-mm-dd hh:mm"),INDEX(상세표[블록종료],$Q193)&amp;""))</f>
        <v/>
      </c>
      <c r="H193">
        <f>IF($Q193="","",CHOOSE(WEEKDAY(INDEX(상세표[시작],$Q193)),"일","월","화","수","목","금","토"))</f>
        <v/>
      </c>
      <c r="I193" s="20">
        <f>IF($Q193="","",INDEX(상세표[연속 시간],$Q193))</f>
        <v/>
      </c>
      <c r="J193">
        <f>IF($Q193="","",INDEX(상세표[기록 수],$Q193))</f>
        <v/>
      </c>
      <c r="K193" s="20">
        <f>IF($Q193="","",INDEX(상세표[블록 06~07시],$Q193))</f>
        <v/>
      </c>
      <c r="L193" s="20">
        <f>IF($Q193="","",INDEX(상세표[블록 07~18시],$Q193))</f>
        <v/>
      </c>
      <c r="M193" s="20">
        <f>IF($Q193="","",INDEX(상세표[블록 18~22시],$Q193))</f>
        <v/>
      </c>
      <c r="N193" s="20">
        <f>IF($Q193="","",INDEX(상세표[블록 22~06시],$Q193))</f>
        <v/>
      </c>
      <c r="O193">
        <f>IF($Q193="","",INDEX(상세표[주말·휴일 포함],$Q193)&amp;"")</f>
        <v/>
      </c>
      <c r="P193">
        <f>IF($Q193="","",INDEX(상세표[월 넘김 포함],$Q193)&amp;"")</f>
        <v/>
      </c>
      <c r="Q193" s="4">
        <f>IFERROR(MATCH(188,상세표[연속순번],0),"")</f>
        <v/>
      </c>
    </row>
    <row r="194">
      <c r="A194">
        <f>IF($Q194="","",INDEX(상세표[부서],$Q194)&amp;"")</f>
        <v/>
      </c>
      <c r="B194">
        <f>IF($Q194="","",INDEX(상세표[사번],$Q194)&amp;"")</f>
        <v/>
      </c>
      <c r="C194">
        <f>IF($Q194="","",INDEX(상세표[성명],$Q194)&amp;"")</f>
        <v/>
      </c>
      <c r="D194">
        <f>IF($Q194="","",INDEX(상세표[직위],$Q194)&amp;"")</f>
        <v/>
      </c>
      <c r="E194">
        <f>IF($Q194="","",IF(ISNUMBER(INDEX(상세표[근무일자],$Q194)),TEXT(INDEX(상세표[근무일자],$Q194),"yyyy-mm-dd"),INDEX(상세표[근무일자],$Q194)&amp;""))</f>
        <v/>
      </c>
      <c r="F194">
        <f>IF($Q194="","",IF(ISNUMBER(INDEX(상세표[시작],$Q194)),TEXT(INDEX(상세표[시작],$Q194),"yyyy-mm-dd hh:mm"),INDEX(상세표[시작],$Q194)&amp;""))</f>
        <v/>
      </c>
      <c r="G194">
        <f>IF($Q194="","",IF(ISNUMBER(INDEX(상세표[블록종료],$Q194)),TEXT(INDEX(상세표[블록종료],$Q194),"yyyy-mm-dd hh:mm"),INDEX(상세표[블록종료],$Q194)&amp;""))</f>
        <v/>
      </c>
      <c r="H194">
        <f>IF($Q194="","",CHOOSE(WEEKDAY(INDEX(상세표[시작],$Q194)),"일","월","화","수","목","금","토"))</f>
        <v/>
      </c>
      <c r="I194" s="20">
        <f>IF($Q194="","",INDEX(상세표[연속 시간],$Q194))</f>
        <v/>
      </c>
      <c r="J194">
        <f>IF($Q194="","",INDEX(상세표[기록 수],$Q194))</f>
        <v/>
      </c>
      <c r="K194" s="20">
        <f>IF($Q194="","",INDEX(상세표[블록 06~07시],$Q194))</f>
        <v/>
      </c>
      <c r="L194" s="20">
        <f>IF($Q194="","",INDEX(상세표[블록 07~18시],$Q194))</f>
        <v/>
      </c>
      <c r="M194" s="20">
        <f>IF($Q194="","",INDEX(상세표[블록 18~22시],$Q194))</f>
        <v/>
      </c>
      <c r="N194" s="20">
        <f>IF($Q194="","",INDEX(상세표[블록 22~06시],$Q194))</f>
        <v/>
      </c>
      <c r="O194">
        <f>IF($Q194="","",INDEX(상세표[주말·휴일 포함],$Q194)&amp;"")</f>
        <v/>
      </c>
      <c r="P194">
        <f>IF($Q194="","",INDEX(상세표[월 넘김 포함],$Q194)&amp;"")</f>
        <v/>
      </c>
      <c r="Q194" s="4">
        <f>IFERROR(MATCH(189,상세표[연속순번],0),"")</f>
        <v/>
      </c>
    </row>
    <row r="195">
      <c r="A195">
        <f>IF($Q195="","",INDEX(상세표[부서],$Q195)&amp;"")</f>
        <v/>
      </c>
      <c r="B195">
        <f>IF($Q195="","",INDEX(상세표[사번],$Q195)&amp;"")</f>
        <v/>
      </c>
      <c r="C195">
        <f>IF($Q195="","",INDEX(상세표[성명],$Q195)&amp;"")</f>
        <v/>
      </c>
      <c r="D195">
        <f>IF($Q195="","",INDEX(상세표[직위],$Q195)&amp;"")</f>
        <v/>
      </c>
      <c r="E195">
        <f>IF($Q195="","",IF(ISNUMBER(INDEX(상세표[근무일자],$Q195)),TEXT(INDEX(상세표[근무일자],$Q195),"yyyy-mm-dd"),INDEX(상세표[근무일자],$Q195)&amp;""))</f>
        <v/>
      </c>
      <c r="F195">
        <f>IF($Q195="","",IF(ISNUMBER(INDEX(상세표[시작],$Q195)),TEXT(INDEX(상세표[시작],$Q195),"yyyy-mm-dd hh:mm"),INDEX(상세표[시작],$Q195)&amp;""))</f>
        <v/>
      </c>
      <c r="G195">
        <f>IF($Q195="","",IF(ISNUMBER(INDEX(상세표[블록종료],$Q195)),TEXT(INDEX(상세표[블록종료],$Q195),"yyyy-mm-dd hh:mm"),INDEX(상세표[블록종료],$Q195)&amp;""))</f>
        <v/>
      </c>
      <c r="H195">
        <f>IF($Q195="","",CHOOSE(WEEKDAY(INDEX(상세표[시작],$Q195)),"일","월","화","수","목","금","토"))</f>
        <v/>
      </c>
      <c r="I195" s="20">
        <f>IF($Q195="","",INDEX(상세표[연속 시간],$Q195))</f>
        <v/>
      </c>
      <c r="J195">
        <f>IF($Q195="","",INDEX(상세표[기록 수],$Q195))</f>
        <v/>
      </c>
      <c r="K195" s="20">
        <f>IF($Q195="","",INDEX(상세표[블록 06~07시],$Q195))</f>
        <v/>
      </c>
      <c r="L195" s="20">
        <f>IF($Q195="","",INDEX(상세표[블록 07~18시],$Q195))</f>
        <v/>
      </c>
      <c r="M195" s="20">
        <f>IF($Q195="","",INDEX(상세표[블록 18~22시],$Q195))</f>
        <v/>
      </c>
      <c r="N195" s="20">
        <f>IF($Q195="","",INDEX(상세표[블록 22~06시],$Q195))</f>
        <v/>
      </c>
      <c r="O195">
        <f>IF($Q195="","",INDEX(상세표[주말·휴일 포함],$Q195)&amp;"")</f>
        <v/>
      </c>
      <c r="P195">
        <f>IF($Q195="","",INDEX(상세표[월 넘김 포함],$Q195)&amp;"")</f>
        <v/>
      </c>
      <c r="Q195" s="4">
        <f>IFERROR(MATCH(190,상세표[연속순번],0),"")</f>
        <v/>
      </c>
    </row>
    <row r="196">
      <c r="A196">
        <f>IF($Q196="","",INDEX(상세표[부서],$Q196)&amp;"")</f>
        <v/>
      </c>
      <c r="B196">
        <f>IF($Q196="","",INDEX(상세표[사번],$Q196)&amp;"")</f>
        <v/>
      </c>
      <c r="C196">
        <f>IF($Q196="","",INDEX(상세표[성명],$Q196)&amp;"")</f>
        <v/>
      </c>
      <c r="D196">
        <f>IF($Q196="","",INDEX(상세표[직위],$Q196)&amp;"")</f>
        <v/>
      </c>
      <c r="E196">
        <f>IF($Q196="","",IF(ISNUMBER(INDEX(상세표[근무일자],$Q196)),TEXT(INDEX(상세표[근무일자],$Q196),"yyyy-mm-dd"),INDEX(상세표[근무일자],$Q196)&amp;""))</f>
        <v/>
      </c>
      <c r="F196">
        <f>IF($Q196="","",IF(ISNUMBER(INDEX(상세표[시작],$Q196)),TEXT(INDEX(상세표[시작],$Q196),"yyyy-mm-dd hh:mm"),INDEX(상세표[시작],$Q196)&amp;""))</f>
        <v/>
      </c>
      <c r="G196">
        <f>IF($Q196="","",IF(ISNUMBER(INDEX(상세표[블록종료],$Q196)),TEXT(INDEX(상세표[블록종료],$Q196),"yyyy-mm-dd hh:mm"),INDEX(상세표[블록종료],$Q196)&amp;""))</f>
        <v/>
      </c>
      <c r="H196">
        <f>IF($Q196="","",CHOOSE(WEEKDAY(INDEX(상세표[시작],$Q196)),"일","월","화","수","목","금","토"))</f>
        <v/>
      </c>
      <c r="I196" s="20">
        <f>IF($Q196="","",INDEX(상세표[연속 시간],$Q196))</f>
        <v/>
      </c>
      <c r="J196">
        <f>IF($Q196="","",INDEX(상세표[기록 수],$Q196))</f>
        <v/>
      </c>
      <c r="K196" s="20">
        <f>IF($Q196="","",INDEX(상세표[블록 06~07시],$Q196))</f>
        <v/>
      </c>
      <c r="L196" s="20">
        <f>IF($Q196="","",INDEX(상세표[블록 07~18시],$Q196))</f>
        <v/>
      </c>
      <c r="M196" s="20">
        <f>IF($Q196="","",INDEX(상세표[블록 18~22시],$Q196))</f>
        <v/>
      </c>
      <c r="N196" s="20">
        <f>IF($Q196="","",INDEX(상세표[블록 22~06시],$Q196))</f>
        <v/>
      </c>
      <c r="O196">
        <f>IF($Q196="","",INDEX(상세표[주말·휴일 포함],$Q196)&amp;"")</f>
        <v/>
      </c>
      <c r="P196">
        <f>IF($Q196="","",INDEX(상세표[월 넘김 포함],$Q196)&amp;"")</f>
        <v/>
      </c>
      <c r="Q196" s="4">
        <f>IFERROR(MATCH(191,상세표[연속순번],0),"")</f>
        <v/>
      </c>
    </row>
    <row r="197">
      <c r="A197">
        <f>IF($Q197="","",INDEX(상세표[부서],$Q197)&amp;"")</f>
        <v/>
      </c>
      <c r="B197">
        <f>IF($Q197="","",INDEX(상세표[사번],$Q197)&amp;"")</f>
        <v/>
      </c>
      <c r="C197">
        <f>IF($Q197="","",INDEX(상세표[성명],$Q197)&amp;"")</f>
        <v/>
      </c>
      <c r="D197">
        <f>IF($Q197="","",INDEX(상세표[직위],$Q197)&amp;"")</f>
        <v/>
      </c>
      <c r="E197">
        <f>IF($Q197="","",IF(ISNUMBER(INDEX(상세표[근무일자],$Q197)),TEXT(INDEX(상세표[근무일자],$Q197),"yyyy-mm-dd"),INDEX(상세표[근무일자],$Q197)&amp;""))</f>
        <v/>
      </c>
      <c r="F197">
        <f>IF($Q197="","",IF(ISNUMBER(INDEX(상세표[시작],$Q197)),TEXT(INDEX(상세표[시작],$Q197),"yyyy-mm-dd hh:mm"),INDEX(상세표[시작],$Q197)&amp;""))</f>
        <v/>
      </c>
      <c r="G197">
        <f>IF($Q197="","",IF(ISNUMBER(INDEX(상세표[블록종료],$Q197)),TEXT(INDEX(상세표[블록종료],$Q197),"yyyy-mm-dd hh:mm"),INDEX(상세표[블록종료],$Q197)&amp;""))</f>
        <v/>
      </c>
      <c r="H197">
        <f>IF($Q197="","",CHOOSE(WEEKDAY(INDEX(상세표[시작],$Q197)),"일","월","화","수","목","금","토"))</f>
        <v/>
      </c>
      <c r="I197" s="20">
        <f>IF($Q197="","",INDEX(상세표[연속 시간],$Q197))</f>
        <v/>
      </c>
      <c r="J197">
        <f>IF($Q197="","",INDEX(상세표[기록 수],$Q197))</f>
        <v/>
      </c>
      <c r="K197" s="20">
        <f>IF($Q197="","",INDEX(상세표[블록 06~07시],$Q197))</f>
        <v/>
      </c>
      <c r="L197" s="20">
        <f>IF($Q197="","",INDEX(상세표[블록 07~18시],$Q197))</f>
        <v/>
      </c>
      <c r="M197" s="20">
        <f>IF($Q197="","",INDEX(상세표[블록 18~22시],$Q197))</f>
        <v/>
      </c>
      <c r="N197" s="20">
        <f>IF($Q197="","",INDEX(상세표[블록 22~06시],$Q197))</f>
        <v/>
      </c>
      <c r="O197">
        <f>IF($Q197="","",INDEX(상세표[주말·휴일 포함],$Q197)&amp;"")</f>
        <v/>
      </c>
      <c r="P197">
        <f>IF($Q197="","",INDEX(상세표[월 넘김 포함],$Q197)&amp;"")</f>
        <v/>
      </c>
      <c r="Q197" s="4">
        <f>IFERROR(MATCH(192,상세표[연속순번],0),"")</f>
        <v/>
      </c>
    </row>
    <row r="198">
      <c r="A198">
        <f>IF($Q198="","",INDEX(상세표[부서],$Q198)&amp;"")</f>
        <v/>
      </c>
      <c r="B198">
        <f>IF($Q198="","",INDEX(상세표[사번],$Q198)&amp;"")</f>
        <v/>
      </c>
      <c r="C198">
        <f>IF($Q198="","",INDEX(상세표[성명],$Q198)&amp;"")</f>
        <v/>
      </c>
      <c r="D198">
        <f>IF($Q198="","",INDEX(상세표[직위],$Q198)&amp;"")</f>
        <v/>
      </c>
      <c r="E198">
        <f>IF($Q198="","",IF(ISNUMBER(INDEX(상세표[근무일자],$Q198)),TEXT(INDEX(상세표[근무일자],$Q198),"yyyy-mm-dd"),INDEX(상세표[근무일자],$Q198)&amp;""))</f>
        <v/>
      </c>
      <c r="F198">
        <f>IF($Q198="","",IF(ISNUMBER(INDEX(상세표[시작],$Q198)),TEXT(INDEX(상세표[시작],$Q198),"yyyy-mm-dd hh:mm"),INDEX(상세표[시작],$Q198)&amp;""))</f>
        <v/>
      </c>
      <c r="G198">
        <f>IF($Q198="","",IF(ISNUMBER(INDEX(상세표[블록종료],$Q198)),TEXT(INDEX(상세표[블록종료],$Q198),"yyyy-mm-dd hh:mm"),INDEX(상세표[블록종료],$Q198)&amp;""))</f>
        <v/>
      </c>
      <c r="H198">
        <f>IF($Q198="","",CHOOSE(WEEKDAY(INDEX(상세표[시작],$Q198)),"일","월","화","수","목","금","토"))</f>
        <v/>
      </c>
      <c r="I198" s="20">
        <f>IF($Q198="","",INDEX(상세표[연속 시간],$Q198))</f>
        <v/>
      </c>
      <c r="J198">
        <f>IF($Q198="","",INDEX(상세표[기록 수],$Q198))</f>
        <v/>
      </c>
      <c r="K198" s="20">
        <f>IF($Q198="","",INDEX(상세표[블록 06~07시],$Q198))</f>
        <v/>
      </c>
      <c r="L198" s="20">
        <f>IF($Q198="","",INDEX(상세표[블록 07~18시],$Q198))</f>
        <v/>
      </c>
      <c r="M198" s="20">
        <f>IF($Q198="","",INDEX(상세표[블록 18~22시],$Q198))</f>
        <v/>
      </c>
      <c r="N198" s="20">
        <f>IF($Q198="","",INDEX(상세표[블록 22~06시],$Q198))</f>
        <v/>
      </c>
      <c r="O198">
        <f>IF($Q198="","",INDEX(상세표[주말·휴일 포함],$Q198)&amp;"")</f>
        <v/>
      </c>
      <c r="P198">
        <f>IF($Q198="","",INDEX(상세표[월 넘김 포함],$Q198)&amp;"")</f>
        <v/>
      </c>
      <c r="Q198" s="4">
        <f>IFERROR(MATCH(193,상세표[연속순번],0),"")</f>
        <v/>
      </c>
    </row>
    <row r="199">
      <c r="A199">
        <f>IF($Q199="","",INDEX(상세표[부서],$Q199)&amp;"")</f>
        <v/>
      </c>
      <c r="B199">
        <f>IF($Q199="","",INDEX(상세표[사번],$Q199)&amp;"")</f>
        <v/>
      </c>
      <c r="C199">
        <f>IF($Q199="","",INDEX(상세표[성명],$Q199)&amp;"")</f>
        <v/>
      </c>
      <c r="D199">
        <f>IF($Q199="","",INDEX(상세표[직위],$Q199)&amp;"")</f>
        <v/>
      </c>
      <c r="E199">
        <f>IF($Q199="","",IF(ISNUMBER(INDEX(상세표[근무일자],$Q199)),TEXT(INDEX(상세표[근무일자],$Q199),"yyyy-mm-dd"),INDEX(상세표[근무일자],$Q199)&amp;""))</f>
        <v/>
      </c>
      <c r="F199">
        <f>IF($Q199="","",IF(ISNUMBER(INDEX(상세표[시작],$Q199)),TEXT(INDEX(상세표[시작],$Q199),"yyyy-mm-dd hh:mm"),INDEX(상세표[시작],$Q199)&amp;""))</f>
        <v/>
      </c>
      <c r="G199">
        <f>IF($Q199="","",IF(ISNUMBER(INDEX(상세표[블록종료],$Q199)),TEXT(INDEX(상세표[블록종료],$Q199),"yyyy-mm-dd hh:mm"),INDEX(상세표[블록종료],$Q199)&amp;""))</f>
        <v/>
      </c>
      <c r="H199">
        <f>IF($Q199="","",CHOOSE(WEEKDAY(INDEX(상세표[시작],$Q199)),"일","월","화","수","목","금","토"))</f>
        <v/>
      </c>
      <c r="I199" s="20">
        <f>IF($Q199="","",INDEX(상세표[연속 시간],$Q199))</f>
        <v/>
      </c>
      <c r="J199">
        <f>IF($Q199="","",INDEX(상세표[기록 수],$Q199))</f>
        <v/>
      </c>
      <c r="K199" s="20">
        <f>IF($Q199="","",INDEX(상세표[블록 06~07시],$Q199))</f>
        <v/>
      </c>
      <c r="L199" s="20">
        <f>IF($Q199="","",INDEX(상세표[블록 07~18시],$Q199))</f>
        <v/>
      </c>
      <c r="M199" s="20">
        <f>IF($Q199="","",INDEX(상세표[블록 18~22시],$Q199))</f>
        <v/>
      </c>
      <c r="N199" s="20">
        <f>IF($Q199="","",INDEX(상세표[블록 22~06시],$Q199))</f>
        <v/>
      </c>
      <c r="O199">
        <f>IF($Q199="","",INDEX(상세표[주말·휴일 포함],$Q199)&amp;"")</f>
        <v/>
      </c>
      <c r="P199">
        <f>IF($Q199="","",INDEX(상세표[월 넘김 포함],$Q199)&amp;"")</f>
        <v/>
      </c>
      <c r="Q199" s="4">
        <f>IFERROR(MATCH(194,상세표[연속순번],0),"")</f>
        <v/>
      </c>
    </row>
    <row r="200">
      <c r="A200">
        <f>IF($Q200="","",INDEX(상세표[부서],$Q200)&amp;"")</f>
        <v/>
      </c>
      <c r="B200">
        <f>IF($Q200="","",INDEX(상세표[사번],$Q200)&amp;"")</f>
        <v/>
      </c>
      <c r="C200">
        <f>IF($Q200="","",INDEX(상세표[성명],$Q200)&amp;"")</f>
        <v/>
      </c>
      <c r="D200">
        <f>IF($Q200="","",INDEX(상세표[직위],$Q200)&amp;"")</f>
        <v/>
      </c>
      <c r="E200">
        <f>IF($Q200="","",IF(ISNUMBER(INDEX(상세표[근무일자],$Q200)),TEXT(INDEX(상세표[근무일자],$Q200),"yyyy-mm-dd"),INDEX(상세표[근무일자],$Q200)&amp;""))</f>
        <v/>
      </c>
      <c r="F200">
        <f>IF($Q200="","",IF(ISNUMBER(INDEX(상세표[시작],$Q200)),TEXT(INDEX(상세표[시작],$Q200),"yyyy-mm-dd hh:mm"),INDEX(상세표[시작],$Q200)&amp;""))</f>
        <v/>
      </c>
      <c r="G200">
        <f>IF($Q200="","",IF(ISNUMBER(INDEX(상세표[블록종료],$Q200)),TEXT(INDEX(상세표[블록종료],$Q200),"yyyy-mm-dd hh:mm"),INDEX(상세표[블록종료],$Q200)&amp;""))</f>
        <v/>
      </c>
      <c r="H200">
        <f>IF($Q200="","",CHOOSE(WEEKDAY(INDEX(상세표[시작],$Q200)),"일","월","화","수","목","금","토"))</f>
        <v/>
      </c>
      <c r="I200" s="20">
        <f>IF($Q200="","",INDEX(상세표[연속 시간],$Q200))</f>
        <v/>
      </c>
      <c r="J200">
        <f>IF($Q200="","",INDEX(상세표[기록 수],$Q200))</f>
        <v/>
      </c>
      <c r="K200" s="20">
        <f>IF($Q200="","",INDEX(상세표[블록 06~07시],$Q200))</f>
        <v/>
      </c>
      <c r="L200" s="20">
        <f>IF($Q200="","",INDEX(상세표[블록 07~18시],$Q200))</f>
        <v/>
      </c>
      <c r="M200" s="20">
        <f>IF($Q200="","",INDEX(상세표[블록 18~22시],$Q200))</f>
        <v/>
      </c>
      <c r="N200" s="20">
        <f>IF($Q200="","",INDEX(상세표[블록 22~06시],$Q200))</f>
        <v/>
      </c>
      <c r="O200">
        <f>IF($Q200="","",INDEX(상세표[주말·휴일 포함],$Q200)&amp;"")</f>
        <v/>
      </c>
      <c r="P200">
        <f>IF($Q200="","",INDEX(상세표[월 넘김 포함],$Q200)&amp;"")</f>
        <v/>
      </c>
      <c r="Q200" s="4">
        <f>IFERROR(MATCH(195,상세표[연속순번],0),"")</f>
        <v/>
      </c>
    </row>
    <row r="201">
      <c r="A201">
        <f>IF($Q201="","",INDEX(상세표[부서],$Q201)&amp;"")</f>
        <v/>
      </c>
      <c r="B201">
        <f>IF($Q201="","",INDEX(상세표[사번],$Q201)&amp;"")</f>
        <v/>
      </c>
      <c r="C201">
        <f>IF($Q201="","",INDEX(상세표[성명],$Q201)&amp;"")</f>
        <v/>
      </c>
      <c r="D201">
        <f>IF($Q201="","",INDEX(상세표[직위],$Q201)&amp;"")</f>
        <v/>
      </c>
      <c r="E201">
        <f>IF($Q201="","",IF(ISNUMBER(INDEX(상세표[근무일자],$Q201)),TEXT(INDEX(상세표[근무일자],$Q201),"yyyy-mm-dd"),INDEX(상세표[근무일자],$Q201)&amp;""))</f>
        <v/>
      </c>
      <c r="F201">
        <f>IF($Q201="","",IF(ISNUMBER(INDEX(상세표[시작],$Q201)),TEXT(INDEX(상세표[시작],$Q201),"yyyy-mm-dd hh:mm"),INDEX(상세표[시작],$Q201)&amp;""))</f>
        <v/>
      </c>
      <c r="G201">
        <f>IF($Q201="","",IF(ISNUMBER(INDEX(상세표[블록종료],$Q201)),TEXT(INDEX(상세표[블록종료],$Q201),"yyyy-mm-dd hh:mm"),INDEX(상세표[블록종료],$Q201)&amp;""))</f>
        <v/>
      </c>
      <c r="H201">
        <f>IF($Q201="","",CHOOSE(WEEKDAY(INDEX(상세표[시작],$Q201)),"일","월","화","수","목","금","토"))</f>
        <v/>
      </c>
      <c r="I201" s="20">
        <f>IF($Q201="","",INDEX(상세표[연속 시간],$Q201))</f>
        <v/>
      </c>
      <c r="J201">
        <f>IF($Q201="","",INDEX(상세표[기록 수],$Q201))</f>
        <v/>
      </c>
      <c r="K201" s="20">
        <f>IF($Q201="","",INDEX(상세표[블록 06~07시],$Q201))</f>
        <v/>
      </c>
      <c r="L201" s="20">
        <f>IF($Q201="","",INDEX(상세표[블록 07~18시],$Q201))</f>
        <v/>
      </c>
      <c r="M201" s="20">
        <f>IF($Q201="","",INDEX(상세표[블록 18~22시],$Q201))</f>
        <v/>
      </c>
      <c r="N201" s="20">
        <f>IF($Q201="","",INDEX(상세표[블록 22~06시],$Q201))</f>
        <v/>
      </c>
      <c r="O201">
        <f>IF($Q201="","",INDEX(상세표[주말·휴일 포함],$Q201)&amp;"")</f>
        <v/>
      </c>
      <c r="P201">
        <f>IF($Q201="","",INDEX(상세표[월 넘김 포함],$Q201)&amp;"")</f>
        <v/>
      </c>
      <c r="Q201" s="4">
        <f>IFERROR(MATCH(196,상세표[연속순번],0),"")</f>
        <v/>
      </c>
    </row>
    <row r="202">
      <c r="A202">
        <f>IF($Q202="","",INDEX(상세표[부서],$Q202)&amp;"")</f>
        <v/>
      </c>
      <c r="B202">
        <f>IF($Q202="","",INDEX(상세표[사번],$Q202)&amp;"")</f>
        <v/>
      </c>
      <c r="C202">
        <f>IF($Q202="","",INDEX(상세표[성명],$Q202)&amp;"")</f>
        <v/>
      </c>
      <c r="D202">
        <f>IF($Q202="","",INDEX(상세표[직위],$Q202)&amp;"")</f>
        <v/>
      </c>
      <c r="E202">
        <f>IF($Q202="","",IF(ISNUMBER(INDEX(상세표[근무일자],$Q202)),TEXT(INDEX(상세표[근무일자],$Q202),"yyyy-mm-dd"),INDEX(상세표[근무일자],$Q202)&amp;""))</f>
        <v/>
      </c>
      <c r="F202">
        <f>IF($Q202="","",IF(ISNUMBER(INDEX(상세표[시작],$Q202)),TEXT(INDEX(상세표[시작],$Q202),"yyyy-mm-dd hh:mm"),INDEX(상세표[시작],$Q202)&amp;""))</f>
        <v/>
      </c>
      <c r="G202">
        <f>IF($Q202="","",IF(ISNUMBER(INDEX(상세표[블록종료],$Q202)),TEXT(INDEX(상세표[블록종료],$Q202),"yyyy-mm-dd hh:mm"),INDEX(상세표[블록종료],$Q202)&amp;""))</f>
        <v/>
      </c>
      <c r="H202">
        <f>IF($Q202="","",CHOOSE(WEEKDAY(INDEX(상세표[시작],$Q202)),"일","월","화","수","목","금","토"))</f>
        <v/>
      </c>
      <c r="I202" s="20">
        <f>IF($Q202="","",INDEX(상세표[연속 시간],$Q202))</f>
        <v/>
      </c>
      <c r="J202">
        <f>IF($Q202="","",INDEX(상세표[기록 수],$Q202))</f>
        <v/>
      </c>
      <c r="K202" s="20">
        <f>IF($Q202="","",INDEX(상세표[블록 06~07시],$Q202))</f>
        <v/>
      </c>
      <c r="L202" s="20">
        <f>IF($Q202="","",INDEX(상세표[블록 07~18시],$Q202))</f>
        <v/>
      </c>
      <c r="M202" s="20">
        <f>IF($Q202="","",INDEX(상세표[블록 18~22시],$Q202))</f>
        <v/>
      </c>
      <c r="N202" s="20">
        <f>IF($Q202="","",INDEX(상세표[블록 22~06시],$Q202))</f>
        <v/>
      </c>
      <c r="O202">
        <f>IF($Q202="","",INDEX(상세표[주말·휴일 포함],$Q202)&amp;"")</f>
        <v/>
      </c>
      <c r="P202">
        <f>IF($Q202="","",INDEX(상세표[월 넘김 포함],$Q202)&amp;"")</f>
        <v/>
      </c>
      <c r="Q202" s="4">
        <f>IFERROR(MATCH(197,상세표[연속순번],0),"")</f>
        <v/>
      </c>
    </row>
    <row r="203">
      <c r="A203">
        <f>IF($Q203="","",INDEX(상세표[부서],$Q203)&amp;"")</f>
        <v/>
      </c>
      <c r="B203">
        <f>IF($Q203="","",INDEX(상세표[사번],$Q203)&amp;"")</f>
        <v/>
      </c>
      <c r="C203">
        <f>IF($Q203="","",INDEX(상세표[성명],$Q203)&amp;"")</f>
        <v/>
      </c>
      <c r="D203">
        <f>IF($Q203="","",INDEX(상세표[직위],$Q203)&amp;"")</f>
        <v/>
      </c>
      <c r="E203">
        <f>IF($Q203="","",IF(ISNUMBER(INDEX(상세표[근무일자],$Q203)),TEXT(INDEX(상세표[근무일자],$Q203),"yyyy-mm-dd"),INDEX(상세표[근무일자],$Q203)&amp;""))</f>
        <v/>
      </c>
      <c r="F203">
        <f>IF($Q203="","",IF(ISNUMBER(INDEX(상세표[시작],$Q203)),TEXT(INDEX(상세표[시작],$Q203),"yyyy-mm-dd hh:mm"),INDEX(상세표[시작],$Q203)&amp;""))</f>
        <v/>
      </c>
      <c r="G203">
        <f>IF($Q203="","",IF(ISNUMBER(INDEX(상세표[블록종료],$Q203)),TEXT(INDEX(상세표[블록종료],$Q203),"yyyy-mm-dd hh:mm"),INDEX(상세표[블록종료],$Q203)&amp;""))</f>
        <v/>
      </c>
      <c r="H203">
        <f>IF($Q203="","",CHOOSE(WEEKDAY(INDEX(상세표[시작],$Q203)),"일","월","화","수","목","금","토"))</f>
        <v/>
      </c>
      <c r="I203" s="20">
        <f>IF($Q203="","",INDEX(상세표[연속 시간],$Q203))</f>
        <v/>
      </c>
      <c r="J203">
        <f>IF($Q203="","",INDEX(상세표[기록 수],$Q203))</f>
        <v/>
      </c>
      <c r="K203" s="20">
        <f>IF($Q203="","",INDEX(상세표[블록 06~07시],$Q203))</f>
        <v/>
      </c>
      <c r="L203" s="20">
        <f>IF($Q203="","",INDEX(상세표[블록 07~18시],$Q203))</f>
        <v/>
      </c>
      <c r="M203" s="20">
        <f>IF($Q203="","",INDEX(상세표[블록 18~22시],$Q203))</f>
        <v/>
      </c>
      <c r="N203" s="20">
        <f>IF($Q203="","",INDEX(상세표[블록 22~06시],$Q203))</f>
        <v/>
      </c>
      <c r="O203">
        <f>IF($Q203="","",INDEX(상세표[주말·휴일 포함],$Q203)&amp;"")</f>
        <v/>
      </c>
      <c r="P203">
        <f>IF($Q203="","",INDEX(상세표[월 넘김 포함],$Q203)&amp;"")</f>
        <v/>
      </c>
      <c r="Q203" s="4">
        <f>IFERROR(MATCH(198,상세표[연속순번],0),"")</f>
        <v/>
      </c>
    </row>
    <row r="204">
      <c r="A204">
        <f>IF($Q204="","",INDEX(상세표[부서],$Q204)&amp;"")</f>
        <v/>
      </c>
      <c r="B204">
        <f>IF($Q204="","",INDEX(상세표[사번],$Q204)&amp;"")</f>
        <v/>
      </c>
      <c r="C204">
        <f>IF($Q204="","",INDEX(상세표[성명],$Q204)&amp;"")</f>
        <v/>
      </c>
      <c r="D204">
        <f>IF($Q204="","",INDEX(상세표[직위],$Q204)&amp;"")</f>
        <v/>
      </c>
      <c r="E204">
        <f>IF($Q204="","",IF(ISNUMBER(INDEX(상세표[근무일자],$Q204)),TEXT(INDEX(상세표[근무일자],$Q204),"yyyy-mm-dd"),INDEX(상세표[근무일자],$Q204)&amp;""))</f>
        <v/>
      </c>
      <c r="F204">
        <f>IF($Q204="","",IF(ISNUMBER(INDEX(상세표[시작],$Q204)),TEXT(INDEX(상세표[시작],$Q204),"yyyy-mm-dd hh:mm"),INDEX(상세표[시작],$Q204)&amp;""))</f>
        <v/>
      </c>
      <c r="G204">
        <f>IF($Q204="","",IF(ISNUMBER(INDEX(상세표[블록종료],$Q204)),TEXT(INDEX(상세표[블록종료],$Q204),"yyyy-mm-dd hh:mm"),INDEX(상세표[블록종료],$Q204)&amp;""))</f>
        <v/>
      </c>
      <c r="H204">
        <f>IF($Q204="","",CHOOSE(WEEKDAY(INDEX(상세표[시작],$Q204)),"일","월","화","수","목","금","토"))</f>
        <v/>
      </c>
      <c r="I204" s="20">
        <f>IF($Q204="","",INDEX(상세표[연속 시간],$Q204))</f>
        <v/>
      </c>
      <c r="J204">
        <f>IF($Q204="","",INDEX(상세표[기록 수],$Q204))</f>
        <v/>
      </c>
      <c r="K204" s="20">
        <f>IF($Q204="","",INDEX(상세표[블록 06~07시],$Q204))</f>
        <v/>
      </c>
      <c r="L204" s="20">
        <f>IF($Q204="","",INDEX(상세표[블록 07~18시],$Q204))</f>
        <v/>
      </c>
      <c r="M204" s="20">
        <f>IF($Q204="","",INDEX(상세표[블록 18~22시],$Q204))</f>
        <v/>
      </c>
      <c r="N204" s="20">
        <f>IF($Q204="","",INDEX(상세표[블록 22~06시],$Q204))</f>
        <v/>
      </c>
      <c r="O204">
        <f>IF($Q204="","",INDEX(상세표[주말·휴일 포함],$Q204)&amp;"")</f>
        <v/>
      </c>
      <c r="P204">
        <f>IF($Q204="","",INDEX(상세표[월 넘김 포함],$Q204)&amp;"")</f>
        <v/>
      </c>
      <c r="Q204" s="4">
        <f>IFERROR(MATCH(199,상세표[연속순번],0),"")</f>
        <v/>
      </c>
    </row>
    <row r="205">
      <c r="A205">
        <f>IF($Q205="","",INDEX(상세표[부서],$Q205)&amp;"")</f>
        <v/>
      </c>
      <c r="B205">
        <f>IF($Q205="","",INDEX(상세표[사번],$Q205)&amp;"")</f>
        <v/>
      </c>
      <c r="C205">
        <f>IF($Q205="","",INDEX(상세표[성명],$Q205)&amp;"")</f>
        <v/>
      </c>
      <c r="D205">
        <f>IF($Q205="","",INDEX(상세표[직위],$Q205)&amp;"")</f>
        <v/>
      </c>
      <c r="E205">
        <f>IF($Q205="","",IF(ISNUMBER(INDEX(상세표[근무일자],$Q205)),TEXT(INDEX(상세표[근무일자],$Q205),"yyyy-mm-dd"),INDEX(상세표[근무일자],$Q205)&amp;""))</f>
        <v/>
      </c>
      <c r="F205">
        <f>IF($Q205="","",IF(ISNUMBER(INDEX(상세표[시작],$Q205)),TEXT(INDEX(상세표[시작],$Q205),"yyyy-mm-dd hh:mm"),INDEX(상세표[시작],$Q205)&amp;""))</f>
        <v/>
      </c>
      <c r="G205">
        <f>IF($Q205="","",IF(ISNUMBER(INDEX(상세표[블록종료],$Q205)),TEXT(INDEX(상세표[블록종료],$Q205),"yyyy-mm-dd hh:mm"),INDEX(상세표[블록종료],$Q205)&amp;""))</f>
        <v/>
      </c>
      <c r="H205">
        <f>IF($Q205="","",CHOOSE(WEEKDAY(INDEX(상세표[시작],$Q205)),"일","월","화","수","목","금","토"))</f>
        <v/>
      </c>
      <c r="I205" s="20">
        <f>IF($Q205="","",INDEX(상세표[연속 시간],$Q205))</f>
        <v/>
      </c>
      <c r="J205">
        <f>IF($Q205="","",INDEX(상세표[기록 수],$Q205))</f>
        <v/>
      </c>
      <c r="K205" s="20">
        <f>IF($Q205="","",INDEX(상세표[블록 06~07시],$Q205))</f>
        <v/>
      </c>
      <c r="L205" s="20">
        <f>IF($Q205="","",INDEX(상세표[블록 07~18시],$Q205))</f>
        <v/>
      </c>
      <c r="M205" s="20">
        <f>IF($Q205="","",INDEX(상세표[블록 18~22시],$Q205))</f>
        <v/>
      </c>
      <c r="N205" s="20">
        <f>IF($Q205="","",INDEX(상세표[블록 22~06시],$Q205))</f>
        <v/>
      </c>
      <c r="O205">
        <f>IF($Q205="","",INDEX(상세표[주말·휴일 포함],$Q205)&amp;"")</f>
        <v/>
      </c>
      <c r="P205">
        <f>IF($Q205="","",INDEX(상세표[월 넘김 포함],$Q205)&amp;"")</f>
        <v/>
      </c>
      <c r="Q205" s="4">
        <f>IFERROR(MATCH(200,상세표[연속순번],0),"")</f>
        <v/>
      </c>
    </row>
    <row r="206">
      <c r="A206">
        <f>IF($Q206="","",INDEX(상세표[부서],$Q206)&amp;"")</f>
        <v/>
      </c>
      <c r="B206">
        <f>IF($Q206="","",INDEX(상세표[사번],$Q206)&amp;"")</f>
        <v/>
      </c>
      <c r="C206">
        <f>IF($Q206="","",INDEX(상세표[성명],$Q206)&amp;"")</f>
        <v/>
      </c>
      <c r="D206">
        <f>IF($Q206="","",INDEX(상세표[직위],$Q206)&amp;"")</f>
        <v/>
      </c>
      <c r="E206">
        <f>IF($Q206="","",IF(ISNUMBER(INDEX(상세표[근무일자],$Q206)),TEXT(INDEX(상세표[근무일자],$Q206),"yyyy-mm-dd"),INDEX(상세표[근무일자],$Q206)&amp;""))</f>
        <v/>
      </c>
      <c r="F206">
        <f>IF($Q206="","",IF(ISNUMBER(INDEX(상세표[시작],$Q206)),TEXT(INDEX(상세표[시작],$Q206),"yyyy-mm-dd hh:mm"),INDEX(상세표[시작],$Q206)&amp;""))</f>
        <v/>
      </c>
      <c r="G206">
        <f>IF($Q206="","",IF(ISNUMBER(INDEX(상세표[블록종료],$Q206)),TEXT(INDEX(상세표[블록종료],$Q206),"yyyy-mm-dd hh:mm"),INDEX(상세표[블록종료],$Q206)&amp;""))</f>
        <v/>
      </c>
      <c r="H206">
        <f>IF($Q206="","",CHOOSE(WEEKDAY(INDEX(상세표[시작],$Q206)),"일","월","화","수","목","금","토"))</f>
        <v/>
      </c>
      <c r="I206" s="20">
        <f>IF($Q206="","",INDEX(상세표[연속 시간],$Q206))</f>
        <v/>
      </c>
      <c r="J206">
        <f>IF($Q206="","",INDEX(상세표[기록 수],$Q206))</f>
        <v/>
      </c>
      <c r="K206" s="20">
        <f>IF($Q206="","",INDEX(상세표[블록 06~07시],$Q206))</f>
        <v/>
      </c>
      <c r="L206" s="20">
        <f>IF($Q206="","",INDEX(상세표[블록 07~18시],$Q206))</f>
        <v/>
      </c>
      <c r="M206" s="20">
        <f>IF($Q206="","",INDEX(상세표[블록 18~22시],$Q206))</f>
        <v/>
      </c>
      <c r="N206" s="20">
        <f>IF($Q206="","",INDEX(상세표[블록 22~06시],$Q206))</f>
        <v/>
      </c>
      <c r="O206">
        <f>IF($Q206="","",INDEX(상세표[주말·휴일 포함],$Q206)&amp;"")</f>
        <v/>
      </c>
      <c r="P206">
        <f>IF($Q206="","",INDEX(상세표[월 넘김 포함],$Q206)&amp;"")</f>
        <v/>
      </c>
      <c r="Q206" s="4">
        <f>IFERROR(MATCH(201,상세표[연속순번],0),"")</f>
        <v/>
      </c>
    </row>
    <row r="207">
      <c r="A207">
        <f>IF($Q207="","",INDEX(상세표[부서],$Q207)&amp;"")</f>
        <v/>
      </c>
      <c r="B207">
        <f>IF($Q207="","",INDEX(상세표[사번],$Q207)&amp;"")</f>
        <v/>
      </c>
      <c r="C207">
        <f>IF($Q207="","",INDEX(상세표[성명],$Q207)&amp;"")</f>
        <v/>
      </c>
      <c r="D207">
        <f>IF($Q207="","",INDEX(상세표[직위],$Q207)&amp;"")</f>
        <v/>
      </c>
      <c r="E207">
        <f>IF($Q207="","",IF(ISNUMBER(INDEX(상세표[근무일자],$Q207)),TEXT(INDEX(상세표[근무일자],$Q207),"yyyy-mm-dd"),INDEX(상세표[근무일자],$Q207)&amp;""))</f>
        <v/>
      </c>
      <c r="F207">
        <f>IF($Q207="","",IF(ISNUMBER(INDEX(상세표[시작],$Q207)),TEXT(INDEX(상세표[시작],$Q207),"yyyy-mm-dd hh:mm"),INDEX(상세표[시작],$Q207)&amp;""))</f>
        <v/>
      </c>
      <c r="G207">
        <f>IF($Q207="","",IF(ISNUMBER(INDEX(상세표[블록종료],$Q207)),TEXT(INDEX(상세표[블록종료],$Q207),"yyyy-mm-dd hh:mm"),INDEX(상세표[블록종료],$Q207)&amp;""))</f>
        <v/>
      </c>
      <c r="H207">
        <f>IF($Q207="","",CHOOSE(WEEKDAY(INDEX(상세표[시작],$Q207)),"일","월","화","수","목","금","토"))</f>
        <v/>
      </c>
      <c r="I207" s="20">
        <f>IF($Q207="","",INDEX(상세표[연속 시간],$Q207))</f>
        <v/>
      </c>
      <c r="J207">
        <f>IF($Q207="","",INDEX(상세표[기록 수],$Q207))</f>
        <v/>
      </c>
      <c r="K207" s="20">
        <f>IF($Q207="","",INDEX(상세표[블록 06~07시],$Q207))</f>
        <v/>
      </c>
      <c r="L207" s="20">
        <f>IF($Q207="","",INDEX(상세표[블록 07~18시],$Q207))</f>
        <v/>
      </c>
      <c r="M207" s="20">
        <f>IF($Q207="","",INDEX(상세표[블록 18~22시],$Q207))</f>
        <v/>
      </c>
      <c r="N207" s="20">
        <f>IF($Q207="","",INDEX(상세표[블록 22~06시],$Q207))</f>
        <v/>
      </c>
      <c r="O207">
        <f>IF($Q207="","",INDEX(상세표[주말·휴일 포함],$Q207)&amp;"")</f>
        <v/>
      </c>
      <c r="P207">
        <f>IF($Q207="","",INDEX(상세표[월 넘김 포함],$Q207)&amp;"")</f>
        <v/>
      </c>
      <c r="Q207" s="4">
        <f>IFERROR(MATCH(202,상세표[연속순번],0),"")</f>
        <v/>
      </c>
    </row>
    <row r="208">
      <c r="A208">
        <f>IF($Q208="","",INDEX(상세표[부서],$Q208)&amp;"")</f>
        <v/>
      </c>
      <c r="B208">
        <f>IF($Q208="","",INDEX(상세표[사번],$Q208)&amp;"")</f>
        <v/>
      </c>
      <c r="C208">
        <f>IF($Q208="","",INDEX(상세표[성명],$Q208)&amp;"")</f>
        <v/>
      </c>
      <c r="D208">
        <f>IF($Q208="","",INDEX(상세표[직위],$Q208)&amp;"")</f>
        <v/>
      </c>
      <c r="E208">
        <f>IF($Q208="","",IF(ISNUMBER(INDEX(상세표[근무일자],$Q208)),TEXT(INDEX(상세표[근무일자],$Q208),"yyyy-mm-dd"),INDEX(상세표[근무일자],$Q208)&amp;""))</f>
        <v/>
      </c>
      <c r="F208">
        <f>IF($Q208="","",IF(ISNUMBER(INDEX(상세표[시작],$Q208)),TEXT(INDEX(상세표[시작],$Q208),"yyyy-mm-dd hh:mm"),INDEX(상세표[시작],$Q208)&amp;""))</f>
        <v/>
      </c>
      <c r="G208">
        <f>IF($Q208="","",IF(ISNUMBER(INDEX(상세표[블록종료],$Q208)),TEXT(INDEX(상세표[블록종료],$Q208),"yyyy-mm-dd hh:mm"),INDEX(상세표[블록종료],$Q208)&amp;""))</f>
        <v/>
      </c>
      <c r="H208">
        <f>IF($Q208="","",CHOOSE(WEEKDAY(INDEX(상세표[시작],$Q208)),"일","월","화","수","목","금","토"))</f>
        <v/>
      </c>
      <c r="I208" s="20">
        <f>IF($Q208="","",INDEX(상세표[연속 시간],$Q208))</f>
        <v/>
      </c>
      <c r="J208">
        <f>IF($Q208="","",INDEX(상세표[기록 수],$Q208))</f>
        <v/>
      </c>
      <c r="K208" s="20">
        <f>IF($Q208="","",INDEX(상세표[블록 06~07시],$Q208))</f>
        <v/>
      </c>
      <c r="L208" s="20">
        <f>IF($Q208="","",INDEX(상세표[블록 07~18시],$Q208))</f>
        <v/>
      </c>
      <c r="M208" s="20">
        <f>IF($Q208="","",INDEX(상세표[블록 18~22시],$Q208))</f>
        <v/>
      </c>
      <c r="N208" s="20">
        <f>IF($Q208="","",INDEX(상세표[블록 22~06시],$Q208))</f>
        <v/>
      </c>
      <c r="O208">
        <f>IF($Q208="","",INDEX(상세표[주말·휴일 포함],$Q208)&amp;"")</f>
        <v/>
      </c>
      <c r="P208">
        <f>IF($Q208="","",INDEX(상세표[월 넘김 포함],$Q208)&amp;"")</f>
        <v/>
      </c>
      <c r="Q208" s="4">
        <f>IFERROR(MATCH(203,상세표[연속순번],0),"")</f>
        <v/>
      </c>
    </row>
    <row r="209">
      <c r="A209">
        <f>IF($Q209="","",INDEX(상세표[부서],$Q209)&amp;"")</f>
        <v/>
      </c>
      <c r="B209">
        <f>IF($Q209="","",INDEX(상세표[사번],$Q209)&amp;"")</f>
        <v/>
      </c>
      <c r="C209">
        <f>IF($Q209="","",INDEX(상세표[성명],$Q209)&amp;"")</f>
        <v/>
      </c>
      <c r="D209">
        <f>IF($Q209="","",INDEX(상세표[직위],$Q209)&amp;"")</f>
        <v/>
      </c>
      <c r="E209">
        <f>IF($Q209="","",IF(ISNUMBER(INDEX(상세표[근무일자],$Q209)),TEXT(INDEX(상세표[근무일자],$Q209),"yyyy-mm-dd"),INDEX(상세표[근무일자],$Q209)&amp;""))</f>
        <v/>
      </c>
      <c r="F209">
        <f>IF($Q209="","",IF(ISNUMBER(INDEX(상세표[시작],$Q209)),TEXT(INDEX(상세표[시작],$Q209),"yyyy-mm-dd hh:mm"),INDEX(상세표[시작],$Q209)&amp;""))</f>
        <v/>
      </c>
      <c r="G209">
        <f>IF($Q209="","",IF(ISNUMBER(INDEX(상세표[블록종료],$Q209)),TEXT(INDEX(상세표[블록종료],$Q209),"yyyy-mm-dd hh:mm"),INDEX(상세표[블록종료],$Q209)&amp;""))</f>
        <v/>
      </c>
      <c r="H209">
        <f>IF($Q209="","",CHOOSE(WEEKDAY(INDEX(상세표[시작],$Q209)),"일","월","화","수","목","금","토"))</f>
        <v/>
      </c>
      <c r="I209" s="20">
        <f>IF($Q209="","",INDEX(상세표[연속 시간],$Q209))</f>
        <v/>
      </c>
      <c r="J209">
        <f>IF($Q209="","",INDEX(상세표[기록 수],$Q209))</f>
        <v/>
      </c>
      <c r="K209" s="20">
        <f>IF($Q209="","",INDEX(상세표[블록 06~07시],$Q209))</f>
        <v/>
      </c>
      <c r="L209" s="20">
        <f>IF($Q209="","",INDEX(상세표[블록 07~18시],$Q209))</f>
        <v/>
      </c>
      <c r="M209" s="20">
        <f>IF($Q209="","",INDEX(상세표[블록 18~22시],$Q209))</f>
        <v/>
      </c>
      <c r="N209" s="20">
        <f>IF($Q209="","",INDEX(상세표[블록 22~06시],$Q209))</f>
        <v/>
      </c>
      <c r="O209">
        <f>IF($Q209="","",INDEX(상세표[주말·휴일 포함],$Q209)&amp;"")</f>
        <v/>
      </c>
      <c r="P209">
        <f>IF($Q209="","",INDEX(상세표[월 넘김 포함],$Q209)&amp;"")</f>
        <v/>
      </c>
      <c r="Q209" s="4">
        <f>IFERROR(MATCH(204,상세표[연속순번],0),"")</f>
        <v/>
      </c>
    </row>
    <row r="210">
      <c r="A210">
        <f>IF($Q210="","",INDEX(상세표[부서],$Q210)&amp;"")</f>
        <v/>
      </c>
      <c r="B210">
        <f>IF($Q210="","",INDEX(상세표[사번],$Q210)&amp;"")</f>
        <v/>
      </c>
      <c r="C210">
        <f>IF($Q210="","",INDEX(상세표[성명],$Q210)&amp;"")</f>
        <v/>
      </c>
      <c r="D210">
        <f>IF($Q210="","",INDEX(상세표[직위],$Q210)&amp;"")</f>
        <v/>
      </c>
      <c r="E210">
        <f>IF($Q210="","",IF(ISNUMBER(INDEX(상세표[근무일자],$Q210)),TEXT(INDEX(상세표[근무일자],$Q210),"yyyy-mm-dd"),INDEX(상세표[근무일자],$Q210)&amp;""))</f>
        <v/>
      </c>
      <c r="F210">
        <f>IF($Q210="","",IF(ISNUMBER(INDEX(상세표[시작],$Q210)),TEXT(INDEX(상세표[시작],$Q210),"yyyy-mm-dd hh:mm"),INDEX(상세표[시작],$Q210)&amp;""))</f>
        <v/>
      </c>
      <c r="G210">
        <f>IF($Q210="","",IF(ISNUMBER(INDEX(상세표[블록종료],$Q210)),TEXT(INDEX(상세표[블록종료],$Q210),"yyyy-mm-dd hh:mm"),INDEX(상세표[블록종료],$Q210)&amp;""))</f>
        <v/>
      </c>
      <c r="H210">
        <f>IF($Q210="","",CHOOSE(WEEKDAY(INDEX(상세표[시작],$Q210)),"일","월","화","수","목","금","토"))</f>
        <v/>
      </c>
      <c r="I210" s="20">
        <f>IF($Q210="","",INDEX(상세표[연속 시간],$Q210))</f>
        <v/>
      </c>
      <c r="J210">
        <f>IF($Q210="","",INDEX(상세표[기록 수],$Q210))</f>
        <v/>
      </c>
      <c r="K210" s="20">
        <f>IF($Q210="","",INDEX(상세표[블록 06~07시],$Q210))</f>
        <v/>
      </c>
      <c r="L210" s="20">
        <f>IF($Q210="","",INDEX(상세표[블록 07~18시],$Q210))</f>
        <v/>
      </c>
      <c r="M210" s="20">
        <f>IF($Q210="","",INDEX(상세표[블록 18~22시],$Q210))</f>
        <v/>
      </c>
      <c r="N210" s="20">
        <f>IF($Q210="","",INDEX(상세표[블록 22~06시],$Q210))</f>
        <v/>
      </c>
      <c r="O210">
        <f>IF($Q210="","",INDEX(상세표[주말·휴일 포함],$Q210)&amp;"")</f>
        <v/>
      </c>
      <c r="P210">
        <f>IF($Q210="","",INDEX(상세표[월 넘김 포함],$Q210)&amp;"")</f>
        <v/>
      </c>
      <c r="Q210" s="4">
        <f>IFERROR(MATCH(205,상세표[연속순번],0),"")</f>
        <v/>
      </c>
    </row>
    <row r="211">
      <c r="A211">
        <f>IF($Q211="","",INDEX(상세표[부서],$Q211)&amp;"")</f>
        <v/>
      </c>
      <c r="B211">
        <f>IF($Q211="","",INDEX(상세표[사번],$Q211)&amp;"")</f>
        <v/>
      </c>
      <c r="C211">
        <f>IF($Q211="","",INDEX(상세표[성명],$Q211)&amp;"")</f>
        <v/>
      </c>
      <c r="D211">
        <f>IF($Q211="","",INDEX(상세표[직위],$Q211)&amp;"")</f>
        <v/>
      </c>
      <c r="E211">
        <f>IF($Q211="","",IF(ISNUMBER(INDEX(상세표[근무일자],$Q211)),TEXT(INDEX(상세표[근무일자],$Q211),"yyyy-mm-dd"),INDEX(상세표[근무일자],$Q211)&amp;""))</f>
        <v/>
      </c>
      <c r="F211">
        <f>IF($Q211="","",IF(ISNUMBER(INDEX(상세표[시작],$Q211)),TEXT(INDEX(상세표[시작],$Q211),"yyyy-mm-dd hh:mm"),INDEX(상세표[시작],$Q211)&amp;""))</f>
        <v/>
      </c>
      <c r="G211">
        <f>IF($Q211="","",IF(ISNUMBER(INDEX(상세표[블록종료],$Q211)),TEXT(INDEX(상세표[블록종료],$Q211),"yyyy-mm-dd hh:mm"),INDEX(상세표[블록종료],$Q211)&amp;""))</f>
        <v/>
      </c>
      <c r="H211">
        <f>IF($Q211="","",CHOOSE(WEEKDAY(INDEX(상세표[시작],$Q211)),"일","월","화","수","목","금","토"))</f>
        <v/>
      </c>
      <c r="I211" s="20">
        <f>IF($Q211="","",INDEX(상세표[연속 시간],$Q211))</f>
        <v/>
      </c>
      <c r="J211">
        <f>IF($Q211="","",INDEX(상세표[기록 수],$Q211))</f>
        <v/>
      </c>
      <c r="K211" s="20">
        <f>IF($Q211="","",INDEX(상세표[블록 06~07시],$Q211))</f>
        <v/>
      </c>
      <c r="L211" s="20">
        <f>IF($Q211="","",INDEX(상세표[블록 07~18시],$Q211))</f>
        <v/>
      </c>
      <c r="M211" s="20">
        <f>IF($Q211="","",INDEX(상세표[블록 18~22시],$Q211))</f>
        <v/>
      </c>
      <c r="N211" s="20">
        <f>IF($Q211="","",INDEX(상세표[블록 22~06시],$Q211))</f>
        <v/>
      </c>
      <c r="O211">
        <f>IF($Q211="","",INDEX(상세표[주말·휴일 포함],$Q211)&amp;"")</f>
        <v/>
      </c>
      <c r="P211">
        <f>IF($Q211="","",INDEX(상세표[월 넘김 포함],$Q211)&amp;"")</f>
        <v/>
      </c>
      <c r="Q211" s="4">
        <f>IFERROR(MATCH(206,상세표[연속순번],0),"")</f>
        <v/>
      </c>
    </row>
    <row r="212">
      <c r="A212">
        <f>IF($Q212="","",INDEX(상세표[부서],$Q212)&amp;"")</f>
        <v/>
      </c>
      <c r="B212">
        <f>IF($Q212="","",INDEX(상세표[사번],$Q212)&amp;"")</f>
        <v/>
      </c>
      <c r="C212">
        <f>IF($Q212="","",INDEX(상세표[성명],$Q212)&amp;"")</f>
        <v/>
      </c>
      <c r="D212">
        <f>IF($Q212="","",INDEX(상세표[직위],$Q212)&amp;"")</f>
        <v/>
      </c>
      <c r="E212">
        <f>IF($Q212="","",IF(ISNUMBER(INDEX(상세표[근무일자],$Q212)),TEXT(INDEX(상세표[근무일자],$Q212),"yyyy-mm-dd"),INDEX(상세표[근무일자],$Q212)&amp;""))</f>
        <v/>
      </c>
      <c r="F212">
        <f>IF($Q212="","",IF(ISNUMBER(INDEX(상세표[시작],$Q212)),TEXT(INDEX(상세표[시작],$Q212),"yyyy-mm-dd hh:mm"),INDEX(상세표[시작],$Q212)&amp;""))</f>
        <v/>
      </c>
      <c r="G212">
        <f>IF($Q212="","",IF(ISNUMBER(INDEX(상세표[블록종료],$Q212)),TEXT(INDEX(상세표[블록종료],$Q212),"yyyy-mm-dd hh:mm"),INDEX(상세표[블록종료],$Q212)&amp;""))</f>
        <v/>
      </c>
      <c r="H212">
        <f>IF($Q212="","",CHOOSE(WEEKDAY(INDEX(상세표[시작],$Q212)),"일","월","화","수","목","금","토"))</f>
        <v/>
      </c>
      <c r="I212" s="20">
        <f>IF($Q212="","",INDEX(상세표[연속 시간],$Q212))</f>
        <v/>
      </c>
      <c r="J212">
        <f>IF($Q212="","",INDEX(상세표[기록 수],$Q212))</f>
        <v/>
      </c>
      <c r="K212" s="20">
        <f>IF($Q212="","",INDEX(상세표[블록 06~07시],$Q212))</f>
        <v/>
      </c>
      <c r="L212" s="20">
        <f>IF($Q212="","",INDEX(상세표[블록 07~18시],$Q212))</f>
        <v/>
      </c>
      <c r="M212" s="20">
        <f>IF($Q212="","",INDEX(상세표[블록 18~22시],$Q212))</f>
        <v/>
      </c>
      <c r="N212" s="20">
        <f>IF($Q212="","",INDEX(상세표[블록 22~06시],$Q212))</f>
        <v/>
      </c>
      <c r="O212">
        <f>IF($Q212="","",INDEX(상세표[주말·휴일 포함],$Q212)&amp;"")</f>
        <v/>
      </c>
      <c r="P212">
        <f>IF($Q212="","",INDEX(상세표[월 넘김 포함],$Q212)&amp;"")</f>
        <v/>
      </c>
      <c r="Q212" s="4">
        <f>IFERROR(MATCH(207,상세표[연속순번],0),"")</f>
        <v/>
      </c>
    </row>
    <row r="213">
      <c r="A213">
        <f>IF($Q213="","",INDEX(상세표[부서],$Q213)&amp;"")</f>
        <v/>
      </c>
      <c r="B213">
        <f>IF($Q213="","",INDEX(상세표[사번],$Q213)&amp;"")</f>
        <v/>
      </c>
      <c r="C213">
        <f>IF($Q213="","",INDEX(상세표[성명],$Q213)&amp;"")</f>
        <v/>
      </c>
      <c r="D213">
        <f>IF($Q213="","",INDEX(상세표[직위],$Q213)&amp;"")</f>
        <v/>
      </c>
      <c r="E213">
        <f>IF($Q213="","",IF(ISNUMBER(INDEX(상세표[근무일자],$Q213)),TEXT(INDEX(상세표[근무일자],$Q213),"yyyy-mm-dd"),INDEX(상세표[근무일자],$Q213)&amp;""))</f>
        <v/>
      </c>
      <c r="F213">
        <f>IF($Q213="","",IF(ISNUMBER(INDEX(상세표[시작],$Q213)),TEXT(INDEX(상세표[시작],$Q213),"yyyy-mm-dd hh:mm"),INDEX(상세표[시작],$Q213)&amp;""))</f>
        <v/>
      </c>
      <c r="G213">
        <f>IF($Q213="","",IF(ISNUMBER(INDEX(상세표[블록종료],$Q213)),TEXT(INDEX(상세표[블록종료],$Q213),"yyyy-mm-dd hh:mm"),INDEX(상세표[블록종료],$Q213)&amp;""))</f>
        <v/>
      </c>
      <c r="H213">
        <f>IF($Q213="","",CHOOSE(WEEKDAY(INDEX(상세표[시작],$Q213)),"일","월","화","수","목","금","토"))</f>
        <v/>
      </c>
      <c r="I213" s="20">
        <f>IF($Q213="","",INDEX(상세표[연속 시간],$Q213))</f>
        <v/>
      </c>
      <c r="J213">
        <f>IF($Q213="","",INDEX(상세표[기록 수],$Q213))</f>
        <v/>
      </c>
      <c r="K213" s="20">
        <f>IF($Q213="","",INDEX(상세표[블록 06~07시],$Q213))</f>
        <v/>
      </c>
      <c r="L213" s="20">
        <f>IF($Q213="","",INDEX(상세표[블록 07~18시],$Q213))</f>
        <v/>
      </c>
      <c r="M213" s="20">
        <f>IF($Q213="","",INDEX(상세표[블록 18~22시],$Q213))</f>
        <v/>
      </c>
      <c r="N213" s="20">
        <f>IF($Q213="","",INDEX(상세표[블록 22~06시],$Q213))</f>
        <v/>
      </c>
      <c r="O213">
        <f>IF($Q213="","",INDEX(상세표[주말·휴일 포함],$Q213)&amp;"")</f>
        <v/>
      </c>
      <c r="P213">
        <f>IF($Q213="","",INDEX(상세표[월 넘김 포함],$Q213)&amp;"")</f>
        <v/>
      </c>
      <c r="Q213" s="4">
        <f>IFERROR(MATCH(208,상세표[연속순번],0),"")</f>
        <v/>
      </c>
    </row>
    <row r="214">
      <c r="A214">
        <f>IF($Q214="","",INDEX(상세표[부서],$Q214)&amp;"")</f>
        <v/>
      </c>
      <c r="B214">
        <f>IF($Q214="","",INDEX(상세표[사번],$Q214)&amp;"")</f>
        <v/>
      </c>
      <c r="C214">
        <f>IF($Q214="","",INDEX(상세표[성명],$Q214)&amp;"")</f>
        <v/>
      </c>
      <c r="D214">
        <f>IF($Q214="","",INDEX(상세표[직위],$Q214)&amp;"")</f>
        <v/>
      </c>
      <c r="E214">
        <f>IF($Q214="","",IF(ISNUMBER(INDEX(상세표[근무일자],$Q214)),TEXT(INDEX(상세표[근무일자],$Q214),"yyyy-mm-dd"),INDEX(상세표[근무일자],$Q214)&amp;""))</f>
        <v/>
      </c>
      <c r="F214">
        <f>IF($Q214="","",IF(ISNUMBER(INDEX(상세표[시작],$Q214)),TEXT(INDEX(상세표[시작],$Q214),"yyyy-mm-dd hh:mm"),INDEX(상세표[시작],$Q214)&amp;""))</f>
        <v/>
      </c>
      <c r="G214">
        <f>IF($Q214="","",IF(ISNUMBER(INDEX(상세표[블록종료],$Q214)),TEXT(INDEX(상세표[블록종료],$Q214),"yyyy-mm-dd hh:mm"),INDEX(상세표[블록종료],$Q214)&amp;""))</f>
        <v/>
      </c>
      <c r="H214">
        <f>IF($Q214="","",CHOOSE(WEEKDAY(INDEX(상세표[시작],$Q214)),"일","월","화","수","목","금","토"))</f>
        <v/>
      </c>
      <c r="I214" s="20">
        <f>IF($Q214="","",INDEX(상세표[연속 시간],$Q214))</f>
        <v/>
      </c>
      <c r="J214">
        <f>IF($Q214="","",INDEX(상세표[기록 수],$Q214))</f>
        <v/>
      </c>
      <c r="K214" s="20">
        <f>IF($Q214="","",INDEX(상세표[블록 06~07시],$Q214))</f>
        <v/>
      </c>
      <c r="L214" s="20">
        <f>IF($Q214="","",INDEX(상세표[블록 07~18시],$Q214))</f>
        <v/>
      </c>
      <c r="M214" s="20">
        <f>IF($Q214="","",INDEX(상세표[블록 18~22시],$Q214))</f>
        <v/>
      </c>
      <c r="N214" s="20">
        <f>IF($Q214="","",INDEX(상세표[블록 22~06시],$Q214))</f>
        <v/>
      </c>
      <c r="O214">
        <f>IF($Q214="","",INDEX(상세표[주말·휴일 포함],$Q214)&amp;"")</f>
        <v/>
      </c>
      <c r="P214">
        <f>IF($Q214="","",INDEX(상세표[월 넘김 포함],$Q214)&amp;"")</f>
        <v/>
      </c>
      <c r="Q214" s="4">
        <f>IFERROR(MATCH(209,상세표[연속순번],0),"")</f>
        <v/>
      </c>
    </row>
    <row r="215">
      <c r="A215">
        <f>IF($Q215="","",INDEX(상세표[부서],$Q215)&amp;"")</f>
        <v/>
      </c>
      <c r="B215">
        <f>IF($Q215="","",INDEX(상세표[사번],$Q215)&amp;"")</f>
        <v/>
      </c>
      <c r="C215">
        <f>IF($Q215="","",INDEX(상세표[성명],$Q215)&amp;"")</f>
        <v/>
      </c>
      <c r="D215">
        <f>IF($Q215="","",INDEX(상세표[직위],$Q215)&amp;"")</f>
        <v/>
      </c>
      <c r="E215">
        <f>IF($Q215="","",IF(ISNUMBER(INDEX(상세표[근무일자],$Q215)),TEXT(INDEX(상세표[근무일자],$Q215),"yyyy-mm-dd"),INDEX(상세표[근무일자],$Q215)&amp;""))</f>
        <v/>
      </c>
      <c r="F215">
        <f>IF($Q215="","",IF(ISNUMBER(INDEX(상세표[시작],$Q215)),TEXT(INDEX(상세표[시작],$Q215),"yyyy-mm-dd hh:mm"),INDEX(상세표[시작],$Q215)&amp;""))</f>
        <v/>
      </c>
      <c r="G215">
        <f>IF($Q215="","",IF(ISNUMBER(INDEX(상세표[블록종료],$Q215)),TEXT(INDEX(상세표[블록종료],$Q215),"yyyy-mm-dd hh:mm"),INDEX(상세표[블록종료],$Q215)&amp;""))</f>
        <v/>
      </c>
      <c r="H215">
        <f>IF($Q215="","",CHOOSE(WEEKDAY(INDEX(상세표[시작],$Q215)),"일","월","화","수","목","금","토"))</f>
        <v/>
      </c>
      <c r="I215" s="20">
        <f>IF($Q215="","",INDEX(상세표[연속 시간],$Q215))</f>
        <v/>
      </c>
      <c r="J215">
        <f>IF($Q215="","",INDEX(상세표[기록 수],$Q215))</f>
        <v/>
      </c>
      <c r="K215" s="20">
        <f>IF($Q215="","",INDEX(상세표[블록 06~07시],$Q215))</f>
        <v/>
      </c>
      <c r="L215" s="20">
        <f>IF($Q215="","",INDEX(상세표[블록 07~18시],$Q215))</f>
        <v/>
      </c>
      <c r="M215" s="20">
        <f>IF($Q215="","",INDEX(상세표[블록 18~22시],$Q215))</f>
        <v/>
      </c>
      <c r="N215" s="20">
        <f>IF($Q215="","",INDEX(상세표[블록 22~06시],$Q215))</f>
        <v/>
      </c>
      <c r="O215">
        <f>IF($Q215="","",INDEX(상세표[주말·휴일 포함],$Q215)&amp;"")</f>
        <v/>
      </c>
      <c r="P215">
        <f>IF($Q215="","",INDEX(상세표[월 넘김 포함],$Q215)&amp;"")</f>
        <v/>
      </c>
      <c r="Q215" s="4">
        <f>IFERROR(MATCH(210,상세표[연속순번],0),"")</f>
        <v/>
      </c>
    </row>
    <row r="216">
      <c r="A216">
        <f>IF($Q216="","",INDEX(상세표[부서],$Q216)&amp;"")</f>
        <v/>
      </c>
      <c r="B216">
        <f>IF($Q216="","",INDEX(상세표[사번],$Q216)&amp;"")</f>
        <v/>
      </c>
      <c r="C216">
        <f>IF($Q216="","",INDEX(상세표[성명],$Q216)&amp;"")</f>
        <v/>
      </c>
      <c r="D216">
        <f>IF($Q216="","",INDEX(상세표[직위],$Q216)&amp;"")</f>
        <v/>
      </c>
      <c r="E216">
        <f>IF($Q216="","",IF(ISNUMBER(INDEX(상세표[근무일자],$Q216)),TEXT(INDEX(상세표[근무일자],$Q216),"yyyy-mm-dd"),INDEX(상세표[근무일자],$Q216)&amp;""))</f>
        <v/>
      </c>
      <c r="F216">
        <f>IF($Q216="","",IF(ISNUMBER(INDEX(상세표[시작],$Q216)),TEXT(INDEX(상세표[시작],$Q216),"yyyy-mm-dd hh:mm"),INDEX(상세표[시작],$Q216)&amp;""))</f>
        <v/>
      </c>
      <c r="G216">
        <f>IF($Q216="","",IF(ISNUMBER(INDEX(상세표[블록종료],$Q216)),TEXT(INDEX(상세표[블록종료],$Q216),"yyyy-mm-dd hh:mm"),INDEX(상세표[블록종료],$Q216)&amp;""))</f>
        <v/>
      </c>
      <c r="H216">
        <f>IF($Q216="","",CHOOSE(WEEKDAY(INDEX(상세표[시작],$Q216)),"일","월","화","수","목","금","토"))</f>
        <v/>
      </c>
      <c r="I216" s="20">
        <f>IF($Q216="","",INDEX(상세표[연속 시간],$Q216))</f>
        <v/>
      </c>
      <c r="J216">
        <f>IF($Q216="","",INDEX(상세표[기록 수],$Q216))</f>
        <v/>
      </c>
      <c r="K216" s="20">
        <f>IF($Q216="","",INDEX(상세표[블록 06~07시],$Q216))</f>
        <v/>
      </c>
      <c r="L216" s="20">
        <f>IF($Q216="","",INDEX(상세표[블록 07~18시],$Q216))</f>
        <v/>
      </c>
      <c r="M216" s="20">
        <f>IF($Q216="","",INDEX(상세표[블록 18~22시],$Q216))</f>
        <v/>
      </c>
      <c r="N216" s="20">
        <f>IF($Q216="","",INDEX(상세표[블록 22~06시],$Q216))</f>
        <v/>
      </c>
      <c r="O216">
        <f>IF($Q216="","",INDEX(상세표[주말·휴일 포함],$Q216)&amp;"")</f>
        <v/>
      </c>
      <c r="P216">
        <f>IF($Q216="","",INDEX(상세표[월 넘김 포함],$Q216)&amp;"")</f>
        <v/>
      </c>
      <c r="Q216" s="4">
        <f>IFERROR(MATCH(211,상세표[연속순번],0),"")</f>
        <v/>
      </c>
    </row>
    <row r="217">
      <c r="A217">
        <f>IF($Q217="","",INDEX(상세표[부서],$Q217)&amp;"")</f>
        <v/>
      </c>
      <c r="B217">
        <f>IF($Q217="","",INDEX(상세표[사번],$Q217)&amp;"")</f>
        <v/>
      </c>
      <c r="C217">
        <f>IF($Q217="","",INDEX(상세표[성명],$Q217)&amp;"")</f>
        <v/>
      </c>
      <c r="D217">
        <f>IF($Q217="","",INDEX(상세표[직위],$Q217)&amp;"")</f>
        <v/>
      </c>
      <c r="E217">
        <f>IF($Q217="","",IF(ISNUMBER(INDEX(상세표[근무일자],$Q217)),TEXT(INDEX(상세표[근무일자],$Q217),"yyyy-mm-dd"),INDEX(상세표[근무일자],$Q217)&amp;""))</f>
        <v/>
      </c>
      <c r="F217">
        <f>IF($Q217="","",IF(ISNUMBER(INDEX(상세표[시작],$Q217)),TEXT(INDEX(상세표[시작],$Q217),"yyyy-mm-dd hh:mm"),INDEX(상세표[시작],$Q217)&amp;""))</f>
        <v/>
      </c>
      <c r="G217">
        <f>IF($Q217="","",IF(ISNUMBER(INDEX(상세표[블록종료],$Q217)),TEXT(INDEX(상세표[블록종료],$Q217),"yyyy-mm-dd hh:mm"),INDEX(상세표[블록종료],$Q217)&amp;""))</f>
        <v/>
      </c>
      <c r="H217">
        <f>IF($Q217="","",CHOOSE(WEEKDAY(INDEX(상세표[시작],$Q217)),"일","월","화","수","목","금","토"))</f>
        <v/>
      </c>
      <c r="I217" s="20">
        <f>IF($Q217="","",INDEX(상세표[연속 시간],$Q217))</f>
        <v/>
      </c>
      <c r="J217">
        <f>IF($Q217="","",INDEX(상세표[기록 수],$Q217))</f>
        <v/>
      </c>
      <c r="K217" s="20">
        <f>IF($Q217="","",INDEX(상세표[블록 06~07시],$Q217))</f>
        <v/>
      </c>
      <c r="L217" s="20">
        <f>IF($Q217="","",INDEX(상세표[블록 07~18시],$Q217))</f>
        <v/>
      </c>
      <c r="M217" s="20">
        <f>IF($Q217="","",INDEX(상세표[블록 18~22시],$Q217))</f>
        <v/>
      </c>
      <c r="N217" s="20">
        <f>IF($Q217="","",INDEX(상세표[블록 22~06시],$Q217))</f>
        <v/>
      </c>
      <c r="O217">
        <f>IF($Q217="","",INDEX(상세표[주말·휴일 포함],$Q217)&amp;"")</f>
        <v/>
      </c>
      <c r="P217">
        <f>IF($Q217="","",INDEX(상세표[월 넘김 포함],$Q217)&amp;"")</f>
        <v/>
      </c>
      <c r="Q217" s="4">
        <f>IFERROR(MATCH(212,상세표[연속순번],0),"")</f>
        <v/>
      </c>
    </row>
    <row r="218">
      <c r="A218">
        <f>IF($Q218="","",INDEX(상세표[부서],$Q218)&amp;"")</f>
        <v/>
      </c>
      <c r="B218">
        <f>IF($Q218="","",INDEX(상세표[사번],$Q218)&amp;"")</f>
        <v/>
      </c>
      <c r="C218">
        <f>IF($Q218="","",INDEX(상세표[성명],$Q218)&amp;"")</f>
        <v/>
      </c>
      <c r="D218">
        <f>IF($Q218="","",INDEX(상세표[직위],$Q218)&amp;"")</f>
        <v/>
      </c>
      <c r="E218">
        <f>IF($Q218="","",IF(ISNUMBER(INDEX(상세표[근무일자],$Q218)),TEXT(INDEX(상세표[근무일자],$Q218),"yyyy-mm-dd"),INDEX(상세표[근무일자],$Q218)&amp;""))</f>
        <v/>
      </c>
      <c r="F218">
        <f>IF($Q218="","",IF(ISNUMBER(INDEX(상세표[시작],$Q218)),TEXT(INDEX(상세표[시작],$Q218),"yyyy-mm-dd hh:mm"),INDEX(상세표[시작],$Q218)&amp;""))</f>
        <v/>
      </c>
      <c r="G218">
        <f>IF($Q218="","",IF(ISNUMBER(INDEX(상세표[블록종료],$Q218)),TEXT(INDEX(상세표[블록종료],$Q218),"yyyy-mm-dd hh:mm"),INDEX(상세표[블록종료],$Q218)&amp;""))</f>
        <v/>
      </c>
      <c r="H218">
        <f>IF($Q218="","",CHOOSE(WEEKDAY(INDEX(상세표[시작],$Q218)),"일","월","화","수","목","금","토"))</f>
        <v/>
      </c>
      <c r="I218" s="20">
        <f>IF($Q218="","",INDEX(상세표[연속 시간],$Q218))</f>
        <v/>
      </c>
      <c r="J218">
        <f>IF($Q218="","",INDEX(상세표[기록 수],$Q218))</f>
        <v/>
      </c>
      <c r="K218" s="20">
        <f>IF($Q218="","",INDEX(상세표[블록 06~07시],$Q218))</f>
        <v/>
      </c>
      <c r="L218" s="20">
        <f>IF($Q218="","",INDEX(상세표[블록 07~18시],$Q218))</f>
        <v/>
      </c>
      <c r="M218" s="20">
        <f>IF($Q218="","",INDEX(상세표[블록 18~22시],$Q218))</f>
        <v/>
      </c>
      <c r="N218" s="20">
        <f>IF($Q218="","",INDEX(상세표[블록 22~06시],$Q218))</f>
        <v/>
      </c>
      <c r="O218">
        <f>IF($Q218="","",INDEX(상세표[주말·휴일 포함],$Q218)&amp;"")</f>
        <v/>
      </c>
      <c r="P218">
        <f>IF($Q218="","",INDEX(상세표[월 넘김 포함],$Q218)&amp;"")</f>
        <v/>
      </c>
      <c r="Q218" s="4">
        <f>IFERROR(MATCH(213,상세표[연속순번],0),"")</f>
        <v/>
      </c>
    </row>
    <row r="219">
      <c r="A219">
        <f>IF($Q219="","",INDEX(상세표[부서],$Q219)&amp;"")</f>
        <v/>
      </c>
      <c r="B219">
        <f>IF($Q219="","",INDEX(상세표[사번],$Q219)&amp;"")</f>
        <v/>
      </c>
      <c r="C219">
        <f>IF($Q219="","",INDEX(상세표[성명],$Q219)&amp;"")</f>
        <v/>
      </c>
      <c r="D219">
        <f>IF($Q219="","",INDEX(상세표[직위],$Q219)&amp;"")</f>
        <v/>
      </c>
      <c r="E219">
        <f>IF($Q219="","",IF(ISNUMBER(INDEX(상세표[근무일자],$Q219)),TEXT(INDEX(상세표[근무일자],$Q219),"yyyy-mm-dd"),INDEX(상세표[근무일자],$Q219)&amp;""))</f>
        <v/>
      </c>
      <c r="F219">
        <f>IF($Q219="","",IF(ISNUMBER(INDEX(상세표[시작],$Q219)),TEXT(INDEX(상세표[시작],$Q219),"yyyy-mm-dd hh:mm"),INDEX(상세표[시작],$Q219)&amp;""))</f>
        <v/>
      </c>
      <c r="G219">
        <f>IF($Q219="","",IF(ISNUMBER(INDEX(상세표[블록종료],$Q219)),TEXT(INDEX(상세표[블록종료],$Q219),"yyyy-mm-dd hh:mm"),INDEX(상세표[블록종료],$Q219)&amp;""))</f>
        <v/>
      </c>
      <c r="H219">
        <f>IF($Q219="","",CHOOSE(WEEKDAY(INDEX(상세표[시작],$Q219)),"일","월","화","수","목","금","토"))</f>
        <v/>
      </c>
      <c r="I219" s="20">
        <f>IF($Q219="","",INDEX(상세표[연속 시간],$Q219))</f>
        <v/>
      </c>
      <c r="J219">
        <f>IF($Q219="","",INDEX(상세표[기록 수],$Q219))</f>
        <v/>
      </c>
      <c r="K219" s="20">
        <f>IF($Q219="","",INDEX(상세표[블록 06~07시],$Q219))</f>
        <v/>
      </c>
      <c r="L219" s="20">
        <f>IF($Q219="","",INDEX(상세표[블록 07~18시],$Q219))</f>
        <v/>
      </c>
      <c r="M219" s="20">
        <f>IF($Q219="","",INDEX(상세표[블록 18~22시],$Q219))</f>
        <v/>
      </c>
      <c r="N219" s="20">
        <f>IF($Q219="","",INDEX(상세표[블록 22~06시],$Q219))</f>
        <v/>
      </c>
      <c r="O219">
        <f>IF($Q219="","",INDEX(상세표[주말·휴일 포함],$Q219)&amp;"")</f>
        <v/>
      </c>
      <c r="P219">
        <f>IF($Q219="","",INDEX(상세표[월 넘김 포함],$Q219)&amp;"")</f>
        <v/>
      </c>
      <c r="Q219" s="4">
        <f>IFERROR(MATCH(214,상세표[연속순번],0),"")</f>
        <v/>
      </c>
    </row>
    <row r="220">
      <c r="A220">
        <f>IF($Q220="","",INDEX(상세표[부서],$Q220)&amp;"")</f>
        <v/>
      </c>
      <c r="B220">
        <f>IF($Q220="","",INDEX(상세표[사번],$Q220)&amp;"")</f>
        <v/>
      </c>
      <c r="C220">
        <f>IF($Q220="","",INDEX(상세표[성명],$Q220)&amp;"")</f>
        <v/>
      </c>
      <c r="D220">
        <f>IF($Q220="","",INDEX(상세표[직위],$Q220)&amp;"")</f>
        <v/>
      </c>
      <c r="E220">
        <f>IF($Q220="","",IF(ISNUMBER(INDEX(상세표[근무일자],$Q220)),TEXT(INDEX(상세표[근무일자],$Q220),"yyyy-mm-dd"),INDEX(상세표[근무일자],$Q220)&amp;""))</f>
        <v/>
      </c>
      <c r="F220">
        <f>IF($Q220="","",IF(ISNUMBER(INDEX(상세표[시작],$Q220)),TEXT(INDEX(상세표[시작],$Q220),"yyyy-mm-dd hh:mm"),INDEX(상세표[시작],$Q220)&amp;""))</f>
        <v/>
      </c>
      <c r="G220">
        <f>IF($Q220="","",IF(ISNUMBER(INDEX(상세표[블록종료],$Q220)),TEXT(INDEX(상세표[블록종료],$Q220),"yyyy-mm-dd hh:mm"),INDEX(상세표[블록종료],$Q220)&amp;""))</f>
        <v/>
      </c>
      <c r="H220">
        <f>IF($Q220="","",CHOOSE(WEEKDAY(INDEX(상세표[시작],$Q220)),"일","월","화","수","목","금","토"))</f>
        <v/>
      </c>
      <c r="I220" s="20">
        <f>IF($Q220="","",INDEX(상세표[연속 시간],$Q220))</f>
        <v/>
      </c>
      <c r="J220">
        <f>IF($Q220="","",INDEX(상세표[기록 수],$Q220))</f>
        <v/>
      </c>
      <c r="K220" s="20">
        <f>IF($Q220="","",INDEX(상세표[블록 06~07시],$Q220))</f>
        <v/>
      </c>
      <c r="L220" s="20">
        <f>IF($Q220="","",INDEX(상세표[블록 07~18시],$Q220))</f>
        <v/>
      </c>
      <c r="M220" s="20">
        <f>IF($Q220="","",INDEX(상세표[블록 18~22시],$Q220))</f>
        <v/>
      </c>
      <c r="N220" s="20">
        <f>IF($Q220="","",INDEX(상세표[블록 22~06시],$Q220))</f>
        <v/>
      </c>
      <c r="O220">
        <f>IF($Q220="","",INDEX(상세표[주말·휴일 포함],$Q220)&amp;"")</f>
        <v/>
      </c>
      <c r="P220">
        <f>IF($Q220="","",INDEX(상세표[월 넘김 포함],$Q220)&amp;"")</f>
        <v/>
      </c>
      <c r="Q220" s="4">
        <f>IFERROR(MATCH(215,상세표[연속순번],0),"")</f>
        <v/>
      </c>
    </row>
    <row r="221">
      <c r="A221">
        <f>IF($Q221="","",INDEX(상세표[부서],$Q221)&amp;"")</f>
        <v/>
      </c>
      <c r="B221">
        <f>IF($Q221="","",INDEX(상세표[사번],$Q221)&amp;"")</f>
        <v/>
      </c>
      <c r="C221">
        <f>IF($Q221="","",INDEX(상세표[성명],$Q221)&amp;"")</f>
        <v/>
      </c>
      <c r="D221">
        <f>IF($Q221="","",INDEX(상세표[직위],$Q221)&amp;"")</f>
        <v/>
      </c>
      <c r="E221">
        <f>IF($Q221="","",IF(ISNUMBER(INDEX(상세표[근무일자],$Q221)),TEXT(INDEX(상세표[근무일자],$Q221),"yyyy-mm-dd"),INDEX(상세표[근무일자],$Q221)&amp;""))</f>
        <v/>
      </c>
      <c r="F221">
        <f>IF($Q221="","",IF(ISNUMBER(INDEX(상세표[시작],$Q221)),TEXT(INDEX(상세표[시작],$Q221),"yyyy-mm-dd hh:mm"),INDEX(상세표[시작],$Q221)&amp;""))</f>
        <v/>
      </c>
      <c r="G221">
        <f>IF($Q221="","",IF(ISNUMBER(INDEX(상세표[블록종료],$Q221)),TEXT(INDEX(상세표[블록종료],$Q221),"yyyy-mm-dd hh:mm"),INDEX(상세표[블록종료],$Q221)&amp;""))</f>
        <v/>
      </c>
      <c r="H221">
        <f>IF($Q221="","",CHOOSE(WEEKDAY(INDEX(상세표[시작],$Q221)),"일","월","화","수","목","금","토"))</f>
        <v/>
      </c>
      <c r="I221" s="20">
        <f>IF($Q221="","",INDEX(상세표[연속 시간],$Q221))</f>
        <v/>
      </c>
      <c r="J221">
        <f>IF($Q221="","",INDEX(상세표[기록 수],$Q221))</f>
        <v/>
      </c>
      <c r="K221" s="20">
        <f>IF($Q221="","",INDEX(상세표[블록 06~07시],$Q221))</f>
        <v/>
      </c>
      <c r="L221" s="20">
        <f>IF($Q221="","",INDEX(상세표[블록 07~18시],$Q221))</f>
        <v/>
      </c>
      <c r="M221" s="20">
        <f>IF($Q221="","",INDEX(상세표[블록 18~22시],$Q221))</f>
        <v/>
      </c>
      <c r="N221" s="20">
        <f>IF($Q221="","",INDEX(상세표[블록 22~06시],$Q221))</f>
        <v/>
      </c>
      <c r="O221">
        <f>IF($Q221="","",INDEX(상세표[주말·휴일 포함],$Q221)&amp;"")</f>
        <v/>
      </c>
      <c r="P221">
        <f>IF($Q221="","",INDEX(상세표[월 넘김 포함],$Q221)&amp;"")</f>
        <v/>
      </c>
      <c r="Q221" s="4">
        <f>IFERROR(MATCH(216,상세표[연속순번],0),"")</f>
        <v/>
      </c>
    </row>
    <row r="222">
      <c r="A222">
        <f>IF($Q222="","",INDEX(상세표[부서],$Q222)&amp;"")</f>
        <v/>
      </c>
      <c r="B222">
        <f>IF($Q222="","",INDEX(상세표[사번],$Q222)&amp;"")</f>
        <v/>
      </c>
      <c r="C222">
        <f>IF($Q222="","",INDEX(상세표[성명],$Q222)&amp;"")</f>
        <v/>
      </c>
      <c r="D222">
        <f>IF($Q222="","",INDEX(상세표[직위],$Q222)&amp;"")</f>
        <v/>
      </c>
      <c r="E222">
        <f>IF($Q222="","",IF(ISNUMBER(INDEX(상세표[근무일자],$Q222)),TEXT(INDEX(상세표[근무일자],$Q222),"yyyy-mm-dd"),INDEX(상세표[근무일자],$Q222)&amp;""))</f>
        <v/>
      </c>
      <c r="F222">
        <f>IF($Q222="","",IF(ISNUMBER(INDEX(상세표[시작],$Q222)),TEXT(INDEX(상세표[시작],$Q222),"yyyy-mm-dd hh:mm"),INDEX(상세표[시작],$Q222)&amp;""))</f>
        <v/>
      </c>
      <c r="G222">
        <f>IF($Q222="","",IF(ISNUMBER(INDEX(상세표[블록종료],$Q222)),TEXT(INDEX(상세표[블록종료],$Q222),"yyyy-mm-dd hh:mm"),INDEX(상세표[블록종료],$Q222)&amp;""))</f>
        <v/>
      </c>
      <c r="H222">
        <f>IF($Q222="","",CHOOSE(WEEKDAY(INDEX(상세표[시작],$Q222)),"일","월","화","수","목","금","토"))</f>
        <v/>
      </c>
      <c r="I222" s="20">
        <f>IF($Q222="","",INDEX(상세표[연속 시간],$Q222))</f>
        <v/>
      </c>
      <c r="J222">
        <f>IF($Q222="","",INDEX(상세표[기록 수],$Q222))</f>
        <v/>
      </c>
      <c r="K222" s="20">
        <f>IF($Q222="","",INDEX(상세표[블록 06~07시],$Q222))</f>
        <v/>
      </c>
      <c r="L222" s="20">
        <f>IF($Q222="","",INDEX(상세표[블록 07~18시],$Q222))</f>
        <v/>
      </c>
      <c r="M222" s="20">
        <f>IF($Q222="","",INDEX(상세표[블록 18~22시],$Q222))</f>
        <v/>
      </c>
      <c r="N222" s="20">
        <f>IF($Q222="","",INDEX(상세표[블록 22~06시],$Q222))</f>
        <v/>
      </c>
      <c r="O222">
        <f>IF($Q222="","",INDEX(상세표[주말·휴일 포함],$Q222)&amp;"")</f>
        <v/>
      </c>
      <c r="P222">
        <f>IF($Q222="","",INDEX(상세표[월 넘김 포함],$Q222)&amp;"")</f>
        <v/>
      </c>
      <c r="Q222" s="4">
        <f>IFERROR(MATCH(217,상세표[연속순번],0),"")</f>
        <v/>
      </c>
    </row>
    <row r="223">
      <c r="A223">
        <f>IF($Q223="","",INDEX(상세표[부서],$Q223)&amp;"")</f>
        <v/>
      </c>
      <c r="B223">
        <f>IF($Q223="","",INDEX(상세표[사번],$Q223)&amp;"")</f>
        <v/>
      </c>
      <c r="C223">
        <f>IF($Q223="","",INDEX(상세표[성명],$Q223)&amp;"")</f>
        <v/>
      </c>
      <c r="D223">
        <f>IF($Q223="","",INDEX(상세표[직위],$Q223)&amp;"")</f>
        <v/>
      </c>
      <c r="E223">
        <f>IF($Q223="","",IF(ISNUMBER(INDEX(상세표[근무일자],$Q223)),TEXT(INDEX(상세표[근무일자],$Q223),"yyyy-mm-dd"),INDEX(상세표[근무일자],$Q223)&amp;""))</f>
        <v/>
      </c>
      <c r="F223">
        <f>IF($Q223="","",IF(ISNUMBER(INDEX(상세표[시작],$Q223)),TEXT(INDEX(상세표[시작],$Q223),"yyyy-mm-dd hh:mm"),INDEX(상세표[시작],$Q223)&amp;""))</f>
        <v/>
      </c>
      <c r="G223">
        <f>IF($Q223="","",IF(ISNUMBER(INDEX(상세표[블록종료],$Q223)),TEXT(INDEX(상세표[블록종료],$Q223),"yyyy-mm-dd hh:mm"),INDEX(상세표[블록종료],$Q223)&amp;""))</f>
        <v/>
      </c>
      <c r="H223">
        <f>IF($Q223="","",CHOOSE(WEEKDAY(INDEX(상세표[시작],$Q223)),"일","월","화","수","목","금","토"))</f>
        <v/>
      </c>
      <c r="I223" s="20">
        <f>IF($Q223="","",INDEX(상세표[연속 시간],$Q223))</f>
        <v/>
      </c>
      <c r="J223">
        <f>IF($Q223="","",INDEX(상세표[기록 수],$Q223))</f>
        <v/>
      </c>
      <c r="K223" s="20">
        <f>IF($Q223="","",INDEX(상세표[블록 06~07시],$Q223))</f>
        <v/>
      </c>
      <c r="L223" s="20">
        <f>IF($Q223="","",INDEX(상세표[블록 07~18시],$Q223))</f>
        <v/>
      </c>
      <c r="M223" s="20">
        <f>IF($Q223="","",INDEX(상세표[블록 18~22시],$Q223))</f>
        <v/>
      </c>
      <c r="N223" s="20">
        <f>IF($Q223="","",INDEX(상세표[블록 22~06시],$Q223))</f>
        <v/>
      </c>
      <c r="O223">
        <f>IF($Q223="","",INDEX(상세표[주말·휴일 포함],$Q223)&amp;"")</f>
        <v/>
      </c>
      <c r="P223">
        <f>IF($Q223="","",INDEX(상세표[월 넘김 포함],$Q223)&amp;"")</f>
        <v/>
      </c>
      <c r="Q223" s="4">
        <f>IFERROR(MATCH(218,상세표[연속순번],0),"")</f>
        <v/>
      </c>
    </row>
    <row r="224">
      <c r="A224">
        <f>IF($Q224="","",INDEX(상세표[부서],$Q224)&amp;"")</f>
        <v/>
      </c>
      <c r="B224">
        <f>IF($Q224="","",INDEX(상세표[사번],$Q224)&amp;"")</f>
        <v/>
      </c>
      <c r="C224">
        <f>IF($Q224="","",INDEX(상세표[성명],$Q224)&amp;"")</f>
        <v/>
      </c>
      <c r="D224">
        <f>IF($Q224="","",INDEX(상세표[직위],$Q224)&amp;"")</f>
        <v/>
      </c>
      <c r="E224">
        <f>IF($Q224="","",IF(ISNUMBER(INDEX(상세표[근무일자],$Q224)),TEXT(INDEX(상세표[근무일자],$Q224),"yyyy-mm-dd"),INDEX(상세표[근무일자],$Q224)&amp;""))</f>
        <v/>
      </c>
      <c r="F224">
        <f>IF($Q224="","",IF(ISNUMBER(INDEX(상세표[시작],$Q224)),TEXT(INDEX(상세표[시작],$Q224),"yyyy-mm-dd hh:mm"),INDEX(상세표[시작],$Q224)&amp;""))</f>
        <v/>
      </c>
      <c r="G224">
        <f>IF($Q224="","",IF(ISNUMBER(INDEX(상세표[블록종료],$Q224)),TEXT(INDEX(상세표[블록종료],$Q224),"yyyy-mm-dd hh:mm"),INDEX(상세표[블록종료],$Q224)&amp;""))</f>
        <v/>
      </c>
      <c r="H224">
        <f>IF($Q224="","",CHOOSE(WEEKDAY(INDEX(상세표[시작],$Q224)),"일","월","화","수","목","금","토"))</f>
        <v/>
      </c>
      <c r="I224" s="20">
        <f>IF($Q224="","",INDEX(상세표[연속 시간],$Q224))</f>
        <v/>
      </c>
      <c r="J224">
        <f>IF($Q224="","",INDEX(상세표[기록 수],$Q224))</f>
        <v/>
      </c>
      <c r="K224" s="20">
        <f>IF($Q224="","",INDEX(상세표[블록 06~07시],$Q224))</f>
        <v/>
      </c>
      <c r="L224" s="20">
        <f>IF($Q224="","",INDEX(상세표[블록 07~18시],$Q224))</f>
        <v/>
      </c>
      <c r="M224" s="20">
        <f>IF($Q224="","",INDEX(상세표[블록 18~22시],$Q224))</f>
        <v/>
      </c>
      <c r="N224" s="20">
        <f>IF($Q224="","",INDEX(상세표[블록 22~06시],$Q224))</f>
        <v/>
      </c>
      <c r="O224">
        <f>IF($Q224="","",INDEX(상세표[주말·휴일 포함],$Q224)&amp;"")</f>
        <v/>
      </c>
      <c r="P224">
        <f>IF($Q224="","",INDEX(상세표[월 넘김 포함],$Q224)&amp;"")</f>
        <v/>
      </c>
      <c r="Q224" s="4">
        <f>IFERROR(MATCH(219,상세표[연속순번],0),"")</f>
        <v/>
      </c>
    </row>
    <row r="225">
      <c r="A225">
        <f>IF($Q225="","",INDEX(상세표[부서],$Q225)&amp;"")</f>
        <v/>
      </c>
      <c r="B225">
        <f>IF($Q225="","",INDEX(상세표[사번],$Q225)&amp;"")</f>
        <v/>
      </c>
      <c r="C225">
        <f>IF($Q225="","",INDEX(상세표[성명],$Q225)&amp;"")</f>
        <v/>
      </c>
      <c r="D225">
        <f>IF($Q225="","",INDEX(상세표[직위],$Q225)&amp;"")</f>
        <v/>
      </c>
      <c r="E225">
        <f>IF($Q225="","",IF(ISNUMBER(INDEX(상세표[근무일자],$Q225)),TEXT(INDEX(상세표[근무일자],$Q225),"yyyy-mm-dd"),INDEX(상세표[근무일자],$Q225)&amp;""))</f>
        <v/>
      </c>
      <c r="F225">
        <f>IF($Q225="","",IF(ISNUMBER(INDEX(상세표[시작],$Q225)),TEXT(INDEX(상세표[시작],$Q225),"yyyy-mm-dd hh:mm"),INDEX(상세표[시작],$Q225)&amp;""))</f>
        <v/>
      </c>
      <c r="G225">
        <f>IF($Q225="","",IF(ISNUMBER(INDEX(상세표[블록종료],$Q225)),TEXT(INDEX(상세표[블록종료],$Q225),"yyyy-mm-dd hh:mm"),INDEX(상세표[블록종료],$Q225)&amp;""))</f>
        <v/>
      </c>
      <c r="H225">
        <f>IF($Q225="","",CHOOSE(WEEKDAY(INDEX(상세표[시작],$Q225)),"일","월","화","수","목","금","토"))</f>
        <v/>
      </c>
      <c r="I225" s="20">
        <f>IF($Q225="","",INDEX(상세표[연속 시간],$Q225))</f>
        <v/>
      </c>
      <c r="J225">
        <f>IF($Q225="","",INDEX(상세표[기록 수],$Q225))</f>
        <v/>
      </c>
      <c r="K225" s="20">
        <f>IF($Q225="","",INDEX(상세표[블록 06~07시],$Q225))</f>
        <v/>
      </c>
      <c r="L225" s="20">
        <f>IF($Q225="","",INDEX(상세표[블록 07~18시],$Q225))</f>
        <v/>
      </c>
      <c r="M225" s="20">
        <f>IF($Q225="","",INDEX(상세표[블록 18~22시],$Q225))</f>
        <v/>
      </c>
      <c r="N225" s="20">
        <f>IF($Q225="","",INDEX(상세표[블록 22~06시],$Q225))</f>
        <v/>
      </c>
      <c r="O225">
        <f>IF($Q225="","",INDEX(상세표[주말·휴일 포함],$Q225)&amp;"")</f>
        <v/>
      </c>
      <c r="P225">
        <f>IF($Q225="","",INDEX(상세표[월 넘김 포함],$Q225)&amp;"")</f>
        <v/>
      </c>
      <c r="Q225" s="4">
        <f>IFERROR(MATCH(220,상세표[연속순번],0),"")</f>
        <v/>
      </c>
    </row>
    <row r="226">
      <c r="A226">
        <f>IF($Q226="","",INDEX(상세표[부서],$Q226)&amp;"")</f>
        <v/>
      </c>
      <c r="B226">
        <f>IF($Q226="","",INDEX(상세표[사번],$Q226)&amp;"")</f>
        <v/>
      </c>
      <c r="C226">
        <f>IF($Q226="","",INDEX(상세표[성명],$Q226)&amp;"")</f>
        <v/>
      </c>
      <c r="D226">
        <f>IF($Q226="","",INDEX(상세표[직위],$Q226)&amp;"")</f>
        <v/>
      </c>
      <c r="E226">
        <f>IF($Q226="","",IF(ISNUMBER(INDEX(상세표[근무일자],$Q226)),TEXT(INDEX(상세표[근무일자],$Q226),"yyyy-mm-dd"),INDEX(상세표[근무일자],$Q226)&amp;""))</f>
        <v/>
      </c>
      <c r="F226">
        <f>IF($Q226="","",IF(ISNUMBER(INDEX(상세표[시작],$Q226)),TEXT(INDEX(상세표[시작],$Q226),"yyyy-mm-dd hh:mm"),INDEX(상세표[시작],$Q226)&amp;""))</f>
        <v/>
      </c>
      <c r="G226">
        <f>IF($Q226="","",IF(ISNUMBER(INDEX(상세표[블록종료],$Q226)),TEXT(INDEX(상세표[블록종료],$Q226),"yyyy-mm-dd hh:mm"),INDEX(상세표[블록종료],$Q226)&amp;""))</f>
        <v/>
      </c>
      <c r="H226">
        <f>IF($Q226="","",CHOOSE(WEEKDAY(INDEX(상세표[시작],$Q226)),"일","월","화","수","목","금","토"))</f>
        <v/>
      </c>
      <c r="I226" s="20">
        <f>IF($Q226="","",INDEX(상세표[연속 시간],$Q226))</f>
        <v/>
      </c>
      <c r="J226">
        <f>IF($Q226="","",INDEX(상세표[기록 수],$Q226))</f>
        <v/>
      </c>
      <c r="K226" s="20">
        <f>IF($Q226="","",INDEX(상세표[블록 06~07시],$Q226))</f>
        <v/>
      </c>
      <c r="L226" s="20">
        <f>IF($Q226="","",INDEX(상세표[블록 07~18시],$Q226))</f>
        <v/>
      </c>
      <c r="M226" s="20">
        <f>IF($Q226="","",INDEX(상세표[블록 18~22시],$Q226))</f>
        <v/>
      </c>
      <c r="N226" s="20">
        <f>IF($Q226="","",INDEX(상세표[블록 22~06시],$Q226))</f>
        <v/>
      </c>
      <c r="O226">
        <f>IF($Q226="","",INDEX(상세표[주말·휴일 포함],$Q226)&amp;"")</f>
        <v/>
      </c>
      <c r="P226">
        <f>IF($Q226="","",INDEX(상세표[월 넘김 포함],$Q226)&amp;"")</f>
        <v/>
      </c>
      <c r="Q226" s="4">
        <f>IFERROR(MATCH(221,상세표[연속순번],0),"")</f>
        <v/>
      </c>
    </row>
    <row r="227">
      <c r="A227">
        <f>IF($Q227="","",INDEX(상세표[부서],$Q227)&amp;"")</f>
        <v/>
      </c>
      <c r="B227">
        <f>IF($Q227="","",INDEX(상세표[사번],$Q227)&amp;"")</f>
        <v/>
      </c>
      <c r="C227">
        <f>IF($Q227="","",INDEX(상세표[성명],$Q227)&amp;"")</f>
        <v/>
      </c>
      <c r="D227">
        <f>IF($Q227="","",INDEX(상세표[직위],$Q227)&amp;"")</f>
        <v/>
      </c>
      <c r="E227">
        <f>IF($Q227="","",IF(ISNUMBER(INDEX(상세표[근무일자],$Q227)),TEXT(INDEX(상세표[근무일자],$Q227),"yyyy-mm-dd"),INDEX(상세표[근무일자],$Q227)&amp;""))</f>
        <v/>
      </c>
      <c r="F227">
        <f>IF($Q227="","",IF(ISNUMBER(INDEX(상세표[시작],$Q227)),TEXT(INDEX(상세표[시작],$Q227),"yyyy-mm-dd hh:mm"),INDEX(상세표[시작],$Q227)&amp;""))</f>
        <v/>
      </c>
      <c r="G227">
        <f>IF($Q227="","",IF(ISNUMBER(INDEX(상세표[블록종료],$Q227)),TEXT(INDEX(상세표[블록종료],$Q227),"yyyy-mm-dd hh:mm"),INDEX(상세표[블록종료],$Q227)&amp;""))</f>
        <v/>
      </c>
      <c r="H227">
        <f>IF($Q227="","",CHOOSE(WEEKDAY(INDEX(상세표[시작],$Q227)),"일","월","화","수","목","금","토"))</f>
        <v/>
      </c>
      <c r="I227" s="20">
        <f>IF($Q227="","",INDEX(상세표[연속 시간],$Q227))</f>
        <v/>
      </c>
      <c r="J227">
        <f>IF($Q227="","",INDEX(상세표[기록 수],$Q227))</f>
        <v/>
      </c>
      <c r="K227" s="20">
        <f>IF($Q227="","",INDEX(상세표[블록 06~07시],$Q227))</f>
        <v/>
      </c>
      <c r="L227" s="20">
        <f>IF($Q227="","",INDEX(상세표[블록 07~18시],$Q227))</f>
        <v/>
      </c>
      <c r="M227" s="20">
        <f>IF($Q227="","",INDEX(상세표[블록 18~22시],$Q227))</f>
        <v/>
      </c>
      <c r="N227" s="20">
        <f>IF($Q227="","",INDEX(상세표[블록 22~06시],$Q227))</f>
        <v/>
      </c>
      <c r="O227">
        <f>IF($Q227="","",INDEX(상세표[주말·휴일 포함],$Q227)&amp;"")</f>
        <v/>
      </c>
      <c r="P227">
        <f>IF($Q227="","",INDEX(상세표[월 넘김 포함],$Q227)&amp;"")</f>
        <v/>
      </c>
      <c r="Q227" s="4">
        <f>IFERROR(MATCH(222,상세표[연속순번],0),"")</f>
        <v/>
      </c>
    </row>
    <row r="228">
      <c r="A228">
        <f>IF($Q228="","",INDEX(상세표[부서],$Q228)&amp;"")</f>
        <v/>
      </c>
      <c r="B228">
        <f>IF($Q228="","",INDEX(상세표[사번],$Q228)&amp;"")</f>
        <v/>
      </c>
      <c r="C228">
        <f>IF($Q228="","",INDEX(상세표[성명],$Q228)&amp;"")</f>
        <v/>
      </c>
      <c r="D228">
        <f>IF($Q228="","",INDEX(상세표[직위],$Q228)&amp;"")</f>
        <v/>
      </c>
      <c r="E228">
        <f>IF($Q228="","",IF(ISNUMBER(INDEX(상세표[근무일자],$Q228)),TEXT(INDEX(상세표[근무일자],$Q228),"yyyy-mm-dd"),INDEX(상세표[근무일자],$Q228)&amp;""))</f>
        <v/>
      </c>
      <c r="F228">
        <f>IF($Q228="","",IF(ISNUMBER(INDEX(상세표[시작],$Q228)),TEXT(INDEX(상세표[시작],$Q228),"yyyy-mm-dd hh:mm"),INDEX(상세표[시작],$Q228)&amp;""))</f>
        <v/>
      </c>
      <c r="G228">
        <f>IF($Q228="","",IF(ISNUMBER(INDEX(상세표[블록종료],$Q228)),TEXT(INDEX(상세표[블록종료],$Q228),"yyyy-mm-dd hh:mm"),INDEX(상세표[블록종료],$Q228)&amp;""))</f>
        <v/>
      </c>
      <c r="H228">
        <f>IF($Q228="","",CHOOSE(WEEKDAY(INDEX(상세표[시작],$Q228)),"일","월","화","수","목","금","토"))</f>
        <v/>
      </c>
      <c r="I228" s="20">
        <f>IF($Q228="","",INDEX(상세표[연속 시간],$Q228))</f>
        <v/>
      </c>
      <c r="J228">
        <f>IF($Q228="","",INDEX(상세표[기록 수],$Q228))</f>
        <v/>
      </c>
      <c r="K228" s="20">
        <f>IF($Q228="","",INDEX(상세표[블록 06~07시],$Q228))</f>
        <v/>
      </c>
      <c r="L228" s="20">
        <f>IF($Q228="","",INDEX(상세표[블록 07~18시],$Q228))</f>
        <v/>
      </c>
      <c r="M228" s="20">
        <f>IF($Q228="","",INDEX(상세표[블록 18~22시],$Q228))</f>
        <v/>
      </c>
      <c r="N228" s="20">
        <f>IF($Q228="","",INDEX(상세표[블록 22~06시],$Q228))</f>
        <v/>
      </c>
      <c r="O228">
        <f>IF($Q228="","",INDEX(상세표[주말·휴일 포함],$Q228)&amp;"")</f>
        <v/>
      </c>
      <c r="P228">
        <f>IF($Q228="","",INDEX(상세표[월 넘김 포함],$Q228)&amp;"")</f>
        <v/>
      </c>
      <c r="Q228" s="4">
        <f>IFERROR(MATCH(223,상세표[연속순번],0),"")</f>
        <v/>
      </c>
    </row>
    <row r="229">
      <c r="A229">
        <f>IF($Q229="","",INDEX(상세표[부서],$Q229)&amp;"")</f>
        <v/>
      </c>
      <c r="B229">
        <f>IF($Q229="","",INDEX(상세표[사번],$Q229)&amp;"")</f>
        <v/>
      </c>
      <c r="C229">
        <f>IF($Q229="","",INDEX(상세표[성명],$Q229)&amp;"")</f>
        <v/>
      </c>
      <c r="D229">
        <f>IF($Q229="","",INDEX(상세표[직위],$Q229)&amp;"")</f>
        <v/>
      </c>
      <c r="E229">
        <f>IF($Q229="","",IF(ISNUMBER(INDEX(상세표[근무일자],$Q229)),TEXT(INDEX(상세표[근무일자],$Q229),"yyyy-mm-dd"),INDEX(상세표[근무일자],$Q229)&amp;""))</f>
        <v/>
      </c>
      <c r="F229">
        <f>IF($Q229="","",IF(ISNUMBER(INDEX(상세표[시작],$Q229)),TEXT(INDEX(상세표[시작],$Q229),"yyyy-mm-dd hh:mm"),INDEX(상세표[시작],$Q229)&amp;""))</f>
        <v/>
      </c>
      <c r="G229">
        <f>IF($Q229="","",IF(ISNUMBER(INDEX(상세표[블록종료],$Q229)),TEXT(INDEX(상세표[블록종료],$Q229),"yyyy-mm-dd hh:mm"),INDEX(상세표[블록종료],$Q229)&amp;""))</f>
        <v/>
      </c>
      <c r="H229">
        <f>IF($Q229="","",CHOOSE(WEEKDAY(INDEX(상세표[시작],$Q229)),"일","월","화","수","목","금","토"))</f>
        <v/>
      </c>
      <c r="I229" s="20">
        <f>IF($Q229="","",INDEX(상세표[연속 시간],$Q229))</f>
        <v/>
      </c>
      <c r="J229">
        <f>IF($Q229="","",INDEX(상세표[기록 수],$Q229))</f>
        <v/>
      </c>
      <c r="K229" s="20">
        <f>IF($Q229="","",INDEX(상세표[블록 06~07시],$Q229))</f>
        <v/>
      </c>
      <c r="L229" s="20">
        <f>IF($Q229="","",INDEX(상세표[블록 07~18시],$Q229))</f>
        <v/>
      </c>
      <c r="M229" s="20">
        <f>IF($Q229="","",INDEX(상세표[블록 18~22시],$Q229))</f>
        <v/>
      </c>
      <c r="N229" s="20">
        <f>IF($Q229="","",INDEX(상세표[블록 22~06시],$Q229))</f>
        <v/>
      </c>
      <c r="O229">
        <f>IF($Q229="","",INDEX(상세표[주말·휴일 포함],$Q229)&amp;"")</f>
        <v/>
      </c>
      <c r="P229">
        <f>IF($Q229="","",INDEX(상세표[월 넘김 포함],$Q229)&amp;"")</f>
        <v/>
      </c>
      <c r="Q229" s="4">
        <f>IFERROR(MATCH(224,상세표[연속순번],0),"")</f>
        <v/>
      </c>
    </row>
    <row r="230">
      <c r="A230">
        <f>IF($Q230="","",INDEX(상세표[부서],$Q230)&amp;"")</f>
        <v/>
      </c>
      <c r="B230">
        <f>IF($Q230="","",INDEX(상세표[사번],$Q230)&amp;"")</f>
        <v/>
      </c>
      <c r="C230">
        <f>IF($Q230="","",INDEX(상세표[성명],$Q230)&amp;"")</f>
        <v/>
      </c>
      <c r="D230">
        <f>IF($Q230="","",INDEX(상세표[직위],$Q230)&amp;"")</f>
        <v/>
      </c>
      <c r="E230">
        <f>IF($Q230="","",IF(ISNUMBER(INDEX(상세표[근무일자],$Q230)),TEXT(INDEX(상세표[근무일자],$Q230),"yyyy-mm-dd"),INDEX(상세표[근무일자],$Q230)&amp;""))</f>
        <v/>
      </c>
      <c r="F230">
        <f>IF($Q230="","",IF(ISNUMBER(INDEX(상세표[시작],$Q230)),TEXT(INDEX(상세표[시작],$Q230),"yyyy-mm-dd hh:mm"),INDEX(상세표[시작],$Q230)&amp;""))</f>
        <v/>
      </c>
      <c r="G230">
        <f>IF($Q230="","",IF(ISNUMBER(INDEX(상세표[블록종료],$Q230)),TEXT(INDEX(상세표[블록종료],$Q230),"yyyy-mm-dd hh:mm"),INDEX(상세표[블록종료],$Q230)&amp;""))</f>
        <v/>
      </c>
      <c r="H230">
        <f>IF($Q230="","",CHOOSE(WEEKDAY(INDEX(상세표[시작],$Q230)),"일","월","화","수","목","금","토"))</f>
        <v/>
      </c>
      <c r="I230" s="20">
        <f>IF($Q230="","",INDEX(상세표[연속 시간],$Q230))</f>
        <v/>
      </c>
      <c r="J230">
        <f>IF($Q230="","",INDEX(상세표[기록 수],$Q230))</f>
        <v/>
      </c>
      <c r="K230" s="20">
        <f>IF($Q230="","",INDEX(상세표[블록 06~07시],$Q230))</f>
        <v/>
      </c>
      <c r="L230" s="20">
        <f>IF($Q230="","",INDEX(상세표[블록 07~18시],$Q230))</f>
        <v/>
      </c>
      <c r="M230" s="20">
        <f>IF($Q230="","",INDEX(상세표[블록 18~22시],$Q230))</f>
        <v/>
      </c>
      <c r="N230" s="20">
        <f>IF($Q230="","",INDEX(상세표[블록 22~06시],$Q230))</f>
        <v/>
      </c>
      <c r="O230">
        <f>IF($Q230="","",INDEX(상세표[주말·휴일 포함],$Q230)&amp;"")</f>
        <v/>
      </c>
      <c r="P230">
        <f>IF($Q230="","",INDEX(상세표[월 넘김 포함],$Q230)&amp;"")</f>
        <v/>
      </c>
      <c r="Q230" s="4">
        <f>IFERROR(MATCH(225,상세표[연속순번],0),"")</f>
        <v/>
      </c>
    </row>
    <row r="231">
      <c r="A231">
        <f>IF($Q231="","",INDEX(상세표[부서],$Q231)&amp;"")</f>
        <v/>
      </c>
      <c r="B231">
        <f>IF($Q231="","",INDEX(상세표[사번],$Q231)&amp;"")</f>
        <v/>
      </c>
      <c r="C231">
        <f>IF($Q231="","",INDEX(상세표[성명],$Q231)&amp;"")</f>
        <v/>
      </c>
      <c r="D231">
        <f>IF($Q231="","",INDEX(상세표[직위],$Q231)&amp;"")</f>
        <v/>
      </c>
      <c r="E231">
        <f>IF($Q231="","",IF(ISNUMBER(INDEX(상세표[근무일자],$Q231)),TEXT(INDEX(상세표[근무일자],$Q231),"yyyy-mm-dd"),INDEX(상세표[근무일자],$Q231)&amp;""))</f>
        <v/>
      </c>
      <c r="F231">
        <f>IF($Q231="","",IF(ISNUMBER(INDEX(상세표[시작],$Q231)),TEXT(INDEX(상세표[시작],$Q231),"yyyy-mm-dd hh:mm"),INDEX(상세표[시작],$Q231)&amp;""))</f>
        <v/>
      </c>
      <c r="G231">
        <f>IF($Q231="","",IF(ISNUMBER(INDEX(상세표[블록종료],$Q231)),TEXT(INDEX(상세표[블록종료],$Q231),"yyyy-mm-dd hh:mm"),INDEX(상세표[블록종료],$Q231)&amp;""))</f>
        <v/>
      </c>
      <c r="H231">
        <f>IF($Q231="","",CHOOSE(WEEKDAY(INDEX(상세표[시작],$Q231)),"일","월","화","수","목","금","토"))</f>
        <v/>
      </c>
      <c r="I231" s="20">
        <f>IF($Q231="","",INDEX(상세표[연속 시간],$Q231))</f>
        <v/>
      </c>
      <c r="J231">
        <f>IF($Q231="","",INDEX(상세표[기록 수],$Q231))</f>
        <v/>
      </c>
      <c r="K231" s="20">
        <f>IF($Q231="","",INDEX(상세표[블록 06~07시],$Q231))</f>
        <v/>
      </c>
      <c r="L231" s="20">
        <f>IF($Q231="","",INDEX(상세표[블록 07~18시],$Q231))</f>
        <v/>
      </c>
      <c r="M231" s="20">
        <f>IF($Q231="","",INDEX(상세표[블록 18~22시],$Q231))</f>
        <v/>
      </c>
      <c r="N231" s="20">
        <f>IF($Q231="","",INDEX(상세표[블록 22~06시],$Q231))</f>
        <v/>
      </c>
      <c r="O231">
        <f>IF($Q231="","",INDEX(상세표[주말·휴일 포함],$Q231)&amp;"")</f>
        <v/>
      </c>
      <c r="P231">
        <f>IF($Q231="","",INDEX(상세표[월 넘김 포함],$Q231)&amp;"")</f>
        <v/>
      </c>
      <c r="Q231" s="4">
        <f>IFERROR(MATCH(226,상세표[연속순번],0),"")</f>
        <v/>
      </c>
    </row>
    <row r="232">
      <c r="A232">
        <f>IF($Q232="","",INDEX(상세표[부서],$Q232)&amp;"")</f>
        <v/>
      </c>
      <c r="B232">
        <f>IF($Q232="","",INDEX(상세표[사번],$Q232)&amp;"")</f>
        <v/>
      </c>
      <c r="C232">
        <f>IF($Q232="","",INDEX(상세표[성명],$Q232)&amp;"")</f>
        <v/>
      </c>
      <c r="D232">
        <f>IF($Q232="","",INDEX(상세표[직위],$Q232)&amp;"")</f>
        <v/>
      </c>
      <c r="E232">
        <f>IF($Q232="","",IF(ISNUMBER(INDEX(상세표[근무일자],$Q232)),TEXT(INDEX(상세표[근무일자],$Q232),"yyyy-mm-dd"),INDEX(상세표[근무일자],$Q232)&amp;""))</f>
        <v/>
      </c>
      <c r="F232">
        <f>IF($Q232="","",IF(ISNUMBER(INDEX(상세표[시작],$Q232)),TEXT(INDEX(상세표[시작],$Q232),"yyyy-mm-dd hh:mm"),INDEX(상세표[시작],$Q232)&amp;""))</f>
        <v/>
      </c>
      <c r="G232">
        <f>IF($Q232="","",IF(ISNUMBER(INDEX(상세표[블록종료],$Q232)),TEXT(INDEX(상세표[블록종료],$Q232),"yyyy-mm-dd hh:mm"),INDEX(상세표[블록종료],$Q232)&amp;""))</f>
        <v/>
      </c>
      <c r="H232">
        <f>IF($Q232="","",CHOOSE(WEEKDAY(INDEX(상세표[시작],$Q232)),"일","월","화","수","목","금","토"))</f>
        <v/>
      </c>
      <c r="I232" s="20">
        <f>IF($Q232="","",INDEX(상세표[연속 시간],$Q232))</f>
        <v/>
      </c>
      <c r="J232">
        <f>IF($Q232="","",INDEX(상세표[기록 수],$Q232))</f>
        <v/>
      </c>
      <c r="K232" s="20">
        <f>IF($Q232="","",INDEX(상세표[블록 06~07시],$Q232))</f>
        <v/>
      </c>
      <c r="L232" s="20">
        <f>IF($Q232="","",INDEX(상세표[블록 07~18시],$Q232))</f>
        <v/>
      </c>
      <c r="M232" s="20">
        <f>IF($Q232="","",INDEX(상세표[블록 18~22시],$Q232))</f>
        <v/>
      </c>
      <c r="N232" s="20">
        <f>IF($Q232="","",INDEX(상세표[블록 22~06시],$Q232))</f>
        <v/>
      </c>
      <c r="O232">
        <f>IF($Q232="","",INDEX(상세표[주말·휴일 포함],$Q232)&amp;"")</f>
        <v/>
      </c>
      <c r="P232">
        <f>IF($Q232="","",INDEX(상세표[월 넘김 포함],$Q232)&amp;"")</f>
        <v/>
      </c>
      <c r="Q232" s="4">
        <f>IFERROR(MATCH(227,상세표[연속순번],0),"")</f>
        <v/>
      </c>
    </row>
    <row r="233">
      <c r="A233">
        <f>IF($Q233="","",INDEX(상세표[부서],$Q233)&amp;"")</f>
        <v/>
      </c>
      <c r="B233">
        <f>IF($Q233="","",INDEX(상세표[사번],$Q233)&amp;"")</f>
        <v/>
      </c>
      <c r="C233">
        <f>IF($Q233="","",INDEX(상세표[성명],$Q233)&amp;"")</f>
        <v/>
      </c>
      <c r="D233">
        <f>IF($Q233="","",INDEX(상세표[직위],$Q233)&amp;"")</f>
        <v/>
      </c>
      <c r="E233">
        <f>IF($Q233="","",IF(ISNUMBER(INDEX(상세표[근무일자],$Q233)),TEXT(INDEX(상세표[근무일자],$Q233),"yyyy-mm-dd"),INDEX(상세표[근무일자],$Q233)&amp;""))</f>
        <v/>
      </c>
      <c r="F233">
        <f>IF($Q233="","",IF(ISNUMBER(INDEX(상세표[시작],$Q233)),TEXT(INDEX(상세표[시작],$Q233),"yyyy-mm-dd hh:mm"),INDEX(상세표[시작],$Q233)&amp;""))</f>
        <v/>
      </c>
      <c r="G233">
        <f>IF($Q233="","",IF(ISNUMBER(INDEX(상세표[블록종료],$Q233)),TEXT(INDEX(상세표[블록종료],$Q233),"yyyy-mm-dd hh:mm"),INDEX(상세표[블록종료],$Q233)&amp;""))</f>
        <v/>
      </c>
      <c r="H233">
        <f>IF($Q233="","",CHOOSE(WEEKDAY(INDEX(상세표[시작],$Q233)),"일","월","화","수","목","금","토"))</f>
        <v/>
      </c>
      <c r="I233" s="20">
        <f>IF($Q233="","",INDEX(상세표[연속 시간],$Q233))</f>
        <v/>
      </c>
      <c r="J233">
        <f>IF($Q233="","",INDEX(상세표[기록 수],$Q233))</f>
        <v/>
      </c>
      <c r="K233" s="20">
        <f>IF($Q233="","",INDEX(상세표[블록 06~07시],$Q233))</f>
        <v/>
      </c>
      <c r="L233" s="20">
        <f>IF($Q233="","",INDEX(상세표[블록 07~18시],$Q233))</f>
        <v/>
      </c>
      <c r="M233" s="20">
        <f>IF($Q233="","",INDEX(상세표[블록 18~22시],$Q233))</f>
        <v/>
      </c>
      <c r="N233" s="20">
        <f>IF($Q233="","",INDEX(상세표[블록 22~06시],$Q233))</f>
        <v/>
      </c>
      <c r="O233">
        <f>IF($Q233="","",INDEX(상세표[주말·휴일 포함],$Q233)&amp;"")</f>
        <v/>
      </c>
      <c r="P233">
        <f>IF($Q233="","",INDEX(상세표[월 넘김 포함],$Q233)&amp;"")</f>
        <v/>
      </c>
      <c r="Q233" s="4">
        <f>IFERROR(MATCH(228,상세표[연속순번],0),"")</f>
        <v/>
      </c>
    </row>
    <row r="234">
      <c r="A234">
        <f>IF($Q234="","",INDEX(상세표[부서],$Q234)&amp;"")</f>
        <v/>
      </c>
      <c r="B234">
        <f>IF($Q234="","",INDEX(상세표[사번],$Q234)&amp;"")</f>
        <v/>
      </c>
      <c r="C234">
        <f>IF($Q234="","",INDEX(상세표[성명],$Q234)&amp;"")</f>
        <v/>
      </c>
      <c r="D234">
        <f>IF($Q234="","",INDEX(상세표[직위],$Q234)&amp;"")</f>
        <v/>
      </c>
      <c r="E234">
        <f>IF($Q234="","",IF(ISNUMBER(INDEX(상세표[근무일자],$Q234)),TEXT(INDEX(상세표[근무일자],$Q234),"yyyy-mm-dd"),INDEX(상세표[근무일자],$Q234)&amp;""))</f>
        <v/>
      </c>
      <c r="F234">
        <f>IF($Q234="","",IF(ISNUMBER(INDEX(상세표[시작],$Q234)),TEXT(INDEX(상세표[시작],$Q234),"yyyy-mm-dd hh:mm"),INDEX(상세표[시작],$Q234)&amp;""))</f>
        <v/>
      </c>
      <c r="G234">
        <f>IF($Q234="","",IF(ISNUMBER(INDEX(상세표[블록종료],$Q234)),TEXT(INDEX(상세표[블록종료],$Q234),"yyyy-mm-dd hh:mm"),INDEX(상세표[블록종료],$Q234)&amp;""))</f>
        <v/>
      </c>
      <c r="H234">
        <f>IF($Q234="","",CHOOSE(WEEKDAY(INDEX(상세표[시작],$Q234)),"일","월","화","수","목","금","토"))</f>
        <v/>
      </c>
      <c r="I234" s="20">
        <f>IF($Q234="","",INDEX(상세표[연속 시간],$Q234))</f>
        <v/>
      </c>
      <c r="J234">
        <f>IF($Q234="","",INDEX(상세표[기록 수],$Q234))</f>
        <v/>
      </c>
      <c r="K234" s="20">
        <f>IF($Q234="","",INDEX(상세표[블록 06~07시],$Q234))</f>
        <v/>
      </c>
      <c r="L234" s="20">
        <f>IF($Q234="","",INDEX(상세표[블록 07~18시],$Q234))</f>
        <v/>
      </c>
      <c r="M234" s="20">
        <f>IF($Q234="","",INDEX(상세표[블록 18~22시],$Q234))</f>
        <v/>
      </c>
      <c r="N234" s="20">
        <f>IF($Q234="","",INDEX(상세표[블록 22~06시],$Q234))</f>
        <v/>
      </c>
      <c r="O234">
        <f>IF($Q234="","",INDEX(상세표[주말·휴일 포함],$Q234)&amp;"")</f>
        <v/>
      </c>
      <c r="P234">
        <f>IF($Q234="","",INDEX(상세표[월 넘김 포함],$Q234)&amp;"")</f>
        <v/>
      </c>
      <c r="Q234" s="4">
        <f>IFERROR(MATCH(229,상세표[연속순번],0),"")</f>
        <v/>
      </c>
    </row>
    <row r="235">
      <c r="A235">
        <f>IF($Q235="","",INDEX(상세표[부서],$Q235)&amp;"")</f>
        <v/>
      </c>
      <c r="B235">
        <f>IF($Q235="","",INDEX(상세표[사번],$Q235)&amp;"")</f>
        <v/>
      </c>
      <c r="C235">
        <f>IF($Q235="","",INDEX(상세표[성명],$Q235)&amp;"")</f>
        <v/>
      </c>
      <c r="D235">
        <f>IF($Q235="","",INDEX(상세표[직위],$Q235)&amp;"")</f>
        <v/>
      </c>
      <c r="E235">
        <f>IF($Q235="","",IF(ISNUMBER(INDEX(상세표[근무일자],$Q235)),TEXT(INDEX(상세표[근무일자],$Q235),"yyyy-mm-dd"),INDEX(상세표[근무일자],$Q235)&amp;""))</f>
        <v/>
      </c>
      <c r="F235">
        <f>IF($Q235="","",IF(ISNUMBER(INDEX(상세표[시작],$Q235)),TEXT(INDEX(상세표[시작],$Q235),"yyyy-mm-dd hh:mm"),INDEX(상세표[시작],$Q235)&amp;""))</f>
        <v/>
      </c>
      <c r="G235">
        <f>IF($Q235="","",IF(ISNUMBER(INDEX(상세표[블록종료],$Q235)),TEXT(INDEX(상세표[블록종료],$Q235),"yyyy-mm-dd hh:mm"),INDEX(상세표[블록종료],$Q235)&amp;""))</f>
        <v/>
      </c>
      <c r="H235">
        <f>IF($Q235="","",CHOOSE(WEEKDAY(INDEX(상세표[시작],$Q235)),"일","월","화","수","목","금","토"))</f>
        <v/>
      </c>
      <c r="I235" s="20">
        <f>IF($Q235="","",INDEX(상세표[연속 시간],$Q235))</f>
        <v/>
      </c>
      <c r="J235">
        <f>IF($Q235="","",INDEX(상세표[기록 수],$Q235))</f>
        <v/>
      </c>
      <c r="K235" s="20">
        <f>IF($Q235="","",INDEX(상세표[블록 06~07시],$Q235))</f>
        <v/>
      </c>
      <c r="L235" s="20">
        <f>IF($Q235="","",INDEX(상세표[블록 07~18시],$Q235))</f>
        <v/>
      </c>
      <c r="M235" s="20">
        <f>IF($Q235="","",INDEX(상세표[블록 18~22시],$Q235))</f>
        <v/>
      </c>
      <c r="N235" s="20">
        <f>IF($Q235="","",INDEX(상세표[블록 22~06시],$Q235))</f>
        <v/>
      </c>
      <c r="O235">
        <f>IF($Q235="","",INDEX(상세표[주말·휴일 포함],$Q235)&amp;"")</f>
        <v/>
      </c>
      <c r="P235">
        <f>IF($Q235="","",INDEX(상세표[월 넘김 포함],$Q235)&amp;"")</f>
        <v/>
      </c>
      <c r="Q235" s="4">
        <f>IFERROR(MATCH(230,상세표[연속순번],0),"")</f>
        <v/>
      </c>
    </row>
    <row r="236">
      <c r="A236">
        <f>IF($Q236="","",INDEX(상세표[부서],$Q236)&amp;"")</f>
        <v/>
      </c>
      <c r="B236">
        <f>IF($Q236="","",INDEX(상세표[사번],$Q236)&amp;"")</f>
        <v/>
      </c>
      <c r="C236">
        <f>IF($Q236="","",INDEX(상세표[성명],$Q236)&amp;"")</f>
        <v/>
      </c>
      <c r="D236">
        <f>IF($Q236="","",INDEX(상세표[직위],$Q236)&amp;"")</f>
        <v/>
      </c>
      <c r="E236">
        <f>IF($Q236="","",IF(ISNUMBER(INDEX(상세표[근무일자],$Q236)),TEXT(INDEX(상세표[근무일자],$Q236),"yyyy-mm-dd"),INDEX(상세표[근무일자],$Q236)&amp;""))</f>
        <v/>
      </c>
      <c r="F236">
        <f>IF($Q236="","",IF(ISNUMBER(INDEX(상세표[시작],$Q236)),TEXT(INDEX(상세표[시작],$Q236),"yyyy-mm-dd hh:mm"),INDEX(상세표[시작],$Q236)&amp;""))</f>
        <v/>
      </c>
      <c r="G236">
        <f>IF($Q236="","",IF(ISNUMBER(INDEX(상세표[블록종료],$Q236)),TEXT(INDEX(상세표[블록종료],$Q236),"yyyy-mm-dd hh:mm"),INDEX(상세표[블록종료],$Q236)&amp;""))</f>
        <v/>
      </c>
      <c r="H236">
        <f>IF($Q236="","",CHOOSE(WEEKDAY(INDEX(상세표[시작],$Q236)),"일","월","화","수","목","금","토"))</f>
        <v/>
      </c>
      <c r="I236" s="20">
        <f>IF($Q236="","",INDEX(상세표[연속 시간],$Q236))</f>
        <v/>
      </c>
      <c r="J236">
        <f>IF($Q236="","",INDEX(상세표[기록 수],$Q236))</f>
        <v/>
      </c>
      <c r="K236" s="20">
        <f>IF($Q236="","",INDEX(상세표[블록 06~07시],$Q236))</f>
        <v/>
      </c>
      <c r="L236" s="20">
        <f>IF($Q236="","",INDEX(상세표[블록 07~18시],$Q236))</f>
        <v/>
      </c>
      <c r="M236" s="20">
        <f>IF($Q236="","",INDEX(상세표[블록 18~22시],$Q236))</f>
        <v/>
      </c>
      <c r="N236" s="20">
        <f>IF($Q236="","",INDEX(상세표[블록 22~06시],$Q236))</f>
        <v/>
      </c>
      <c r="O236">
        <f>IF($Q236="","",INDEX(상세표[주말·휴일 포함],$Q236)&amp;"")</f>
        <v/>
      </c>
      <c r="P236">
        <f>IF($Q236="","",INDEX(상세표[월 넘김 포함],$Q236)&amp;"")</f>
        <v/>
      </c>
      <c r="Q236" s="4">
        <f>IFERROR(MATCH(231,상세표[연속순번],0),"")</f>
        <v/>
      </c>
    </row>
    <row r="237">
      <c r="A237">
        <f>IF($Q237="","",INDEX(상세표[부서],$Q237)&amp;"")</f>
        <v/>
      </c>
      <c r="B237">
        <f>IF($Q237="","",INDEX(상세표[사번],$Q237)&amp;"")</f>
        <v/>
      </c>
      <c r="C237">
        <f>IF($Q237="","",INDEX(상세표[성명],$Q237)&amp;"")</f>
        <v/>
      </c>
      <c r="D237">
        <f>IF($Q237="","",INDEX(상세표[직위],$Q237)&amp;"")</f>
        <v/>
      </c>
      <c r="E237">
        <f>IF($Q237="","",IF(ISNUMBER(INDEX(상세표[근무일자],$Q237)),TEXT(INDEX(상세표[근무일자],$Q237),"yyyy-mm-dd"),INDEX(상세표[근무일자],$Q237)&amp;""))</f>
        <v/>
      </c>
      <c r="F237">
        <f>IF($Q237="","",IF(ISNUMBER(INDEX(상세표[시작],$Q237)),TEXT(INDEX(상세표[시작],$Q237),"yyyy-mm-dd hh:mm"),INDEX(상세표[시작],$Q237)&amp;""))</f>
        <v/>
      </c>
      <c r="G237">
        <f>IF($Q237="","",IF(ISNUMBER(INDEX(상세표[블록종료],$Q237)),TEXT(INDEX(상세표[블록종료],$Q237),"yyyy-mm-dd hh:mm"),INDEX(상세표[블록종료],$Q237)&amp;""))</f>
        <v/>
      </c>
      <c r="H237">
        <f>IF($Q237="","",CHOOSE(WEEKDAY(INDEX(상세표[시작],$Q237)),"일","월","화","수","목","금","토"))</f>
        <v/>
      </c>
      <c r="I237" s="20">
        <f>IF($Q237="","",INDEX(상세표[연속 시간],$Q237))</f>
        <v/>
      </c>
      <c r="J237">
        <f>IF($Q237="","",INDEX(상세표[기록 수],$Q237))</f>
        <v/>
      </c>
      <c r="K237" s="20">
        <f>IF($Q237="","",INDEX(상세표[블록 06~07시],$Q237))</f>
        <v/>
      </c>
      <c r="L237" s="20">
        <f>IF($Q237="","",INDEX(상세표[블록 07~18시],$Q237))</f>
        <v/>
      </c>
      <c r="M237" s="20">
        <f>IF($Q237="","",INDEX(상세표[블록 18~22시],$Q237))</f>
        <v/>
      </c>
      <c r="N237" s="20">
        <f>IF($Q237="","",INDEX(상세표[블록 22~06시],$Q237))</f>
        <v/>
      </c>
      <c r="O237">
        <f>IF($Q237="","",INDEX(상세표[주말·휴일 포함],$Q237)&amp;"")</f>
        <v/>
      </c>
      <c r="P237">
        <f>IF($Q237="","",INDEX(상세표[월 넘김 포함],$Q237)&amp;"")</f>
        <v/>
      </c>
      <c r="Q237" s="4">
        <f>IFERROR(MATCH(232,상세표[연속순번],0),"")</f>
        <v/>
      </c>
    </row>
    <row r="238">
      <c r="A238">
        <f>IF($Q238="","",INDEX(상세표[부서],$Q238)&amp;"")</f>
        <v/>
      </c>
      <c r="B238">
        <f>IF($Q238="","",INDEX(상세표[사번],$Q238)&amp;"")</f>
        <v/>
      </c>
      <c r="C238">
        <f>IF($Q238="","",INDEX(상세표[성명],$Q238)&amp;"")</f>
        <v/>
      </c>
      <c r="D238">
        <f>IF($Q238="","",INDEX(상세표[직위],$Q238)&amp;"")</f>
        <v/>
      </c>
      <c r="E238">
        <f>IF($Q238="","",IF(ISNUMBER(INDEX(상세표[근무일자],$Q238)),TEXT(INDEX(상세표[근무일자],$Q238),"yyyy-mm-dd"),INDEX(상세표[근무일자],$Q238)&amp;""))</f>
        <v/>
      </c>
      <c r="F238">
        <f>IF($Q238="","",IF(ISNUMBER(INDEX(상세표[시작],$Q238)),TEXT(INDEX(상세표[시작],$Q238),"yyyy-mm-dd hh:mm"),INDEX(상세표[시작],$Q238)&amp;""))</f>
        <v/>
      </c>
      <c r="G238">
        <f>IF($Q238="","",IF(ISNUMBER(INDEX(상세표[블록종료],$Q238)),TEXT(INDEX(상세표[블록종료],$Q238),"yyyy-mm-dd hh:mm"),INDEX(상세표[블록종료],$Q238)&amp;""))</f>
        <v/>
      </c>
      <c r="H238">
        <f>IF($Q238="","",CHOOSE(WEEKDAY(INDEX(상세표[시작],$Q238)),"일","월","화","수","목","금","토"))</f>
        <v/>
      </c>
      <c r="I238" s="20">
        <f>IF($Q238="","",INDEX(상세표[연속 시간],$Q238))</f>
        <v/>
      </c>
      <c r="J238">
        <f>IF($Q238="","",INDEX(상세표[기록 수],$Q238))</f>
        <v/>
      </c>
      <c r="K238" s="20">
        <f>IF($Q238="","",INDEX(상세표[블록 06~07시],$Q238))</f>
        <v/>
      </c>
      <c r="L238" s="20">
        <f>IF($Q238="","",INDEX(상세표[블록 07~18시],$Q238))</f>
        <v/>
      </c>
      <c r="M238" s="20">
        <f>IF($Q238="","",INDEX(상세표[블록 18~22시],$Q238))</f>
        <v/>
      </c>
      <c r="N238" s="20">
        <f>IF($Q238="","",INDEX(상세표[블록 22~06시],$Q238))</f>
        <v/>
      </c>
      <c r="O238">
        <f>IF($Q238="","",INDEX(상세표[주말·휴일 포함],$Q238)&amp;"")</f>
        <v/>
      </c>
      <c r="P238">
        <f>IF($Q238="","",INDEX(상세표[월 넘김 포함],$Q238)&amp;"")</f>
        <v/>
      </c>
      <c r="Q238" s="4">
        <f>IFERROR(MATCH(233,상세표[연속순번],0),"")</f>
        <v/>
      </c>
    </row>
    <row r="239">
      <c r="A239">
        <f>IF($Q239="","",INDEX(상세표[부서],$Q239)&amp;"")</f>
        <v/>
      </c>
      <c r="B239">
        <f>IF($Q239="","",INDEX(상세표[사번],$Q239)&amp;"")</f>
        <v/>
      </c>
      <c r="C239">
        <f>IF($Q239="","",INDEX(상세표[성명],$Q239)&amp;"")</f>
        <v/>
      </c>
      <c r="D239">
        <f>IF($Q239="","",INDEX(상세표[직위],$Q239)&amp;"")</f>
        <v/>
      </c>
      <c r="E239">
        <f>IF($Q239="","",IF(ISNUMBER(INDEX(상세표[근무일자],$Q239)),TEXT(INDEX(상세표[근무일자],$Q239),"yyyy-mm-dd"),INDEX(상세표[근무일자],$Q239)&amp;""))</f>
        <v/>
      </c>
      <c r="F239">
        <f>IF($Q239="","",IF(ISNUMBER(INDEX(상세표[시작],$Q239)),TEXT(INDEX(상세표[시작],$Q239),"yyyy-mm-dd hh:mm"),INDEX(상세표[시작],$Q239)&amp;""))</f>
        <v/>
      </c>
      <c r="G239">
        <f>IF($Q239="","",IF(ISNUMBER(INDEX(상세표[블록종료],$Q239)),TEXT(INDEX(상세표[블록종료],$Q239),"yyyy-mm-dd hh:mm"),INDEX(상세표[블록종료],$Q239)&amp;""))</f>
        <v/>
      </c>
      <c r="H239">
        <f>IF($Q239="","",CHOOSE(WEEKDAY(INDEX(상세표[시작],$Q239)),"일","월","화","수","목","금","토"))</f>
        <v/>
      </c>
      <c r="I239" s="20">
        <f>IF($Q239="","",INDEX(상세표[연속 시간],$Q239))</f>
        <v/>
      </c>
      <c r="J239">
        <f>IF($Q239="","",INDEX(상세표[기록 수],$Q239))</f>
        <v/>
      </c>
      <c r="K239" s="20">
        <f>IF($Q239="","",INDEX(상세표[블록 06~07시],$Q239))</f>
        <v/>
      </c>
      <c r="L239" s="20">
        <f>IF($Q239="","",INDEX(상세표[블록 07~18시],$Q239))</f>
        <v/>
      </c>
      <c r="M239" s="20">
        <f>IF($Q239="","",INDEX(상세표[블록 18~22시],$Q239))</f>
        <v/>
      </c>
      <c r="N239" s="20">
        <f>IF($Q239="","",INDEX(상세표[블록 22~06시],$Q239))</f>
        <v/>
      </c>
      <c r="O239">
        <f>IF($Q239="","",INDEX(상세표[주말·휴일 포함],$Q239)&amp;"")</f>
        <v/>
      </c>
      <c r="P239">
        <f>IF($Q239="","",INDEX(상세표[월 넘김 포함],$Q239)&amp;"")</f>
        <v/>
      </c>
      <c r="Q239" s="4">
        <f>IFERROR(MATCH(234,상세표[연속순번],0),"")</f>
        <v/>
      </c>
    </row>
    <row r="240">
      <c r="A240">
        <f>IF($Q240="","",INDEX(상세표[부서],$Q240)&amp;"")</f>
        <v/>
      </c>
      <c r="B240">
        <f>IF($Q240="","",INDEX(상세표[사번],$Q240)&amp;"")</f>
        <v/>
      </c>
      <c r="C240">
        <f>IF($Q240="","",INDEX(상세표[성명],$Q240)&amp;"")</f>
        <v/>
      </c>
      <c r="D240">
        <f>IF($Q240="","",INDEX(상세표[직위],$Q240)&amp;"")</f>
        <v/>
      </c>
      <c r="E240">
        <f>IF($Q240="","",IF(ISNUMBER(INDEX(상세표[근무일자],$Q240)),TEXT(INDEX(상세표[근무일자],$Q240),"yyyy-mm-dd"),INDEX(상세표[근무일자],$Q240)&amp;""))</f>
        <v/>
      </c>
      <c r="F240">
        <f>IF($Q240="","",IF(ISNUMBER(INDEX(상세표[시작],$Q240)),TEXT(INDEX(상세표[시작],$Q240),"yyyy-mm-dd hh:mm"),INDEX(상세표[시작],$Q240)&amp;""))</f>
        <v/>
      </c>
      <c r="G240">
        <f>IF($Q240="","",IF(ISNUMBER(INDEX(상세표[블록종료],$Q240)),TEXT(INDEX(상세표[블록종료],$Q240),"yyyy-mm-dd hh:mm"),INDEX(상세표[블록종료],$Q240)&amp;""))</f>
        <v/>
      </c>
      <c r="H240">
        <f>IF($Q240="","",CHOOSE(WEEKDAY(INDEX(상세표[시작],$Q240)),"일","월","화","수","목","금","토"))</f>
        <v/>
      </c>
      <c r="I240" s="20">
        <f>IF($Q240="","",INDEX(상세표[연속 시간],$Q240))</f>
        <v/>
      </c>
      <c r="J240">
        <f>IF($Q240="","",INDEX(상세표[기록 수],$Q240))</f>
        <v/>
      </c>
      <c r="K240" s="20">
        <f>IF($Q240="","",INDEX(상세표[블록 06~07시],$Q240))</f>
        <v/>
      </c>
      <c r="L240" s="20">
        <f>IF($Q240="","",INDEX(상세표[블록 07~18시],$Q240))</f>
        <v/>
      </c>
      <c r="M240" s="20">
        <f>IF($Q240="","",INDEX(상세표[블록 18~22시],$Q240))</f>
        <v/>
      </c>
      <c r="N240" s="20">
        <f>IF($Q240="","",INDEX(상세표[블록 22~06시],$Q240))</f>
        <v/>
      </c>
      <c r="O240">
        <f>IF($Q240="","",INDEX(상세표[주말·휴일 포함],$Q240)&amp;"")</f>
        <v/>
      </c>
      <c r="P240">
        <f>IF($Q240="","",INDEX(상세표[월 넘김 포함],$Q240)&amp;"")</f>
        <v/>
      </c>
      <c r="Q240" s="4">
        <f>IFERROR(MATCH(235,상세표[연속순번],0),"")</f>
        <v/>
      </c>
    </row>
    <row r="241">
      <c r="A241">
        <f>IF($Q241="","",INDEX(상세표[부서],$Q241)&amp;"")</f>
        <v/>
      </c>
      <c r="B241">
        <f>IF($Q241="","",INDEX(상세표[사번],$Q241)&amp;"")</f>
        <v/>
      </c>
      <c r="C241">
        <f>IF($Q241="","",INDEX(상세표[성명],$Q241)&amp;"")</f>
        <v/>
      </c>
      <c r="D241">
        <f>IF($Q241="","",INDEX(상세표[직위],$Q241)&amp;"")</f>
        <v/>
      </c>
      <c r="E241">
        <f>IF($Q241="","",IF(ISNUMBER(INDEX(상세표[근무일자],$Q241)),TEXT(INDEX(상세표[근무일자],$Q241),"yyyy-mm-dd"),INDEX(상세표[근무일자],$Q241)&amp;""))</f>
        <v/>
      </c>
      <c r="F241">
        <f>IF($Q241="","",IF(ISNUMBER(INDEX(상세표[시작],$Q241)),TEXT(INDEX(상세표[시작],$Q241),"yyyy-mm-dd hh:mm"),INDEX(상세표[시작],$Q241)&amp;""))</f>
        <v/>
      </c>
      <c r="G241">
        <f>IF($Q241="","",IF(ISNUMBER(INDEX(상세표[블록종료],$Q241)),TEXT(INDEX(상세표[블록종료],$Q241),"yyyy-mm-dd hh:mm"),INDEX(상세표[블록종료],$Q241)&amp;""))</f>
        <v/>
      </c>
      <c r="H241">
        <f>IF($Q241="","",CHOOSE(WEEKDAY(INDEX(상세표[시작],$Q241)),"일","월","화","수","목","금","토"))</f>
        <v/>
      </c>
      <c r="I241" s="20">
        <f>IF($Q241="","",INDEX(상세표[연속 시간],$Q241))</f>
        <v/>
      </c>
      <c r="J241">
        <f>IF($Q241="","",INDEX(상세표[기록 수],$Q241))</f>
        <v/>
      </c>
      <c r="K241" s="20">
        <f>IF($Q241="","",INDEX(상세표[블록 06~07시],$Q241))</f>
        <v/>
      </c>
      <c r="L241" s="20">
        <f>IF($Q241="","",INDEX(상세표[블록 07~18시],$Q241))</f>
        <v/>
      </c>
      <c r="M241" s="20">
        <f>IF($Q241="","",INDEX(상세표[블록 18~22시],$Q241))</f>
        <v/>
      </c>
      <c r="N241" s="20">
        <f>IF($Q241="","",INDEX(상세표[블록 22~06시],$Q241))</f>
        <v/>
      </c>
      <c r="O241">
        <f>IF($Q241="","",INDEX(상세표[주말·휴일 포함],$Q241)&amp;"")</f>
        <v/>
      </c>
      <c r="P241">
        <f>IF($Q241="","",INDEX(상세표[월 넘김 포함],$Q241)&amp;"")</f>
        <v/>
      </c>
      <c r="Q241" s="4">
        <f>IFERROR(MATCH(236,상세표[연속순번],0),"")</f>
        <v/>
      </c>
    </row>
    <row r="242">
      <c r="A242">
        <f>IF($Q242="","",INDEX(상세표[부서],$Q242)&amp;"")</f>
        <v/>
      </c>
      <c r="B242">
        <f>IF($Q242="","",INDEX(상세표[사번],$Q242)&amp;"")</f>
        <v/>
      </c>
      <c r="C242">
        <f>IF($Q242="","",INDEX(상세표[성명],$Q242)&amp;"")</f>
        <v/>
      </c>
      <c r="D242">
        <f>IF($Q242="","",INDEX(상세표[직위],$Q242)&amp;"")</f>
        <v/>
      </c>
      <c r="E242">
        <f>IF($Q242="","",IF(ISNUMBER(INDEX(상세표[근무일자],$Q242)),TEXT(INDEX(상세표[근무일자],$Q242),"yyyy-mm-dd"),INDEX(상세표[근무일자],$Q242)&amp;""))</f>
        <v/>
      </c>
      <c r="F242">
        <f>IF($Q242="","",IF(ISNUMBER(INDEX(상세표[시작],$Q242)),TEXT(INDEX(상세표[시작],$Q242),"yyyy-mm-dd hh:mm"),INDEX(상세표[시작],$Q242)&amp;""))</f>
        <v/>
      </c>
      <c r="G242">
        <f>IF($Q242="","",IF(ISNUMBER(INDEX(상세표[블록종료],$Q242)),TEXT(INDEX(상세표[블록종료],$Q242),"yyyy-mm-dd hh:mm"),INDEX(상세표[블록종료],$Q242)&amp;""))</f>
        <v/>
      </c>
      <c r="H242">
        <f>IF($Q242="","",CHOOSE(WEEKDAY(INDEX(상세표[시작],$Q242)),"일","월","화","수","목","금","토"))</f>
        <v/>
      </c>
      <c r="I242" s="20">
        <f>IF($Q242="","",INDEX(상세표[연속 시간],$Q242))</f>
        <v/>
      </c>
      <c r="J242">
        <f>IF($Q242="","",INDEX(상세표[기록 수],$Q242))</f>
        <v/>
      </c>
      <c r="K242" s="20">
        <f>IF($Q242="","",INDEX(상세표[블록 06~07시],$Q242))</f>
        <v/>
      </c>
      <c r="L242" s="20">
        <f>IF($Q242="","",INDEX(상세표[블록 07~18시],$Q242))</f>
        <v/>
      </c>
      <c r="M242" s="20">
        <f>IF($Q242="","",INDEX(상세표[블록 18~22시],$Q242))</f>
        <v/>
      </c>
      <c r="N242" s="20">
        <f>IF($Q242="","",INDEX(상세표[블록 22~06시],$Q242))</f>
        <v/>
      </c>
      <c r="O242">
        <f>IF($Q242="","",INDEX(상세표[주말·휴일 포함],$Q242)&amp;"")</f>
        <v/>
      </c>
      <c r="P242">
        <f>IF($Q242="","",INDEX(상세표[월 넘김 포함],$Q242)&amp;"")</f>
        <v/>
      </c>
      <c r="Q242" s="4">
        <f>IFERROR(MATCH(237,상세표[연속순번],0),"")</f>
        <v/>
      </c>
    </row>
    <row r="243">
      <c r="A243">
        <f>IF($Q243="","",INDEX(상세표[부서],$Q243)&amp;"")</f>
        <v/>
      </c>
      <c r="B243">
        <f>IF($Q243="","",INDEX(상세표[사번],$Q243)&amp;"")</f>
        <v/>
      </c>
      <c r="C243">
        <f>IF($Q243="","",INDEX(상세표[성명],$Q243)&amp;"")</f>
        <v/>
      </c>
      <c r="D243">
        <f>IF($Q243="","",INDEX(상세표[직위],$Q243)&amp;"")</f>
        <v/>
      </c>
      <c r="E243">
        <f>IF($Q243="","",IF(ISNUMBER(INDEX(상세표[근무일자],$Q243)),TEXT(INDEX(상세표[근무일자],$Q243),"yyyy-mm-dd"),INDEX(상세표[근무일자],$Q243)&amp;""))</f>
        <v/>
      </c>
      <c r="F243">
        <f>IF($Q243="","",IF(ISNUMBER(INDEX(상세표[시작],$Q243)),TEXT(INDEX(상세표[시작],$Q243),"yyyy-mm-dd hh:mm"),INDEX(상세표[시작],$Q243)&amp;""))</f>
        <v/>
      </c>
      <c r="G243">
        <f>IF($Q243="","",IF(ISNUMBER(INDEX(상세표[블록종료],$Q243)),TEXT(INDEX(상세표[블록종료],$Q243),"yyyy-mm-dd hh:mm"),INDEX(상세표[블록종료],$Q243)&amp;""))</f>
        <v/>
      </c>
      <c r="H243">
        <f>IF($Q243="","",CHOOSE(WEEKDAY(INDEX(상세표[시작],$Q243)),"일","월","화","수","목","금","토"))</f>
        <v/>
      </c>
      <c r="I243" s="20">
        <f>IF($Q243="","",INDEX(상세표[연속 시간],$Q243))</f>
        <v/>
      </c>
      <c r="J243">
        <f>IF($Q243="","",INDEX(상세표[기록 수],$Q243))</f>
        <v/>
      </c>
      <c r="K243" s="20">
        <f>IF($Q243="","",INDEX(상세표[블록 06~07시],$Q243))</f>
        <v/>
      </c>
      <c r="L243" s="20">
        <f>IF($Q243="","",INDEX(상세표[블록 07~18시],$Q243))</f>
        <v/>
      </c>
      <c r="M243" s="20">
        <f>IF($Q243="","",INDEX(상세표[블록 18~22시],$Q243))</f>
        <v/>
      </c>
      <c r="N243" s="20">
        <f>IF($Q243="","",INDEX(상세표[블록 22~06시],$Q243))</f>
        <v/>
      </c>
      <c r="O243">
        <f>IF($Q243="","",INDEX(상세표[주말·휴일 포함],$Q243)&amp;"")</f>
        <v/>
      </c>
      <c r="P243">
        <f>IF($Q243="","",INDEX(상세표[월 넘김 포함],$Q243)&amp;"")</f>
        <v/>
      </c>
      <c r="Q243" s="4">
        <f>IFERROR(MATCH(238,상세표[연속순번],0),"")</f>
        <v/>
      </c>
    </row>
    <row r="244">
      <c r="A244">
        <f>IF($Q244="","",INDEX(상세표[부서],$Q244)&amp;"")</f>
        <v/>
      </c>
      <c r="B244">
        <f>IF($Q244="","",INDEX(상세표[사번],$Q244)&amp;"")</f>
        <v/>
      </c>
      <c r="C244">
        <f>IF($Q244="","",INDEX(상세표[성명],$Q244)&amp;"")</f>
        <v/>
      </c>
      <c r="D244">
        <f>IF($Q244="","",INDEX(상세표[직위],$Q244)&amp;"")</f>
        <v/>
      </c>
      <c r="E244">
        <f>IF($Q244="","",IF(ISNUMBER(INDEX(상세표[근무일자],$Q244)),TEXT(INDEX(상세표[근무일자],$Q244),"yyyy-mm-dd"),INDEX(상세표[근무일자],$Q244)&amp;""))</f>
        <v/>
      </c>
      <c r="F244">
        <f>IF($Q244="","",IF(ISNUMBER(INDEX(상세표[시작],$Q244)),TEXT(INDEX(상세표[시작],$Q244),"yyyy-mm-dd hh:mm"),INDEX(상세표[시작],$Q244)&amp;""))</f>
        <v/>
      </c>
      <c r="G244">
        <f>IF($Q244="","",IF(ISNUMBER(INDEX(상세표[블록종료],$Q244)),TEXT(INDEX(상세표[블록종료],$Q244),"yyyy-mm-dd hh:mm"),INDEX(상세표[블록종료],$Q244)&amp;""))</f>
        <v/>
      </c>
      <c r="H244">
        <f>IF($Q244="","",CHOOSE(WEEKDAY(INDEX(상세표[시작],$Q244)),"일","월","화","수","목","금","토"))</f>
        <v/>
      </c>
      <c r="I244" s="20">
        <f>IF($Q244="","",INDEX(상세표[연속 시간],$Q244))</f>
        <v/>
      </c>
      <c r="J244">
        <f>IF($Q244="","",INDEX(상세표[기록 수],$Q244))</f>
        <v/>
      </c>
      <c r="K244" s="20">
        <f>IF($Q244="","",INDEX(상세표[블록 06~07시],$Q244))</f>
        <v/>
      </c>
      <c r="L244" s="20">
        <f>IF($Q244="","",INDEX(상세표[블록 07~18시],$Q244))</f>
        <v/>
      </c>
      <c r="M244" s="20">
        <f>IF($Q244="","",INDEX(상세표[블록 18~22시],$Q244))</f>
        <v/>
      </c>
      <c r="N244" s="20">
        <f>IF($Q244="","",INDEX(상세표[블록 22~06시],$Q244))</f>
        <v/>
      </c>
      <c r="O244">
        <f>IF($Q244="","",INDEX(상세표[주말·휴일 포함],$Q244)&amp;"")</f>
        <v/>
      </c>
      <c r="P244">
        <f>IF($Q244="","",INDEX(상세표[월 넘김 포함],$Q244)&amp;"")</f>
        <v/>
      </c>
      <c r="Q244" s="4">
        <f>IFERROR(MATCH(239,상세표[연속순번],0),"")</f>
        <v/>
      </c>
    </row>
    <row r="245">
      <c r="A245">
        <f>IF($Q245="","",INDEX(상세표[부서],$Q245)&amp;"")</f>
        <v/>
      </c>
      <c r="B245">
        <f>IF($Q245="","",INDEX(상세표[사번],$Q245)&amp;"")</f>
        <v/>
      </c>
      <c r="C245">
        <f>IF($Q245="","",INDEX(상세표[성명],$Q245)&amp;"")</f>
        <v/>
      </c>
      <c r="D245">
        <f>IF($Q245="","",INDEX(상세표[직위],$Q245)&amp;"")</f>
        <v/>
      </c>
      <c r="E245">
        <f>IF($Q245="","",IF(ISNUMBER(INDEX(상세표[근무일자],$Q245)),TEXT(INDEX(상세표[근무일자],$Q245),"yyyy-mm-dd"),INDEX(상세표[근무일자],$Q245)&amp;""))</f>
        <v/>
      </c>
      <c r="F245">
        <f>IF($Q245="","",IF(ISNUMBER(INDEX(상세표[시작],$Q245)),TEXT(INDEX(상세표[시작],$Q245),"yyyy-mm-dd hh:mm"),INDEX(상세표[시작],$Q245)&amp;""))</f>
        <v/>
      </c>
      <c r="G245">
        <f>IF($Q245="","",IF(ISNUMBER(INDEX(상세표[블록종료],$Q245)),TEXT(INDEX(상세표[블록종료],$Q245),"yyyy-mm-dd hh:mm"),INDEX(상세표[블록종료],$Q245)&amp;""))</f>
        <v/>
      </c>
      <c r="H245">
        <f>IF($Q245="","",CHOOSE(WEEKDAY(INDEX(상세표[시작],$Q245)),"일","월","화","수","목","금","토"))</f>
        <v/>
      </c>
      <c r="I245" s="20">
        <f>IF($Q245="","",INDEX(상세표[연속 시간],$Q245))</f>
        <v/>
      </c>
      <c r="J245">
        <f>IF($Q245="","",INDEX(상세표[기록 수],$Q245))</f>
        <v/>
      </c>
      <c r="K245" s="20">
        <f>IF($Q245="","",INDEX(상세표[블록 06~07시],$Q245))</f>
        <v/>
      </c>
      <c r="L245" s="20">
        <f>IF($Q245="","",INDEX(상세표[블록 07~18시],$Q245))</f>
        <v/>
      </c>
      <c r="M245" s="20">
        <f>IF($Q245="","",INDEX(상세표[블록 18~22시],$Q245))</f>
        <v/>
      </c>
      <c r="N245" s="20">
        <f>IF($Q245="","",INDEX(상세표[블록 22~06시],$Q245))</f>
        <v/>
      </c>
      <c r="O245">
        <f>IF($Q245="","",INDEX(상세표[주말·휴일 포함],$Q245)&amp;"")</f>
        <v/>
      </c>
      <c r="P245">
        <f>IF($Q245="","",INDEX(상세표[월 넘김 포함],$Q245)&amp;"")</f>
        <v/>
      </c>
      <c r="Q245" s="4">
        <f>IFERROR(MATCH(240,상세표[연속순번],0),"")</f>
        <v/>
      </c>
    </row>
    <row r="246">
      <c r="A246">
        <f>IF($Q246="","",INDEX(상세표[부서],$Q246)&amp;"")</f>
        <v/>
      </c>
      <c r="B246">
        <f>IF($Q246="","",INDEX(상세표[사번],$Q246)&amp;"")</f>
        <v/>
      </c>
      <c r="C246">
        <f>IF($Q246="","",INDEX(상세표[성명],$Q246)&amp;"")</f>
        <v/>
      </c>
      <c r="D246">
        <f>IF($Q246="","",INDEX(상세표[직위],$Q246)&amp;"")</f>
        <v/>
      </c>
      <c r="E246">
        <f>IF($Q246="","",IF(ISNUMBER(INDEX(상세표[근무일자],$Q246)),TEXT(INDEX(상세표[근무일자],$Q246),"yyyy-mm-dd"),INDEX(상세표[근무일자],$Q246)&amp;""))</f>
        <v/>
      </c>
      <c r="F246">
        <f>IF($Q246="","",IF(ISNUMBER(INDEX(상세표[시작],$Q246)),TEXT(INDEX(상세표[시작],$Q246),"yyyy-mm-dd hh:mm"),INDEX(상세표[시작],$Q246)&amp;""))</f>
        <v/>
      </c>
      <c r="G246">
        <f>IF($Q246="","",IF(ISNUMBER(INDEX(상세표[블록종료],$Q246)),TEXT(INDEX(상세표[블록종료],$Q246),"yyyy-mm-dd hh:mm"),INDEX(상세표[블록종료],$Q246)&amp;""))</f>
        <v/>
      </c>
      <c r="H246">
        <f>IF($Q246="","",CHOOSE(WEEKDAY(INDEX(상세표[시작],$Q246)),"일","월","화","수","목","금","토"))</f>
        <v/>
      </c>
      <c r="I246" s="20">
        <f>IF($Q246="","",INDEX(상세표[연속 시간],$Q246))</f>
        <v/>
      </c>
      <c r="J246">
        <f>IF($Q246="","",INDEX(상세표[기록 수],$Q246))</f>
        <v/>
      </c>
      <c r="K246" s="20">
        <f>IF($Q246="","",INDEX(상세표[블록 06~07시],$Q246))</f>
        <v/>
      </c>
      <c r="L246" s="20">
        <f>IF($Q246="","",INDEX(상세표[블록 07~18시],$Q246))</f>
        <v/>
      </c>
      <c r="M246" s="20">
        <f>IF($Q246="","",INDEX(상세표[블록 18~22시],$Q246))</f>
        <v/>
      </c>
      <c r="N246" s="20">
        <f>IF($Q246="","",INDEX(상세표[블록 22~06시],$Q246))</f>
        <v/>
      </c>
      <c r="O246">
        <f>IF($Q246="","",INDEX(상세표[주말·휴일 포함],$Q246)&amp;"")</f>
        <v/>
      </c>
      <c r="P246">
        <f>IF($Q246="","",INDEX(상세표[월 넘김 포함],$Q246)&amp;"")</f>
        <v/>
      </c>
      <c r="Q246" s="4">
        <f>IFERROR(MATCH(241,상세표[연속순번],0),"")</f>
        <v/>
      </c>
    </row>
    <row r="247">
      <c r="A247">
        <f>IF($Q247="","",INDEX(상세표[부서],$Q247)&amp;"")</f>
        <v/>
      </c>
      <c r="B247">
        <f>IF($Q247="","",INDEX(상세표[사번],$Q247)&amp;"")</f>
        <v/>
      </c>
      <c r="C247">
        <f>IF($Q247="","",INDEX(상세표[성명],$Q247)&amp;"")</f>
        <v/>
      </c>
      <c r="D247">
        <f>IF($Q247="","",INDEX(상세표[직위],$Q247)&amp;"")</f>
        <v/>
      </c>
      <c r="E247">
        <f>IF($Q247="","",IF(ISNUMBER(INDEX(상세표[근무일자],$Q247)),TEXT(INDEX(상세표[근무일자],$Q247),"yyyy-mm-dd"),INDEX(상세표[근무일자],$Q247)&amp;""))</f>
        <v/>
      </c>
      <c r="F247">
        <f>IF($Q247="","",IF(ISNUMBER(INDEX(상세표[시작],$Q247)),TEXT(INDEX(상세표[시작],$Q247),"yyyy-mm-dd hh:mm"),INDEX(상세표[시작],$Q247)&amp;""))</f>
        <v/>
      </c>
      <c r="G247">
        <f>IF($Q247="","",IF(ISNUMBER(INDEX(상세표[블록종료],$Q247)),TEXT(INDEX(상세표[블록종료],$Q247),"yyyy-mm-dd hh:mm"),INDEX(상세표[블록종료],$Q247)&amp;""))</f>
        <v/>
      </c>
      <c r="H247">
        <f>IF($Q247="","",CHOOSE(WEEKDAY(INDEX(상세표[시작],$Q247)),"일","월","화","수","목","금","토"))</f>
        <v/>
      </c>
      <c r="I247" s="20">
        <f>IF($Q247="","",INDEX(상세표[연속 시간],$Q247))</f>
        <v/>
      </c>
      <c r="J247">
        <f>IF($Q247="","",INDEX(상세표[기록 수],$Q247))</f>
        <v/>
      </c>
      <c r="K247" s="20">
        <f>IF($Q247="","",INDEX(상세표[블록 06~07시],$Q247))</f>
        <v/>
      </c>
      <c r="L247" s="20">
        <f>IF($Q247="","",INDEX(상세표[블록 07~18시],$Q247))</f>
        <v/>
      </c>
      <c r="M247" s="20">
        <f>IF($Q247="","",INDEX(상세표[블록 18~22시],$Q247))</f>
        <v/>
      </c>
      <c r="N247" s="20">
        <f>IF($Q247="","",INDEX(상세표[블록 22~06시],$Q247))</f>
        <v/>
      </c>
      <c r="O247">
        <f>IF($Q247="","",INDEX(상세표[주말·휴일 포함],$Q247)&amp;"")</f>
        <v/>
      </c>
      <c r="P247">
        <f>IF($Q247="","",INDEX(상세표[월 넘김 포함],$Q247)&amp;"")</f>
        <v/>
      </c>
      <c r="Q247" s="4">
        <f>IFERROR(MATCH(242,상세표[연속순번],0),"")</f>
        <v/>
      </c>
    </row>
    <row r="248">
      <c r="A248">
        <f>IF($Q248="","",INDEX(상세표[부서],$Q248)&amp;"")</f>
        <v/>
      </c>
      <c r="B248">
        <f>IF($Q248="","",INDEX(상세표[사번],$Q248)&amp;"")</f>
        <v/>
      </c>
      <c r="C248">
        <f>IF($Q248="","",INDEX(상세표[성명],$Q248)&amp;"")</f>
        <v/>
      </c>
      <c r="D248">
        <f>IF($Q248="","",INDEX(상세표[직위],$Q248)&amp;"")</f>
        <v/>
      </c>
      <c r="E248">
        <f>IF($Q248="","",IF(ISNUMBER(INDEX(상세표[근무일자],$Q248)),TEXT(INDEX(상세표[근무일자],$Q248),"yyyy-mm-dd"),INDEX(상세표[근무일자],$Q248)&amp;""))</f>
        <v/>
      </c>
      <c r="F248">
        <f>IF($Q248="","",IF(ISNUMBER(INDEX(상세표[시작],$Q248)),TEXT(INDEX(상세표[시작],$Q248),"yyyy-mm-dd hh:mm"),INDEX(상세표[시작],$Q248)&amp;""))</f>
        <v/>
      </c>
      <c r="G248">
        <f>IF($Q248="","",IF(ISNUMBER(INDEX(상세표[블록종료],$Q248)),TEXT(INDEX(상세표[블록종료],$Q248),"yyyy-mm-dd hh:mm"),INDEX(상세표[블록종료],$Q248)&amp;""))</f>
        <v/>
      </c>
      <c r="H248">
        <f>IF($Q248="","",CHOOSE(WEEKDAY(INDEX(상세표[시작],$Q248)),"일","월","화","수","목","금","토"))</f>
        <v/>
      </c>
      <c r="I248" s="20">
        <f>IF($Q248="","",INDEX(상세표[연속 시간],$Q248))</f>
        <v/>
      </c>
      <c r="J248">
        <f>IF($Q248="","",INDEX(상세표[기록 수],$Q248))</f>
        <v/>
      </c>
      <c r="K248" s="20">
        <f>IF($Q248="","",INDEX(상세표[블록 06~07시],$Q248))</f>
        <v/>
      </c>
      <c r="L248" s="20">
        <f>IF($Q248="","",INDEX(상세표[블록 07~18시],$Q248))</f>
        <v/>
      </c>
      <c r="M248" s="20">
        <f>IF($Q248="","",INDEX(상세표[블록 18~22시],$Q248))</f>
        <v/>
      </c>
      <c r="N248" s="20">
        <f>IF($Q248="","",INDEX(상세표[블록 22~06시],$Q248))</f>
        <v/>
      </c>
      <c r="O248">
        <f>IF($Q248="","",INDEX(상세표[주말·휴일 포함],$Q248)&amp;"")</f>
        <v/>
      </c>
      <c r="P248">
        <f>IF($Q248="","",INDEX(상세표[월 넘김 포함],$Q248)&amp;"")</f>
        <v/>
      </c>
      <c r="Q248" s="4">
        <f>IFERROR(MATCH(243,상세표[연속순번],0),"")</f>
        <v/>
      </c>
    </row>
    <row r="249">
      <c r="A249">
        <f>IF($Q249="","",INDEX(상세표[부서],$Q249)&amp;"")</f>
        <v/>
      </c>
      <c r="B249">
        <f>IF($Q249="","",INDEX(상세표[사번],$Q249)&amp;"")</f>
        <v/>
      </c>
      <c r="C249">
        <f>IF($Q249="","",INDEX(상세표[성명],$Q249)&amp;"")</f>
        <v/>
      </c>
      <c r="D249">
        <f>IF($Q249="","",INDEX(상세표[직위],$Q249)&amp;"")</f>
        <v/>
      </c>
      <c r="E249">
        <f>IF($Q249="","",IF(ISNUMBER(INDEX(상세표[근무일자],$Q249)),TEXT(INDEX(상세표[근무일자],$Q249),"yyyy-mm-dd"),INDEX(상세표[근무일자],$Q249)&amp;""))</f>
        <v/>
      </c>
      <c r="F249">
        <f>IF($Q249="","",IF(ISNUMBER(INDEX(상세표[시작],$Q249)),TEXT(INDEX(상세표[시작],$Q249),"yyyy-mm-dd hh:mm"),INDEX(상세표[시작],$Q249)&amp;""))</f>
        <v/>
      </c>
      <c r="G249">
        <f>IF($Q249="","",IF(ISNUMBER(INDEX(상세표[블록종료],$Q249)),TEXT(INDEX(상세표[블록종료],$Q249),"yyyy-mm-dd hh:mm"),INDEX(상세표[블록종료],$Q249)&amp;""))</f>
        <v/>
      </c>
      <c r="H249">
        <f>IF($Q249="","",CHOOSE(WEEKDAY(INDEX(상세표[시작],$Q249)),"일","월","화","수","목","금","토"))</f>
        <v/>
      </c>
      <c r="I249" s="20">
        <f>IF($Q249="","",INDEX(상세표[연속 시간],$Q249))</f>
        <v/>
      </c>
      <c r="J249">
        <f>IF($Q249="","",INDEX(상세표[기록 수],$Q249))</f>
        <v/>
      </c>
      <c r="K249" s="20">
        <f>IF($Q249="","",INDEX(상세표[블록 06~07시],$Q249))</f>
        <v/>
      </c>
      <c r="L249" s="20">
        <f>IF($Q249="","",INDEX(상세표[블록 07~18시],$Q249))</f>
        <v/>
      </c>
      <c r="M249" s="20">
        <f>IF($Q249="","",INDEX(상세표[블록 18~22시],$Q249))</f>
        <v/>
      </c>
      <c r="N249" s="20">
        <f>IF($Q249="","",INDEX(상세표[블록 22~06시],$Q249))</f>
        <v/>
      </c>
      <c r="O249">
        <f>IF($Q249="","",INDEX(상세표[주말·휴일 포함],$Q249)&amp;"")</f>
        <v/>
      </c>
      <c r="P249">
        <f>IF($Q249="","",INDEX(상세표[월 넘김 포함],$Q249)&amp;"")</f>
        <v/>
      </c>
      <c r="Q249" s="4">
        <f>IFERROR(MATCH(244,상세표[연속순번],0),"")</f>
        <v/>
      </c>
    </row>
    <row r="250">
      <c r="A250">
        <f>IF($Q250="","",INDEX(상세표[부서],$Q250)&amp;"")</f>
        <v/>
      </c>
      <c r="B250">
        <f>IF($Q250="","",INDEX(상세표[사번],$Q250)&amp;"")</f>
        <v/>
      </c>
      <c r="C250">
        <f>IF($Q250="","",INDEX(상세표[성명],$Q250)&amp;"")</f>
        <v/>
      </c>
      <c r="D250">
        <f>IF($Q250="","",INDEX(상세표[직위],$Q250)&amp;"")</f>
        <v/>
      </c>
      <c r="E250">
        <f>IF($Q250="","",IF(ISNUMBER(INDEX(상세표[근무일자],$Q250)),TEXT(INDEX(상세표[근무일자],$Q250),"yyyy-mm-dd"),INDEX(상세표[근무일자],$Q250)&amp;""))</f>
        <v/>
      </c>
      <c r="F250">
        <f>IF($Q250="","",IF(ISNUMBER(INDEX(상세표[시작],$Q250)),TEXT(INDEX(상세표[시작],$Q250),"yyyy-mm-dd hh:mm"),INDEX(상세표[시작],$Q250)&amp;""))</f>
        <v/>
      </c>
      <c r="G250">
        <f>IF($Q250="","",IF(ISNUMBER(INDEX(상세표[블록종료],$Q250)),TEXT(INDEX(상세표[블록종료],$Q250),"yyyy-mm-dd hh:mm"),INDEX(상세표[블록종료],$Q250)&amp;""))</f>
        <v/>
      </c>
      <c r="H250">
        <f>IF($Q250="","",CHOOSE(WEEKDAY(INDEX(상세표[시작],$Q250)),"일","월","화","수","목","금","토"))</f>
        <v/>
      </c>
      <c r="I250" s="20">
        <f>IF($Q250="","",INDEX(상세표[연속 시간],$Q250))</f>
        <v/>
      </c>
      <c r="J250">
        <f>IF($Q250="","",INDEX(상세표[기록 수],$Q250))</f>
        <v/>
      </c>
      <c r="K250" s="20">
        <f>IF($Q250="","",INDEX(상세표[블록 06~07시],$Q250))</f>
        <v/>
      </c>
      <c r="L250" s="20">
        <f>IF($Q250="","",INDEX(상세표[블록 07~18시],$Q250))</f>
        <v/>
      </c>
      <c r="M250" s="20">
        <f>IF($Q250="","",INDEX(상세표[블록 18~22시],$Q250))</f>
        <v/>
      </c>
      <c r="N250" s="20">
        <f>IF($Q250="","",INDEX(상세표[블록 22~06시],$Q250))</f>
        <v/>
      </c>
      <c r="O250">
        <f>IF($Q250="","",INDEX(상세표[주말·휴일 포함],$Q250)&amp;"")</f>
        <v/>
      </c>
      <c r="P250">
        <f>IF($Q250="","",INDEX(상세표[월 넘김 포함],$Q250)&amp;"")</f>
        <v/>
      </c>
      <c r="Q250" s="4">
        <f>IFERROR(MATCH(245,상세표[연속순번],0),"")</f>
        <v/>
      </c>
    </row>
    <row r="251">
      <c r="A251">
        <f>IF($Q251="","",INDEX(상세표[부서],$Q251)&amp;"")</f>
        <v/>
      </c>
      <c r="B251">
        <f>IF($Q251="","",INDEX(상세표[사번],$Q251)&amp;"")</f>
        <v/>
      </c>
      <c r="C251">
        <f>IF($Q251="","",INDEX(상세표[성명],$Q251)&amp;"")</f>
        <v/>
      </c>
      <c r="D251">
        <f>IF($Q251="","",INDEX(상세표[직위],$Q251)&amp;"")</f>
        <v/>
      </c>
      <c r="E251">
        <f>IF($Q251="","",IF(ISNUMBER(INDEX(상세표[근무일자],$Q251)),TEXT(INDEX(상세표[근무일자],$Q251),"yyyy-mm-dd"),INDEX(상세표[근무일자],$Q251)&amp;""))</f>
        <v/>
      </c>
      <c r="F251">
        <f>IF($Q251="","",IF(ISNUMBER(INDEX(상세표[시작],$Q251)),TEXT(INDEX(상세표[시작],$Q251),"yyyy-mm-dd hh:mm"),INDEX(상세표[시작],$Q251)&amp;""))</f>
        <v/>
      </c>
      <c r="G251">
        <f>IF($Q251="","",IF(ISNUMBER(INDEX(상세표[블록종료],$Q251)),TEXT(INDEX(상세표[블록종료],$Q251),"yyyy-mm-dd hh:mm"),INDEX(상세표[블록종료],$Q251)&amp;""))</f>
        <v/>
      </c>
      <c r="H251">
        <f>IF($Q251="","",CHOOSE(WEEKDAY(INDEX(상세표[시작],$Q251)),"일","월","화","수","목","금","토"))</f>
        <v/>
      </c>
      <c r="I251" s="20">
        <f>IF($Q251="","",INDEX(상세표[연속 시간],$Q251))</f>
        <v/>
      </c>
      <c r="J251">
        <f>IF($Q251="","",INDEX(상세표[기록 수],$Q251))</f>
        <v/>
      </c>
      <c r="K251" s="20">
        <f>IF($Q251="","",INDEX(상세표[블록 06~07시],$Q251))</f>
        <v/>
      </c>
      <c r="L251" s="20">
        <f>IF($Q251="","",INDEX(상세표[블록 07~18시],$Q251))</f>
        <v/>
      </c>
      <c r="M251" s="20">
        <f>IF($Q251="","",INDEX(상세표[블록 18~22시],$Q251))</f>
        <v/>
      </c>
      <c r="N251" s="20">
        <f>IF($Q251="","",INDEX(상세표[블록 22~06시],$Q251))</f>
        <v/>
      </c>
      <c r="O251">
        <f>IF($Q251="","",INDEX(상세표[주말·휴일 포함],$Q251)&amp;"")</f>
        <v/>
      </c>
      <c r="P251">
        <f>IF($Q251="","",INDEX(상세표[월 넘김 포함],$Q251)&amp;"")</f>
        <v/>
      </c>
      <c r="Q251" s="4">
        <f>IFERROR(MATCH(246,상세표[연속순번],0),"")</f>
        <v/>
      </c>
    </row>
    <row r="252">
      <c r="A252">
        <f>IF($Q252="","",INDEX(상세표[부서],$Q252)&amp;"")</f>
        <v/>
      </c>
      <c r="B252">
        <f>IF($Q252="","",INDEX(상세표[사번],$Q252)&amp;"")</f>
        <v/>
      </c>
      <c r="C252">
        <f>IF($Q252="","",INDEX(상세표[성명],$Q252)&amp;"")</f>
        <v/>
      </c>
      <c r="D252">
        <f>IF($Q252="","",INDEX(상세표[직위],$Q252)&amp;"")</f>
        <v/>
      </c>
      <c r="E252">
        <f>IF($Q252="","",IF(ISNUMBER(INDEX(상세표[근무일자],$Q252)),TEXT(INDEX(상세표[근무일자],$Q252),"yyyy-mm-dd"),INDEX(상세표[근무일자],$Q252)&amp;""))</f>
        <v/>
      </c>
      <c r="F252">
        <f>IF($Q252="","",IF(ISNUMBER(INDEX(상세표[시작],$Q252)),TEXT(INDEX(상세표[시작],$Q252),"yyyy-mm-dd hh:mm"),INDEX(상세표[시작],$Q252)&amp;""))</f>
        <v/>
      </c>
      <c r="G252">
        <f>IF($Q252="","",IF(ISNUMBER(INDEX(상세표[블록종료],$Q252)),TEXT(INDEX(상세표[블록종료],$Q252),"yyyy-mm-dd hh:mm"),INDEX(상세표[블록종료],$Q252)&amp;""))</f>
        <v/>
      </c>
      <c r="H252">
        <f>IF($Q252="","",CHOOSE(WEEKDAY(INDEX(상세표[시작],$Q252)),"일","월","화","수","목","금","토"))</f>
        <v/>
      </c>
      <c r="I252" s="20">
        <f>IF($Q252="","",INDEX(상세표[연속 시간],$Q252))</f>
        <v/>
      </c>
      <c r="J252">
        <f>IF($Q252="","",INDEX(상세표[기록 수],$Q252))</f>
        <v/>
      </c>
      <c r="K252" s="20">
        <f>IF($Q252="","",INDEX(상세표[블록 06~07시],$Q252))</f>
        <v/>
      </c>
      <c r="L252" s="20">
        <f>IF($Q252="","",INDEX(상세표[블록 07~18시],$Q252))</f>
        <v/>
      </c>
      <c r="M252" s="20">
        <f>IF($Q252="","",INDEX(상세표[블록 18~22시],$Q252))</f>
        <v/>
      </c>
      <c r="N252" s="20">
        <f>IF($Q252="","",INDEX(상세표[블록 22~06시],$Q252))</f>
        <v/>
      </c>
      <c r="O252">
        <f>IF($Q252="","",INDEX(상세표[주말·휴일 포함],$Q252)&amp;"")</f>
        <v/>
      </c>
      <c r="P252">
        <f>IF($Q252="","",INDEX(상세표[월 넘김 포함],$Q252)&amp;"")</f>
        <v/>
      </c>
      <c r="Q252" s="4">
        <f>IFERROR(MATCH(247,상세표[연속순번],0),"")</f>
        <v/>
      </c>
    </row>
    <row r="253">
      <c r="A253">
        <f>IF($Q253="","",INDEX(상세표[부서],$Q253)&amp;"")</f>
        <v/>
      </c>
      <c r="B253">
        <f>IF($Q253="","",INDEX(상세표[사번],$Q253)&amp;"")</f>
        <v/>
      </c>
      <c r="C253">
        <f>IF($Q253="","",INDEX(상세표[성명],$Q253)&amp;"")</f>
        <v/>
      </c>
      <c r="D253">
        <f>IF($Q253="","",INDEX(상세표[직위],$Q253)&amp;"")</f>
        <v/>
      </c>
      <c r="E253">
        <f>IF($Q253="","",IF(ISNUMBER(INDEX(상세표[근무일자],$Q253)),TEXT(INDEX(상세표[근무일자],$Q253),"yyyy-mm-dd"),INDEX(상세표[근무일자],$Q253)&amp;""))</f>
        <v/>
      </c>
      <c r="F253">
        <f>IF($Q253="","",IF(ISNUMBER(INDEX(상세표[시작],$Q253)),TEXT(INDEX(상세표[시작],$Q253),"yyyy-mm-dd hh:mm"),INDEX(상세표[시작],$Q253)&amp;""))</f>
        <v/>
      </c>
      <c r="G253">
        <f>IF($Q253="","",IF(ISNUMBER(INDEX(상세표[블록종료],$Q253)),TEXT(INDEX(상세표[블록종료],$Q253),"yyyy-mm-dd hh:mm"),INDEX(상세표[블록종료],$Q253)&amp;""))</f>
        <v/>
      </c>
      <c r="H253">
        <f>IF($Q253="","",CHOOSE(WEEKDAY(INDEX(상세표[시작],$Q253)),"일","월","화","수","목","금","토"))</f>
        <v/>
      </c>
      <c r="I253" s="20">
        <f>IF($Q253="","",INDEX(상세표[연속 시간],$Q253))</f>
        <v/>
      </c>
      <c r="J253">
        <f>IF($Q253="","",INDEX(상세표[기록 수],$Q253))</f>
        <v/>
      </c>
      <c r="K253" s="20">
        <f>IF($Q253="","",INDEX(상세표[블록 06~07시],$Q253))</f>
        <v/>
      </c>
      <c r="L253" s="20">
        <f>IF($Q253="","",INDEX(상세표[블록 07~18시],$Q253))</f>
        <v/>
      </c>
      <c r="M253" s="20">
        <f>IF($Q253="","",INDEX(상세표[블록 18~22시],$Q253))</f>
        <v/>
      </c>
      <c r="N253" s="20">
        <f>IF($Q253="","",INDEX(상세표[블록 22~06시],$Q253))</f>
        <v/>
      </c>
      <c r="O253">
        <f>IF($Q253="","",INDEX(상세표[주말·휴일 포함],$Q253)&amp;"")</f>
        <v/>
      </c>
      <c r="P253">
        <f>IF($Q253="","",INDEX(상세표[월 넘김 포함],$Q253)&amp;"")</f>
        <v/>
      </c>
      <c r="Q253" s="4">
        <f>IFERROR(MATCH(248,상세표[연속순번],0),"")</f>
        <v/>
      </c>
    </row>
    <row r="254">
      <c r="A254">
        <f>IF($Q254="","",INDEX(상세표[부서],$Q254)&amp;"")</f>
        <v/>
      </c>
      <c r="B254">
        <f>IF($Q254="","",INDEX(상세표[사번],$Q254)&amp;"")</f>
        <v/>
      </c>
      <c r="C254">
        <f>IF($Q254="","",INDEX(상세표[성명],$Q254)&amp;"")</f>
        <v/>
      </c>
      <c r="D254">
        <f>IF($Q254="","",INDEX(상세표[직위],$Q254)&amp;"")</f>
        <v/>
      </c>
      <c r="E254">
        <f>IF($Q254="","",IF(ISNUMBER(INDEX(상세표[근무일자],$Q254)),TEXT(INDEX(상세표[근무일자],$Q254),"yyyy-mm-dd"),INDEX(상세표[근무일자],$Q254)&amp;""))</f>
        <v/>
      </c>
      <c r="F254">
        <f>IF($Q254="","",IF(ISNUMBER(INDEX(상세표[시작],$Q254)),TEXT(INDEX(상세표[시작],$Q254),"yyyy-mm-dd hh:mm"),INDEX(상세표[시작],$Q254)&amp;""))</f>
        <v/>
      </c>
      <c r="G254">
        <f>IF($Q254="","",IF(ISNUMBER(INDEX(상세표[블록종료],$Q254)),TEXT(INDEX(상세표[블록종료],$Q254),"yyyy-mm-dd hh:mm"),INDEX(상세표[블록종료],$Q254)&amp;""))</f>
        <v/>
      </c>
      <c r="H254">
        <f>IF($Q254="","",CHOOSE(WEEKDAY(INDEX(상세표[시작],$Q254)),"일","월","화","수","목","금","토"))</f>
        <v/>
      </c>
      <c r="I254" s="20">
        <f>IF($Q254="","",INDEX(상세표[연속 시간],$Q254))</f>
        <v/>
      </c>
      <c r="J254">
        <f>IF($Q254="","",INDEX(상세표[기록 수],$Q254))</f>
        <v/>
      </c>
      <c r="K254" s="20">
        <f>IF($Q254="","",INDEX(상세표[블록 06~07시],$Q254))</f>
        <v/>
      </c>
      <c r="L254" s="20">
        <f>IF($Q254="","",INDEX(상세표[블록 07~18시],$Q254))</f>
        <v/>
      </c>
      <c r="M254" s="20">
        <f>IF($Q254="","",INDEX(상세표[블록 18~22시],$Q254))</f>
        <v/>
      </c>
      <c r="N254" s="20">
        <f>IF($Q254="","",INDEX(상세표[블록 22~06시],$Q254))</f>
        <v/>
      </c>
      <c r="O254">
        <f>IF($Q254="","",INDEX(상세표[주말·휴일 포함],$Q254)&amp;"")</f>
        <v/>
      </c>
      <c r="P254">
        <f>IF($Q254="","",INDEX(상세표[월 넘김 포함],$Q254)&amp;"")</f>
        <v/>
      </c>
      <c r="Q254" s="4">
        <f>IFERROR(MATCH(249,상세표[연속순번],0),"")</f>
        <v/>
      </c>
    </row>
    <row r="255">
      <c r="A255">
        <f>IF($Q255="","",INDEX(상세표[부서],$Q255)&amp;"")</f>
        <v/>
      </c>
      <c r="B255">
        <f>IF($Q255="","",INDEX(상세표[사번],$Q255)&amp;"")</f>
        <v/>
      </c>
      <c r="C255">
        <f>IF($Q255="","",INDEX(상세표[성명],$Q255)&amp;"")</f>
        <v/>
      </c>
      <c r="D255">
        <f>IF($Q255="","",INDEX(상세표[직위],$Q255)&amp;"")</f>
        <v/>
      </c>
      <c r="E255">
        <f>IF($Q255="","",IF(ISNUMBER(INDEX(상세표[근무일자],$Q255)),TEXT(INDEX(상세표[근무일자],$Q255),"yyyy-mm-dd"),INDEX(상세표[근무일자],$Q255)&amp;""))</f>
        <v/>
      </c>
      <c r="F255">
        <f>IF($Q255="","",IF(ISNUMBER(INDEX(상세표[시작],$Q255)),TEXT(INDEX(상세표[시작],$Q255),"yyyy-mm-dd hh:mm"),INDEX(상세표[시작],$Q255)&amp;""))</f>
        <v/>
      </c>
      <c r="G255">
        <f>IF($Q255="","",IF(ISNUMBER(INDEX(상세표[블록종료],$Q255)),TEXT(INDEX(상세표[블록종료],$Q255),"yyyy-mm-dd hh:mm"),INDEX(상세표[블록종료],$Q255)&amp;""))</f>
        <v/>
      </c>
      <c r="H255">
        <f>IF($Q255="","",CHOOSE(WEEKDAY(INDEX(상세표[시작],$Q255)),"일","월","화","수","목","금","토"))</f>
        <v/>
      </c>
      <c r="I255" s="20">
        <f>IF($Q255="","",INDEX(상세표[연속 시간],$Q255))</f>
        <v/>
      </c>
      <c r="J255">
        <f>IF($Q255="","",INDEX(상세표[기록 수],$Q255))</f>
        <v/>
      </c>
      <c r="K255" s="20">
        <f>IF($Q255="","",INDEX(상세표[블록 06~07시],$Q255))</f>
        <v/>
      </c>
      <c r="L255" s="20">
        <f>IF($Q255="","",INDEX(상세표[블록 07~18시],$Q255))</f>
        <v/>
      </c>
      <c r="M255" s="20">
        <f>IF($Q255="","",INDEX(상세표[블록 18~22시],$Q255))</f>
        <v/>
      </c>
      <c r="N255" s="20">
        <f>IF($Q255="","",INDEX(상세표[블록 22~06시],$Q255))</f>
        <v/>
      </c>
      <c r="O255">
        <f>IF($Q255="","",INDEX(상세표[주말·휴일 포함],$Q255)&amp;"")</f>
        <v/>
      </c>
      <c r="P255">
        <f>IF($Q255="","",INDEX(상세표[월 넘김 포함],$Q255)&amp;"")</f>
        <v/>
      </c>
      <c r="Q255" s="4">
        <f>IFERROR(MATCH(250,상세표[연속순번],0),"")</f>
        <v/>
      </c>
    </row>
    <row r="256">
      <c r="A256">
        <f>IF($Q256="","",INDEX(상세표[부서],$Q256)&amp;"")</f>
        <v/>
      </c>
      <c r="B256">
        <f>IF($Q256="","",INDEX(상세표[사번],$Q256)&amp;"")</f>
        <v/>
      </c>
      <c r="C256">
        <f>IF($Q256="","",INDEX(상세표[성명],$Q256)&amp;"")</f>
        <v/>
      </c>
      <c r="D256">
        <f>IF($Q256="","",INDEX(상세표[직위],$Q256)&amp;"")</f>
        <v/>
      </c>
      <c r="E256">
        <f>IF($Q256="","",IF(ISNUMBER(INDEX(상세표[근무일자],$Q256)),TEXT(INDEX(상세표[근무일자],$Q256),"yyyy-mm-dd"),INDEX(상세표[근무일자],$Q256)&amp;""))</f>
        <v/>
      </c>
      <c r="F256">
        <f>IF($Q256="","",IF(ISNUMBER(INDEX(상세표[시작],$Q256)),TEXT(INDEX(상세표[시작],$Q256),"yyyy-mm-dd hh:mm"),INDEX(상세표[시작],$Q256)&amp;""))</f>
        <v/>
      </c>
      <c r="G256">
        <f>IF($Q256="","",IF(ISNUMBER(INDEX(상세표[블록종료],$Q256)),TEXT(INDEX(상세표[블록종료],$Q256),"yyyy-mm-dd hh:mm"),INDEX(상세표[블록종료],$Q256)&amp;""))</f>
        <v/>
      </c>
      <c r="H256">
        <f>IF($Q256="","",CHOOSE(WEEKDAY(INDEX(상세표[시작],$Q256)),"일","월","화","수","목","금","토"))</f>
        <v/>
      </c>
      <c r="I256" s="20">
        <f>IF($Q256="","",INDEX(상세표[연속 시간],$Q256))</f>
        <v/>
      </c>
      <c r="J256">
        <f>IF($Q256="","",INDEX(상세표[기록 수],$Q256))</f>
        <v/>
      </c>
      <c r="K256" s="20">
        <f>IF($Q256="","",INDEX(상세표[블록 06~07시],$Q256))</f>
        <v/>
      </c>
      <c r="L256" s="20">
        <f>IF($Q256="","",INDEX(상세표[블록 07~18시],$Q256))</f>
        <v/>
      </c>
      <c r="M256" s="20">
        <f>IF($Q256="","",INDEX(상세표[블록 18~22시],$Q256))</f>
        <v/>
      </c>
      <c r="N256" s="20">
        <f>IF($Q256="","",INDEX(상세표[블록 22~06시],$Q256))</f>
        <v/>
      </c>
      <c r="O256">
        <f>IF($Q256="","",INDEX(상세표[주말·휴일 포함],$Q256)&amp;"")</f>
        <v/>
      </c>
      <c r="P256">
        <f>IF($Q256="","",INDEX(상세표[월 넘김 포함],$Q256)&amp;"")</f>
        <v/>
      </c>
      <c r="Q256" s="4">
        <f>IFERROR(MATCH(251,상세표[연속순번],0),"")</f>
        <v/>
      </c>
    </row>
    <row r="257">
      <c r="A257">
        <f>IF($Q257="","",INDEX(상세표[부서],$Q257)&amp;"")</f>
        <v/>
      </c>
      <c r="B257">
        <f>IF($Q257="","",INDEX(상세표[사번],$Q257)&amp;"")</f>
        <v/>
      </c>
      <c r="C257">
        <f>IF($Q257="","",INDEX(상세표[성명],$Q257)&amp;"")</f>
        <v/>
      </c>
      <c r="D257">
        <f>IF($Q257="","",INDEX(상세표[직위],$Q257)&amp;"")</f>
        <v/>
      </c>
      <c r="E257">
        <f>IF($Q257="","",IF(ISNUMBER(INDEX(상세표[근무일자],$Q257)),TEXT(INDEX(상세표[근무일자],$Q257),"yyyy-mm-dd"),INDEX(상세표[근무일자],$Q257)&amp;""))</f>
        <v/>
      </c>
      <c r="F257">
        <f>IF($Q257="","",IF(ISNUMBER(INDEX(상세표[시작],$Q257)),TEXT(INDEX(상세표[시작],$Q257),"yyyy-mm-dd hh:mm"),INDEX(상세표[시작],$Q257)&amp;""))</f>
        <v/>
      </c>
      <c r="G257">
        <f>IF($Q257="","",IF(ISNUMBER(INDEX(상세표[블록종료],$Q257)),TEXT(INDEX(상세표[블록종료],$Q257),"yyyy-mm-dd hh:mm"),INDEX(상세표[블록종료],$Q257)&amp;""))</f>
        <v/>
      </c>
      <c r="H257">
        <f>IF($Q257="","",CHOOSE(WEEKDAY(INDEX(상세표[시작],$Q257)),"일","월","화","수","목","금","토"))</f>
        <v/>
      </c>
      <c r="I257" s="20">
        <f>IF($Q257="","",INDEX(상세표[연속 시간],$Q257))</f>
        <v/>
      </c>
      <c r="J257">
        <f>IF($Q257="","",INDEX(상세표[기록 수],$Q257))</f>
        <v/>
      </c>
      <c r="K257" s="20">
        <f>IF($Q257="","",INDEX(상세표[블록 06~07시],$Q257))</f>
        <v/>
      </c>
      <c r="L257" s="20">
        <f>IF($Q257="","",INDEX(상세표[블록 07~18시],$Q257))</f>
        <v/>
      </c>
      <c r="M257" s="20">
        <f>IF($Q257="","",INDEX(상세표[블록 18~22시],$Q257))</f>
        <v/>
      </c>
      <c r="N257" s="20">
        <f>IF($Q257="","",INDEX(상세표[블록 22~06시],$Q257))</f>
        <v/>
      </c>
      <c r="O257">
        <f>IF($Q257="","",INDEX(상세표[주말·휴일 포함],$Q257)&amp;"")</f>
        <v/>
      </c>
      <c r="P257">
        <f>IF($Q257="","",INDEX(상세표[월 넘김 포함],$Q257)&amp;"")</f>
        <v/>
      </c>
      <c r="Q257" s="4">
        <f>IFERROR(MATCH(252,상세표[연속순번],0),"")</f>
        <v/>
      </c>
    </row>
    <row r="258">
      <c r="A258">
        <f>IF($Q258="","",INDEX(상세표[부서],$Q258)&amp;"")</f>
        <v/>
      </c>
      <c r="B258">
        <f>IF($Q258="","",INDEX(상세표[사번],$Q258)&amp;"")</f>
        <v/>
      </c>
      <c r="C258">
        <f>IF($Q258="","",INDEX(상세표[성명],$Q258)&amp;"")</f>
        <v/>
      </c>
      <c r="D258">
        <f>IF($Q258="","",INDEX(상세표[직위],$Q258)&amp;"")</f>
        <v/>
      </c>
      <c r="E258">
        <f>IF($Q258="","",IF(ISNUMBER(INDEX(상세표[근무일자],$Q258)),TEXT(INDEX(상세표[근무일자],$Q258),"yyyy-mm-dd"),INDEX(상세표[근무일자],$Q258)&amp;""))</f>
        <v/>
      </c>
      <c r="F258">
        <f>IF($Q258="","",IF(ISNUMBER(INDEX(상세표[시작],$Q258)),TEXT(INDEX(상세표[시작],$Q258),"yyyy-mm-dd hh:mm"),INDEX(상세표[시작],$Q258)&amp;""))</f>
        <v/>
      </c>
      <c r="G258">
        <f>IF($Q258="","",IF(ISNUMBER(INDEX(상세표[블록종료],$Q258)),TEXT(INDEX(상세표[블록종료],$Q258),"yyyy-mm-dd hh:mm"),INDEX(상세표[블록종료],$Q258)&amp;""))</f>
        <v/>
      </c>
      <c r="H258">
        <f>IF($Q258="","",CHOOSE(WEEKDAY(INDEX(상세표[시작],$Q258)),"일","월","화","수","목","금","토"))</f>
        <v/>
      </c>
      <c r="I258" s="20">
        <f>IF($Q258="","",INDEX(상세표[연속 시간],$Q258))</f>
        <v/>
      </c>
      <c r="J258">
        <f>IF($Q258="","",INDEX(상세표[기록 수],$Q258))</f>
        <v/>
      </c>
      <c r="K258" s="20">
        <f>IF($Q258="","",INDEX(상세표[블록 06~07시],$Q258))</f>
        <v/>
      </c>
      <c r="L258" s="20">
        <f>IF($Q258="","",INDEX(상세표[블록 07~18시],$Q258))</f>
        <v/>
      </c>
      <c r="M258" s="20">
        <f>IF($Q258="","",INDEX(상세표[블록 18~22시],$Q258))</f>
        <v/>
      </c>
      <c r="N258" s="20">
        <f>IF($Q258="","",INDEX(상세표[블록 22~06시],$Q258))</f>
        <v/>
      </c>
      <c r="O258">
        <f>IF($Q258="","",INDEX(상세표[주말·휴일 포함],$Q258)&amp;"")</f>
        <v/>
      </c>
      <c r="P258">
        <f>IF($Q258="","",INDEX(상세표[월 넘김 포함],$Q258)&amp;"")</f>
        <v/>
      </c>
      <c r="Q258" s="4">
        <f>IFERROR(MATCH(253,상세표[연속순번],0),"")</f>
        <v/>
      </c>
    </row>
    <row r="259">
      <c r="A259">
        <f>IF($Q259="","",INDEX(상세표[부서],$Q259)&amp;"")</f>
        <v/>
      </c>
      <c r="B259">
        <f>IF($Q259="","",INDEX(상세표[사번],$Q259)&amp;"")</f>
        <v/>
      </c>
      <c r="C259">
        <f>IF($Q259="","",INDEX(상세표[성명],$Q259)&amp;"")</f>
        <v/>
      </c>
      <c r="D259">
        <f>IF($Q259="","",INDEX(상세표[직위],$Q259)&amp;"")</f>
        <v/>
      </c>
      <c r="E259">
        <f>IF($Q259="","",IF(ISNUMBER(INDEX(상세표[근무일자],$Q259)),TEXT(INDEX(상세표[근무일자],$Q259),"yyyy-mm-dd"),INDEX(상세표[근무일자],$Q259)&amp;""))</f>
        <v/>
      </c>
      <c r="F259">
        <f>IF($Q259="","",IF(ISNUMBER(INDEX(상세표[시작],$Q259)),TEXT(INDEX(상세표[시작],$Q259),"yyyy-mm-dd hh:mm"),INDEX(상세표[시작],$Q259)&amp;""))</f>
        <v/>
      </c>
      <c r="G259">
        <f>IF($Q259="","",IF(ISNUMBER(INDEX(상세표[블록종료],$Q259)),TEXT(INDEX(상세표[블록종료],$Q259),"yyyy-mm-dd hh:mm"),INDEX(상세표[블록종료],$Q259)&amp;""))</f>
        <v/>
      </c>
      <c r="H259">
        <f>IF($Q259="","",CHOOSE(WEEKDAY(INDEX(상세표[시작],$Q259)),"일","월","화","수","목","금","토"))</f>
        <v/>
      </c>
      <c r="I259" s="20">
        <f>IF($Q259="","",INDEX(상세표[연속 시간],$Q259))</f>
        <v/>
      </c>
      <c r="J259">
        <f>IF($Q259="","",INDEX(상세표[기록 수],$Q259))</f>
        <v/>
      </c>
      <c r="K259" s="20">
        <f>IF($Q259="","",INDEX(상세표[블록 06~07시],$Q259))</f>
        <v/>
      </c>
      <c r="L259" s="20">
        <f>IF($Q259="","",INDEX(상세표[블록 07~18시],$Q259))</f>
        <v/>
      </c>
      <c r="M259" s="20">
        <f>IF($Q259="","",INDEX(상세표[블록 18~22시],$Q259))</f>
        <v/>
      </c>
      <c r="N259" s="20">
        <f>IF($Q259="","",INDEX(상세표[블록 22~06시],$Q259))</f>
        <v/>
      </c>
      <c r="O259">
        <f>IF($Q259="","",INDEX(상세표[주말·휴일 포함],$Q259)&amp;"")</f>
        <v/>
      </c>
      <c r="P259">
        <f>IF($Q259="","",INDEX(상세표[월 넘김 포함],$Q259)&amp;"")</f>
        <v/>
      </c>
      <c r="Q259" s="4">
        <f>IFERROR(MATCH(254,상세표[연속순번],0),"")</f>
        <v/>
      </c>
    </row>
    <row r="260">
      <c r="A260">
        <f>IF($Q260="","",INDEX(상세표[부서],$Q260)&amp;"")</f>
        <v/>
      </c>
      <c r="B260">
        <f>IF($Q260="","",INDEX(상세표[사번],$Q260)&amp;"")</f>
        <v/>
      </c>
      <c r="C260">
        <f>IF($Q260="","",INDEX(상세표[성명],$Q260)&amp;"")</f>
        <v/>
      </c>
      <c r="D260">
        <f>IF($Q260="","",INDEX(상세표[직위],$Q260)&amp;"")</f>
        <v/>
      </c>
      <c r="E260">
        <f>IF($Q260="","",IF(ISNUMBER(INDEX(상세표[근무일자],$Q260)),TEXT(INDEX(상세표[근무일자],$Q260),"yyyy-mm-dd"),INDEX(상세표[근무일자],$Q260)&amp;""))</f>
        <v/>
      </c>
      <c r="F260">
        <f>IF($Q260="","",IF(ISNUMBER(INDEX(상세표[시작],$Q260)),TEXT(INDEX(상세표[시작],$Q260),"yyyy-mm-dd hh:mm"),INDEX(상세표[시작],$Q260)&amp;""))</f>
        <v/>
      </c>
      <c r="G260">
        <f>IF($Q260="","",IF(ISNUMBER(INDEX(상세표[블록종료],$Q260)),TEXT(INDEX(상세표[블록종료],$Q260),"yyyy-mm-dd hh:mm"),INDEX(상세표[블록종료],$Q260)&amp;""))</f>
        <v/>
      </c>
      <c r="H260">
        <f>IF($Q260="","",CHOOSE(WEEKDAY(INDEX(상세표[시작],$Q260)),"일","월","화","수","목","금","토"))</f>
        <v/>
      </c>
      <c r="I260" s="20">
        <f>IF($Q260="","",INDEX(상세표[연속 시간],$Q260))</f>
        <v/>
      </c>
      <c r="J260">
        <f>IF($Q260="","",INDEX(상세표[기록 수],$Q260))</f>
        <v/>
      </c>
      <c r="K260" s="20">
        <f>IF($Q260="","",INDEX(상세표[블록 06~07시],$Q260))</f>
        <v/>
      </c>
      <c r="L260" s="20">
        <f>IF($Q260="","",INDEX(상세표[블록 07~18시],$Q260))</f>
        <v/>
      </c>
      <c r="M260" s="20">
        <f>IF($Q260="","",INDEX(상세표[블록 18~22시],$Q260))</f>
        <v/>
      </c>
      <c r="N260" s="20">
        <f>IF($Q260="","",INDEX(상세표[블록 22~06시],$Q260))</f>
        <v/>
      </c>
      <c r="O260">
        <f>IF($Q260="","",INDEX(상세표[주말·휴일 포함],$Q260)&amp;"")</f>
        <v/>
      </c>
      <c r="P260">
        <f>IF($Q260="","",INDEX(상세표[월 넘김 포함],$Q260)&amp;"")</f>
        <v/>
      </c>
      <c r="Q260" s="4">
        <f>IFERROR(MATCH(255,상세표[연속순번],0),"")</f>
        <v/>
      </c>
    </row>
    <row r="261">
      <c r="A261">
        <f>IF($Q261="","",INDEX(상세표[부서],$Q261)&amp;"")</f>
        <v/>
      </c>
      <c r="B261">
        <f>IF($Q261="","",INDEX(상세표[사번],$Q261)&amp;"")</f>
        <v/>
      </c>
      <c r="C261">
        <f>IF($Q261="","",INDEX(상세표[성명],$Q261)&amp;"")</f>
        <v/>
      </c>
      <c r="D261">
        <f>IF($Q261="","",INDEX(상세표[직위],$Q261)&amp;"")</f>
        <v/>
      </c>
      <c r="E261">
        <f>IF($Q261="","",IF(ISNUMBER(INDEX(상세표[근무일자],$Q261)),TEXT(INDEX(상세표[근무일자],$Q261),"yyyy-mm-dd"),INDEX(상세표[근무일자],$Q261)&amp;""))</f>
        <v/>
      </c>
      <c r="F261">
        <f>IF($Q261="","",IF(ISNUMBER(INDEX(상세표[시작],$Q261)),TEXT(INDEX(상세표[시작],$Q261),"yyyy-mm-dd hh:mm"),INDEX(상세표[시작],$Q261)&amp;""))</f>
        <v/>
      </c>
      <c r="G261">
        <f>IF($Q261="","",IF(ISNUMBER(INDEX(상세표[블록종료],$Q261)),TEXT(INDEX(상세표[블록종료],$Q261),"yyyy-mm-dd hh:mm"),INDEX(상세표[블록종료],$Q261)&amp;""))</f>
        <v/>
      </c>
      <c r="H261">
        <f>IF($Q261="","",CHOOSE(WEEKDAY(INDEX(상세표[시작],$Q261)),"일","월","화","수","목","금","토"))</f>
        <v/>
      </c>
      <c r="I261" s="20">
        <f>IF($Q261="","",INDEX(상세표[연속 시간],$Q261))</f>
        <v/>
      </c>
      <c r="J261">
        <f>IF($Q261="","",INDEX(상세표[기록 수],$Q261))</f>
        <v/>
      </c>
      <c r="K261" s="20">
        <f>IF($Q261="","",INDEX(상세표[블록 06~07시],$Q261))</f>
        <v/>
      </c>
      <c r="L261" s="20">
        <f>IF($Q261="","",INDEX(상세표[블록 07~18시],$Q261))</f>
        <v/>
      </c>
      <c r="M261" s="20">
        <f>IF($Q261="","",INDEX(상세표[블록 18~22시],$Q261))</f>
        <v/>
      </c>
      <c r="N261" s="20">
        <f>IF($Q261="","",INDEX(상세표[블록 22~06시],$Q261))</f>
        <v/>
      </c>
      <c r="O261">
        <f>IF($Q261="","",INDEX(상세표[주말·휴일 포함],$Q261)&amp;"")</f>
        <v/>
      </c>
      <c r="P261">
        <f>IF($Q261="","",INDEX(상세표[월 넘김 포함],$Q261)&amp;"")</f>
        <v/>
      </c>
      <c r="Q261" s="4">
        <f>IFERROR(MATCH(256,상세표[연속순번],0),"")</f>
        <v/>
      </c>
    </row>
    <row r="262">
      <c r="A262">
        <f>IF($Q262="","",INDEX(상세표[부서],$Q262)&amp;"")</f>
        <v/>
      </c>
      <c r="B262">
        <f>IF($Q262="","",INDEX(상세표[사번],$Q262)&amp;"")</f>
        <v/>
      </c>
      <c r="C262">
        <f>IF($Q262="","",INDEX(상세표[성명],$Q262)&amp;"")</f>
        <v/>
      </c>
      <c r="D262">
        <f>IF($Q262="","",INDEX(상세표[직위],$Q262)&amp;"")</f>
        <v/>
      </c>
      <c r="E262">
        <f>IF($Q262="","",IF(ISNUMBER(INDEX(상세표[근무일자],$Q262)),TEXT(INDEX(상세표[근무일자],$Q262),"yyyy-mm-dd"),INDEX(상세표[근무일자],$Q262)&amp;""))</f>
        <v/>
      </c>
      <c r="F262">
        <f>IF($Q262="","",IF(ISNUMBER(INDEX(상세표[시작],$Q262)),TEXT(INDEX(상세표[시작],$Q262),"yyyy-mm-dd hh:mm"),INDEX(상세표[시작],$Q262)&amp;""))</f>
        <v/>
      </c>
      <c r="G262">
        <f>IF($Q262="","",IF(ISNUMBER(INDEX(상세표[블록종료],$Q262)),TEXT(INDEX(상세표[블록종료],$Q262),"yyyy-mm-dd hh:mm"),INDEX(상세표[블록종료],$Q262)&amp;""))</f>
        <v/>
      </c>
      <c r="H262">
        <f>IF($Q262="","",CHOOSE(WEEKDAY(INDEX(상세표[시작],$Q262)),"일","월","화","수","목","금","토"))</f>
        <v/>
      </c>
      <c r="I262" s="20">
        <f>IF($Q262="","",INDEX(상세표[연속 시간],$Q262))</f>
        <v/>
      </c>
      <c r="J262">
        <f>IF($Q262="","",INDEX(상세표[기록 수],$Q262))</f>
        <v/>
      </c>
      <c r="K262" s="20">
        <f>IF($Q262="","",INDEX(상세표[블록 06~07시],$Q262))</f>
        <v/>
      </c>
      <c r="L262" s="20">
        <f>IF($Q262="","",INDEX(상세표[블록 07~18시],$Q262))</f>
        <v/>
      </c>
      <c r="M262" s="20">
        <f>IF($Q262="","",INDEX(상세표[블록 18~22시],$Q262))</f>
        <v/>
      </c>
      <c r="N262" s="20">
        <f>IF($Q262="","",INDEX(상세표[블록 22~06시],$Q262))</f>
        <v/>
      </c>
      <c r="O262">
        <f>IF($Q262="","",INDEX(상세표[주말·휴일 포함],$Q262)&amp;"")</f>
        <v/>
      </c>
      <c r="P262">
        <f>IF($Q262="","",INDEX(상세표[월 넘김 포함],$Q262)&amp;"")</f>
        <v/>
      </c>
      <c r="Q262" s="4">
        <f>IFERROR(MATCH(257,상세표[연속순번],0),"")</f>
        <v/>
      </c>
    </row>
    <row r="263">
      <c r="A263">
        <f>IF($Q263="","",INDEX(상세표[부서],$Q263)&amp;"")</f>
        <v/>
      </c>
      <c r="B263">
        <f>IF($Q263="","",INDEX(상세표[사번],$Q263)&amp;"")</f>
        <v/>
      </c>
      <c r="C263">
        <f>IF($Q263="","",INDEX(상세표[성명],$Q263)&amp;"")</f>
        <v/>
      </c>
      <c r="D263">
        <f>IF($Q263="","",INDEX(상세표[직위],$Q263)&amp;"")</f>
        <v/>
      </c>
      <c r="E263">
        <f>IF($Q263="","",IF(ISNUMBER(INDEX(상세표[근무일자],$Q263)),TEXT(INDEX(상세표[근무일자],$Q263),"yyyy-mm-dd"),INDEX(상세표[근무일자],$Q263)&amp;""))</f>
        <v/>
      </c>
      <c r="F263">
        <f>IF($Q263="","",IF(ISNUMBER(INDEX(상세표[시작],$Q263)),TEXT(INDEX(상세표[시작],$Q263),"yyyy-mm-dd hh:mm"),INDEX(상세표[시작],$Q263)&amp;""))</f>
        <v/>
      </c>
      <c r="G263">
        <f>IF($Q263="","",IF(ISNUMBER(INDEX(상세표[블록종료],$Q263)),TEXT(INDEX(상세표[블록종료],$Q263),"yyyy-mm-dd hh:mm"),INDEX(상세표[블록종료],$Q263)&amp;""))</f>
        <v/>
      </c>
      <c r="H263">
        <f>IF($Q263="","",CHOOSE(WEEKDAY(INDEX(상세표[시작],$Q263)),"일","월","화","수","목","금","토"))</f>
        <v/>
      </c>
      <c r="I263" s="20">
        <f>IF($Q263="","",INDEX(상세표[연속 시간],$Q263))</f>
        <v/>
      </c>
      <c r="J263">
        <f>IF($Q263="","",INDEX(상세표[기록 수],$Q263))</f>
        <v/>
      </c>
      <c r="K263" s="20">
        <f>IF($Q263="","",INDEX(상세표[블록 06~07시],$Q263))</f>
        <v/>
      </c>
      <c r="L263" s="20">
        <f>IF($Q263="","",INDEX(상세표[블록 07~18시],$Q263))</f>
        <v/>
      </c>
      <c r="M263" s="20">
        <f>IF($Q263="","",INDEX(상세표[블록 18~22시],$Q263))</f>
        <v/>
      </c>
      <c r="N263" s="20">
        <f>IF($Q263="","",INDEX(상세표[블록 22~06시],$Q263))</f>
        <v/>
      </c>
      <c r="O263">
        <f>IF($Q263="","",INDEX(상세표[주말·휴일 포함],$Q263)&amp;"")</f>
        <v/>
      </c>
      <c r="P263">
        <f>IF($Q263="","",INDEX(상세표[월 넘김 포함],$Q263)&amp;"")</f>
        <v/>
      </c>
      <c r="Q263" s="4">
        <f>IFERROR(MATCH(258,상세표[연속순번],0),"")</f>
        <v/>
      </c>
    </row>
    <row r="264">
      <c r="A264">
        <f>IF($Q264="","",INDEX(상세표[부서],$Q264)&amp;"")</f>
        <v/>
      </c>
      <c r="B264">
        <f>IF($Q264="","",INDEX(상세표[사번],$Q264)&amp;"")</f>
        <v/>
      </c>
      <c r="C264">
        <f>IF($Q264="","",INDEX(상세표[성명],$Q264)&amp;"")</f>
        <v/>
      </c>
      <c r="D264">
        <f>IF($Q264="","",INDEX(상세표[직위],$Q264)&amp;"")</f>
        <v/>
      </c>
      <c r="E264">
        <f>IF($Q264="","",IF(ISNUMBER(INDEX(상세표[근무일자],$Q264)),TEXT(INDEX(상세표[근무일자],$Q264),"yyyy-mm-dd"),INDEX(상세표[근무일자],$Q264)&amp;""))</f>
        <v/>
      </c>
      <c r="F264">
        <f>IF($Q264="","",IF(ISNUMBER(INDEX(상세표[시작],$Q264)),TEXT(INDEX(상세표[시작],$Q264),"yyyy-mm-dd hh:mm"),INDEX(상세표[시작],$Q264)&amp;""))</f>
        <v/>
      </c>
      <c r="G264">
        <f>IF($Q264="","",IF(ISNUMBER(INDEX(상세표[블록종료],$Q264)),TEXT(INDEX(상세표[블록종료],$Q264),"yyyy-mm-dd hh:mm"),INDEX(상세표[블록종료],$Q264)&amp;""))</f>
        <v/>
      </c>
      <c r="H264">
        <f>IF($Q264="","",CHOOSE(WEEKDAY(INDEX(상세표[시작],$Q264)),"일","월","화","수","목","금","토"))</f>
        <v/>
      </c>
      <c r="I264" s="20">
        <f>IF($Q264="","",INDEX(상세표[연속 시간],$Q264))</f>
        <v/>
      </c>
      <c r="J264">
        <f>IF($Q264="","",INDEX(상세표[기록 수],$Q264))</f>
        <v/>
      </c>
      <c r="K264" s="20">
        <f>IF($Q264="","",INDEX(상세표[블록 06~07시],$Q264))</f>
        <v/>
      </c>
      <c r="L264" s="20">
        <f>IF($Q264="","",INDEX(상세표[블록 07~18시],$Q264))</f>
        <v/>
      </c>
      <c r="M264" s="20">
        <f>IF($Q264="","",INDEX(상세표[블록 18~22시],$Q264))</f>
        <v/>
      </c>
      <c r="N264" s="20">
        <f>IF($Q264="","",INDEX(상세표[블록 22~06시],$Q264))</f>
        <v/>
      </c>
      <c r="O264">
        <f>IF($Q264="","",INDEX(상세표[주말·휴일 포함],$Q264)&amp;"")</f>
        <v/>
      </c>
      <c r="P264">
        <f>IF($Q264="","",INDEX(상세표[월 넘김 포함],$Q264)&amp;"")</f>
        <v/>
      </c>
      <c r="Q264" s="4">
        <f>IFERROR(MATCH(259,상세표[연속순번],0),"")</f>
        <v/>
      </c>
    </row>
    <row r="265">
      <c r="A265">
        <f>IF($Q265="","",INDEX(상세표[부서],$Q265)&amp;"")</f>
        <v/>
      </c>
      <c r="B265">
        <f>IF($Q265="","",INDEX(상세표[사번],$Q265)&amp;"")</f>
        <v/>
      </c>
      <c r="C265">
        <f>IF($Q265="","",INDEX(상세표[성명],$Q265)&amp;"")</f>
        <v/>
      </c>
      <c r="D265">
        <f>IF($Q265="","",INDEX(상세표[직위],$Q265)&amp;"")</f>
        <v/>
      </c>
      <c r="E265">
        <f>IF($Q265="","",IF(ISNUMBER(INDEX(상세표[근무일자],$Q265)),TEXT(INDEX(상세표[근무일자],$Q265),"yyyy-mm-dd"),INDEX(상세표[근무일자],$Q265)&amp;""))</f>
        <v/>
      </c>
      <c r="F265">
        <f>IF($Q265="","",IF(ISNUMBER(INDEX(상세표[시작],$Q265)),TEXT(INDEX(상세표[시작],$Q265),"yyyy-mm-dd hh:mm"),INDEX(상세표[시작],$Q265)&amp;""))</f>
        <v/>
      </c>
      <c r="G265">
        <f>IF($Q265="","",IF(ISNUMBER(INDEX(상세표[블록종료],$Q265)),TEXT(INDEX(상세표[블록종료],$Q265),"yyyy-mm-dd hh:mm"),INDEX(상세표[블록종료],$Q265)&amp;""))</f>
        <v/>
      </c>
      <c r="H265">
        <f>IF($Q265="","",CHOOSE(WEEKDAY(INDEX(상세표[시작],$Q265)),"일","월","화","수","목","금","토"))</f>
        <v/>
      </c>
      <c r="I265" s="20">
        <f>IF($Q265="","",INDEX(상세표[연속 시간],$Q265))</f>
        <v/>
      </c>
      <c r="J265">
        <f>IF($Q265="","",INDEX(상세표[기록 수],$Q265))</f>
        <v/>
      </c>
      <c r="K265" s="20">
        <f>IF($Q265="","",INDEX(상세표[블록 06~07시],$Q265))</f>
        <v/>
      </c>
      <c r="L265" s="20">
        <f>IF($Q265="","",INDEX(상세표[블록 07~18시],$Q265))</f>
        <v/>
      </c>
      <c r="M265" s="20">
        <f>IF($Q265="","",INDEX(상세표[블록 18~22시],$Q265))</f>
        <v/>
      </c>
      <c r="N265" s="20">
        <f>IF($Q265="","",INDEX(상세표[블록 22~06시],$Q265))</f>
        <v/>
      </c>
      <c r="O265">
        <f>IF($Q265="","",INDEX(상세표[주말·휴일 포함],$Q265)&amp;"")</f>
        <v/>
      </c>
      <c r="P265">
        <f>IF($Q265="","",INDEX(상세표[월 넘김 포함],$Q265)&amp;"")</f>
        <v/>
      </c>
      <c r="Q265" s="4">
        <f>IFERROR(MATCH(260,상세표[연속순번],0),"")</f>
        <v/>
      </c>
    </row>
    <row r="266">
      <c r="A266">
        <f>IF($Q266="","",INDEX(상세표[부서],$Q266)&amp;"")</f>
        <v/>
      </c>
      <c r="B266">
        <f>IF($Q266="","",INDEX(상세표[사번],$Q266)&amp;"")</f>
        <v/>
      </c>
      <c r="C266">
        <f>IF($Q266="","",INDEX(상세표[성명],$Q266)&amp;"")</f>
        <v/>
      </c>
      <c r="D266">
        <f>IF($Q266="","",INDEX(상세표[직위],$Q266)&amp;"")</f>
        <v/>
      </c>
      <c r="E266">
        <f>IF($Q266="","",IF(ISNUMBER(INDEX(상세표[근무일자],$Q266)),TEXT(INDEX(상세표[근무일자],$Q266),"yyyy-mm-dd"),INDEX(상세표[근무일자],$Q266)&amp;""))</f>
        <v/>
      </c>
      <c r="F266">
        <f>IF($Q266="","",IF(ISNUMBER(INDEX(상세표[시작],$Q266)),TEXT(INDEX(상세표[시작],$Q266),"yyyy-mm-dd hh:mm"),INDEX(상세표[시작],$Q266)&amp;""))</f>
        <v/>
      </c>
      <c r="G266">
        <f>IF($Q266="","",IF(ISNUMBER(INDEX(상세표[블록종료],$Q266)),TEXT(INDEX(상세표[블록종료],$Q266),"yyyy-mm-dd hh:mm"),INDEX(상세표[블록종료],$Q266)&amp;""))</f>
        <v/>
      </c>
      <c r="H266">
        <f>IF($Q266="","",CHOOSE(WEEKDAY(INDEX(상세표[시작],$Q266)),"일","월","화","수","목","금","토"))</f>
        <v/>
      </c>
      <c r="I266" s="20">
        <f>IF($Q266="","",INDEX(상세표[연속 시간],$Q266))</f>
        <v/>
      </c>
      <c r="J266">
        <f>IF($Q266="","",INDEX(상세표[기록 수],$Q266))</f>
        <v/>
      </c>
      <c r="K266" s="20">
        <f>IF($Q266="","",INDEX(상세표[블록 06~07시],$Q266))</f>
        <v/>
      </c>
      <c r="L266" s="20">
        <f>IF($Q266="","",INDEX(상세표[블록 07~18시],$Q266))</f>
        <v/>
      </c>
      <c r="M266" s="20">
        <f>IF($Q266="","",INDEX(상세표[블록 18~22시],$Q266))</f>
        <v/>
      </c>
      <c r="N266" s="20">
        <f>IF($Q266="","",INDEX(상세표[블록 22~06시],$Q266))</f>
        <v/>
      </c>
      <c r="O266">
        <f>IF($Q266="","",INDEX(상세표[주말·휴일 포함],$Q266)&amp;"")</f>
        <v/>
      </c>
      <c r="P266">
        <f>IF($Q266="","",INDEX(상세표[월 넘김 포함],$Q266)&amp;"")</f>
        <v/>
      </c>
      <c r="Q266" s="4">
        <f>IFERROR(MATCH(261,상세표[연속순번],0),"")</f>
        <v/>
      </c>
    </row>
    <row r="267">
      <c r="A267">
        <f>IF($Q267="","",INDEX(상세표[부서],$Q267)&amp;"")</f>
        <v/>
      </c>
      <c r="B267">
        <f>IF($Q267="","",INDEX(상세표[사번],$Q267)&amp;"")</f>
        <v/>
      </c>
      <c r="C267">
        <f>IF($Q267="","",INDEX(상세표[성명],$Q267)&amp;"")</f>
        <v/>
      </c>
      <c r="D267">
        <f>IF($Q267="","",INDEX(상세표[직위],$Q267)&amp;"")</f>
        <v/>
      </c>
      <c r="E267">
        <f>IF($Q267="","",IF(ISNUMBER(INDEX(상세표[근무일자],$Q267)),TEXT(INDEX(상세표[근무일자],$Q267),"yyyy-mm-dd"),INDEX(상세표[근무일자],$Q267)&amp;""))</f>
        <v/>
      </c>
      <c r="F267">
        <f>IF($Q267="","",IF(ISNUMBER(INDEX(상세표[시작],$Q267)),TEXT(INDEX(상세표[시작],$Q267),"yyyy-mm-dd hh:mm"),INDEX(상세표[시작],$Q267)&amp;""))</f>
        <v/>
      </c>
      <c r="G267">
        <f>IF($Q267="","",IF(ISNUMBER(INDEX(상세표[블록종료],$Q267)),TEXT(INDEX(상세표[블록종료],$Q267),"yyyy-mm-dd hh:mm"),INDEX(상세표[블록종료],$Q267)&amp;""))</f>
        <v/>
      </c>
      <c r="H267">
        <f>IF($Q267="","",CHOOSE(WEEKDAY(INDEX(상세표[시작],$Q267)),"일","월","화","수","목","금","토"))</f>
        <v/>
      </c>
      <c r="I267" s="20">
        <f>IF($Q267="","",INDEX(상세표[연속 시간],$Q267))</f>
        <v/>
      </c>
      <c r="J267">
        <f>IF($Q267="","",INDEX(상세표[기록 수],$Q267))</f>
        <v/>
      </c>
      <c r="K267" s="20">
        <f>IF($Q267="","",INDEX(상세표[블록 06~07시],$Q267))</f>
        <v/>
      </c>
      <c r="L267" s="20">
        <f>IF($Q267="","",INDEX(상세표[블록 07~18시],$Q267))</f>
        <v/>
      </c>
      <c r="M267" s="20">
        <f>IF($Q267="","",INDEX(상세표[블록 18~22시],$Q267))</f>
        <v/>
      </c>
      <c r="N267" s="20">
        <f>IF($Q267="","",INDEX(상세표[블록 22~06시],$Q267))</f>
        <v/>
      </c>
      <c r="O267">
        <f>IF($Q267="","",INDEX(상세표[주말·휴일 포함],$Q267)&amp;"")</f>
        <v/>
      </c>
      <c r="P267">
        <f>IF($Q267="","",INDEX(상세표[월 넘김 포함],$Q267)&amp;"")</f>
        <v/>
      </c>
      <c r="Q267" s="4">
        <f>IFERROR(MATCH(262,상세표[연속순번],0),"")</f>
        <v/>
      </c>
    </row>
    <row r="268">
      <c r="A268">
        <f>IF($Q268="","",INDEX(상세표[부서],$Q268)&amp;"")</f>
        <v/>
      </c>
      <c r="B268">
        <f>IF($Q268="","",INDEX(상세표[사번],$Q268)&amp;"")</f>
        <v/>
      </c>
      <c r="C268">
        <f>IF($Q268="","",INDEX(상세표[성명],$Q268)&amp;"")</f>
        <v/>
      </c>
      <c r="D268">
        <f>IF($Q268="","",INDEX(상세표[직위],$Q268)&amp;"")</f>
        <v/>
      </c>
      <c r="E268">
        <f>IF($Q268="","",IF(ISNUMBER(INDEX(상세표[근무일자],$Q268)),TEXT(INDEX(상세표[근무일자],$Q268),"yyyy-mm-dd"),INDEX(상세표[근무일자],$Q268)&amp;""))</f>
        <v/>
      </c>
      <c r="F268">
        <f>IF($Q268="","",IF(ISNUMBER(INDEX(상세표[시작],$Q268)),TEXT(INDEX(상세표[시작],$Q268),"yyyy-mm-dd hh:mm"),INDEX(상세표[시작],$Q268)&amp;""))</f>
        <v/>
      </c>
      <c r="G268">
        <f>IF($Q268="","",IF(ISNUMBER(INDEX(상세표[블록종료],$Q268)),TEXT(INDEX(상세표[블록종료],$Q268),"yyyy-mm-dd hh:mm"),INDEX(상세표[블록종료],$Q268)&amp;""))</f>
        <v/>
      </c>
      <c r="H268">
        <f>IF($Q268="","",CHOOSE(WEEKDAY(INDEX(상세표[시작],$Q268)),"일","월","화","수","목","금","토"))</f>
        <v/>
      </c>
      <c r="I268" s="20">
        <f>IF($Q268="","",INDEX(상세표[연속 시간],$Q268))</f>
        <v/>
      </c>
      <c r="J268">
        <f>IF($Q268="","",INDEX(상세표[기록 수],$Q268))</f>
        <v/>
      </c>
      <c r="K268" s="20">
        <f>IF($Q268="","",INDEX(상세표[블록 06~07시],$Q268))</f>
        <v/>
      </c>
      <c r="L268" s="20">
        <f>IF($Q268="","",INDEX(상세표[블록 07~18시],$Q268))</f>
        <v/>
      </c>
      <c r="M268" s="20">
        <f>IF($Q268="","",INDEX(상세표[블록 18~22시],$Q268))</f>
        <v/>
      </c>
      <c r="N268" s="20">
        <f>IF($Q268="","",INDEX(상세표[블록 22~06시],$Q268))</f>
        <v/>
      </c>
      <c r="O268">
        <f>IF($Q268="","",INDEX(상세표[주말·휴일 포함],$Q268)&amp;"")</f>
        <v/>
      </c>
      <c r="P268">
        <f>IF($Q268="","",INDEX(상세표[월 넘김 포함],$Q268)&amp;"")</f>
        <v/>
      </c>
      <c r="Q268" s="4">
        <f>IFERROR(MATCH(263,상세표[연속순번],0),"")</f>
        <v/>
      </c>
    </row>
    <row r="269">
      <c r="A269">
        <f>IF($Q269="","",INDEX(상세표[부서],$Q269)&amp;"")</f>
        <v/>
      </c>
      <c r="B269">
        <f>IF($Q269="","",INDEX(상세표[사번],$Q269)&amp;"")</f>
        <v/>
      </c>
      <c r="C269">
        <f>IF($Q269="","",INDEX(상세표[성명],$Q269)&amp;"")</f>
        <v/>
      </c>
      <c r="D269">
        <f>IF($Q269="","",INDEX(상세표[직위],$Q269)&amp;"")</f>
        <v/>
      </c>
      <c r="E269">
        <f>IF($Q269="","",IF(ISNUMBER(INDEX(상세표[근무일자],$Q269)),TEXT(INDEX(상세표[근무일자],$Q269),"yyyy-mm-dd"),INDEX(상세표[근무일자],$Q269)&amp;""))</f>
        <v/>
      </c>
      <c r="F269">
        <f>IF($Q269="","",IF(ISNUMBER(INDEX(상세표[시작],$Q269)),TEXT(INDEX(상세표[시작],$Q269),"yyyy-mm-dd hh:mm"),INDEX(상세표[시작],$Q269)&amp;""))</f>
        <v/>
      </c>
      <c r="G269">
        <f>IF($Q269="","",IF(ISNUMBER(INDEX(상세표[블록종료],$Q269)),TEXT(INDEX(상세표[블록종료],$Q269),"yyyy-mm-dd hh:mm"),INDEX(상세표[블록종료],$Q269)&amp;""))</f>
        <v/>
      </c>
      <c r="H269">
        <f>IF($Q269="","",CHOOSE(WEEKDAY(INDEX(상세표[시작],$Q269)),"일","월","화","수","목","금","토"))</f>
        <v/>
      </c>
      <c r="I269" s="20">
        <f>IF($Q269="","",INDEX(상세표[연속 시간],$Q269))</f>
        <v/>
      </c>
      <c r="J269">
        <f>IF($Q269="","",INDEX(상세표[기록 수],$Q269))</f>
        <v/>
      </c>
      <c r="K269" s="20">
        <f>IF($Q269="","",INDEX(상세표[블록 06~07시],$Q269))</f>
        <v/>
      </c>
      <c r="L269" s="20">
        <f>IF($Q269="","",INDEX(상세표[블록 07~18시],$Q269))</f>
        <v/>
      </c>
      <c r="M269" s="20">
        <f>IF($Q269="","",INDEX(상세표[블록 18~22시],$Q269))</f>
        <v/>
      </c>
      <c r="N269" s="20">
        <f>IF($Q269="","",INDEX(상세표[블록 22~06시],$Q269))</f>
        <v/>
      </c>
      <c r="O269">
        <f>IF($Q269="","",INDEX(상세표[주말·휴일 포함],$Q269)&amp;"")</f>
        <v/>
      </c>
      <c r="P269">
        <f>IF($Q269="","",INDEX(상세표[월 넘김 포함],$Q269)&amp;"")</f>
        <v/>
      </c>
      <c r="Q269" s="4">
        <f>IFERROR(MATCH(264,상세표[연속순번],0),"")</f>
        <v/>
      </c>
    </row>
    <row r="270">
      <c r="A270">
        <f>IF($Q270="","",INDEX(상세표[부서],$Q270)&amp;"")</f>
        <v/>
      </c>
      <c r="B270">
        <f>IF($Q270="","",INDEX(상세표[사번],$Q270)&amp;"")</f>
        <v/>
      </c>
      <c r="C270">
        <f>IF($Q270="","",INDEX(상세표[성명],$Q270)&amp;"")</f>
        <v/>
      </c>
      <c r="D270">
        <f>IF($Q270="","",INDEX(상세표[직위],$Q270)&amp;"")</f>
        <v/>
      </c>
      <c r="E270">
        <f>IF($Q270="","",IF(ISNUMBER(INDEX(상세표[근무일자],$Q270)),TEXT(INDEX(상세표[근무일자],$Q270),"yyyy-mm-dd"),INDEX(상세표[근무일자],$Q270)&amp;""))</f>
        <v/>
      </c>
      <c r="F270">
        <f>IF($Q270="","",IF(ISNUMBER(INDEX(상세표[시작],$Q270)),TEXT(INDEX(상세표[시작],$Q270),"yyyy-mm-dd hh:mm"),INDEX(상세표[시작],$Q270)&amp;""))</f>
        <v/>
      </c>
      <c r="G270">
        <f>IF($Q270="","",IF(ISNUMBER(INDEX(상세표[블록종료],$Q270)),TEXT(INDEX(상세표[블록종료],$Q270),"yyyy-mm-dd hh:mm"),INDEX(상세표[블록종료],$Q270)&amp;""))</f>
        <v/>
      </c>
      <c r="H270">
        <f>IF($Q270="","",CHOOSE(WEEKDAY(INDEX(상세표[시작],$Q270)),"일","월","화","수","목","금","토"))</f>
        <v/>
      </c>
      <c r="I270" s="20">
        <f>IF($Q270="","",INDEX(상세표[연속 시간],$Q270))</f>
        <v/>
      </c>
      <c r="J270">
        <f>IF($Q270="","",INDEX(상세표[기록 수],$Q270))</f>
        <v/>
      </c>
      <c r="K270" s="20">
        <f>IF($Q270="","",INDEX(상세표[블록 06~07시],$Q270))</f>
        <v/>
      </c>
      <c r="L270" s="20">
        <f>IF($Q270="","",INDEX(상세표[블록 07~18시],$Q270))</f>
        <v/>
      </c>
      <c r="M270" s="20">
        <f>IF($Q270="","",INDEX(상세표[블록 18~22시],$Q270))</f>
        <v/>
      </c>
      <c r="N270" s="20">
        <f>IF($Q270="","",INDEX(상세표[블록 22~06시],$Q270))</f>
        <v/>
      </c>
      <c r="O270">
        <f>IF($Q270="","",INDEX(상세표[주말·휴일 포함],$Q270)&amp;"")</f>
        <v/>
      </c>
      <c r="P270">
        <f>IF($Q270="","",INDEX(상세표[월 넘김 포함],$Q270)&amp;"")</f>
        <v/>
      </c>
      <c r="Q270" s="4">
        <f>IFERROR(MATCH(265,상세표[연속순번],0),"")</f>
        <v/>
      </c>
    </row>
    <row r="271">
      <c r="A271">
        <f>IF($Q271="","",INDEX(상세표[부서],$Q271)&amp;"")</f>
        <v/>
      </c>
      <c r="B271">
        <f>IF($Q271="","",INDEX(상세표[사번],$Q271)&amp;"")</f>
        <v/>
      </c>
      <c r="C271">
        <f>IF($Q271="","",INDEX(상세표[성명],$Q271)&amp;"")</f>
        <v/>
      </c>
      <c r="D271">
        <f>IF($Q271="","",INDEX(상세표[직위],$Q271)&amp;"")</f>
        <v/>
      </c>
      <c r="E271">
        <f>IF($Q271="","",IF(ISNUMBER(INDEX(상세표[근무일자],$Q271)),TEXT(INDEX(상세표[근무일자],$Q271),"yyyy-mm-dd"),INDEX(상세표[근무일자],$Q271)&amp;""))</f>
        <v/>
      </c>
      <c r="F271">
        <f>IF($Q271="","",IF(ISNUMBER(INDEX(상세표[시작],$Q271)),TEXT(INDEX(상세표[시작],$Q271),"yyyy-mm-dd hh:mm"),INDEX(상세표[시작],$Q271)&amp;""))</f>
        <v/>
      </c>
      <c r="G271">
        <f>IF($Q271="","",IF(ISNUMBER(INDEX(상세표[블록종료],$Q271)),TEXT(INDEX(상세표[블록종료],$Q271),"yyyy-mm-dd hh:mm"),INDEX(상세표[블록종료],$Q271)&amp;""))</f>
        <v/>
      </c>
      <c r="H271">
        <f>IF($Q271="","",CHOOSE(WEEKDAY(INDEX(상세표[시작],$Q271)),"일","월","화","수","목","금","토"))</f>
        <v/>
      </c>
      <c r="I271" s="20">
        <f>IF($Q271="","",INDEX(상세표[연속 시간],$Q271))</f>
        <v/>
      </c>
      <c r="J271">
        <f>IF($Q271="","",INDEX(상세표[기록 수],$Q271))</f>
        <v/>
      </c>
      <c r="K271" s="20">
        <f>IF($Q271="","",INDEX(상세표[블록 06~07시],$Q271))</f>
        <v/>
      </c>
      <c r="L271" s="20">
        <f>IF($Q271="","",INDEX(상세표[블록 07~18시],$Q271))</f>
        <v/>
      </c>
      <c r="M271" s="20">
        <f>IF($Q271="","",INDEX(상세표[블록 18~22시],$Q271))</f>
        <v/>
      </c>
      <c r="N271" s="20">
        <f>IF($Q271="","",INDEX(상세표[블록 22~06시],$Q271))</f>
        <v/>
      </c>
      <c r="O271">
        <f>IF($Q271="","",INDEX(상세표[주말·휴일 포함],$Q271)&amp;"")</f>
        <v/>
      </c>
      <c r="P271">
        <f>IF($Q271="","",INDEX(상세표[월 넘김 포함],$Q271)&amp;"")</f>
        <v/>
      </c>
      <c r="Q271" s="4">
        <f>IFERROR(MATCH(266,상세표[연속순번],0),"")</f>
        <v/>
      </c>
    </row>
    <row r="272">
      <c r="A272">
        <f>IF($Q272="","",INDEX(상세표[부서],$Q272)&amp;"")</f>
        <v/>
      </c>
      <c r="B272">
        <f>IF($Q272="","",INDEX(상세표[사번],$Q272)&amp;"")</f>
        <v/>
      </c>
      <c r="C272">
        <f>IF($Q272="","",INDEX(상세표[성명],$Q272)&amp;"")</f>
        <v/>
      </c>
      <c r="D272">
        <f>IF($Q272="","",INDEX(상세표[직위],$Q272)&amp;"")</f>
        <v/>
      </c>
      <c r="E272">
        <f>IF($Q272="","",IF(ISNUMBER(INDEX(상세표[근무일자],$Q272)),TEXT(INDEX(상세표[근무일자],$Q272),"yyyy-mm-dd"),INDEX(상세표[근무일자],$Q272)&amp;""))</f>
        <v/>
      </c>
      <c r="F272">
        <f>IF($Q272="","",IF(ISNUMBER(INDEX(상세표[시작],$Q272)),TEXT(INDEX(상세표[시작],$Q272),"yyyy-mm-dd hh:mm"),INDEX(상세표[시작],$Q272)&amp;""))</f>
        <v/>
      </c>
      <c r="G272">
        <f>IF($Q272="","",IF(ISNUMBER(INDEX(상세표[블록종료],$Q272)),TEXT(INDEX(상세표[블록종료],$Q272),"yyyy-mm-dd hh:mm"),INDEX(상세표[블록종료],$Q272)&amp;""))</f>
        <v/>
      </c>
      <c r="H272">
        <f>IF($Q272="","",CHOOSE(WEEKDAY(INDEX(상세표[시작],$Q272)),"일","월","화","수","목","금","토"))</f>
        <v/>
      </c>
      <c r="I272" s="20">
        <f>IF($Q272="","",INDEX(상세표[연속 시간],$Q272))</f>
        <v/>
      </c>
      <c r="J272">
        <f>IF($Q272="","",INDEX(상세표[기록 수],$Q272))</f>
        <v/>
      </c>
      <c r="K272" s="20">
        <f>IF($Q272="","",INDEX(상세표[블록 06~07시],$Q272))</f>
        <v/>
      </c>
      <c r="L272" s="20">
        <f>IF($Q272="","",INDEX(상세표[블록 07~18시],$Q272))</f>
        <v/>
      </c>
      <c r="M272" s="20">
        <f>IF($Q272="","",INDEX(상세표[블록 18~22시],$Q272))</f>
        <v/>
      </c>
      <c r="N272" s="20">
        <f>IF($Q272="","",INDEX(상세표[블록 22~06시],$Q272))</f>
        <v/>
      </c>
      <c r="O272">
        <f>IF($Q272="","",INDEX(상세표[주말·휴일 포함],$Q272)&amp;"")</f>
        <v/>
      </c>
      <c r="P272">
        <f>IF($Q272="","",INDEX(상세표[월 넘김 포함],$Q272)&amp;"")</f>
        <v/>
      </c>
      <c r="Q272" s="4">
        <f>IFERROR(MATCH(267,상세표[연속순번],0),"")</f>
        <v/>
      </c>
    </row>
    <row r="273">
      <c r="A273">
        <f>IF($Q273="","",INDEX(상세표[부서],$Q273)&amp;"")</f>
        <v/>
      </c>
      <c r="B273">
        <f>IF($Q273="","",INDEX(상세표[사번],$Q273)&amp;"")</f>
        <v/>
      </c>
      <c r="C273">
        <f>IF($Q273="","",INDEX(상세표[성명],$Q273)&amp;"")</f>
        <v/>
      </c>
      <c r="D273">
        <f>IF($Q273="","",INDEX(상세표[직위],$Q273)&amp;"")</f>
        <v/>
      </c>
      <c r="E273">
        <f>IF($Q273="","",IF(ISNUMBER(INDEX(상세표[근무일자],$Q273)),TEXT(INDEX(상세표[근무일자],$Q273),"yyyy-mm-dd"),INDEX(상세표[근무일자],$Q273)&amp;""))</f>
        <v/>
      </c>
      <c r="F273">
        <f>IF($Q273="","",IF(ISNUMBER(INDEX(상세표[시작],$Q273)),TEXT(INDEX(상세표[시작],$Q273),"yyyy-mm-dd hh:mm"),INDEX(상세표[시작],$Q273)&amp;""))</f>
        <v/>
      </c>
      <c r="G273">
        <f>IF($Q273="","",IF(ISNUMBER(INDEX(상세표[블록종료],$Q273)),TEXT(INDEX(상세표[블록종료],$Q273),"yyyy-mm-dd hh:mm"),INDEX(상세표[블록종료],$Q273)&amp;""))</f>
        <v/>
      </c>
      <c r="H273">
        <f>IF($Q273="","",CHOOSE(WEEKDAY(INDEX(상세표[시작],$Q273)),"일","월","화","수","목","금","토"))</f>
        <v/>
      </c>
      <c r="I273" s="20">
        <f>IF($Q273="","",INDEX(상세표[연속 시간],$Q273))</f>
        <v/>
      </c>
      <c r="J273">
        <f>IF($Q273="","",INDEX(상세표[기록 수],$Q273))</f>
        <v/>
      </c>
      <c r="K273" s="20">
        <f>IF($Q273="","",INDEX(상세표[블록 06~07시],$Q273))</f>
        <v/>
      </c>
      <c r="L273" s="20">
        <f>IF($Q273="","",INDEX(상세표[블록 07~18시],$Q273))</f>
        <v/>
      </c>
      <c r="M273" s="20">
        <f>IF($Q273="","",INDEX(상세표[블록 18~22시],$Q273))</f>
        <v/>
      </c>
      <c r="N273" s="20">
        <f>IF($Q273="","",INDEX(상세표[블록 22~06시],$Q273))</f>
        <v/>
      </c>
      <c r="O273">
        <f>IF($Q273="","",INDEX(상세표[주말·휴일 포함],$Q273)&amp;"")</f>
        <v/>
      </c>
      <c r="P273">
        <f>IF($Q273="","",INDEX(상세표[월 넘김 포함],$Q273)&amp;"")</f>
        <v/>
      </c>
      <c r="Q273" s="4">
        <f>IFERROR(MATCH(268,상세표[연속순번],0),"")</f>
        <v/>
      </c>
    </row>
    <row r="274">
      <c r="A274">
        <f>IF($Q274="","",INDEX(상세표[부서],$Q274)&amp;"")</f>
        <v/>
      </c>
      <c r="B274">
        <f>IF($Q274="","",INDEX(상세표[사번],$Q274)&amp;"")</f>
        <v/>
      </c>
      <c r="C274">
        <f>IF($Q274="","",INDEX(상세표[성명],$Q274)&amp;"")</f>
        <v/>
      </c>
      <c r="D274">
        <f>IF($Q274="","",INDEX(상세표[직위],$Q274)&amp;"")</f>
        <v/>
      </c>
      <c r="E274">
        <f>IF($Q274="","",IF(ISNUMBER(INDEX(상세표[근무일자],$Q274)),TEXT(INDEX(상세표[근무일자],$Q274),"yyyy-mm-dd"),INDEX(상세표[근무일자],$Q274)&amp;""))</f>
        <v/>
      </c>
      <c r="F274">
        <f>IF($Q274="","",IF(ISNUMBER(INDEX(상세표[시작],$Q274)),TEXT(INDEX(상세표[시작],$Q274),"yyyy-mm-dd hh:mm"),INDEX(상세표[시작],$Q274)&amp;""))</f>
        <v/>
      </c>
      <c r="G274">
        <f>IF($Q274="","",IF(ISNUMBER(INDEX(상세표[블록종료],$Q274)),TEXT(INDEX(상세표[블록종료],$Q274),"yyyy-mm-dd hh:mm"),INDEX(상세표[블록종료],$Q274)&amp;""))</f>
        <v/>
      </c>
      <c r="H274">
        <f>IF($Q274="","",CHOOSE(WEEKDAY(INDEX(상세표[시작],$Q274)),"일","월","화","수","목","금","토"))</f>
        <v/>
      </c>
      <c r="I274" s="20">
        <f>IF($Q274="","",INDEX(상세표[연속 시간],$Q274))</f>
        <v/>
      </c>
      <c r="J274">
        <f>IF($Q274="","",INDEX(상세표[기록 수],$Q274))</f>
        <v/>
      </c>
      <c r="K274" s="20">
        <f>IF($Q274="","",INDEX(상세표[블록 06~07시],$Q274))</f>
        <v/>
      </c>
      <c r="L274" s="20">
        <f>IF($Q274="","",INDEX(상세표[블록 07~18시],$Q274))</f>
        <v/>
      </c>
      <c r="M274" s="20">
        <f>IF($Q274="","",INDEX(상세표[블록 18~22시],$Q274))</f>
        <v/>
      </c>
      <c r="N274" s="20">
        <f>IF($Q274="","",INDEX(상세표[블록 22~06시],$Q274))</f>
        <v/>
      </c>
      <c r="O274">
        <f>IF($Q274="","",INDEX(상세표[주말·휴일 포함],$Q274)&amp;"")</f>
        <v/>
      </c>
      <c r="P274">
        <f>IF($Q274="","",INDEX(상세표[월 넘김 포함],$Q274)&amp;"")</f>
        <v/>
      </c>
      <c r="Q274" s="4">
        <f>IFERROR(MATCH(269,상세표[연속순번],0),"")</f>
        <v/>
      </c>
    </row>
    <row r="275">
      <c r="A275">
        <f>IF($Q275="","",INDEX(상세표[부서],$Q275)&amp;"")</f>
        <v/>
      </c>
      <c r="B275">
        <f>IF($Q275="","",INDEX(상세표[사번],$Q275)&amp;"")</f>
        <v/>
      </c>
      <c r="C275">
        <f>IF($Q275="","",INDEX(상세표[성명],$Q275)&amp;"")</f>
        <v/>
      </c>
      <c r="D275">
        <f>IF($Q275="","",INDEX(상세표[직위],$Q275)&amp;"")</f>
        <v/>
      </c>
      <c r="E275">
        <f>IF($Q275="","",IF(ISNUMBER(INDEX(상세표[근무일자],$Q275)),TEXT(INDEX(상세표[근무일자],$Q275),"yyyy-mm-dd"),INDEX(상세표[근무일자],$Q275)&amp;""))</f>
        <v/>
      </c>
      <c r="F275">
        <f>IF($Q275="","",IF(ISNUMBER(INDEX(상세표[시작],$Q275)),TEXT(INDEX(상세표[시작],$Q275),"yyyy-mm-dd hh:mm"),INDEX(상세표[시작],$Q275)&amp;""))</f>
        <v/>
      </c>
      <c r="G275">
        <f>IF($Q275="","",IF(ISNUMBER(INDEX(상세표[블록종료],$Q275)),TEXT(INDEX(상세표[블록종료],$Q275),"yyyy-mm-dd hh:mm"),INDEX(상세표[블록종료],$Q275)&amp;""))</f>
        <v/>
      </c>
      <c r="H275">
        <f>IF($Q275="","",CHOOSE(WEEKDAY(INDEX(상세표[시작],$Q275)),"일","월","화","수","목","금","토"))</f>
        <v/>
      </c>
      <c r="I275" s="20">
        <f>IF($Q275="","",INDEX(상세표[연속 시간],$Q275))</f>
        <v/>
      </c>
      <c r="J275">
        <f>IF($Q275="","",INDEX(상세표[기록 수],$Q275))</f>
        <v/>
      </c>
      <c r="K275" s="20">
        <f>IF($Q275="","",INDEX(상세표[블록 06~07시],$Q275))</f>
        <v/>
      </c>
      <c r="L275" s="20">
        <f>IF($Q275="","",INDEX(상세표[블록 07~18시],$Q275))</f>
        <v/>
      </c>
      <c r="M275" s="20">
        <f>IF($Q275="","",INDEX(상세표[블록 18~22시],$Q275))</f>
        <v/>
      </c>
      <c r="N275" s="20">
        <f>IF($Q275="","",INDEX(상세표[블록 22~06시],$Q275))</f>
        <v/>
      </c>
      <c r="O275">
        <f>IF($Q275="","",INDEX(상세표[주말·휴일 포함],$Q275)&amp;"")</f>
        <v/>
      </c>
      <c r="P275">
        <f>IF($Q275="","",INDEX(상세표[월 넘김 포함],$Q275)&amp;"")</f>
        <v/>
      </c>
      <c r="Q275" s="4">
        <f>IFERROR(MATCH(270,상세표[연속순번],0),"")</f>
        <v/>
      </c>
    </row>
    <row r="276">
      <c r="A276">
        <f>IF($Q276="","",INDEX(상세표[부서],$Q276)&amp;"")</f>
        <v/>
      </c>
      <c r="B276">
        <f>IF($Q276="","",INDEX(상세표[사번],$Q276)&amp;"")</f>
        <v/>
      </c>
      <c r="C276">
        <f>IF($Q276="","",INDEX(상세표[성명],$Q276)&amp;"")</f>
        <v/>
      </c>
      <c r="D276">
        <f>IF($Q276="","",INDEX(상세표[직위],$Q276)&amp;"")</f>
        <v/>
      </c>
      <c r="E276">
        <f>IF($Q276="","",IF(ISNUMBER(INDEX(상세표[근무일자],$Q276)),TEXT(INDEX(상세표[근무일자],$Q276),"yyyy-mm-dd"),INDEX(상세표[근무일자],$Q276)&amp;""))</f>
        <v/>
      </c>
      <c r="F276">
        <f>IF($Q276="","",IF(ISNUMBER(INDEX(상세표[시작],$Q276)),TEXT(INDEX(상세표[시작],$Q276),"yyyy-mm-dd hh:mm"),INDEX(상세표[시작],$Q276)&amp;""))</f>
        <v/>
      </c>
      <c r="G276">
        <f>IF($Q276="","",IF(ISNUMBER(INDEX(상세표[블록종료],$Q276)),TEXT(INDEX(상세표[블록종료],$Q276),"yyyy-mm-dd hh:mm"),INDEX(상세표[블록종료],$Q276)&amp;""))</f>
        <v/>
      </c>
      <c r="H276">
        <f>IF($Q276="","",CHOOSE(WEEKDAY(INDEX(상세표[시작],$Q276)),"일","월","화","수","목","금","토"))</f>
        <v/>
      </c>
      <c r="I276" s="20">
        <f>IF($Q276="","",INDEX(상세표[연속 시간],$Q276))</f>
        <v/>
      </c>
      <c r="J276">
        <f>IF($Q276="","",INDEX(상세표[기록 수],$Q276))</f>
        <v/>
      </c>
      <c r="K276" s="20">
        <f>IF($Q276="","",INDEX(상세표[블록 06~07시],$Q276))</f>
        <v/>
      </c>
      <c r="L276" s="20">
        <f>IF($Q276="","",INDEX(상세표[블록 07~18시],$Q276))</f>
        <v/>
      </c>
      <c r="M276" s="20">
        <f>IF($Q276="","",INDEX(상세표[블록 18~22시],$Q276))</f>
        <v/>
      </c>
      <c r="N276" s="20">
        <f>IF($Q276="","",INDEX(상세표[블록 22~06시],$Q276))</f>
        <v/>
      </c>
      <c r="O276">
        <f>IF($Q276="","",INDEX(상세표[주말·휴일 포함],$Q276)&amp;"")</f>
        <v/>
      </c>
      <c r="P276">
        <f>IF($Q276="","",INDEX(상세표[월 넘김 포함],$Q276)&amp;"")</f>
        <v/>
      </c>
      <c r="Q276" s="4">
        <f>IFERROR(MATCH(271,상세표[연속순번],0),"")</f>
        <v/>
      </c>
    </row>
    <row r="277">
      <c r="A277">
        <f>IF($Q277="","",INDEX(상세표[부서],$Q277)&amp;"")</f>
        <v/>
      </c>
      <c r="B277">
        <f>IF($Q277="","",INDEX(상세표[사번],$Q277)&amp;"")</f>
        <v/>
      </c>
      <c r="C277">
        <f>IF($Q277="","",INDEX(상세표[성명],$Q277)&amp;"")</f>
        <v/>
      </c>
      <c r="D277">
        <f>IF($Q277="","",INDEX(상세표[직위],$Q277)&amp;"")</f>
        <v/>
      </c>
      <c r="E277">
        <f>IF($Q277="","",IF(ISNUMBER(INDEX(상세표[근무일자],$Q277)),TEXT(INDEX(상세표[근무일자],$Q277),"yyyy-mm-dd"),INDEX(상세표[근무일자],$Q277)&amp;""))</f>
        <v/>
      </c>
      <c r="F277">
        <f>IF($Q277="","",IF(ISNUMBER(INDEX(상세표[시작],$Q277)),TEXT(INDEX(상세표[시작],$Q277),"yyyy-mm-dd hh:mm"),INDEX(상세표[시작],$Q277)&amp;""))</f>
        <v/>
      </c>
      <c r="G277">
        <f>IF($Q277="","",IF(ISNUMBER(INDEX(상세표[블록종료],$Q277)),TEXT(INDEX(상세표[블록종료],$Q277),"yyyy-mm-dd hh:mm"),INDEX(상세표[블록종료],$Q277)&amp;""))</f>
        <v/>
      </c>
      <c r="H277">
        <f>IF($Q277="","",CHOOSE(WEEKDAY(INDEX(상세표[시작],$Q277)),"일","월","화","수","목","금","토"))</f>
        <v/>
      </c>
      <c r="I277" s="20">
        <f>IF($Q277="","",INDEX(상세표[연속 시간],$Q277))</f>
        <v/>
      </c>
      <c r="J277">
        <f>IF($Q277="","",INDEX(상세표[기록 수],$Q277))</f>
        <v/>
      </c>
      <c r="K277" s="20">
        <f>IF($Q277="","",INDEX(상세표[블록 06~07시],$Q277))</f>
        <v/>
      </c>
      <c r="L277" s="20">
        <f>IF($Q277="","",INDEX(상세표[블록 07~18시],$Q277))</f>
        <v/>
      </c>
      <c r="M277" s="20">
        <f>IF($Q277="","",INDEX(상세표[블록 18~22시],$Q277))</f>
        <v/>
      </c>
      <c r="N277" s="20">
        <f>IF($Q277="","",INDEX(상세표[블록 22~06시],$Q277))</f>
        <v/>
      </c>
      <c r="O277">
        <f>IF($Q277="","",INDEX(상세표[주말·휴일 포함],$Q277)&amp;"")</f>
        <v/>
      </c>
      <c r="P277">
        <f>IF($Q277="","",INDEX(상세표[월 넘김 포함],$Q277)&amp;"")</f>
        <v/>
      </c>
      <c r="Q277" s="4">
        <f>IFERROR(MATCH(272,상세표[연속순번],0),"")</f>
        <v/>
      </c>
    </row>
    <row r="278">
      <c r="A278">
        <f>IF($Q278="","",INDEX(상세표[부서],$Q278)&amp;"")</f>
        <v/>
      </c>
      <c r="B278">
        <f>IF($Q278="","",INDEX(상세표[사번],$Q278)&amp;"")</f>
        <v/>
      </c>
      <c r="C278">
        <f>IF($Q278="","",INDEX(상세표[성명],$Q278)&amp;"")</f>
        <v/>
      </c>
      <c r="D278">
        <f>IF($Q278="","",INDEX(상세표[직위],$Q278)&amp;"")</f>
        <v/>
      </c>
      <c r="E278">
        <f>IF($Q278="","",IF(ISNUMBER(INDEX(상세표[근무일자],$Q278)),TEXT(INDEX(상세표[근무일자],$Q278),"yyyy-mm-dd"),INDEX(상세표[근무일자],$Q278)&amp;""))</f>
        <v/>
      </c>
      <c r="F278">
        <f>IF($Q278="","",IF(ISNUMBER(INDEX(상세표[시작],$Q278)),TEXT(INDEX(상세표[시작],$Q278),"yyyy-mm-dd hh:mm"),INDEX(상세표[시작],$Q278)&amp;""))</f>
        <v/>
      </c>
      <c r="G278">
        <f>IF($Q278="","",IF(ISNUMBER(INDEX(상세표[블록종료],$Q278)),TEXT(INDEX(상세표[블록종료],$Q278),"yyyy-mm-dd hh:mm"),INDEX(상세표[블록종료],$Q278)&amp;""))</f>
        <v/>
      </c>
      <c r="H278">
        <f>IF($Q278="","",CHOOSE(WEEKDAY(INDEX(상세표[시작],$Q278)),"일","월","화","수","목","금","토"))</f>
        <v/>
      </c>
      <c r="I278" s="20">
        <f>IF($Q278="","",INDEX(상세표[연속 시간],$Q278))</f>
        <v/>
      </c>
      <c r="J278">
        <f>IF($Q278="","",INDEX(상세표[기록 수],$Q278))</f>
        <v/>
      </c>
      <c r="K278" s="20">
        <f>IF($Q278="","",INDEX(상세표[블록 06~07시],$Q278))</f>
        <v/>
      </c>
      <c r="L278" s="20">
        <f>IF($Q278="","",INDEX(상세표[블록 07~18시],$Q278))</f>
        <v/>
      </c>
      <c r="M278" s="20">
        <f>IF($Q278="","",INDEX(상세표[블록 18~22시],$Q278))</f>
        <v/>
      </c>
      <c r="N278" s="20">
        <f>IF($Q278="","",INDEX(상세표[블록 22~06시],$Q278))</f>
        <v/>
      </c>
      <c r="O278">
        <f>IF($Q278="","",INDEX(상세표[주말·휴일 포함],$Q278)&amp;"")</f>
        <v/>
      </c>
      <c r="P278">
        <f>IF($Q278="","",INDEX(상세표[월 넘김 포함],$Q278)&amp;"")</f>
        <v/>
      </c>
      <c r="Q278" s="4">
        <f>IFERROR(MATCH(273,상세표[연속순번],0),"")</f>
        <v/>
      </c>
    </row>
    <row r="279">
      <c r="A279">
        <f>IF($Q279="","",INDEX(상세표[부서],$Q279)&amp;"")</f>
        <v/>
      </c>
      <c r="B279">
        <f>IF($Q279="","",INDEX(상세표[사번],$Q279)&amp;"")</f>
        <v/>
      </c>
      <c r="C279">
        <f>IF($Q279="","",INDEX(상세표[성명],$Q279)&amp;"")</f>
        <v/>
      </c>
      <c r="D279">
        <f>IF($Q279="","",INDEX(상세표[직위],$Q279)&amp;"")</f>
        <v/>
      </c>
      <c r="E279">
        <f>IF($Q279="","",IF(ISNUMBER(INDEX(상세표[근무일자],$Q279)),TEXT(INDEX(상세표[근무일자],$Q279),"yyyy-mm-dd"),INDEX(상세표[근무일자],$Q279)&amp;""))</f>
        <v/>
      </c>
      <c r="F279">
        <f>IF($Q279="","",IF(ISNUMBER(INDEX(상세표[시작],$Q279)),TEXT(INDEX(상세표[시작],$Q279),"yyyy-mm-dd hh:mm"),INDEX(상세표[시작],$Q279)&amp;""))</f>
        <v/>
      </c>
      <c r="G279">
        <f>IF($Q279="","",IF(ISNUMBER(INDEX(상세표[블록종료],$Q279)),TEXT(INDEX(상세표[블록종료],$Q279),"yyyy-mm-dd hh:mm"),INDEX(상세표[블록종료],$Q279)&amp;""))</f>
        <v/>
      </c>
      <c r="H279">
        <f>IF($Q279="","",CHOOSE(WEEKDAY(INDEX(상세표[시작],$Q279)),"일","월","화","수","목","금","토"))</f>
        <v/>
      </c>
      <c r="I279" s="20">
        <f>IF($Q279="","",INDEX(상세표[연속 시간],$Q279))</f>
        <v/>
      </c>
      <c r="J279">
        <f>IF($Q279="","",INDEX(상세표[기록 수],$Q279))</f>
        <v/>
      </c>
      <c r="K279" s="20">
        <f>IF($Q279="","",INDEX(상세표[블록 06~07시],$Q279))</f>
        <v/>
      </c>
      <c r="L279" s="20">
        <f>IF($Q279="","",INDEX(상세표[블록 07~18시],$Q279))</f>
        <v/>
      </c>
      <c r="M279" s="20">
        <f>IF($Q279="","",INDEX(상세표[블록 18~22시],$Q279))</f>
        <v/>
      </c>
      <c r="N279" s="20">
        <f>IF($Q279="","",INDEX(상세표[블록 22~06시],$Q279))</f>
        <v/>
      </c>
      <c r="O279">
        <f>IF($Q279="","",INDEX(상세표[주말·휴일 포함],$Q279)&amp;"")</f>
        <v/>
      </c>
      <c r="P279">
        <f>IF($Q279="","",INDEX(상세표[월 넘김 포함],$Q279)&amp;"")</f>
        <v/>
      </c>
      <c r="Q279" s="4">
        <f>IFERROR(MATCH(274,상세표[연속순번],0),"")</f>
        <v/>
      </c>
    </row>
    <row r="280">
      <c r="A280">
        <f>IF($Q280="","",INDEX(상세표[부서],$Q280)&amp;"")</f>
        <v/>
      </c>
      <c r="B280">
        <f>IF($Q280="","",INDEX(상세표[사번],$Q280)&amp;"")</f>
        <v/>
      </c>
      <c r="C280">
        <f>IF($Q280="","",INDEX(상세표[성명],$Q280)&amp;"")</f>
        <v/>
      </c>
      <c r="D280">
        <f>IF($Q280="","",INDEX(상세표[직위],$Q280)&amp;"")</f>
        <v/>
      </c>
      <c r="E280">
        <f>IF($Q280="","",IF(ISNUMBER(INDEX(상세표[근무일자],$Q280)),TEXT(INDEX(상세표[근무일자],$Q280),"yyyy-mm-dd"),INDEX(상세표[근무일자],$Q280)&amp;""))</f>
        <v/>
      </c>
      <c r="F280">
        <f>IF($Q280="","",IF(ISNUMBER(INDEX(상세표[시작],$Q280)),TEXT(INDEX(상세표[시작],$Q280),"yyyy-mm-dd hh:mm"),INDEX(상세표[시작],$Q280)&amp;""))</f>
        <v/>
      </c>
      <c r="G280">
        <f>IF($Q280="","",IF(ISNUMBER(INDEX(상세표[블록종료],$Q280)),TEXT(INDEX(상세표[블록종료],$Q280),"yyyy-mm-dd hh:mm"),INDEX(상세표[블록종료],$Q280)&amp;""))</f>
        <v/>
      </c>
      <c r="H280">
        <f>IF($Q280="","",CHOOSE(WEEKDAY(INDEX(상세표[시작],$Q280)),"일","월","화","수","목","금","토"))</f>
        <v/>
      </c>
      <c r="I280" s="20">
        <f>IF($Q280="","",INDEX(상세표[연속 시간],$Q280))</f>
        <v/>
      </c>
      <c r="J280">
        <f>IF($Q280="","",INDEX(상세표[기록 수],$Q280))</f>
        <v/>
      </c>
      <c r="K280" s="20">
        <f>IF($Q280="","",INDEX(상세표[블록 06~07시],$Q280))</f>
        <v/>
      </c>
      <c r="L280" s="20">
        <f>IF($Q280="","",INDEX(상세표[블록 07~18시],$Q280))</f>
        <v/>
      </c>
      <c r="M280" s="20">
        <f>IF($Q280="","",INDEX(상세표[블록 18~22시],$Q280))</f>
        <v/>
      </c>
      <c r="N280" s="20">
        <f>IF($Q280="","",INDEX(상세표[블록 22~06시],$Q280))</f>
        <v/>
      </c>
      <c r="O280">
        <f>IF($Q280="","",INDEX(상세표[주말·휴일 포함],$Q280)&amp;"")</f>
        <v/>
      </c>
      <c r="P280">
        <f>IF($Q280="","",INDEX(상세표[월 넘김 포함],$Q280)&amp;"")</f>
        <v/>
      </c>
      <c r="Q280" s="4">
        <f>IFERROR(MATCH(275,상세표[연속순번],0),"")</f>
        <v/>
      </c>
    </row>
    <row r="281">
      <c r="A281">
        <f>IF($Q281="","",INDEX(상세표[부서],$Q281)&amp;"")</f>
        <v/>
      </c>
      <c r="B281">
        <f>IF($Q281="","",INDEX(상세표[사번],$Q281)&amp;"")</f>
        <v/>
      </c>
      <c r="C281">
        <f>IF($Q281="","",INDEX(상세표[성명],$Q281)&amp;"")</f>
        <v/>
      </c>
      <c r="D281">
        <f>IF($Q281="","",INDEX(상세표[직위],$Q281)&amp;"")</f>
        <v/>
      </c>
      <c r="E281">
        <f>IF($Q281="","",IF(ISNUMBER(INDEX(상세표[근무일자],$Q281)),TEXT(INDEX(상세표[근무일자],$Q281),"yyyy-mm-dd"),INDEX(상세표[근무일자],$Q281)&amp;""))</f>
        <v/>
      </c>
      <c r="F281">
        <f>IF($Q281="","",IF(ISNUMBER(INDEX(상세표[시작],$Q281)),TEXT(INDEX(상세표[시작],$Q281),"yyyy-mm-dd hh:mm"),INDEX(상세표[시작],$Q281)&amp;""))</f>
        <v/>
      </c>
      <c r="G281">
        <f>IF($Q281="","",IF(ISNUMBER(INDEX(상세표[블록종료],$Q281)),TEXT(INDEX(상세표[블록종료],$Q281),"yyyy-mm-dd hh:mm"),INDEX(상세표[블록종료],$Q281)&amp;""))</f>
        <v/>
      </c>
      <c r="H281">
        <f>IF($Q281="","",CHOOSE(WEEKDAY(INDEX(상세표[시작],$Q281)),"일","월","화","수","목","금","토"))</f>
        <v/>
      </c>
      <c r="I281" s="20">
        <f>IF($Q281="","",INDEX(상세표[연속 시간],$Q281))</f>
        <v/>
      </c>
      <c r="J281">
        <f>IF($Q281="","",INDEX(상세표[기록 수],$Q281))</f>
        <v/>
      </c>
      <c r="K281" s="20">
        <f>IF($Q281="","",INDEX(상세표[블록 06~07시],$Q281))</f>
        <v/>
      </c>
      <c r="L281" s="20">
        <f>IF($Q281="","",INDEX(상세표[블록 07~18시],$Q281))</f>
        <v/>
      </c>
      <c r="M281" s="20">
        <f>IF($Q281="","",INDEX(상세표[블록 18~22시],$Q281))</f>
        <v/>
      </c>
      <c r="N281" s="20">
        <f>IF($Q281="","",INDEX(상세표[블록 22~06시],$Q281))</f>
        <v/>
      </c>
      <c r="O281">
        <f>IF($Q281="","",INDEX(상세표[주말·휴일 포함],$Q281)&amp;"")</f>
        <v/>
      </c>
      <c r="P281">
        <f>IF($Q281="","",INDEX(상세표[월 넘김 포함],$Q281)&amp;"")</f>
        <v/>
      </c>
      <c r="Q281" s="4">
        <f>IFERROR(MATCH(276,상세표[연속순번],0),"")</f>
        <v/>
      </c>
    </row>
    <row r="282">
      <c r="A282">
        <f>IF($Q282="","",INDEX(상세표[부서],$Q282)&amp;"")</f>
        <v/>
      </c>
      <c r="B282">
        <f>IF($Q282="","",INDEX(상세표[사번],$Q282)&amp;"")</f>
        <v/>
      </c>
      <c r="C282">
        <f>IF($Q282="","",INDEX(상세표[성명],$Q282)&amp;"")</f>
        <v/>
      </c>
      <c r="D282">
        <f>IF($Q282="","",INDEX(상세표[직위],$Q282)&amp;"")</f>
        <v/>
      </c>
      <c r="E282">
        <f>IF($Q282="","",IF(ISNUMBER(INDEX(상세표[근무일자],$Q282)),TEXT(INDEX(상세표[근무일자],$Q282),"yyyy-mm-dd"),INDEX(상세표[근무일자],$Q282)&amp;""))</f>
        <v/>
      </c>
      <c r="F282">
        <f>IF($Q282="","",IF(ISNUMBER(INDEX(상세표[시작],$Q282)),TEXT(INDEX(상세표[시작],$Q282),"yyyy-mm-dd hh:mm"),INDEX(상세표[시작],$Q282)&amp;""))</f>
        <v/>
      </c>
      <c r="G282">
        <f>IF($Q282="","",IF(ISNUMBER(INDEX(상세표[블록종료],$Q282)),TEXT(INDEX(상세표[블록종료],$Q282),"yyyy-mm-dd hh:mm"),INDEX(상세표[블록종료],$Q282)&amp;""))</f>
        <v/>
      </c>
      <c r="H282">
        <f>IF($Q282="","",CHOOSE(WEEKDAY(INDEX(상세표[시작],$Q282)),"일","월","화","수","목","금","토"))</f>
        <v/>
      </c>
      <c r="I282" s="20">
        <f>IF($Q282="","",INDEX(상세표[연속 시간],$Q282))</f>
        <v/>
      </c>
      <c r="J282">
        <f>IF($Q282="","",INDEX(상세표[기록 수],$Q282))</f>
        <v/>
      </c>
      <c r="K282" s="20">
        <f>IF($Q282="","",INDEX(상세표[블록 06~07시],$Q282))</f>
        <v/>
      </c>
      <c r="L282" s="20">
        <f>IF($Q282="","",INDEX(상세표[블록 07~18시],$Q282))</f>
        <v/>
      </c>
      <c r="M282" s="20">
        <f>IF($Q282="","",INDEX(상세표[블록 18~22시],$Q282))</f>
        <v/>
      </c>
      <c r="N282" s="20">
        <f>IF($Q282="","",INDEX(상세표[블록 22~06시],$Q282))</f>
        <v/>
      </c>
      <c r="O282">
        <f>IF($Q282="","",INDEX(상세표[주말·휴일 포함],$Q282)&amp;"")</f>
        <v/>
      </c>
      <c r="P282">
        <f>IF($Q282="","",INDEX(상세표[월 넘김 포함],$Q282)&amp;"")</f>
        <v/>
      </c>
      <c r="Q282" s="4">
        <f>IFERROR(MATCH(277,상세표[연속순번],0),"")</f>
        <v/>
      </c>
    </row>
    <row r="283">
      <c r="A283">
        <f>IF($Q283="","",INDEX(상세표[부서],$Q283)&amp;"")</f>
        <v/>
      </c>
      <c r="B283">
        <f>IF($Q283="","",INDEX(상세표[사번],$Q283)&amp;"")</f>
        <v/>
      </c>
      <c r="C283">
        <f>IF($Q283="","",INDEX(상세표[성명],$Q283)&amp;"")</f>
        <v/>
      </c>
      <c r="D283">
        <f>IF($Q283="","",INDEX(상세표[직위],$Q283)&amp;"")</f>
        <v/>
      </c>
      <c r="E283">
        <f>IF($Q283="","",IF(ISNUMBER(INDEX(상세표[근무일자],$Q283)),TEXT(INDEX(상세표[근무일자],$Q283),"yyyy-mm-dd"),INDEX(상세표[근무일자],$Q283)&amp;""))</f>
        <v/>
      </c>
      <c r="F283">
        <f>IF($Q283="","",IF(ISNUMBER(INDEX(상세표[시작],$Q283)),TEXT(INDEX(상세표[시작],$Q283),"yyyy-mm-dd hh:mm"),INDEX(상세표[시작],$Q283)&amp;""))</f>
        <v/>
      </c>
      <c r="G283">
        <f>IF($Q283="","",IF(ISNUMBER(INDEX(상세표[블록종료],$Q283)),TEXT(INDEX(상세표[블록종료],$Q283),"yyyy-mm-dd hh:mm"),INDEX(상세표[블록종료],$Q283)&amp;""))</f>
        <v/>
      </c>
      <c r="H283">
        <f>IF($Q283="","",CHOOSE(WEEKDAY(INDEX(상세표[시작],$Q283)),"일","월","화","수","목","금","토"))</f>
        <v/>
      </c>
      <c r="I283" s="20">
        <f>IF($Q283="","",INDEX(상세표[연속 시간],$Q283))</f>
        <v/>
      </c>
      <c r="J283">
        <f>IF($Q283="","",INDEX(상세표[기록 수],$Q283))</f>
        <v/>
      </c>
      <c r="K283" s="20">
        <f>IF($Q283="","",INDEX(상세표[블록 06~07시],$Q283))</f>
        <v/>
      </c>
      <c r="L283" s="20">
        <f>IF($Q283="","",INDEX(상세표[블록 07~18시],$Q283))</f>
        <v/>
      </c>
      <c r="M283" s="20">
        <f>IF($Q283="","",INDEX(상세표[블록 18~22시],$Q283))</f>
        <v/>
      </c>
      <c r="N283" s="20">
        <f>IF($Q283="","",INDEX(상세표[블록 22~06시],$Q283))</f>
        <v/>
      </c>
      <c r="O283">
        <f>IF($Q283="","",INDEX(상세표[주말·휴일 포함],$Q283)&amp;"")</f>
        <v/>
      </c>
      <c r="P283">
        <f>IF($Q283="","",INDEX(상세표[월 넘김 포함],$Q283)&amp;"")</f>
        <v/>
      </c>
      <c r="Q283" s="4">
        <f>IFERROR(MATCH(278,상세표[연속순번],0),"")</f>
        <v/>
      </c>
    </row>
    <row r="284">
      <c r="A284">
        <f>IF($Q284="","",INDEX(상세표[부서],$Q284)&amp;"")</f>
        <v/>
      </c>
      <c r="B284">
        <f>IF($Q284="","",INDEX(상세표[사번],$Q284)&amp;"")</f>
        <v/>
      </c>
      <c r="C284">
        <f>IF($Q284="","",INDEX(상세표[성명],$Q284)&amp;"")</f>
        <v/>
      </c>
      <c r="D284">
        <f>IF($Q284="","",INDEX(상세표[직위],$Q284)&amp;"")</f>
        <v/>
      </c>
      <c r="E284">
        <f>IF($Q284="","",IF(ISNUMBER(INDEX(상세표[근무일자],$Q284)),TEXT(INDEX(상세표[근무일자],$Q284),"yyyy-mm-dd"),INDEX(상세표[근무일자],$Q284)&amp;""))</f>
        <v/>
      </c>
      <c r="F284">
        <f>IF($Q284="","",IF(ISNUMBER(INDEX(상세표[시작],$Q284)),TEXT(INDEX(상세표[시작],$Q284),"yyyy-mm-dd hh:mm"),INDEX(상세표[시작],$Q284)&amp;""))</f>
        <v/>
      </c>
      <c r="G284">
        <f>IF($Q284="","",IF(ISNUMBER(INDEX(상세표[블록종료],$Q284)),TEXT(INDEX(상세표[블록종료],$Q284),"yyyy-mm-dd hh:mm"),INDEX(상세표[블록종료],$Q284)&amp;""))</f>
        <v/>
      </c>
      <c r="H284">
        <f>IF($Q284="","",CHOOSE(WEEKDAY(INDEX(상세표[시작],$Q284)),"일","월","화","수","목","금","토"))</f>
        <v/>
      </c>
      <c r="I284" s="20">
        <f>IF($Q284="","",INDEX(상세표[연속 시간],$Q284))</f>
        <v/>
      </c>
      <c r="J284">
        <f>IF($Q284="","",INDEX(상세표[기록 수],$Q284))</f>
        <v/>
      </c>
      <c r="K284" s="20">
        <f>IF($Q284="","",INDEX(상세표[블록 06~07시],$Q284))</f>
        <v/>
      </c>
      <c r="L284" s="20">
        <f>IF($Q284="","",INDEX(상세표[블록 07~18시],$Q284))</f>
        <v/>
      </c>
      <c r="M284" s="20">
        <f>IF($Q284="","",INDEX(상세표[블록 18~22시],$Q284))</f>
        <v/>
      </c>
      <c r="N284" s="20">
        <f>IF($Q284="","",INDEX(상세표[블록 22~06시],$Q284))</f>
        <v/>
      </c>
      <c r="O284">
        <f>IF($Q284="","",INDEX(상세표[주말·휴일 포함],$Q284)&amp;"")</f>
        <v/>
      </c>
      <c r="P284">
        <f>IF($Q284="","",INDEX(상세표[월 넘김 포함],$Q284)&amp;"")</f>
        <v/>
      </c>
      <c r="Q284" s="4">
        <f>IFERROR(MATCH(279,상세표[연속순번],0),"")</f>
        <v/>
      </c>
    </row>
    <row r="285">
      <c r="A285">
        <f>IF($Q285="","",INDEX(상세표[부서],$Q285)&amp;"")</f>
        <v/>
      </c>
      <c r="B285">
        <f>IF($Q285="","",INDEX(상세표[사번],$Q285)&amp;"")</f>
        <v/>
      </c>
      <c r="C285">
        <f>IF($Q285="","",INDEX(상세표[성명],$Q285)&amp;"")</f>
        <v/>
      </c>
      <c r="D285">
        <f>IF($Q285="","",INDEX(상세표[직위],$Q285)&amp;"")</f>
        <v/>
      </c>
      <c r="E285">
        <f>IF($Q285="","",IF(ISNUMBER(INDEX(상세표[근무일자],$Q285)),TEXT(INDEX(상세표[근무일자],$Q285),"yyyy-mm-dd"),INDEX(상세표[근무일자],$Q285)&amp;""))</f>
        <v/>
      </c>
      <c r="F285">
        <f>IF($Q285="","",IF(ISNUMBER(INDEX(상세표[시작],$Q285)),TEXT(INDEX(상세표[시작],$Q285),"yyyy-mm-dd hh:mm"),INDEX(상세표[시작],$Q285)&amp;""))</f>
        <v/>
      </c>
      <c r="G285">
        <f>IF($Q285="","",IF(ISNUMBER(INDEX(상세표[블록종료],$Q285)),TEXT(INDEX(상세표[블록종료],$Q285),"yyyy-mm-dd hh:mm"),INDEX(상세표[블록종료],$Q285)&amp;""))</f>
        <v/>
      </c>
      <c r="H285">
        <f>IF($Q285="","",CHOOSE(WEEKDAY(INDEX(상세표[시작],$Q285)),"일","월","화","수","목","금","토"))</f>
        <v/>
      </c>
      <c r="I285" s="20">
        <f>IF($Q285="","",INDEX(상세표[연속 시간],$Q285))</f>
        <v/>
      </c>
      <c r="J285">
        <f>IF($Q285="","",INDEX(상세표[기록 수],$Q285))</f>
        <v/>
      </c>
      <c r="K285" s="20">
        <f>IF($Q285="","",INDEX(상세표[블록 06~07시],$Q285))</f>
        <v/>
      </c>
      <c r="L285" s="20">
        <f>IF($Q285="","",INDEX(상세표[블록 07~18시],$Q285))</f>
        <v/>
      </c>
      <c r="M285" s="20">
        <f>IF($Q285="","",INDEX(상세표[블록 18~22시],$Q285))</f>
        <v/>
      </c>
      <c r="N285" s="20">
        <f>IF($Q285="","",INDEX(상세표[블록 22~06시],$Q285))</f>
        <v/>
      </c>
      <c r="O285">
        <f>IF($Q285="","",INDEX(상세표[주말·휴일 포함],$Q285)&amp;"")</f>
        <v/>
      </c>
      <c r="P285">
        <f>IF($Q285="","",INDEX(상세표[월 넘김 포함],$Q285)&amp;"")</f>
        <v/>
      </c>
      <c r="Q285" s="4">
        <f>IFERROR(MATCH(280,상세표[연속순번],0),"")</f>
        <v/>
      </c>
    </row>
    <row r="286">
      <c r="A286">
        <f>IF($Q286="","",INDEX(상세표[부서],$Q286)&amp;"")</f>
        <v/>
      </c>
      <c r="B286">
        <f>IF($Q286="","",INDEX(상세표[사번],$Q286)&amp;"")</f>
        <v/>
      </c>
      <c r="C286">
        <f>IF($Q286="","",INDEX(상세표[성명],$Q286)&amp;"")</f>
        <v/>
      </c>
      <c r="D286">
        <f>IF($Q286="","",INDEX(상세표[직위],$Q286)&amp;"")</f>
        <v/>
      </c>
      <c r="E286">
        <f>IF($Q286="","",IF(ISNUMBER(INDEX(상세표[근무일자],$Q286)),TEXT(INDEX(상세표[근무일자],$Q286),"yyyy-mm-dd"),INDEX(상세표[근무일자],$Q286)&amp;""))</f>
        <v/>
      </c>
      <c r="F286">
        <f>IF($Q286="","",IF(ISNUMBER(INDEX(상세표[시작],$Q286)),TEXT(INDEX(상세표[시작],$Q286),"yyyy-mm-dd hh:mm"),INDEX(상세표[시작],$Q286)&amp;""))</f>
        <v/>
      </c>
      <c r="G286">
        <f>IF($Q286="","",IF(ISNUMBER(INDEX(상세표[블록종료],$Q286)),TEXT(INDEX(상세표[블록종료],$Q286),"yyyy-mm-dd hh:mm"),INDEX(상세표[블록종료],$Q286)&amp;""))</f>
        <v/>
      </c>
      <c r="H286">
        <f>IF($Q286="","",CHOOSE(WEEKDAY(INDEX(상세표[시작],$Q286)),"일","월","화","수","목","금","토"))</f>
        <v/>
      </c>
      <c r="I286" s="20">
        <f>IF($Q286="","",INDEX(상세표[연속 시간],$Q286))</f>
        <v/>
      </c>
      <c r="J286">
        <f>IF($Q286="","",INDEX(상세표[기록 수],$Q286))</f>
        <v/>
      </c>
      <c r="K286" s="20">
        <f>IF($Q286="","",INDEX(상세표[블록 06~07시],$Q286))</f>
        <v/>
      </c>
      <c r="L286" s="20">
        <f>IF($Q286="","",INDEX(상세표[블록 07~18시],$Q286))</f>
        <v/>
      </c>
      <c r="M286" s="20">
        <f>IF($Q286="","",INDEX(상세표[블록 18~22시],$Q286))</f>
        <v/>
      </c>
      <c r="N286" s="20">
        <f>IF($Q286="","",INDEX(상세표[블록 22~06시],$Q286))</f>
        <v/>
      </c>
      <c r="O286">
        <f>IF($Q286="","",INDEX(상세표[주말·휴일 포함],$Q286)&amp;"")</f>
        <v/>
      </c>
      <c r="P286">
        <f>IF($Q286="","",INDEX(상세표[월 넘김 포함],$Q286)&amp;"")</f>
        <v/>
      </c>
      <c r="Q286" s="4">
        <f>IFERROR(MATCH(281,상세표[연속순번],0),"")</f>
        <v/>
      </c>
    </row>
    <row r="287">
      <c r="A287">
        <f>IF($Q287="","",INDEX(상세표[부서],$Q287)&amp;"")</f>
        <v/>
      </c>
      <c r="B287">
        <f>IF($Q287="","",INDEX(상세표[사번],$Q287)&amp;"")</f>
        <v/>
      </c>
      <c r="C287">
        <f>IF($Q287="","",INDEX(상세표[성명],$Q287)&amp;"")</f>
        <v/>
      </c>
      <c r="D287">
        <f>IF($Q287="","",INDEX(상세표[직위],$Q287)&amp;"")</f>
        <v/>
      </c>
      <c r="E287">
        <f>IF($Q287="","",IF(ISNUMBER(INDEX(상세표[근무일자],$Q287)),TEXT(INDEX(상세표[근무일자],$Q287),"yyyy-mm-dd"),INDEX(상세표[근무일자],$Q287)&amp;""))</f>
        <v/>
      </c>
      <c r="F287">
        <f>IF($Q287="","",IF(ISNUMBER(INDEX(상세표[시작],$Q287)),TEXT(INDEX(상세표[시작],$Q287),"yyyy-mm-dd hh:mm"),INDEX(상세표[시작],$Q287)&amp;""))</f>
        <v/>
      </c>
      <c r="G287">
        <f>IF($Q287="","",IF(ISNUMBER(INDEX(상세표[블록종료],$Q287)),TEXT(INDEX(상세표[블록종료],$Q287),"yyyy-mm-dd hh:mm"),INDEX(상세표[블록종료],$Q287)&amp;""))</f>
        <v/>
      </c>
      <c r="H287">
        <f>IF($Q287="","",CHOOSE(WEEKDAY(INDEX(상세표[시작],$Q287)),"일","월","화","수","목","금","토"))</f>
        <v/>
      </c>
      <c r="I287" s="20">
        <f>IF($Q287="","",INDEX(상세표[연속 시간],$Q287))</f>
        <v/>
      </c>
      <c r="J287">
        <f>IF($Q287="","",INDEX(상세표[기록 수],$Q287))</f>
        <v/>
      </c>
      <c r="K287" s="20">
        <f>IF($Q287="","",INDEX(상세표[블록 06~07시],$Q287))</f>
        <v/>
      </c>
      <c r="L287" s="20">
        <f>IF($Q287="","",INDEX(상세표[블록 07~18시],$Q287))</f>
        <v/>
      </c>
      <c r="M287" s="20">
        <f>IF($Q287="","",INDEX(상세표[블록 18~22시],$Q287))</f>
        <v/>
      </c>
      <c r="N287" s="20">
        <f>IF($Q287="","",INDEX(상세표[블록 22~06시],$Q287))</f>
        <v/>
      </c>
      <c r="O287">
        <f>IF($Q287="","",INDEX(상세표[주말·휴일 포함],$Q287)&amp;"")</f>
        <v/>
      </c>
      <c r="P287">
        <f>IF($Q287="","",INDEX(상세표[월 넘김 포함],$Q287)&amp;"")</f>
        <v/>
      </c>
      <c r="Q287" s="4">
        <f>IFERROR(MATCH(282,상세표[연속순번],0),"")</f>
        <v/>
      </c>
    </row>
    <row r="288">
      <c r="A288">
        <f>IF($Q288="","",INDEX(상세표[부서],$Q288)&amp;"")</f>
        <v/>
      </c>
      <c r="B288">
        <f>IF($Q288="","",INDEX(상세표[사번],$Q288)&amp;"")</f>
        <v/>
      </c>
      <c r="C288">
        <f>IF($Q288="","",INDEX(상세표[성명],$Q288)&amp;"")</f>
        <v/>
      </c>
      <c r="D288">
        <f>IF($Q288="","",INDEX(상세표[직위],$Q288)&amp;"")</f>
        <v/>
      </c>
      <c r="E288">
        <f>IF($Q288="","",IF(ISNUMBER(INDEX(상세표[근무일자],$Q288)),TEXT(INDEX(상세표[근무일자],$Q288),"yyyy-mm-dd"),INDEX(상세표[근무일자],$Q288)&amp;""))</f>
        <v/>
      </c>
      <c r="F288">
        <f>IF($Q288="","",IF(ISNUMBER(INDEX(상세표[시작],$Q288)),TEXT(INDEX(상세표[시작],$Q288),"yyyy-mm-dd hh:mm"),INDEX(상세표[시작],$Q288)&amp;""))</f>
        <v/>
      </c>
      <c r="G288">
        <f>IF($Q288="","",IF(ISNUMBER(INDEX(상세표[블록종료],$Q288)),TEXT(INDEX(상세표[블록종료],$Q288),"yyyy-mm-dd hh:mm"),INDEX(상세표[블록종료],$Q288)&amp;""))</f>
        <v/>
      </c>
      <c r="H288">
        <f>IF($Q288="","",CHOOSE(WEEKDAY(INDEX(상세표[시작],$Q288)),"일","월","화","수","목","금","토"))</f>
        <v/>
      </c>
      <c r="I288" s="20">
        <f>IF($Q288="","",INDEX(상세표[연속 시간],$Q288))</f>
        <v/>
      </c>
      <c r="J288">
        <f>IF($Q288="","",INDEX(상세표[기록 수],$Q288))</f>
        <v/>
      </c>
      <c r="K288" s="20">
        <f>IF($Q288="","",INDEX(상세표[블록 06~07시],$Q288))</f>
        <v/>
      </c>
      <c r="L288" s="20">
        <f>IF($Q288="","",INDEX(상세표[블록 07~18시],$Q288))</f>
        <v/>
      </c>
      <c r="M288" s="20">
        <f>IF($Q288="","",INDEX(상세표[블록 18~22시],$Q288))</f>
        <v/>
      </c>
      <c r="N288" s="20">
        <f>IF($Q288="","",INDEX(상세표[블록 22~06시],$Q288))</f>
        <v/>
      </c>
      <c r="O288">
        <f>IF($Q288="","",INDEX(상세표[주말·휴일 포함],$Q288)&amp;"")</f>
        <v/>
      </c>
      <c r="P288">
        <f>IF($Q288="","",INDEX(상세표[월 넘김 포함],$Q288)&amp;"")</f>
        <v/>
      </c>
      <c r="Q288" s="4">
        <f>IFERROR(MATCH(283,상세표[연속순번],0),"")</f>
        <v/>
      </c>
    </row>
    <row r="289">
      <c r="A289">
        <f>IF($Q289="","",INDEX(상세표[부서],$Q289)&amp;"")</f>
        <v/>
      </c>
      <c r="B289">
        <f>IF($Q289="","",INDEX(상세표[사번],$Q289)&amp;"")</f>
        <v/>
      </c>
      <c r="C289">
        <f>IF($Q289="","",INDEX(상세표[성명],$Q289)&amp;"")</f>
        <v/>
      </c>
      <c r="D289">
        <f>IF($Q289="","",INDEX(상세표[직위],$Q289)&amp;"")</f>
        <v/>
      </c>
      <c r="E289">
        <f>IF($Q289="","",IF(ISNUMBER(INDEX(상세표[근무일자],$Q289)),TEXT(INDEX(상세표[근무일자],$Q289),"yyyy-mm-dd"),INDEX(상세표[근무일자],$Q289)&amp;""))</f>
        <v/>
      </c>
      <c r="F289">
        <f>IF($Q289="","",IF(ISNUMBER(INDEX(상세표[시작],$Q289)),TEXT(INDEX(상세표[시작],$Q289),"yyyy-mm-dd hh:mm"),INDEX(상세표[시작],$Q289)&amp;""))</f>
        <v/>
      </c>
      <c r="G289">
        <f>IF($Q289="","",IF(ISNUMBER(INDEX(상세표[블록종료],$Q289)),TEXT(INDEX(상세표[블록종료],$Q289),"yyyy-mm-dd hh:mm"),INDEX(상세표[블록종료],$Q289)&amp;""))</f>
        <v/>
      </c>
      <c r="H289">
        <f>IF($Q289="","",CHOOSE(WEEKDAY(INDEX(상세표[시작],$Q289)),"일","월","화","수","목","금","토"))</f>
        <v/>
      </c>
      <c r="I289" s="20">
        <f>IF($Q289="","",INDEX(상세표[연속 시간],$Q289))</f>
        <v/>
      </c>
      <c r="J289">
        <f>IF($Q289="","",INDEX(상세표[기록 수],$Q289))</f>
        <v/>
      </c>
      <c r="K289" s="20">
        <f>IF($Q289="","",INDEX(상세표[블록 06~07시],$Q289))</f>
        <v/>
      </c>
      <c r="L289" s="20">
        <f>IF($Q289="","",INDEX(상세표[블록 07~18시],$Q289))</f>
        <v/>
      </c>
      <c r="M289" s="20">
        <f>IF($Q289="","",INDEX(상세표[블록 18~22시],$Q289))</f>
        <v/>
      </c>
      <c r="N289" s="20">
        <f>IF($Q289="","",INDEX(상세표[블록 22~06시],$Q289))</f>
        <v/>
      </c>
      <c r="O289">
        <f>IF($Q289="","",INDEX(상세표[주말·휴일 포함],$Q289)&amp;"")</f>
        <v/>
      </c>
      <c r="P289">
        <f>IF($Q289="","",INDEX(상세표[월 넘김 포함],$Q289)&amp;"")</f>
        <v/>
      </c>
      <c r="Q289" s="4">
        <f>IFERROR(MATCH(284,상세표[연속순번],0),"")</f>
        <v/>
      </c>
    </row>
    <row r="290">
      <c r="A290">
        <f>IF($Q290="","",INDEX(상세표[부서],$Q290)&amp;"")</f>
        <v/>
      </c>
      <c r="B290">
        <f>IF($Q290="","",INDEX(상세표[사번],$Q290)&amp;"")</f>
        <v/>
      </c>
      <c r="C290">
        <f>IF($Q290="","",INDEX(상세표[성명],$Q290)&amp;"")</f>
        <v/>
      </c>
      <c r="D290">
        <f>IF($Q290="","",INDEX(상세표[직위],$Q290)&amp;"")</f>
        <v/>
      </c>
      <c r="E290">
        <f>IF($Q290="","",IF(ISNUMBER(INDEX(상세표[근무일자],$Q290)),TEXT(INDEX(상세표[근무일자],$Q290),"yyyy-mm-dd"),INDEX(상세표[근무일자],$Q290)&amp;""))</f>
        <v/>
      </c>
      <c r="F290">
        <f>IF($Q290="","",IF(ISNUMBER(INDEX(상세표[시작],$Q290)),TEXT(INDEX(상세표[시작],$Q290),"yyyy-mm-dd hh:mm"),INDEX(상세표[시작],$Q290)&amp;""))</f>
        <v/>
      </c>
      <c r="G290">
        <f>IF($Q290="","",IF(ISNUMBER(INDEX(상세표[블록종료],$Q290)),TEXT(INDEX(상세표[블록종료],$Q290),"yyyy-mm-dd hh:mm"),INDEX(상세표[블록종료],$Q290)&amp;""))</f>
        <v/>
      </c>
      <c r="H290">
        <f>IF($Q290="","",CHOOSE(WEEKDAY(INDEX(상세표[시작],$Q290)),"일","월","화","수","목","금","토"))</f>
        <v/>
      </c>
      <c r="I290" s="20">
        <f>IF($Q290="","",INDEX(상세표[연속 시간],$Q290))</f>
        <v/>
      </c>
      <c r="J290">
        <f>IF($Q290="","",INDEX(상세표[기록 수],$Q290))</f>
        <v/>
      </c>
      <c r="K290" s="20">
        <f>IF($Q290="","",INDEX(상세표[블록 06~07시],$Q290))</f>
        <v/>
      </c>
      <c r="L290" s="20">
        <f>IF($Q290="","",INDEX(상세표[블록 07~18시],$Q290))</f>
        <v/>
      </c>
      <c r="M290" s="20">
        <f>IF($Q290="","",INDEX(상세표[블록 18~22시],$Q290))</f>
        <v/>
      </c>
      <c r="N290" s="20">
        <f>IF($Q290="","",INDEX(상세표[블록 22~06시],$Q290))</f>
        <v/>
      </c>
      <c r="O290">
        <f>IF($Q290="","",INDEX(상세표[주말·휴일 포함],$Q290)&amp;"")</f>
        <v/>
      </c>
      <c r="P290">
        <f>IF($Q290="","",INDEX(상세표[월 넘김 포함],$Q290)&amp;"")</f>
        <v/>
      </c>
      <c r="Q290" s="4">
        <f>IFERROR(MATCH(285,상세표[연속순번],0),"")</f>
        <v/>
      </c>
    </row>
    <row r="291">
      <c r="A291">
        <f>IF($Q291="","",INDEX(상세표[부서],$Q291)&amp;"")</f>
        <v/>
      </c>
      <c r="B291">
        <f>IF($Q291="","",INDEX(상세표[사번],$Q291)&amp;"")</f>
        <v/>
      </c>
      <c r="C291">
        <f>IF($Q291="","",INDEX(상세표[성명],$Q291)&amp;"")</f>
        <v/>
      </c>
      <c r="D291">
        <f>IF($Q291="","",INDEX(상세표[직위],$Q291)&amp;"")</f>
        <v/>
      </c>
      <c r="E291">
        <f>IF($Q291="","",IF(ISNUMBER(INDEX(상세표[근무일자],$Q291)),TEXT(INDEX(상세표[근무일자],$Q291),"yyyy-mm-dd"),INDEX(상세표[근무일자],$Q291)&amp;""))</f>
        <v/>
      </c>
      <c r="F291">
        <f>IF($Q291="","",IF(ISNUMBER(INDEX(상세표[시작],$Q291)),TEXT(INDEX(상세표[시작],$Q291),"yyyy-mm-dd hh:mm"),INDEX(상세표[시작],$Q291)&amp;""))</f>
        <v/>
      </c>
      <c r="G291">
        <f>IF($Q291="","",IF(ISNUMBER(INDEX(상세표[블록종료],$Q291)),TEXT(INDEX(상세표[블록종료],$Q291),"yyyy-mm-dd hh:mm"),INDEX(상세표[블록종료],$Q291)&amp;""))</f>
        <v/>
      </c>
      <c r="H291">
        <f>IF($Q291="","",CHOOSE(WEEKDAY(INDEX(상세표[시작],$Q291)),"일","월","화","수","목","금","토"))</f>
        <v/>
      </c>
      <c r="I291" s="20">
        <f>IF($Q291="","",INDEX(상세표[연속 시간],$Q291))</f>
        <v/>
      </c>
      <c r="J291">
        <f>IF($Q291="","",INDEX(상세표[기록 수],$Q291))</f>
        <v/>
      </c>
      <c r="K291" s="20">
        <f>IF($Q291="","",INDEX(상세표[블록 06~07시],$Q291))</f>
        <v/>
      </c>
      <c r="L291" s="20">
        <f>IF($Q291="","",INDEX(상세표[블록 07~18시],$Q291))</f>
        <v/>
      </c>
      <c r="M291" s="20">
        <f>IF($Q291="","",INDEX(상세표[블록 18~22시],$Q291))</f>
        <v/>
      </c>
      <c r="N291" s="20">
        <f>IF($Q291="","",INDEX(상세표[블록 22~06시],$Q291))</f>
        <v/>
      </c>
      <c r="O291">
        <f>IF($Q291="","",INDEX(상세표[주말·휴일 포함],$Q291)&amp;"")</f>
        <v/>
      </c>
      <c r="P291">
        <f>IF($Q291="","",INDEX(상세표[월 넘김 포함],$Q291)&amp;"")</f>
        <v/>
      </c>
      <c r="Q291" s="4">
        <f>IFERROR(MATCH(286,상세표[연속순번],0),"")</f>
        <v/>
      </c>
    </row>
    <row r="292">
      <c r="A292">
        <f>IF($Q292="","",INDEX(상세표[부서],$Q292)&amp;"")</f>
        <v/>
      </c>
      <c r="B292">
        <f>IF($Q292="","",INDEX(상세표[사번],$Q292)&amp;"")</f>
        <v/>
      </c>
      <c r="C292">
        <f>IF($Q292="","",INDEX(상세표[성명],$Q292)&amp;"")</f>
        <v/>
      </c>
      <c r="D292">
        <f>IF($Q292="","",INDEX(상세표[직위],$Q292)&amp;"")</f>
        <v/>
      </c>
      <c r="E292">
        <f>IF($Q292="","",IF(ISNUMBER(INDEX(상세표[근무일자],$Q292)),TEXT(INDEX(상세표[근무일자],$Q292),"yyyy-mm-dd"),INDEX(상세표[근무일자],$Q292)&amp;""))</f>
        <v/>
      </c>
      <c r="F292">
        <f>IF($Q292="","",IF(ISNUMBER(INDEX(상세표[시작],$Q292)),TEXT(INDEX(상세표[시작],$Q292),"yyyy-mm-dd hh:mm"),INDEX(상세표[시작],$Q292)&amp;""))</f>
        <v/>
      </c>
      <c r="G292">
        <f>IF($Q292="","",IF(ISNUMBER(INDEX(상세표[블록종료],$Q292)),TEXT(INDEX(상세표[블록종료],$Q292),"yyyy-mm-dd hh:mm"),INDEX(상세표[블록종료],$Q292)&amp;""))</f>
        <v/>
      </c>
      <c r="H292">
        <f>IF($Q292="","",CHOOSE(WEEKDAY(INDEX(상세표[시작],$Q292)),"일","월","화","수","목","금","토"))</f>
        <v/>
      </c>
      <c r="I292" s="20">
        <f>IF($Q292="","",INDEX(상세표[연속 시간],$Q292))</f>
        <v/>
      </c>
      <c r="J292">
        <f>IF($Q292="","",INDEX(상세표[기록 수],$Q292))</f>
        <v/>
      </c>
      <c r="K292" s="20">
        <f>IF($Q292="","",INDEX(상세표[블록 06~07시],$Q292))</f>
        <v/>
      </c>
      <c r="L292" s="20">
        <f>IF($Q292="","",INDEX(상세표[블록 07~18시],$Q292))</f>
        <v/>
      </c>
      <c r="M292" s="20">
        <f>IF($Q292="","",INDEX(상세표[블록 18~22시],$Q292))</f>
        <v/>
      </c>
      <c r="N292" s="20">
        <f>IF($Q292="","",INDEX(상세표[블록 22~06시],$Q292))</f>
        <v/>
      </c>
      <c r="O292">
        <f>IF($Q292="","",INDEX(상세표[주말·휴일 포함],$Q292)&amp;"")</f>
        <v/>
      </c>
      <c r="P292">
        <f>IF($Q292="","",INDEX(상세표[월 넘김 포함],$Q292)&amp;"")</f>
        <v/>
      </c>
      <c r="Q292" s="4">
        <f>IFERROR(MATCH(287,상세표[연속순번],0),"")</f>
        <v/>
      </c>
    </row>
    <row r="293">
      <c r="A293">
        <f>IF($Q293="","",INDEX(상세표[부서],$Q293)&amp;"")</f>
        <v/>
      </c>
      <c r="B293">
        <f>IF($Q293="","",INDEX(상세표[사번],$Q293)&amp;"")</f>
        <v/>
      </c>
      <c r="C293">
        <f>IF($Q293="","",INDEX(상세표[성명],$Q293)&amp;"")</f>
        <v/>
      </c>
      <c r="D293">
        <f>IF($Q293="","",INDEX(상세표[직위],$Q293)&amp;"")</f>
        <v/>
      </c>
      <c r="E293">
        <f>IF($Q293="","",IF(ISNUMBER(INDEX(상세표[근무일자],$Q293)),TEXT(INDEX(상세표[근무일자],$Q293),"yyyy-mm-dd"),INDEX(상세표[근무일자],$Q293)&amp;""))</f>
        <v/>
      </c>
      <c r="F293">
        <f>IF($Q293="","",IF(ISNUMBER(INDEX(상세표[시작],$Q293)),TEXT(INDEX(상세표[시작],$Q293),"yyyy-mm-dd hh:mm"),INDEX(상세표[시작],$Q293)&amp;""))</f>
        <v/>
      </c>
      <c r="G293">
        <f>IF($Q293="","",IF(ISNUMBER(INDEX(상세표[블록종료],$Q293)),TEXT(INDEX(상세표[블록종료],$Q293),"yyyy-mm-dd hh:mm"),INDEX(상세표[블록종료],$Q293)&amp;""))</f>
        <v/>
      </c>
      <c r="H293">
        <f>IF($Q293="","",CHOOSE(WEEKDAY(INDEX(상세표[시작],$Q293)),"일","월","화","수","목","금","토"))</f>
        <v/>
      </c>
      <c r="I293" s="20">
        <f>IF($Q293="","",INDEX(상세표[연속 시간],$Q293))</f>
        <v/>
      </c>
      <c r="J293">
        <f>IF($Q293="","",INDEX(상세표[기록 수],$Q293))</f>
        <v/>
      </c>
      <c r="K293" s="20">
        <f>IF($Q293="","",INDEX(상세표[블록 06~07시],$Q293))</f>
        <v/>
      </c>
      <c r="L293" s="20">
        <f>IF($Q293="","",INDEX(상세표[블록 07~18시],$Q293))</f>
        <v/>
      </c>
      <c r="M293" s="20">
        <f>IF($Q293="","",INDEX(상세표[블록 18~22시],$Q293))</f>
        <v/>
      </c>
      <c r="N293" s="20">
        <f>IF($Q293="","",INDEX(상세표[블록 22~06시],$Q293))</f>
        <v/>
      </c>
      <c r="O293">
        <f>IF($Q293="","",INDEX(상세표[주말·휴일 포함],$Q293)&amp;"")</f>
        <v/>
      </c>
      <c r="P293">
        <f>IF($Q293="","",INDEX(상세표[월 넘김 포함],$Q293)&amp;"")</f>
        <v/>
      </c>
      <c r="Q293" s="4">
        <f>IFERROR(MATCH(288,상세표[연속순번],0),"")</f>
        <v/>
      </c>
    </row>
    <row r="294">
      <c r="A294">
        <f>IF($Q294="","",INDEX(상세표[부서],$Q294)&amp;"")</f>
        <v/>
      </c>
      <c r="B294">
        <f>IF($Q294="","",INDEX(상세표[사번],$Q294)&amp;"")</f>
        <v/>
      </c>
      <c r="C294">
        <f>IF($Q294="","",INDEX(상세표[성명],$Q294)&amp;"")</f>
        <v/>
      </c>
      <c r="D294">
        <f>IF($Q294="","",INDEX(상세표[직위],$Q294)&amp;"")</f>
        <v/>
      </c>
      <c r="E294">
        <f>IF($Q294="","",IF(ISNUMBER(INDEX(상세표[근무일자],$Q294)),TEXT(INDEX(상세표[근무일자],$Q294),"yyyy-mm-dd"),INDEX(상세표[근무일자],$Q294)&amp;""))</f>
        <v/>
      </c>
      <c r="F294">
        <f>IF($Q294="","",IF(ISNUMBER(INDEX(상세표[시작],$Q294)),TEXT(INDEX(상세표[시작],$Q294),"yyyy-mm-dd hh:mm"),INDEX(상세표[시작],$Q294)&amp;""))</f>
        <v/>
      </c>
      <c r="G294">
        <f>IF($Q294="","",IF(ISNUMBER(INDEX(상세표[블록종료],$Q294)),TEXT(INDEX(상세표[블록종료],$Q294),"yyyy-mm-dd hh:mm"),INDEX(상세표[블록종료],$Q294)&amp;""))</f>
        <v/>
      </c>
      <c r="H294">
        <f>IF($Q294="","",CHOOSE(WEEKDAY(INDEX(상세표[시작],$Q294)),"일","월","화","수","목","금","토"))</f>
        <v/>
      </c>
      <c r="I294" s="20">
        <f>IF($Q294="","",INDEX(상세표[연속 시간],$Q294))</f>
        <v/>
      </c>
      <c r="J294">
        <f>IF($Q294="","",INDEX(상세표[기록 수],$Q294))</f>
        <v/>
      </c>
      <c r="K294" s="20">
        <f>IF($Q294="","",INDEX(상세표[블록 06~07시],$Q294))</f>
        <v/>
      </c>
      <c r="L294" s="20">
        <f>IF($Q294="","",INDEX(상세표[블록 07~18시],$Q294))</f>
        <v/>
      </c>
      <c r="M294" s="20">
        <f>IF($Q294="","",INDEX(상세표[블록 18~22시],$Q294))</f>
        <v/>
      </c>
      <c r="N294" s="20">
        <f>IF($Q294="","",INDEX(상세표[블록 22~06시],$Q294))</f>
        <v/>
      </c>
      <c r="O294">
        <f>IF($Q294="","",INDEX(상세표[주말·휴일 포함],$Q294)&amp;"")</f>
        <v/>
      </c>
      <c r="P294">
        <f>IF($Q294="","",INDEX(상세표[월 넘김 포함],$Q294)&amp;"")</f>
        <v/>
      </c>
      <c r="Q294" s="4">
        <f>IFERROR(MATCH(289,상세표[연속순번],0),"")</f>
        <v/>
      </c>
    </row>
    <row r="295">
      <c r="A295">
        <f>IF($Q295="","",INDEX(상세표[부서],$Q295)&amp;"")</f>
        <v/>
      </c>
      <c r="B295">
        <f>IF($Q295="","",INDEX(상세표[사번],$Q295)&amp;"")</f>
        <v/>
      </c>
      <c r="C295">
        <f>IF($Q295="","",INDEX(상세표[성명],$Q295)&amp;"")</f>
        <v/>
      </c>
      <c r="D295">
        <f>IF($Q295="","",INDEX(상세표[직위],$Q295)&amp;"")</f>
        <v/>
      </c>
      <c r="E295">
        <f>IF($Q295="","",IF(ISNUMBER(INDEX(상세표[근무일자],$Q295)),TEXT(INDEX(상세표[근무일자],$Q295),"yyyy-mm-dd"),INDEX(상세표[근무일자],$Q295)&amp;""))</f>
        <v/>
      </c>
      <c r="F295">
        <f>IF($Q295="","",IF(ISNUMBER(INDEX(상세표[시작],$Q295)),TEXT(INDEX(상세표[시작],$Q295),"yyyy-mm-dd hh:mm"),INDEX(상세표[시작],$Q295)&amp;""))</f>
        <v/>
      </c>
      <c r="G295">
        <f>IF($Q295="","",IF(ISNUMBER(INDEX(상세표[블록종료],$Q295)),TEXT(INDEX(상세표[블록종료],$Q295),"yyyy-mm-dd hh:mm"),INDEX(상세표[블록종료],$Q295)&amp;""))</f>
        <v/>
      </c>
      <c r="H295">
        <f>IF($Q295="","",CHOOSE(WEEKDAY(INDEX(상세표[시작],$Q295)),"일","월","화","수","목","금","토"))</f>
        <v/>
      </c>
      <c r="I295" s="20">
        <f>IF($Q295="","",INDEX(상세표[연속 시간],$Q295))</f>
        <v/>
      </c>
      <c r="J295">
        <f>IF($Q295="","",INDEX(상세표[기록 수],$Q295))</f>
        <v/>
      </c>
      <c r="K295" s="20">
        <f>IF($Q295="","",INDEX(상세표[블록 06~07시],$Q295))</f>
        <v/>
      </c>
      <c r="L295" s="20">
        <f>IF($Q295="","",INDEX(상세표[블록 07~18시],$Q295))</f>
        <v/>
      </c>
      <c r="M295" s="20">
        <f>IF($Q295="","",INDEX(상세표[블록 18~22시],$Q295))</f>
        <v/>
      </c>
      <c r="N295" s="20">
        <f>IF($Q295="","",INDEX(상세표[블록 22~06시],$Q295))</f>
        <v/>
      </c>
      <c r="O295">
        <f>IF($Q295="","",INDEX(상세표[주말·휴일 포함],$Q295)&amp;"")</f>
        <v/>
      </c>
      <c r="P295">
        <f>IF($Q295="","",INDEX(상세표[월 넘김 포함],$Q295)&amp;"")</f>
        <v/>
      </c>
      <c r="Q295" s="4">
        <f>IFERROR(MATCH(290,상세표[연속순번],0),"")</f>
        <v/>
      </c>
    </row>
    <row r="296">
      <c r="A296">
        <f>IF($Q296="","",INDEX(상세표[부서],$Q296)&amp;"")</f>
        <v/>
      </c>
      <c r="B296">
        <f>IF($Q296="","",INDEX(상세표[사번],$Q296)&amp;"")</f>
        <v/>
      </c>
      <c r="C296">
        <f>IF($Q296="","",INDEX(상세표[성명],$Q296)&amp;"")</f>
        <v/>
      </c>
      <c r="D296">
        <f>IF($Q296="","",INDEX(상세표[직위],$Q296)&amp;"")</f>
        <v/>
      </c>
      <c r="E296">
        <f>IF($Q296="","",IF(ISNUMBER(INDEX(상세표[근무일자],$Q296)),TEXT(INDEX(상세표[근무일자],$Q296),"yyyy-mm-dd"),INDEX(상세표[근무일자],$Q296)&amp;""))</f>
        <v/>
      </c>
      <c r="F296">
        <f>IF($Q296="","",IF(ISNUMBER(INDEX(상세표[시작],$Q296)),TEXT(INDEX(상세표[시작],$Q296),"yyyy-mm-dd hh:mm"),INDEX(상세표[시작],$Q296)&amp;""))</f>
        <v/>
      </c>
      <c r="G296">
        <f>IF($Q296="","",IF(ISNUMBER(INDEX(상세표[블록종료],$Q296)),TEXT(INDEX(상세표[블록종료],$Q296),"yyyy-mm-dd hh:mm"),INDEX(상세표[블록종료],$Q296)&amp;""))</f>
        <v/>
      </c>
      <c r="H296">
        <f>IF($Q296="","",CHOOSE(WEEKDAY(INDEX(상세표[시작],$Q296)),"일","월","화","수","목","금","토"))</f>
        <v/>
      </c>
      <c r="I296" s="20">
        <f>IF($Q296="","",INDEX(상세표[연속 시간],$Q296))</f>
        <v/>
      </c>
      <c r="J296">
        <f>IF($Q296="","",INDEX(상세표[기록 수],$Q296))</f>
        <v/>
      </c>
      <c r="K296" s="20">
        <f>IF($Q296="","",INDEX(상세표[블록 06~07시],$Q296))</f>
        <v/>
      </c>
      <c r="L296" s="20">
        <f>IF($Q296="","",INDEX(상세표[블록 07~18시],$Q296))</f>
        <v/>
      </c>
      <c r="M296" s="20">
        <f>IF($Q296="","",INDEX(상세표[블록 18~22시],$Q296))</f>
        <v/>
      </c>
      <c r="N296" s="20">
        <f>IF($Q296="","",INDEX(상세표[블록 22~06시],$Q296))</f>
        <v/>
      </c>
      <c r="O296">
        <f>IF($Q296="","",INDEX(상세표[주말·휴일 포함],$Q296)&amp;"")</f>
        <v/>
      </c>
      <c r="P296">
        <f>IF($Q296="","",INDEX(상세표[월 넘김 포함],$Q296)&amp;"")</f>
        <v/>
      </c>
      <c r="Q296" s="4">
        <f>IFERROR(MATCH(291,상세표[연속순번],0),"")</f>
        <v/>
      </c>
    </row>
    <row r="297">
      <c r="A297">
        <f>IF($Q297="","",INDEX(상세표[부서],$Q297)&amp;"")</f>
        <v/>
      </c>
      <c r="B297">
        <f>IF($Q297="","",INDEX(상세표[사번],$Q297)&amp;"")</f>
        <v/>
      </c>
      <c r="C297">
        <f>IF($Q297="","",INDEX(상세표[성명],$Q297)&amp;"")</f>
        <v/>
      </c>
      <c r="D297">
        <f>IF($Q297="","",INDEX(상세표[직위],$Q297)&amp;"")</f>
        <v/>
      </c>
      <c r="E297">
        <f>IF($Q297="","",IF(ISNUMBER(INDEX(상세표[근무일자],$Q297)),TEXT(INDEX(상세표[근무일자],$Q297),"yyyy-mm-dd"),INDEX(상세표[근무일자],$Q297)&amp;""))</f>
        <v/>
      </c>
      <c r="F297">
        <f>IF($Q297="","",IF(ISNUMBER(INDEX(상세표[시작],$Q297)),TEXT(INDEX(상세표[시작],$Q297),"yyyy-mm-dd hh:mm"),INDEX(상세표[시작],$Q297)&amp;""))</f>
        <v/>
      </c>
      <c r="G297">
        <f>IF($Q297="","",IF(ISNUMBER(INDEX(상세표[블록종료],$Q297)),TEXT(INDEX(상세표[블록종료],$Q297),"yyyy-mm-dd hh:mm"),INDEX(상세표[블록종료],$Q297)&amp;""))</f>
        <v/>
      </c>
      <c r="H297">
        <f>IF($Q297="","",CHOOSE(WEEKDAY(INDEX(상세표[시작],$Q297)),"일","월","화","수","목","금","토"))</f>
        <v/>
      </c>
      <c r="I297" s="20">
        <f>IF($Q297="","",INDEX(상세표[연속 시간],$Q297))</f>
        <v/>
      </c>
      <c r="J297">
        <f>IF($Q297="","",INDEX(상세표[기록 수],$Q297))</f>
        <v/>
      </c>
      <c r="K297" s="20">
        <f>IF($Q297="","",INDEX(상세표[블록 06~07시],$Q297))</f>
        <v/>
      </c>
      <c r="L297" s="20">
        <f>IF($Q297="","",INDEX(상세표[블록 07~18시],$Q297))</f>
        <v/>
      </c>
      <c r="M297" s="20">
        <f>IF($Q297="","",INDEX(상세표[블록 18~22시],$Q297))</f>
        <v/>
      </c>
      <c r="N297" s="20">
        <f>IF($Q297="","",INDEX(상세표[블록 22~06시],$Q297))</f>
        <v/>
      </c>
      <c r="O297">
        <f>IF($Q297="","",INDEX(상세표[주말·휴일 포함],$Q297)&amp;"")</f>
        <v/>
      </c>
      <c r="P297">
        <f>IF($Q297="","",INDEX(상세표[월 넘김 포함],$Q297)&amp;"")</f>
        <v/>
      </c>
      <c r="Q297" s="4">
        <f>IFERROR(MATCH(292,상세표[연속순번],0),"")</f>
        <v/>
      </c>
    </row>
    <row r="298">
      <c r="A298">
        <f>IF($Q298="","",INDEX(상세표[부서],$Q298)&amp;"")</f>
        <v/>
      </c>
      <c r="B298">
        <f>IF($Q298="","",INDEX(상세표[사번],$Q298)&amp;"")</f>
        <v/>
      </c>
      <c r="C298">
        <f>IF($Q298="","",INDEX(상세표[성명],$Q298)&amp;"")</f>
        <v/>
      </c>
      <c r="D298">
        <f>IF($Q298="","",INDEX(상세표[직위],$Q298)&amp;"")</f>
        <v/>
      </c>
      <c r="E298">
        <f>IF($Q298="","",IF(ISNUMBER(INDEX(상세표[근무일자],$Q298)),TEXT(INDEX(상세표[근무일자],$Q298),"yyyy-mm-dd"),INDEX(상세표[근무일자],$Q298)&amp;""))</f>
        <v/>
      </c>
      <c r="F298">
        <f>IF($Q298="","",IF(ISNUMBER(INDEX(상세표[시작],$Q298)),TEXT(INDEX(상세표[시작],$Q298),"yyyy-mm-dd hh:mm"),INDEX(상세표[시작],$Q298)&amp;""))</f>
        <v/>
      </c>
      <c r="G298">
        <f>IF($Q298="","",IF(ISNUMBER(INDEX(상세표[블록종료],$Q298)),TEXT(INDEX(상세표[블록종료],$Q298),"yyyy-mm-dd hh:mm"),INDEX(상세표[블록종료],$Q298)&amp;""))</f>
        <v/>
      </c>
      <c r="H298">
        <f>IF($Q298="","",CHOOSE(WEEKDAY(INDEX(상세표[시작],$Q298)),"일","월","화","수","목","금","토"))</f>
        <v/>
      </c>
      <c r="I298" s="20">
        <f>IF($Q298="","",INDEX(상세표[연속 시간],$Q298))</f>
        <v/>
      </c>
      <c r="J298">
        <f>IF($Q298="","",INDEX(상세표[기록 수],$Q298))</f>
        <v/>
      </c>
      <c r="K298" s="20">
        <f>IF($Q298="","",INDEX(상세표[블록 06~07시],$Q298))</f>
        <v/>
      </c>
      <c r="L298" s="20">
        <f>IF($Q298="","",INDEX(상세표[블록 07~18시],$Q298))</f>
        <v/>
      </c>
      <c r="M298" s="20">
        <f>IF($Q298="","",INDEX(상세표[블록 18~22시],$Q298))</f>
        <v/>
      </c>
      <c r="N298" s="20">
        <f>IF($Q298="","",INDEX(상세표[블록 22~06시],$Q298))</f>
        <v/>
      </c>
      <c r="O298">
        <f>IF($Q298="","",INDEX(상세표[주말·휴일 포함],$Q298)&amp;"")</f>
        <v/>
      </c>
      <c r="P298">
        <f>IF($Q298="","",INDEX(상세표[월 넘김 포함],$Q298)&amp;"")</f>
        <v/>
      </c>
      <c r="Q298" s="4">
        <f>IFERROR(MATCH(293,상세표[연속순번],0),"")</f>
        <v/>
      </c>
    </row>
    <row r="299">
      <c r="A299">
        <f>IF($Q299="","",INDEX(상세표[부서],$Q299)&amp;"")</f>
        <v/>
      </c>
      <c r="B299">
        <f>IF($Q299="","",INDEX(상세표[사번],$Q299)&amp;"")</f>
        <v/>
      </c>
      <c r="C299">
        <f>IF($Q299="","",INDEX(상세표[성명],$Q299)&amp;"")</f>
        <v/>
      </c>
      <c r="D299">
        <f>IF($Q299="","",INDEX(상세표[직위],$Q299)&amp;"")</f>
        <v/>
      </c>
      <c r="E299">
        <f>IF($Q299="","",IF(ISNUMBER(INDEX(상세표[근무일자],$Q299)),TEXT(INDEX(상세표[근무일자],$Q299),"yyyy-mm-dd"),INDEX(상세표[근무일자],$Q299)&amp;""))</f>
        <v/>
      </c>
      <c r="F299">
        <f>IF($Q299="","",IF(ISNUMBER(INDEX(상세표[시작],$Q299)),TEXT(INDEX(상세표[시작],$Q299),"yyyy-mm-dd hh:mm"),INDEX(상세표[시작],$Q299)&amp;""))</f>
        <v/>
      </c>
      <c r="G299">
        <f>IF($Q299="","",IF(ISNUMBER(INDEX(상세표[블록종료],$Q299)),TEXT(INDEX(상세표[블록종료],$Q299),"yyyy-mm-dd hh:mm"),INDEX(상세표[블록종료],$Q299)&amp;""))</f>
        <v/>
      </c>
      <c r="H299">
        <f>IF($Q299="","",CHOOSE(WEEKDAY(INDEX(상세표[시작],$Q299)),"일","월","화","수","목","금","토"))</f>
        <v/>
      </c>
      <c r="I299" s="20">
        <f>IF($Q299="","",INDEX(상세표[연속 시간],$Q299))</f>
        <v/>
      </c>
      <c r="J299">
        <f>IF($Q299="","",INDEX(상세표[기록 수],$Q299))</f>
        <v/>
      </c>
      <c r="K299" s="20">
        <f>IF($Q299="","",INDEX(상세표[블록 06~07시],$Q299))</f>
        <v/>
      </c>
      <c r="L299" s="20">
        <f>IF($Q299="","",INDEX(상세표[블록 07~18시],$Q299))</f>
        <v/>
      </c>
      <c r="M299" s="20">
        <f>IF($Q299="","",INDEX(상세표[블록 18~22시],$Q299))</f>
        <v/>
      </c>
      <c r="N299" s="20">
        <f>IF($Q299="","",INDEX(상세표[블록 22~06시],$Q299))</f>
        <v/>
      </c>
      <c r="O299">
        <f>IF($Q299="","",INDEX(상세표[주말·휴일 포함],$Q299)&amp;"")</f>
        <v/>
      </c>
      <c r="P299">
        <f>IF($Q299="","",INDEX(상세표[월 넘김 포함],$Q299)&amp;"")</f>
        <v/>
      </c>
      <c r="Q299" s="4">
        <f>IFERROR(MATCH(294,상세표[연속순번],0),"")</f>
        <v/>
      </c>
    </row>
    <row r="300">
      <c r="A300">
        <f>IF($Q300="","",INDEX(상세표[부서],$Q300)&amp;"")</f>
        <v/>
      </c>
      <c r="B300">
        <f>IF($Q300="","",INDEX(상세표[사번],$Q300)&amp;"")</f>
        <v/>
      </c>
      <c r="C300">
        <f>IF($Q300="","",INDEX(상세표[성명],$Q300)&amp;"")</f>
        <v/>
      </c>
      <c r="D300">
        <f>IF($Q300="","",INDEX(상세표[직위],$Q300)&amp;"")</f>
        <v/>
      </c>
      <c r="E300">
        <f>IF($Q300="","",IF(ISNUMBER(INDEX(상세표[근무일자],$Q300)),TEXT(INDEX(상세표[근무일자],$Q300),"yyyy-mm-dd"),INDEX(상세표[근무일자],$Q300)&amp;""))</f>
        <v/>
      </c>
      <c r="F300">
        <f>IF($Q300="","",IF(ISNUMBER(INDEX(상세표[시작],$Q300)),TEXT(INDEX(상세표[시작],$Q300),"yyyy-mm-dd hh:mm"),INDEX(상세표[시작],$Q300)&amp;""))</f>
        <v/>
      </c>
      <c r="G300">
        <f>IF($Q300="","",IF(ISNUMBER(INDEX(상세표[블록종료],$Q300)),TEXT(INDEX(상세표[블록종료],$Q300),"yyyy-mm-dd hh:mm"),INDEX(상세표[블록종료],$Q300)&amp;""))</f>
        <v/>
      </c>
      <c r="H300">
        <f>IF($Q300="","",CHOOSE(WEEKDAY(INDEX(상세표[시작],$Q300)),"일","월","화","수","목","금","토"))</f>
        <v/>
      </c>
      <c r="I300" s="20">
        <f>IF($Q300="","",INDEX(상세표[연속 시간],$Q300))</f>
        <v/>
      </c>
      <c r="J300">
        <f>IF($Q300="","",INDEX(상세표[기록 수],$Q300))</f>
        <v/>
      </c>
      <c r="K300" s="20">
        <f>IF($Q300="","",INDEX(상세표[블록 06~07시],$Q300))</f>
        <v/>
      </c>
      <c r="L300" s="20">
        <f>IF($Q300="","",INDEX(상세표[블록 07~18시],$Q300))</f>
        <v/>
      </c>
      <c r="M300" s="20">
        <f>IF($Q300="","",INDEX(상세표[블록 18~22시],$Q300))</f>
        <v/>
      </c>
      <c r="N300" s="20">
        <f>IF($Q300="","",INDEX(상세표[블록 22~06시],$Q300))</f>
        <v/>
      </c>
      <c r="O300">
        <f>IF($Q300="","",INDEX(상세표[주말·휴일 포함],$Q300)&amp;"")</f>
        <v/>
      </c>
      <c r="P300">
        <f>IF($Q300="","",INDEX(상세표[월 넘김 포함],$Q300)&amp;"")</f>
        <v/>
      </c>
      <c r="Q300" s="4">
        <f>IFERROR(MATCH(295,상세표[연속순번],0),"")</f>
        <v/>
      </c>
    </row>
    <row r="301">
      <c r="A301">
        <f>IF($Q301="","",INDEX(상세표[부서],$Q301)&amp;"")</f>
        <v/>
      </c>
      <c r="B301">
        <f>IF($Q301="","",INDEX(상세표[사번],$Q301)&amp;"")</f>
        <v/>
      </c>
      <c r="C301">
        <f>IF($Q301="","",INDEX(상세표[성명],$Q301)&amp;"")</f>
        <v/>
      </c>
      <c r="D301">
        <f>IF($Q301="","",INDEX(상세표[직위],$Q301)&amp;"")</f>
        <v/>
      </c>
      <c r="E301">
        <f>IF($Q301="","",IF(ISNUMBER(INDEX(상세표[근무일자],$Q301)),TEXT(INDEX(상세표[근무일자],$Q301),"yyyy-mm-dd"),INDEX(상세표[근무일자],$Q301)&amp;""))</f>
        <v/>
      </c>
      <c r="F301">
        <f>IF($Q301="","",IF(ISNUMBER(INDEX(상세표[시작],$Q301)),TEXT(INDEX(상세표[시작],$Q301),"yyyy-mm-dd hh:mm"),INDEX(상세표[시작],$Q301)&amp;""))</f>
        <v/>
      </c>
      <c r="G301">
        <f>IF($Q301="","",IF(ISNUMBER(INDEX(상세표[블록종료],$Q301)),TEXT(INDEX(상세표[블록종료],$Q301),"yyyy-mm-dd hh:mm"),INDEX(상세표[블록종료],$Q301)&amp;""))</f>
        <v/>
      </c>
      <c r="H301">
        <f>IF($Q301="","",CHOOSE(WEEKDAY(INDEX(상세표[시작],$Q301)),"일","월","화","수","목","금","토"))</f>
        <v/>
      </c>
      <c r="I301" s="20">
        <f>IF($Q301="","",INDEX(상세표[연속 시간],$Q301))</f>
        <v/>
      </c>
      <c r="J301">
        <f>IF($Q301="","",INDEX(상세표[기록 수],$Q301))</f>
        <v/>
      </c>
      <c r="K301" s="20">
        <f>IF($Q301="","",INDEX(상세표[블록 06~07시],$Q301))</f>
        <v/>
      </c>
      <c r="L301" s="20">
        <f>IF($Q301="","",INDEX(상세표[블록 07~18시],$Q301))</f>
        <v/>
      </c>
      <c r="M301" s="20">
        <f>IF($Q301="","",INDEX(상세표[블록 18~22시],$Q301))</f>
        <v/>
      </c>
      <c r="N301" s="20">
        <f>IF($Q301="","",INDEX(상세표[블록 22~06시],$Q301))</f>
        <v/>
      </c>
      <c r="O301">
        <f>IF($Q301="","",INDEX(상세표[주말·휴일 포함],$Q301)&amp;"")</f>
        <v/>
      </c>
      <c r="P301">
        <f>IF($Q301="","",INDEX(상세표[월 넘김 포함],$Q301)&amp;"")</f>
        <v/>
      </c>
      <c r="Q301" s="4">
        <f>IFERROR(MATCH(296,상세표[연속순번],0),"")</f>
        <v/>
      </c>
    </row>
    <row r="302">
      <c r="A302">
        <f>IF($Q302="","",INDEX(상세표[부서],$Q302)&amp;"")</f>
        <v/>
      </c>
      <c r="B302">
        <f>IF($Q302="","",INDEX(상세표[사번],$Q302)&amp;"")</f>
        <v/>
      </c>
      <c r="C302">
        <f>IF($Q302="","",INDEX(상세표[성명],$Q302)&amp;"")</f>
        <v/>
      </c>
      <c r="D302">
        <f>IF($Q302="","",INDEX(상세표[직위],$Q302)&amp;"")</f>
        <v/>
      </c>
      <c r="E302">
        <f>IF($Q302="","",IF(ISNUMBER(INDEX(상세표[근무일자],$Q302)),TEXT(INDEX(상세표[근무일자],$Q302),"yyyy-mm-dd"),INDEX(상세표[근무일자],$Q302)&amp;""))</f>
        <v/>
      </c>
      <c r="F302">
        <f>IF($Q302="","",IF(ISNUMBER(INDEX(상세표[시작],$Q302)),TEXT(INDEX(상세표[시작],$Q302),"yyyy-mm-dd hh:mm"),INDEX(상세표[시작],$Q302)&amp;""))</f>
        <v/>
      </c>
      <c r="G302">
        <f>IF($Q302="","",IF(ISNUMBER(INDEX(상세표[블록종료],$Q302)),TEXT(INDEX(상세표[블록종료],$Q302),"yyyy-mm-dd hh:mm"),INDEX(상세표[블록종료],$Q302)&amp;""))</f>
        <v/>
      </c>
      <c r="H302">
        <f>IF($Q302="","",CHOOSE(WEEKDAY(INDEX(상세표[시작],$Q302)),"일","월","화","수","목","금","토"))</f>
        <v/>
      </c>
      <c r="I302" s="20">
        <f>IF($Q302="","",INDEX(상세표[연속 시간],$Q302))</f>
        <v/>
      </c>
      <c r="J302">
        <f>IF($Q302="","",INDEX(상세표[기록 수],$Q302))</f>
        <v/>
      </c>
      <c r="K302" s="20">
        <f>IF($Q302="","",INDEX(상세표[블록 06~07시],$Q302))</f>
        <v/>
      </c>
      <c r="L302" s="20">
        <f>IF($Q302="","",INDEX(상세표[블록 07~18시],$Q302))</f>
        <v/>
      </c>
      <c r="M302" s="20">
        <f>IF($Q302="","",INDEX(상세표[블록 18~22시],$Q302))</f>
        <v/>
      </c>
      <c r="N302" s="20">
        <f>IF($Q302="","",INDEX(상세표[블록 22~06시],$Q302))</f>
        <v/>
      </c>
      <c r="O302">
        <f>IF($Q302="","",INDEX(상세표[주말·휴일 포함],$Q302)&amp;"")</f>
        <v/>
      </c>
      <c r="P302">
        <f>IF($Q302="","",INDEX(상세표[월 넘김 포함],$Q302)&amp;"")</f>
        <v/>
      </c>
      <c r="Q302" s="4">
        <f>IFERROR(MATCH(297,상세표[연속순번],0),"")</f>
        <v/>
      </c>
    </row>
    <row r="303">
      <c r="A303">
        <f>IF($Q303="","",INDEX(상세표[부서],$Q303)&amp;"")</f>
        <v/>
      </c>
      <c r="B303">
        <f>IF($Q303="","",INDEX(상세표[사번],$Q303)&amp;"")</f>
        <v/>
      </c>
      <c r="C303">
        <f>IF($Q303="","",INDEX(상세표[성명],$Q303)&amp;"")</f>
        <v/>
      </c>
      <c r="D303">
        <f>IF($Q303="","",INDEX(상세표[직위],$Q303)&amp;"")</f>
        <v/>
      </c>
      <c r="E303">
        <f>IF($Q303="","",IF(ISNUMBER(INDEX(상세표[근무일자],$Q303)),TEXT(INDEX(상세표[근무일자],$Q303),"yyyy-mm-dd"),INDEX(상세표[근무일자],$Q303)&amp;""))</f>
        <v/>
      </c>
      <c r="F303">
        <f>IF($Q303="","",IF(ISNUMBER(INDEX(상세표[시작],$Q303)),TEXT(INDEX(상세표[시작],$Q303),"yyyy-mm-dd hh:mm"),INDEX(상세표[시작],$Q303)&amp;""))</f>
        <v/>
      </c>
      <c r="G303">
        <f>IF($Q303="","",IF(ISNUMBER(INDEX(상세표[블록종료],$Q303)),TEXT(INDEX(상세표[블록종료],$Q303),"yyyy-mm-dd hh:mm"),INDEX(상세표[블록종료],$Q303)&amp;""))</f>
        <v/>
      </c>
      <c r="H303">
        <f>IF($Q303="","",CHOOSE(WEEKDAY(INDEX(상세표[시작],$Q303)),"일","월","화","수","목","금","토"))</f>
        <v/>
      </c>
      <c r="I303" s="20">
        <f>IF($Q303="","",INDEX(상세표[연속 시간],$Q303))</f>
        <v/>
      </c>
      <c r="J303">
        <f>IF($Q303="","",INDEX(상세표[기록 수],$Q303))</f>
        <v/>
      </c>
      <c r="K303" s="20">
        <f>IF($Q303="","",INDEX(상세표[블록 06~07시],$Q303))</f>
        <v/>
      </c>
      <c r="L303" s="20">
        <f>IF($Q303="","",INDEX(상세표[블록 07~18시],$Q303))</f>
        <v/>
      </c>
      <c r="M303" s="20">
        <f>IF($Q303="","",INDEX(상세표[블록 18~22시],$Q303))</f>
        <v/>
      </c>
      <c r="N303" s="20">
        <f>IF($Q303="","",INDEX(상세표[블록 22~06시],$Q303))</f>
        <v/>
      </c>
      <c r="O303">
        <f>IF($Q303="","",INDEX(상세표[주말·휴일 포함],$Q303)&amp;"")</f>
        <v/>
      </c>
      <c r="P303">
        <f>IF($Q303="","",INDEX(상세표[월 넘김 포함],$Q303)&amp;"")</f>
        <v/>
      </c>
      <c r="Q303" s="4">
        <f>IFERROR(MATCH(298,상세표[연속순번],0),"")</f>
        <v/>
      </c>
    </row>
    <row r="304">
      <c r="A304">
        <f>IF($Q304="","",INDEX(상세표[부서],$Q304)&amp;"")</f>
        <v/>
      </c>
      <c r="B304">
        <f>IF($Q304="","",INDEX(상세표[사번],$Q304)&amp;"")</f>
        <v/>
      </c>
      <c r="C304">
        <f>IF($Q304="","",INDEX(상세표[성명],$Q304)&amp;"")</f>
        <v/>
      </c>
      <c r="D304">
        <f>IF($Q304="","",INDEX(상세표[직위],$Q304)&amp;"")</f>
        <v/>
      </c>
      <c r="E304">
        <f>IF($Q304="","",IF(ISNUMBER(INDEX(상세표[근무일자],$Q304)),TEXT(INDEX(상세표[근무일자],$Q304),"yyyy-mm-dd"),INDEX(상세표[근무일자],$Q304)&amp;""))</f>
        <v/>
      </c>
      <c r="F304">
        <f>IF($Q304="","",IF(ISNUMBER(INDEX(상세표[시작],$Q304)),TEXT(INDEX(상세표[시작],$Q304),"yyyy-mm-dd hh:mm"),INDEX(상세표[시작],$Q304)&amp;""))</f>
        <v/>
      </c>
      <c r="G304">
        <f>IF($Q304="","",IF(ISNUMBER(INDEX(상세표[블록종료],$Q304)),TEXT(INDEX(상세표[블록종료],$Q304),"yyyy-mm-dd hh:mm"),INDEX(상세표[블록종료],$Q304)&amp;""))</f>
        <v/>
      </c>
      <c r="H304">
        <f>IF($Q304="","",CHOOSE(WEEKDAY(INDEX(상세표[시작],$Q304)),"일","월","화","수","목","금","토"))</f>
        <v/>
      </c>
      <c r="I304" s="20">
        <f>IF($Q304="","",INDEX(상세표[연속 시간],$Q304))</f>
        <v/>
      </c>
      <c r="J304">
        <f>IF($Q304="","",INDEX(상세표[기록 수],$Q304))</f>
        <v/>
      </c>
      <c r="K304" s="20">
        <f>IF($Q304="","",INDEX(상세표[블록 06~07시],$Q304))</f>
        <v/>
      </c>
      <c r="L304" s="20">
        <f>IF($Q304="","",INDEX(상세표[블록 07~18시],$Q304))</f>
        <v/>
      </c>
      <c r="M304" s="20">
        <f>IF($Q304="","",INDEX(상세표[블록 18~22시],$Q304))</f>
        <v/>
      </c>
      <c r="N304" s="20">
        <f>IF($Q304="","",INDEX(상세표[블록 22~06시],$Q304))</f>
        <v/>
      </c>
      <c r="O304">
        <f>IF($Q304="","",INDEX(상세표[주말·휴일 포함],$Q304)&amp;"")</f>
        <v/>
      </c>
      <c r="P304">
        <f>IF($Q304="","",INDEX(상세표[월 넘김 포함],$Q304)&amp;"")</f>
        <v/>
      </c>
      <c r="Q304" s="4">
        <f>IFERROR(MATCH(299,상세표[연속순번],0),"")</f>
        <v/>
      </c>
    </row>
    <row r="305">
      <c r="A305">
        <f>IF($Q305="","",INDEX(상세표[부서],$Q305)&amp;"")</f>
        <v/>
      </c>
      <c r="B305">
        <f>IF($Q305="","",INDEX(상세표[사번],$Q305)&amp;"")</f>
        <v/>
      </c>
      <c r="C305">
        <f>IF($Q305="","",INDEX(상세표[성명],$Q305)&amp;"")</f>
        <v/>
      </c>
      <c r="D305">
        <f>IF($Q305="","",INDEX(상세표[직위],$Q305)&amp;"")</f>
        <v/>
      </c>
      <c r="E305">
        <f>IF($Q305="","",IF(ISNUMBER(INDEX(상세표[근무일자],$Q305)),TEXT(INDEX(상세표[근무일자],$Q305),"yyyy-mm-dd"),INDEX(상세표[근무일자],$Q305)&amp;""))</f>
        <v/>
      </c>
      <c r="F305">
        <f>IF($Q305="","",IF(ISNUMBER(INDEX(상세표[시작],$Q305)),TEXT(INDEX(상세표[시작],$Q305),"yyyy-mm-dd hh:mm"),INDEX(상세표[시작],$Q305)&amp;""))</f>
        <v/>
      </c>
      <c r="G305">
        <f>IF($Q305="","",IF(ISNUMBER(INDEX(상세표[블록종료],$Q305)),TEXT(INDEX(상세표[블록종료],$Q305),"yyyy-mm-dd hh:mm"),INDEX(상세표[블록종료],$Q305)&amp;""))</f>
        <v/>
      </c>
      <c r="H305">
        <f>IF($Q305="","",CHOOSE(WEEKDAY(INDEX(상세표[시작],$Q305)),"일","월","화","수","목","금","토"))</f>
        <v/>
      </c>
      <c r="I305" s="20">
        <f>IF($Q305="","",INDEX(상세표[연속 시간],$Q305))</f>
        <v/>
      </c>
      <c r="J305">
        <f>IF($Q305="","",INDEX(상세표[기록 수],$Q305))</f>
        <v/>
      </c>
      <c r="K305" s="20">
        <f>IF($Q305="","",INDEX(상세표[블록 06~07시],$Q305))</f>
        <v/>
      </c>
      <c r="L305" s="20">
        <f>IF($Q305="","",INDEX(상세표[블록 07~18시],$Q305))</f>
        <v/>
      </c>
      <c r="M305" s="20">
        <f>IF($Q305="","",INDEX(상세표[블록 18~22시],$Q305))</f>
        <v/>
      </c>
      <c r="N305" s="20">
        <f>IF($Q305="","",INDEX(상세표[블록 22~06시],$Q305))</f>
        <v/>
      </c>
      <c r="O305">
        <f>IF($Q305="","",INDEX(상세표[주말·휴일 포함],$Q305)&amp;"")</f>
        <v/>
      </c>
      <c r="P305">
        <f>IF($Q305="","",INDEX(상세표[월 넘김 포함],$Q305)&amp;"")</f>
        <v/>
      </c>
      <c r="Q305" s="4">
        <f>IFERROR(MATCH(300,상세표[연속순번],0),"")</f>
        <v/>
      </c>
    </row>
    <row r="306">
      <c r="A306">
        <f>IF($Q306="","",INDEX(상세표[부서],$Q306)&amp;"")</f>
        <v/>
      </c>
      <c r="B306">
        <f>IF($Q306="","",INDEX(상세표[사번],$Q306)&amp;"")</f>
        <v/>
      </c>
      <c r="C306">
        <f>IF($Q306="","",INDEX(상세표[성명],$Q306)&amp;"")</f>
        <v/>
      </c>
      <c r="D306">
        <f>IF($Q306="","",INDEX(상세표[직위],$Q306)&amp;"")</f>
        <v/>
      </c>
      <c r="E306">
        <f>IF($Q306="","",IF(ISNUMBER(INDEX(상세표[근무일자],$Q306)),TEXT(INDEX(상세표[근무일자],$Q306),"yyyy-mm-dd"),INDEX(상세표[근무일자],$Q306)&amp;""))</f>
        <v/>
      </c>
      <c r="F306">
        <f>IF($Q306="","",IF(ISNUMBER(INDEX(상세표[시작],$Q306)),TEXT(INDEX(상세표[시작],$Q306),"yyyy-mm-dd hh:mm"),INDEX(상세표[시작],$Q306)&amp;""))</f>
        <v/>
      </c>
      <c r="G306">
        <f>IF($Q306="","",IF(ISNUMBER(INDEX(상세표[블록종료],$Q306)),TEXT(INDEX(상세표[블록종료],$Q306),"yyyy-mm-dd hh:mm"),INDEX(상세표[블록종료],$Q306)&amp;""))</f>
        <v/>
      </c>
      <c r="H306">
        <f>IF($Q306="","",CHOOSE(WEEKDAY(INDEX(상세표[시작],$Q306)),"일","월","화","수","목","금","토"))</f>
        <v/>
      </c>
      <c r="I306" s="20">
        <f>IF($Q306="","",INDEX(상세표[연속 시간],$Q306))</f>
        <v/>
      </c>
      <c r="J306">
        <f>IF($Q306="","",INDEX(상세표[기록 수],$Q306))</f>
        <v/>
      </c>
      <c r="K306" s="20">
        <f>IF($Q306="","",INDEX(상세표[블록 06~07시],$Q306))</f>
        <v/>
      </c>
      <c r="L306" s="20">
        <f>IF($Q306="","",INDEX(상세표[블록 07~18시],$Q306))</f>
        <v/>
      </c>
      <c r="M306" s="20">
        <f>IF($Q306="","",INDEX(상세표[블록 18~22시],$Q306))</f>
        <v/>
      </c>
      <c r="N306" s="20">
        <f>IF($Q306="","",INDEX(상세표[블록 22~06시],$Q306))</f>
        <v/>
      </c>
      <c r="O306">
        <f>IF($Q306="","",INDEX(상세표[주말·휴일 포함],$Q306)&amp;"")</f>
        <v/>
      </c>
      <c r="P306">
        <f>IF($Q306="","",INDEX(상세표[월 넘김 포함],$Q306)&amp;"")</f>
        <v/>
      </c>
      <c r="Q306" s="4">
        <f>IFERROR(MATCH(301,상세표[연속순번],0),"")</f>
        <v/>
      </c>
    </row>
    <row r="307">
      <c r="A307">
        <f>IF($Q307="","",INDEX(상세표[부서],$Q307)&amp;"")</f>
        <v/>
      </c>
      <c r="B307">
        <f>IF($Q307="","",INDEX(상세표[사번],$Q307)&amp;"")</f>
        <v/>
      </c>
      <c r="C307">
        <f>IF($Q307="","",INDEX(상세표[성명],$Q307)&amp;"")</f>
        <v/>
      </c>
      <c r="D307">
        <f>IF($Q307="","",INDEX(상세표[직위],$Q307)&amp;"")</f>
        <v/>
      </c>
      <c r="E307">
        <f>IF($Q307="","",IF(ISNUMBER(INDEX(상세표[근무일자],$Q307)),TEXT(INDEX(상세표[근무일자],$Q307),"yyyy-mm-dd"),INDEX(상세표[근무일자],$Q307)&amp;""))</f>
        <v/>
      </c>
      <c r="F307">
        <f>IF($Q307="","",IF(ISNUMBER(INDEX(상세표[시작],$Q307)),TEXT(INDEX(상세표[시작],$Q307),"yyyy-mm-dd hh:mm"),INDEX(상세표[시작],$Q307)&amp;""))</f>
        <v/>
      </c>
      <c r="G307">
        <f>IF($Q307="","",IF(ISNUMBER(INDEX(상세표[블록종료],$Q307)),TEXT(INDEX(상세표[블록종료],$Q307),"yyyy-mm-dd hh:mm"),INDEX(상세표[블록종료],$Q307)&amp;""))</f>
        <v/>
      </c>
      <c r="H307">
        <f>IF($Q307="","",CHOOSE(WEEKDAY(INDEX(상세표[시작],$Q307)),"일","월","화","수","목","금","토"))</f>
        <v/>
      </c>
      <c r="I307" s="20">
        <f>IF($Q307="","",INDEX(상세표[연속 시간],$Q307))</f>
        <v/>
      </c>
      <c r="J307">
        <f>IF($Q307="","",INDEX(상세표[기록 수],$Q307))</f>
        <v/>
      </c>
      <c r="K307" s="20">
        <f>IF($Q307="","",INDEX(상세표[블록 06~07시],$Q307))</f>
        <v/>
      </c>
      <c r="L307" s="20">
        <f>IF($Q307="","",INDEX(상세표[블록 07~18시],$Q307))</f>
        <v/>
      </c>
      <c r="M307" s="20">
        <f>IF($Q307="","",INDEX(상세표[블록 18~22시],$Q307))</f>
        <v/>
      </c>
      <c r="N307" s="20">
        <f>IF($Q307="","",INDEX(상세표[블록 22~06시],$Q307))</f>
        <v/>
      </c>
      <c r="O307">
        <f>IF($Q307="","",INDEX(상세표[주말·휴일 포함],$Q307)&amp;"")</f>
        <v/>
      </c>
      <c r="P307">
        <f>IF($Q307="","",INDEX(상세표[월 넘김 포함],$Q307)&amp;"")</f>
        <v/>
      </c>
      <c r="Q307" s="4">
        <f>IFERROR(MATCH(302,상세표[연속순번],0),"")</f>
        <v/>
      </c>
    </row>
    <row r="308">
      <c r="A308">
        <f>IF($Q308="","",INDEX(상세표[부서],$Q308)&amp;"")</f>
        <v/>
      </c>
      <c r="B308">
        <f>IF($Q308="","",INDEX(상세표[사번],$Q308)&amp;"")</f>
        <v/>
      </c>
      <c r="C308">
        <f>IF($Q308="","",INDEX(상세표[성명],$Q308)&amp;"")</f>
        <v/>
      </c>
      <c r="D308">
        <f>IF($Q308="","",INDEX(상세표[직위],$Q308)&amp;"")</f>
        <v/>
      </c>
      <c r="E308">
        <f>IF($Q308="","",IF(ISNUMBER(INDEX(상세표[근무일자],$Q308)),TEXT(INDEX(상세표[근무일자],$Q308),"yyyy-mm-dd"),INDEX(상세표[근무일자],$Q308)&amp;""))</f>
        <v/>
      </c>
      <c r="F308">
        <f>IF($Q308="","",IF(ISNUMBER(INDEX(상세표[시작],$Q308)),TEXT(INDEX(상세표[시작],$Q308),"yyyy-mm-dd hh:mm"),INDEX(상세표[시작],$Q308)&amp;""))</f>
        <v/>
      </c>
      <c r="G308">
        <f>IF($Q308="","",IF(ISNUMBER(INDEX(상세표[블록종료],$Q308)),TEXT(INDEX(상세표[블록종료],$Q308),"yyyy-mm-dd hh:mm"),INDEX(상세표[블록종료],$Q308)&amp;""))</f>
        <v/>
      </c>
      <c r="H308">
        <f>IF($Q308="","",CHOOSE(WEEKDAY(INDEX(상세표[시작],$Q308)),"일","월","화","수","목","금","토"))</f>
        <v/>
      </c>
      <c r="I308" s="20">
        <f>IF($Q308="","",INDEX(상세표[연속 시간],$Q308))</f>
        <v/>
      </c>
      <c r="J308">
        <f>IF($Q308="","",INDEX(상세표[기록 수],$Q308))</f>
        <v/>
      </c>
      <c r="K308" s="20">
        <f>IF($Q308="","",INDEX(상세표[블록 06~07시],$Q308))</f>
        <v/>
      </c>
      <c r="L308" s="20">
        <f>IF($Q308="","",INDEX(상세표[블록 07~18시],$Q308))</f>
        <v/>
      </c>
      <c r="M308" s="20">
        <f>IF($Q308="","",INDEX(상세표[블록 18~22시],$Q308))</f>
        <v/>
      </c>
      <c r="N308" s="20">
        <f>IF($Q308="","",INDEX(상세표[블록 22~06시],$Q308))</f>
        <v/>
      </c>
      <c r="O308">
        <f>IF($Q308="","",INDEX(상세표[주말·휴일 포함],$Q308)&amp;"")</f>
        <v/>
      </c>
      <c r="P308">
        <f>IF($Q308="","",INDEX(상세표[월 넘김 포함],$Q308)&amp;"")</f>
        <v/>
      </c>
      <c r="Q308" s="4">
        <f>IFERROR(MATCH(303,상세표[연속순번],0),"")</f>
        <v/>
      </c>
    </row>
    <row r="309">
      <c r="A309">
        <f>IF($Q309="","",INDEX(상세표[부서],$Q309)&amp;"")</f>
        <v/>
      </c>
      <c r="B309">
        <f>IF($Q309="","",INDEX(상세표[사번],$Q309)&amp;"")</f>
        <v/>
      </c>
      <c r="C309">
        <f>IF($Q309="","",INDEX(상세표[성명],$Q309)&amp;"")</f>
        <v/>
      </c>
      <c r="D309">
        <f>IF($Q309="","",INDEX(상세표[직위],$Q309)&amp;"")</f>
        <v/>
      </c>
      <c r="E309">
        <f>IF($Q309="","",IF(ISNUMBER(INDEX(상세표[근무일자],$Q309)),TEXT(INDEX(상세표[근무일자],$Q309),"yyyy-mm-dd"),INDEX(상세표[근무일자],$Q309)&amp;""))</f>
        <v/>
      </c>
      <c r="F309">
        <f>IF($Q309="","",IF(ISNUMBER(INDEX(상세표[시작],$Q309)),TEXT(INDEX(상세표[시작],$Q309),"yyyy-mm-dd hh:mm"),INDEX(상세표[시작],$Q309)&amp;""))</f>
        <v/>
      </c>
      <c r="G309">
        <f>IF($Q309="","",IF(ISNUMBER(INDEX(상세표[블록종료],$Q309)),TEXT(INDEX(상세표[블록종료],$Q309),"yyyy-mm-dd hh:mm"),INDEX(상세표[블록종료],$Q309)&amp;""))</f>
        <v/>
      </c>
      <c r="H309">
        <f>IF($Q309="","",CHOOSE(WEEKDAY(INDEX(상세표[시작],$Q309)),"일","월","화","수","목","금","토"))</f>
        <v/>
      </c>
      <c r="I309" s="20">
        <f>IF($Q309="","",INDEX(상세표[연속 시간],$Q309))</f>
        <v/>
      </c>
      <c r="J309">
        <f>IF($Q309="","",INDEX(상세표[기록 수],$Q309))</f>
        <v/>
      </c>
      <c r="K309" s="20">
        <f>IF($Q309="","",INDEX(상세표[블록 06~07시],$Q309))</f>
        <v/>
      </c>
      <c r="L309" s="20">
        <f>IF($Q309="","",INDEX(상세표[블록 07~18시],$Q309))</f>
        <v/>
      </c>
      <c r="M309" s="20">
        <f>IF($Q309="","",INDEX(상세표[블록 18~22시],$Q309))</f>
        <v/>
      </c>
      <c r="N309" s="20">
        <f>IF($Q309="","",INDEX(상세표[블록 22~06시],$Q309))</f>
        <v/>
      </c>
      <c r="O309">
        <f>IF($Q309="","",INDEX(상세표[주말·휴일 포함],$Q309)&amp;"")</f>
        <v/>
      </c>
      <c r="P309">
        <f>IF($Q309="","",INDEX(상세표[월 넘김 포함],$Q309)&amp;"")</f>
        <v/>
      </c>
      <c r="Q309" s="4">
        <f>IFERROR(MATCH(304,상세표[연속순번],0),"")</f>
        <v/>
      </c>
    </row>
    <row r="310">
      <c r="A310">
        <f>IF($Q310="","",INDEX(상세표[부서],$Q310)&amp;"")</f>
        <v/>
      </c>
      <c r="B310">
        <f>IF($Q310="","",INDEX(상세표[사번],$Q310)&amp;"")</f>
        <v/>
      </c>
      <c r="C310">
        <f>IF($Q310="","",INDEX(상세표[성명],$Q310)&amp;"")</f>
        <v/>
      </c>
      <c r="D310">
        <f>IF($Q310="","",INDEX(상세표[직위],$Q310)&amp;"")</f>
        <v/>
      </c>
      <c r="E310">
        <f>IF($Q310="","",IF(ISNUMBER(INDEX(상세표[근무일자],$Q310)),TEXT(INDEX(상세표[근무일자],$Q310),"yyyy-mm-dd"),INDEX(상세표[근무일자],$Q310)&amp;""))</f>
        <v/>
      </c>
      <c r="F310">
        <f>IF($Q310="","",IF(ISNUMBER(INDEX(상세표[시작],$Q310)),TEXT(INDEX(상세표[시작],$Q310),"yyyy-mm-dd hh:mm"),INDEX(상세표[시작],$Q310)&amp;""))</f>
        <v/>
      </c>
      <c r="G310">
        <f>IF($Q310="","",IF(ISNUMBER(INDEX(상세표[블록종료],$Q310)),TEXT(INDEX(상세표[블록종료],$Q310),"yyyy-mm-dd hh:mm"),INDEX(상세표[블록종료],$Q310)&amp;""))</f>
        <v/>
      </c>
      <c r="H310">
        <f>IF($Q310="","",CHOOSE(WEEKDAY(INDEX(상세표[시작],$Q310)),"일","월","화","수","목","금","토"))</f>
        <v/>
      </c>
      <c r="I310" s="20">
        <f>IF($Q310="","",INDEX(상세표[연속 시간],$Q310))</f>
        <v/>
      </c>
      <c r="J310">
        <f>IF($Q310="","",INDEX(상세표[기록 수],$Q310))</f>
        <v/>
      </c>
      <c r="K310" s="20">
        <f>IF($Q310="","",INDEX(상세표[블록 06~07시],$Q310))</f>
        <v/>
      </c>
      <c r="L310" s="20">
        <f>IF($Q310="","",INDEX(상세표[블록 07~18시],$Q310))</f>
        <v/>
      </c>
      <c r="M310" s="20">
        <f>IF($Q310="","",INDEX(상세표[블록 18~22시],$Q310))</f>
        <v/>
      </c>
      <c r="N310" s="20">
        <f>IF($Q310="","",INDEX(상세표[블록 22~06시],$Q310))</f>
        <v/>
      </c>
      <c r="O310">
        <f>IF($Q310="","",INDEX(상세표[주말·휴일 포함],$Q310)&amp;"")</f>
        <v/>
      </c>
      <c r="P310">
        <f>IF($Q310="","",INDEX(상세표[월 넘김 포함],$Q310)&amp;"")</f>
        <v/>
      </c>
      <c r="Q310" s="4">
        <f>IFERROR(MATCH(305,상세표[연속순번],0),"")</f>
        <v/>
      </c>
    </row>
    <row r="311">
      <c r="A311">
        <f>IF($Q311="","",INDEX(상세표[부서],$Q311)&amp;"")</f>
        <v/>
      </c>
      <c r="B311">
        <f>IF($Q311="","",INDEX(상세표[사번],$Q311)&amp;"")</f>
        <v/>
      </c>
      <c r="C311">
        <f>IF($Q311="","",INDEX(상세표[성명],$Q311)&amp;"")</f>
        <v/>
      </c>
      <c r="D311">
        <f>IF($Q311="","",INDEX(상세표[직위],$Q311)&amp;"")</f>
        <v/>
      </c>
      <c r="E311">
        <f>IF($Q311="","",IF(ISNUMBER(INDEX(상세표[근무일자],$Q311)),TEXT(INDEX(상세표[근무일자],$Q311),"yyyy-mm-dd"),INDEX(상세표[근무일자],$Q311)&amp;""))</f>
        <v/>
      </c>
      <c r="F311">
        <f>IF($Q311="","",IF(ISNUMBER(INDEX(상세표[시작],$Q311)),TEXT(INDEX(상세표[시작],$Q311),"yyyy-mm-dd hh:mm"),INDEX(상세표[시작],$Q311)&amp;""))</f>
        <v/>
      </c>
      <c r="G311">
        <f>IF($Q311="","",IF(ISNUMBER(INDEX(상세표[블록종료],$Q311)),TEXT(INDEX(상세표[블록종료],$Q311),"yyyy-mm-dd hh:mm"),INDEX(상세표[블록종료],$Q311)&amp;""))</f>
        <v/>
      </c>
      <c r="H311">
        <f>IF($Q311="","",CHOOSE(WEEKDAY(INDEX(상세표[시작],$Q311)),"일","월","화","수","목","금","토"))</f>
        <v/>
      </c>
      <c r="I311" s="20">
        <f>IF($Q311="","",INDEX(상세표[연속 시간],$Q311))</f>
        <v/>
      </c>
      <c r="J311">
        <f>IF($Q311="","",INDEX(상세표[기록 수],$Q311))</f>
        <v/>
      </c>
      <c r="K311" s="20">
        <f>IF($Q311="","",INDEX(상세표[블록 06~07시],$Q311))</f>
        <v/>
      </c>
      <c r="L311" s="20">
        <f>IF($Q311="","",INDEX(상세표[블록 07~18시],$Q311))</f>
        <v/>
      </c>
      <c r="M311" s="20">
        <f>IF($Q311="","",INDEX(상세표[블록 18~22시],$Q311))</f>
        <v/>
      </c>
      <c r="N311" s="20">
        <f>IF($Q311="","",INDEX(상세표[블록 22~06시],$Q311))</f>
        <v/>
      </c>
      <c r="O311">
        <f>IF($Q311="","",INDEX(상세표[주말·휴일 포함],$Q311)&amp;"")</f>
        <v/>
      </c>
      <c r="P311">
        <f>IF($Q311="","",INDEX(상세표[월 넘김 포함],$Q311)&amp;"")</f>
        <v/>
      </c>
      <c r="Q311" s="4">
        <f>IFERROR(MATCH(306,상세표[연속순번],0),"")</f>
        <v/>
      </c>
    </row>
    <row r="312">
      <c r="A312">
        <f>IF($Q312="","",INDEX(상세표[부서],$Q312)&amp;"")</f>
        <v/>
      </c>
      <c r="B312">
        <f>IF($Q312="","",INDEX(상세표[사번],$Q312)&amp;"")</f>
        <v/>
      </c>
      <c r="C312">
        <f>IF($Q312="","",INDEX(상세표[성명],$Q312)&amp;"")</f>
        <v/>
      </c>
      <c r="D312">
        <f>IF($Q312="","",INDEX(상세표[직위],$Q312)&amp;"")</f>
        <v/>
      </c>
      <c r="E312">
        <f>IF($Q312="","",IF(ISNUMBER(INDEX(상세표[근무일자],$Q312)),TEXT(INDEX(상세표[근무일자],$Q312),"yyyy-mm-dd"),INDEX(상세표[근무일자],$Q312)&amp;""))</f>
        <v/>
      </c>
      <c r="F312">
        <f>IF($Q312="","",IF(ISNUMBER(INDEX(상세표[시작],$Q312)),TEXT(INDEX(상세표[시작],$Q312),"yyyy-mm-dd hh:mm"),INDEX(상세표[시작],$Q312)&amp;""))</f>
        <v/>
      </c>
      <c r="G312">
        <f>IF($Q312="","",IF(ISNUMBER(INDEX(상세표[블록종료],$Q312)),TEXT(INDEX(상세표[블록종료],$Q312),"yyyy-mm-dd hh:mm"),INDEX(상세표[블록종료],$Q312)&amp;""))</f>
        <v/>
      </c>
      <c r="H312">
        <f>IF($Q312="","",CHOOSE(WEEKDAY(INDEX(상세표[시작],$Q312)),"일","월","화","수","목","금","토"))</f>
        <v/>
      </c>
      <c r="I312" s="20">
        <f>IF($Q312="","",INDEX(상세표[연속 시간],$Q312))</f>
        <v/>
      </c>
      <c r="J312">
        <f>IF($Q312="","",INDEX(상세표[기록 수],$Q312))</f>
        <v/>
      </c>
      <c r="K312" s="20">
        <f>IF($Q312="","",INDEX(상세표[블록 06~07시],$Q312))</f>
        <v/>
      </c>
      <c r="L312" s="20">
        <f>IF($Q312="","",INDEX(상세표[블록 07~18시],$Q312))</f>
        <v/>
      </c>
      <c r="M312" s="20">
        <f>IF($Q312="","",INDEX(상세표[블록 18~22시],$Q312))</f>
        <v/>
      </c>
      <c r="N312" s="20">
        <f>IF($Q312="","",INDEX(상세표[블록 22~06시],$Q312))</f>
        <v/>
      </c>
      <c r="O312">
        <f>IF($Q312="","",INDEX(상세표[주말·휴일 포함],$Q312)&amp;"")</f>
        <v/>
      </c>
      <c r="P312">
        <f>IF($Q312="","",INDEX(상세표[월 넘김 포함],$Q312)&amp;"")</f>
        <v/>
      </c>
      <c r="Q312" s="4">
        <f>IFERROR(MATCH(307,상세표[연속순번],0),"")</f>
        <v/>
      </c>
    </row>
    <row r="313">
      <c r="A313">
        <f>IF($Q313="","",INDEX(상세표[부서],$Q313)&amp;"")</f>
        <v/>
      </c>
      <c r="B313">
        <f>IF($Q313="","",INDEX(상세표[사번],$Q313)&amp;"")</f>
        <v/>
      </c>
      <c r="C313">
        <f>IF($Q313="","",INDEX(상세표[성명],$Q313)&amp;"")</f>
        <v/>
      </c>
      <c r="D313">
        <f>IF($Q313="","",INDEX(상세표[직위],$Q313)&amp;"")</f>
        <v/>
      </c>
      <c r="E313">
        <f>IF($Q313="","",IF(ISNUMBER(INDEX(상세표[근무일자],$Q313)),TEXT(INDEX(상세표[근무일자],$Q313),"yyyy-mm-dd"),INDEX(상세표[근무일자],$Q313)&amp;""))</f>
        <v/>
      </c>
      <c r="F313">
        <f>IF($Q313="","",IF(ISNUMBER(INDEX(상세표[시작],$Q313)),TEXT(INDEX(상세표[시작],$Q313),"yyyy-mm-dd hh:mm"),INDEX(상세표[시작],$Q313)&amp;""))</f>
        <v/>
      </c>
      <c r="G313">
        <f>IF($Q313="","",IF(ISNUMBER(INDEX(상세표[블록종료],$Q313)),TEXT(INDEX(상세표[블록종료],$Q313),"yyyy-mm-dd hh:mm"),INDEX(상세표[블록종료],$Q313)&amp;""))</f>
        <v/>
      </c>
      <c r="H313">
        <f>IF($Q313="","",CHOOSE(WEEKDAY(INDEX(상세표[시작],$Q313)),"일","월","화","수","목","금","토"))</f>
        <v/>
      </c>
      <c r="I313" s="20">
        <f>IF($Q313="","",INDEX(상세표[연속 시간],$Q313))</f>
        <v/>
      </c>
      <c r="J313">
        <f>IF($Q313="","",INDEX(상세표[기록 수],$Q313))</f>
        <v/>
      </c>
      <c r="K313" s="20">
        <f>IF($Q313="","",INDEX(상세표[블록 06~07시],$Q313))</f>
        <v/>
      </c>
      <c r="L313" s="20">
        <f>IF($Q313="","",INDEX(상세표[블록 07~18시],$Q313))</f>
        <v/>
      </c>
      <c r="M313" s="20">
        <f>IF($Q313="","",INDEX(상세표[블록 18~22시],$Q313))</f>
        <v/>
      </c>
      <c r="N313" s="20">
        <f>IF($Q313="","",INDEX(상세표[블록 22~06시],$Q313))</f>
        <v/>
      </c>
      <c r="O313">
        <f>IF($Q313="","",INDEX(상세표[주말·휴일 포함],$Q313)&amp;"")</f>
        <v/>
      </c>
      <c r="P313">
        <f>IF($Q313="","",INDEX(상세표[월 넘김 포함],$Q313)&amp;"")</f>
        <v/>
      </c>
      <c r="Q313" s="4">
        <f>IFERROR(MATCH(308,상세표[연속순번],0),"")</f>
        <v/>
      </c>
    </row>
    <row r="314">
      <c r="A314">
        <f>IF($Q314="","",INDEX(상세표[부서],$Q314)&amp;"")</f>
        <v/>
      </c>
      <c r="B314">
        <f>IF($Q314="","",INDEX(상세표[사번],$Q314)&amp;"")</f>
        <v/>
      </c>
      <c r="C314">
        <f>IF($Q314="","",INDEX(상세표[성명],$Q314)&amp;"")</f>
        <v/>
      </c>
      <c r="D314">
        <f>IF($Q314="","",INDEX(상세표[직위],$Q314)&amp;"")</f>
        <v/>
      </c>
      <c r="E314">
        <f>IF($Q314="","",IF(ISNUMBER(INDEX(상세표[근무일자],$Q314)),TEXT(INDEX(상세표[근무일자],$Q314),"yyyy-mm-dd"),INDEX(상세표[근무일자],$Q314)&amp;""))</f>
        <v/>
      </c>
      <c r="F314">
        <f>IF($Q314="","",IF(ISNUMBER(INDEX(상세표[시작],$Q314)),TEXT(INDEX(상세표[시작],$Q314),"yyyy-mm-dd hh:mm"),INDEX(상세표[시작],$Q314)&amp;""))</f>
        <v/>
      </c>
      <c r="G314">
        <f>IF($Q314="","",IF(ISNUMBER(INDEX(상세표[블록종료],$Q314)),TEXT(INDEX(상세표[블록종료],$Q314),"yyyy-mm-dd hh:mm"),INDEX(상세표[블록종료],$Q314)&amp;""))</f>
        <v/>
      </c>
      <c r="H314">
        <f>IF($Q314="","",CHOOSE(WEEKDAY(INDEX(상세표[시작],$Q314)),"일","월","화","수","목","금","토"))</f>
        <v/>
      </c>
      <c r="I314" s="20">
        <f>IF($Q314="","",INDEX(상세표[연속 시간],$Q314))</f>
        <v/>
      </c>
      <c r="J314">
        <f>IF($Q314="","",INDEX(상세표[기록 수],$Q314))</f>
        <v/>
      </c>
      <c r="K314" s="20">
        <f>IF($Q314="","",INDEX(상세표[블록 06~07시],$Q314))</f>
        <v/>
      </c>
      <c r="L314" s="20">
        <f>IF($Q314="","",INDEX(상세표[블록 07~18시],$Q314))</f>
        <v/>
      </c>
      <c r="M314" s="20">
        <f>IF($Q314="","",INDEX(상세표[블록 18~22시],$Q314))</f>
        <v/>
      </c>
      <c r="N314" s="20">
        <f>IF($Q314="","",INDEX(상세표[블록 22~06시],$Q314))</f>
        <v/>
      </c>
      <c r="O314">
        <f>IF($Q314="","",INDEX(상세표[주말·휴일 포함],$Q314)&amp;"")</f>
        <v/>
      </c>
      <c r="P314">
        <f>IF($Q314="","",INDEX(상세표[월 넘김 포함],$Q314)&amp;"")</f>
        <v/>
      </c>
      <c r="Q314" s="4">
        <f>IFERROR(MATCH(309,상세표[연속순번],0),"")</f>
        <v/>
      </c>
    </row>
    <row r="315">
      <c r="A315">
        <f>IF($Q315="","",INDEX(상세표[부서],$Q315)&amp;"")</f>
        <v/>
      </c>
      <c r="B315">
        <f>IF($Q315="","",INDEX(상세표[사번],$Q315)&amp;"")</f>
        <v/>
      </c>
      <c r="C315">
        <f>IF($Q315="","",INDEX(상세표[성명],$Q315)&amp;"")</f>
        <v/>
      </c>
      <c r="D315">
        <f>IF($Q315="","",INDEX(상세표[직위],$Q315)&amp;"")</f>
        <v/>
      </c>
      <c r="E315">
        <f>IF($Q315="","",IF(ISNUMBER(INDEX(상세표[근무일자],$Q315)),TEXT(INDEX(상세표[근무일자],$Q315),"yyyy-mm-dd"),INDEX(상세표[근무일자],$Q315)&amp;""))</f>
        <v/>
      </c>
      <c r="F315">
        <f>IF($Q315="","",IF(ISNUMBER(INDEX(상세표[시작],$Q315)),TEXT(INDEX(상세표[시작],$Q315),"yyyy-mm-dd hh:mm"),INDEX(상세표[시작],$Q315)&amp;""))</f>
        <v/>
      </c>
      <c r="G315">
        <f>IF($Q315="","",IF(ISNUMBER(INDEX(상세표[블록종료],$Q315)),TEXT(INDEX(상세표[블록종료],$Q315),"yyyy-mm-dd hh:mm"),INDEX(상세표[블록종료],$Q315)&amp;""))</f>
        <v/>
      </c>
      <c r="H315">
        <f>IF($Q315="","",CHOOSE(WEEKDAY(INDEX(상세표[시작],$Q315)),"일","월","화","수","목","금","토"))</f>
        <v/>
      </c>
      <c r="I315" s="20">
        <f>IF($Q315="","",INDEX(상세표[연속 시간],$Q315))</f>
        <v/>
      </c>
      <c r="J315">
        <f>IF($Q315="","",INDEX(상세표[기록 수],$Q315))</f>
        <v/>
      </c>
      <c r="K315" s="20">
        <f>IF($Q315="","",INDEX(상세표[블록 06~07시],$Q315))</f>
        <v/>
      </c>
      <c r="L315" s="20">
        <f>IF($Q315="","",INDEX(상세표[블록 07~18시],$Q315))</f>
        <v/>
      </c>
      <c r="M315" s="20">
        <f>IF($Q315="","",INDEX(상세표[블록 18~22시],$Q315))</f>
        <v/>
      </c>
      <c r="N315" s="20">
        <f>IF($Q315="","",INDEX(상세표[블록 22~06시],$Q315))</f>
        <v/>
      </c>
      <c r="O315">
        <f>IF($Q315="","",INDEX(상세표[주말·휴일 포함],$Q315)&amp;"")</f>
        <v/>
      </c>
      <c r="P315">
        <f>IF($Q315="","",INDEX(상세표[월 넘김 포함],$Q315)&amp;"")</f>
        <v/>
      </c>
      <c r="Q315" s="4">
        <f>IFERROR(MATCH(310,상세표[연속순번],0),"")</f>
        <v/>
      </c>
    </row>
    <row r="316">
      <c r="A316">
        <f>IF($Q316="","",INDEX(상세표[부서],$Q316)&amp;"")</f>
        <v/>
      </c>
      <c r="B316">
        <f>IF($Q316="","",INDEX(상세표[사번],$Q316)&amp;"")</f>
        <v/>
      </c>
      <c r="C316">
        <f>IF($Q316="","",INDEX(상세표[성명],$Q316)&amp;"")</f>
        <v/>
      </c>
      <c r="D316">
        <f>IF($Q316="","",INDEX(상세표[직위],$Q316)&amp;"")</f>
        <v/>
      </c>
      <c r="E316">
        <f>IF($Q316="","",IF(ISNUMBER(INDEX(상세표[근무일자],$Q316)),TEXT(INDEX(상세표[근무일자],$Q316),"yyyy-mm-dd"),INDEX(상세표[근무일자],$Q316)&amp;""))</f>
        <v/>
      </c>
      <c r="F316">
        <f>IF($Q316="","",IF(ISNUMBER(INDEX(상세표[시작],$Q316)),TEXT(INDEX(상세표[시작],$Q316),"yyyy-mm-dd hh:mm"),INDEX(상세표[시작],$Q316)&amp;""))</f>
        <v/>
      </c>
      <c r="G316">
        <f>IF($Q316="","",IF(ISNUMBER(INDEX(상세표[블록종료],$Q316)),TEXT(INDEX(상세표[블록종료],$Q316),"yyyy-mm-dd hh:mm"),INDEX(상세표[블록종료],$Q316)&amp;""))</f>
        <v/>
      </c>
      <c r="H316">
        <f>IF($Q316="","",CHOOSE(WEEKDAY(INDEX(상세표[시작],$Q316)),"일","월","화","수","목","금","토"))</f>
        <v/>
      </c>
      <c r="I316" s="20">
        <f>IF($Q316="","",INDEX(상세표[연속 시간],$Q316))</f>
        <v/>
      </c>
      <c r="J316">
        <f>IF($Q316="","",INDEX(상세표[기록 수],$Q316))</f>
        <v/>
      </c>
      <c r="K316" s="20">
        <f>IF($Q316="","",INDEX(상세표[블록 06~07시],$Q316))</f>
        <v/>
      </c>
      <c r="L316" s="20">
        <f>IF($Q316="","",INDEX(상세표[블록 07~18시],$Q316))</f>
        <v/>
      </c>
      <c r="M316" s="20">
        <f>IF($Q316="","",INDEX(상세표[블록 18~22시],$Q316))</f>
        <v/>
      </c>
      <c r="N316" s="20">
        <f>IF($Q316="","",INDEX(상세표[블록 22~06시],$Q316))</f>
        <v/>
      </c>
      <c r="O316">
        <f>IF($Q316="","",INDEX(상세표[주말·휴일 포함],$Q316)&amp;"")</f>
        <v/>
      </c>
      <c r="P316">
        <f>IF($Q316="","",INDEX(상세표[월 넘김 포함],$Q316)&amp;"")</f>
        <v/>
      </c>
      <c r="Q316" s="4">
        <f>IFERROR(MATCH(311,상세표[연속순번],0),"")</f>
        <v/>
      </c>
    </row>
    <row r="317">
      <c r="A317">
        <f>IF($Q317="","",INDEX(상세표[부서],$Q317)&amp;"")</f>
        <v/>
      </c>
      <c r="B317">
        <f>IF($Q317="","",INDEX(상세표[사번],$Q317)&amp;"")</f>
        <v/>
      </c>
      <c r="C317">
        <f>IF($Q317="","",INDEX(상세표[성명],$Q317)&amp;"")</f>
        <v/>
      </c>
      <c r="D317">
        <f>IF($Q317="","",INDEX(상세표[직위],$Q317)&amp;"")</f>
        <v/>
      </c>
      <c r="E317">
        <f>IF($Q317="","",IF(ISNUMBER(INDEX(상세표[근무일자],$Q317)),TEXT(INDEX(상세표[근무일자],$Q317),"yyyy-mm-dd"),INDEX(상세표[근무일자],$Q317)&amp;""))</f>
        <v/>
      </c>
      <c r="F317">
        <f>IF($Q317="","",IF(ISNUMBER(INDEX(상세표[시작],$Q317)),TEXT(INDEX(상세표[시작],$Q317),"yyyy-mm-dd hh:mm"),INDEX(상세표[시작],$Q317)&amp;""))</f>
        <v/>
      </c>
      <c r="G317">
        <f>IF($Q317="","",IF(ISNUMBER(INDEX(상세표[블록종료],$Q317)),TEXT(INDEX(상세표[블록종료],$Q317),"yyyy-mm-dd hh:mm"),INDEX(상세표[블록종료],$Q317)&amp;""))</f>
        <v/>
      </c>
      <c r="H317">
        <f>IF($Q317="","",CHOOSE(WEEKDAY(INDEX(상세표[시작],$Q317)),"일","월","화","수","목","금","토"))</f>
        <v/>
      </c>
      <c r="I317" s="20">
        <f>IF($Q317="","",INDEX(상세표[연속 시간],$Q317))</f>
        <v/>
      </c>
      <c r="J317">
        <f>IF($Q317="","",INDEX(상세표[기록 수],$Q317))</f>
        <v/>
      </c>
      <c r="K317" s="20">
        <f>IF($Q317="","",INDEX(상세표[블록 06~07시],$Q317))</f>
        <v/>
      </c>
      <c r="L317" s="20">
        <f>IF($Q317="","",INDEX(상세표[블록 07~18시],$Q317))</f>
        <v/>
      </c>
      <c r="M317" s="20">
        <f>IF($Q317="","",INDEX(상세표[블록 18~22시],$Q317))</f>
        <v/>
      </c>
      <c r="N317" s="20">
        <f>IF($Q317="","",INDEX(상세표[블록 22~06시],$Q317))</f>
        <v/>
      </c>
      <c r="O317">
        <f>IF($Q317="","",INDEX(상세표[주말·휴일 포함],$Q317)&amp;"")</f>
        <v/>
      </c>
      <c r="P317">
        <f>IF($Q317="","",INDEX(상세표[월 넘김 포함],$Q317)&amp;"")</f>
        <v/>
      </c>
      <c r="Q317" s="4">
        <f>IFERROR(MATCH(312,상세표[연속순번],0),"")</f>
        <v/>
      </c>
    </row>
    <row r="318">
      <c r="A318">
        <f>IF($Q318="","",INDEX(상세표[부서],$Q318)&amp;"")</f>
        <v/>
      </c>
      <c r="B318">
        <f>IF($Q318="","",INDEX(상세표[사번],$Q318)&amp;"")</f>
        <v/>
      </c>
      <c r="C318">
        <f>IF($Q318="","",INDEX(상세표[성명],$Q318)&amp;"")</f>
        <v/>
      </c>
      <c r="D318">
        <f>IF($Q318="","",INDEX(상세표[직위],$Q318)&amp;"")</f>
        <v/>
      </c>
      <c r="E318">
        <f>IF($Q318="","",IF(ISNUMBER(INDEX(상세표[근무일자],$Q318)),TEXT(INDEX(상세표[근무일자],$Q318),"yyyy-mm-dd"),INDEX(상세표[근무일자],$Q318)&amp;""))</f>
        <v/>
      </c>
      <c r="F318">
        <f>IF($Q318="","",IF(ISNUMBER(INDEX(상세표[시작],$Q318)),TEXT(INDEX(상세표[시작],$Q318),"yyyy-mm-dd hh:mm"),INDEX(상세표[시작],$Q318)&amp;""))</f>
        <v/>
      </c>
      <c r="G318">
        <f>IF($Q318="","",IF(ISNUMBER(INDEX(상세표[블록종료],$Q318)),TEXT(INDEX(상세표[블록종료],$Q318),"yyyy-mm-dd hh:mm"),INDEX(상세표[블록종료],$Q318)&amp;""))</f>
        <v/>
      </c>
      <c r="H318">
        <f>IF($Q318="","",CHOOSE(WEEKDAY(INDEX(상세표[시작],$Q318)),"일","월","화","수","목","금","토"))</f>
        <v/>
      </c>
      <c r="I318" s="20">
        <f>IF($Q318="","",INDEX(상세표[연속 시간],$Q318))</f>
        <v/>
      </c>
      <c r="J318">
        <f>IF($Q318="","",INDEX(상세표[기록 수],$Q318))</f>
        <v/>
      </c>
      <c r="K318" s="20">
        <f>IF($Q318="","",INDEX(상세표[블록 06~07시],$Q318))</f>
        <v/>
      </c>
      <c r="L318" s="20">
        <f>IF($Q318="","",INDEX(상세표[블록 07~18시],$Q318))</f>
        <v/>
      </c>
      <c r="M318" s="20">
        <f>IF($Q318="","",INDEX(상세표[블록 18~22시],$Q318))</f>
        <v/>
      </c>
      <c r="N318" s="20">
        <f>IF($Q318="","",INDEX(상세표[블록 22~06시],$Q318))</f>
        <v/>
      </c>
      <c r="O318">
        <f>IF($Q318="","",INDEX(상세표[주말·휴일 포함],$Q318)&amp;"")</f>
        <v/>
      </c>
      <c r="P318">
        <f>IF($Q318="","",INDEX(상세표[월 넘김 포함],$Q318)&amp;"")</f>
        <v/>
      </c>
      <c r="Q318" s="4">
        <f>IFERROR(MATCH(313,상세표[연속순번],0),"")</f>
        <v/>
      </c>
    </row>
    <row r="319">
      <c r="A319">
        <f>IF($Q319="","",INDEX(상세표[부서],$Q319)&amp;"")</f>
        <v/>
      </c>
      <c r="B319">
        <f>IF($Q319="","",INDEX(상세표[사번],$Q319)&amp;"")</f>
        <v/>
      </c>
      <c r="C319">
        <f>IF($Q319="","",INDEX(상세표[성명],$Q319)&amp;"")</f>
        <v/>
      </c>
      <c r="D319">
        <f>IF($Q319="","",INDEX(상세표[직위],$Q319)&amp;"")</f>
        <v/>
      </c>
      <c r="E319">
        <f>IF($Q319="","",IF(ISNUMBER(INDEX(상세표[근무일자],$Q319)),TEXT(INDEX(상세표[근무일자],$Q319),"yyyy-mm-dd"),INDEX(상세표[근무일자],$Q319)&amp;""))</f>
        <v/>
      </c>
      <c r="F319">
        <f>IF($Q319="","",IF(ISNUMBER(INDEX(상세표[시작],$Q319)),TEXT(INDEX(상세표[시작],$Q319),"yyyy-mm-dd hh:mm"),INDEX(상세표[시작],$Q319)&amp;""))</f>
        <v/>
      </c>
      <c r="G319">
        <f>IF($Q319="","",IF(ISNUMBER(INDEX(상세표[블록종료],$Q319)),TEXT(INDEX(상세표[블록종료],$Q319),"yyyy-mm-dd hh:mm"),INDEX(상세표[블록종료],$Q319)&amp;""))</f>
        <v/>
      </c>
      <c r="H319">
        <f>IF($Q319="","",CHOOSE(WEEKDAY(INDEX(상세표[시작],$Q319)),"일","월","화","수","목","금","토"))</f>
        <v/>
      </c>
      <c r="I319" s="20">
        <f>IF($Q319="","",INDEX(상세표[연속 시간],$Q319))</f>
        <v/>
      </c>
      <c r="J319">
        <f>IF($Q319="","",INDEX(상세표[기록 수],$Q319))</f>
        <v/>
      </c>
      <c r="K319" s="20">
        <f>IF($Q319="","",INDEX(상세표[블록 06~07시],$Q319))</f>
        <v/>
      </c>
      <c r="L319" s="20">
        <f>IF($Q319="","",INDEX(상세표[블록 07~18시],$Q319))</f>
        <v/>
      </c>
      <c r="M319" s="20">
        <f>IF($Q319="","",INDEX(상세표[블록 18~22시],$Q319))</f>
        <v/>
      </c>
      <c r="N319" s="20">
        <f>IF($Q319="","",INDEX(상세표[블록 22~06시],$Q319))</f>
        <v/>
      </c>
      <c r="O319">
        <f>IF($Q319="","",INDEX(상세표[주말·휴일 포함],$Q319)&amp;"")</f>
        <v/>
      </c>
      <c r="P319">
        <f>IF($Q319="","",INDEX(상세표[월 넘김 포함],$Q319)&amp;"")</f>
        <v/>
      </c>
      <c r="Q319" s="4">
        <f>IFERROR(MATCH(314,상세표[연속순번],0),"")</f>
        <v/>
      </c>
    </row>
    <row r="320">
      <c r="A320">
        <f>IF($Q320="","",INDEX(상세표[부서],$Q320)&amp;"")</f>
        <v/>
      </c>
      <c r="B320">
        <f>IF($Q320="","",INDEX(상세표[사번],$Q320)&amp;"")</f>
        <v/>
      </c>
      <c r="C320">
        <f>IF($Q320="","",INDEX(상세표[성명],$Q320)&amp;"")</f>
        <v/>
      </c>
      <c r="D320">
        <f>IF($Q320="","",INDEX(상세표[직위],$Q320)&amp;"")</f>
        <v/>
      </c>
      <c r="E320">
        <f>IF($Q320="","",IF(ISNUMBER(INDEX(상세표[근무일자],$Q320)),TEXT(INDEX(상세표[근무일자],$Q320),"yyyy-mm-dd"),INDEX(상세표[근무일자],$Q320)&amp;""))</f>
        <v/>
      </c>
      <c r="F320">
        <f>IF($Q320="","",IF(ISNUMBER(INDEX(상세표[시작],$Q320)),TEXT(INDEX(상세표[시작],$Q320),"yyyy-mm-dd hh:mm"),INDEX(상세표[시작],$Q320)&amp;""))</f>
        <v/>
      </c>
      <c r="G320">
        <f>IF($Q320="","",IF(ISNUMBER(INDEX(상세표[블록종료],$Q320)),TEXT(INDEX(상세표[블록종료],$Q320),"yyyy-mm-dd hh:mm"),INDEX(상세표[블록종료],$Q320)&amp;""))</f>
        <v/>
      </c>
      <c r="H320">
        <f>IF($Q320="","",CHOOSE(WEEKDAY(INDEX(상세표[시작],$Q320)),"일","월","화","수","목","금","토"))</f>
        <v/>
      </c>
      <c r="I320" s="20">
        <f>IF($Q320="","",INDEX(상세표[연속 시간],$Q320))</f>
        <v/>
      </c>
      <c r="J320">
        <f>IF($Q320="","",INDEX(상세표[기록 수],$Q320))</f>
        <v/>
      </c>
      <c r="K320" s="20">
        <f>IF($Q320="","",INDEX(상세표[블록 06~07시],$Q320))</f>
        <v/>
      </c>
      <c r="L320" s="20">
        <f>IF($Q320="","",INDEX(상세표[블록 07~18시],$Q320))</f>
        <v/>
      </c>
      <c r="M320" s="20">
        <f>IF($Q320="","",INDEX(상세표[블록 18~22시],$Q320))</f>
        <v/>
      </c>
      <c r="N320" s="20">
        <f>IF($Q320="","",INDEX(상세표[블록 22~06시],$Q320))</f>
        <v/>
      </c>
      <c r="O320">
        <f>IF($Q320="","",INDEX(상세표[주말·휴일 포함],$Q320)&amp;"")</f>
        <v/>
      </c>
      <c r="P320">
        <f>IF($Q320="","",INDEX(상세표[월 넘김 포함],$Q320)&amp;"")</f>
        <v/>
      </c>
      <c r="Q320" s="4">
        <f>IFERROR(MATCH(315,상세표[연속순번],0),"")</f>
        <v/>
      </c>
    </row>
    <row r="321">
      <c r="A321">
        <f>IF($Q321="","",INDEX(상세표[부서],$Q321)&amp;"")</f>
        <v/>
      </c>
      <c r="B321">
        <f>IF($Q321="","",INDEX(상세표[사번],$Q321)&amp;"")</f>
        <v/>
      </c>
      <c r="C321">
        <f>IF($Q321="","",INDEX(상세표[성명],$Q321)&amp;"")</f>
        <v/>
      </c>
      <c r="D321">
        <f>IF($Q321="","",INDEX(상세표[직위],$Q321)&amp;"")</f>
        <v/>
      </c>
      <c r="E321">
        <f>IF($Q321="","",IF(ISNUMBER(INDEX(상세표[근무일자],$Q321)),TEXT(INDEX(상세표[근무일자],$Q321),"yyyy-mm-dd"),INDEX(상세표[근무일자],$Q321)&amp;""))</f>
        <v/>
      </c>
      <c r="F321">
        <f>IF($Q321="","",IF(ISNUMBER(INDEX(상세표[시작],$Q321)),TEXT(INDEX(상세표[시작],$Q321),"yyyy-mm-dd hh:mm"),INDEX(상세표[시작],$Q321)&amp;""))</f>
        <v/>
      </c>
      <c r="G321">
        <f>IF($Q321="","",IF(ISNUMBER(INDEX(상세표[블록종료],$Q321)),TEXT(INDEX(상세표[블록종료],$Q321),"yyyy-mm-dd hh:mm"),INDEX(상세표[블록종료],$Q321)&amp;""))</f>
        <v/>
      </c>
      <c r="H321">
        <f>IF($Q321="","",CHOOSE(WEEKDAY(INDEX(상세표[시작],$Q321)),"일","월","화","수","목","금","토"))</f>
        <v/>
      </c>
      <c r="I321" s="20">
        <f>IF($Q321="","",INDEX(상세표[연속 시간],$Q321))</f>
        <v/>
      </c>
      <c r="J321">
        <f>IF($Q321="","",INDEX(상세표[기록 수],$Q321))</f>
        <v/>
      </c>
      <c r="K321" s="20">
        <f>IF($Q321="","",INDEX(상세표[블록 06~07시],$Q321))</f>
        <v/>
      </c>
      <c r="L321" s="20">
        <f>IF($Q321="","",INDEX(상세표[블록 07~18시],$Q321))</f>
        <v/>
      </c>
      <c r="M321" s="20">
        <f>IF($Q321="","",INDEX(상세표[블록 18~22시],$Q321))</f>
        <v/>
      </c>
      <c r="N321" s="20">
        <f>IF($Q321="","",INDEX(상세표[블록 22~06시],$Q321))</f>
        <v/>
      </c>
      <c r="O321">
        <f>IF($Q321="","",INDEX(상세표[주말·휴일 포함],$Q321)&amp;"")</f>
        <v/>
      </c>
      <c r="P321">
        <f>IF($Q321="","",INDEX(상세표[월 넘김 포함],$Q321)&amp;"")</f>
        <v/>
      </c>
      <c r="Q321" s="4">
        <f>IFERROR(MATCH(316,상세표[연속순번],0),"")</f>
        <v/>
      </c>
    </row>
    <row r="322">
      <c r="A322">
        <f>IF($Q322="","",INDEX(상세표[부서],$Q322)&amp;"")</f>
        <v/>
      </c>
      <c r="B322">
        <f>IF($Q322="","",INDEX(상세표[사번],$Q322)&amp;"")</f>
        <v/>
      </c>
      <c r="C322">
        <f>IF($Q322="","",INDEX(상세표[성명],$Q322)&amp;"")</f>
        <v/>
      </c>
      <c r="D322">
        <f>IF($Q322="","",INDEX(상세표[직위],$Q322)&amp;"")</f>
        <v/>
      </c>
      <c r="E322">
        <f>IF($Q322="","",IF(ISNUMBER(INDEX(상세표[근무일자],$Q322)),TEXT(INDEX(상세표[근무일자],$Q322),"yyyy-mm-dd"),INDEX(상세표[근무일자],$Q322)&amp;""))</f>
        <v/>
      </c>
      <c r="F322">
        <f>IF($Q322="","",IF(ISNUMBER(INDEX(상세표[시작],$Q322)),TEXT(INDEX(상세표[시작],$Q322),"yyyy-mm-dd hh:mm"),INDEX(상세표[시작],$Q322)&amp;""))</f>
        <v/>
      </c>
      <c r="G322">
        <f>IF($Q322="","",IF(ISNUMBER(INDEX(상세표[블록종료],$Q322)),TEXT(INDEX(상세표[블록종료],$Q322),"yyyy-mm-dd hh:mm"),INDEX(상세표[블록종료],$Q322)&amp;""))</f>
        <v/>
      </c>
      <c r="H322">
        <f>IF($Q322="","",CHOOSE(WEEKDAY(INDEX(상세표[시작],$Q322)),"일","월","화","수","목","금","토"))</f>
        <v/>
      </c>
      <c r="I322" s="20">
        <f>IF($Q322="","",INDEX(상세표[연속 시간],$Q322))</f>
        <v/>
      </c>
      <c r="J322">
        <f>IF($Q322="","",INDEX(상세표[기록 수],$Q322))</f>
        <v/>
      </c>
      <c r="K322" s="20">
        <f>IF($Q322="","",INDEX(상세표[블록 06~07시],$Q322))</f>
        <v/>
      </c>
      <c r="L322" s="20">
        <f>IF($Q322="","",INDEX(상세표[블록 07~18시],$Q322))</f>
        <v/>
      </c>
      <c r="M322" s="20">
        <f>IF($Q322="","",INDEX(상세표[블록 18~22시],$Q322))</f>
        <v/>
      </c>
      <c r="N322" s="20">
        <f>IF($Q322="","",INDEX(상세표[블록 22~06시],$Q322))</f>
        <v/>
      </c>
      <c r="O322">
        <f>IF($Q322="","",INDEX(상세표[주말·휴일 포함],$Q322)&amp;"")</f>
        <v/>
      </c>
      <c r="P322">
        <f>IF($Q322="","",INDEX(상세표[월 넘김 포함],$Q322)&amp;"")</f>
        <v/>
      </c>
      <c r="Q322" s="4">
        <f>IFERROR(MATCH(317,상세표[연속순번],0),"")</f>
        <v/>
      </c>
    </row>
    <row r="323">
      <c r="A323">
        <f>IF($Q323="","",INDEX(상세표[부서],$Q323)&amp;"")</f>
        <v/>
      </c>
      <c r="B323">
        <f>IF($Q323="","",INDEX(상세표[사번],$Q323)&amp;"")</f>
        <v/>
      </c>
      <c r="C323">
        <f>IF($Q323="","",INDEX(상세표[성명],$Q323)&amp;"")</f>
        <v/>
      </c>
      <c r="D323">
        <f>IF($Q323="","",INDEX(상세표[직위],$Q323)&amp;"")</f>
        <v/>
      </c>
      <c r="E323">
        <f>IF($Q323="","",IF(ISNUMBER(INDEX(상세표[근무일자],$Q323)),TEXT(INDEX(상세표[근무일자],$Q323),"yyyy-mm-dd"),INDEX(상세표[근무일자],$Q323)&amp;""))</f>
        <v/>
      </c>
      <c r="F323">
        <f>IF($Q323="","",IF(ISNUMBER(INDEX(상세표[시작],$Q323)),TEXT(INDEX(상세표[시작],$Q323),"yyyy-mm-dd hh:mm"),INDEX(상세표[시작],$Q323)&amp;""))</f>
        <v/>
      </c>
      <c r="G323">
        <f>IF($Q323="","",IF(ISNUMBER(INDEX(상세표[블록종료],$Q323)),TEXT(INDEX(상세표[블록종료],$Q323),"yyyy-mm-dd hh:mm"),INDEX(상세표[블록종료],$Q323)&amp;""))</f>
        <v/>
      </c>
      <c r="H323">
        <f>IF($Q323="","",CHOOSE(WEEKDAY(INDEX(상세표[시작],$Q323)),"일","월","화","수","목","금","토"))</f>
        <v/>
      </c>
      <c r="I323" s="20">
        <f>IF($Q323="","",INDEX(상세표[연속 시간],$Q323))</f>
        <v/>
      </c>
      <c r="J323">
        <f>IF($Q323="","",INDEX(상세표[기록 수],$Q323))</f>
        <v/>
      </c>
      <c r="K323" s="20">
        <f>IF($Q323="","",INDEX(상세표[블록 06~07시],$Q323))</f>
        <v/>
      </c>
      <c r="L323" s="20">
        <f>IF($Q323="","",INDEX(상세표[블록 07~18시],$Q323))</f>
        <v/>
      </c>
      <c r="M323" s="20">
        <f>IF($Q323="","",INDEX(상세표[블록 18~22시],$Q323))</f>
        <v/>
      </c>
      <c r="N323" s="20">
        <f>IF($Q323="","",INDEX(상세표[블록 22~06시],$Q323))</f>
        <v/>
      </c>
      <c r="O323">
        <f>IF($Q323="","",INDEX(상세표[주말·휴일 포함],$Q323)&amp;"")</f>
        <v/>
      </c>
      <c r="P323">
        <f>IF($Q323="","",INDEX(상세표[월 넘김 포함],$Q323)&amp;"")</f>
        <v/>
      </c>
      <c r="Q323" s="4">
        <f>IFERROR(MATCH(318,상세표[연속순번],0),"")</f>
        <v/>
      </c>
    </row>
    <row r="324">
      <c r="A324">
        <f>IF($Q324="","",INDEX(상세표[부서],$Q324)&amp;"")</f>
        <v/>
      </c>
      <c r="B324">
        <f>IF($Q324="","",INDEX(상세표[사번],$Q324)&amp;"")</f>
        <v/>
      </c>
      <c r="C324">
        <f>IF($Q324="","",INDEX(상세표[성명],$Q324)&amp;"")</f>
        <v/>
      </c>
      <c r="D324">
        <f>IF($Q324="","",INDEX(상세표[직위],$Q324)&amp;"")</f>
        <v/>
      </c>
      <c r="E324">
        <f>IF($Q324="","",IF(ISNUMBER(INDEX(상세표[근무일자],$Q324)),TEXT(INDEX(상세표[근무일자],$Q324),"yyyy-mm-dd"),INDEX(상세표[근무일자],$Q324)&amp;""))</f>
        <v/>
      </c>
      <c r="F324">
        <f>IF($Q324="","",IF(ISNUMBER(INDEX(상세표[시작],$Q324)),TEXT(INDEX(상세표[시작],$Q324),"yyyy-mm-dd hh:mm"),INDEX(상세표[시작],$Q324)&amp;""))</f>
        <v/>
      </c>
      <c r="G324">
        <f>IF($Q324="","",IF(ISNUMBER(INDEX(상세표[블록종료],$Q324)),TEXT(INDEX(상세표[블록종료],$Q324),"yyyy-mm-dd hh:mm"),INDEX(상세표[블록종료],$Q324)&amp;""))</f>
        <v/>
      </c>
      <c r="H324">
        <f>IF($Q324="","",CHOOSE(WEEKDAY(INDEX(상세표[시작],$Q324)),"일","월","화","수","목","금","토"))</f>
        <v/>
      </c>
      <c r="I324" s="20">
        <f>IF($Q324="","",INDEX(상세표[연속 시간],$Q324))</f>
        <v/>
      </c>
      <c r="J324">
        <f>IF($Q324="","",INDEX(상세표[기록 수],$Q324))</f>
        <v/>
      </c>
      <c r="K324" s="20">
        <f>IF($Q324="","",INDEX(상세표[블록 06~07시],$Q324))</f>
        <v/>
      </c>
      <c r="L324" s="20">
        <f>IF($Q324="","",INDEX(상세표[블록 07~18시],$Q324))</f>
        <v/>
      </c>
      <c r="M324" s="20">
        <f>IF($Q324="","",INDEX(상세표[블록 18~22시],$Q324))</f>
        <v/>
      </c>
      <c r="N324" s="20">
        <f>IF($Q324="","",INDEX(상세표[블록 22~06시],$Q324))</f>
        <v/>
      </c>
      <c r="O324">
        <f>IF($Q324="","",INDEX(상세표[주말·휴일 포함],$Q324)&amp;"")</f>
        <v/>
      </c>
      <c r="P324">
        <f>IF($Q324="","",INDEX(상세표[월 넘김 포함],$Q324)&amp;"")</f>
        <v/>
      </c>
      <c r="Q324" s="4">
        <f>IFERROR(MATCH(319,상세표[연속순번],0),"")</f>
        <v/>
      </c>
    </row>
    <row r="325">
      <c r="A325">
        <f>IF($Q325="","",INDEX(상세표[부서],$Q325)&amp;"")</f>
        <v/>
      </c>
      <c r="B325">
        <f>IF($Q325="","",INDEX(상세표[사번],$Q325)&amp;"")</f>
        <v/>
      </c>
      <c r="C325">
        <f>IF($Q325="","",INDEX(상세표[성명],$Q325)&amp;"")</f>
        <v/>
      </c>
      <c r="D325">
        <f>IF($Q325="","",INDEX(상세표[직위],$Q325)&amp;"")</f>
        <v/>
      </c>
      <c r="E325">
        <f>IF($Q325="","",IF(ISNUMBER(INDEX(상세표[근무일자],$Q325)),TEXT(INDEX(상세표[근무일자],$Q325),"yyyy-mm-dd"),INDEX(상세표[근무일자],$Q325)&amp;""))</f>
        <v/>
      </c>
      <c r="F325">
        <f>IF($Q325="","",IF(ISNUMBER(INDEX(상세표[시작],$Q325)),TEXT(INDEX(상세표[시작],$Q325),"yyyy-mm-dd hh:mm"),INDEX(상세표[시작],$Q325)&amp;""))</f>
        <v/>
      </c>
      <c r="G325">
        <f>IF($Q325="","",IF(ISNUMBER(INDEX(상세표[블록종료],$Q325)),TEXT(INDEX(상세표[블록종료],$Q325),"yyyy-mm-dd hh:mm"),INDEX(상세표[블록종료],$Q325)&amp;""))</f>
        <v/>
      </c>
      <c r="H325">
        <f>IF($Q325="","",CHOOSE(WEEKDAY(INDEX(상세표[시작],$Q325)),"일","월","화","수","목","금","토"))</f>
        <v/>
      </c>
      <c r="I325" s="20">
        <f>IF($Q325="","",INDEX(상세표[연속 시간],$Q325))</f>
        <v/>
      </c>
      <c r="J325">
        <f>IF($Q325="","",INDEX(상세표[기록 수],$Q325))</f>
        <v/>
      </c>
      <c r="K325" s="20">
        <f>IF($Q325="","",INDEX(상세표[블록 06~07시],$Q325))</f>
        <v/>
      </c>
      <c r="L325" s="20">
        <f>IF($Q325="","",INDEX(상세표[블록 07~18시],$Q325))</f>
        <v/>
      </c>
      <c r="M325" s="20">
        <f>IF($Q325="","",INDEX(상세표[블록 18~22시],$Q325))</f>
        <v/>
      </c>
      <c r="N325" s="20">
        <f>IF($Q325="","",INDEX(상세표[블록 22~06시],$Q325))</f>
        <v/>
      </c>
      <c r="O325">
        <f>IF($Q325="","",INDEX(상세표[주말·휴일 포함],$Q325)&amp;"")</f>
        <v/>
      </c>
      <c r="P325">
        <f>IF($Q325="","",INDEX(상세표[월 넘김 포함],$Q325)&amp;"")</f>
        <v/>
      </c>
      <c r="Q325" s="4">
        <f>IFERROR(MATCH(320,상세표[연속순번],0),"")</f>
        <v/>
      </c>
    </row>
    <row r="326">
      <c r="A326">
        <f>IF($Q326="","",INDEX(상세표[부서],$Q326)&amp;"")</f>
        <v/>
      </c>
      <c r="B326">
        <f>IF($Q326="","",INDEX(상세표[사번],$Q326)&amp;"")</f>
        <v/>
      </c>
      <c r="C326">
        <f>IF($Q326="","",INDEX(상세표[성명],$Q326)&amp;"")</f>
        <v/>
      </c>
      <c r="D326">
        <f>IF($Q326="","",INDEX(상세표[직위],$Q326)&amp;"")</f>
        <v/>
      </c>
      <c r="E326">
        <f>IF($Q326="","",IF(ISNUMBER(INDEX(상세표[근무일자],$Q326)),TEXT(INDEX(상세표[근무일자],$Q326),"yyyy-mm-dd"),INDEX(상세표[근무일자],$Q326)&amp;""))</f>
        <v/>
      </c>
      <c r="F326">
        <f>IF($Q326="","",IF(ISNUMBER(INDEX(상세표[시작],$Q326)),TEXT(INDEX(상세표[시작],$Q326),"yyyy-mm-dd hh:mm"),INDEX(상세표[시작],$Q326)&amp;""))</f>
        <v/>
      </c>
      <c r="G326">
        <f>IF($Q326="","",IF(ISNUMBER(INDEX(상세표[블록종료],$Q326)),TEXT(INDEX(상세표[블록종료],$Q326),"yyyy-mm-dd hh:mm"),INDEX(상세표[블록종료],$Q326)&amp;""))</f>
        <v/>
      </c>
      <c r="H326">
        <f>IF($Q326="","",CHOOSE(WEEKDAY(INDEX(상세표[시작],$Q326)),"일","월","화","수","목","금","토"))</f>
        <v/>
      </c>
      <c r="I326" s="20">
        <f>IF($Q326="","",INDEX(상세표[연속 시간],$Q326))</f>
        <v/>
      </c>
      <c r="J326">
        <f>IF($Q326="","",INDEX(상세표[기록 수],$Q326))</f>
        <v/>
      </c>
      <c r="K326" s="20">
        <f>IF($Q326="","",INDEX(상세표[블록 06~07시],$Q326))</f>
        <v/>
      </c>
      <c r="L326" s="20">
        <f>IF($Q326="","",INDEX(상세표[블록 07~18시],$Q326))</f>
        <v/>
      </c>
      <c r="M326" s="20">
        <f>IF($Q326="","",INDEX(상세표[블록 18~22시],$Q326))</f>
        <v/>
      </c>
      <c r="N326" s="20">
        <f>IF($Q326="","",INDEX(상세표[블록 22~06시],$Q326))</f>
        <v/>
      </c>
      <c r="O326">
        <f>IF($Q326="","",INDEX(상세표[주말·휴일 포함],$Q326)&amp;"")</f>
        <v/>
      </c>
      <c r="P326">
        <f>IF($Q326="","",INDEX(상세표[월 넘김 포함],$Q326)&amp;"")</f>
        <v/>
      </c>
      <c r="Q326" s="4">
        <f>IFERROR(MATCH(321,상세표[연속순번],0),"")</f>
        <v/>
      </c>
    </row>
    <row r="327">
      <c r="A327">
        <f>IF($Q327="","",INDEX(상세표[부서],$Q327)&amp;"")</f>
        <v/>
      </c>
      <c r="B327">
        <f>IF($Q327="","",INDEX(상세표[사번],$Q327)&amp;"")</f>
        <v/>
      </c>
      <c r="C327">
        <f>IF($Q327="","",INDEX(상세표[성명],$Q327)&amp;"")</f>
        <v/>
      </c>
      <c r="D327">
        <f>IF($Q327="","",INDEX(상세표[직위],$Q327)&amp;"")</f>
        <v/>
      </c>
      <c r="E327">
        <f>IF($Q327="","",IF(ISNUMBER(INDEX(상세표[근무일자],$Q327)),TEXT(INDEX(상세표[근무일자],$Q327),"yyyy-mm-dd"),INDEX(상세표[근무일자],$Q327)&amp;""))</f>
        <v/>
      </c>
      <c r="F327">
        <f>IF($Q327="","",IF(ISNUMBER(INDEX(상세표[시작],$Q327)),TEXT(INDEX(상세표[시작],$Q327),"yyyy-mm-dd hh:mm"),INDEX(상세표[시작],$Q327)&amp;""))</f>
        <v/>
      </c>
      <c r="G327">
        <f>IF($Q327="","",IF(ISNUMBER(INDEX(상세표[블록종료],$Q327)),TEXT(INDEX(상세표[블록종료],$Q327),"yyyy-mm-dd hh:mm"),INDEX(상세표[블록종료],$Q327)&amp;""))</f>
        <v/>
      </c>
      <c r="H327">
        <f>IF($Q327="","",CHOOSE(WEEKDAY(INDEX(상세표[시작],$Q327)),"일","월","화","수","목","금","토"))</f>
        <v/>
      </c>
      <c r="I327" s="20">
        <f>IF($Q327="","",INDEX(상세표[연속 시간],$Q327))</f>
        <v/>
      </c>
      <c r="J327">
        <f>IF($Q327="","",INDEX(상세표[기록 수],$Q327))</f>
        <v/>
      </c>
      <c r="K327" s="20">
        <f>IF($Q327="","",INDEX(상세표[블록 06~07시],$Q327))</f>
        <v/>
      </c>
      <c r="L327" s="20">
        <f>IF($Q327="","",INDEX(상세표[블록 07~18시],$Q327))</f>
        <v/>
      </c>
      <c r="M327" s="20">
        <f>IF($Q327="","",INDEX(상세표[블록 18~22시],$Q327))</f>
        <v/>
      </c>
      <c r="N327" s="20">
        <f>IF($Q327="","",INDEX(상세표[블록 22~06시],$Q327))</f>
        <v/>
      </c>
      <c r="O327">
        <f>IF($Q327="","",INDEX(상세표[주말·휴일 포함],$Q327)&amp;"")</f>
        <v/>
      </c>
      <c r="P327">
        <f>IF($Q327="","",INDEX(상세표[월 넘김 포함],$Q327)&amp;"")</f>
        <v/>
      </c>
      <c r="Q327" s="4">
        <f>IFERROR(MATCH(322,상세표[연속순번],0),"")</f>
        <v/>
      </c>
    </row>
    <row r="328">
      <c r="A328">
        <f>IF($Q328="","",INDEX(상세표[부서],$Q328)&amp;"")</f>
        <v/>
      </c>
      <c r="B328">
        <f>IF($Q328="","",INDEX(상세표[사번],$Q328)&amp;"")</f>
        <v/>
      </c>
      <c r="C328">
        <f>IF($Q328="","",INDEX(상세표[성명],$Q328)&amp;"")</f>
        <v/>
      </c>
      <c r="D328">
        <f>IF($Q328="","",INDEX(상세표[직위],$Q328)&amp;"")</f>
        <v/>
      </c>
      <c r="E328">
        <f>IF($Q328="","",IF(ISNUMBER(INDEX(상세표[근무일자],$Q328)),TEXT(INDEX(상세표[근무일자],$Q328),"yyyy-mm-dd"),INDEX(상세표[근무일자],$Q328)&amp;""))</f>
        <v/>
      </c>
      <c r="F328">
        <f>IF($Q328="","",IF(ISNUMBER(INDEX(상세표[시작],$Q328)),TEXT(INDEX(상세표[시작],$Q328),"yyyy-mm-dd hh:mm"),INDEX(상세표[시작],$Q328)&amp;""))</f>
        <v/>
      </c>
      <c r="G328">
        <f>IF($Q328="","",IF(ISNUMBER(INDEX(상세표[블록종료],$Q328)),TEXT(INDEX(상세표[블록종료],$Q328),"yyyy-mm-dd hh:mm"),INDEX(상세표[블록종료],$Q328)&amp;""))</f>
        <v/>
      </c>
      <c r="H328">
        <f>IF($Q328="","",CHOOSE(WEEKDAY(INDEX(상세표[시작],$Q328)),"일","월","화","수","목","금","토"))</f>
        <v/>
      </c>
      <c r="I328" s="20">
        <f>IF($Q328="","",INDEX(상세표[연속 시간],$Q328))</f>
        <v/>
      </c>
      <c r="J328">
        <f>IF($Q328="","",INDEX(상세표[기록 수],$Q328))</f>
        <v/>
      </c>
      <c r="K328" s="20">
        <f>IF($Q328="","",INDEX(상세표[블록 06~07시],$Q328))</f>
        <v/>
      </c>
      <c r="L328" s="20">
        <f>IF($Q328="","",INDEX(상세표[블록 07~18시],$Q328))</f>
        <v/>
      </c>
      <c r="M328" s="20">
        <f>IF($Q328="","",INDEX(상세표[블록 18~22시],$Q328))</f>
        <v/>
      </c>
      <c r="N328" s="20">
        <f>IF($Q328="","",INDEX(상세표[블록 22~06시],$Q328))</f>
        <v/>
      </c>
      <c r="O328">
        <f>IF($Q328="","",INDEX(상세표[주말·휴일 포함],$Q328)&amp;"")</f>
        <v/>
      </c>
      <c r="P328">
        <f>IF($Q328="","",INDEX(상세표[월 넘김 포함],$Q328)&amp;"")</f>
        <v/>
      </c>
      <c r="Q328" s="4">
        <f>IFERROR(MATCH(323,상세표[연속순번],0),"")</f>
        <v/>
      </c>
    </row>
    <row r="329">
      <c r="A329">
        <f>IF($Q329="","",INDEX(상세표[부서],$Q329)&amp;"")</f>
        <v/>
      </c>
      <c r="B329">
        <f>IF($Q329="","",INDEX(상세표[사번],$Q329)&amp;"")</f>
        <v/>
      </c>
      <c r="C329">
        <f>IF($Q329="","",INDEX(상세표[성명],$Q329)&amp;"")</f>
        <v/>
      </c>
      <c r="D329">
        <f>IF($Q329="","",INDEX(상세표[직위],$Q329)&amp;"")</f>
        <v/>
      </c>
      <c r="E329">
        <f>IF($Q329="","",IF(ISNUMBER(INDEX(상세표[근무일자],$Q329)),TEXT(INDEX(상세표[근무일자],$Q329),"yyyy-mm-dd"),INDEX(상세표[근무일자],$Q329)&amp;""))</f>
        <v/>
      </c>
      <c r="F329">
        <f>IF($Q329="","",IF(ISNUMBER(INDEX(상세표[시작],$Q329)),TEXT(INDEX(상세표[시작],$Q329),"yyyy-mm-dd hh:mm"),INDEX(상세표[시작],$Q329)&amp;""))</f>
        <v/>
      </c>
      <c r="G329">
        <f>IF($Q329="","",IF(ISNUMBER(INDEX(상세표[블록종료],$Q329)),TEXT(INDEX(상세표[블록종료],$Q329),"yyyy-mm-dd hh:mm"),INDEX(상세표[블록종료],$Q329)&amp;""))</f>
        <v/>
      </c>
      <c r="H329">
        <f>IF($Q329="","",CHOOSE(WEEKDAY(INDEX(상세표[시작],$Q329)),"일","월","화","수","목","금","토"))</f>
        <v/>
      </c>
      <c r="I329" s="20">
        <f>IF($Q329="","",INDEX(상세표[연속 시간],$Q329))</f>
        <v/>
      </c>
      <c r="J329">
        <f>IF($Q329="","",INDEX(상세표[기록 수],$Q329))</f>
        <v/>
      </c>
      <c r="K329" s="20">
        <f>IF($Q329="","",INDEX(상세표[블록 06~07시],$Q329))</f>
        <v/>
      </c>
      <c r="L329" s="20">
        <f>IF($Q329="","",INDEX(상세표[블록 07~18시],$Q329))</f>
        <v/>
      </c>
      <c r="M329" s="20">
        <f>IF($Q329="","",INDEX(상세표[블록 18~22시],$Q329))</f>
        <v/>
      </c>
      <c r="N329" s="20">
        <f>IF($Q329="","",INDEX(상세표[블록 22~06시],$Q329))</f>
        <v/>
      </c>
      <c r="O329">
        <f>IF($Q329="","",INDEX(상세표[주말·휴일 포함],$Q329)&amp;"")</f>
        <v/>
      </c>
      <c r="P329">
        <f>IF($Q329="","",INDEX(상세표[월 넘김 포함],$Q329)&amp;"")</f>
        <v/>
      </c>
      <c r="Q329" s="4">
        <f>IFERROR(MATCH(324,상세표[연속순번],0),"")</f>
        <v/>
      </c>
    </row>
    <row r="330">
      <c r="A330">
        <f>IF($Q330="","",INDEX(상세표[부서],$Q330)&amp;"")</f>
        <v/>
      </c>
      <c r="B330">
        <f>IF($Q330="","",INDEX(상세표[사번],$Q330)&amp;"")</f>
        <v/>
      </c>
      <c r="C330">
        <f>IF($Q330="","",INDEX(상세표[성명],$Q330)&amp;"")</f>
        <v/>
      </c>
      <c r="D330">
        <f>IF($Q330="","",INDEX(상세표[직위],$Q330)&amp;"")</f>
        <v/>
      </c>
      <c r="E330">
        <f>IF($Q330="","",IF(ISNUMBER(INDEX(상세표[근무일자],$Q330)),TEXT(INDEX(상세표[근무일자],$Q330),"yyyy-mm-dd"),INDEX(상세표[근무일자],$Q330)&amp;""))</f>
        <v/>
      </c>
      <c r="F330">
        <f>IF($Q330="","",IF(ISNUMBER(INDEX(상세표[시작],$Q330)),TEXT(INDEX(상세표[시작],$Q330),"yyyy-mm-dd hh:mm"),INDEX(상세표[시작],$Q330)&amp;""))</f>
        <v/>
      </c>
      <c r="G330">
        <f>IF($Q330="","",IF(ISNUMBER(INDEX(상세표[블록종료],$Q330)),TEXT(INDEX(상세표[블록종료],$Q330),"yyyy-mm-dd hh:mm"),INDEX(상세표[블록종료],$Q330)&amp;""))</f>
        <v/>
      </c>
      <c r="H330">
        <f>IF($Q330="","",CHOOSE(WEEKDAY(INDEX(상세표[시작],$Q330)),"일","월","화","수","목","금","토"))</f>
        <v/>
      </c>
      <c r="I330" s="20">
        <f>IF($Q330="","",INDEX(상세표[연속 시간],$Q330))</f>
        <v/>
      </c>
      <c r="J330">
        <f>IF($Q330="","",INDEX(상세표[기록 수],$Q330))</f>
        <v/>
      </c>
      <c r="K330" s="20">
        <f>IF($Q330="","",INDEX(상세표[블록 06~07시],$Q330))</f>
        <v/>
      </c>
      <c r="L330" s="20">
        <f>IF($Q330="","",INDEX(상세표[블록 07~18시],$Q330))</f>
        <v/>
      </c>
      <c r="M330" s="20">
        <f>IF($Q330="","",INDEX(상세표[블록 18~22시],$Q330))</f>
        <v/>
      </c>
      <c r="N330" s="20">
        <f>IF($Q330="","",INDEX(상세표[블록 22~06시],$Q330))</f>
        <v/>
      </c>
      <c r="O330">
        <f>IF($Q330="","",INDEX(상세표[주말·휴일 포함],$Q330)&amp;"")</f>
        <v/>
      </c>
      <c r="P330">
        <f>IF($Q330="","",INDEX(상세표[월 넘김 포함],$Q330)&amp;"")</f>
        <v/>
      </c>
      <c r="Q330" s="4">
        <f>IFERROR(MATCH(325,상세표[연속순번],0),"")</f>
        <v/>
      </c>
    </row>
    <row r="331">
      <c r="A331">
        <f>IF($Q331="","",INDEX(상세표[부서],$Q331)&amp;"")</f>
        <v/>
      </c>
      <c r="B331">
        <f>IF($Q331="","",INDEX(상세표[사번],$Q331)&amp;"")</f>
        <v/>
      </c>
      <c r="C331">
        <f>IF($Q331="","",INDEX(상세표[성명],$Q331)&amp;"")</f>
        <v/>
      </c>
      <c r="D331">
        <f>IF($Q331="","",INDEX(상세표[직위],$Q331)&amp;"")</f>
        <v/>
      </c>
      <c r="E331">
        <f>IF($Q331="","",IF(ISNUMBER(INDEX(상세표[근무일자],$Q331)),TEXT(INDEX(상세표[근무일자],$Q331),"yyyy-mm-dd"),INDEX(상세표[근무일자],$Q331)&amp;""))</f>
        <v/>
      </c>
      <c r="F331">
        <f>IF($Q331="","",IF(ISNUMBER(INDEX(상세표[시작],$Q331)),TEXT(INDEX(상세표[시작],$Q331),"yyyy-mm-dd hh:mm"),INDEX(상세표[시작],$Q331)&amp;""))</f>
        <v/>
      </c>
      <c r="G331">
        <f>IF($Q331="","",IF(ISNUMBER(INDEX(상세표[블록종료],$Q331)),TEXT(INDEX(상세표[블록종료],$Q331),"yyyy-mm-dd hh:mm"),INDEX(상세표[블록종료],$Q331)&amp;""))</f>
        <v/>
      </c>
      <c r="H331">
        <f>IF($Q331="","",CHOOSE(WEEKDAY(INDEX(상세표[시작],$Q331)),"일","월","화","수","목","금","토"))</f>
        <v/>
      </c>
      <c r="I331" s="20">
        <f>IF($Q331="","",INDEX(상세표[연속 시간],$Q331))</f>
        <v/>
      </c>
      <c r="J331">
        <f>IF($Q331="","",INDEX(상세표[기록 수],$Q331))</f>
        <v/>
      </c>
      <c r="K331" s="20">
        <f>IF($Q331="","",INDEX(상세표[블록 06~07시],$Q331))</f>
        <v/>
      </c>
      <c r="L331" s="20">
        <f>IF($Q331="","",INDEX(상세표[블록 07~18시],$Q331))</f>
        <v/>
      </c>
      <c r="M331" s="20">
        <f>IF($Q331="","",INDEX(상세표[블록 18~22시],$Q331))</f>
        <v/>
      </c>
      <c r="N331" s="20">
        <f>IF($Q331="","",INDEX(상세표[블록 22~06시],$Q331))</f>
        <v/>
      </c>
      <c r="O331">
        <f>IF($Q331="","",INDEX(상세표[주말·휴일 포함],$Q331)&amp;"")</f>
        <v/>
      </c>
      <c r="P331">
        <f>IF($Q331="","",INDEX(상세표[월 넘김 포함],$Q331)&amp;"")</f>
        <v/>
      </c>
      <c r="Q331" s="4">
        <f>IFERROR(MATCH(326,상세표[연속순번],0),"")</f>
        <v/>
      </c>
    </row>
    <row r="332">
      <c r="A332">
        <f>IF($Q332="","",INDEX(상세표[부서],$Q332)&amp;"")</f>
        <v/>
      </c>
      <c r="B332">
        <f>IF($Q332="","",INDEX(상세표[사번],$Q332)&amp;"")</f>
        <v/>
      </c>
      <c r="C332">
        <f>IF($Q332="","",INDEX(상세표[성명],$Q332)&amp;"")</f>
        <v/>
      </c>
      <c r="D332">
        <f>IF($Q332="","",INDEX(상세표[직위],$Q332)&amp;"")</f>
        <v/>
      </c>
      <c r="E332">
        <f>IF($Q332="","",IF(ISNUMBER(INDEX(상세표[근무일자],$Q332)),TEXT(INDEX(상세표[근무일자],$Q332),"yyyy-mm-dd"),INDEX(상세표[근무일자],$Q332)&amp;""))</f>
        <v/>
      </c>
      <c r="F332">
        <f>IF($Q332="","",IF(ISNUMBER(INDEX(상세표[시작],$Q332)),TEXT(INDEX(상세표[시작],$Q332),"yyyy-mm-dd hh:mm"),INDEX(상세표[시작],$Q332)&amp;""))</f>
        <v/>
      </c>
      <c r="G332">
        <f>IF($Q332="","",IF(ISNUMBER(INDEX(상세표[블록종료],$Q332)),TEXT(INDEX(상세표[블록종료],$Q332),"yyyy-mm-dd hh:mm"),INDEX(상세표[블록종료],$Q332)&amp;""))</f>
        <v/>
      </c>
      <c r="H332">
        <f>IF($Q332="","",CHOOSE(WEEKDAY(INDEX(상세표[시작],$Q332)),"일","월","화","수","목","금","토"))</f>
        <v/>
      </c>
      <c r="I332" s="20">
        <f>IF($Q332="","",INDEX(상세표[연속 시간],$Q332))</f>
        <v/>
      </c>
      <c r="J332">
        <f>IF($Q332="","",INDEX(상세표[기록 수],$Q332))</f>
        <v/>
      </c>
      <c r="K332" s="20">
        <f>IF($Q332="","",INDEX(상세표[블록 06~07시],$Q332))</f>
        <v/>
      </c>
      <c r="L332" s="20">
        <f>IF($Q332="","",INDEX(상세표[블록 07~18시],$Q332))</f>
        <v/>
      </c>
      <c r="M332" s="20">
        <f>IF($Q332="","",INDEX(상세표[블록 18~22시],$Q332))</f>
        <v/>
      </c>
      <c r="N332" s="20">
        <f>IF($Q332="","",INDEX(상세표[블록 22~06시],$Q332))</f>
        <v/>
      </c>
      <c r="O332">
        <f>IF($Q332="","",INDEX(상세표[주말·휴일 포함],$Q332)&amp;"")</f>
        <v/>
      </c>
      <c r="P332">
        <f>IF($Q332="","",INDEX(상세표[월 넘김 포함],$Q332)&amp;"")</f>
        <v/>
      </c>
      <c r="Q332" s="4">
        <f>IFERROR(MATCH(327,상세표[연속순번],0),"")</f>
        <v/>
      </c>
    </row>
    <row r="333">
      <c r="A333">
        <f>IF($Q333="","",INDEX(상세표[부서],$Q333)&amp;"")</f>
        <v/>
      </c>
      <c r="B333">
        <f>IF($Q333="","",INDEX(상세표[사번],$Q333)&amp;"")</f>
        <v/>
      </c>
      <c r="C333">
        <f>IF($Q333="","",INDEX(상세표[성명],$Q333)&amp;"")</f>
        <v/>
      </c>
      <c r="D333">
        <f>IF($Q333="","",INDEX(상세표[직위],$Q333)&amp;"")</f>
        <v/>
      </c>
      <c r="E333">
        <f>IF($Q333="","",IF(ISNUMBER(INDEX(상세표[근무일자],$Q333)),TEXT(INDEX(상세표[근무일자],$Q333),"yyyy-mm-dd"),INDEX(상세표[근무일자],$Q333)&amp;""))</f>
        <v/>
      </c>
      <c r="F333">
        <f>IF($Q333="","",IF(ISNUMBER(INDEX(상세표[시작],$Q333)),TEXT(INDEX(상세표[시작],$Q333),"yyyy-mm-dd hh:mm"),INDEX(상세표[시작],$Q333)&amp;""))</f>
        <v/>
      </c>
      <c r="G333">
        <f>IF($Q333="","",IF(ISNUMBER(INDEX(상세표[블록종료],$Q333)),TEXT(INDEX(상세표[블록종료],$Q333),"yyyy-mm-dd hh:mm"),INDEX(상세표[블록종료],$Q333)&amp;""))</f>
        <v/>
      </c>
      <c r="H333">
        <f>IF($Q333="","",CHOOSE(WEEKDAY(INDEX(상세표[시작],$Q333)),"일","월","화","수","목","금","토"))</f>
        <v/>
      </c>
      <c r="I333" s="20">
        <f>IF($Q333="","",INDEX(상세표[연속 시간],$Q333))</f>
        <v/>
      </c>
      <c r="J333">
        <f>IF($Q333="","",INDEX(상세표[기록 수],$Q333))</f>
        <v/>
      </c>
      <c r="K333" s="20">
        <f>IF($Q333="","",INDEX(상세표[블록 06~07시],$Q333))</f>
        <v/>
      </c>
      <c r="L333" s="20">
        <f>IF($Q333="","",INDEX(상세표[블록 07~18시],$Q333))</f>
        <v/>
      </c>
      <c r="M333" s="20">
        <f>IF($Q333="","",INDEX(상세표[블록 18~22시],$Q333))</f>
        <v/>
      </c>
      <c r="N333" s="20">
        <f>IF($Q333="","",INDEX(상세표[블록 22~06시],$Q333))</f>
        <v/>
      </c>
      <c r="O333">
        <f>IF($Q333="","",INDEX(상세표[주말·휴일 포함],$Q333)&amp;"")</f>
        <v/>
      </c>
      <c r="P333">
        <f>IF($Q333="","",INDEX(상세표[월 넘김 포함],$Q333)&amp;"")</f>
        <v/>
      </c>
      <c r="Q333" s="4">
        <f>IFERROR(MATCH(328,상세표[연속순번],0),"")</f>
        <v/>
      </c>
    </row>
    <row r="334">
      <c r="A334">
        <f>IF($Q334="","",INDEX(상세표[부서],$Q334)&amp;"")</f>
        <v/>
      </c>
      <c r="B334">
        <f>IF($Q334="","",INDEX(상세표[사번],$Q334)&amp;"")</f>
        <v/>
      </c>
      <c r="C334">
        <f>IF($Q334="","",INDEX(상세표[성명],$Q334)&amp;"")</f>
        <v/>
      </c>
      <c r="D334">
        <f>IF($Q334="","",INDEX(상세표[직위],$Q334)&amp;"")</f>
        <v/>
      </c>
      <c r="E334">
        <f>IF($Q334="","",IF(ISNUMBER(INDEX(상세표[근무일자],$Q334)),TEXT(INDEX(상세표[근무일자],$Q334),"yyyy-mm-dd"),INDEX(상세표[근무일자],$Q334)&amp;""))</f>
        <v/>
      </c>
      <c r="F334">
        <f>IF($Q334="","",IF(ISNUMBER(INDEX(상세표[시작],$Q334)),TEXT(INDEX(상세표[시작],$Q334),"yyyy-mm-dd hh:mm"),INDEX(상세표[시작],$Q334)&amp;""))</f>
        <v/>
      </c>
      <c r="G334">
        <f>IF($Q334="","",IF(ISNUMBER(INDEX(상세표[블록종료],$Q334)),TEXT(INDEX(상세표[블록종료],$Q334),"yyyy-mm-dd hh:mm"),INDEX(상세표[블록종료],$Q334)&amp;""))</f>
        <v/>
      </c>
      <c r="H334">
        <f>IF($Q334="","",CHOOSE(WEEKDAY(INDEX(상세표[시작],$Q334)),"일","월","화","수","목","금","토"))</f>
        <v/>
      </c>
      <c r="I334" s="20">
        <f>IF($Q334="","",INDEX(상세표[연속 시간],$Q334))</f>
        <v/>
      </c>
      <c r="J334">
        <f>IF($Q334="","",INDEX(상세표[기록 수],$Q334))</f>
        <v/>
      </c>
      <c r="K334" s="20">
        <f>IF($Q334="","",INDEX(상세표[블록 06~07시],$Q334))</f>
        <v/>
      </c>
      <c r="L334" s="20">
        <f>IF($Q334="","",INDEX(상세표[블록 07~18시],$Q334))</f>
        <v/>
      </c>
      <c r="M334" s="20">
        <f>IF($Q334="","",INDEX(상세표[블록 18~22시],$Q334))</f>
        <v/>
      </c>
      <c r="N334" s="20">
        <f>IF($Q334="","",INDEX(상세표[블록 22~06시],$Q334))</f>
        <v/>
      </c>
      <c r="O334">
        <f>IF($Q334="","",INDEX(상세표[주말·휴일 포함],$Q334)&amp;"")</f>
        <v/>
      </c>
      <c r="P334">
        <f>IF($Q334="","",INDEX(상세표[월 넘김 포함],$Q334)&amp;"")</f>
        <v/>
      </c>
      <c r="Q334" s="4">
        <f>IFERROR(MATCH(329,상세표[연속순번],0),"")</f>
        <v/>
      </c>
    </row>
    <row r="335">
      <c r="A335">
        <f>IF($Q335="","",INDEX(상세표[부서],$Q335)&amp;"")</f>
        <v/>
      </c>
      <c r="B335">
        <f>IF($Q335="","",INDEX(상세표[사번],$Q335)&amp;"")</f>
        <v/>
      </c>
      <c r="C335">
        <f>IF($Q335="","",INDEX(상세표[성명],$Q335)&amp;"")</f>
        <v/>
      </c>
      <c r="D335">
        <f>IF($Q335="","",INDEX(상세표[직위],$Q335)&amp;"")</f>
        <v/>
      </c>
      <c r="E335">
        <f>IF($Q335="","",IF(ISNUMBER(INDEX(상세표[근무일자],$Q335)),TEXT(INDEX(상세표[근무일자],$Q335),"yyyy-mm-dd"),INDEX(상세표[근무일자],$Q335)&amp;""))</f>
        <v/>
      </c>
      <c r="F335">
        <f>IF($Q335="","",IF(ISNUMBER(INDEX(상세표[시작],$Q335)),TEXT(INDEX(상세표[시작],$Q335),"yyyy-mm-dd hh:mm"),INDEX(상세표[시작],$Q335)&amp;""))</f>
        <v/>
      </c>
      <c r="G335">
        <f>IF($Q335="","",IF(ISNUMBER(INDEX(상세표[블록종료],$Q335)),TEXT(INDEX(상세표[블록종료],$Q335),"yyyy-mm-dd hh:mm"),INDEX(상세표[블록종료],$Q335)&amp;""))</f>
        <v/>
      </c>
      <c r="H335">
        <f>IF($Q335="","",CHOOSE(WEEKDAY(INDEX(상세표[시작],$Q335)),"일","월","화","수","목","금","토"))</f>
        <v/>
      </c>
      <c r="I335" s="20">
        <f>IF($Q335="","",INDEX(상세표[연속 시간],$Q335))</f>
        <v/>
      </c>
      <c r="J335">
        <f>IF($Q335="","",INDEX(상세표[기록 수],$Q335))</f>
        <v/>
      </c>
      <c r="K335" s="20">
        <f>IF($Q335="","",INDEX(상세표[블록 06~07시],$Q335))</f>
        <v/>
      </c>
      <c r="L335" s="20">
        <f>IF($Q335="","",INDEX(상세표[블록 07~18시],$Q335))</f>
        <v/>
      </c>
      <c r="M335" s="20">
        <f>IF($Q335="","",INDEX(상세표[블록 18~22시],$Q335))</f>
        <v/>
      </c>
      <c r="N335" s="20">
        <f>IF($Q335="","",INDEX(상세표[블록 22~06시],$Q335))</f>
        <v/>
      </c>
      <c r="O335">
        <f>IF($Q335="","",INDEX(상세표[주말·휴일 포함],$Q335)&amp;"")</f>
        <v/>
      </c>
      <c r="P335">
        <f>IF($Q335="","",INDEX(상세표[월 넘김 포함],$Q335)&amp;"")</f>
        <v/>
      </c>
      <c r="Q335" s="4">
        <f>IFERROR(MATCH(330,상세표[연속순번],0),"")</f>
        <v/>
      </c>
    </row>
    <row r="336">
      <c r="A336">
        <f>IF($Q336="","",INDEX(상세표[부서],$Q336)&amp;"")</f>
        <v/>
      </c>
      <c r="B336">
        <f>IF($Q336="","",INDEX(상세표[사번],$Q336)&amp;"")</f>
        <v/>
      </c>
      <c r="C336">
        <f>IF($Q336="","",INDEX(상세표[성명],$Q336)&amp;"")</f>
        <v/>
      </c>
      <c r="D336">
        <f>IF($Q336="","",INDEX(상세표[직위],$Q336)&amp;"")</f>
        <v/>
      </c>
      <c r="E336">
        <f>IF($Q336="","",IF(ISNUMBER(INDEX(상세표[근무일자],$Q336)),TEXT(INDEX(상세표[근무일자],$Q336),"yyyy-mm-dd"),INDEX(상세표[근무일자],$Q336)&amp;""))</f>
        <v/>
      </c>
      <c r="F336">
        <f>IF($Q336="","",IF(ISNUMBER(INDEX(상세표[시작],$Q336)),TEXT(INDEX(상세표[시작],$Q336),"yyyy-mm-dd hh:mm"),INDEX(상세표[시작],$Q336)&amp;""))</f>
        <v/>
      </c>
      <c r="G336">
        <f>IF($Q336="","",IF(ISNUMBER(INDEX(상세표[블록종료],$Q336)),TEXT(INDEX(상세표[블록종료],$Q336),"yyyy-mm-dd hh:mm"),INDEX(상세표[블록종료],$Q336)&amp;""))</f>
        <v/>
      </c>
      <c r="H336">
        <f>IF($Q336="","",CHOOSE(WEEKDAY(INDEX(상세표[시작],$Q336)),"일","월","화","수","목","금","토"))</f>
        <v/>
      </c>
      <c r="I336" s="20">
        <f>IF($Q336="","",INDEX(상세표[연속 시간],$Q336))</f>
        <v/>
      </c>
      <c r="J336">
        <f>IF($Q336="","",INDEX(상세표[기록 수],$Q336))</f>
        <v/>
      </c>
      <c r="K336" s="20">
        <f>IF($Q336="","",INDEX(상세표[블록 06~07시],$Q336))</f>
        <v/>
      </c>
      <c r="L336" s="20">
        <f>IF($Q336="","",INDEX(상세표[블록 07~18시],$Q336))</f>
        <v/>
      </c>
      <c r="M336" s="20">
        <f>IF($Q336="","",INDEX(상세표[블록 18~22시],$Q336))</f>
        <v/>
      </c>
      <c r="N336" s="20">
        <f>IF($Q336="","",INDEX(상세표[블록 22~06시],$Q336))</f>
        <v/>
      </c>
      <c r="O336">
        <f>IF($Q336="","",INDEX(상세표[주말·휴일 포함],$Q336)&amp;"")</f>
        <v/>
      </c>
      <c r="P336">
        <f>IF($Q336="","",INDEX(상세표[월 넘김 포함],$Q336)&amp;"")</f>
        <v/>
      </c>
      <c r="Q336" s="4">
        <f>IFERROR(MATCH(331,상세표[연속순번],0),"")</f>
        <v/>
      </c>
    </row>
    <row r="337">
      <c r="A337">
        <f>IF($Q337="","",INDEX(상세표[부서],$Q337)&amp;"")</f>
        <v/>
      </c>
      <c r="B337">
        <f>IF($Q337="","",INDEX(상세표[사번],$Q337)&amp;"")</f>
        <v/>
      </c>
      <c r="C337">
        <f>IF($Q337="","",INDEX(상세표[성명],$Q337)&amp;"")</f>
        <v/>
      </c>
      <c r="D337">
        <f>IF($Q337="","",INDEX(상세표[직위],$Q337)&amp;"")</f>
        <v/>
      </c>
      <c r="E337">
        <f>IF($Q337="","",IF(ISNUMBER(INDEX(상세표[근무일자],$Q337)),TEXT(INDEX(상세표[근무일자],$Q337),"yyyy-mm-dd"),INDEX(상세표[근무일자],$Q337)&amp;""))</f>
        <v/>
      </c>
      <c r="F337">
        <f>IF($Q337="","",IF(ISNUMBER(INDEX(상세표[시작],$Q337)),TEXT(INDEX(상세표[시작],$Q337),"yyyy-mm-dd hh:mm"),INDEX(상세표[시작],$Q337)&amp;""))</f>
        <v/>
      </c>
      <c r="G337">
        <f>IF($Q337="","",IF(ISNUMBER(INDEX(상세표[블록종료],$Q337)),TEXT(INDEX(상세표[블록종료],$Q337),"yyyy-mm-dd hh:mm"),INDEX(상세표[블록종료],$Q337)&amp;""))</f>
        <v/>
      </c>
      <c r="H337">
        <f>IF($Q337="","",CHOOSE(WEEKDAY(INDEX(상세표[시작],$Q337)),"일","월","화","수","목","금","토"))</f>
        <v/>
      </c>
      <c r="I337" s="20">
        <f>IF($Q337="","",INDEX(상세표[연속 시간],$Q337))</f>
        <v/>
      </c>
      <c r="J337">
        <f>IF($Q337="","",INDEX(상세표[기록 수],$Q337))</f>
        <v/>
      </c>
      <c r="K337" s="20">
        <f>IF($Q337="","",INDEX(상세표[블록 06~07시],$Q337))</f>
        <v/>
      </c>
      <c r="L337" s="20">
        <f>IF($Q337="","",INDEX(상세표[블록 07~18시],$Q337))</f>
        <v/>
      </c>
      <c r="M337" s="20">
        <f>IF($Q337="","",INDEX(상세표[블록 18~22시],$Q337))</f>
        <v/>
      </c>
      <c r="N337" s="20">
        <f>IF($Q337="","",INDEX(상세표[블록 22~06시],$Q337))</f>
        <v/>
      </c>
      <c r="O337">
        <f>IF($Q337="","",INDEX(상세표[주말·휴일 포함],$Q337)&amp;"")</f>
        <v/>
      </c>
      <c r="P337">
        <f>IF($Q337="","",INDEX(상세표[월 넘김 포함],$Q337)&amp;"")</f>
        <v/>
      </c>
      <c r="Q337" s="4">
        <f>IFERROR(MATCH(332,상세표[연속순번],0),"")</f>
        <v/>
      </c>
    </row>
    <row r="338">
      <c r="A338">
        <f>IF($Q338="","",INDEX(상세표[부서],$Q338)&amp;"")</f>
        <v/>
      </c>
      <c r="B338">
        <f>IF($Q338="","",INDEX(상세표[사번],$Q338)&amp;"")</f>
        <v/>
      </c>
      <c r="C338">
        <f>IF($Q338="","",INDEX(상세표[성명],$Q338)&amp;"")</f>
        <v/>
      </c>
      <c r="D338">
        <f>IF($Q338="","",INDEX(상세표[직위],$Q338)&amp;"")</f>
        <v/>
      </c>
      <c r="E338">
        <f>IF($Q338="","",IF(ISNUMBER(INDEX(상세표[근무일자],$Q338)),TEXT(INDEX(상세표[근무일자],$Q338),"yyyy-mm-dd"),INDEX(상세표[근무일자],$Q338)&amp;""))</f>
        <v/>
      </c>
      <c r="F338">
        <f>IF($Q338="","",IF(ISNUMBER(INDEX(상세표[시작],$Q338)),TEXT(INDEX(상세표[시작],$Q338),"yyyy-mm-dd hh:mm"),INDEX(상세표[시작],$Q338)&amp;""))</f>
        <v/>
      </c>
      <c r="G338">
        <f>IF($Q338="","",IF(ISNUMBER(INDEX(상세표[블록종료],$Q338)),TEXT(INDEX(상세표[블록종료],$Q338),"yyyy-mm-dd hh:mm"),INDEX(상세표[블록종료],$Q338)&amp;""))</f>
        <v/>
      </c>
      <c r="H338">
        <f>IF($Q338="","",CHOOSE(WEEKDAY(INDEX(상세표[시작],$Q338)),"일","월","화","수","목","금","토"))</f>
        <v/>
      </c>
      <c r="I338" s="20">
        <f>IF($Q338="","",INDEX(상세표[연속 시간],$Q338))</f>
        <v/>
      </c>
      <c r="J338">
        <f>IF($Q338="","",INDEX(상세표[기록 수],$Q338))</f>
        <v/>
      </c>
      <c r="K338" s="20">
        <f>IF($Q338="","",INDEX(상세표[블록 06~07시],$Q338))</f>
        <v/>
      </c>
      <c r="L338" s="20">
        <f>IF($Q338="","",INDEX(상세표[블록 07~18시],$Q338))</f>
        <v/>
      </c>
      <c r="M338" s="20">
        <f>IF($Q338="","",INDEX(상세표[블록 18~22시],$Q338))</f>
        <v/>
      </c>
      <c r="N338" s="20">
        <f>IF($Q338="","",INDEX(상세표[블록 22~06시],$Q338))</f>
        <v/>
      </c>
      <c r="O338">
        <f>IF($Q338="","",INDEX(상세표[주말·휴일 포함],$Q338)&amp;"")</f>
        <v/>
      </c>
      <c r="P338">
        <f>IF($Q338="","",INDEX(상세표[월 넘김 포함],$Q338)&amp;"")</f>
        <v/>
      </c>
      <c r="Q338" s="4">
        <f>IFERROR(MATCH(333,상세표[연속순번],0),"")</f>
        <v/>
      </c>
    </row>
    <row r="339">
      <c r="A339">
        <f>IF($Q339="","",INDEX(상세표[부서],$Q339)&amp;"")</f>
        <v/>
      </c>
      <c r="B339">
        <f>IF($Q339="","",INDEX(상세표[사번],$Q339)&amp;"")</f>
        <v/>
      </c>
      <c r="C339">
        <f>IF($Q339="","",INDEX(상세표[성명],$Q339)&amp;"")</f>
        <v/>
      </c>
      <c r="D339">
        <f>IF($Q339="","",INDEX(상세표[직위],$Q339)&amp;"")</f>
        <v/>
      </c>
      <c r="E339">
        <f>IF($Q339="","",IF(ISNUMBER(INDEX(상세표[근무일자],$Q339)),TEXT(INDEX(상세표[근무일자],$Q339),"yyyy-mm-dd"),INDEX(상세표[근무일자],$Q339)&amp;""))</f>
        <v/>
      </c>
      <c r="F339">
        <f>IF($Q339="","",IF(ISNUMBER(INDEX(상세표[시작],$Q339)),TEXT(INDEX(상세표[시작],$Q339),"yyyy-mm-dd hh:mm"),INDEX(상세표[시작],$Q339)&amp;""))</f>
        <v/>
      </c>
      <c r="G339">
        <f>IF($Q339="","",IF(ISNUMBER(INDEX(상세표[블록종료],$Q339)),TEXT(INDEX(상세표[블록종료],$Q339),"yyyy-mm-dd hh:mm"),INDEX(상세표[블록종료],$Q339)&amp;""))</f>
        <v/>
      </c>
      <c r="H339">
        <f>IF($Q339="","",CHOOSE(WEEKDAY(INDEX(상세표[시작],$Q339)),"일","월","화","수","목","금","토"))</f>
        <v/>
      </c>
      <c r="I339" s="20">
        <f>IF($Q339="","",INDEX(상세표[연속 시간],$Q339))</f>
        <v/>
      </c>
      <c r="J339">
        <f>IF($Q339="","",INDEX(상세표[기록 수],$Q339))</f>
        <v/>
      </c>
      <c r="K339" s="20">
        <f>IF($Q339="","",INDEX(상세표[블록 06~07시],$Q339))</f>
        <v/>
      </c>
      <c r="L339" s="20">
        <f>IF($Q339="","",INDEX(상세표[블록 07~18시],$Q339))</f>
        <v/>
      </c>
      <c r="M339" s="20">
        <f>IF($Q339="","",INDEX(상세표[블록 18~22시],$Q339))</f>
        <v/>
      </c>
      <c r="N339" s="20">
        <f>IF($Q339="","",INDEX(상세표[블록 22~06시],$Q339))</f>
        <v/>
      </c>
      <c r="O339">
        <f>IF($Q339="","",INDEX(상세표[주말·휴일 포함],$Q339)&amp;"")</f>
        <v/>
      </c>
      <c r="P339">
        <f>IF($Q339="","",INDEX(상세표[월 넘김 포함],$Q339)&amp;"")</f>
        <v/>
      </c>
      <c r="Q339" s="4">
        <f>IFERROR(MATCH(334,상세표[연속순번],0),"")</f>
        <v/>
      </c>
    </row>
    <row r="340">
      <c r="A340">
        <f>IF($Q340="","",INDEX(상세표[부서],$Q340)&amp;"")</f>
        <v/>
      </c>
      <c r="B340">
        <f>IF($Q340="","",INDEX(상세표[사번],$Q340)&amp;"")</f>
        <v/>
      </c>
      <c r="C340">
        <f>IF($Q340="","",INDEX(상세표[성명],$Q340)&amp;"")</f>
        <v/>
      </c>
      <c r="D340">
        <f>IF($Q340="","",INDEX(상세표[직위],$Q340)&amp;"")</f>
        <v/>
      </c>
      <c r="E340">
        <f>IF($Q340="","",IF(ISNUMBER(INDEX(상세표[근무일자],$Q340)),TEXT(INDEX(상세표[근무일자],$Q340),"yyyy-mm-dd"),INDEX(상세표[근무일자],$Q340)&amp;""))</f>
        <v/>
      </c>
      <c r="F340">
        <f>IF($Q340="","",IF(ISNUMBER(INDEX(상세표[시작],$Q340)),TEXT(INDEX(상세표[시작],$Q340),"yyyy-mm-dd hh:mm"),INDEX(상세표[시작],$Q340)&amp;""))</f>
        <v/>
      </c>
      <c r="G340">
        <f>IF($Q340="","",IF(ISNUMBER(INDEX(상세표[블록종료],$Q340)),TEXT(INDEX(상세표[블록종료],$Q340),"yyyy-mm-dd hh:mm"),INDEX(상세표[블록종료],$Q340)&amp;""))</f>
        <v/>
      </c>
      <c r="H340">
        <f>IF($Q340="","",CHOOSE(WEEKDAY(INDEX(상세표[시작],$Q340)),"일","월","화","수","목","금","토"))</f>
        <v/>
      </c>
      <c r="I340" s="20">
        <f>IF($Q340="","",INDEX(상세표[연속 시간],$Q340))</f>
        <v/>
      </c>
      <c r="J340">
        <f>IF($Q340="","",INDEX(상세표[기록 수],$Q340))</f>
        <v/>
      </c>
      <c r="K340" s="20">
        <f>IF($Q340="","",INDEX(상세표[블록 06~07시],$Q340))</f>
        <v/>
      </c>
      <c r="L340" s="20">
        <f>IF($Q340="","",INDEX(상세표[블록 07~18시],$Q340))</f>
        <v/>
      </c>
      <c r="M340" s="20">
        <f>IF($Q340="","",INDEX(상세표[블록 18~22시],$Q340))</f>
        <v/>
      </c>
      <c r="N340" s="20">
        <f>IF($Q340="","",INDEX(상세표[블록 22~06시],$Q340))</f>
        <v/>
      </c>
      <c r="O340">
        <f>IF($Q340="","",INDEX(상세표[주말·휴일 포함],$Q340)&amp;"")</f>
        <v/>
      </c>
      <c r="P340">
        <f>IF($Q340="","",INDEX(상세표[월 넘김 포함],$Q340)&amp;"")</f>
        <v/>
      </c>
      <c r="Q340" s="4">
        <f>IFERROR(MATCH(335,상세표[연속순번],0),"")</f>
        <v/>
      </c>
    </row>
    <row r="341">
      <c r="A341">
        <f>IF($Q341="","",INDEX(상세표[부서],$Q341)&amp;"")</f>
        <v/>
      </c>
      <c r="B341">
        <f>IF($Q341="","",INDEX(상세표[사번],$Q341)&amp;"")</f>
        <v/>
      </c>
      <c r="C341">
        <f>IF($Q341="","",INDEX(상세표[성명],$Q341)&amp;"")</f>
        <v/>
      </c>
      <c r="D341">
        <f>IF($Q341="","",INDEX(상세표[직위],$Q341)&amp;"")</f>
        <v/>
      </c>
      <c r="E341">
        <f>IF($Q341="","",IF(ISNUMBER(INDEX(상세표[근무일자],$Q341)),TEXT(INDEX(상세표[근무일자],$Q341),"yyyy-mm-dd"),INDEX(상세표[근무일자],$Q341)&amp;""))</f>
        <v/>
      </c>
      <c r="F341">
        <f>IF($Q341="","",IF(ISNUMBER(INDEX(상세표[시작],$Q341)),TEXT(INDEX(상세표[시작],$Q341),"yyyy-mm-dd hh:mm"),INDEX(상세표[시작],$Q341)&amp;""))</f>
        <v/>
      </c>
      <c r="G341">
        <f>IF($Q341="","",IF(ISNUMBER(INDEX(상세표[블록종료],$Q341)),TEXT(INDEX(상세표[블록종료],$Q341),"yyyy-mm-dd hh:mm"),INDEX(상세표[블록종료],$Q341)&amp;""))</f>
        <v/>
      </c>
      <c r="H341">
        <f>IF($Q341="","",CHOOSE(WEEKDAY(INDEX(상세표[시작],$Q341)),"일","월","화","수","목","금","토"))</f>
        <v/>
      </c>
      <c r="I341" s="20">
        <f>IF($Q341="","",INDEX(상세표[연속 시간],$Q341))</f>
        <v/>
      </c>
      <c r="J341">
        <f>IF($Q341="","",INDEX(상세표[기록 수],$Q341))</f>
        <v/>
      </c>
      <c r="K341" s="20">
        <f>IF($Q341="","",INDEX(상세표[블록 06~07시],$Q341))</f>
        <v/>
      </c>
      <c r="L341" s="20">
        <f>IF($Q341="","",INDEX(상세표[블록 07~18시],$Q341))</f>
        <v/>
      </c>
      <c r="M341" s="20">
        <f>IF($Q341="","",INDEX(상세표[블록 18~22시],$Q341))</f>
        <v/>
      </c>
      <c r="N341" s="20">
        <f>IF($Q341="","",INDEX(상세표[블록 22~06시],$Q341))</f>
        <v/>
      </c>
      <c r="O341">
        <f>IF($Q341="","",INDEX(상세표[주말·휴일 포함],$Q341)&amp;"")</f>
        <v/>
      </c>
      <c r="P341">
        <f>IF($Q341="","",INDEX(상세표[월 넘김 포함],$Q341)&amp;"")</f>
        <v/>
      </c>
      <c r="Q341" s="4">
        <f>IFERROR(MATCH(336,상세표[연속순번],0),"")</f>
        <v/>
      </c>
    </row>
    <row r="342">
      <c r="A342">
        <f>IF($Q342="","",INDEX(상세표[부서],$Q342)&amp;"")</f>
        <v/>
      </c>
      <c r="B342">
        <f>IF($Q342="","",INDEX(상세표[사번],$Q342)&amp;"")</f>
        <v/>
      </c>
      <c r="C342">
        <f>IF($Q342="","",INDEX(상세표[성명],$Q342)&amp;"")</f>
        <v/>
      </c>
      <c r="D342">
        <f>IF($Q342="","",INDEX(상세표[직위],$Q342)&amp;"")</f>
        <v/>
      </c>
      <c r="E342">
        <f>IF($Q342="","",IF(ISNUMBER(INDEX(상세표[근무일자],$Q342)),TEXT(INDEX(상세표[근무일자],$Q342),"yyyy-mm-dd"),INDEX(상세표[근무일자],$Q342)&amp;""))</f>
        <v/>
      </c>
      <c r="F342">
        <f>IF($Q342="","",IF(ISNUMBER(INDEX(상세표[시작],$Q342)),TEXT(INDEX(상세표[시작],$Q342),"yyyy-mm-dd hh:mm"),INDEX(상세표[시작],$Q342)&amp;""))</f>
        <v/>
      </c>
      <c r="G342">
        <f>IF($Q342="","",IF(ISNUMBER(INDEX(상세표[블록종료],$Q342)),TEXT(INDEX(상세표[블록종료],$Q342),"yyyy-mm-dd hh:mm"),INDEX(상세표[블록종료],$Q342)&amp;""))</f>
        <v/>
      </c>
      <c r="H342">
        <f>IF($Q342="","",CHOOSE(WEEKDAY(INDEX(상세표[시작],$Q342)),"일","월","화","수","목","금","토"))</f>
        <v/>
      </c>
      <c r="I342" s="20">
        <f>IF($Q342="","",INDEX(상세표[연속 시간],$Q342))</f>
        <v/>
      </c>
      <c r="J342">
        <f>IF($Q342="","",INDEX(상세표[기록 수],$Q342))</f>
        <v/>
      </c>
      <c r="K342" s="20">
        <f>IF($Q342="","",INDEX(상세표[블록 06~07시],$Q342))</f>
        <v/>
      </c>
      <c r="L342" s="20">
        <f>IF($Q342="","",INDEX(상세표[블록 07~18시],$Q342))</f>
        <v/>
      </c>
      <c r="M342" s="20">
        <f>IF($Q342="","",INDEX(상세표[블록 18~22시],$Q342))</f>
        <v/>
      </c>
      <c r="N342" s="20">
        <f>IF($Q342="","",INDEX(상세표[블록 22~06시],$Q342))</f>
        <v/>
      </c>
      <c r="O342">
        <f>IF($Q342="","",INDEX(상세표[주말·휴일 포함],$Q342)&amp;"")</f>
        <v/>
      </c>
      <c r="P342">
        <f>IF($Q342="","",INDEX(상세표[월 넘김 포함],$Q342)&amp;"")</f>
        <v/>
      </c>
      <c r="Q342" s="4">
        <f>IFERROR(MATCH(337,상세표[연속순번],0),"")</f>
        <v/>
      </c>
    </row>
    <row r="343">
      <c r="A343">
        <f>IF($Q343="","",INDEX(상세표[부서],$Q343)&amp;"")</f>
        <v/>
      </c>
      <c r="B343">
        <f>IF($Q343="","",INDEX(상세표[사번],$Q343)&amp;"")</f>
        <v/>
      </c>
      <c r="C343">
        <f>IF($Q343="","",INDEX(상세표[성명],$Q343)&amp;"")</f>
        <v/>
      </c>
      <c r="D343">
        <f>IF($Q343="","",INDEX(상세표[직위],$Q343)&amp;"")</f>
        <v/>
      </c>
      <c r="E343">
        <f>IF($Q343="","",IF(ISNUMBER(INDEX(상세표[근무일자],$Q343)),TEXT(INDEX(상세표[근무일자],$Q343),"yyyy-mm-dd"),INDEX(상세표[근무일자],$Q343)&amp;""))</f>
        <v/>
      </c>
      <c r="F343">
        <f>IF($Q343="","",IF(ISNUMBER(INDEX(상세표[시작],$Q343)),TEXT(INDEX(상세표[시작],$Q343),"yyyy-mm-dd hh:mm"),INDEX(상세표[시작],$Q343)&amp;""))</f>
        <v/>
      </c>
      <c r="G343">
        <f>IF($Q343="","",IF(ISNUMBER(INDEX(상세표[블록종료],$Q343)),TEXT(INDEX(상세표[블록종료],$Q343),"yyyy-mm-dd hh:mm"),INDEX(상세표[블록종료],$Q343)&amp;""))</f>
        <v/>
      </c>
      <c r="H343">
        <f>IF($Q343="","",CHOOSE(WEEKDAY(INDEX(상세표[시작],$Q343)),"일","월","화","수","목","금","토"))</f>
        <v/>
      </c>
      <c r="I343" s="20">
        <f>IF($Q343="","",INDEX(상세표[연속 시간],$Q343))</f>
        <v/>
      </c>
      <c r="J343">
        <f>IF($Q343="","",INDEX(상세표[기록 수],$Q343))</f>
        <v/>
      </c>
      <c r="K343" s="20">
        <f>IF($Q343="","",INDEX(상세표[블록 06~07시],$Q343))</f>
        <v/>
      </c>
      <c r="L343" s="20">
        <f>IF($Q343="","",INDEX(상세표[블록 07~18시],$Q343))</f>
        <v/>
      </c>
      <c r="M343" s="20">
        <f>IF($Q343="","",INDEX(상세표[블록 18~22시],$Q343))</f>
        <v/>
      </c>
      <c r="N343" s="20">
        <f>IF($Q343="","",INDEX(상세표[블록 22~06시],$Q343))</f>
        <v/>
      </c>
      <c r="O343">
        <f>IF($Q343="","",INDEX(상세표[주말·휴일 포함],$Q343)&amp;"")</f>
        <v/>
      </c>
      <c r="P343">
        <f>IF($Q343="","",INDEX(상세표[월 넘김 포함],$Q343)&amp;"")</f>
        <v/>
      </c>
      <c r="Q343" s="4">
        <f>IFERROR(MATCH(338,상세표[연속순번],0),"")</f>
        <v/>
      </c>
    </row>
    <row r="344">
      <c r="A344">
        <f>IF($Q344="","",INDEX(상세표[부서],$Q344)&amp;"")</f>
        <v/>
      </c>
      <c r="B344">
        <f>IF($Q344="","",INDEX(상세표[사번],$Q344)&amp;"")</f>
        <v/>
      </c>
      <c r="C344">
        <f>IF($Q344="","",INDEX(상세표[성명],$Q344)&amp;"")</f>
        <v/>
      </c>
      <c r="D344">
        <f>IF($Q344="","",INDEX(상세표[직위],$Q344)&amp;"")</f>
        <v/>
      </c>
      <c r="E344">
        <f>IF($Q344="","",IF(ISNUMBER(INDEX(상세표[근무일자],$Q344)),TEXT(INDEX(상세표[근무일자],$Q344),"yyyy-mm-dd"),INDEX(상세표[근무일자],$Q344)&amp;""))</f>
        <v/>
      </c>
      <c r="F344">
        <f>IF($Q344="","",IF(ISNUMBER(INDEX(상세표[시작],$Q344)),TEXT(INDEX(상세표[시작],$Q344),"yyyy-mm-dd hh:mm"),INDEX(상세표[시작],$Q344)&amp;""))</f>
        <v/>
      </c>
      <c r="G344">
        <f>IF($Q344="","",IF(ISNUMBER(INDEX(상세표[블록종료],$Q344)),TEXT(INDEX(상세표[블록종료],$Q344),"yyyy-mm-dd hh:mm"),INDEX(상세표[블록종료],$Q344)&amp;""))</f>
        <v/>
      </c>
      <c r="H344">
        <f>IF($Q344="","",CHOOSE(WEEKDAY(INDEX(상세표[시작],$Q344)),"일","월","화","수","목","금","토"))</f>
        <v/>
      </c>
      <c r="I344" s="20">
        <f>IF($Q344="","",INDEX(상세표[연속 시간],$Q344))</f>
        <v/>
      </c>
      <c r="J344">
        <f>IF($Q344="","",INDEX(상세표[기록 수],$Q344))</f>
        <v/>
      </c>
      <c r="K344" s="20">
        <f>IF($Q344="","",INDEX(상세표[블록 06~07시],$Q344))</f>
        <v/>
      </c>
      <c r="L344" s="20">
        <f>IF($Q344="","",INDEX(상세표[블록 07~18시],$Q344))</f>
        <v/>
      </c>
      <c r="M344" s="20">
        <f>IF($Q344="","",INDEX(상세표[블록 18~22시],$Q344))</f>
        <v/>
      </c>
      <c r="N344" s="20">
        <f>IF($Q344="","",INDEX(상세표[블록 22~06시],$Q344))</f>
        <v/>
      </c>
      <c r="O344">
        <f>IF($Q344="","",INDEX(상세표[주말·휴일 포함],$Q344)&amp;"")</f>
        <v/>
      </c>
      <c r="P344">
        <f>IF($Q344="","",INDEX(상세표[월 넘김 포함],$Q344)&amp;"")</f>
        <v/>
      </c>
      <c r="Q344" s="4">
        <f>IFERROR(MATCH(339,상세표[연속순번],0),"")</f>
        <v/>
      </c>
    </row>
    <row r="345">
      <c r="A345">
        <f>IF($Q345="","",INDEX(상세표[부서],$Q345)&amp;"")</f>
        <v/>
      </c>
      <c r="B345">
        <f>IF($Q345="","",INDEX(상세표[사번],$Q345)&amp;"")</f>
        <v/>
      </c>
      <c r="C345">
        <f>IF($Q345="","",INDEX(상세표[성명],$Q345)&amp;"")</f>
        <v/>
      </c>
      <c r="D345">
        <f>IF($Q345="","",INDEX(상세표[직위],$Q345)&amp;"")</f>
        <v/>
      </c>
      <c r="E345">
        <f>IF($Q345="","",IF(ISNUMBER(INDEX(상세표[근무일자],$Q345)),TEXT(INDEX(상세표[근무일자],$Q345),"yyyy-mm-dd"),INDEX(상세표[근무일자],$Q345)&amp;""))</f>
        <v/>
      </c>
      <c r="F345">
        <f>IF($Q345="","",IF(ISNUMBER(INDEX(상세표[시작],$Q345)),TEXT(INDEX(상세표[시작],$Q345),"yyyy-mm-dd hh:mm"),INDEX(상세표[시작],$Q345)&amp;""))</f>
        <v/>
      </c>
      <c r="G345">
        <f>IF($Q345="","",IF(ISNUMBER(INDEX(상세표[블록종료],$Q345)),TEXT(INDEX(상세표[블록종료],$Q345),"yyyy-mm-dd hh:mm"),INDEX(상세표[블록종료],$Q345)&amp;""))</f>
        <v/>
      </c>
      <c r="H345">
        <f>IF($Q345="","",CHOOSE(WEEKDAY(INDEX(상세표[시작],$Q345)),"일","월","화","수","목","금","토"))</f>
        <v/>
      </c>
      <c r="I345" s="20">
        <f>IF($Q345="","",INDEX(상세표[연속 시간],$Q345))</f>
        <v/>
      </c>
      <c r="J345">
        <f>IF($Q345="","",INDEX(상세표[기록 수],$Q345))</f>
        <v/>
      </c>
      <c r="K345" s="20">
        <f>IF($Q345="","",INDEX(상세표[블록 06~07시],$Q345))</f>
        <v/>
      </c>
      <c r="L345" s="20">
        <f>IF($Q345="","",INDEX(상세표[블록 07~18시],$Q345))</f>
        <v/>
      </c>
      <c r="M345" s="20">
        <f>IF($Q345="","",INDEX(상세표[블록 18~22시],$Q345))</f>
        <v/>
      </c>
      <c r="N345" s="20">
        <f>IF($Q345="","",INDEX(상세표[블록 22~06시],$Q345))</f>
        <v/>
      </c>
      <c r="O345">
        <f>IF($Q345="","",INDEX(상세표[주말·휴일 포함],$Q345)&amp;"")</f>
        <v/>
      </c>
      <c r="P345">
        <f>IF($Q345="","",INDEX(상세표[월 넘김 포함],$Q345)&amp;"")</f>
        <v/>
      </c>
      <c r="Q345" s="4">
        <f>IFERROR(MATCH(340,상세표[연속순번],0),"")</f>
        <v/>
      </c>
    </row>
    <row r="346">
      <c r="A346">
        <f>IF($Q346="","",INDEX(상세표[부서],$Q346)&amp;"")</f>
        <v/>
      </c>
      <c r="B346">
        <f>IF($Q346="","",INDEX(상세표[사번],$Q346)&amp;"")</f>
        <v/>
      </c>
      <c r="C346">
        <f>IF($Q346="","",INDEX(상세표[성명],$Q346)&amp;"")</f>
        <v/>
      </c>
      <c r="D346">
        <f>IF($Q346="","",INDEX(상세표[직위],$Q346)&amp;"")</f>
        <v/>
      </c>
      <c r="E346">
        <f>IF($Q346="","",IF(ISNUMBER(INDEX(상세표[근무일자],$Q346)),TEXT(INDEX(상세표[근무일자],$Q346),"yyyy-mm-dd"),INDEX(상세표[근무일자],$Q346)&amp;""))</f>
        <v/>
      </c>
      <c r="F346">
        <f>IF($Q346="","",IF(ISNUMBER(INDEX(상세표[시작],$Q346)),TEXT(INDEX(상세표[시작],$Q346),"yyyy-mm-dd hh:mm"),INDEX(상세표[시작],$Q346)&amp;""))</f>
        <v/>
      </c>
      <c r="G346">
        <f>IF($Q346="","",IF(ISNUMBER(INDEX(상세표[블록종료],$Q346)),TEXT(INDEX(상세표[블록종료],$Q346),"yyyy-mm-dd hh:mm"),INDEX(상세표[블록종료],$Q346)&amp;""))</f>
        <v/>
      </c>
      <c r="H346">
        <f>IF($Q346="","",CHOOSE(WEEKDAY(INDEX(상세표[시작],$Q346)),"일","월","화","수","목","금","토"))</f>
        <v/>
      </c>
      <c r="I346" s="20">
        <f>IF($Q346="","",INDEX(상세표[연속 시간],$Q346))</f>
        <v/>
      </c>
      <c r="J346">
        <f>IF($Q346="","",INDEX(상세표[기록 수],$Q346))</f>
        <v/>
      </c>
      <c r="K346" s="20">
        <f>IF($Q346="","",INDEX(상세표[블록 06~07시],$Q346))</f>
        <v/>
      </c>
      <c r="L346" s="20">
        <f>IF($Q346="","",INDEX(상세표[블록 07~18시],$Q346))</f>
        <v/>
      </c>
      <c r="M346" s="20">
        <f>IF($Q346="","",INDEX(상세표[블록 18~22시],$Q346))</f>
        <v/>
      </c>
      <c r="N346" s="20">
        <f>IF($Q346="","",INDEX(상세표[블록 22~06시],$Q346))</f>
        <v/>
      </c>
      <c r="O346">
        <f>IF($Q346="","",INDEX(상세표[주말·휴일 포함],$Q346)&amp;"")</f>
        <v/>
      </c>
      <c r="P346">
        <f>IF($Q346="","",INDEX(상세표[월 넘김 포함],$Q346)&amp;"")</f>
        <v/>
      </c>
      <c r="Q346" s="4">
        <f>IFERROR(MATCH(341,상세표[연속순번],0),"")</f>
        <v/>
      </c>
    </row>
    <row r="347">
      <c r="A347">
        <f>IF($Q347="","",INDEX(상세표[부서],$Q347)&amp;"")</f>
        <v/>
      </c>
      <c r="B347">
        <f>IF($Q347="","",INDEX(상세표[사번],$Q347)&amp;"")</f>
        <v/>
      </c>
      <c r="C347">
        <f>IF($Q347="","",INDEX(상세표[성명],$Q347)&amp;"")</f>
        <v/>
      </c>
      <c r="D347">
        <f>IF($Q347="","",INDEX(상세표[직위],$Q347)&amp;"")</f>
        <v/>
      </c>
      <c r="E347">
        <f>IF($Q347="","",IF(ISNUMBER(INDEX(상세표[근무일자],$Q347)),TEXT(INDEX(상세표[근무일자],$Q347),"yyyy-mm-dd"),INDEX(상세표[근무일자],$Q347)&amp;""))</f>
        <v/>
      </c>
      <c r="F347">
        <f>IF($Q347="","",IF(ISNUMBER(INDEX(상세표[시작],$Q347)),TEXT(INDEX(상세표[시작],$Q347),"yyyy-mm-dd hh:mm"),INDEX(상세표[시작],$Q347)&amp;""))</f>
        <v/>
      </c>
      <c r="G347">
        <f>IF($Q347="","",IF(ISNUMBER(INDEX(상세표[블록종료],$Q347)),TEXT(INDEX(상세표[블록종료],$Q347),"yyyy-mm-dd hh:mm"),INDEX(상세표[블록종료],$Q347)&amp;""))</f>
        <v/>
      </c>
      <c r="H347">
        <f>IF($Q347="","",CHOOSE(WEEKDAY(INDEX(상세표[시작],$Q347)),"일","월","화","수","목","금","토"))</f>
        <v/>
      </c>
      <c r="I347" s="20">
        <f>IF($Q347="","",INDEX(상세표[연속 시간],$Q347))</f>
        <v/>
      </c>
      <c r="J347">
        <f>IF($Q347="","",INDEX(상세표[기록 수],$Q347))</f>
        <v/>
      </c>
      <c r="K347" s="20">
        <f>IF($Q347="","",INDEX(상세표[블록 06~07시],$Q347))</f>
        <v/>
      </c>
      <c r="L347" s="20">
        <f>IF($Q347="","",INDEX(상세표[블록 07~18시],$Q347))</f>
        <v/>
      </c>
      <c r="M347" s="20">
        <f>IF($Q347="","",INDEX(상세표[블록 18~22시],$Q347))</f>
        <v/>
      </c>
      <c r="N347" s="20">
        <f>IF($Q347="","",INDEX(상세표[블록 22~06시],$Q347))</f>
        <v/>
      </c>
      <c r="O347">
        <f>IF($Q347="","",INDEX(상세표[주말·휴일 포함],$Q347)&amp;"")</f>
        <v/>
      </c>
      <c r="P347">
        <f>IF($Q347="","",INDEX(상세표[월 넘김 포함],$Q347)&amp;"")</f>
        <v/>
      </c>
      <c r="Q347" s="4">
        <f>IFERROR(MATCH(342,상세표[연속순번],0),"")</f>
        <v/>
      </c>
    </row>
    <row r="348">
      <c r="A348">
        <f>IF($Q348="","",INDEX(상세표[부서],$Q348)&amp;"")</f>
        <v/>
      </c>
      <c r="B348">
        <f>IF($Q348="","",INDEX(상세표[사번],$Q348)&amp;"")</f>
        <v/>
      </c>
      <c r="C348">
        <f>IF($Q348="","",INDEX(상세표[성명],$Q348)&amp;"")</f>
        <v/>
      </c>
      <c r="D348">
        <f>IF($Q348="","",INDEX(상세표[직위],$Q348)&amp;"")</f>
        <v/>
      </c>
      <c r="E348">
        <f>IF($Q348="","",IF(ISNUMBER(INDEX(상세표[근무일자],$Q348)),TEXT(INDEX(상세표[근무일자],$Q348),"yyyy-mm-dd"),INDEX(상세표[근무일자],$Q348)&amp;""))</f>
        <v/>
      </c>
      <c r="F348">
        <f>IF($Q348="","",IF(ISNUMBER(INDEX(상세표[시작],$Q348)),TEXT(INDEX(상세표[시작],$Q348),"yyyy-mm-dd hh:mm"),INDEX(상세표[시작],$Q348)&amp;""))</f>
        <v/>
      </c>
      <c r="G348">
        <f>IF($Q348="","",IF(ISNUMBER(INDEX(상세표[블록종료],$Q348)),TEXT(INDEX(상세표[블록종료],$Q348),"yyyy-mm-dd hh:mm"),INDEX(상세표[블록종료],$Q348)&amp;""))</f>
        <v/>
      </c>
      <c r="H348">
        <f>IF($Q348="","",CHOOSE(WEEKDAY(INDEX(상세표[시작],$Q348)),"일","월","화","수","목","금","토"))</f>
        <v/>
      </c>
      <c r="I348" s="20">
        <f>IF($Q348="","",INDEX(상세표[연속 시간],$Q348))</f>
        <v/>
      </c>
      <c r="J348">
        <f>IF($Q348="","",INDEX(상세표[기록 수],$Q348))</f>
        <v/>
      </c>
      <c r="K348" s="20">
        <f>IF($Q348="","",INDEX(상세표[블록 06~07시],$Q348))</f>
        <v/>
      </c>
      <c r="L348" s="20">
        <f>IF($Q348="","",INDEX(상세표[블록 07~18시],$Q348))</f>
        <v/>
      </c>
      <c r="M348" s="20">
        <f>IF($Q348="","",INDEX(상세표[블록 18~22시],$Q348))</f>
        <v/>
      </c>
      <c r="N348" s="20">
        <f>IF($Q348="","",INDEX(상세표[블록 22~06시],$Q348))</f>
        <v/>
      </c>
      <c r="O348">
        <f>IF($Q348="","",INDEX(상세표[주말·휴일 포함],$Q348)&amp;"")</f>
        <v/>
      </c>
      <c r="P348">
        <f>IF($Q348="","",INDEX(상세표[월 넘김 포함],$Q348)&amp;"")</f>
        <v/>
      </c>
      <c r="Q348" s="4">
        <f>IFERROR(MATCH(343,상세표[연속순번],0),"")</f>
        <v/>
      </c>
    </row>
    <row r="349">
      <c r="A349">
        <f>IF($Q349="","",INDEX(상세표[부서],$Q349)&amp;"")</f>
        <v/>
      </c>
      <c r="B349">
        <f>IF($Q349="","",INDEX(상세표[사번],$Q349)&amp;"")</f>
        <v/>
      </c>
      <c r="C349">
        <f>IF($Q349="","",INDEX(상세표[성명],$Q349)&amp;"")</f>
        <v/>
      </c>
      <c r="D349">
        <f>IF($Q349="","",INDEX(상세표[직위],$Q349)&amp;"")</f>
        <v/>
      </c>
      <c r="E349">
        <f>IF($Q349="","",IF(ISNUMBER(INDEX(상세표[근무일자],$Q349)),TEXT(INDEX(상세표[근무일자],$Q349),"yyyy-mm-dd"),INDEX(상세표[근무일자],$Q349)&amp;""))</f>
        <v/>
      </c>
      <c r="F349">
        <f>IF($Q349="","",IF(ISNUMBER(INDEX(상세표[시작],$Q349)),TEXT(INDEX(상세표[시작],$Q349),"yyyy-mm-dd hh:mm"),INDEX(상세표[시작],$Q349)&amp;""))</f>
        <v/>
      </c>
      <c r="G349">
        <f>IF($Q349="","",IF(ISNUMBER(INDEX(상세표[블록종료],$Q349)),TEXT(INDEX(상세표[블록종료],$Q349),"yyyy-mm-dd hh:mm"),INDEX(상세표[블록종료],$Q349)&amp;""))</f>
        <v/>
      </c>
      <c r="H349">
        <f>IF($Q349="","",CHOOSE(WEEKDAY(INDEX(상세표[시작],$Q349)),"일","월","화","수","목","금","토"))</f>
        <v/>
      </c>
      <c r="I349" s="20">
        <f>IF($Q349="","",INDEX(상세표[연속 시간],$Q349))</f>
        <v/>
      </c>
      <c r="J349">
        <f>IF($Q349="","",INDEX(상세표[기록 수],$Q349))</f>
        <v/>
      </c>
      <c r="K349" s="20">
        <f>IF($Q349="","",INDEX(상세표[블록 06~07시],$Q349))</f>
        <v/>
      </c>
      <c r="L349" s="20">
        <f>IF($Q349="","",INDEX(상세표[블록 07~18시],$Q349))</f>
        <v/>
      </c>
      <c r="M349" s="20">
        <f>IF($Q349="","",INDEX(상세표[블록 18~22시],$Q349))</f>
        <v/>
      </c>
      <c r="N349" s="20">
        <f>IF($Q349="","",INDEX(상세표[블록 22~06시],$Q349))</f>
        <v/>
      </c>
      <c r="O349">
        <f>IF($Q349="","",INDEX(상세표[주말·휴일 포함],$Q349)&amp;"")</f>
        <v/>
      </c>
      <c r="P349">
        <f>IF($Q349="","",INDEX(상세표[월 넘김 포함],$Q349)&amp;"")</f>
        <v/>
      </c>
      <c r="Q349" s="4">
        <f>IFERROR(MATCH(344,상세표[연속순번],0),"")</f>
        <v/>
      </c>
    </row>
    <row r="350">
      <c r="A350">
        <f>IF($Q350="","",INDEX(상세표[부서],$Q350)&amp;"")</f>
        <v/>
      </c>
      <c r="B350">
        <f>IF($Q350="","",INDEX(상세표[사번],$Q350)&amp;"")</f>
        <v/>
      </c>
      <c r="C350">
        <f>IF($Q350="","",INDEX(상세표[성명],$Q350)&amp;"")</f>
        <v/>
      </c>
      <c r="D350">
        <f>IF($Q350="","",INDEX(상세표[직위],$Q350)&amp;"")</f>
        <v/>
      </c>
      <c r="E350">
        <f>IF($Q350="","",IF(ISNUMBER(INDEX(상세표[근무일자],$Q350)),TEXT(INDEX(상세표[근무일자],$Q350),"yyyy-mm-dd"),INDEX(상세표[근무일자],$Q350)&amp;""))</f>
        <v/>
      </c>
      <c r="F350">
        <f>IF($Q350="","",IF(ISNUMBER(INDEX(상세표[시작],$Q350)),TEXT(INDEX(상세표[시작],$Q350),"yyyy-mm-dd hh:mm"),INDEX(상세표[시작],$Q350)&amp;""))</f>
        <v/>
      </c>
      <c r="G350">
        <f>IF($Q350="","",IF(ISNUMBER(INDEX(상세표[블록종료],$Q350)),TEXT(INDEX(상세표[블록종료],$Q350),"yyyy-mm-dd hh:mm"),INDEX(상세표[블록종료],$Q350)&amp;""))</f>
        <v/>
      </c>
      <c r="H350">
        <f>IF($Q350="","",CHOOSE(WEEKDAY(INDEX(상세표[시작],$Q350)),"일","월","화","수","목","금","토"))</f>
        <v/>
      </c>
      <c r="I350" s="20">
        <f>IF($Q350="","",INDEX(상세표[연속 시간],$Q350))</f>
        <v/>
      </c>
      <c r="J350">
        <f>IF($Q350="","",INDEX(상세표[기록 수],$Q350))</f>
        <v/>
      </c>
      <c r="K350" s="20">
        <f>IF($Q350="","",INDEX(상세표[블록 06~07시],$Q350))</f>
        <v/>
      </c>
      <c r="L350" s="20">
        <f>IF($Q350="","",INDEX(상세표[블록 07~18시],$Q350))</f>
        <v/>
      </c>
      <c r="M350" s="20">
        <f>IF($Q350="","",INDEX(상세표[블록 18~22시],$Q350))</f>
        <v/>
      </c>
      <c r="N350" s="20">
        <f>IF($Q350="","",INDEX(상세표[블록 22~06시],$Q350))</f>
        <v/>
      </c>
      <c r="O350">
        <f>IF($Q350="","",INDEX(상세표[주말·휴일 포함],$Q350)&amp;"")</f>
        <v/>
      </c>
      <c r="P350">
        <f>IF($Q350="","",INDEX(상세표[월 넘김 포함],$Q350)&amp;"")</f>
        <v/>
      </c>
      <c r="Q350" s="4">
        <f>IFERROR(MATCH(345,상세표[연속순번],0),"")</f>
        <v/>
      </c>
    </row>
    <row r="351">
      <c r="A351">
        <f>IF($Q351="","",INDEX(상세표[부서],$Q351)&amp;"")</f>
        <v/>
      </c>
      <c r="B351">
        <f>IF($Q351="","",INDEX(상세표[사번],$Q351)&amp;"")</f>
        <v/>
      </c>
      <c r="C351">
        <f>IF($Q351="","",INDEX(상세표[성명],$Q351)&amp;"")</f>
        <v/>
      </c>
      <c r="D351">
        <f>IF($Q351="","",INDEX(상세표[직위],$Q351)&amp;"")</f>
        <v/>
      </c>
      <c r="E351">
        <f>IF($Q351="","",IF(ISNUMBER(INDEX(상세표[근무일자],$Q351)),TEXT(INDEX(상세표[근무일자],$Q351),"yyyy-mm-dd"),INDEX(상세표[근무일자],$Q351)&amp;""))</f>
        <v/>
      </c>
      <c r="F351">
        <f>IF($Q351="","",IF(ISNUMBER(INDEX(상세표[시작],$Q351)),TEXT(INDEX(상세표[시작],$Q351),"yyyy-mm-dd hh:mm"),INDEX(상세표[시작],$Q351)&amp;""))</f>
        <v/>
      </c>
      <c r="G351">
        <f>IF($Q351="","",IF(ISNUMBER(INDEX(상세표[블록종료],$Q351)),TEXT(INDEX(상세표[블록종료],$Q351),"yyyy-mm-dd hh:mm"),INDEX(상세표[블록종료],$Q351)&amp;""))</f>
        <v/>
      </c>
      <c r="H351">
        <f>IF($Q351="","",CHOOSE(WEEKDAY(INDEX(상세표[시작],$Q351)),"일","월","화","수","목","금","토"))</f>
        <v/>
      </c>
      <c r="I351" s="20">
        <f>IF($Q351="","",INDEX(상세표[연속 시간],$Q351))</f>
        <v/>
      </c>
      <c r="J351">
        <f>IF($Q351="","",INDEX(상세표[기록 수],$Q351))</f>
        <v/>
      </c>
      <c r="K351" s="20">
        <f>IF($Q351="","",INDEX(상세표[블록 06~07시],$Q351))</f>
        <v/>
      </c>
      <c r="L351" s="20">
        <f>IF($Q351="","",INDEX(상세표[블록 07~18시],$Q351))</f>
        <v/>
      </c>
      <c r="M351" s="20">
        <f>IF($Q351="","",INDEX(상세표[블록 18~22시],$Q351))</f>
        <v/>
      </c>
      <c r="N351" s="20">
        <f>IF($Q351="","",INDEX(상세표[블록 22~06시],$Q351))</f>
        <v/>
      </c>
      <c r="O351">
        <f>IF($Q351="","",INDEX(상세표[주말·휴일 포함],$Q351)&amp;"")</f>
        <v/>
      </c>
      <c r="P351">
        <f>IF($Q351="","",INDEX(상세표[월 넘김 포함],$Q351)&amp;"")</f>
        <v/>
      </c>
      <c r="Q351" s="4">
        <f>IFERROR(MATCH(346,상세표[연속순번],0),"")</f>
        <v/>
      </c>
    </row>
    <row r="352">
      <c r="A352">
        <f>IF($Q352="","",INDEX(상세표[부서],$Q352)&amp;"")</f>
        <v/>
      </c>
      <c r="B352">
        <f>IF($Q352="","",INDEX(상세표[사번],$Q352)&amp;"")</f>
        <v/>
      </c>
      <c r="C352">
        <f>IF($Q352="","",INDEX(상세표[성명],$Q352)&amp;"")</f>
        <v/>
      </c>
      <c r="D352">
        <f>IF($Q352="","",INDEX(상세표[직위],$Q352)&amp;"")</f>
        <v/>
      </c>
      <c r="E352">
        <f>IF($Q352="","",IF(ISNUMBER(INDEX(상세표[근무일자],$Q352)),TEXT(INDEX(상세표[근무일자],$Q352),"yyyy-mm-dd"),INDEX(상세표[근무일자],$Q352)&amp;""))</f>
        <v/>
      </c>
      <c r="F352">
        <f>IF($Q352="","",IF(ISNUMBER(INDEX(상세표[시작],$Q352)),TEXT(INDEX(상세표[시작],$Q352),"yyyy-mm-dd hh:mm"),INDEX(상세표[시작],$Q352)&amp;""))</f>
        <v/>
      </c>
      <c r="G352">
        <f>IF($Q352="","",IF(ISNUMBER(INDEX(상세표[블록종료],$Q352)),TEXT(INDEX(상세표[블록종료],$Q352),"yyyy-mm-dd hh:mm"),INDEX(상세표[블록종료],$Q352)&amp;""))</f>
        <v/>
      </c>
      <c r="H352">
        <f>IF($Q352="","",CHOOSE(WEEKDAY(INDEX(상세표[시작],$Q352)),"일","월","화","수","목","금","토"))</f>
        <v/>
      </c>
      <c r="I352" s="20">
        <f>IF($Q352="","",INDEX(상세표[연속 시간],$Q352))</f>
        <v/>
      </c>
      <c r="J352">
        <f>IF($Q352="","",INDEX(상세표[기록 수],$Q352))</f>
        <v/>
      </c>
      <c r="K352" s="20">
        <f>IF($Q352="","",INDEX(상세표[블록 06~07시],$Q352))</f>
        <v/>
      </c>
      <c r="L352" s="20">
        <f>IF($Q352="","",INDEX(상세표[블록 07~18시],$Q352))</f>
        <v/>
      </c>
      <c r="M352" s="20">
        <f>IF($Q352="","",INDEX(상세표[블록 18~22시],$Q352))</f>
        <v/>
      </c>
      <c r="N352" s="20">
        <f>IF($Q352="","",INDEX(상세표[블록 22~06시],$Q352))</f>
        <v/>
      </c>
      <c r="O352">
        <f>IF($Q352="","",INDEX(상세표[주말·휴일 포함],$Q352)&amp;"")</f>
        <v/>
      </c>
      <c r="P352">
        <f>IF($Q352="","",INDEX(상세표[월 넘김 포함],$Q352)&amp;"")</f>
        <v/>
      </c>
      <c r="Q352" s="4">
        <f>IFERROR(MATCH(347,상세표[연속순번],0),"")</f>
        <v/>
      </c>
    </row>
    <row r="353">
      <c r="A353">
        <f>IF($Q353="","",INDEX(상세표[부서],$Q353)&amp;"")</f>
        <v/>
      </c>
      <c r="B353">
        <f>IF($Q353="","",INDEX(상세표[사번],$Q353)&amp;"")</f>
        <v/>
      </c>
      <c r="C353">
        <f>IF($Q353="","",INDEX(상세표[성명],$Q353)&amp;"")</f>
        <v/>
      </c>
      <c r="D353">
        <f>IF($Q353="","",INDEX(상세표[직위],$Q353)&amp;"")</f>
        <v/>
      </c>
      <c r="E353">
        <f>IF($Q353="","",IF(ISNUMBER(INDEX(상세표[근무일자],$Q353)),TEXT(INDEX(상세표[근무일자],$Q353),"yyyy-mm-dd"),INDEX(상세표[근무일자],$Q353)&amp;""))</f>
        <v/>
      </c>
      <c r="F353">
        <f>IF($Q353="","",IF(ISNUMBER(INDEX(상세표[시작],$Q353)),TEXT(INDEX(상세표[시작],$Q353),"yyyy-mm-dd hh:mm"),INDEX(상세표[시작],$Q353)&amp;""))</f>
        <v/>
      </c>
      <c r="G353">
        <f>IF($Q353="","",IF(ISNUMBER(INDEX(상세표[블록종료],$Q353)),TEXT(INDEX(상세표[블록종료],$Q353),"yyyy-mm-dd hh:mm"),INDEX(상세표[블록종료],$Q353)&amp;""))</f>
        <v/>
      </c>
      <c r="H353">
        <f>IF($Q353="","",CHOOSE(WEEKDAY(INDEX(상세표[시작],$Q353)),"일","월","화","수","목","금","토"))</f>
        <v/>
      </c>
      <c r="I353" s="20">
        <f>IF($Q353="","",INDEX(상세표[연속 시간],$Q353))</f>
        <v/>
      </c>
      <c r="J353">
        <f>IF($Q353="","",INDEX(상세표[기록 수],$Q353))</f>
        <v/>
      </c>
      <c r="K353" s="20">
        <f>IF($Q353="","",INDEX(상세표[블록 06~07시],$Q353))</f>
        <v/>
      </c>
      <c r="L353" s="20">
        <f>IF($Q353="","",INDEX(상세표[블록 07~18시],$Q353))</f>
        <v/>
      </c>
      <c r="M353" s="20">
        <f>IF($Q353="","",INDEX(상세표[블록 18~22시],$Q353))</f>
        <v/>
      </c>
      <c r="N353" s="20">
        <f>IF($Q353="","",INDEX(상세표[블록 22~06시],$Q353))</f>
        <v/>
      </c>
      <c r="O353">
        <f>IF($Q353="","",INDEX(상세표[주말·휴일 포함],$Q353)&amp;"")</f>
        <v/>
      </c>
      <c r="P353">
        <f>IF($Q353="","",INDEX(상세표[월 넘김 포함],$Q353)&amp;"")</f>
        <v/>
      </c>
      <c r="Q353" s="4">
        <f>IFERROR(MATCH(348,상세표[연속순번],0),"")</f>
        <v/>
      </c>
    </row>
    <row r="354">
      <c r="A354">
        <f>IF($Q354="","",INDEX(상세표[부서],$Q354)&amp;"")</f>
        <v/>
      </c>
      <c r="B354">
        <f>IF($Q354="","",INDEX(상세표[사번],$Q354)&amp;"")</f>
        <v/>
      </c>
      <c r="C354">
        <f>IF($Q354="","",INDEX(상세표[성명],$Q354)&amp;"")</f>
        <v/>
      </c>
      <c r="D354">
        <f>IF($Q354="","",INDEX(상세표[직위],$Q354)&amp;"")</f>
        <v/>
      </c>
      <c r="E354">
        <f>IF($Q354="","",IF(ISNUMBER(INDEX(상세표[근무일자],$Q354)),TEXT(INDEX(상세표[근무일자],$Q354),"yyyy-mm-dd"),INDEX(상세표[근무일자],$Q354)&amp;""))</f>
        <v/>
      </c>
      <c r="F354">
        <f>IF($Q354="","",IF(ISNUMBER(INDEX(상세표[시작],$Q354)),TEXT(INDEX(상세표[시작],$Q354),"yyyy-mm-dd hh:mm"),INDEX(상세표[시작],$Q354)&amp;""))</f>
        <v/>
      </c>
      <c r="G354">
        <f>IF($Q354="","",IF(ISNUMBER(INDEX(상세표[블록종료],$Q354)),TEXT(INDEX(상세표[블록종료],$Q354),"yyyy-mm-dd hh:mm"),INDEX(상세표[블록종료],$Q354)&amp;""))</f>
        <v/>
      </c>
      <c r="H354">
        <f>IF($Q354="","",CHOOSE(WEEKDAY(INDEX(상세표[시작],$Q354)),"일","월","화","수","목","금","토"))</f>
        <v/>
      </c>
      <c r="I354" s="20">
        <f>IF($Q354="","",INDEX(상세표[연속 시간],$Q354))</f>
        <v/>
      </c>
      <c r="J354">
        <f>IF($Q354="","",INDEX(상세표[기록 수],$Q354))</f>
        <v/>
      </c>
      <c r="K354" s="20">
        <f>IF($Q354="","",INDEX(상세표[블록 06~07시],$Q354))</f>
        <v/>
      </c>
      <c r="L354" s="20">
        <f>IF($Q354="","",INDEX(상세표[블록 07~18시],$Q354))</f>
        <v/>
      </c>
      <c r="M354" s="20">
        <f>IF($Q354="","",INDEX(상세표[블록 18~22시],$Q354))</f>
        <v/>
      </c>
      <c r="N354" s="20">
        <f>IF($Q354="","",INDEX(상세표[블록 22~06시],$Q354))</f>
        <v/>
      </c>
      <c r="O354">
        <f>IF($Q354="","",INDEX(상세표[주말·휴일 포함],$Q354)&amp;"")</f>
        <v/>
      </c>
      <c r="P354">
        <f>IF($Q354="","",INDEX(상세표[월 넘김 포함],$Q354)&amp;"")</f>
        <v/>
      </c>
      <c r="Q354" s="4">
        <f>IFERROR(MATCH(349,상세표[연속순번],0),"")</f>
        <v/>
      </c>
    </row>
    <row r="355">
      <c r="A355">
        <f>IF($Q355="","",INDEX(상세표[부서],$Q355)&amp;"")</f>
        <v/>
      </c>
      <c r="B355">
        <f>IF($Q355="","",INDEX(상세표[사번],$Q355)&amp;"")</f>
        <v/>
      </c>
      <c r="C355">
        <f>IF($Q355="","",INDEX(상세표[성명],$Q355)&amp;"")</f>
        <v/>
      </c>
      <c r="D355">
        <f>IF($Q355="","",INDEX(상세표[직위],$Q355)&amp;"")</f>
        <v/>
      </c>
      <c r="E355">
        <f>IF($Q355="","",IF(ISNUMBER(INDEX(상세표[근무일자],$Q355)),TEXT(INDEX(상세표[근무일자],$Q355),"yyyy-mm-dd"),INDEX(상세표[근무일자],$Q355)&amp;""))</f>
        <v/>
      </c>
      <c r="F355">
        <f>IF($Q355="","",IF(ISNUMBER(INDEX(상세표[시작],$Q355)),TEXT(INDEX(상세표[시작],$Q355),"yyyy-mm-dd hh:mm"),INDEX(상세표[시작],$Q355)&amp;""))</f>
        <v/>
      </c>
      <c r="G355">
        <f>IF($Q355="","",IF(ISNUMBER(INDEX(상세표[블록종료],$Q355)),TEXT(INDEX(상세표[블록종료],$Q355),"yyyy-mm-dd hh:mm"),INDEX(상세표[블록종료],$Q355)&amp;""))</f>
        <v/>
      </c>
      <c r="H355">
        <f>IF($Q355="","",CHOOSE(WEEKDAY(INDEX(상세표[시작],$Q355)),"일","월","화","수","목","금","토"))</f>
        <v/>
      </c>
      <c r="I355" s="20">
        <f>IF($Q355="","",INDEX(상세표[연속 시간],$Q355))</f>
        <v/>
      </c>
      <c r="J355">
        <f>IF($Q355="","",INDEX(상세표[기록 수],$Q355))</f>
        <v/>
      </c>
      <c r="K355" s="20">
        <f>IF($Q355="","",INDEX(상세표[블록 06~07시],$Q355))</f>
        <v/>
      </c>
      <c r="L355" s="20">
        <f>IF($Q355="","",INDEX(상세표[블록 07~18시],$Q355))</f>
        <v/>
      </c>
      <c r="M355" s="20">
        <f>IF($Q355="","",INDEX(상세표[블록 18~22시],$Q355))</f>
        <v/>
      </c>
      <c r="N355" s="20">
        <f>IF($Q355="","",INDEX(상세표[블록 22~06시],$Q355))</f>
        <v/>
      </c>
      <c r="O355">
        <f>IF($Q355="","",INDEX(상세표[주말·휴일 포함],$Q355)&amp;"")</f>
        <v/>
      </c>
      <c r="P355">
        <f>IF($Q355="","",INDEX(상세표[월 넘김 포함],$Q355)&amp;"")</f>
        <v/>
      </c>
      <c r="Q355" s="4">
        <f>IFERROR(MATCH(350,상세표[연속순번],0),"")</f>
        <v/>
      </c>
    </row>
    <row r="356">
      <c r="A356">
        <f>IF($Q356="","",INDEX(상세표[부서],$Q356)&amp;"")</f>
        <v/>
      </c>
      <c r="B356">
        <f>IF($Q356="","",INDEX(상세표[사번],$Q356)&amp;"")</f>
        <v/>
      </c>
      <c r="C356">
        <f>IF($Q356="","",INDEX(상세표[성명],$Q356)&amp;"")</f>
        <v/>
      </c>
      <c r="D356">
        <f>IF($Q356="","",INDEX(상세표[직위],$Q356)&amp;"")</f>
        <v/>
      </c>
      <c r="E356">
        <f>IF($Q356="","",IF(ISNUMBER(INDEX(상세표[근무일자],$Q356)),TEXT(INDEX(상세표[근무일자],$Q356),"yyyy-mm-dd"),INDEX(상세표[근무일자],$Q356)&amp;""))</f>
        <v/>
      </c>
      <c r="F356">
        <f>IF($Q356="","",IF(ISNUMBER(INDEX(상세표[시작],$Q356)),TEXT(INDEX(상세표[시작],$Q356),"yyyy-mm-dd hh:mm"),INDEX(상세표[시작],$Q356)&amp;""))</f>
        <v/>
      </c>
      <c r="G356">
        <f>IF($Q356="","",IF(ISNUMBER(INDEX(상세표[블록종료],$Q356)),TEXT(INDEX(상세표[블록종료],$Q356),"yyyy-mm-dd hh:mm"),INDEX(상세표[블록종료],$Q356)&amp;""))</f>
        <v/>
      </c>
      <c r="H356">
        <f>IF($Q356="","",CHOOSE(WEEKDAY(INDEX(상세표[시작],$Q356)),"일","월","화","수","목","금","토"))</f>
        <v/>
      </c>
      <c r="I356" s="20">
        <f>IF($Q356="","",INDEX(상세표[연속 시간],$Q356))</f>
        <v/>
      </c>
      <c r="J356">
        <f>IF($Q356="","",INDEX(상세표[기록 수],$Q356))</f>
        <v/>
      </c>
      <c r="K356" s="20">
        <f>IF($Q356="","",INDEX(상세표[블록 06~07시],$Q356))</f>
        <v/>
      </c>
      <c r="L356" s="20">
        <f>IF($Q356="","",INDEX(상세표[블록 07~18시],$Q356))</f>
        <v/>
      </c>
      <c r="M356" s="20">
        <f>IF($Q356="","",INDEX(상세표[블록 18~22시],$Q356))</f>
        <v/>
      </c>
      <c r="N356" s="20">
        <f>IF($Q356="","",INDEX(상세표[블록 22~06시],$Q356))</f>
        <v/>
      </c>
      <c r="O356">
        <f>IF($Q356="","",INDEX(상세표[주말·휴일 포함],$Q356)&amp;"")</f>
        <v/>
      </c>
      <c r="P356">
        <f>IF($Q356="","",INDEX(상세표[월 넘김 포함],$Q356)&amp;"")</f>
        <v/>
      </c>
      <c r="Q356" s="4">
        <f>IFERROR(MATCH(351,상세표[연속순번],0),"")</f>
        <v/>
      </c>
    </row>
    <row r="357">
      <c r="A357">
        <f>IF($Q357="","",INDEX(상세표[부서],$Q357)&amp;"")</f>
        <v/>
      </c>
      <c r="B357">
        <f>IF($Q357="","",INDEX(상세표[사번],$Q357)&amp;"")</f>
        <v/>
      </c>
      <c r="C357">
        <f>IF($Q357="","",INDEX(상세표[성명],$Q357)&amp;"")</f>
        <v/>
      </c>
      <c r="D357">
        <f>IF($Q357="","",INDEX(상세표[직위],$Q357)&amp;"")</f>
        <v/>
      </c>
      <c r="E357">
        <f>IF($Q357="","",IF(ISNUMBER(INDEX(상세표[근무일자],$Q357)),TEXT(INDEX(상세표[근무일자],$Q357),"yyyy-mm-dd"),INDEX(상세표[근무일자],$Q357)&amp;""))</f>
        <v/>
      </c>
      <c r="F357">
        <f>IF($Q357="","",IF(ISNUMBER(INDEX(상세표[시작],$Q357)),TEXT(INDEX(상세표[시작],$Q357),"yyyy-mm-dd hh:mm"),INDEX(상세표[시작],$Q357)&amp;""))</f>
        <v/>
      </c>
      <c r="G357">
        <f>IF($Q357="","",IF(ISNUMBER(INDEX(상세표[블록종료],$Q357)),TEXT(INDEX(상세표[블록종료],$Q357),"yyyy-mm-dd hh:mm"),INDEX(상세표[블록종료],$Q357)&amp;""))</f>
        <v/>
      </c>
      <c r="H357">
        <f>IF($Q357="","",CHOOSE(WEEKDAY(INDEX(상세표[시작],$Q357)),"일","월","화","수","목","금","토"))</f>
        <v/>
      </c>
      <c r="I357" s="20">
        <f>IF($Q357="","",INDEX(상세표[연속 시간],$Q357))</f>
        <v/>
      </c>
      <c r="J357">
        <f>IF($Q357="","",INDEX(상세표[기록 수],$Q357))</f>
        <v/>
      </c>
      <c r="K357" s="20">
        <f>IF($Q357="","",INDEX(상세표[블록 06~07시],$Q357))</f>
        <v/>
      </c>
      <c r="L357" s="20">
        <f>IF($Q357="","",INDEX(상세표[블록 07~18시],$Q357))</f>
        <v/>
      </c>
      <c r="M357" s="20">
        <f>IF($Q357="","",INDEX(상세표[블록 18~22시],$Q357))</f>
        <v/>
      </c>
      <c r="N357" s="20">
        <f>IF($Q357="","",INDEX(상세표[블록 22~06시],$Q357))</f>
        <v/>
      </c>
      <c r="O357">
        <f>IF($Q357="","",INDEX(상세표[주말·휴일 포함],$Q357)&amp;"")</f>
        <v/>
      </c>
      <c r="P357">
        <f>IF($Q357="","",INDEX(상세표[월 넘김 포함],$Q357)&amp;"")</f>
        <v/>
      </c>
      <c r="Q357" s="4">
        <f>IFERROR(MATCH(352,상세표[연속순번],0),"")</f>
        <v/>
      </c>
    </row>
    <row r="358">
      <c r="A358">
        <f>IF($Q358="","",INDEX(상세표[부서],$Q358)&amp;"")</f>
        <v/>
      </c>
      <c r="B358">
        <f>IF($Q358="","",INDEX(상세표[사번],$Q358)&amp;"")</f>
        <v/>
      </c>
      <c r="C358">
        <f>IF($Q358="","",INDEX(상세표[성명],$Q358)&amp;"")</f>
        <v/>
      </c>
      <c r="D358">
        <f>IF($Q358="","",INDEX(상세표[직위],$Q358)&amp;"")</f>
        <v/>
      </c>
      <c r="E358">
        <f>IF($Q358="","",IF(ISNUMBER(INDEX(상세표[근무일자],$Q358)),TEXT(INDEX(상세표[근무일자],$Q358),"yyyy-mm-dd"),INDEX(상세표[근무일자],$Q358)&amp;""))</f>
        <v/>
      </c>
      <c r="F358">
        <f>IF($Q358="","",IF(ISNUMBER(INDEX(상세표[시작],$Q358)),TEXT(INDEX(상세표[시작],$Q358),"yyyy-mm-dd hh:mm"),INDEX(상세표[시작],$Q358)&amp;""))</f>
        <v/>
      </c>
      <c r="G358">
        <f>IF($Q358="","",IF(ISNUMBER(INDEX(상세표[블록종료],$Q358)),TEXT(INDEX(상세표[블록종료],$Q358),"yyyy-mm-dd hh:mm"),INDEX(상세표[블록종료],$Q358)&amp;""))</f>
        <v/>
      </c>
      <c r="H358">
        <f>IF($Q358="","",CHOOSE(WEEKDAY(INDEX(상세표[시작],$Q358)),"일","월","화","수","목","금","토"))</f>
        <v/>
      </c>
      <c r="I358" s="20">
        <f>IF($Q358="","",INDEX(상세표[연속 시간],$Q358))</f>
        <v/>
      </c>
      <c r="J358">
        <f>IF($Q358="","",INDEX(상세표[기록 수],$Q358))</f>
        <v/>
      </c>
      <c r="K358" s="20">
        <f>IF($Q358="","",INDEX(상세표[블록 06~07시],$Q358))</f>
        <v/>
      </c>
      <c r="L358" s="20">
        <f>IF($Q358="","",INDEX(상세표[블록 07~18시],$Q358))</f>
        <v/>
      </c>
      <c r="M358" s="20">
        <f>IF($Q358="","",INDEX(상세표[블록 18~22시],$Q358))</f>
        <v/>
      </c>
      <c r="N358" s="20">
        <f>IF($Q358="","",INDEX(상세표[블록 22~06시],$Q358))</f>
        <v/>
      </c>
      <c r="O358">
        <f>IF($Q358="","",INDEX(상세표[주말·휴일 포함],$Q358)&amp;"")</f>
        <v/>
      </c>
      <c r="P358">
        <f>IF($Q358="","",INDEX(상세표[월 넘김 포함],$Q358)&amp;"")</f>
        <v/>
      </c>
      <c r="Q358" s="4">
        <f>IFERROR(MATCH(353,상세표[연속순번],0),"")</f>
        <v/>
      </c>
    </row>
    <row r="359">
      <c r="A359">
        <f>IF($Q359="","",INDEX(상세표[부서],$Q359)&amp;"")</f>
        <v/>
      </c>
      <c r="B359">
        <f>IF($Q359="","",INDEX(상세표[사번],$Q359)&amp;"")</f>
        <v/>
      </c>
      <c r="C359">
        <f>IF($Q359="","",INDEX(상세표[성명],$Q359)&amp;"")</f>
        <v/>
      </c>
      <c r="D359">
        <f>IF($Q359="","",INDEX(상세표[직위],$Q359)&amp;"")</f>
        <v/>
      </c>
      <c r="E359">
        <f>IF($Q359="","",IF(ISNUMBER(INDEX(상세표[근무일자],$Q359)),TEXT(INDEX(상세표[근무일자],$Q359),"yyyy-mm-dd"),INDEX(상세표[근무일자],$Q359)&amp;""))</f>
        <v/>
      </c>
      <c r="F359">
        <f>IF($Q359="","",IF(ISNUMBER(INDEX(상세표[시작],$Q359)),TEXT(INDEX(상세표[시작],$Q359),"yyyy-mm-dd hh:mm"),INDEX(상세표[시작],$Q359)&amp;""))</f>
        <v/>
      </c>
      <c r="G359">
        <f>IF($Q359="","",IF(ISNUMBER(INDEX(상세표[블록종료],$Q359)),TEXT(INDEX(상세표[블록종료],$Q359),"yyyy-mm-dd hh:mm"),INDEX(상세표[블록종료],$Q359)&amp;""))</f>
        <v/>
      </c>
      <c r="H359">
        <f>IF($Q359="","",CHOOSE(WEEKDAY(INDEX(상세표[시작],$Q359)),"일","월","화","수","목","금","토"))</f>
        <v/>
      </c>
      <c r="I359" s="20">
        <f>IF($Q359="","",INDEX(상세표[연속 시간],$Q359))</f>
        <v/>
      </c>
      <c r="J359">
        <f>IF($Q359="","",INDEX(상세표[기록 수],$Q359))</f>
        <v/>
      </c>
      <c r="K359" s="20">
        <f>IF($Q359="","",INDEX(상세표[블록 06~07시],$Q359))</f>
        <v/>
      </c>
      <c r="L359" s="20">
        <f>IF($Q359="","",INDEX(상세표[블록 07~18시],$Q359))</f>
        <v/>
      </c>
      <c r="M359" s="20">
        <f>IF($Q359="","",INDEX(상세표[블록 18~22시],$Q359))</f>
        <v/>
      </c>
      <c r="N359" s="20">
        <f>IF($Q359="","",INDEX(상세표[블록 22~06시],$Q359))</f>
        <v/>
      </c>
      <c r="O359">
        <f>IF($Q359="","",INDEX(상세표[주말·휴일 포함],$Q359)&amp;"")</f>
        <v/>
      </c>
      <c r="P359">
        <f>IF($Q359="","",INDEX(상세표[월 넘김 포함],$Q359)&amp;"")</f>
        <v/>
      </c>
      <c r="Q359" s="4">
        <f>IFERROR(MATCH(354,상세표[연속순번],0),"")</f>
        <v/>
      </c>
    </row>
    <row r="360">
      <c r="A360">
        <f>IF($Q360="","",INDEX(상세표[부서],$Q360)&amp;"")</f>
        <v/>
      </c>
      <c r="B360">
        <f>IF($Q360="","",INDEX(상세표[사번],$Q360)&amp;"")</f>
        <v/>
      </c>
      <c r="C360">
        <f>IF($Q360="","",INDEX(상세표[성명],$Q360)&amp;"")</f>
        <v/>
      </c>
      <c r="D360">
        <f>IF($Q360="","",INDEX(상세표[직위],$Q360)&amp;"")</f>
        <v/>
      </c>
      <c r="E360">
        <f>IF($Q360="","",IF(ISNUMBER(INDEX(상세표[근무일자],$Q360)),TEXT(INDEX(상세표[근무일자],$Q360),"yyyy-mm-dd"),INDEX(상세표[근무일자],$Q360)&amp;""))</f>
        <v/>
      </c>
      <c r="F360">
        <f>IF($Q360="","",IF(ISNUMBER(INDEX(상세표[시작],$Q360)),TEXT(INDEX(상세표[시작],$Q360),"yyyy-mm-dd hh:mm"),INDEX(상세표[시작],$Q360)&amp;""))</f>
        <v/>
      </c>
      <c r="G360">
        <f>IF($Q360="","",IF(ISNUMBER(INDEX(상세표[블록종료],$Q360)),TEXT(INDEX(상세표[블록종료],$Q360),"yyyy-mm-dd hh:mm"),INDEX(상세표[블록종료],$Q360)&amp;""))</f>
        <v/>
      </c>
      <c r="H360">
        <f>IF($Q360="","",CHOOSE(WEEKDAY(INDEX(상세표[시작],$Q360)),"일","월","화","수","목","금","토"))</f>
        <v/>
      </c>
      <c r="I360" s="20">
        <f>IF($Q360="","",INDEX(상세표[연속 시간],$Q360))</f>
        <v/>
      </c>
      <c r="J360">
        <f>IF($Q360="","",INDEX(상세표[기록 수],$Q360))</f>
        <v/>
      </c>
      <c r="K360" s="20">
        <f>IF($Q360="","",INDEX(상세표[블록 06~07시],$Q360))</f>
        <v/>
      </c>
      <c r="L360" s="20">
        <f>IF($Q360="","",INDEX(상세표[블록 07~18시],$Q360))</f>
        <v/>
      </c>
      <c r="M360" s="20">
        <f>IF($Q360="","",INDEX(상세표[블록 18~22시],$Q360))</f>
        <v/>
      </c>
      <c r="N360" s="20">
        <f>IF($Q360="","",INDEX(상세표[블록 22~06시],$Q360))</f>
        <v/>
      </c>
      <c r="O360">
        <f>IF($Q360="","",INDEX(상세표[주말·휴일 포함],$Q360)&amp;"")</f>
        <v/>
      </c>
      <c r="P360">
        <f>IF($Q360="","",INDEX(상세표[월 넘김 포함],$Q360)&amp;"")</f>
        <v/>
      </c>
      <c r="Q360" s="4">
        <f>IFERROR(MATCH(355,상세표[연속순번],0),"")</f>
        <v/>
      </c>
    </row>
    <row r="361">
      <c r="A361">
        <f>IF($Q361="","",INDEX(상세표[부서],$Q361)&amp;"")</f>
        <v/>
      </c>
      <c r="B361">
        <f>IF($Q361="","",INDEX(상세표[사번],$Q361)&amp;"")</f>
        <v/>
      </c>
      <c r="C361">
        <f>IF($Q361="","",INDEX(상세표[성명],$Q361)&amp;"")</f>
        <v/>
      </c>
      <c r="D361">
        <f>IF($Q361="","",INDEX(상세표[직위],$Q361)&amp;"")</f>
        <v/>
      </c>
      <c r="E361">
        <f>IF($Q361="","",IF(ISNUMBER(INDEX(상세표[근무일자],$Q361)),TEXT(INDEX(상세표[근무일자],$Q361),"yyyy-mm-dd"),INDEX(상세표[근무일자],$Q361)&amp;""))</f>
        <v/>
      </c>
      <c r="F361">
        <f>IF($Q361="","",IF(ISNUMBER(INDEX(상세표[시작],$Q361)),TEXT(INDEX(상세표[시작],$Q361),"yyyy-mm-dd hh:mm"),INDEX(상세표[시작],$Q361)&amp;""))</f>
        <v/>
      </c>
      <c r="G361">
        <f>IF($Q361="","",IF(ISNUMBER(INDEX(상세표[블록종료],$Q361)),TEXT(INDEX(상세표[블록종료],$Q361),"yyyy-mm-dd hh:mm"),INDEX(상세표[블록종료],$Q361)&amp;""))</f>
        <v/>
      </c>
      <c r="H361">
        <f>IF($Q361="","",CHOOSE(WEEKDAY(INDEX(상세표[시작],$Q361)),"일","월","화","수","목","금","토"))</f>
        <v/>
      </c>
      <c r="I361" s="20">
        <f>IF($Q361="","",INDEX(상세표[연속 시간],$Q361))</f>
        <v/>
      </c>
      <c r="J361">
        <f>IF($Q361="","",INDEX(상세표[기록 수],$Q361))</f>
        <v/>
      </c>
      <c r="K361" s="20">
        <f>IF($Q361="","",INDEX(상세표[블록 06~07시],$Q361))</f>
        <v/>
      </c>
      <c r="L361" s="20">
        <f>IF($Q361="","",INDEX(상세표[블록 07~18시],$Q361))</f>
        <v/>
      </c>
      <c r="M361" s="20">
        <f>IF($Q361="","",INDEX(상세표[블록 18~22시],$Q361))</f>
        <v/>
      </c>
      <c r="N361" s="20">
        <f>IF($Q361="","",INDEX(상세표[블록 22~06시],$Q361))</f>
        <v/>
      </c>
      <c r="O361">
        <f>IF($Q361="","",INDEX(상세표[주말·휴일 포함],$Q361)&amp;"")</f>
        <v/>
      </c>
      <c r="P361">
        <f>IF($Q361="","",INDEX(상세표[월 넘김 포함],$Q361)&amp;"")</f>
        <v/>
      </c>
      <c r="Q361" s="4">
        <f>IFERROR(MATCH(356,상세표[연속순번],0),"")</f>
        <v/>
      </c>
    </row>
    <row r="362">
      <c r="A362">
        <f>IF($Q362="","",INDEX(상세표[부서],$Q362)&amp;"")</f>
        <v/>
      </c>
      <c r="B362">
        <f>IF($Q362="","",INDEX(상세표[사번],$Q362)&amp;"")</f>
        <v/>
      </c>
      <c r="C362">
        <f>IF($Q362="","",INDEX(상세표[성명],$Q362)&amp;"")</f>
        <v/>
      </c>
      <c r="D362">
        <f>IF($Q362="","",INDEX(상세표[직위],$Q362)&amp;"")</f>
        <v/>
      </c>
      <c r="E362">
        <f>IF($Q362="","",IF(ISNUMBER(INDEX(상세표[근무일자],$Q362)),TEXT(INDEX(상세표[근무일자],$Q362),"yyyy-mm-dd"),INDEX(상세표[근무일자],$Q362)&amp;""))</f>
        <v/>
      </c>
      <c r="F362">
        <f>IF($Q362="","",IF(ISNUMBER(INDEX(상세표[시작],$Q362)),TEXT(INDEX(상세표[시작],$Q362),"yyyy-mm-dd hh:mm"),INDEX(상세표[시작],$Q362)&amp;""))</f>
        <v/>
      </c>
      <c r="G362">
        <f>IF($Q362="","",IF(ISNUMBER(INDEX(상세표[블록종료],$Q362)),TEXT(INDEX(상세표[블록종료],$Q362),"yyyy-mm-dd hh:mm"),INDEX(상세표[블록종료],$Q362)&amp;""))</f>
        <v/>
      </c>
      <c r="H362">
        <f>IF($Q362="","",CHOOSE(WEEKDAY(INDEX(상세표[시작],$Q362)),"일","월","화","수","목","금","토"))</f>
        <v/>
      </c>
      <c r="I362" s="20">
        <f>IF($Q362="","",INDEX(상세표[연속 시간],$Q362))</f>
        <v/>
      </c>
      <c r="J362">
        <f>IF($Q362="","",INDEX(상세표[기록 수],$Q362))</f>
        <v/>
      </c>
      <c r="K362" s="20">
        <f>IF($Q362="","",INDEX(상세표[블록 06~07시],$Q362))</f>
        <v/>
      </c>
      <c r="L362" s="20">
        <f>IF($Q362="","",INDEX(상세표[블록 07~18시],$Q362))</f>
        <v/>
      </c>
      <c r="M362" s="20">
        <f>IF($Q362="","",INDEX(상세표[블록 18~22시],$Q362))</f>
        <v/>
      </c>
      <c r="N362" s="20">
        <f>IF($Q362="","",INDEX(상세표[블록 22~06시],$Q362))</f>
        <v/>
      </c>
      <c r="O362">
        <f>IF($Q362="","",INDEX(상세표[주말·휴일 포함],$Q362)&amp;"")</f>
        <v/>
      </c>
      <c r="P362">
        <f>IF($Q362="","",INDEX(상세표[월 넘김 포함],$Q362)&amp;"")</f>
        <v/>
      </c>
      <c r="Q362" s="4">
        <f>IFERROR(MATCH(357,상세표[연속순번],0),"")</f>
        <v/>
      </c>
    </row>
    <row r="363">
      <c r="A363">
        <f>IF($Q363="","",INDEX(상세표[부서],$Q363)&amp;"")</f>
        <v/>
      </c>
      <c r="B363">
        <f>IF($Q363="","",INDEX(상세표[사번],$Q363)&amp;"")</f>
        <v/>
      </c>
      <c r="C363">
        <f>IF($Q363="","",INDEX(상세표[성명],$Q363)&amp;"")</f>
        <v/>
      </c>
      <c r="D363">
        <f>IF($Q363="","",INDEX(상세표[직위],$Q363)&amp;"")</f>
        <v/>
      </c>
      <c r="E363">
        <f>IF($Q363="","",IF(ISNUMBER(INDEX(상세표[근무일자],$Q363)),TEXT(INDEX(상세표[근무일자],$Q363),"yyyy-mm-dd"),INDEX(상세표[근무일자],$Q363)&amp;""))</f>
        <v/>
      </c>
      <c r="F363">
        <f>IF($Q363="","",IF(ISNUMBER(INDEX(상세표[시작],$Q363)),TEXT(INDEX(상세표[시작],$Q363),"yyyy-mm-dd hh:mm"),INDEX(상세표[시작],$Q363)&amp;""))</f>
        <v/>
      </c>
      <c r="G363">
        <f>IF($Q363="","",IF(ISNUMBER(INDEX(상세표[블록종료],$Q363)),TEXT(INDEX(상세표[블록종료],$Q363),"yyyy-mm-dd hh:mm"),INDEX(상세표[블록종료],$Q363)&amp;""))</f>
        <v/>
      </c>
      <c r="H363">
        <f>IF($Q363="","",CHOOSE(WEEKDAY(INDEX(상세표[시작],$Q363)),"일","월","화","수","목","금","토"))</f>
        <v/>
      </c>
      <c r="I363" s="20">
        <f>IF($Q363="","",INDEX(상세표[연속 시간],$Q363))</f>
        <v/>
      </c>
      <c r="J363">
        <f>IF($Q363="","",INDEX(상세표[기록 수],$Q363))</f>
        <v/>
      </c>
      <c r="K363" s="20">
        <f>IF($Q363="","",INDEX(상세표[블록 06~07시],$Q363))</f>
        <v/>
      </c>
      <c r="L363" s="20">
        <f>IF($Q363="","",INDEX(상세표[블록 07~18시],$Q363))</f>
        <v/>
      </c>
      <c r="M363" s="20">
        <f>IF($Q363="","",INDEX(상세표[블록 18~22시],$Q363))</f>
        <v/>
      </c>
      <c r="N363" s="20">
        <f>IF($Q363="","",INDEX(상세표[블록 22~06시],$Q363))</f>
        <v/>
      </c>
      <c r="O363">
        <f>IF($Q363="","",INDEX(상세표[주말·휴일 포함],$Q363)&amp;"")</f>
        <v/>
      </c>
      <c r="P363">
        <f>IF($Q363="","",INDEX(상세표[월 넘김 포함],$Q363)&amp;"")</f>
        <v/>
      </c>
      <c r="Q363" s="4">
        <f>IFERROR(MATCH(358,상세표[연속순번],0),"")</f>
        <v/>
      </c>
    </row>
    <row r="364">
      <c r="A364">
        <f>IF($Q364="","",INDEX(상세표[부서],$Q364)&amp;"")</f>
        <v/>
      </c>
      <c r="B364">
        <f>IF($Q364="","",INDEX(상세표[사번],$Q364)&amp;"")</f>
        <v/>
      </c>
      <c r="C364">
        <f>IF($Q364="","",INDEX(상세표[성명],$Q364)&amp;"")</f>
        <v/>
      </c>
      <c r="D364">
        <f>IF($Q364="","",INDEX(상세표[직위],$Q364)&amp;"")</f>
        <v/>
      </c>
      <c r="E364">
        <f>IF($Q364="","",IF(ISNUMBER(INDEX(상세표[근무일자],$Q364)),TEXT(INDEX(상세표[근무일자],$Q364),"yyyy-mm-dd"),INDEX(상세표[근무일자],$Q364)&amp;""))</f>
        <v/>
      </c>
      <c r="F364">
        <f>IF($Q364="","",IF(ISNUMBER(INDEX(상세표[시작],$Q364)),TEXT(INDEX(상세표[시작],$Q364),"yyyy-mm-dd hh:mm"),INDEX(상세표[시작],$Q364)&amp;""))</f>
        <v/>
      </c>
      <c r="G364">
        <f>IF($Q364="","",IF(ISNUMBER(INDEX(상세표[블록종료],$Q364)),TEXT(INDEX(상세표[블록종료],$Q364),"yyyy-mm-dd hh:mm"),INDEX(상세표[블록종료],$Q364)&amp;""))</f>
        <v/>
      </c>
      <c r="H364">
        <f>IF($Q364="","",CHOOSE(WEEKDAY(INDEX(상세표[시작],$Q364)),"일","월","화","수","목","금","토"))</f>
        <v/>
      </c>
      <c r="I364" s="20">
        <f>IF($Q364="","",INDEX(상세표[연속 시간],$Q364))</f>
        <v/>
      </c>
      <c r="J364">
        <f>IF($Q364="","",INDEX(상세표[기록 수],$Q364))</f>
        <v/>
      </c>
      <c r="K364" s="20">
        <f>IF($Q364="","",INDEX(상세표[블록 06~07시],$Q364))</f>
        <v/>
      </c>
      <c r="L364" s="20">
        <f>IF($Q364="","",INDEX(상세표[블록 07~18시],$Q364))</f>
        <v/>
      </c>
      <c r="M364" s="20">
        <f>IF($Q364="","",INDEX(상세표[블록 18~22시],$Q364))</f>
        <v/>
      </c>
      <c r="N364" s="20">
        <f>IF($Q364="","",INDEX(상세표[블록 22~06시],$Q364))</f>
        <v/>
      </c>
      <c r="O364">
        <f>IF($Q364="","",INDEX(상세표[주말·휴일 포함],$Q364)&amp;"")</f>
        <v/>
      </c>
      <c r="P364">
        <f>IF($Q364="","",INDEX(상세표[월 넘김 포함],$Q364)&amp;"")</f>
        <v/>
      </c>
      <c r="Q364" s="4">
        <f>IFERROR(MATCH(359,상세표[연속순번],0),"")</f>
        <v/>
      </c>
    </row>
    <row r="365">
      <c r="A365">
        <f>IF($Q365="","",INDEX(상세표[부서],$Q365)&amp;"")</f>
        <v/>
      </c>
      <c r="B365">
        <f>IF($Q365="","",INDEX(상세표[사번],$Q365)&amp;"")</f>
        <v/>
      </c>
      <c r="C365">
        <f>IF($Q365="","",INDEX(상세표[성명],$Q365)&amp;"")</f>
        <v/>
      </c>
      <c r="D365">
        <f>IF($Q365="","",INDEX(상세표[직위],$Q365)&amp;"")</f>
        <v/>
      </c>
      <c r="E365">
        <f>IF($Q365="","",IF(ISNUMBER(INDEX(상세표[근무일자],$Q365)),TEXT(INDEX(상세표[근무일자],$Q365),"yyyy-mm-dd"),INDEX(상세표[근무일자],$Q365)&amp;""))</f>
        <v/>
      </c>
      <c r="F365">
        <f>IF($Q365="","",IF(ISNUMBER(INDEX(상세표[시작],$Q365)),TEXT(INDEX(상세표[시작],$Q365),"yyyy-mm-dd hh:mm"),INDEX(상세표[시작],$Q365)&amp;""))</f>
        <v/>
      </c>
      <c r="G365">
        <f>IF($Q365="","",IF(ISNUMBER(INDEX(상세표[블록종료],$Q365)),TEXT(INDEX(상세표[블록종료],$Q365),"yyyy-mm-dd hh:mm"),INDEX(상세표[블록종료],$Q365)&amp;""))</f>
        <v/>
      </c>
      <c r="H365">
        <f>IF($Q365="","",CHOOSE(WEEKDAY(INDEX(상세표[시작],$Q365)),"일","월","화","수","목","금","토"))</f>
        <v/>
      </c>
      <c r="I365" s="20">
        <f>IF($Q365="","",INDEX(상세표[연속 시간],$Q365))</f>
        <v/>
      </c>
      <c r="J365">
        <f>IF($Q365="","",INDEX(상세표[기록 수],$Q365))</f>
        <v/>
      </c>
      <c r="K365" s="20">
        <f>IF($Q365="","",INDEX(상세표[블록 06~07시],$Q365))</f>
        <v/>
      </c>
      <c r="L365" s="20">
        <f>IF($Q365="","",INDEX(상세표[블록 07~18시],$Q365))</f>
        <v/>
      </c>
      <c r="M365" s="20">
        <f>IF($Q365="","",INDEX(상세표[블록 18~22시],$Q365))</f>
        <v/>
      </c>
      <c r="N365" s="20">
        <f>IF($Q365="","",INDEX(상세표[블록 22~06시],$Q365))</f>
        <v/>
      </c>
      <c r="O365">
        <f>IF($Q365="","",INDEX(상세표[주말·휴일 포함],$Q365)&amp;"")</f>
        <v/>
      </c>
      <c r="P365">
        <f>IF($Q365="","",INDEX(상세표[월 넘김 포함],$Q365)&amp;"")</f>
        <v/>
      </c>
      <c r="Q365" s="4">
        <f>IFERROR(MATCH(360,상세표[연속순번],0),"")</f>
        <v/>
      </c>
    </row>
    <row r="366">
      <c r="A366">
        <f>IF($Q366="","",INDEX(상세표[부서],$Q366)&amp;"")</f>
        <v/>
      </c>
      <c r="B366">
        <f>IF($Q366="","",INDEX(상세표[사번],$Q366)&amp;"")</f>
        <v/>
      </c>
      <c r="C366">
        <f>IF($Q366="","",INDEX(상세표[성명],$Q366)&amp;"")</f>
        <v/>
      </c>
      <c r="D366">
        <f>IF($Q366="","",INDEX(상세표[직위],$Q366)&amp;"")</f>
        <v/>
      </c>
      <c r="E366">
        <f>IF($Q366="","",IF(ISNUMBER(INDEX(상세표[근무일자],$Q366)),TEXT(INDEX(상세표[근무일자],$Q366),"yyyy-mm-dd"),INDEX(상세표[근무일자],$Q366)&amp;""))</f>
        <v/>
      </c>
      <c r="F366">
        <f>IF($Q366="","",IF(ISNUMBER(INDEX(상세표[시작],$Q366)),TEXT(INDEX(상세표[시작],$Q366),"yyyy-mm-dd hh:mm"),INDEX(상세표[시작],$Q366)&amp;""))</f>
        <v/>
      </c>
      <c r="G366">
        <f>IF($Q366="","",IF(ISNUMBER(INDEX(상세표[블록종료],$Q366)),TEXT(INDEX(상세표[블록종료],$Q366),"yyyy-mm-dd hh:mm"),INDEX(상세표[블록종료],$Q366)&amp;""))</f>
        <v/>
      </c>
      <c r="H366">
        <f>IF($Q366="","",CHOOSE(WEEKDAY(INDEX(상세표[시작],$Q366)),"일","월","화","수","목","금","토"))</f>
        <v/>
      </c>
      <c r="I366" s="20">
        <f>IF($Q366="","",INDEX(상세표[연속 시간],$Q366))</f>
        <v/>
      </c>
      <c r="J366">
        <f>IF($Q366="","",INDEX(상세표[기록 수],$Q366))</f>
        <v/>
      </c>
      <c r="K366" s="20">
        <f>IF($Q366="","",INDEX(상세표[블록 06~07시],$Q366))</f>
        <v/>
      </c>
      <c r="L366" s="20">
        <f>IF($Q366="","",INDEX(상세표[블록 07~18시],$Q366))</f>
        <v/>
      </c>
      <c r="M366" s="20">
        <f>IF($Q366="","",INDEX(상세표[블록 18~22시],$Q366))</f>
        <v/>
      </c>
      <c r="N366" s="20">
        <f>IF($Q366="","",INDEX(상세표[블록 22~06시],$Q366))</f>
        <v/>
      </c>
      <c r="O366">
        <f>IF($Q366="","",INDEX(상세표[주말·휴일 포함],$Q366)&amp;"")</f>
        <v/>
      </c>
      <c r="P366">
        <f>IF($Q366="","",INDEX(상세표[월 넘김 포함],$Q366)&amp;"")</f>
        <v/>
      </c>
      <c r="Q366" s="4">
        <f>IFERROR(MATCH(361,상세표[연속순번],0),"")</f>
        <v/>
      </c>
    </row>
    <row r="367">
      <c r="A367">
        <f>IF($Q367="","",INDEX(상세표[부서],$Q367)&amp;"")</f>
        <v/>
      </c>
      <c r="B367">
        <f>IF($Q367="","",INDEX(상세표[사번],$Q367)&amp;"")</f>
        <v/>
      </c>
      <c r="C367">
        <f>IF($Q367="","",INDEX(상세표[성명],$Q367)&amp;"")</f>
        <v/>
      </c>
      <c r="D367">
        <f>IF($Q367="","",INDEX(상세표[직위],$Q367)&amp;"")</f>
        <v/>
      </c>
      <c r="E367">
        <f>IF($Q367="","",IF(ISNUMBER(INDEX(상세표[근무일자],$Q367)),TEXT(INDEX(상세표[근무일자],$Q367),"yyyy-mm-dd"),INDEX(상세표[근무일자],$Q367)&amp;""))</f>
        <v/>
      </c>
      <c r="F367">
        <f>IF($Q367="","",IF(ISNUMBER(INDEX(상세표[시작],$Q367)),TEXT(INDEX(상세표[시작],$Q367),"yyyy-mm-dd hh:mm"),INDEX(상세표[시작],$Q367)&amp;""))</f>
        <v/>
      </c>
      <c r="G367">
        <f>IF($Q367="","",IF(ISNUMBER(INDEX(상세표[블록종료],$Q367)),TEXT(INDEX(상세표[블록종료],$Q367),"yyyy-mm-dd hh:mm"),INDEX(상세표[블록종료],$Q367)&amp;""))</f>
        <v/>
      </c>
      <c r="H367">
        <f>IF($Q367="","",CHOOSE(WEEKDAY(INDEX(상세표[시작],$Q367)),"일","월","화","수","목","금","토"))</f>
        <v/>
      </c>
      <c r="I367" s="20">
        <f>IF($Q367="","",INDEX(상세표[연속 시간],$Q367))</f>
        <v/>
      </c>
      <c r="J367">
        <f>IF($Q367="","",INDEX(상세표[기록 수],$Q367))</f>
        <v/>
      </c>
      <c r="K367" s="20">
        <f>IF($Q367="","",INDEX(상세표[블록 06~07시],$Q367))</f>
        <v/>
      </c>
      <c r="L367" s="20">
        <f>IF($Q367="","",INDEX(상세표[블록 07~18시],$Q367))</f>
        <v/>
      </c>
      <c r="M367" s="20">
        <f>IF($Q367="","",INDEX(상세표[블록 18~22시],$Q367))</f>
        <v/>
      </c>
      <c r="N367" s="20">
        <f>IF($Q367="","",INDEX(상세표[블록 22~06시],$Q367))</f>
        <v/>
      </c>
      <c r="O367">
        <f>IF($Q367="","",INDEX(상세표[주말·휴일 포함],$Q367)&amp;"")</f>
        <v/>
      </c>
      <c r="P367">
        <f>IF($Q367="","",INDEX(상세표[월 넘김 포함],$Q367)&amp;"")</f>
        <v/>
      </c>
      <c r="Q367" s="4">
        <f>IFERROR(MATCH(362,상세표[연속순번],0),"")</f>
        <v/>
      </c>
    </row>
    <row r="368">
      <c r="A368">
        <f>IF($Q368="","",INDEX(상세표[부서],$Q368)&amp;"")</f>
        <v/>
      </c>
      <c r="B368">
        <f>IF($Q368="","",INDEX(상세표[사번],$Q368)&amp;"")</f>
        <v/>
      </c>
      <c r="C368">
        <f>IF($Q368="","",INDEX(상세표[성명],$Q368)&amp;"")</f>
        <v/>
      </c>
      <c r="D368">
        <f>IF($Q368="","",INDEX(상세표[직위],$Q368)&amp;"")</f>
        <v/>
      </c>
      <c r="E368">
        <f>IF($Q368="","",IF(ISNUMBER(INDEX(상세표[근무일자],$Q368)),TEXT(INDEX(상세표[근무일자],$Q368),"yyyy-mm-dd"),INDEX(상세표[근무일자],$Q368)&amp;""))</f>
        <v/>
      </c>
      <c r="F368">
        <f>IF($Q368="","",IF(ISNUMBER(INDEX(상세표[시작],$Q368)),TEXT(INDEX(상세표[시작],$Q368),"yyyy-mm-dd hh:mm"),INDEX(상세표[시작],$Q368)&amp;""))</f>
        <v/>
      </c>
      <c r="G368">
        <f>IF($Q368="","",IF(ISNUMBER(INDEX(상세표[블록종료],$Q368)),TEXT(INDEX(상세표[블록종료],$Q368),"yyyy-mm-dd hh:mm"),INDEX(상세표[블록종료],$Q368)&amp;""))</f>
        <v/>
      </c>
      <c r="H368">
        <f>IF($Q368="","",CHOOSE(WEEKDAY(INDEX(상세표[시작],$Q368)),"일","월","화","수","목","금","토"))</f>
        <v/>
      </c>
      <c r="I368" s="20">
        <f>IF($Q368="","",INDEX(상세표[연속 시간],$Q368))</f>
        <v/>
      </c>
      <c r="J368">
        <f>IF($Q368="","",INDEX(상세표[기록 수],$Q368))</f>
        <v/>
      </c>
      <c r="K368" s="20">
        <f>IF($Q368="","",INDEX(상세표[블록 06~07시],$Q368))</f>
        <v/>
      </c>
      <c r="L368" s="20">
        <f>IF($Q368="","",INDEX(상세표[블록 07~18시],$Q368))</f>
        <v/>
      </c>
      <c r="M368" s="20">
        <f>IF($Q368="","",INDEX(상세표[블록 18~22시],$Q368))</f>
        <v/>
      </c>
      <c r="N368" s="20">
        <f>IF($Q368="","",INDEX(상세표[블록 22~06시],$Q368))</f>
        <v/>
      </c>
      <c r="O368">
        <f>IF($Q368="","",INDEX(상세표[주말·휴일 포함],$Q368)&amp;"")</f>
        <v/>
      </c>
      <c r="P368">
        <f>IF($Q368="","",INDEX(상세표[월 넘김 포함],$Q368)&amp;"")</f>
        <v/>
      </c>
      <c r="Q368" s="4">
        <f>IFERROR(MATCH(363,상세표[연속순번],0),"")</f>
        <v/>
      </c>
    </row>
    <row r="369">
      <c r="A369">
        <f>IF($Q369="","",INDEX(상세표[부서],$Q369)&amp;"")</f>
        <v/>
      </c>
      <c r="B369">
        <f>IF($Q369="","",INDEX(상세표[사번],$Q369)&amp;"")</f>
        <v/>
      </c>
      <c r="C369">
        <f>IF($Q369="","",INDEX(상세표[성명],$Q369)&amp;"")</f>
        <v/>
      </c>
      <c r="D369">
        <f>IF($Q369="","",INDEX(상세표[직위],$Q369)&amp;"")</f>
        <v/>
      </c>
      <c r="E369">
        <f>IF($Q369="","",IF(ISNUMBER(INDEX(상세표[근무일자],$Q369)),TEXT(INDEX(상세표[근무일자],$Q369),"yyyy-mm-dd"),INDEX(상세표[근무일자],$Q369)&amp;""))</f>
        <v/>
      </c>
      <c r="F369">
        <f>IF($Q369="","",IF(ISNUMBER(INDEX(상세표[시작],$Q369)),TEXT(INDEX(상세표[시작],$Q369),"yyyy-mm-dd hh:mm"),INDEX(상세표[시작],$Q369)&amp;""))</f>
        <v/>
      </c>
      <c r="G369">
        <f>IF($Q369="","",IF(ISNUMBER(INDEX(상세표[블록종료],$Q369)),TEXT(INDEX(상세표[블록종료],$Q369),"yyyy-mm-dd hh:mm"),INDEX(상세표[블록종료],$Q369)&amp;""))</f>
        <v/>
      </c>
      <c r="H369">
        <f>IF($Q369="","",CHOOSE(WEEKDAY(INDEX(상세표[시작],$Q369)),"일","월","화","수","목","금","토"))</f>
        <v/>
      </c>
      <c r="I369" s="20">
        <f>IF($Q369="","",INDEX(상세표[연속 시간],$Q369))</f>
        <v/>
      </c>
      <c r="J369">
        <f>IF($Q369="","",INDEX(상세표[기록 수],$Q369))</f>
        <v/>
      </c>
      <c r="K369" s="20">
        <f>IF($Q369="","",INDEX(상세표[블록 06~07시],$Q369))</f>
        <v/>
      </c>
      <c r="L369" s="20">
        <f>IF($Q369="","",INDEX(상세표[블록 07~18시],$Q369))</f>
        <v/>
      </c>
      <c r="M369" s="20">
        <f>IF($Q369="","",INDEX(상세표[블록 18~22시],$Q369))</f>
        <v/>
      </c>
      <c r="N369" s="20">
        <f>IF($Q369="","",INDEX(상세표[블록 22~06시],$Q369))</f>
        <v/>
      </c>
      <c r="O369">
        <f>IF($Q369="","",INDEX(상세표[주말·휴일 포함],$Q369)&amp;"")</f>
        <v/>
      </c>
      <c r="P369">
        <f>IF($Q369="","",INDEX(상세표[월 넘김 포함],$Q369)&amp;"")</f>
        <v/>
      </c>
      <c r="Q369" s="4">
        <f>IFERROR(MATCH(364,상세표[연속순번],0),"")</f>
        <v/>
      </c>
    </row>
    <row r="370">
      <c r="A370">
        <f>IF($Q370="","",INDEX(상세표[부서],$Q370)&amp;"")</f>
        <v/>
      </c>
      <c r="B370">
        <f>IF($Q370="","",INDEX(상세표[사번],$Q370)&amp;"")</f>
        <v/>
      </c>
      <c r="C370">
        <f>IF($Q370="","",INDEX(상세표[성명],$Q370)&amp;"")</f>
        <v/>
      </c>
      <c r="D370">
        <f>IF($Q370="","",INDEX(상세표[직위],$Q370)&amp;"")</f>
        <v/>
      </c>
      <c r="E370">
        <f>IF($Q370="","",IF(ISNUMBER(INDEX(상세표[근무일자],$Q370)),TEXT(INDEX(상세표[근무일자],$Q370),"yyyy-mm-dd"),INDEX(상세표[근무일자],$Q370)&amp;""))</f>
        <v/>
      </c>
      <c r="F370">
        <f>IF($Q370="","",IF(ISNUMBER(INDEX(상세표[시작],$Q370)),TEXT(INDEX(상세표[시작],$Q370),"yyyy-mm-dd hh:mm"),INDEX(상세표[시작],$Q370)&amp;""))</f>
        <v/>
      </c>
      <c r="G370">
        <f>IF($Q370="","",IF(ISNUMBER(INDEX(상세표[블록종료],$Q370)),TEXT(INDEX(상세표[블록종료],$Q370),"yyyy-mm-dd hh:mm"),INDEX(상세표[블록종료],$Q370)&amp;""))</f>
        <v/>
      </c>
      <c r="H370">
        <f>IF($Q370="","",CHOOSE(WEEKDAY(INDEX(상세표[시작],$Q370)),"일","월","화","수","목","금","토"))</f>
        <v/>
      </c>
      <c r="I370" s="20">
        <f>IF($Q370="","",INDEX(상세표[연속 시간],$Q370))</f>
        <v/>
      </c>
      <c r="J370">
        <f>IF($Q370="","",INDEX(상세표[기록 수],$Q370))</f>
        <v/>
      </c>
      <c r="K370" s="20">
        <f>IF($Q370="","",INDEX(상세표[블록 06~07시],$Q370))</f>
        <v/>
      </c>
      <c r="L370" s="20">
        <f>IF($Q370="","",INDEX(상세표[블록 07~18시],$Q370))</f>
        <v/>
      </c>
      <c r="M370" s="20">
        <f>IF($Q370="","",INDEX(상세표[블록 18~22시],$Q370))</f>
        <v/>
      </c>
      <c r="N370" s="20">
        <f>IF($Q370="","",INDEX(상세표[블록 22~06시],$Q370))</f>
        <v/>
      </c>
      <c r="O370">
        <f>IF($Q370="","",INDEX(상세표[주말·휴일 포함],$Q370)&amp;"")</f>
        <v/>
      </c>
      <c r="P370">
        <f>IF($Q370="","",INDEX(상세표[월 넘김 포함],$Q370)&amp;"")</f>
        <v/>
      </c>
      <c r="Q370" s="4">
        <f>IFERROR(MATCH(365,상세표[연속순번],0),"")</f>
        <v/>
      </c>
    </row>
    <row r="371">
      <c r="A371">
        <f>IF($Q371="","",INDEX(상세표[부서],$Q371)&amp;"")</f>
        <v/>
      </c>
      <c r="B371">
        <f>IF($Q371="","",INDEX(상세표[사번],$Q371)&amp;"")</f>
        <v/>
      </c>
      <c r="C371">
        <f>IF($Q371="","",INDEX(상세표[성명],$Q371)&amp;"")</f>
        <v/>
      </c>
      <c r="D371">
        <f>IF($Q371="","",INDEX(상세표[직위],$Q371)&amp;"")</f>
        <v/>
      </c>
      <c r="E371">
        <f>IF($Q371="","",IF(ISNUMBER(INDEX(상세표[근무일자],$Q371)),TEXT(INDEX(상세표[근무일자],$Q371),"yyyy-mm-dd"),INDEX(상세표[근무일자],$Q371)&amp;""))</f>
        <v/>
      </c>
      <c r="F371">
        <f>IF($Q371="","",IF(ISNUMBER(INDEX(상세표[시작],$Q371)),TEXT(INDEX(상세표[시작],$Q371),"yyyy-mm-dd hh:mm"),INDEX(상세표[시작],$Q371)&amp;""))</f>
        <v/>
      </c>
      <c r="G371">
        <f>IF($Q371="","",IF(ISNUMBER(INDEX(상세표[블록종료],$Q371)),TEXT(INDEX(상세표[블록종료],$Q371),"yyyy-mm-dd hh:mm"),INDEX(상세표[블록종료],$Q371)&amp;""))</f>
        <v/>
      </c>
      <c r="H371">
        <f>IF($Q371="","",CHOOSE(WEEKDAY(INDEX(상세표[시작],$Q371)),"일","월","화","수","목","금","토"))</f>
        <v/>
      </c>
      <c r="I371" s="20">
        <f>IF($Q371="","",INDEX(상세표[연속 시간],$Q371))</f>
        <v/>
      </c>
      <c r="J371">
        <f>IF($Q371="","",INDEX(상세표[기록 수],$Q371))</f>
        <v/>
      </c>
      <c r="K371" s="20">
        <f>IF($Q371="","",INDEX(상세표[블록 06~07시],$Q371))</f>
        <v/>
      </c>
      <c r="L371" s="20">
        <f>IF($Q371="","",INDEX(상세표[블록 07~18시],$Q371))</f>
        <v/>
      </c>
      <c r="M371" s="20">
        <f>IF($Q371="","",INDEX(상세표[블록 18~22시],$Q371))</f>
        <v/>
      </c>
      <c r="N371" s="20">
        <f>IF($Q371="","",INDEX(상세표[블록 22~06시],$Q371))</f>
        <v/>
      </c>
      <c r="O371">
        <f>IF($Q371="","",INDEX(상세표[주말·휴일 포함],$Q371)&amp;"")</f>
        <v/>
      </c>
      <c r="P371">
        <f>IF($Q371="","",INDEX(상세표[월 넘김 포함],$Q371)&amp;"")</f>
        <v/>
      </c>
      <c r="Q371" s="4">
        <f>IFERROR(MATCH(366,상세표[연속순번],0),"")</f>
        <v/>
      </c>
    </row>
    <row r="372">
      <c r="A372">
        <f>IF($Q372="","",INDEX(상세표[부서],$Q372)&amp;"")</f>
        <v/>
      </c>
      <c r="B372">
        <f>IF($Q372="","",INDEX(상세표[사번],$Q372)&amp;"")</f>
        <v/>
      </c>
      <c r="C372">
        <f>IF($Q372="","",INDEX(상세표[성명],$Q372)&amp;"")</f>
        <v/>
      </c>
      <c r="D372">
        <f>IF($Q372="","",INDEX(상세표[직위],$Q372)&amp;"")</f>
        <v/>
      </c>
      <c r="E372">
        <f>IF($Q372="","",IF(ISNUMBER(INDEX(상세표[근무일자],$Q372)),TEXT(INDEX(상세표[근무일자],$Q372),"yyyy-mm-dd"),INDEX(상세표[근무일자],$Q372)&amp;""))</f>
        <v/>
      </c>
      <c r="F372">
        <f>IF($Q372="","",IF(ISNUMBER(INDEX(상세표[시작],$Q372)),TEXT(INDEX(상세표[시작],$Q372),"yyyy-mm-dd hh:mm"),INDEX(상세표[시작],$Q372)&amp;""))</f>
        <v/>
      </c>
      <c r="G372">
        <f>IF($Q372="","",IF(ISNUMBER(INDEX(상세표[블록종료],$Q372)),TEXT(INDEX(상세표[블록종료],$Q372),"yyyy-mm-dd hh:mm"),INDEX(상세표[블록종료],$Q372)&amp;""))</f>
        <v/>
      </c>
      <c r="H372">
        <f>IF($Q372="","",CHOOSE(WEEKDAY(INDEX(상세표[시작],$Q372)),"일","월","화","수","목","금","토"))</f>
        <v/>
      </c>
      <c r="I372" s="20">
        <f>IF($Q372="","",INDEX(상세표[연속 시간],$Q372))</f>
        <v/>
      </c>
      <c r="J372">
        <f>IF($Q372="","",INDEX(상세표[기록 수],$Q372))</f>
        <v/>
      </c>
      <c r="K372" s="20">
        <f>IF($Q372="","",INDEX(상세표[블록 06~07시],$Q372))</f>
        <v/>
      </c>
      <c r="L372" s="20">
        <f>IF($Q372="","",INDEX(상세표[블록 07~18시],$Q372))</f>
        <v/>
      </c>
      <c r="M372" s="20">
        <f>IF($Q372="","",INDEX(상세표[블록 18~22시],$Q372))</f>
        <v/>
      </c>
      <c r="N372" s="20">
        <f>IF($Q372="","",INDEX(상세표[블록 22~06시],$Q372))</f>
        <v/>
      </c>
      <c r="O372">
        <f>IF($Q372="","",INDEX(상세표[주말·휴일 포함],$Q372)&amp;"")</f>
        <v/>
      </c>
      <c r="P372">
        <f>IF($Q372="","",INDEX(상세표[월 넘김 포함],$Q372)&amp;"")</f>
        <v/>
      </c>
      <c r="Q372" s="4">
        <f>IFERROR(MATCH(367,상세표[연속순번],0),"")</f>
        <v/>
      </c>
    </row>
    <row r="373">
      <c r="A373">
        <f>IF($Q373="","",INDEX(상세표[부서],$Q373)&amp;"")</f>
        <v/>
      </c>
      <c r="B373">
        <f>IF($Q373="","",INDEX(상세표[사번],$Q373)&amp;"")</f>
        <v/>
      </c>
      <c r="C373">
        <f>IF($Q373="","",INDEX(상세표[성명],$Q373)&amp;"")</f>
        <v/>
      </c>
      <c r="D373">
        <f>IF($Q373="","",INDEX(상세표[직위],$Q373)&amp;"")</f>
        <v/>
      </c>
      <c r="E373">
        <f>IF($Q373="","",IF(ISNUMBER(INDEX(상세표[근무일자],$Q373)),TEXT(INDEX(상세표[근무일자],$Q373),"yyyy-mm-dd"),INDEX(상세표[근무일자],$Q373)&amp;""))</f>
        <v/>
      </c>
      <c r="F373">
        <f>IF($Q373="","",IF(ISNUMBER(INDEX(상세표[시작],$Q373)),TEXT(INDEX(상세표[시작],$Q373),"yyyy-mm-dd hh:mm"),INDEX(상세표[시작],$Q373)&amp;""))</f>
        <v/>
      </c>
      <c r="G373">
        <f>IF($Q373="","",IF(ISNUMBER(INDEX(상세표[블록종료],$Q373)),TEXT(INDEX(상세표[블록종료],$Q373),"yyyy-mm-dd hh:mm"),INDEX(상세표[블록종료],$Q373)&amp;""))</f>
        <v/>
      </c>
      <c r="H373">
        <f>IF($Q373="","",CHOOSE(WEEKDAY(INDEX(상세표[시작],$Q373)),"일","월","화","수","목","금","토"))</f>
        <v/>
      </c>
      <c r="I373" s="20">
        <f>IF($Q373="","",INDEX(상세표[연속 시간],$Q373))</f>
        <v/>
      </c>
      <c r="J373">
        <f>IF($Q373="","",INDEX(상세표[기록 수],$Q373))</f>
        <v/>
      </c>
      <c r="K373" s="20">
        <f>IF($Q373="","",INDEX(상세표[블록 06~07시],$Q373))</f>
        <v/>
      </c>
      <c r="L373" s="20">
        <f>IF($Q373="","",INDEX(상세표[블록 07~18시],$Q373))</f>
        <v/>
      </c>
      <c r="M373" s="20">
        <f>IF($Q373="","",INDEX(상세표[블록 18~22시],$Q373))</f>
        <v/>
      </c>
      <c r="N373" s="20">
        <f>IF($Q373="","",INDEX(상세표[블록 22~06시],$Q373))</f>
        <v/>
      </c>
      <c r="O373">
        <f>IF($Q373="","",INDEX(상세표[주말·휴일 포함],$Q373)&amp;"")</f>
        <v/>
      </c>
      <c r="P373">
        <f>IF($Q373="","",INDEX(상세표[월 넘김 포함],$Q373)&amp;"")</f>
        <v/>
      </c>
      <c r="Q373" s="4">
        <f>IFERROR(MATCH(368,상세표[연속순번],0),"")</f>
        <v/>
      </c>
    </row>
    <row r="374">
      <c r="A374">
        <f>IF($Q374="","",INDEX(상세표[부서],$Q374)&amp;"")</f>
        <v/>
      </c>
      <c r="B374">
        <f>IF($Q374="","",INDEX(상세표[사번],$Q374)&amp;"")</f>
        <v/>
      </c>
      <c r="C374">
        <f>IF($Q374="","",INDEX(상세표[성명],$Q374)&amp;"")</f>
        <v/>
      </c>
      <c r="D374">
        <f>IF($Q374="","",INDEX(상세표[직위],$Q374)&amp;"")</f>
        <v/>
      </c>
      <c r="E374">
        <f>IF($Q374="","",IF(ISNUMBER(INDEX(상세표[근무일자],$Q374)),TEXT(INDEX(상세표[근무일자],$Q374),"yyyy-mm-dd"),INDEX(상세표[근무일자],$Q374)&amp;""))</f>
        <v/>
      </c>
      <c r="F374">
        <f>IF($Q374="","",IF(ISNUMBER(INDEX(상세표[시작],$Q374)),TEXT(INDEX(상세표[시작],$Q374),"yyyy-mm-dd hh:mm"),INDEX(상세표[시작],$Q374)&amp;""))</f>
        <v/>
      </c>
      <c r="G374">
        <f>IF($Q374="","",IF(ISNUMBER(INDEX(상세표[블록종료],$Q374)),TEXT(INDEX(상세표[블록종료],$Q374),"yyyy-mm-dd hh:mm"),INDEX(상세표[블록종료],$Q374)&amp;""))</f>
        <v/>
      </c>
      <c r="H374">
        <f>IF($Q374="","",CHOOSE(WEEKDAY(INDEX(상세표[시작],$Q374)),"일","월","화","수","목","금","토"))</f>
        <v/>
      </c>
      <c r="I374" s="20">
        <f>IF($Q374="","",INDEX(상세표[연속 시간],$Q374))</f>
        <v/>
      </c>
      <c r="J374">
        <f>IF($Q374="","",INDEX(상세표[기록 수],$Q374))</f>
        <v/>
      </c>
      <c r="K374" s="20">
        <f>IF($Q374="","",INDEX(상세표[블록 06~07시],$Q374))</f>
        <v/>
      </c>
      <c r="L374" s="20">
        <f>IF($Q374="","",INDEX(상세표[블록 07~18시],$Q374))</f>
        <v/>
      </c>
      <c r="M374" s="20">
        <f>IF($Q374="","",INDEX(상세표[블록 18~22시],$Q374))</f>
        <v/>
      </c>
      <c r="N374" s="20">
        <f>IF($Q374="","",INDEX(상세표[블록 22~06시],$Q374))</f>
        <v/>
      </c>
      <c r="O374">
        <f>IF($Q374="","",INDEX(상세표[주말·휴일 포함],$Q374)&amp;"")</f>
        <v/>
      </c>
      <c r="P374">
        <f>IF($Q374="","",INDEX(상세표[월 넘김 포함],$Q374)&amp;"")</f>
        <v/>
      </c>
      <c r="Q374" s="4">
        <f>IFERROR(MATCH(369,상세표[연속순번],0),"")</f>
        <v/>
      </c>
    </row>
    <row r="375">
      <c r="A375">
        <f>IF($Q375="","",INDEX(상세표[부서],$Q375)&amp;"")</f>
        <v/>
      </c>
      <c r="B375">
        <f>IF($Q375="","",INDEX(상세표[사번],$Q375)&amp;"")</f>
        <v/>
      </c>
      <c r="C375">
        <f>IF($Q375="","",INDEX(상세표[성명],$Q375)&amp;"")</f>
        <v/>
      </c>
      <c r="D375">
        <f>IF($Q375="","",INDEX(상세표[직위],$Q375)&amp;"")</f>
        <v/>
      </c>
      <c r="E375">
        <f>IF($Q375="","",IF(ISNUMBER(INDEX(상세표[근무일자],$Q375)),TEXT(INDEX(상세표[근무일자],$Q375),"yyyy-mm-dd"),INDEX(상세표[근무일자],$Q375)&amp;""))</f>
        <v/>
      </c>
      <c r="F375">
        <f>IF($Q375="","",IF(ISNUMBER(INDEX(상세표[시작],$Q375)),TEXT(INDEX(상세표[시작],$Q375),"yyyy-mm-dd hh:mm"),INDEX(상세표[시작],$Q375)&amp;""))</f>
        <v/>
      </c>
      <c r="G375">
        <f>IF($Q375="","",IF(ISNUMBER(INDEX(상세표[블록종료],$Q375)),TEXT(INDEX(상세표[블록종료],$Q375),"yyyy-mm-dd hh:mm"),INDEX(상세표[블록종료],$Q375)&amp;""))</f>
        <v/>
      </c>
      <c r="H375">
        <f>IF($Q375="","",CHOOSE(WEEKDAY(INDEX(상세표[시작],$Q375)),"일","월","화","수","목","금","토"))</f>
        <v/>
      </c>
      <c r="I375" s="20">
        <f>IF($Q375="","",INDEX(상세표[연속 시간],$Q375))</f>
        <v/>
      </c>
      <c r="J375">
        <f>IF($Q375="","",INDEX(상세표[기록 수],$Q375))</f>
        <v/>
      </c>
      <c r="K375" s="20">
        <f>IF($Q375="","",INDEX(상세표[블록 06~07시],$Q375))</f>
        <v/>
      </c>
      <c r="L375" s="20">
        <f>IF($Q375="","",INDEX(상세표[블록 07~18시],$Q375))</f>
        <v/>
      </c>
      <c r="M375" s="20">
        <f>IF($Q375="","",INDEX(상세표[블록 18~22시],$Q375))</f>
        <v/>
      </c>
      <c r="N375" s="20">
        <f>IF($Q375="","",INDEX(상세표[블록 22~06시],$Q375))</f>
        <v/>
      </c>
      <c r="O375">
        <f>IF($Q375="","",INDEX(상세표[주말·휴일 포함],$Q375)&amp;"")</f>
        <v/>
      </c>
      <c r="P375">
        <f>IF($Q375="","",INDEX(상세표[월 넘김 포함],$Q375)&amp;"")</f>
        <v/>
      </c>
      <c r="Q375" s="4">
        <f>IFERROR(MATCH(370,상세표[연속순번],0),"")</f>
        <v/>
      </c>
    </row>
    <row r="376">
      <c r="A376">
        <f>IF($Q376="","",INDEX(상세표[부서],$Q376)&amp;"")</f>
        <v/>
      </c>
      <c r="B376">
        <f>IF($Q376="","",INDEX(상세표[사번],$Q376)&amp;"")</f>
        <v/>
      </c>
      <c r="C376">
        <f>IF($Q376="","",INDEX(상세표[성명],$Q376)&amp;"")</f>
        <v/>
      </c>
      <c r="D376">
        <f>IF($Q376="","",INDEX(상세표[직위],$Q376)&amp;"")</f>
        <v/>
      </c>
      <c r="E376">
        <f>IF($Q376="","",IF(ISNUMBER(INDEX(상세표[근무일자],$Q376)),TEXT(INDEX(상세표[근무일자],$Q376),"yyyy-mm-dd"),INDEX(상세표[근무일자],$Q376)&amp;""))</f>
        <v/>
      </c>
      <c r="F376">
        <f>IF($Q376="","",IF(ISNUMBER(INDEX(상세표[시작],$Q376)),TEXT(INDEX(상세표[시작],$Q376),"yyyy-mm-dd hh:mm"),INDEX(상세표[시작],$Q376)&amp;""))</f>
        <v/>
      </c>
      <c r="G376">
        <f>IF($Q376="","",IF(ISNUMBER(INDEX(상세표[블록종료],$Q376)),TEXT(INDEX(상세표[블록종료],$Q376),"yyyy-mm-dd hh:mm"),INDEX(상세표[블록종료],$Q376)&amp;""))</f>
        <v/>
      </c>
      <c r="H376">
        <f>IF($Q376="","",CHOOSE(WEEKDAY(INDEX(상세표[시작],$Q376)),"일","월","화","수","목","금","토"))</f>
        <v/>
      </c>
      <c r="I376" s="20">
        <f>IF($Q376="","",INDEX(상세표[연속 시간],$Q376))</f>
        <v/>
      </c>
      <c r="J376">
        <f>IF($Q376="","",INDEX(상세표[기록 수],$Q376))</f>
        <v/>
      </c>
      <c r="K376" s="20">
        <f>IF($Q376="","",INDEX(상세표[블록 06~07시],$Q376))</f>
        <v/>
      </c>
      <c r="L376" s="20">
        <f>IF($Q376="","",INDEX(상세표[블록 07~18시],$Q376))</f>
        <v/>
      </c>
      <c r="M376" s="20">
        <f>IF($Q376="","",INDEX(상세표[블록 18~22시],$Q376))</f>
        <v/>
      </c>
      <c r="N376" s="20">
        <f>IF($Q376="","",INDEX(상세표[블록 22~06시],$Q376))</f>
        <v/>
      </c>
      <c r="O376">
        <f>IF($Q376="","",INDEX(상세표[주말·휴일 포함],$Q376)&amp;"")</f>
        <v/>
      </c>
      <c r="P376">
        <f>IF($Q376="","",INDEX(상세표[월 넘김 포함],$Q376)&amp;"")</f>
        <v/>
      </c>
      <c r="Q376" s="4">
        <f>IFERROR(MATCH(371,상세표[연속순번],0),"")</f>
        <v/>
      </c>
    </row>
    <row r="377">
      <c r="A377">
        <f>IF($Q377="","",INDEX(상세표[부서],$Q377)&amp;"")</f>
        <v/>
      </c>
      <c r="B377">
        <f>IF($Q377="","",INDEX(상세표[사번],$Q377)&amp;"")</f>
        <v/>
      </c>
      <c r="C377">
        <f>IF($Q377="","",INDEX(상세표[성명],$Q377)&amp;"")</f>
        <v/>
      </c>
      <c r="D377">
        <f>IF($Q377="","",INDEX(상세표[직위],$Q377)&amp;"")</f>
        <v/>
      </c>
      <c r="E377">
        <f>IF($Q377="","",IF(ISNUMBER(INDEX(상세표[근무일자],$Q377)),TEXT(INDEX(상세표[근무일자],$Q377),"yyyy-mm-dd"),INDEX(상세표[근무일자],$Q377)&amp;""))</f>
        <v/>
      </c>
      <c r="F377">
        <f>IF($Q377="","",IF(ISNUMBER(INDEX(상세표[시작],$Q377)),TEXT(INDEX(상세표[시작],$Q377),"yyyy-mm-dd hh:mm"),INDEX(상세표[시작],$Q377)&amp;""))</f>
        <v/>
      </c>
      <c r="G377">
        <f>IF($Q377="","",IF(ISNUMBER(INDEX(상세표[블록종료],$Q377)),TEXT(INDEX(상세표[블록종료],$Q377),"yyyy-mm-dd hh:mm"),INDEX(상세표[블록종료],$Q377)&amp;""))</f>
        <v/>
      </c>
      <c r="H377">
        <f>IF($Q377="","",CHOOSE(WEEKDAY(INDEX(상세표[시작],$Q377)),"일","월","화","수","목","금","토"))</f>
        <v/>
      </c>
      <c r="I377" s="20">
        <f>IF($Q377="","",INDEX(상세표[연속 시간],$Q377))</f>
        <v/>
      </c>
      <c r="J377">
        <f>IF($Q377="","",INDEX(상세표[기록 수],$Q377))</f>
        <v/>
      </c>
      <c r="K377" s="20">
        <f>IF($Q377="","",INDEX(상세표[블록 06~07시],$Q377))</f>
        <v/>
      </c>
      <c r="L377" s="20">
        <f>IF($Q377="","",INDEX(상세표[블록 07~18시],$Q377))</f>
        <v/>
      </c>
      <c r="M377" s="20">
        <f>IF($Q377="","",INDEX(상세표[블록 18~22시],$Q377))</f>
        <v/>
      </c>
      <c r="N377" s="20">
        <f>IF($Q377="","",INDEX(상세표[블록 22~06시],$Q377))</f>
        <v/>
      </c>
      <c r="O377">
        <f>IF($Q377="","",INDEX(상세표[주말·휴일 포함],$Q377)&amp;"")</f>
        <v/>
      </c>
      <c r="P377">
        <f>IF($Q377="","",INDEX(상세표[월 넘김 포함],$Q377)&amp;"")</f>
        <v/>
      </c>
      <c r="Q377" s="4">
        <f>IFERROR(MATCH(372,상세표[연속순번],0),"")</f>
        <v/>
      </c>
    </row>
    <row r="378">
      <c r="A378">
        <f>IF($Q378="","",INDEX(상세표[부서],$Q378)&amp;"")</f>
        <v/>
      </c>
      <c r="B378">
        <f>IF($Q378="","",INDEX(상세표[사번],$Q378)&amp;"")</f>
        <v/>
      </c>
      <c r="C378">
        <f>IF($Q378="","",INDEX(상세표[성명],$Q378)&amp;"")</f>
        <v/>
      </c>
      <c r="D378">
        <f>IF($Q378="","",INDEX(상세표[직위],$Q378)&amp;"")</f>
        <v/>
      </c>
      <c r="E378">
        <f>IF($Q378="","",IF(ISNUMBER(INDEX(상세표[근무일자],$Q378)),TEXT(INDEX(상세표[근무일자],$Q378),"yyyy-mm-dd"),INDEX(상세표[근무일자],$Q378)&amp;""))</f>
        <v/>
      </c>
      <c r="F378">
        <f>IF($Q378="","",IF(ISNUMBER(INDEX(상세표[시작],$Q378)),TEXT(INDEX(상세표[시작],$Q378),"yyyy-mm-dd hh:mm"),INDEX(상세표[시작],$Q378)&amp;""))</f>
        <v/>
      </c>
      <c r="G378">
        <f>IF($Q378="","",IF(ISNUMBER(INDEX(상세표[블록종료],$Q378)),TEXT(INDEX(상세표[블록종료],$Q378),"yyyy-mm-dd hh:mm"),INDEX(상세표[블록종료],$Q378)&amp;""))</f>
        <v/>
      </c>
      <c r="H378">
        <f>IF($Q378="","",CHOOSE(WEEKDAY(INDEX(상세표[시작],$Q378)),"일","월","화","수","목","금","토"))</f>
        <v/>
      </c>
      <c r="I378" s="20">
        <f>IF($Q378="","",INDEX(상세표[연속 시간],$Q378))</f>
        <v/>
      </c>
      <c r="J378">
        <f>IF($Q378="","",INDEX(상세표[기록 수],$Q378))</f>
        <v/>
      </c>
      <c r="K378" s="20">
        <f>IF($Q378="","",INDEX(상세표[블록 06~07시],$Q378))</f>
        <v/>
      </c>
      <c r="L378" s="20">
        <f>IF($Q378="","",INDEX(상세표[블록 07~18시],$Q378))</f>
        <v/>
      </c>
      <c r="M378" s="20">
        <f>IF($Q378="","",INDEX(상세표[블록 18~22시],$Q378))</f>
        <v/>
      </c>
      <c r="N378" s="20">
        <f>IF($Q378="","",INDEX(상세표[블록 22~06시],$Q378))</f>
        <v/>
      </c>
      <c r="O378">
        <f>IF($Q378="","",INDEX(상세표[주말·휴일 포함],$Q378)&amp;"")</f>
        <v/>
      </c>
      <c r="P378">
        <f>IF($Q378="","",INDEX(상세표[월 넘김 포함],$Q378)&amp;"")</f>
        <v/>
      </c>
      <c r="Q378" s="4">
        <f>IFERROR(MATCH(373,상세표[연속순번],0),"")</f>
        <v/>
      </c>
    </row>
    <row r="379">
      <c r="A379">
        <f>IF($Q379="","",INDEX(상세표[부서],$Q379)&amp;"")</f>
        <v/>
      </c>
      <c r="B379">
        <f>IF($Q379="","",INDEX(상세표[사번],$Q379)&amp;"")</f>
        <v/>
      </c>
      <c r="C379">
        <f>IF($Q379="","",INDEX(상세표[성명],$Q379)&amp;"")</f>
        <v/>
      </c>
      <c r="D379">
        <f>IF($Q379="","",INDEX(상세표[직위],$Q379)&amp;"")</f>
        <v/>
      </c>
      <c r="E379">
        <f>IF($Q379="","",IF(ISNUMBER(INDEX(상세표[근무일자],$Q379)),TEXT(INDEX(상세표[근무일자],$Q379),"yyyy-mm-dd"),INDEX(상세표[근무일자],$Q379)&amp;""))</f>
        <v/>
      </c>
      <c r="F379">
        <f>IF($Q379="","",IF(ISNUMBER(INDEX(상세표[시작],$Q379)),TEXT(INDEX(상세표[시작],$Q379),"yyyy-mm-dd hh:mm"),INDEX(상세표[시작],$Q379)&amp;""))</f>
        <v/>
      </c>
      <c r="G379">
        <f>IF($Q379="","",IF(ISNUMBER(INDEX(상세표[블록종료],$Q379)),TEXT(INDEX(상세표[블록종료],$Q379),"yyyy-mm-dd hh:mm"),INDEX(상세표[블록종료],$Q379)&amp;""))</f>
        <v/>
      </c>
      <c r="H379">
        <f>IF($Q379="","",CHOOSE(WEEKDAY(INDEX(상세표[시작],$Q379)),"일","월","화","수","목","금","토"))</f>
        <v/>
      </c>
      <c r="I379" s="20">
        <f>IF($Q379="","",INDEX(상세표[연속 시간],$Q379))</f>
        <v/>
      </c>
      <c r="J379">
        <f>IF($Q379="","",INDEX(상세표[기록 수],$Q379))</f>
        <v/>
      </c>
      <c r="K379" s="20">
        <f>IF($Q379="","",INDEX(상세표[블록 06~07시],$Q379))</f>
        <v/>
      </c>
      <c r="L379" s="20">
        <f>IF($Q379="","",INDEX(상세표[블록 07~18시],$Q379))</f>
        <v/>
      </c>
      <c r="M379" s="20">
        <f>IF($Q379="","",INDEX(상세표[블록 18~22시],$Q379))</f>
        <v/>
      </c>
      <c r="N379" s="20">
        <f>IF($Q379="","",INDEX(상세표[블록 22~06시],$Q379))</f>
        <v/>
      </c>
      <c r="O379">
        <f>IF($Q379="","",INDEX(상세표[주말·휴일 포함],$Q379)&amp;"")</f>
        <v/>
      </c>
      <c r="P379">
        <f>IF($Q379="","",INDEX(상세표[월 넘김 포함],$Q379)&amp;"")</f>
        <v/>
      </c>
      <c r="Q379" s="4">
        <f>IFERROR(MATCH(374,상세표[연속순번],0),"")</f>
        <v/>
      </c>
    </row>
    <row r="380">
      <c r="A380">
        <f>IF($Q380="","",INDEX(상세표[부서],$Q380)&amp;"")</f>
        <v/>
      </c>
      <c r="B380">
        <f>IF($Q380="","",INDEX(상세표[사번],$Q380)&amp;"")</f>
        <v/>
      </c>
      <c r="C380">
        <f>IF($Q380="","",INDEX(상세표[성명],$Q380)&amp;"")</f>
        <v/>
      </c>
      <c r="D380">
        <f>IF($Q380="","",INDEX(상세표[직위],$Q380)&amp;"")</f>
        <v/>
      </c>
      <c r="E380">
        <f>IF($Q380="","",IF(ISNUMBER(INDEX(상세표[근무일자],$Q380)),TEXT(INDEX(상세표[근무일자],$Q380),"yyyy-mm-dd"),INDEX(상세표[근무일자],$Q380)&amp;""))</f>
        <v/>
      </c>
      <c r="F380">
        <f>IF($Q380="","",IF(ISNUMBER(INDEX(상세표[시작],$Q380)),TEXT(INDEX(상세표[시작],$Q380),"yyyy-mm-dd hh:mm"),INDEX(상세표[시작],$Q380)&amp;""))</f>
        <v/>
      </c>
      <c r="G380">
        <f>IF($Q380="","",IF(ISNUMBER(INDEX(상세표[블록종료],$Q380)),TEXT(INDEX(상세표[블록종료],$Q380),"yyyy-mm-dd hh:mm"),INDEX(상세표[블록종료],$Q380)&amp;""))</f>
        <v/>
      </c>
      <c r="H380">
        <f>IF($Q380="","",CHOOSE(WEEKDAY(INDEX(상세표[시작],$Q380)),"일","월","화","수","목","금","토"))</f>
        <v/>
      </c>
      <c r="I380" s="20">
        <f>IF($Q380="","",INDEX(상세표[연속 시간],$Q380))</f>
        <v/>
      </c>
      <c r="J380">
        <f>IF($Q380="","",INDEX(상세표[기록 수],$Q380))</f>
        <v/>
      </c>
      <c r="K380" s="20">
        <f>IF($Q380="","",INDEX(상세표[블록 06~07시],$Q380))</f>
        <v/>
      </c>
      <c r="L380" s="20">
        <f>IF($Q380="","",INDEX(상세표[블록 07~18시],$Q380))</f>
        <v/>
      </c>
      <c r="M380" s="20">
        <f>IF($Q380="","",INDEX(상세표[블록 18~22시],$Q380))</f>
        <v/>
      </c>
      <c r="N380" s="20">
        <f>IF($Q380="","",INDEX(상세표[블록 22~06시],$Q380))</f>
        <v/>
      </c>
      <c r="O380">
        <f>IF($Q380="","",INDEX(상세표[주말·휴일 포함],$Q380)&amp;"")</f>
        <v/>
      </c>
      <c r="P380">
        <f>IF($Q380="","",INDEX(상세표[월 넘김 포함],$Q380)&amp;"")</f>
        <v/>
      </c>
      <c r="Q380" s="4">
        <f>IFERROR(MATCH(375,상세표[연속순번],0),"")</f>
        <v/>
      </c>
    </row>
    <row r="381">
      <c r="A381">
        <f>IF($Q381="","",INDEX(상세표[부서],$Q381)&amp;"")</f>
        <v/>
      </c>
      <c r="B381">
        <f>IF($Q381="","",INDEX(상세표[사번],$Q381)&amp;"")</f>
        <v/>
      </c>
      <c r="C381">
        <f>IF($Q381="","",INDEX(상세표[성명],$Q381)&amp;"")</f>
        <v/>
      </c>
      <c r="D381">
        <f>IF($Q381="","",INDEX(상세표[직위],$Q381)&amp;"")</f>
        <v/>
      </c>
      <c r="E381">
        <f>IF($Q381="","",IF(ISNUMBER(INDEX(상세표[근무일자],$Q381)),TEXT(INDEX(상세표[근무일자],$Q381),"yyyy-mm-dd"),INDEX(상세표[근무일자],$Q381)&amp;""))</f>
        <v/>
      </c>
      <c r="F381">
        <f>IF($Q381="","",IF(ISNUMBER(INDEX(상세표[시작],$Q381)),TEXT(INDEX(상세표[시작],$Q381),"yyyy-mm-dd hh:mm"),INDEX(상세표[시작],$Q381)&amp;""))</f>
        <v/>
      </c>
      <c r="G381">
        <f>IF($Q381="","",IF(ISNUMBER(INDEX(상세표[블록종료],$Q381)),TEXT(INDEX(상세표[블록종료],$Q381),"yyyy-mm-dd hh:mm"),INDEX(상세표[블록종료],$Q381)&amp;""))</f>
        <v/>
      </c>
      <c r="H381">
        <f>IF($Q381="","",CHOOSE(WEEKDAY(INDEX(상세표[시작],$Q381)),"일","월","화","수","목","금","토"))</f>
        <v/>
      </c>
      <c r="I381" s="20">
        <f>IF($Q381="","",INDEX(상세표[연속 시간],$Q381))</f>
        <v/>
      </c>
      <c r="J381">
        <f>IF($Q381="","",INDEX(상세표[기록 수],$Q381))</f>
        <v/>
      </c>
      <c r="K381" s="20">
        <f>IF($Q381="","",INDEX(상세표[블록 06~07시],$Q381))</f>
        <v/>
      </c>
      <c r="L381" s="20">
        <f>IF($Q381="","",INDEX(상세표[블록 07~18시],$Q381))</f>
        <v/>
      </c>
      <c r="M381" s="20">
        <f>IF($Q381="","",INDEX(상세표[블록 18~22시],$Q381))</f>
        <v/>
      </c>
      <c r="N381" s="20">
        <f>IF($Q381="","",INDEX(상세표[블록 22~06시],$Q381))</f>
        <v/>
      </c>
      <c r="O381">
        <f>IF($Q381="","",INDEX(상세표[주말·휴일 포함],$Q381)&amp;"")</f>
        <v/>
      </c>
      <c r="P381">
        <f>IF($Q381="","",INDEX(상세표[월 넘김 포함],$Q381)&amp;"")</f>
        <v/>
      </c>
      <c r="Q381" s="4">
        <f>IFERROR(MATCH(376,상세표[연속순번],0),"")</f>
        <v/>
      </c>
    </row>
    <row r="382">
      <c r="A382">
        <f>IF($Q382="","",INDEX(상세표[부서],$Q382)&amp;"")</f>
        <v/>
      </c>
      <c r="B382">
        <f>IF($Q382="","",INDEX(상세표[사번],$Q382)&amp;"")</f>
        <v/>
      </c>
      <c r="C382">
        <f>IF($Q382="","",INDEX(상세표[성명],$Q382)&amp;"")</f>
        <v/>
      </c>
      <c r="D382">
        <f>IF($Q382="","",INDEX(상세표[직위],$Q382)&amp;"")</f>
        <v/>
      </c>
      <c r="E382">
        <f>IF($Q382="","",IF(ISNUMBER(INDEX(상세표[근무일자],$Q382)),TEXT(INDEX(상세표[근무일자],$Q382),"yyyy-mm-dd"),INDEX(상세표[근무일자],$Q382)&amp;""))</f>
        <v/>
      </c>
      <c r="F382">
        <f>IF($Q382="","",IF(ISNUMBER(INDEX(상세표[시작],$Q382)),TEXT(INDEX(상세표[시작],$Q382),"yyyy-mm-dd hh:mm"),INDEX(상세표[시작],$Q382)&amp;""))</f>
        <v/>
      </c>
      <c r="G382">
        <f>IF($Q382="","",IF(ISNUMBER(INDEX(상세표[블록종료],$Q382)),TEXT(INDEX(상세표[블록종료],$Q382),"yyyy-mm-dd hh:mm"),INDEX(상세표[블록종료],$Q382)&amp;""))</f>
        <v/>
      </c>
      <c r="H382">
        <f>IF($Q382="","",CHOOSE(WEEKDAY(INDEX(상세표[시작],$Q382)),"일","월","화","수","목","금","토"))</f>
        <v/>
      </c>
      <c r="I382" s="20">
        <f>IF($Q382="","",INDEX(상세표[연속 시간],$Q382))</f>
        <v/>
      </c>
      <c r="J382">
        <f>IF($Q382="","",INDEX(상세표[기록 수],$Q382))</f>
        <v/>
      </c>
      <c r="K382" s="20">
        <f>IF($Q382="","",INDEX(상세표[블록 06~07시],$Q382))</f>
        <v/>
      </c>
      <c r="L382" s="20">
        <f>IF($Q382="","",INDEX(상세표[블록 07~18시],$Q382))</f>
        <v/>
      </c>
      <c r="M382" s="20">
        <f>IF($Q382="","",INDEX(상세표[블록 18~22시],$Q382))</f>
        <v/>
      </c>
      <c r="N382" s="20">
        <f>IF($Q382="","",INDEX(상세표[블록 22~06시],$Q382))</f>
        <v/>
      </c>
      <c r="O382">
        <f>IF($Q382="","",INDEX(상세표[주말·휴일 포함],$Q382)&amp;"")</f>
        <v/>
      </c>
      <c r="P382">
        <f>IF($Q382="","",INDEX(상세표[월 넘김 포함],$Q382)&amp;"")</f>
        <v/>
      </c>
      <c r="Q382" s="4">
        <f>IFERROR(MATCH(377,상세표[연속순번],0),"")</f>
        <v/>
      </c>
    </row>
    <row r="383">
      <c r="A383">
        <f>IF($Q383="","",INDEX(상세표[부서],$Q383)&amp;"")</f>
        <v/>
      </c>
      <c r="B383">
        <f>IF($Q383="","",INDEX(상세표[사번],$Q383)&amp;"")</f>
        <v/>
      </c>
      <c r="C383">
        <f>IF($Q383="","",INDEX(상세표[성명],$Q383)&amp;"")</f>
        <v/>
      </c>
      <c r="D383">
        <f>IF($Q383="","",INDEX(상세표[직위],$Q383)&amp;"")</f>
        <v/>
      </c>
      <c r="E383">
        <f>IF($Q383="","",IF(ISNUMBER(INDEX(상세표[근무일자],$Q383)),TEXT(INDEX(상세표[근무일자],$Q383),"yyyy-mm-dd"),INDEX(상세표[근무일자],$Q383)&amp;""))</f>
        <v/>
      </c>
      <c r="F383">
        <f>IF($Q383="","",IF(ISNUMBER(INDEX(상세표[시작],$Q383)),TEXT(INDEX(상세표[시작],$Q383),"yyyy-mm-dd hh:mm"),INDEX(상세표[시작],$Q383)&amp;""))</f>
        <v/>
      </c>
      <c r="G383">
        <f>IF($Q383="","",IF(ISNUMBER(INDEX(상세표[블록종료],$Q383)),TEXT(INDEX(상세표[블록종료],$Q383),"yyyy-mm-dd hh:mm"),INDEX(상세표[블록종료],$Q383)&amp;""))</f>
        <v/>
      </c>
      <c r="H383">
        <f>IF($Q383="","",CHOOSE(WEEKDAY(INDEX(상세표[시작],$Q383)),"일","월","화","수","목","금","토"))</f>
        <v/>
      </c>
      <c r="I383" s="20">
        <f>IF($Q383="","",INDEX(상세표[연속 시간],$Q383))</f>
        <v/>
      </c>
      <c r="J383">
        <f>IF($Q383="","",INDEX(상세표[기록 수],$Q383))</f>
        <v/>
      </c>
      <c r="K383" s="20">
        <f>IF($Q383="","",INDEX(상세표[블록 06~07시],$Q383))</f>
        <v/>
      </c>
      <c r="L383" s="20">
        <f>IF($Q383="","",INDEX(상세표[블록 07~18시],$Q383))</f>
        <v/>
      </c>
      <c r="M383" s="20">
        <f>IF($Q383="","",INDEX(상세표[블록 18~22시],$Q383))</f>
        <v/>
      </c>
      <c r="N383" s="20">
        <f>IF($Q383="","",INDEX(상세표[블록 22~06시],$Q383))</f>
        <v/>
      </c>
      <c r="O383">
        <f>IF($Q383="","",INDEX(상세표[주말·휴일 포함],$Q383)&amp;"")</f>
        <v/>
      </c>
      <c r="P383">
        <f>IF($Q383="","",INDEX(상세표[월 넘김 포함],$Q383)&amp;"")</f>
        <v/>
      </c>
      <c r="Q383" s="4">
        <f>IFERROR(MATCH(378,상세표[연속순번],0),"")</f>
        <v/>
      </c>
    </row>
    <row r="384">
      <c r="A384">
        <f>IF($Q384="","",INDEX(상세표[부서],$Q384)&amp;"")</f>
        <v/>
      </c>
      <c r="B384">
        <f>IF($Q384="","",INDEX(상세표[사번],$Q384)&amp;"")</f>
        <v/>
      </c>
      <c r="C384">
        <f>IF($Q384="","",INDEX(상세표[성명],$Q384)&amp;"")</f>
        <v/>
      </c>
      <c r="D384">
        <f>IF($Q384="","",INDEX(상세표[직위],$Q384)&amp;"")</f>
        <v/>
      </c>
      <c r="E384">
        <f>IF($Q384="","",IF(ISNUMBER(INDEX(상세표[근무일자],$Q384)),TEXT(INDEX(상세표[근무일자],$Q384),"yyyy-mm-dd"),INDEX(상세표[근무일자],$Q384)&amp;""))</f>
        <v/>
      </c>
      <c r="F384">
        <f>IF($Q384="","",IF(ISNUMBER(INDEX(상세표[시작],$Q384)),TEXT(INDEX(상세표[시작],$Q384),"yyyy-mm-dd hh:mm"),INDEX(상세표[시작],$Q384)&amp;""))</f>
        <v/>
      </c>
      <c r="G384">
        <f>IF($Q384="","",IF(ISNUMBER(INDEX(상세표[블록종료],$Q384)),TEXT(INDEX(상세표[블록종료],$Q384),"yyyy-mm-dd hh:mm"),INDEX(상세표[블록종료],$Q384)&amp;""))</f>
        <v/>
      </c>
      <c r="H384">
        <f>IF($Q384="","",CHOOSE(WEEKDAY(INDEX(상세표[시작],$Q384)),"일","월","화","수","목","금","토"))</f>
        <v/>
      </c>
      <c r="I384" s="20">
        <f>IF($Q384="","",INDEX(상세표[연속 시간],$Q384))</f>
        <v/>
      </c>
      <c r="J384">
        <f>IF($Q384="","",INDEX(상세표[기록 수],$Q384))</f>
        <v/>
      </c>
      <c r="K384" s="20">
        <f>IF($Q384="","",INDEX(상세표[블록 06~07시],$Q384))</f>
        <v/>
      </c>
      <c r="L384" s="20">
        <f>IF($Q384="","",INDEX(상세표[블록 07~18시],$Q384))</f>
        <v/>
      </c>
      <c r="M384" s="20">
        <f>IF($Q384="","",INDEX(상세표[블록 18~22시],$Q384))</f>
        <v/>
      </c>
      <c r="N384" s="20">
        <f>IF($Q384="","",INDEX(상세표[블록 22~06시],$Q384))</f>
        <v/>
      </c>
      <c r="O384">
        <f>IF($Q384="","",INDEX(상세표[주말·휴일 포함],$Q384)&amp;"")</f>
        <v/>
      </c>
      <c r="P384">
        <f>IF($Q384="","",INDEX(상세표[월 넘김 포함],$Q384)&amp;"")</f>
        <v/>
      </c>
      <c r="Q384" s="4">
        <f>IFERROR(MATCH(379,상세표[연속순번],0),"")</f>
        <v/>
      </c>
    </row>
    <row r="385">
      <c r="A385">
        <f>IF($Q385="","",INDEX(상세표[부서],$Q385)&amp;"")</f>
        <v/>
      </c>
      <c r="B385">
        <f>IF($Q385="","",INDEX(상세표[사번],$Q385)&amp;"")</f>
        <v/>
      </c>
      <c r="C385">
        <f>IF($Q385="","",INDEX(상세표[성명],$Q385)&amp;"")</f>
        <v/>
      </c>
      <c r="D385">
        <f>IF($Q385="","",INDEX(상세표[직위],$Q385)&amp;"")</f>
        <v/>
      </c>
      <c r="E385">
        <f>IF($Q385="","",IF(ISNUMBER(INDEX(상세표[근무일자],$Q385)),TEXT(INDEX(상세표[근무일자],$Q385),"yyyy-mm-dd"),INDEX(상세표[근무일자],$Q385)&amp;""))</f>
        <v/>
      </c>
      <c r="F385">
        <f>IF($Q385="","",IF(ISNUMBER(INDEX(상세표[시작],$Q385)),TEXT(INDEX(상세표[시작],$Q385),"yyyy-mm-dd hh:mm"),INDEX(상세표[시작],$Q385)&amp;""))</f>
        <v/>
      </c>
      <c r="G385">
        <f>IF($Q385="","",IF(ISNUMBER(INDEX(상세표[블록종료],$Q385)),TEXT(INDEX(상세표[블록종료],$Q385),"yyyy-mm-dd hh:mm"),INDEX(상세표[블록종료],$Q385)&amp;""))</f>
        <v/>
      </c>
      <c r="H385">
        <f>IF($Q385="","",CHOOSE(WEEKDAY(INDEX(상세표[시작],$Q385)),"일","월","화","수","목","금","토"))</f>
        <v/>
      </c>
      <c r="I385" s="20">
        <f>IF($Q385="","",INDEX(상세표[연속 시간],$Q385))</f>
        <v/>
      </c>
      <c r="J385">
        <f>IF($Q385="","",INDEX(상세표[기록 수],$Q385))</f>
        <v/>
      </c>
      <c r="K385" s="20">
        <f>IF($Q385="","",INDEX(상세표[블록 06~07시],$Q385))</f>
        <v/>
      </c>
      <c r="L385" s="20">
        <f>IF($Q385="","",INDEX(상세표[블록 07~18시],$Q385))</f>
        <v/>
      </c>
      <c r="M385" s="20">
        <f>IF($Q385="","",INDEX(상세표[블록 18~22시],$Q385))</f>
        <v/>
      </c>
      <c r="N385" s="20">
        <f>IF($Q385="","",INDEX(상세표[블록 22~06시],$Q385))</f>
        <v/>
      </c>
      <c r="O385">
        <f>IF($Q385="","",INDEX(상세표[주말·휴일 포함],$Q385)&amp;"")</f>
        <v/>
      </c>
      <c r="P385">
        <f>IF($Q385="","",INDEX(상세표[월 넘김 포함],$Q385)&amp;"")</f>
        <v/>
      </c>
      <c r="Q385" s="4">
        <f>IFERROR(MATCH(380,상세표[연속순번],0),"")</f>
        <v/>
      </c>
    </row>
    <row r="386">
      <c r="A386">
        <f>IF($Q386="","",INDEX(상세표[부서],$Q386)&amp;"")</f>
        <v/>
      </c>
      <c r="B386">
        <f>IF($Q386="","",INDEX(상세표[사번],$Q386)&amp;"")</f>
        <v/>
      </c>
      <c r="C386">
        <f>IF($Q386="","",INDEX(상세표[성명],$Q386)&amp;"")</f>
        <v/>
      </c>
      <c r="D386">
        <f>IF($Q386="","",INDEX(상세표[직위],$Q386)&amp;"")</f>
        <v/>
      </c>
      <c r="E386">
        <f>IF($Q386="","",IF(ISNUMBER(INDEX(상세표[근무일자],$Q386)),TEXT(INDEX(상세표[근무일자],$Q386),"yyyy-mm-dd"),INDEX(상세표[근무일자],$Q386)&amp;""))</f>
        <v/>
      </c>
      <c r="F386">
        <f>IF($Q386="","",IF(ISNUMBER(INDEX(상세표[시작],$Q386)),TEXT(INDEX(상세표[시작],$Q386),"yyyy-mm-dd hh:mm"),INDEX(상세표[시작],$Q386)&amp;""))</f>
        <v/>
      </c>
      <c r="G386">
        <f>IF($Q386="","",IF(ISNUMBER(INDEX(상세표[블록종료],$Q386)),TEXT(INDEX(상세표[블록종료],$Q386),"yyyy-mm-dd hh:mm"),INDEX(상세표[블록종료],$Q386)&amp;""))</f>
        <v/>
      </c>
      <c r="H386">
        <f>IF($Q386="","",CHOOSE(WEEKDAY(INDEX(상세표[시작],$Q386)),"일","월","화","수","목","금","토"))</f>
        <v/>
      </c>
      <c r="I386" s="20">
        <f>IF($Q386="","",INDEX(상세표[연속 시간],$Q386))</f>
        <v/>
      </c>
      <c r="J386">
        <f>IF($Q386="","",INDEX(상세표[기록 수],$Q386))</f>
        <v/>
      </c>
      <c r="K386" s="20">
        <f>IF($Q386="","",INDEX(상세표[블록 06~07시],$Q386))</f>
        <v/>
      </c>
      <c r="L386" s="20">
        <f>IF($Q386="","",INDEX(상세표[블록 07~18시],$Q386))</f>
        <v/>
      </c>
      <c r="M386" s="20">
        <f>IF($Q386="","",INDEX(상세표[블록 18~22시],$Q386))</f>
        <v/>
      </c>
      <c r="N386" s="20">
        <f>IF($Q386="","",INDEX(상세표[블록 22~06시],$Q386))</f>
        <v/>
      </c>
      <c r="O386">
        <f>IF($Q386="","",INDEX(상세표[주말·휴일 포함],$Q386)&amp;"")</f>
        <v/>
      </c>
      <c r="P386">
        <f>IF($Q386="","",INDEX(상세표[월 넘김 포함],$Q386)&amp;"")</f>
        <v/>
      </c>
      <c r="Q386" s="4">
        <f>IFERROR(MATCH(381,상세표[연속순번],0),"")</f>
        <v/>
      </c>
    </row>
    <row r="387">
      <c r="A387">
        <f>IF($Q387="","",INDEX(상세표[부서],$Q387)&amp;"")</f>
        <v/>
      </c>
      <c r="B387">
        <f>IF($Q387="","",INDEX(상세표[사번],$Q387)&amp;"")</f>
        <v/>
      </c>
      <c r="C387">
        <f>IF($Q387="","",INDEX(상세표[성명],$Q387)&amp;"")</f>
        <v/>
      </c>
      <c r="D387">
        <f>IF($Q387="","",INDEX(상세표[직위],$Q387)&amp;"")</f>
        <v/>
      </c>
      <c r="E387">
        <f>IF($Q387="","",IF(ISNUMBER(INDEX(상세표[근무일자],$Q387)),TEXT(INDEX(상세표[근무일자],$Q387),"yyyy-mm-dd"),INDEX(상세표[근무일자],$Q387)&amp;""))</f>
        <v/>
      </c>
      <c r="F387">
        <f>IF($Q387="","",IF(ISNUMBER(INDEX(상세표[시작],$Q387)),TEXT(INDEX(상세표[시작],$Q387),"yyyy-mm-dd hh:mm"),INDEX(상세표[시작],$Q387)&amp;""))</f>
        <v/>
      </c>
      <c r="G387">
        <f>IF($Q387="","",IF(ISNUMBER(INDEX(상세표[블록종료],$Q387)),TEXT(INDEX(상세표[블록종료],$Q387),"yyyy-mm-dd hh:mm"),INDEX(상세표[블록종료],$Q387)&amp;""))</f>
        <v/>
      </c>
      <c r="H387">
        <f>IF($Q387="","",CHOOSE(WEEKDAY(INDEX(상세표[시작],$Q387)),"일","월","화","수","목","금","토"))</f>
        <v/>
      </c>
      <c r="I387" s="20">
        <f>IF($Q387="","",INDEX(상세표[연속 시간],$Q387))</f>
        <v/>
      </c>
      <c r="J387">
        <f>IF($Q387="","",INDEX(상세표[기록 수],$Q387))</f>
        <v/>
      </c>
      <c r="K387" s="20">
        <f>IF($Q387="","",INDEX(상세표[블록 06~07시],$Q387))</f>
        <v/>
      </c>
      <c r="L387" s="20">
        <f>IF($Q387="","",INDEX(상세표[블록 07~18시],$Q387))</f>
        <v/>
      </c>
      <c r="M387" s="20">
        <f>IF($Q387="","",INDEX(상세표[블록 18~22시],$Q387))</f>
        <v/>
      </c>
      <c r="N387" s="20">
        <f>IF($Q387="","",INDEX(상세표[블록 22~06시],$Q387))</f>
        <v/>
      </c>
      <c r="O387">
        <f>IF($Q387="","",INDEX(상세표[주말·휴일 포함],$Q387)&amp;"")</f>
        <v/>
      </c>
      <c r="P387">
        <f>IF($Q387="","",INDEX(상세표[월 넘김 포함],$Q387)&amp;"")</f>
        <v/>
      </c>
      <c r="Q387" s="4">
        <f>IFERROR(MATCH(382,상세표[연속순번],0),"")</f>
        <v/>
      </c>
    </row>
    <row r="388">
      <c r="A388">
        <f>IF($Q388="","",INDEX(상세표[부서],$Q388)&amp;"")</f>
        <v/>
      </c>
      <c r="B388">
        <f>IF($Q388="","",INDEX(상세표[사번],$Q388)&amp;"")</f>
        <v/>
      </c>
      <c r="C388">
        <f>IF($Q388="","",INDEX(상세표[성명],$Q388)&amp;"")</f>
        <v/>
      </c>
      <c r="D388">
        <f>IF($Q388="","",INDEX(상세표[직위],$Q388)&amp;"")</f>
        <v/>
      </c>
      <c r="E388">
        <f>IF($Q388="","",IF(ISNUMBER(INDEX(상세표[근무일자],$Q388)),TEXT(INDEX(상세표[근무일자],$Q388),"yyyy-mm-dd"),INDEX(상세표[근무일자],$Q388)&amp;""))</f>
        <v/>
      </c>
      <c r="F388">
        <f>IF($Q388="","",IF(ISNUMBER(INDEX(상세표[시작],$Q388)),TEXT(INDEX(상세표[시작],$Q388),"yyyy-mm-dd hh:mm"),INDEX(상세표[시작],$Q388)&amp;""))</f>
        <v/>
      </c>
      <c r="G388">
        <f>IF($Q388="","",IF(ISNUMBER(INDEX(상세표[블록종료],$Q388)),TEXT(INDEX(상세표[블록종료],$Q388),"yyyy-mm-dd hh:mm"),INDEX(상세표[블록종료],$Q388)&amp;""))</f>
        <v/>
      </c>
      <c r="H388">
        <f>IF($Q388="","",CHOOSE(WEEKDAY(INDEX(상세표[시작],$Q388)),"일","월","화","수","목","금","토"))</f>
        <v/>
      </c>
      <c r="I388" s="20">
        <f>IF($Q388="","",INDEX(상세표[연속 시간],$Q388))</f>
        <v/>
      </c>
      <c r="J388">
        <f>IF($Q388="","",INDEX(상세표[기록 수],$Q388))</f>
        <v/>
      </c>
      <c r="K388" s="20">
        <f>IF($Q388="","",INDEX(상세표[블록 06~07시],$Q388))</f>
        <v/>
      </c>
      <c r="L388" s="20">
        <f>IF($Q388="","",INDEX(상세표[블록 07~18시],$Q388))</f>
        <v/>
      </c>
      <c r="M388" s="20">
        <f>IF($Q388="","",INDEX(상세표[블록 18~22시],$Q388))</f>
        <v/>
      </c>
      <c r="N388" s="20">
        <f>IF($Q388="","",INDEX(상세표[블록 22~06시],$Q388))</f>
        <v/>
      </c>
      <c r="O388">
        <f>IF($Q388="","",INDEX(상세표[주말·휴일 포함],$Q388)&amp;"")</f>
        <v/>
      </c>
      <c r="P388">
        <f>IF($Q388="","",INDEX(상세표[월 넘김 포함],$Q388)&amp;"")</f>
        <v/>
      </c>
      <c r="Q388" s="4">
        <f>IFERROR(MATCH(383,상세표[연속순번],0),"")</f>
        <v/>
      </c>
    </row>
    <row r="389">
      <c r="A389">
        <f>IF($Q389="","",INDEX(상세표[부서],$Q389)&amp;"")</f>
        <v/>
      </c>
      <c r="B389">
        <f>IF($Q389="","",INDEX(상세표[사번],$Q389)&amp;"")</f>
        <v/>
      </c>
      <c r="C389">
        <f>IF($Q389="","",INDEX(상세표[성명],$Q389)&amp;"")</f>
        <v/>
      </c>
      <c r="D389">
        <f>IF($Q389="","",INDEX(상세표[직위],$Q389)&amp;"")</f>
        <v/>
      </c>
      <c r="E389">
        <f>IF($Q389="","",IF(ISNUMBER(INDEX(상세표[근무일자],$Q389)),TEXT(INDEX(상세표[근무일자],$Q389),"yyyy-mm-dd"),INDEX(상세표[근무일자],$Q389)&amp;""))</f>
        <v/>
      </c>
      <c r="F389">
        <f>IF($Q389="","",IF(ISNUMBER(INDEX(상세표[시작],$Q389)),TEXT(INDEX(상세표[시작],$Q389),"yyyy-mm-dd hh:mm"),INDEX(상세표[시작],$Q389)&amp;""))</f>
        <v/>
      </c>
      <c r="G389">
        <f>IF($Q389="","",IF(ISNUMBER(INDEX(상세표[블록종료],$Q389)),TEXT(INDEX(상세표[블록종료],$Q389),"yyyy-mm-dd hh:mm"),INDEX(상세표[블록종료],$Q389)&amp;""))</f>
        <v/>
      </c>
      <c r="H389">
        <f>IF($Q389="","",CHOOSE(WEEKDAY(INDEX(상세표[시작],$Q389)),"일","월","화","수","목","금","토"))</f>
        <v/>
      </c>
      <c r="I389" s="20">
        <f>IF($Q389="","",INDEX(상세표[연속 시간],$Q389))</f>
        <v/>
      </c>
      <c r="J389">
        <f>IF($Q389="","",INDEX(상세표[기록 수],$Q389))</f>
        <v/>
      </c>
      <c r="K389" s="20">
        <f>IF($Q389="","",INDEX(상세표[블록 06~07시],$Q389))</f>
        <v/>
      </c>
      <c r="L389" s="20">
        <f>IF($Q389="","",INDEX(상세표[블록 07~18시],$Q389))</f>
        <v/>
      </c>
      <c r="M389" s="20">
        <f>IF($Q389="","",INDEX(상세표[블록 18~22시],$Q389))</f>
        <v/>
      </c>
      <c r="N389" s="20">
        <f>IF($Q389="","",INDEX(상세표[블록 22~06시],$Q389))</f>
        <v/>
      </c>
      <c r="O389">
        <f>IF($Q389="","",INDEX(상세표[주말·휴일 포함],$Q389)&amp;"")</f>
        <v/>
      </c>
      <c r="P389">
        <f>IF($Q389="","",INDEX(상세표[월 넘김 포함],$Q389)&amp;"")</f>
        <v/>
      </c>
      <c r="Q389" s="4">
        <f>IFERROR(MATCH(384,상세표[연속순번],0),"")</f>
        <v/>
      </c>
    </row>
    <row r="390">
      <c r="A390">
        <f>IF($Q390="","",INDEX(상세표[부서],$Q390)&amp;"")</f>
        <v/>
      </c>
      <c r="B390">
        <f>IF($Q390="","",INDEX(상세표[사번],$Q390)&amp;"")</f>
        <v/>
      </c>
      <c r="C390">
        <f>IF($Q390="","",INDEX(상세표[성명],$Q390)&amp;"")</f>
        <v/>
      </c>
      <c r="D390">
        <f>IF($Q390="","",INDEX(상세표[직위],$Q390)&amp;"")</f>
        <v/>
      </c>
      <c r="E390">
        <f>IF($Q390="","",IF(ISNUMBER(INDEX(상세표[근무일자],$Q390)),TEXT(INDEX(상세표[근무일자],$Q390),"yyyy-mm-dd"),INDEX(상세표[근무일자],$Q390)&amp;""))</f>
        <v/>
      </c>
      <c r="F390">
        <f>IF($Q390="","",IF(ISNUMBER(INDEX(상세표[시작],$Q390)),TEXT(INDEX(상세표[시작],$Q390),"yyyy-mm-dd hh:mm"),INDEX(상세표[시작],$Q390)&amp;""))</f>
        <v/>
      </c>
      <c r="G390">
        <f>IF($Q390="","",IF(ISNUMBER(INDEX(상세표[블록종료],$Q390)),TEXT(INDEX(상세표[블록종료],$Q390),"yyyy-mm-dd hh:mm"),INDEX(상세표[블록종료],$Q390)&amp;""))</f>
        <v/>
      </c>
      <c r="H390">
        <f>IF($Q390="","",CHOOSE(WEEKDAY(INDEX(상세표[시작],$Q390)),"일","월","화","수","목","금","토"))</f>
        <v/>
      </c>
      <c r="I390" s="20">
        <f>IF($Q390="","",INDEX(상세표[연속 시간],$Q390))</f>
        <v/>
      </c>
      <c r="J390">
        <f>IF($Q390="","",INDEX(상세표[기록 수],$Q390))</f>
        <v/>
      </c>
      <c r="K390" s="20">
        <f>IF($Q390="","",INDEX(상세표[블록 06~07시],$Q390))</f>
        <v/>
      </c>
      <c r="L390" s="20">
        <f>IF($Q390="","",INDEX(상세표[블록 07~18시],$Q390))</f>
        <v/>
      </c>
      <c r="M390" s="20">
        <f>IF($Q390="","",INDEX(상세표[블록 18~22시],$Q390))</f>
        <v/>
      </c>
      <c r="N390" s="20">
        <f>IF($Q390="","",INDEX(상세표[블록 22~06시],$Q390))</f>
        <v/>
      </c>
      <c r="O390">
        <f>IF($Q390="","",INDEX(상세표[주말·휴일 포함],$Q390)&amp;"")</f>
        <v/>
      </c>
      <c r="P390">
        <f>IF($Q390="","",INDEX(상세표[월 넘김 포함],$Q390)&amp;"")</f>
        <v/>
      </c>
      <c r="Q390" s="4">
        <f>IFERROR(MATCH(385,상세표[연속순번],0),"")</f>
        <v/>
      </c>
    </row>
    <row r="391">
      <c r="A391">
        <f>IF($Q391="","",INDEX(상세표[부서],$Q391)&amp;"")</f>
        <v/>
      </c>
      <c r="B391">
        <f>IF($Q391="","",INDEX(상세표[사번],$Q391)&amp;"")</f>
        <v/>
      </c>
      <c r="C391">
        <f>IF($Q391="","",INDEX(상세표[성명],$Q391)&amp;"")</f>
        <v/>
      </c>
      <c r="D391">
        <f>IF($Q391="","",INDEX(상세표[직위],$Q391)&amp;"")</f>
        <v/>
      </c>
      <c r="E391">
        <f>IF($Q391="","",IF(ISNUMBER(INDEX(상세표[근무일자],$Q391)),TEXT(INDEX(상세표[근무일자],$Q391),"yyyy-mm-dd"),INDEX(상세표[근무일자],$Q391)&amp;""))</f>
        <v/>
      </c>
      <c r="F391">
        <f>IF($Q391="","",IF(ISNUMBER(INDEX(상세표[시작],$Q391)),TEXT(INDEX(상세표[시작],$Q391),"yyyy-mm-dd hh:mm"),INDEX(상세표[시작],$Q391)&amp;""))</f>
        <v/>
      </c>
      <c r="G391">
        <f>IF($Q391="","",IF(ISNUMBER(INDEX(상세표[블록종료],$Q391)),TEXT(INDEX(상세표[블록종료],$Q391),"yyyy-mm-dd hh:mm"),INDEX(상세표[블록종료],$Q391)&amp;""))</f>
        <v/>
      </c>
      <c r="H391">
        <f>IF($Q391="","",CHOOSE(WEEKDAY(INDEX(상세표[시작],$Q391)),"일","월","화","수","목","금","토"))</f>
        <v/>
      </c>
      <c r="I391" s="20">
        <f>IF($Q391="","",INDEX(상세표[연속 시간],$Q391))</f>
        <v/>
      </c>
      <c r="J391">
        <f>IF($Q391="","",INDEX(상세표[기록 수],$Q391))</f>
        <v/>
      </c>
      <c r="K391" s="20">
        <f>IF($Q391="","",INDEX(상세표[블록 06~07시],$Q391))</f>
        <v/>
      </c>
      <c r="L391" s="20">
        <f>IF($Q391="","",INDEX(상세표[블록 07~18시],$Q391))</f>
        <v/>
      </c>
      <c r="M391" s="20">
        <f>IF($Q391="","",INDEX(상세표[블록 18~22시],$Q391))</f>
        <v/>
      </c>
      <c r="N391" s="20">
        <f>IF($Q391="","",INDEX(상세표[블록 22~06시],$Q391))</f>
        <v/>
      </c>
      <c r="O391">
        <f>IF($Q391="","",INDEX(상세표[주말·휴일 포함],$Q391)&amp;"")</f>
        <v/>
      </c>
      <c r="P391">
        <f>IF($Q391="","",INDEX(상세표[월 넘김 포함],$Q391)&amp;"")</f>
        <v/>
      </c>
      <c r="Q391" s="4">
        <f>IFERROR(MATCH(386,상세표[연속순번],0),"")</f>
        <v/>
      </c>
    </row>
    <row r="392">
      <c r="A392">
        <f>IF($Q392="","",INDEX(상세표[부서],$Q392)&amp;"")</f>
        <v/>
      </c>
      <c r="B392">
        <f>IF($Q392="","",INDEX(상세표[사번],$Q392)&amp;"")</f>
        <v/>
      </c>
      <c r="C392">
        <f>IF($Q392="","",INDEX(상세표[성명],$Q392)&amp;"")</f>
        <v/>
      </c>
      <c r="D392">
        <f>IF($Q392="","",INDEX(상세표[직위],$Q392)&amp;"")</f>
        <v/>
      </c>
      <c r="E392">
        <f>IF($Q392="","",IF(ISNUMBER(INDEX(상세표[근무일자],$Q392)),TEXT(INDEX(상세표[근무일자],$Q392),"yyyy-mm-dd"),INDEX(상세표[근무일자],$Q392)&amp;""))</f>
        <v/>
      </c>
      <c r="F392">
        <f>IF($Q392="","",IF(ISNUMBER(INDEX(상세표[시작],$Q392)),TEXT(INDEX(상세표[시작],$Q392),"yyyy-mm-dd hh:mm"),INDEX(상세표[시작],$Q392)&amp;""))</f>
        <v/>
      </c>
      <c r="G392">
        <f>IF($Q392="","",IF(ISNUMBER(INDEX(상세표[블록종료],$Q392)),TEXT(INDEX(상세표[블록종료],$Q392),"yyyy-mm-dd hh:mm"),INDEX(상세표[블록종료],$Q392)&amp;""))</f>
        <v/>
      </c>
      <c r="H392">
        <f>IF($Q392="","",CHOOSE(WEEKDAY(INDEX(상세표[시작],$Q392)),"일","월","화","수","목","금","토"))</f>
        <v/>
      </c>
      <c r="I392" s="20">
        <f>IF($Q392="","",INDEX(상세표[연속 시간],$Q392))</f>
        <v/>
      </c>
      <c r="J392">
        <f>IF($Q392="","",INDEX(상세표[기록 수],$Q392))</f>
        <v/>
      </c>
      <c r="K392" s="20">
        <f>IF($Q392="","",INDEX(상세표[블록 06~07시],$Q392))</f>
        <v/>
      </c>
      <c r="L392" s="20">
        <f>IF($Q392="","",INDEX(상세표[블록 07~18시],$Q392))</f>
        <v/>
      </c>
      <c r="M392" s="20">
        <f>IF($Q392="","",INDEX(상세표[블록 18~22시],$Q392))</f>
        <v/>
      </c>
      <c r="N392" s="20">
        <f>IF($Q392="","",INDEX(상세표[블록 22~06시],$Q392))</f>
        <v/>
      </c>
      <c r="O392">
        <f>IF($Q392="","",INDEX(상세표[주말·휴일 포함],$Q392)&amp;"")</f>
        <v/>
      </c>
      <c r="P392">
        <f>IF($Q392="","",INDEX(상세표[월 넘김 포함],$Q392)&amp;"")</f>
        <v/>
      </c>
      <c r="Q392" s="4">
        <f>IFERROR(MATCH(387,상세표[연속순번],0),"")</f>
        <v/>
      </c>
    </row>
    <row r="393">
      <c r="A393">
        <f>IF($Q393="","",INDEX(상세표[부서],$Q393)&amp;"")</f>
        <v/>
      </c>
      <c r="B393">
        <f>IF($Q393="","",INDEX(상세표[사번],$Q393)&amp;"")</f>
        <v/>
      </c>
      <c r="C393">
        <f>IF($Q393="","",INDEX(상세표[성명],$Q393)&amp;"")</f>
        <v/>
      </c>
      <c r="D393">
        <f>IF($Q393="","",INDEX(상세표[직위],$Q393)&amp;"")</f>
        <v/>
      </c>
      <c r="E393">
        <f>IF($Q393="","",IF(ISNUMBER(INDEX(상세표[근무일자],$Q393)),TEXT(INDEX(상세표[근무일자],$Q393),"yyyy-mm-dd"),INDEX(상세표[근무일자],$Q393)&amp;""))</f>
        <v/>
      </c>
      <c r="F393">
        <f>IF($Q393="","",IF(ISNUMBER(INDEX(상세표[시작],$Q393)),TEXT(INDEX(상세표[시작],$Q393),"yyyy-mm-dd hh:mm"),INDEX(상세표[시작],$Q393)&amp;""))</f>
        <v/>
      </c>
      <c r="G393">
        <f>IF($Q393="","",IF(ISNUMBER(INDEX(상세표[블록종료],$Q393)),TEXT(INDEX(상세표[블록종료],$Q393),"yyyy-mm-dd hh:mm"),INDEX(상세표[블록종료],$Q393)&amp;""))</f>
        <v/>
      </c>
      <c r="H393">
        <f>IF($Q393="","",CHOOSE(WEEKDAY(INDEX(상세표[시작],$Q393)),"일","월","화","수","목","금","토"))</f>
        <v/>
      </c>
      <c r="I393" s="20">
        <f>IF($Q393="","",INDEX(상세표[연속 시간],$Q393))</f>
        <v/>
      </c>
      <c r="J393">
        <f>IF($Q393="","",INDEX(상세표[기록 수],$Q393))</f>
        <v/>
      </c>
      <c r="K393" s="20">
        <f>IF($Q393="","",INDEX(상세표[블록 06~07시],$Q393))</f>
        <v/>
      </c>
      <c r="L393" s="20">
        <f>IF($Q393="","",INDEX(상세표[블록 07~18시],$Q393))</f>
        <v/>
      </c>
      <c r="M393" s="20">
        <f>IF($Q393="","",INDEX(상세표[블록 18~22시],$Q393))</f>
        <v/>
      </c>
      <c r="N393" s="20">
        <f>IF($Q393="","",INDEX(상세표[블록 22~06시],$Q393))</f>
        <v/>
      </c>
      <c r="O393">
        <f>IF($Q393="","",INDEX(상세표[주말·휴일 포함],$Q393)&amp;"")</f>
        <v/>
      </c>
      <c r="P393">
        <f>IF($Q393="","",INDEX(상세표[월 넘김 포함],$Q393)&amp;"")</f>
        <v/>
      </c>
      <c r="Q393" s="4">
        <f>IFERROR(MATCH(388,상세표[연속순번],0),"")</f>
        <v/>
      </c>
    </row>
    <row r="394">
      <c r="A394">
        <f>IF($Q394="","",INDEX(상세표[부서],$Q394)&amp;"")</f>
        <v/>
      </c>
      <c r="B394">
        <f>IF($Q394="","",INDEX(상세표[사번],$Q394)&amp;"")</f>
        <v/>
      </c>
      <c r="C394">
        <f>IF($Q394="","",INDEX(상세표[성명],$Q394)&amp;"")</f>
        <v/>
      </c>
      <c r="D394">
        <f>IF($Q394="","",INDEX(상세표[직위],$Q394)&amp;"")</f>
        <v/>
      </c>
      <c r="E394">
        <f>IF($Q394="","",IF(ISNUMBER(INDEX(상세표[근무일자],$Q394)),TEXT(INDEX(상세표[근무일자],$Q394),"yyyy-mm-dd"),INDEX(상세표[근무일자],$Q394)&amp;""))</f>
        <v/>
      </c>
      <c r="F394">
        <f>IF($Q394="","",IF(ISNUMBER(INDEX(상세표[시작],$Q394)),TEXT(INDEX(상세표[시작],$Q394),"yyyy-mm-dd hh:mm"),INDEX(상세표[시작],$Q394)&amp;""))</f>
        <v/>
      </c>
      <c r="G394">
        <f>IF($Q394="","",IF(ISNUMBER(INDEX(상세표[블록종료],$Q394)),TEXT(INDEX(상세표[블록종료],$Q394),"yyyy-mm-dd hh:mm"),INDEX(상세표[블록종료],$Q394)&amp;""))</f>
        <v/>
      </c>
      <c r="H394">
        <f>IF($Q394="","",CHOOSE(WEEKDAY(INDEX(상세표[시작],$Q394)),"일","월","화","수","목","금","토"))</f>
        <v/>
      </c>
      <c r="I394" s="20">
        <f>IF($Q394="","",INDEX(상세표[연속 시간],$Q394))</f>
        <v/>
      </c>
      <c r="J394">
        <f>IF($Q394="","",INDEX(상세표[기록 수],$Q394))</f>
        <v/>
      </c>
      <c r="K394" s="20">
        <f>IF($Q394="","",INDEX(상세표[블록 06~07시],$Q394))</f>
        <v/>
      </c>
      <c r="L394" s="20">
        <f>IF($Q394="","",INDEX(상세표[블록 07~18시],$Q394))</f>
        <v/>
      </c>
      <c r="M394" s="20">
        <f>IF($Q394="","",INDEX(상세표[블록 18~22시],$Q394))</f>
        <v/>
      </c>
      <c r="N394" s="20">
        <f>IF($Q394="","",INDEX(상세표[블록 22~06시],$Q394))</f>
        <v/>
      </c>
      <c r="O394">
        <f>IF($Q394="","",INDEX(상세표[주말·휴일 포함],$Q394)&amp;"")</f>
        <v/>
      </c>
      <c r="P394">
        <f>IF($Q394="","",INDEX(상세표[월 넘김 포함],$Q394)&amp;"")</f>
        <v/>
      </c>
      <c r="Q394" s="4">
        <f>IFERROR(MATCH(389,상세표[연속순번],0),"")</f>
        <v/>
      </c>
    </row>
    <row r="395">
      <c r="A395">
        <f>IF($Q395="","",INDEX(상세표[부서],$Q395)&amp;"")</f>
        <v/>
      </c>
      <c r="B395">
        <f>IF($Q395="","",INDEX(상세표[사번],$Q395)&amp;"")</f>
        <v/>
      </c>
      <c r="C395">
        <f>IF($Q395="","",INDEX(상세표[성명],$Q395)&amp;"")</f>
        <v/>
      </c>
      <c r="D395">
        <f>IF($Q395="","",INDEX(상세표[직위],$Q395)&amp;"")</f>
        <v/>
      </c>
      <c r="E395">
        <f>IF($Q395="","",IF(ISNUMBER(INDEX(상세표[근무일자],$Q395)),TEXT(INDEX(상세표[근무일자],$Q395),"yyyy-mm-dd"),INDEX(상세표[근무일자],$Q395)&amp;""))</f>
        <v/>
      </c>
      <c r="F395">
        <f>IF($Q395="","",IF(ISNUMBER(INDEX(상세표[시작],$Q395)),TEXT(INDEX(상세표[시작],$Q395),"yyyy-mm-dd hh:mm"),INDEX(상세표[시작],$Q395)&amp;""))</f>
        <v/>
      </c>
      <c r="G395">
        <f>IF($Q395="","",IF(ISNUMBER(INDEX(상세표[블록종료],$Q395)),TEXT(INDEX(상세표[블록종료],$Q395),"yyyy-mm-dd hh:mm"),INDEX(상세표[블록종료],$Q395)&amp;""))</f>
        <v/>
      </c>
      <c r="H395">
        <f>IF($Q395="","",CHOOSE(WEEKDAY(INDEX(상세표[시작],$Q395)),"일","월","화","수","목","금","토"))</f>
        <v/>
      </c>
      <c r="I395" s="20">
        <f>IF($Q395="","",INDEX(상세표[연속 시간],$Q395))</f>
        <v/>
      </c>
      <c r="J395">
        <f>IF($Q395="","",INDEX(상세표[기록 수],$Q395))</f>
        <v/>
      </c>
      <c r="K395" s="20">
        <f>IF($Q395="","",INDEX(상세표[블록 06~07시],$Q395))</f>
        <v/>
      </c>
      <c r="L395" s="20">
        <f>IF($Q395="","",INDEX(상세표[블록 07~18시],$Q395))</f>
        <v/>
      </c>
      <c r="M395" s="20">
        <f>IF($Q395="","",INDEX(상세표[블록 18~22시],$Q395))</f>
        <v/>
      </c>
      <c r="N395" s="20">
        <f>IF($Q395="","",INDEX(상세표[블록 22~06시],$Q395))</f>
        <v/>
      </c>
      <c r="O395">
        <f>IF($Q395="","",INDEX(상세표[주말·휴일 포함],$Q395)&amp;"")</f>
        <v/>
      </c>
      <c r="P395">
        <f>IF($Q395="","",INDEX(상세표[월 넘김 포함],$Q395)&amp;"")</f>
        <v/>
      </c>
      <c r="Q395" s="4">
        <f>IFERROR(MATCH(390,상세표[연속순번],0),"")</f>
        <v/>
      </c>
    </row>
    <row r="396">
      <c r="A396">
        <f>IF($Q396="","",INDEX(상세표[부서],$Q396)&amp;"")</f>
        <v/>
      </c>
      <c r="B396">
        <f>IF($Q396="","",INDEX(상세표[사번],$Q396)&amp;"")</f>
        <v/>
      </c>
      <c r="C396">
        <f>IF($Q396="","",INDEX(상세표[성명],$Q396)&amp;"")</f>
        <v/>
      </c>
      <c r="D396">
        <f>IF($Q396="","",INDEX(상세표[직위],$Q396)&amp;"")</f>
        <v/>
      </c>
      <c r="E396">
        <f>IF($Q396="","",IF(ISNUMBER(INDEX(상세표[근무일자],$Q396)),TEXT(INDEX(상세표[근무일자],$Q396),"yyyy-mm-dd"),INDEX(상세표[근무일자],$Q396)&amp;""))</f>
        <v/>
      </c>
      <c r="F396">
        <f>IF($Q396="","",IF(ISNUMBER(INDEX(상세표[시작],$Q396)),TEXT(INDEX(상세표[시작],$Q396),"yyyy-mm-dd hh:mm"),INDEX(상세표[시작],$Q396)&amp;""))</f>
        <v/>
      </c>
      <c r="G396">
        <f>IF($Q396="","",IF(ISNUMBER(INDEX(상세표[블록종료],$Q396)),TEXT(INDEX(상세표[블록종료],$Q396),"yyyy-mm-dd hh:mm"),INDEX(상세표[블록종료],$Q396)&amp;""))</f>
        <v/>
      </c>
      <c r="H396">
        <f>IF($Q396="","",CHOOSE(WEEKDAY(INDEX(상세표[시작],$Q396)),"일","월","화","수","목","금","토"))</f>
        <v/>
      </c>
      <c r="I396" s="20">
        <f>IF($Q396="","",INDEX(상세표[연속 시간],$Q396))</f>
        <v/>
      </c>
      <c r="J396">
        <f>IF($Q396="","",INDEX(상세표[기록 수],$Q396))</f>
        <v/>
      </c>
      <c r="K396" s="20">
        <f>IF($Q396="","",INDEX(상세표[블록 06~07시],$Q396))</f>
        <v/>
      </c>
      <c r="L396" s="20">
        <f>IF($Q396="","",INDEX(상세표[블록 07~18시],$Q396))</f>
        <v/>
      </c>
      <c r="M396" s="20">
        <f>IF($Q396="","",INDEX(상세표[블록 18~22시],$Q396))</f>
        <v/>
      </c>
      <c r="N396" s="20">
        <f>IF($Q396="","",INDEX(상세표[블록 22~06시],$Q396))</f>
        <v/>
      </c>
      <c r="O396">
        <f>IF($Q396="","",INDEX(상세표[주말·휴일 포함],$Q396)&amp;"")</f>
        <v/>
      </c>
      <c r="P396">
        <f>IF($Q396="","",INDEX(상세표[월 넘김 포함],$Q396)&amp;"")</f>
        <v/>
      </c>
      <c r="Q396" s="4">
        <f>IFERROR(MATCH(391,상세표[연속순번],0),"")</f>
        <v/>
      </c>
    </row>
    <row r="397">
      <c r="A397">
        <f>IF($Q397="","",INDEX(상세표[부서],$Q397)&amp;"")</f>
        <v/>
      </c>
      <c r="B397">
        <f>IF($Q397="","",INDEX(상세표[사번],$Q397)&amp;"")</f>
        <v/>
      </c>
      <c r="C397">
        <f>IF($Q397="","",INDEX(상세표[성명],$Q397)&amp;"")</f>
        <v/>
      </c>
      <c r="D397">
        <f>IF($Q397="","",INDEX(상세표[직위],$Q397)&amp;"")</f>
        <v/>
      </c>
      <c r="E397">
        <f>IF($Q397="","",IF(ISNUMBER(INDEX(상세표[근무일자],$Q397)),TEXT(INDEX(상세표[근무일자],$Q397),"yyyy-mm-dd"),INDEX(상세표[근무일자],$Q397)&amp;""))</f>
        <v/>
      </c>
      <c r="F397">
        <f>IF($Q397="","",IF(ISNUMBER(INDEX(상세표[시작],$Q397)),TEXT(INDEX(상세표[시작],$Q397),"yyyy-mm-dd hh:mm"),INDEX(상세표[시작],$Q397)&amp;""))</f>
        <v/>
      </c>
      <c r="G397">
        <f>IF($Q397="","",IF(ISNUMBER(INDEX(상세표[블록종료],$Q397)),TEXT(INDEX(상세표[블록종료],$Q397),"yyyy-mm-dd hh:mm"),INDEX(상세표[블록종료],$Q397)&amp;""))</f>
        <v/>
      </c>
      <c r="H397">
        <f>IF($Q397="","",CHOOSE(WEEKDAY(INDEX(상세표[시작],$Q397)),"일","월","화","수","목","금","토"))</f>
        <v/>
      </c>
      <c r="I397" s="20">
        <f>IF($Q397="","",INDEX(상세표[연속 시간],$Q397))</f>
        <v/>
      </c>
      <c r="J397">
        <f>IF($Q397="","",INDEX(상세표[기록 수],$Q397))</f>
        <v/>
      </c>
      <c r="K397" s="20">
        <f>IF($Q397="","",INDEX(상세표[블록 06~07시],$Q397))</f>
        <v/>
      </c>
      <c r="L397" s="20">
        <f>IF($Q397="","",INDEX(상세표[블록 07~18시],$Q397))</f>
        <v/>
      </c>
      <c r="M397" s="20">
        <f>IF($Q397="","",INDEX(상세표[블록 18~22시],$Q397))</f>
        <v/>
      </c>
      <c r="N397" s="20">
        <f>IF($Q397="","",INDEX(상세표[블록 22~06시],$Q397))</f>
        <v/>
      </c>
      <c r="O397">
        <f>IF($Q397="","",INDEX(상세표[주말·휴일 포함],$Q397)&amp;"")</f>
        <v/>
      </c>
      <c r="P397">
        <f>IF($Q397="","",INDEX(상세표[월 넘김 포함],$Q397)&amp;"")</f>
        <v/>
      </c>
      <c r="Q397" s="4">
        <f>IFERROR(MATCH(392,상세표[연속순번],0),"")</f>
        <v/>
      </c>
    </row>
    <row r="398">
      <c r="A398">
        <f>IF($Q398="","",INDEX(상세표[부서],$Q398)&amp;"")</f>
        <v/>
      </c>
      <c r="B398">
        <f>IF($Q398="","",INDEX(상세표[사번],$Q398)&amp;"")</f>
        <v/>
      </c>
      <c r="C398">
        <f>IF($Q398="","",INDEX(상세표[성명],$Q398)&amp;"")</f>
        <v/>
      </c>
      <c r="D398">
        <f>IF($Q398="","",INDEX(상세표[직위],$Q398)&amp;"")</f>
        <v/>
      </c>
      <c r="E398">
        <f>IF($Q398="","",IF(ISNUMBER(INDEX(상세표[근무일자],$Q398)),TEXT(INDEX(상세표[근무일자],$Q398),"yyyy-mm-dd"),INDEX(상세표[근무일자],$Q398)&amp;""))</f>
        <v/>
      </c>
      <c r="F398">
        <f>IF($Q398="","",IF(ISNUMBER(INDEX(상세표[시작],$Q398)),TEXT(INDEX(상세표[시작],$Q398),"yyyy-mm-dd hh:mm"),INDEX(상세표[시작],$Q398)&amp;""))</f>
        <v/>
      </c>
      <c r="G398">
        <f>IF($Q398="","",IF(ISNUMBER(INDEX(상세표[블록종료],$Q398)),TEXT(INDEX(상세표[블록종료],$Q398),"yyyy-mm-dd hh:mm"),INDEX(상세표[블록종료],$Q398)&amp;""))</f>
        <v/>
      </c>
      <c r="H398">
        <f>IF($Q398="","",CHOOSE(WEEKDAY(INDEX(상세표[시작],$Q398)),"일","월","화","수","목","금","토"))</f>
        <v/>
      </c>
      <c r="I398" s="20">
        <f>IF($Q398="","",INDEX(상세표[연속 시간],$Q398))</f>
        <v/>
      </c>
      <c r="J398">
        <f>IF($Q398="","",INDEX(상세표[기록 수],$Q398))</f>
        <v/>
      </c>
      <c r="K398" s="20">
        <f>IF($Q398="","",INDEX(상세표[블록 06~07시],$Q398))</f>
        <v/>
      </c>
      <c r="L398" s="20">
        <f>IF($Q398="","",INDEX(상세표[블록 07~18시],$Q398))</f>
        <v/>
      </c>
      <c r="M398" s="20">
        <f>IF($Q398="","",INDEX(상세표[블록 18~22시],$Q398))</f>
        <v/>
      </c>
      <c r="N398" s="20">
        <f>IF($Q398="","",INDEX(상세표[블록 22~06시],$Q398))</f>
        <v/>
      </c>
      <c r="O398">
        <f>IF($Q398="","",INDEX(상세표[주말·휴일 포함],$Q398)&amp;"")</f>
        <v/>
      </c>
      <c r="P398">
        <f>IF($Q398="","",INDEX(상세표[월 넘김 포함],$Q398)&amp;"")</f>
        <v/>
      </c>
      <c r="Q398" s="4">
        <f>IFERROR(MATCH(393,상세표[연속순번],0),"")</f>
        <v/>
      </c>
    </row>
    <row r="399">
      <c r="A399">
        <f>IF($Q399="","",INDEX(상세표[부서],$Q399)&amp;"")</f>
        <v/>
      </c>
      <c r="B399">
        <f>IF($Q399="","",INDEX(상세표[사번],$Q399)&amp;"")</f>
        <v/>
      </c>
      <c r="C399">
        <f>IF($Q399="","",INDEX(상세표[성명],$Q399)&amp;"")</f>
        <v/>
      </c>
      <c r="D399">
        <f>IF($Q399="","",INDEX(상세표[직위],$Q399)&amp;"")</f>
        <v/>
      </c>
      <c r="E399">
        <f>IF($Q399="","",IF(ISNUMBER(INDEX(상세표[근무일자],$Q399)),TEXT(INDEX(상세표[근무일자],$Q399),"yyyy-mm-dd"),INDEX(상세표[근무일자],$Q399)&amp;""))</f>
        <v/>
      </c>
      <c r="F399">
        <f>IF($Q399="","",IF(ISNUMBER(INDEX(상세표[시작],$Q399)),TEXT(INDEX(상세표[시작],$Q399),"yyyy-mm-dd hh:mm"),INDEX(상세표[시작],$Q399)&amp;""))</f>
        <v/>
      </c>
      <c r="G399">
        <f>IF($Q399="","",IF(ISNUMBER(INDEX(상세표[블록종료],$Q399)),TEXT(INDEX(상세표[블록종료],$Q399),"yyyy-mm-dd hh:mm"),INDEX(상세표[블록종료],$Q399)&amp;""))</f>
        <v/>
      </c>
      <c r="H399">
        <f>IF($Q399="","",CHOOSE(WEEKDAY(INDEX(상세표[시작],$Q399)),"일","월","화","수","목","금","토"))</f>
        <v/>
      </c>
      <c r="I399" s="20">
        <f>IF($Q399="","",INDEX(상세표[연속 시간],$Q399))</f>
        <v/>
      </c>
      <c r="J399">
        <f>IF($Q399="","",INDEX(상세표[기록 수],$Q399))</f>
        <v/>
      </c>
      <c r="K399" s="20">
        <f>IF($Q399="","",INDEX(상세표[블록 06~07시],$Q399))</f>
        <v/>
      </c>
      <c r="L399" s="20">
        <f>IF($Q399="","",INDEX(상세표[블록 07~18시],$Q399))</f>
        <v/>
      </c>
      <c r="M399" s="20">
        <f>IF($Q399="","",INDEX(상세표[블록 18~22시],$Q399))</f>
        <v/>
      </c>
      <c r="N399" s="20">
        <f>IF($Q399="","",INDEX(상세표[블록 22~06시],$Q399))</f>
        <v/>
      </c>
      <c r="O399">
        <f>IF($Q399="","",INDEX(상세표[주말·휴일 포함],$Q399)&amp;"")</f>
        <v/>
      </c>
      <c r="P399">
        <f>IF($Q399="","",INDEX(상세표[월 넘김 포함],$Q399)&amp;"")</f>
        <v/>
      </c>
      <c r="Q399" s="4">
        <f>IFERROR(MATCH(394,상세표[연속순번],0),"")</f>
        <v/>
      </c>
    </row>
    <row r="400">
      <c r="A400">
        <f>IF($Q400="","",INDEX(상세표[부서],$Q400)&amp;"")</f>
        <v/>
      </c>
      <c r="B400">
        <f>IF($Q400="","",INDEX(상세표[사번],$Q400)&amp;"")</f>
        <v/>
      </c>
      <c r="C400">
        <f>IF($Q400="","",INDEX(상세표[성명],$Q400)&amp;"")</f>
        <v/>
      </c>
      <c r="D400">
        <f>IF($Q400="","",INDEX(상세표[직위],$Q400)&amp;"")</f>
        <v/>
      </c>
      <c r="E400">
        <f>IF($Q400="","",IF(ISNUMBER(INDEX(상세표[근무일자],$Q400)),TEXT(INDEX(상세표[근무일자],$Q400),"yyyy-mm-dd"),INDEX(상세표[근무일자],$Q400)&amp;""))</f>
        <v/>
      </c>
      <c r="F400">
        <f>IF($Q400="","",IF(ISNUMBER(INDEX(상세표[시작],$Q400)),TEXT(INDEX(상세표[시작],$Q400),"yyyy-mm-dd hh:mm"),INDEX(상세표[시작],$Q400)&amp;""))</f>
        <v/>
      </c>
      <c r="G400">
        <f>IF($Q400="","",IF(ISNUMBER(INDEX(상세표[블록종료],$Q400)),TEXT(INDEX(상세표[블록종료],$Q400),"yyyy-mm-dd hh:mm"),INDEX(상세표[블록종료],$Q400)&amp;""))</f>
        <v/>
      </c>
      <c r="H400">
        <f>IF($Q400="","",CHOOSE(WEEKDAY(INDEX(상세표[시작],$Q400)),"일","월","화","수","목","금","토"))</f>
        <v/>
      </c>
      <c r="I400" s="20">
        <f>IF($Q400="","",INDEX(상세표[연속 시간],$Q400))</f>
        <v/>
      </c>
      <c r="J400">
        <f>IF($Q400="","",INDEX(상세표[기록 수],$Q400))</f>
        <v/>
      </c>
      <c r="K400" s="20">
        <f>IF($Q400="","",INDEX(상세표[블록 06~07시],$Q400))</f>
        <v/>
      </c>
      <c r="L400" s="20">
        <f>IF($Q400="","",INDEX(상세표[블록 07~18시],$Q400))</f>
        <v/>
      </c>
      <c r="M400" s="20">
        <f>IF($Q400="","",INDEX(상세표[블록 18~22시],$Q400))</f>
        <v/>
      </c>
      <c r="N400" s="20">
        <f>IF($Q400="","",INDEX(상세표[블록 22~06시],$Q400))</f>
        <v/>
      </c>
      <c r="O400">
        <f>IF($Q400="","",INDEX(상세표[주말·휴일 포함],$Q400)&amp;"")</f>
        <v/>
      </c>
      <c r="P400">
        <f>IF($Q400="","",INDEX(상세표[월 넘김 포함],$Q400)&amp;"")</f>
        <v/>
      </c>
      <c r="Q400" s="4">
        <f>IFERROR(MATCH(395,상세표[연속순번],0),"")</f>
        <v/>
      </c>
    </row>
    <row r="401">
      <c r="A401">
        <f>IF($Q401="","",INDEX(상세표[부서],$Q401)&amp;"")</f>
        <v/>
      </c>
      <c r="B401">
        <f>IF($Q401="","",INDEX(상세표[사번],$Q401)&amp;"")</f>
        <v/>
      </c>
      <c r="C401">
        <f>IF($Q401="","",INDEX(상세표[성명],$Q401)&amp;"")</f>
        <v/>
      </c>
      <c r="D401">
        <f>IF($Q401="","",INDEX(상세표[직위],$Q401)&amp;"")</f>
        <v/>
      </c>
      <c r="E401">
        <f>IF($Q401="","",IF(ISNUMBER(INDEX(상세표[근무일자],$Q401)),TEXT(INDEX(상세표[근무일자],$Q401),"yyyy-mm-dd"),INDEX(상세표[근무일자],$Q401)&amp;""))</f>
        <v/>
      </c>
      <c r="F401">
        <f>IF($Q401="","",IF(ISNUMBER(INDEX(상세표[시작],$Q401)),TEXT(INDEX(상세표[시작],$Q401),"yyyy-mm-dd hh:mm"),INDEX(상세표[시작],$Q401)&amp;""))</f>
        <v/>
      </c>
      <c r="G401">
        <f>IF($Q401="","",IF(ISNUMBER(INDEX(상세표[블록종료],$Q401)),TEXT(INDEX(상세표[블록종료],$Q401),"yyyy-mm-dd hh:mm"),INDEX(상세표[블록종료],$Q401)&amp;""))</f>
        <v/>
      </c>
      <c r="H401">
        <f>IF($Q401="","",CHOOSE(WEEKDAY(INDEX(상세표[시작],$Q401)),"일","월","화","수","목","금","토"))</f>
        <v/>
      </c>
      <c r="I401" s="20">
        <f>IF($Q401="","",INDEX(상세표[연속 시간],$Q401))</f>
        <v/>
      </c>
      <c r="J401">
        <f>IF($Q401="","",INDEX(상세표[기록 수],$Q401))</f>
        <v/>
      </c>
      <c r="K401" s="20">
        <f>IF($Q401="","",INDEX(상세표[블록 06~07시],$Q401))</f>
        <v/>
      </c>
      <c r="L401" s="20">
        <f>IF($Q401="","",INDEX(상세표[블록 07~18시],$Q401))</f>
        <v/>
      </c>
      <c r="M401" s="20">
        <f>IF($Q401="","",INDEX(상세표[블록 18~22시],$Q401))</f>
        <v/>
      </c>
      <c r="N401" s="20">
        <f>IF($Q401="","",INDEX(상세표[블록 22~06시],$Q401))</f>
        <v/>
      </c>
      <c r="O401">
        <f>IF($Q401="","",INDEX(상세표[주말·휴일 포함],$Q401)&amp;"")</f>
        <v/>
      </c>
      <c r="P401">
        <f>IF($Q401="","",INDEX(상세표[월 넘김 포함],$Q401)&amp;"")</f>
        <v/>
      </c>
      <c r="Q401" s="4">
        <f>IFERROR(MATCH(396,상세표[연속순번],0),"")</f>
        <v/>
      </c>
    </row>
    <row r="402">
      <c r="A402">
        <f>IF($Q402="","",INDEX(상세표[부서],$Q402)&amp;"")</f>
        <v/>
      </c>
      <c r="B402">
        <f>IF($Q402="","",INDEX(상세표[사번],$Q402)&amp;"")</f>
        <v/>
      </c>
      <c r="C402">
        <f>IF($Q402="","",INDEX(상세표[성명],$Q402)&amp;"")</f>
        <v/>
      </c>
      <c r="D402">
        <f>IF($Q402="","",INDEX(상세표[직위],$Q402)&amp;"")</f>
        <v/>
      </c>
      <c r="E402">
        <f>IF($Q402="","",IF(ISNUMBER(INDEX(상세표[근무일자],$Q402)),TEXT(INDEX(상세표[근무일자],$Q402),"yyyy-mm-dd"),INDEX(상세표[근무일자],$Q402)&amp;""))</f>
        <v/>
      </c>
      <c r="F402">
        <f>IF($Q402="","",IF(ISNUMBER(INDEX(상세표[시작],$Q402)),TEXT(INDEX(상세표[시작],$Q402),"yyyy-mm-dd hh:mm"),INDEX(상세표[시작],$Q402)&amp;""))</f>
        <v/>
      </c>
      <c r="G402">
        <f>IF($Q402="","",IF(ISNUMBER(INDEX(상세표[블록종료],$Q402)),TEXT(INDEX(상세표[블록종료],$Q402),"yyyy-mm-dd hh:mm"),INDEX(상세표[블록종료],$Q402)&amp;""))</f>
        <v/>
      </c>
      <c r="H402">
        <f>IF($Q402="","",CHOOSE(WEEKDAY(INDEX(상세표[시작],$Q402)),"일","월","화","수","목","금","토"))</f>
        <v/>
      </c>
      <c r="I402" s="20">
        <f>IF($Q402="","",INDEX(상세표[연속 시간],$Q402))</f>
        <v/>
      </c>
      <c r="J402">
        <f>IF($Q402="","",INDEX(상세표[기록 수],$Q402))</f>
        <v/>
      </c>
      <c r="K402" s="20">
        <f>IF($Q402="","",INDEX(상세표[블록 06~07시],$Q402))</f>
        <v/>
      </c>
      <c r="L402" s="20">
        <f>IF($Q402="","",INDEX(상세표[블록 07~18시],$Q402))</f>
        <v/>
      </c>
      <c r="M402" s="20">
        <f>IF($Q402="","",INDEX(상세표[블록 18~22시],$Q402))</f>
        <v/>
      </c>
      <c r="N402" s="20">
        <f>IF($Q402="","",INDEX(상세표[블록 22~06시],$Q402))</f>
        <v/>
      </c>
      <c r="O402">
        <f>IF($Q402="","",INDEX(상세표[주말·휴일 포함],$Q402)&amp;"")</f>
        <v/>
      </c>
      <c r="P402">
        <f>IF($Q402="","",INDEX(상세표[월 넘김 포함],$Q402)&amp;"")</f>
        <v/>
      </c>
      <c r="Q402" s="4">
        <f>IFERROR(MATCH(397,상세표[연속순번],0),"")</f>
        <v/>
      </c>
    </row>
    <row r="403">
      <c r="A403">
        <f>IF($Q403="","",INDEX(상세표[부서],$Q403)&amp;"")</f>
        <v/>
      </c>
      <c r="B403">
        <f>IF($Q403="","",INDEX(상세표[사번],$Q403)&amp;"")</f>
        <v/>
      </c>
      <c r="C403">
        <f>IF($Q403="","",INDEX(상세표[성명],$Q403)&amp;"")</f>
        <v/>
      </c>
      <c r="D403">
        <f>IF($Q403="","",INDEX(상세표[직위],$Q403)&amp;"")</f>
        <v/>
      </c>
      <c r="E403">
        <f>IF($Q403="","",IF(ISNUMBER(INDEX(상세표[근무일자],$Q403)),TEXT(INDEX(상세표[근무일자],$Q403),"yyyy-mm-dd"),INDEX(상세표[근무일자],$Q403)&amp;""))</f>
        <v/>
      </c>
      <c r="F403">
        <f>IF($Q403="","",IF(ISNUMBER(INDEX(상세표[시작],$Q403)),TEXT(INDEX(상세표[시작],$Q403),"yyyy-mm-dd hh:mm"),INDEX(상세표[시작],$Q403)&amp;""))</f>
        <v/>
      </c>
      <c r="G403">
        <f>IF($Q403="","",IF(ISNUMBER(INDEX(상세표[블록종료],$Q403)),TEXT(INDEX(상세표[블록종료],$Q403),"yyyy-mm-dd hh:mm"),INDEX(상세표[블록종료],$Q403)&amp;""))</f>
        <v/>
      </c>
      <c r="H403">
        <f>IF($Q403="","",CHOOSE(WEEKDAY(INDEX(상세표[시작],$Q403)),"일","월","화","수","목","금","토"))</f>
        <v/>
      </c>
      <c r="I403" s="20">
        <f>IF($Q403="","",INDEX(상세표[연속 시간],$Q403))</f>
        <v/>
      </c>
      <c r="J403">
        <f>IF($Q403="","",INDEX(상세표[기록 수],$Q403))</f>
        <v/>
      </c>
      <c r="K403" s="20">
        <f>IF($Q403="","",INDEX(상세표[블록 06~07시],$Q403))</f>
        <v/>
      </c>
      <c r="L403" s="20">
        <f>IF($Q403="","",INDEX(상세표[블록 07~18시],$Q403))</f>
        <v/>
      </c>
      <c r="M403" s="20">
        <f>IF($Q403="","",INDEX(상세표[블록 18~22시],$Q403))</f>
        <v/>
      </c>
      <c r="N403" s="20">
        <f>IF($Q403="","",INDEX(상세표[블록 22~06시],$Q403))</f>
        <v/>
      </c>
      <c r="O403">
        <f>IF($Q403="","",INDEX(상세표[주말·휴일 포함],$Q403)&amp;"")</f>
        <v/>
      </c>
      <c r="P403">
        <f>IF($Q403="","",INDEX(상세표[월 넘김 포함],$Q403)&amp;"")</f>
        <v/>
      </c>
      <c r="Q403" s="4">
        <f>IFERROR(MATCH(398,상세표[연속순번],0),"")</f>
        <v/>
      </c>
    </row>
    <row r="404">
      <c r="A404">
        <f>IF($Q404="","",INDEX(상세표[부서],$Q404)&amp;"")</f>
        <v/>
      </c>
      <c r="B404">
        <f>IF($Q404="","",INDEX(상세표[사번],$Q404)&amp;"")</f>
        <v/>
      </c>
      <c r="C404">
        <f>IF($Q404="","",INDEX(상세표[성명],$Q404)&amp;"")</f>
        <v/>
      </c>
      <c r="D404">
        <f>IF($Q404="","",INDEX(상세표[직위],$Q404)&amp;"")</f>
        <v/>
      </c>
      <c r="E404">
        <f>IF($Q404="","",IF(ISNUMBER(INDEX(상세표[근무일자],$Q404)),TEXT(INDEX(상세표[근무일자],$Q404),"yyyy-mm-dd"),INDEX(상세표[근무일자],$Q404)&amp;""))</f>
        <v/>
      </c>
      <c r="F404">
        <f>IF($Q404="","",IF(ISNUMBER(INDEX(상세표[시작],$Q404)),TEXT(INDEX(상세표[시작],$Q404),"yyyy-mm-dd hh:mm"),INDEX(상세표[시작],$Q404)&amp;""))</f>
        <v/>
      </c>
      <c r="G404">
        <f>IF($Q404="","",IF(ISNUMBER(INDEX(상세표[블록종료],$Q404)),TEXT(INDEX(상세표[블록종료],$Q404),"yyyy-mm-dd hh:mm"),INDEX(상세표[블록종료],$Q404)&amp;""))</f>
        <v/>
      </c>
      <c r="H404">
        <f>IF($Q404="","",CHOOSE(WEEKDAY(INDEX(상세표[시작],$Q404)),"일","월","화","수","목","금","토"))</f>
        <v/>
      </c>
      <c r="I404" s="20">
        <f>IF($Q404="","",INDEX(상세표[연속 시간],$Q404))</f>
        <v/>
      </c>
      <c r="J404">
        <f>IF($Q404="","",INDEX(상세표[기록 수],$Q404))</f>
        <v/>
      </c>
      <c r="K404" s="20">
        <f>IF($Q404="","",INDEX(상세표[블록 06~07시],$Q404))</f>
        <v/>
      </c>
      <c r="L404" s="20">
        <f>IF($Q404="","",INDEX(상세표[블록 07~18시],$Q404))</f>
        <v/>
      </c>
      <c r="M404" s="20">
        <f>IF($Q404="","",INDEX(상세표[블록 18~22시],$Q404))</f>
        <v/>
      </c>
      <c r="N404" s="20">
        <f>IF($Q404="","",INDEX(상세표[블록 22~06시],$Q404))</f>
        <v/>
      </c>
      <c r="O404">
        <f>IF($Q404="","",INDEX(상세표[주말·휴일 포함],$Q404)&amp;"")</f>
        <v/>
      </c>
      <c r="P404">
        <f>IF($Q404="","",INDEX(상세표[월 넘김 포함],$Q404)&amp;"")</f>
        <v/>
      </c>
      <c r="Q404" s="4">
        <f>IFERROR(MATCH(399,상세표[연속순번],0),"")</f>
        <v/>
      </c>
    </row>
    <row r="405">
      <c r="A405">
        <f>IF($Q405="","",INDEX(상세표[부서],$Q405)&amp;"")</f>
        <v/>
      </c>
      <c r="B405">
        <f>IF($Q405="","",INDEX(상세표[사번],$Q405)&amp;"")</f>
        <v/>
      </c>
      <c r="C405">
        <f>IF($Q405="","",INDEX(상세표[성명],$Q405)&amp;"")</f>
        <v/>
      </c>
      <c r="D405">
        <f>IF($Q405="","",INDEX(상세표[직위],$Q405)&amp;"")</f>
        <v/>
      </c>
      <c r="E405">
        <f>IF($Q405="","",IF(ISNUMBER(INDEX(상세표[근무일자],$Q405)),TEXT(INDEX(상세표[근무일자],$Q405),"yyyy-mm-dd"),INDEX(상세표[근무일자],$Q405)&amp;""))</f>
        <v/>
      </c>
      <c r="F405">
        <f>IF($Q405="","",IF(ISNUMBER(INDEX(상세표[시작],$Q405)),TEXT(INDEX(상세표[시작],$Q405),"yyyy-mm-dd hh:mm"),INDEX(상세표[시작],$Q405)&amp;""))</f>
        <v/>
      </c>
      <c r="G405">
        <f>IF($Q405="","",IF(ISNUMBER(INDEX(상세표[블록종료],$Q405)),TEXT(INDEX(상세표[블록종료],$Q405),"yyyy-mm-dd hh:mm"),INDEX(상세표[블록종료],$Q405)&amp;""))</f>
        <v/>
      </c>
      <c r="H405">
        <f>IF($Q405="","",CHOOSE(WEEKDAY(INDEX(상세표[시작],$Q405)),"일","월","화","수","목","금","토"))</f>
        <v/>
      </c>
      <c r="I405" s="20">
        <f>IF($Q405="","",INDEX(상세표[연속 시간],$Q405))</f>
        <v/>
      </c>
      <c r="J405">
        <f>IF($Q405="","",INDEX(상세표[기록 수],$Q405))</f>
        <v/>
      </c>
      <c r="K405" s="20">
        <f>IF($Q405="","",INDEX(상세표[블록 06~07시],$Q405))</f>
        <v/>
      </c>
      <c r="L405" s="20">
        <f>IF($Q405="","",INDEX(상세표[블록 07~18시],$Q405))</f>
        <v/>
      </c>
      <c r="M405" s="20">
        <f>IF($Q405="","",INDEX(상세표[블록 18~22시],$Q405))</f>
        <v/>
      </c>
      <c r="N405" s="20">
        <f>IF($Q405="","",INDEX(상세표[블록 22~06시],$Q405))</f>
        <v/>
      </c>
      <c r="O405">
        <f>IF($Q405="","",INDEX(상세표[주말·휴일 포함],$Q405)&amp;"")</f>
        <v/>
      </c>
      <c r="P405">
        <f>IF($Q405="","",INDEX(상세표[월 넘김 포함],$Q405)&amp;"")</f>
        <v/>
      </c>
      <c r="Q405" s="4">
        <f>IFERROR(MATCH(400,상세표[연속순번],0),"")</f>
        <v/>
      </c>
    </row>
    <row r="406">
      <c r="A406">
        <f>IF($Q406="","",INDEX(상세표[부서],$Q406)&amp;"")</f>
        <v/>
      </c>
      <c r="B406">
        <f>IF($Q406="","",INDEX(상세표[사번],$Q406)&amp;"")</f>
        <v/>
      </c>
      <c r="C406">
        <f>IF($Q406="","",INDEX(상세표[성명],$Q406)&amp;"")</f>
        <v/>
      </c>
      <c r="D406">
        <f>IF($Q406="","",INDEX(상세표[직위],$Q406)&amp;"")</f>
        <v/>
      </c>
      <c r="E406">
        <f>IF($Q406="","",IF(ISNUMBER(INDEX(상세표[근무일자],$Q406)),TEXT(INDEX(상세표[근무일자],$Q406),"yyyy-mm-dd"),INDEX(상세표[근무일자],$Q406)&amp;""))</f>
        <v/>
      </c>
      <c r="F406">
        <f>IF($Q406="","",IF(ISNUMBER(INDEX(상세표[시작],$Q406)),TEXT(INDEX(상세표[시작],$Q406),"yyyy-mm-dd hh:mm"),INDEX(상세표[시작],$Q406)&amp;""))</f>
        <v/>
      </c>
      <c r="G406">
        <f>IF($Q406="","",IF(ISNUMBER(INDEX(상세표[블록종료],$Q406)),TEXT(INDEX(상세표[블록종료],$Q406),"yyyy-mm-dd hh:mm"),INDEX(상세표[블록종료],$Q406)&amp;""))</f>
        <v/>
      </c>
      <c r="H406">
        <f>IF($Q406="","",CHOOSE(WEEKDAY(INDEX(상세표[시작],$Q406)),"일","월","화","수","목","금","토"))</f>
        <v/>
      </c>
      <c r="I406" s="20">
        <f>IF($Q406="","",INDEX(상세표[연속 시간],$Q406))</f>
        <v/>
      </c>
      <c r="J406">
        <f>IF($Q406="","",INDEX(상세표[기록 수],$Q406))</f>
        <v/>
      </c>
      <c r="K406" s="20">
        <f>IF($Q406="","",INDEX(상세표[블록 06~07시],$Q406))</f>
        <v/>
      </c>
      <c r="L406" s="20">
        <f>IF($Q406="","",INDEX(상세표[블록 07~18시],$Q406))</f>
        <v/>
      </c>
      <c r="M406" s="20">
        <f>IF($Q406="","",INDEX(상세표[블록 18~22시],$Q406))</f>
        <v/>
      </c>
      <c r="N406" s="20">
        <f>IF($Q406="","",INDEX(상세표[블록 22~06시],$Q406))</f>
        <v/>
      </c>
      <c r="O406">
        <f>IF($Q406="","",INDEX(상세표[주말·휴일 포함],$Q406)&amp;"")</f>
        <v/>
      </c>
      <c r="P406">
        <f>IF($Q406="","",INDEX(상세표[월 넘김 포함],$Q406)&amp;"")</f>
        <v/>
      </c>
      <c r="Q406" s="4">
        <f>IFERROR(MATCH(401,상세표[연속순번],0),"")</f>
        <v/>
      </c>
    </row>
    <row r="407">
      <c r="A407">
        <f>IF($Q407="","",INDEX(상세표[부서],$Q407)&amp;"")</f>
        <v/>
      </c>
      <c r="B407">
        <f>IF($Q407="","",INDEX(상세표[사번],$Q407)&amp;"")</f>
        <v/>
      </c>
      <c r="C407">
        <f>IF($Q407="","",INDEX(상세표[성명],$Q407)&amp;"")</f>
        <v/>
      </c>
      <c r="D407">
        <f>IF($Q407="","",INDEX(상세표[직위],$Q407)&amp;"")</f>
        <v/>
      </c>
      <c r="E407">
        <f>IF($Q407="","",IF(ISNUMBER(INDEX(상세표[근무일자],$Q407)),TEXT(INDEX(상세표[근무일자],$Q407),"yyyy-mm-dd"),INDEX(상세표[근무일자],$Q407)&amp;""))</f>
        <v/>
      </c>
      <c r="F407">
        <f>IF($Q407="","",IF(ISNUMBER(INDEX(상세표[시작],$Q407)),TEXT(INDEX(상세표[시작],$Q407),"yyyy-mm-dd hh:mm"),INDEX(상세표[시작],$Q407)&amp;""))</f>
        <v/>
      </c>
      <c r="G407">
        <f>IF($Q407="","",IF(ISNUMBER(INDEX(상세표[블록종료],$Q407)),TEXT(INDEX(상세표[블록종료],$Q407),"yyyy-mm-dd hh:mm"),INDEX(상세표[블록종료],$Q407)&amp;""))</f>
        <v/>
      </c>
      <c r="H407">
        <f>IF($Q407="","",CHOOSE(WEEKDAY(INDEX(상세표[시작],$Q407)),"일","월","화","수","목","금","토"))</f>
        <v/>
      </c>
      <c r="I407" s="20">
        <f>IF($Q407="","",INDEX(상세표[연속 시간],$Q407))</f>
        <v/>
      </c>
      <c r="J407">
        <f>IF($Q407="","",INDEX(상세표[기록 수],$Q407))</f>
        <v/>
      </c>
      <c r="K407" s="20">
        <f>IF($Q407="","",INDEX(상세표[블록 06~07시],$Q407))</f>
        <v/>
      </c>
      <c r="L407" s="20">
        <f>IF($Q407="","",INDEX(상세표[블록 07~18시],$Q407))</f>
        <v/>
      </c>
      <c r="M407" s="20">
        <f>IF($Q407="","",INDEX(상세표[블록 18~22시],$Q407))</f>
        <v/>
      </c>
      <c r="N407" s="20">
        <f>IF($Q407="","",INDEX(상세표[블록 22~06시],$Q407))</f>
        <v/>
      </c>
      <c r="O407">
        <f>IF($Q407="","",INDEX(상세표[주말·휴일 포함],$Q407)&amp;"")</f>
        <v/>
      </c>
      <c r="P407">
        <f>IF($Q407="","",INDEX(상세표[월 넘김 포함],$Q407)&amp;"")</f>
        <v/>
      </c>
      <c r="Q407" s="4">
        <f>IFERROR(MATCH(402,상세표[연속순번],0),"")</f>
        <v/>
      </c>
    </row>
    <row r="408">
      <c r="A408">
        <f>IF($Q408="","",INDEX(상세표[부서],$Q408)&amp;"")</f>
        <v/>
      </c>
      <c r="B408">
        <f>IF($Q408="","",INDEX(상세표[사번],$Q408)&amp;"")</f>
        <v/>
      </c>
      <c r="C408">
        <f>IF($Q408="","",INDEX(상세표[성명],$Q408)&amp;"")</f>
        <v/>
      </c>
      <c r="D408">
        <f>IF($Q408="","",INDEX(상세표[직위],$Q408)&amp;"")</f>
        <v/>
      </c>
      <c r="E408">
        <f>IF($Q408="","",IF(ISNUMBER(INDEX(상세표[근무일자],$Q408)),TEXT(INDEX(상세표[근무일자],$Q408),"yyyy-mm-dd"),INDEX(상세표[근무일자],$Q408)&amp;""))</f>
        <v/>
      </c>
      <c r="F408">
        <f>IF($Q408="","",IF(ISNUMBER(INDEX(상세표[시작],$Q408)),TEXT(INDEX(상세표[시작],$Q408),"yyyy-mm-dd hh:mm"),INDEX(상세표[시작],$Q408)&amp;""))</f>
        <v/>
      </c>
      <c r="G408">
        <f>IF($Q408="","",IF(ISNUMBER(INDEX(상세표[블록종료],$Q408)),TEXT(INDEX(상세표[블록종료],$Q408),"yyyy-mm-dd hh:mm"),INDEX(상세표[블록종료],$Q408)&amp;""))</f>
        <v/>
      </c>
      <c r="H408">
        <f>IF($Q408="","",CHOOSE(WEEKDAY(INDEX(상세표[시작],$Q408)),"일","월","화","수","목","금","토"))</f>
        <v/>
      </c>
      <c r="I408" s="20">
        <f>IF($Q408="","",INDEX(상세표[연속 시간],$Q408))</f>
        <v/>
      </c>
      <c r="J408">
        <f>IF($Q408="","",INDEX(상세표[기록 수],$Q408))</f>
        <v/>
      </c>
      <c r="K408" s="20">
        <f>IF($Q408="","",INDEX(상세표[블록 06~07시],$Q408))</f>
        <v/>
      </c>
      <c r="L408" s="20">
        <f>IF($Q408="","",INDEX(상세표[블록 07~18시],$Q408))</f>
        <v/>
      </c>
      <c r="M408" s="20">
        <f>IF($Q408="","",INDEX(상세표[블록 18~22시],$Q408))</f>
        <v/>
      </c>
      <c r="N408" s="20">
        <f>IF($Q408="","",INDEX(상세표[블록 22~06시],$Q408))</f>
        <v/>
      </c>
      <c r="O408">
        <f>IF($Q408="","",INDEX(상세표[주말·휴일 포함],$Q408)&amp;"")</f>
        <v/>
      </c>
      <c r="P408">
        <f>IF($Q408="","",INDEX(상세표[월 넘김 포함],$Q408)&amp;"")</f>
        <v/>
      </c>
      <c r="Q408" s="4">
        <f>IFERROR(MATCH(403,상세표[연속순번],0),"")</f>
        <v/>
      </c>
    </row>
    <row r="409">
      <c r="A409">
        <f>IF($Q409="","",INDEX(상세표[부서],$Q409)&amp;"")</f>
        <v/>
      </c>
      <c r="B409">
        <f>IF($Q409="","",INDEX(상세표[사번],$Q409)&amp;"")</f>
        <v/>
      </c>
      <c r="C409">
        <f>IF($Q409="","",INDEX(상세표[성명],$Q409)&amp;"")</f>
        <v/>
      </c>
      <c r="D409">
        <f>IF($Q409="","",INDEX(상세표[직위],$Q409)&amp;"")</f>
        <v/>
      </c>
      <c r="E409">
        <f>IF($Q409="","",IF(ISNUMBER(INDEX(상세표[근무일자],$Q409)),TEXT(INDEX(상세표[근무일자],$Q409),"yyyy-mm-dd"),INDEX(상세표[근무일자],$Q409)&amp;""))</f>
        <v/>
      </c>
      <c r="F409">
        <f>IF($Q409="","",IF(ISNUMBER(INDEX(상세표[시작],$Q409)),TEXT(INDEX(상세표[시작],$Q409),"yyyy-mm-dd hh:mm"),INDEX(상세표[시작],$Q409)&amp;""))</f>
        <v/>
      </c>
      <c r="G409">
        <f>IF($Q409="","",IF(ISNUMBER(INDEX(상세표[블록종료],$Q409)),TEXT(INDEX(상세표[블록종료],$Q409),"yyyy-mm-dd hh:mm"),INDEX(상세표[블록종료],$Q409)&amp;""))</f>
        <v/>
      </c>
      <c r="H409">
        <f>IF($Q409="","",CHOOSE(WEEKDAY(INDEX(상세표[시작],$Q409)),"일","월","화","수","목","금","토"))</f>
        <v/>
      </c>
      <c r="I409" s="20">
        <f>IF($Q409="","",INDEX(상세표[연속 시간],$Q409))</f>
        <v/>
      </c>
      <c r="J409">
        <f>IF($Q409="","",INDEX(상세표[기록 수],$Q409))</f>
        <v/>
      </c>
      <c r="K409" s="20">
        <f>IF($Q409="","",INDEX(상세표[블록 06~07시],$Q409))</f>
        <v/>
      </c>
      <c r="L409" s="20">
        <f>IF($Q409="","",INDEX(상세표[블록 07~18시],$Q409))</f>
        <v/>
      </c>
      <c r="M409" s="20">
        <f>IF($Q409="","",INDEX(상세표[블록 18~22시],$Q409))</f>
        <v/>
      </c>
      <c r="N409" s="20">
        <f>IF($Q409="","",INDEX(상세표[블록 22~06시],$Q409))</f>
        <v/>
      </c>
      <c r="O409">
        <f>IF($Q409="","",INDEX(상세표[주말·휴일 포함],$Q409)&amp;"")</f>
        <v/>
      </c>
      <c r="P409">
        <f>IF($Q409="","",INDEX(상세표[월 넘김 포함],$Q409)&amp;"")</f>
        <v/>
      </c>
      <c r="Q409" s="4">
        <f>IFERROR(MATCH(404,상세표[연속순번],0),"")</f>
        <v/>
      </c>
    </row>
    <row r="410">
      <c r="A410">
        <f>IF($Q410="","",INDEX(상세표[부서],$Q410)&amp;"")</f>
        <v/>
      </c>
      <c r="B410">
        <f>IF($Q410="","",INDEX(상세표[사번],$Q410)&amp;"")</f>
        <v/>
      </c>
      <c r="C410">
        <f>IF($Q410="","",INDEX(상세표[성명],$Q410)&amp;"")</f>
        <v/>
      </c>
      <c r="D410">
        <f>IF($Q410="","",INDEX(상세표[직위],$Q410)&amp;"")</f>
        <v/>
      </c>
      <c r="E410">
        <f>IF($Q410="","",IF(ISNUMBER(INDEX(상세표[근무일자],$Q410)),TEXT(INDEX(상세표[근무일자],$Q410),"yyyy-mm-dd"),INDEX(상세표[근무일자],$Q410)&amp;""))</f>
        <v/>
      </c>
      <c r="F410">
        <f>IF($Q410="","",IF(ISNUMBER(INDEX(상세표[시작],$Q410)),TEXT(INDEX(상세표[시작],$Q410),"yyyy-mm-dd hh:mm"),INDEX(상세표[시작],$Q410)&amp;""))</f>
        <v/>
      </c>
      <c r="G410">
        <f>IF($Q410="","",IF(ISNUMBER(INDEX(상세표[블록종료],$Q410)),TEXT(INDEX(상세표[블록종료],$Q410),"yyyy-mm-dd hh:mm"),INDEX(상세표[블록종료],$Q410)&amp;""))</f>
        <v/>
      </c>
      <c r="H410">
        <f>IF($Q410="","",CHOOSE(WEEKDAY(INDEX(상세표[시작],$Q410)),"일","월","화","수","목","금","토"))</f>
        <v/>
      </c>
      <c r="I410" s="20">
        <f>IF($Q410="","",INDEX(상세표[연속 시간],$Q410))</f>
        <v/>
      </c>
      <c r="J410">
        <f>IF($Q410="","",INDEX(상세표[기록 수],$Q410))</f>
        <v/>
      </c>
      <c r="K410" s="20">
        <f>IF($Q410="","",INDEX(상세표[블록 06~07시],$Q410))</f>
        <v/>
      </c>
      <c r="L410" s="20">
        <f>IF($Q410="","",INDEX(상세표[블록 07~18시],$Q410))</f>
        <v/>
      </c>
      <c r="M410" s="20">
        <f>IF($Q410="","",INDEX(상세표[블록 18~22시],$Q410))</f>
        <v/>
      </c>
      <c r="N410" s="20">
        <f>IF($Q410="","",INDEX(상세표[블록 22~06시],$Q410))</f>
        <v/>
      </c>
      <c r="O410">
        <f>IF($Q410="","",INDEX(상세표[주말·휴일 포함],$Q410)&amp;"")</f>
        <v/>
      </c>
      <c r="P410">
        <f>IF($Q410="","",INDEX(상세표[월 넘김 포함],$Q410)&amp;"")</f>
        <v/>
      </c>
      <c r="Q410" s="4">
        <f>IFERROR(MATCH(405,상세표[연속순번],0),"")</f>
        <v/>
      </c>
    </row>
    <row r="411">
      <c r="A411">
        <f>IF($Q411="","",INDEX(상세표[부서],$Q411)&amp;"")</f>
        <v/>
      </c>
      <c r="B411">
        <f>IF($Q411="","",INDEX(상세표[사번],$Q411)&amp;"")</f>
        <v/>
      </c>
      <c r="C411">
        <f>IF($Q411="","",INDEX(상세표[성명],$Q411)&amp;"")</f>
        <v/>
      </c>
      <c r="D411">
        <f>IF($Q411="","",INDEX(상세표[직위],$Q411)&amp;"")</f>
        <v/>
      </c>
      <c r="E411">
        <f>IF($Q411="","",IF(ISNUMBER(INDEX(상세표[근무일자],$Q411)),TEXT(INDEX(상세표[근무일자],$Q411),"yyyy-mm-dd"),INDEX(상세표[근무일자],$Q411)&amp;""))</f>
        <v/>
      </c>
      <c r="F411">
        <f>IF($Q411="","",IF(ISNUMBER(INDEX(상세표[시작],$Q411)),TEXT(INDEX(상세표[시작],$Q411),"yyyy-mm-dd hh:mm"),INDEX(상세표[시작],$Q411)&amp;""))</f>
        <v/>
      </c>
      <c r="G411">
        <f>IF($Q411="","",IF(ISNUMBER(INDEX(상세표[블록종료],$Q411)),TEXT(INDEX(상세표[블록종료],$Q411),"yyyy-mm-dd hh:mm"),INDEX(상세표[블록종료],$Q411)&amp;""))</f>
        <v/>
      </c>
      <c r="H411">
        <f>IF($Q411="","",CHOOSE(WEEKDAY(INDEX(상세표[시작],$Q411)),"일","월","화","수","목","금","토"))</f>
        <v/>
      </c>
      <c r="I411" s="20">
        <f>IF($Q411="","",INDEX(상세표[연속 시간],$Q411))</f>
        <v/>
      </c>
      <c r="J411">
        <f>IF($Q411="","",INDEX(상세표[기록 수],$Q411))</f>
        <v/>
      </c>
      <c r="K411" s="20">
        <f>IF($Q411="","",INDEX(상세표[블록 06~07시],$Q411))</f>
        <v/>
      </c>
      <c r="L411" s="20">
        <f>IF($Q411="","",INDEX(상세표[블록 07~18시],$Q411))</f>
        <v/>
      </c>
      <c r="M411" s="20">
        <f>IF($Q411="","",INDEX(상세표[블록 18~22시],$Q411))</f>
        <v/>
      </c>
      <c r="N411" s="20">
        <f>IF($Q411="","",INDEX(상세표[블록 22~06시],$Q411))</f>
        <v/>
      </c>
      <c r="O411">
        <f>IF($Q411="","",INDEX(상세표[주말·휴일 포함],$Q411)&amp;"")</f>
        <v/>
      </c>
      <c r="P411">
        <f>IF($Q411="","",INDEX(상세표[월 넘김 포함],$Q411)&amp;"")</f>
        <v/>
      </c>
      <c r="Q411" s="4">
        <f>IFERROR(MATCH(406,상세표[연속순번],0),"")</f>
        <v/>
      </c>
    </row>
    <row r="412">
      <c r="A412">
        <f>IF($Q412="","",INDEX(상세표[부서],$Q412)&amp;"")</f>
        <v/>
      </c>
      <c r="B412">
        <f>IF($Q412="","",INDEX(상세표[사번],$Q412)&amp;"")</f>
        <v/>
      </c>
      <c r="C412">
        <f>IF($Q412="","",INDEX(상세표[성명],$Q412)&amp;"")</f>
        <v/>
      </c>
      <c r="D412">
        <f>IF($Q412="","",INDEX(상세표[직위],$Q412)&amp;"")</f>
        <v/>
      </c>
      <c r="E412">
        <f>IF($Q412="","",IF(ISNUMBER(INDEX(상세표[근무일자],$Q412)),TEXT(INDEX(상세표[근무일자],$Q412),"yyyy-mm-dd"),INDEX(상세표[근무일자],$Q412)&amp;""))</f>
        <v/>
      </c>
      <c r="F412">
        <f>IF($Q412="","",IF(ISNUMBER(INDEX(상세표[시작],$Q412)),TEXT(INDEX(상세표[시작],$Q412),"yyyy-mm-dd hh:mm"),INDEX(상세표[시작],$Q412)&amp;""))</f>
        <v/>
      </c>
      <c r="G412">
        <f>IF($Q412="","",IF(ISNUMBER(INDEX(상세표[블록종료],$Q412)),TEXT(INDEX(상세표[블록종료],$Q412),"yyyy-mm-dd hh:mm"),INDEX(상세표[블록종료],$Q412)&amp;""))</f>
        <v/>
      </c>
      <c r="H412">
        <f>IF($Q412="","",CHOOSE(WEEKDAY(INDEX(상세표[시작],$Q412)),"일","월","화","수","목","금","토"))</f>
        <v/>
      </c>
      <c r="I412" s="20">
        <f>IF($Q412="","",INDEX(상세표[연속 시간],$Q412))</f>
        <v/>
      </c>
      <c r="J412">
        <f>IF($Q412="","",INDEX(상세표[기록 수],$Q412))</f>
        <v/>
      </c>
      <c r="K412" s="20">
        <f>IF($Q412="","",INDEX(상세표[블록 06~07시],$Q412))</f>
        <v/>
      </c>
      <c r="L412" s="20">
        <f>IF($Q412="","",INDEX(상세표[블록 07~18시],$Q412))</f>
        <v/>
      </c>
      <c r="M412" s="20">
        <f>IF($Q412="","",INDEX(상세표[블록 18~22시],$Q412))</f>
        <v/>
      </c>
      <c r="N412" s="20">
        <f>IF($Q412="","",INDEX(상세표[블록 22~06시],$Q412))</f>
        <v/>
      </c>
      <c r="O412">
        <f>IF($Q412="","",INDEX(상세표[주말·휴일 포함],$Q412)&amp;"")</f>
        <v/>
      </c>
      <c r="P412">
        <f>IF($Q412="","",INDEX(상세표[월 넘김 포함],$Q412)&amp;"")</f>
        <v/>
      </c>
      <c r="Q412" s="4">
        <f>IFERROR(MATCH(407,상세표[연속순번],0),"")</f>
        <v/>
      </c>
    </row>
    <row r="413">
      <c r="A413">
        <f>IF($Q413="","",INDEX(상세표[부서],$Q413)&amp;"")</f>
        <v/>
      </c>
      <c r="B413">
        <f>IF($Q413="","",INDEX(상세표[사번],$Q413)&amp;"")</f>
        <v/>
      </c>
      <c r="C413">
        <f>IF($Q413="","",INDEX(상세표[성명],$Q413)&amp;"")</f>
        <v/>
      </c>
      <c r="D413">
        <f>IF($Q413="","",INDEX(상세표[직위],$Q413)&amp;"")</f>
        <v/>
      </c>
      <c r="E413">
        <f>IF($Q413="","",IF(ISNUMBER(INDEX(상세표[근무일자],$Q413)),TEXT(INDEX(상세표[근무일자],$Q413),"yyyy-mm-dd"),INDEX(상세표[근무일자],$Q413)&amp;""))</f>
        <v/>
      </c>
      <c r="F413">
        <f>IF($Q413="","",IF(ISNUMBER(INDEX(상세표[시작],$Q413)),TEXT(INDEX(상세표[시작],$Q413),"yyyy-mm-dd hh:mm"),INDEX(상세표[시작],$Q413)&amp;""))</f>
        <v/>
      </c>
      <c r="G413">
        <f>IF($Q413="","",IF(ISNUMBER(INDEX(상세표[블록종료],$Q413)),TEXT(INDEX(상세표[블록종료],$Q413),"yyyy-mm-dd hh:mm"),INDEX(상세표[블록종료],$Q413)&amp;""))</f>
        <v/>
      </c>
      <c r="H413">
        <f>IF($Q413="","",CHOOSE(WEEKDAY(INDEX(상세표[시작],$Q413)),"일","월","화","수","목","금","토"))</f>
        <v/>
      </c>
      <c r="I413" s="20">
        <f>IF($Q413="","",INDEX(상세표[연속 시간],$Q413))</f>
        <v/>
      </c>
      <c r="J413">
        <f>IF($Q413="","",INDEX(상세표[기록 수],$Q413))</f>
        <v/>
      </c>
      <c r="K413" s="20">
        <f>IF($Q413="","",INDEX(상세표[블록 06~07시],$Q413))</f>
        <v/>
      </c>
      <c r="L413" s="20">
        <f>IF($Q413="","",INDEX(상세표[블록 07~18시],$Q413))</f>
        <v/>
      </c>
      <c r="M413" s="20">
        <f>IF($Q413="","",INDEX(상세표[블록 18~22시],$Q413))</f>
        <v/>
      </c>
      <c r="N413" s="20">
        <f>IF($Q413="","",INDEX(상세표[블록 22~06시],$Q413))</f>
        <v/>
      </c>
      <c r="O413">
        <f>IF($Q413="","",INDEX(상세표[주말·휴일 포함],$Q413)&amp;"")</f>
        <v/>
      </c>
      <c r="P413">
        <f>IF($Q413="","",INDEX(상세표[월 넘김 포함],$Q413)&amp;"")</f>
        <v/>
      </c>
      <c r="Q413" s="4">
        <f>IFERROR(MATCH(408,상세표[연속순번],0),"")</f>
        <v/>
      </c>
    </row>
    <row r="414">
      <c r="A414">
        <f>IF($Q414="","",INDEX(상세표[부서],$Q414)&amp;"")</f>
        <v/>
      </c>
      <c r="B414">
        <f>IF($Q414="","",INDEX(상세표[사번],$Q414)&amp;"")</f>
        <v/>
      </c>
      <c r="C414">
        <f>IF($Q414="","",INDEX(상세표[성명],$Q414)&amp;"")</f>
        <v/>
      </c>
      <c r="D414">
        <f>IF($Q414="","",INDEX(상세표[직위],$Q414)&amp;"")</f>
        <v/>
      </c>
      <c r="E414">
        <f>IF($Q414="","",IF(ISNUMBER(INDEX(상세표[근무일자],$Q414)),TEXT(INDEX(상세표[근무일자],$Q414),"yyyy-mm-dd"),INDEX(상세표[근무일자],$Q414)&amp;""))</f>
        <v/>
      </c>
      <c r="F414">
        <f>IF($Q414="","",IF(ISNUMBER(INDEX(상세표[시작],$Q414)),TEXT(INDEX(상세표[시작],$Q414),"yyyy-mm-dd hh:mm"),INDEX(상세표[시작],$Q414)&amp;""))</f>
        <v/>
      </c>
      <c r="G414">
        <f>IF($Q414="","",IF(ISNUMBER(INDEX(상세표[블록종료],$Q414)),TEXT(INDEX(상세표[블록종료],$Q414),"yyyy-mm-dd hh:mm"),INDEX(상세표[블록종료],$Q414)&amp;""))</f>
        <v/>
      </c>
      <c r="H414">
        <f>IF($Q414="","",CHOOSE(WEEKDAY(INDEX(상세표[시작],$Q414)),"일","월","화","수","목","금","토"))</f>
        <v/>
      </c>
      <c r="I414" s="20">
        <f>IF($Q414="","",INDEX(상세표[연속 시간],$Q414))</f>
        <v/>
      </c>
      <c r="J414">
        <f>IF($Q414="","",INDEX(상세표[기록 수],$Q414))</f>
        <v/>
      </c>
      <c r="K414" s="20">
        <f>IF($Q414="","",INDEX(상세표[블록 06~07시],$Q414))</f>
        <v/>
      </c>
      <c r="L414" s="20">
        <f>IF($Q414="","",INDEX(상세표[블록 07~18시],$Q414))</f>
        <v/>
      </c>
      <c r="M414" s="20">
        <f>IF($Q414="","",INDEX(상세표[블록 18~22시],$Q414))</f>
        <v/>
      </c>
      <c r="N414" s="20">
        <f>IF($Q414="","",INDEX(상세표[블록 22~06시],$Q414))</f>
        <v/>
      </c>
      <c r="O414">
        <f>IF($Q414="","",INDEX(상세표[주말·휴일 포함],$Q414)&amp;"")</f>
        <v/>
      </c>
      <c r="P414">
        <f>IF($Q414="","",INDEX(상세표[월 넘김 포함],$Q414)&amp;"")</f>
        <v/>
      </c>
      <c r="Q414" s="4">
        <f>IFERROR(MATCH(409,상세표[연속순번],0),"")</f>
        <v/>
      </c>
    </row>
    <row r="415">
      <c r="A415">
        <f>IF($Q415="","",INDEX(상세표[부서],$Q415)&amp;"")</f>
        <v/>
      </c>
      <c r="B415">
        <f>IF($Q415="","",INDEX(상세표[사번],$Q415)&amp;"")</f>
        <v/>
      </c>
      <c r="C415">
        <f>IF($Q415="","",INDEX(상세표[성명],$Q415)&amp;"")</f>
        <v/>
      </c>
      <c r="D415">
        <f>IF($Q415="","",INDEX(상세표[직위],$Q415)&amp;"")</f>
        <v/>
      </c>
      <c r="E415">
        <f>IF($Q415="","",IF(ISNUMBER(INDEX(상세표[근무일자],$Q415)),TEXT(INDEX(상세표[근무일자],$Q415),"yyyy-mm-dd"),INDEX(상세표[근무일자],$Q415)&amp;""))</f>
        <v/>
      </c>
      <c r="F415">
        <f>IF($Q415="","",IF(ISNUMBER(INDEX(상세표[시작],$Q415)),TEXT(INDEX(상세표[시작],$Q415),"yyyy-mm-dd hh:mm"),INDEX(상세표[시작],$Q415)&amp;""))</f>
        <v/>
      </c>
      <c r="G415">
        <f>IF($Q415="","",IF(ISNUMBER(INDEX(상세표[블록종료],$Q415)),TEXT(INDEX(상세표[블록종료],$Q415),"yyyy-mm-dd hh:mm"),INDEX(상세표[블록종료],$Q415)&amp;""))</f>
        <v/>
      </c>
      <c r="H415">
        <f>IF($Q415="","",CHOOSE(WEEKDAY(INDEX(상세표[시작],$Q415)),"일","월","화","수","목","금","토"))</f>
        <v/>
      </c>
      <c r="I415" s="20">
        <f>IF($Q415="","",INDEX(상세표[연속 시간],$Q415))</f>
        <v/>
      </c>
      <c r="J415">
        <f>IF($Q415="","",INDEX(상세표[기록 수],$Q415))</f>
        <v/>
      </c>
      <c r="K415" s="20">
        <f>IF($Q415="","",INDEX(상세표[블록 06~07시],$Q415))</f>
        <v/>
      </c>
      <c r="L415" s="20">
        <f>IF($Q415="","",INDEX(상세표[블록 07~18시],$Q415))</f>
        <v/>
      </c>
      <c r="M415" s="20">
        <f>IF($Q415="","",INDEX(상세표[블록 18~22시],$Q415))</f>
        <v/>
      </c>
      <c r="N415" s="20">
        <f>IF($Q415="","",INDEX(상세표[블록 22~06시],$Q415))</f>
        <v/>
      </c>
      <c r="O415">
        <f>IF($Q415="","",INDEX(상세표[주말·휴일 포함],$Q415)&amp;"")</f>
        <v/>
      </c>
      <c r="P415">
        <f>IF($Q415="","",INDEX(상세표[월 넘김 포함],$Q415)&amp;"")</f>
        <v/>
      </c>
      <c r="Q415" s="4">
        <f>IFERROR(MATCH(410,상세표[연속순번],0),"")</f>
        <v/>
      </c>
    </row>
    <row r="416">
      <c r="A416">
        <f>IF($Q416="","",INDEX(상세표[부서],$Q416)&amp;"")</f>
        <v/>
      </c>
      <c r="B416">
        <f>IF($Q416="","",INDEX(상세표[사번],$Q416)&amp;"")</f>
        <v/>
      </c>
      <c r="C416">
        <f>IF($Q416="","",INDEX(상세표[성명],$Q416)&amp;"")</f>
        <v/>
      </c>
      <c r="D416">
        <f>IF($Q416="","",INDEX(상세표[직위],$Q416)&amp;"")</f>
        <v/>
      </c>
      <c r="E416">
        <f>IF($Q416="","",IF(ISNUMBER(INDEX(상세표[근무일자],$Q416)),TEXT(INDEX(상세표[근무일자],$Q416),"yyyy-mm-dd"),INDEX(상세표[근무일자],$Q416)&amp;""))</f>
        <v/>
      </c>
      <c r="F416">
        <f>IF($Q416="","",IF(ISNUMBER(INDEX(상세표[시작],$Q416)),TEXT(INDEX(상세표[시작],$Q416),"yyyy-mm-dd hh:mm"),INDEX(상세표[시작],$Q416)&amp;""))</f>
        <v/>
      </c>
      <c r="G416">
        <f>IF($Q416="","",IF(ISNUMBER(INDEX(상세표[블록종료],$Q416)),TEXT(INDEX(상세표[블록종료],$Q416),"yyyy-mm-dd hh:mm"),INDEX(상세표[블록종료],$Q416)&amp;""))</f>
        <v/>
      </c>
      <c r="H416">
        <f>IF($Q416="","",CHOOSE(WEEKDAY(INDEX(상세표[시작],$Q416)),"일","월","화","수","목","금","토"))</f>
        <v/>
      </c>
      <c r="I416" s="20">
        <f>IF($Q416="","",INDEX(상세표[연속 시간],$Q416))</f>
        <v/>
      </c>
      <c r="J416">
        <f>IF($Q416="","",INDEX(상세표[기록 수],$Q416))</f>
        <v/>
      </c>
      <c r="K416" s="20">
        <f>IF($Q416="","",INDEX(상세표[블록 06~07시],$Q416))</f>
        <v/>
      </c>
      <c r="L416" s="20">
        <f>IF($Q416="","",INDEX(상세표[블록 07~18시],$Q416))</f>
        <v/>
      </c>
      <c r="M416" s="20">
        <f>IF($Q416="","",INDEX(상세표[블록 18~22시],$Q416))</f>
        <v/>
      </c>
      <c r="N416" s="20">
        <f>IF($Q416="","",INDEX(상세표[블록 22~06시],$Q416))</f>
        <v/>
      </c>
      <c r="O416">
        <f>IF($Q416="","",INDEX(상세표[주말·휴일 포함],$Q416)&amp;"")</f>
        <v/>
      </c>
      <c r="P416">
        <f>IF($Q416="","",INDEX(상세표[월 넘김 포함],$Q416)&amp;"")</f>
        <v/>
      </c>
      <c r="Q416" s="4">
        <f>IFERROR(MATCH(411,상세표[연속순번],0),"")</f>
        <v/>
      </c>
    </row>
    <row r="417">
      <c r="A417">
        <f>IF($Q417="","",INDEX(상세표[부서],$Q417)&amp;"")</f>
        <v/>
      </c>
      <c r="B417">
        <f>IF($Q417="","",INDEX(상세표[사번],$Q417)&amp;"")</f>
        <v/>
      </c>
      <c r="C417">
        <f>IF($Q417="","",INDEX(상세표[성명],$Q417)&amp;"")</f>
        <v/>
      </c>
      <c r="D417">
        <f>IF($Q417="","",INDEX(상세표[직위],$Q417)&amp;"")</f>
        <v/>
      </c>
      <c r="E417">
        <f>IF($Q417="","",IF(ISNUMBER(INDEX(상세표[근무일자],$Q417)),TEXT(INDEX(상세표[근무일자],$Q417),"yyyy-mm-dd"),INDEX(상세표[근무일자],$Q417)&amp;""))</f>
        <v/>
      </c>
      <c r="F417">
        <f>IF($Q417="","",IF(ISNUMBER(INDEX(상세표[시작],$Q417)),TEXT(INDEX(상세표[시작],$Q417),"yyyy-mm-dd hh:mm"),INDEX(상세표[시작],$Q417)&amp;""))</f>
        <v/>
      </c>
      <c r="G417">
        <f>IF($Q417="","",IF(ISNUMBER(INDEX(상세표[블록종료],$Q417)),TEXT(INDEX(상세표[블록종료],$Q417),"yyyy-mm-dd hh:mm"),INDEX(상세표[블록종료],$Q417)&amp;""))</f>
        <v/>
      </c>
      <c r="H417">
        <f>IF($Q417="","",CHOOSE(WEEKDAY(INDEX(상세표[시작],$Q417)),"일","월","화","수","목","금","토"))</f>
        <v/>
      </c>
      <c r="I417" s="20">
        <f>IF($Q417="","",INDEX(상세표[연속 시간],$Q417))</f>
        <v/>
      </c>
      <c r="J417">
        <f>IF($Q417="","",INDEX(상세표[기록 수],$Q417))</f>
        <v/>
      </c>
      <c r="K417" s="20">
        <f>IF($Q417="","",INDEX(상세표[블록 06~07시],$Q417))</f>
        <v/>
      </c>
      <c r="L417" s="20">
        <f>IF($Q417="","",INDEX(상세표[블록 07~18시],$Q417))</f>
        <v/>
      </c>
      <c r="M417" s="20">
        <f>IF($Q417="","",INDEX(상세표[블록 18~22시],$Q417))</f>
        <v/>
      </c>
      <c r="N417" s="20">
        <f>IF($Q417="","",INDEX(상세표[블록 22~06시],$Q417))</f>
        <v/>
      </c>
      <c r="O417">
        <f>IF($Q417="","",INDEX(상세표[주말·휴일 포함],$Q417)&amp;"")</f>
        <v/>
      </c>
      <c r="P417">
        <f>IF($Q417="","",INDEX(상세표[월 넘김 포함],$Q417)&amp;"")</f>
        <v/>
      </c>
      <c r="Q417" s="4">
        <f>IFERROR(MATCH(412,상세표[연속순번],0),"")</f>
        <v/>
      </c>
    </row>
    <row r="418">
      <c r="A418">
        <f>IF($Q418="","",INDEX(상세표[부서],$Q418)&amp;"")</f>
        <v/>
      </c>
      <c r="B418">
        <f>IF($Q418="","",INDEX(상세표[사번],$Q418)&amp;"")</f>
        <v/>
      </c>
      <c r="C418">
        <f>IF($Q418="","",INDEX(상세표[성명],$Q418)&amp;"")</f>
        <v/>
      </c>
      <c r="D418">
        <f>IF($Q418="","",INDEX(상세표[직위],$Q418)&amp;"")</f>
        <v/>
      </c>
      <c r="E418">
        <f>IF($Q418="","",IF(ISNUMBER(INDEX(상세표[근무일자],$Q418)),TEXT(INDEX(상세표[근무일자],$Q418),"yyyy-mm-dd"),INDEX(상세표[근무일자],$Q418)&amp;""))</f>
        <v/>
      </c>
      <c r="F418">
        <f>IF($Q418="","",IF(ISNUMBER(INDEX(상세표[시작],$Q418)),TEXT(INDEX(상세표[시작],$Q418),"yyyy-mm-dd hh:mm"),INDEX(상세표[시작],$Q418)&amp;""))</f>
        <v/>
      </c>
      <c r="G418">
        <f>IF($Q418="","",IF(ISNUMBER(INDEX(상세표[블록종료],$Q418)),TEXT(INDEX(상세표[블록종료],$Q418),"yyyy-mm-dd hh:mm"),INDEX(상세표[블록종료],$Q418)&amp;""))</f>
        <v/>
      </c>
      <c r="H418">
        <f>IF($Q418="","",CHOOSE(WEEKDAY(INDEX(상세표[시작],$Q418)),"일","월","화","수","목","금","토"))</f>
        <v/>
      </c>
      <c r="I418" s="20">
        <f>IF($Q418="","",INDEX(상세표[연속 시간],$Q418))</f>
        <v/>
      </c>
      <c r="J418">
        <f>IF($Q418="","",INDEX(상세표[기록 수],$Q418))</f>
        <v/>
      </c>
      <c r="K418" s="20">
        <f>IF($Q418="","",INDEX(상세표[블록 06~07시],$Q418))</f>
        <v/>
      </c>
      <c r="L418" s="20">
        <f>IF($Q418="","",INDEX(상세표[블록 07~18시],$Q418))</f>
        <v/>
      </c>
      <c r="M418" s="20">
        <f>IF($Q418="","",INDEX(상세표[블록 18~22시],$Q418))</f>
        <v/>
      </c>
      <c r="N418" s="20">
        <f>IF($Q418="","",INDEX(상세표[블록 22~06시],$Q418))</f>
        <v/>
      </c>
      <c r="O418">
        <f>IF($Q418="","",INDEX(상세표[주말·휴일 포함],$Q418)&amp;"")</f>
        <v/>
      </c>
      <c r="P418">
        <f>IF($Q418="","",INDEX(상세표[월 넘김 포함],$Q418)&amp;"")</f>
        <v/>
      </c>
      <c r="Q418" s="4">
        <f>IFERROR(MATCH(413,상세표[연속순번],0),"")</f>
        <v/>
      </c>
    </row>
    <row r="419">
      <c r="A419">
        <f>IF($Q419="","",INDEX(상세표[부서],$Q419)&amp;"")</f>
        <v/>
      </c>
      <c r="B419">
        <f>IF($Q419="","",INDEX(상세표[사번],$Q419)&amp;"")</f>
        <v/>
      </c>
      <c r="C419">
        <f>IF($Q419="","",INDEX(상세표[성명],$Q419)&amp;"")</f>
        <v/>
      </c>
      <c r="D419">
        <f>IF($Q419="","",INDEX(상세표[직위],$Q419)&amp;"")</f>
        <v/>
      </c>
      <c r="E419">
        <f>IF($Q419="","",IF(ISNUMBER(INDEX(상세표[근무일자],$Q419)),TEXT(INDEX(상세표[근무일자],$Q419),"yyyy-mm-dd"),INDEX(상세표[근무일자],$Q419)&amp;""))</f>
        <v/>
      </c>
      <c r="F419">
        <f>IF($Q419="","",IF(ISNUMBER(INDEX(상세표[시작],$Q419)),TEXT(INDEX(상세표[시작],$Q419),"yyyy-mm-dd hh:mm"),INDEX(상세표[시작],$Q419)&amp;""))</f>
        <v/>
      </c>
      <c r="G419">
        <f>IF($Q419="","",IF(ISNUMBER(INDEX(상세표[블록종료],$Q419)),TEXT(INDEX(상세표[블록종료],$Q419),"yyyy-mm-dd hh:mm"),INDEX(상세표[블록종료],$Q419)&amp;""))</f>
        <v/>
      </c>
      <c r="H419">
        <f>IF($Q419="","",CHOOSE(WEEKDAY(INDEX(상세표[시작],$Q419)),"일","월","화","수","목","금","토"))</f>
        <v/>
      </c>
      <c r="I419" s="20">
        <f>IF($Q419="","",INDEX(상세표[연속 시간],$Q419))</f>
        <v/>
      </c>
      <c r="J419">
        <f>IF($Q419="","",INDEX(상세표[기록 수],$Q419))</f>
        <v/>
      </c>
      <c r="K419" s="20">
        <f>IF($Q419="","",INDEX(상세표[블록 06~07시],$Q419))</f>
        <v/>
      </c>
      <c r="L419" s="20">
        <f>IF($Q419="","",INDEX(상세표[블록 07~18시],$Q419))</f>
        <v/>
      </c>
      <c r="M419" s="20">
        <f>IF($Q419="","",INDEX(상세표[블록 18~22시],$Q419))</f>
        <v/>
      </c>
      <c r="N419" s="20">
        <f>IF($Q419="","",INDEX(상세표[블록 22~06시],$Q419))</f>
        <v/>
      </c>
      <c r="O419">
        <f>IF($Q419="","",INDEX(상세표[주말·휴일 포함],$Q419)&amp;"")</f>
        <v/>
      </c>
      <c r="P419">
        <f>IF($Q419="","",INDEX(상세표[월 넘김 포함],$Q419)&amp;"")</f>
        <v/>
      </c>
      <c r="Q419" s="4">
        <f>IFERROR(MATCH(414,상세표[연속순번],0),"")</f>
        <v/>
      </c>
    </row>
    <row r="420">
      <c r="A420">
        <f>IF($Q420="","",INDEX(상세표[부서],$Q420)&amp;"")</f>
        <v/>
      </c>
      <c r="B420">
        <f>IF($Q420="","",INDEX(상세표[사번],$Q420)&amp;"")</f>
        <v/>
      </c>
      <c r="C420">
        <f>IF($Q420="","",INDEX(상세표[성명],$Q420)&amp;"")</f>
        <v/>
      </c>
      <c r="D420">
        <f>IF($Q420="","",INDEX(상세표[직위],$Q420)&amp;"")</f>
        <v/>
      </c>
      <c r="E420">
        <f>IF($Q420="","",IF(ISNUMBER(INDEX(상세표[근무일자],$Q420)),TEXT(INDEX(상세표[근무일자],$Q420),"yyyy-mm-dd"),INDEX(상세표[근무일자],$Q420)&amp;""))</f>
        <v/>
      </c>
      <c r="F420">
        <f>IF($Q420="","",IF(ISNUMBER(INDEX(상세표[시작],$Q420)),TEXT(INDEX(상세표[시작],$Q420),"yyyy-mm-dd hh:mm"),INDEX(상세표[시작],$Q420)&amp;""))</f>
        <v/>
      </c>
      <c r="G420">
        <f>IF($Q420="","",IF(ISNUMBER(INDEX(상세표[블록종료],$Q420)),TEXT(INDEX(상세표[블록종료],$Q420),"yyyy-mm-dd hh:mm"),INDEX(상세표[블록종료],$Q420)&amp;""))</f>
        <v/>
      </c>
      <c r="H420">
        <f>IF($Q420="","",CHOOSE(WEEKDAY(INDEX(상세표[시작],$Q420)),"일","월","화","수","목","금","토"))</f>
        <v/>
      </c>
      <c r="I420" s="20">
        <f>IF($Q420="","",INDEX(상세표[연속 시간],$Q420))</f>
        <v/>
      </c>
      <c r="J420">
        <f>IF($Q420="","",INDEX(상세표[기록 수],$Q420))</f>
        <v/>
      </c>
      <c r="K420" s="20">
        <f>IF($Q420="","",INDEX(상세표[블록 06~07시],$Q420))</f>
        <v/>
      </c>
      <c r="L420" s="20">
        <f>IF($Q420="","",INDEX(상세표[블록 07~18시],$Q420))</f>
        <v/>
      </c>
      <c r="M420" s="20">
        <f>IF($Q420="","",INDEX(상세표[블록 18~22시],$Q420))</f>
        <v/>
      </c>
      <c r="N420" s="20">
        <f>IF($Q420="","",INDEX(상세표[블록 22~06시],$Q420))</f>
        <v/>
      </c>
      <c r="O420">
        <f>IF($Q420="","",INDEX(상세표[주말·휴일 포함],$Q420)&amp;"")</f>
        <v/>
      </c>
      <c r="P420">
        <f>IF($Q420="","",INDEX(상세표[월 넘김 포함],$Q420)&amp;"")</f>
        <v/>
      </c>
      <c r="Q420" s="4">
        <f>IFERROR(MATCH(415,상세표[연속순번],0),"")</f>
        <v/>
      </c>
    </row>
    <row r="421">
      <c r="A421">
        <f>IF($Q421="","",INDEX(상세표[부서],$Q421)&amp;"")</f>
        <v/>
      </c>
      <c r="B421">
        <f>IF($Q421="","",INDEX(상세표[사번],$Q421)&amp;"")</f>
        <v/>
      </c>
      <c r="C421">
        <f>IF($Q421="","",INDEX(상세표[성명],$Q421)&amp;"")</f>
        <v/>
      </c>
      <c r="D421">
        <f>IF($Q421="","",INDEX(상세표[직위],$Q421)&amp;"")</f>
        <v/>
      </c>
      <c r="E421">
        <f>IF($Q421="","",IF(ISNUMBER(INDEX(상세표[근무일자],$Q421)),TEXT(INDEX(상세표[근무일자],$Q421),"yyyy-mm-dd"),INDEX(상세표[근무일자],$Q421)&amp;""))</f>
        <v/>
      </c>
      <c r="F421">
        <f>IF($Q421="","",IF(ISNUMBER(INDEX(상세표[시작],$Q421)),TEXT(INDEX(상세표[시작],$Q421),"yyyy-mm-dd hh:mm"),INDEX(상세표[시작],$Q421)&amp;""))</f>
        <v/>
      </c>
      <c r="G421">
        <f>IF($Q421="","",IF(ISNUMBER(INDEX(상세표[블록종료],$Q421)),TEXT(INDEX(상세표[블록종료],$Q421),"yyyy-mm-dd hh:mm"),INDEX(상세표[블록종료],$Q421)&amp;""))</f>
        <v/>
      </c>
      <c r="H421">
        <f>IF($Q421="","",CHOOSE(WEEKDAY(INDEX(상세표[시작],$Q421)),"일","월","화","수","목","금","토"))</f>
        <v/>
      </c>
      <c r="I421" s="20">
        <f>IF($Q421="","",INDEX(상세표[연속 시간],$Q421))</f>
        <v/>
      </c>
      <c r="J421">
        <f>IF($Q421="","",INDEX(상세표[기록 수],$Q421))</f>
        <v/>
      </c>
      <c r="K421" s="20">
        <f>IF($Q421="","",INDEX(상세표[블록 06~07시],$Q421))</f>
        <v/>
      </c>
      <c r="L421" s="20">
        <f>IF($Q421="","",INDEX(상세표[블록 07~18시],$Q421))</f>
        <v/>
      </c>
      <c r="M421" s="20">
        <f>IF($Q421="","",INDEX(상세표[블록 18~22시],$Q421))</f>
        <v/>
      </c>
      <c r="N421" s="20">
        <f>IF($Q421="","",INDEX(상세표[블록 22~06시],$Q421))</f>
        <v/>
      </c>
      <c r="O421">
        <f>IF($Q421="","",INDEX(상세표[주말·휴일 포함],$Q421)&amp;"")</f>
        <v/>
      </c>
      <c r="P421">
        <f>IF($Q421="","",INDEX(상세표[월 넘김 포함],$Q421)&amp;"")</f>
        <v/>
      </c>
      <c r="Q421" s="4">
        <f>IFERROR(MATCH(416,상세표[연속순번],0),"")</f>
        <v/>
      </c>
    </row>
    <row r="422">
      <c r="A422">
        <f>IF($Q422="","",INDEX(상세표[부서],$Q422)&amp;"")</f>
        <v/>
      </c>
      <c r="B422">
        <f>IF($Q422="","",INDEX(상세표[사번],$Q422)&amp;"")</f>
        <v/>
      </c>
      <c r="C422">
        <f>IF($Q422="","",INDEX(상세표[성명],$Q422)&amp;"")</f>
        <v/>
      </c>
      <c r="D422">
        <f>IF($Q422="","",INDEX(상세표[직위],$Q422)&amp;"")</f>
        <v/>
      </c>
      <c r="E422">
        <f>IF($Q422="","",IF(ISNUMBER(INDEX(상세표[근무일자],$Q422)),TEXT(INDEX(상세표[근무일자],$Q422),"yyyy-mm-dd"),INDEX(상세표[근무일자],$Q422)&amp;""))</f>
        <v/>
      </c>
      <c r="F422">
        <f>IF($Q422="","",IF(ISNUMBER(INDEX(상세표[시작],$Q422)),TEXT(INDEX(상세표[시작],$Q422),"yyyy-mm-dd hh:mm"),INDEX(상세표[시작],$Q422)&amp;""))</f>
        <v/>
      </c>
      <c r="G422">
        <f>IF($Q422="","",IF(ISNUMBER(INDEX(상세표[블록종료],$Q422)),TEXT(INDEX(상세표[블록종료],$Q422),"yyyy-mm-dd hh:mm"),INDEX(상세표[블록종료],$Q422)&amp;""))</f>
        <v/>
      </c>
      <c r="H422">
        <f>IF($Q422="","",CHOOSE(WEEKDAY(INDEX(상세표[시작],$Q422)),"일","월","화","수","목","금","토"))</f>
        <v/>
      </c>
      <c r="I422" s="20">
        <f>IF($Q422="","",INDEX(상세표[연속 시간],$Q422))</f>
        <v/>
      </c>
      <c r="J422">
        <f>IF($Q422="","",INDEX(상세표[기록 수],$Q422))</f>
        <v/>
      </c>
      <c r="K422" s="20">
        <f>IF($Q422="","",INDEX(상세표[블록 06~07시],$Q422))</f>
        <v/>
      </c>
      <c r="L422" s="20">
        <f>IF($Q422="","",INDEX(상세표[블록 07~18시],$Q422))</f>
        <v/>
      </c>
      <c r="M422" s="20">
        <f>IF($Q422="","",INDEX(상세표[블록 18~22시],$Q422))</f>
        <v/>
      </c>
      <c r="N422" s="20">
        <f>IF($Q422="","",INDEX(상세표[블록 22~06시],$Q422))</f>
        <v/>
      </c>
      <c r="O422">
        <f>IF($Q422="","",INDEX(상세표[주말·휴일 포함],$Q422)&amp;"")</f>
        <v/>
      </c>
      <c r="P422">
        <f>IF($Q422="","",INDEX(상세표[월 넘김 포함],$Q422)&amp;"")</f>
        <v/>
      </c>
      <c r="Q422" s="4">
        <f>IFERROR(MATCH(417,상세표[연속순번],0),"")</f>
        <v/>
      </c>
    </row>
    <row r="423">
      <c r="A423">
        <f>IF($Q423="","",INDEX(상세표[부서],$Q423)&amp;"")</f>
        <v/>
      </c>
      <c r="B423">
        <f>IF($Q423="","",INDEX(상세표[사번],$Q423)&amp;"")</f>
        <v/>
      </c>
      <c r="C423">
        <f>IF($Q423="","",INDEX(상세표[성명],$Q423)&amp;"")</f>
        <v/>
      </c>
      <c r="D423">
        <f>IF($Q423="","",INDEX(상세표[직위],$Q423)&amp;"")</f>
        <v/>
      </c>
      <c r="E423">
        <f>IF($Q423="","",IF(ISNUMBER(INDEX(상세표[근무일자],$Q423)),TEXT(INDEX(상세표[근무일자],$Q423),"yyyy-mm-dd"),INDEX(상세표[근무일자],$Q423)&amp;""))</f>
        <v/>
      </c>
      <c r="F423">
        <f>IF($Q423="","",IF(ISNUMBER(INDEX(상세표[시작],$Q423)),TEXT(INDEX(상세표[시작],$Q423),"yyyy-mm-dd hh:mm"),INDEX(상세표[시작],$Q423)&amp;""))</f>
        <v/>
      </c>
      <c r="G423">
        <f>IF($Q423="","",IF(ISNUMBER(INDEX(상세표[블록종료],$Q423)),TEXT(INDEX(상세표[블록종료],$Q423),"yyyy-mm-dd hh:mm"),INDEX(상세표[블록종료],$Q423)&amp;""))</f>
        <v/>
      </c>
      <c r="H423">
        <f>IF($Q423="","",CHOOSE(WEEKDAY(INDEX(상세표[시작],$Q423)),"일","월","화","수","목","금","토"))</f>
        <v/>
      </c>
      <c r="I423" s="20">
        <f>IF($Q423="","",INDEX(상세표[연속 시간],$Q423))</f>
        <v/>
      </c>
      <c r="J423">
        <f>IF($Q423="","",INDEX(상세표[기록 수],$Q423))</f>
        <v/>
      </c>
      <c r="K423" s="20">
        <f>IF($Q423="","",INDEX(상세표[블록 06~07시],$Q423))</f>
        <v/>
      </c>
      <c r="L423" s="20">
        <f>IF($Q423="","",INDEX(상세표[블록 07~18시],$Q423))</f>
        <v/>
      </c>
      <c r="M423" s="20">
        <f>IF($Q423="","",INDEX(상세표[블록 18~22시],$Q423))</f>
        <v/>
      </c>
      <c r="N423" s="20">
        <f>IF($Q423="","",INDEX(상세표[블록 22~06시],$Q423))</f>
        <v/>
      </c>
      <c r="O423">
        <f>IF($Q423="","",INDEX(상세표[주말·휴일 포함],$Q423)&amp;"")</f>
        <v/>
      </c>
      <c r="P423">
        <f>IF($Q423="","",INDEX(상세표[월 넘김 포함],$Q423)&amp;"")</f>
        <v/>
      </c>
      <c r="Q423" s="4">
        <f>IFERROR(MATCH(418,상세표[연속순번],0),"")</f>
        <v/>
      </c>
    </row>
    <row r="424">
      <c r="A424">
        <f>IF($Q424="","",INDEX(상세표[부서],$Q424)&amp;"")</f>
        <v/>
      </c>
      <c r="B424">
        <f>IF($Q424="","",INDEX(상세표[사번],$Q424)&amp;"")</f>
        <v/>
      </c>
      <c r="C424">
        <f>IF($Q424="","",INDEX(상세표[성명],$Q424)&amp;"")</f>
        <v/>
      </c>
      <c r="D424">
        <f>IF($Q424="","",INDEX(상세표[직위],$Q424)&amp;"")</f>
        <v/>
      </c>
      <c r="E424">
        <f>IF($Q424="","",IF(ISNUMBER(INDEX(상세표[근무일자],$Q424)),TEXT(INDEX(상세표[근무일자],$Q424),"yyyy-mm-dd"),INDEX(상세표[근무일자],$Q424)&amp;""))</f>
        <v/>
      </c>
      <c r="F424">
        <f>IF($Q424="","",IF(ISNUMBER(INDEX(상세표[시작],$Q424)),TEXT(INDEX(상세표[시작],$Q424),"yyyy-mm-dd hh:mm"),INDEX(상세표[시작],$Q424)&amp;""))</f>
        <v/>
      </c>
      <c r="G424">
        <f>IF($Q424="","",IF(ISNUMBER(INDEX(상세표[블록종료],$Q424)),TEXT(INDEX(상세표[블록종료],$Q424),"yyyy-mm-dd hh:mm"),INDEX(상세표[블록종료],$Q424)&amp;""))</f>
        <v/>
      </c>
      <c r="H424">
        <f>IF($Q424="","",CHOOSE(WEEKDAY(INDEX(상세표[시작],$Q424)),"일","월","화","수","목","금","토"))</f>
        <v/>
      </c>
      <c r="I424" s="20">
        <f>IF($Q424="","",INDEX(상세표[연속 시간],$Q424))</f>
        <v/>
      </c>
      <c r="J424">
        <f>IF($Q424="","",INDEX(상세표[기록 수],$Q424))</f>
        <v/>
      </c>
      <c r="K424" s="20">
        <f>IF($Q424="","",INDEX(상세표[블록 06~07시],$Q424))</f>
        <v/>
      </c>
      <c r="L424" s="20">
        <f>IF($Q424="","",INDEX(상세표[블록 07~18시],$Q424))</f>
        <v/>
      </c>
      <c r="M424" s="20">
        <f>IF($Q424="","",INDEX(상세표[블록 18~22시],$Q424))</f>
        <v/>
      </c>
      <c r="N424" s="20">
        <f>IF($Q424="","",INDEX(상세표[블록 22~06시],$Q424))</f>
        <v/>
      </c>
      <c r="O424">
        <f>IF($Q424="","",INDEX(상세표[주말·휴일 포함],$Q424)&amp;"")</f>
        <v/>
      </c>
      <c r="P424">
        <f>IF($Q424="","",INDEX(상세표[월 넘김 포함],$Q424)&amp;"")</f>
        <v/>
      </c>
      <c r="Q424" s="4">
        <f>IFERROR(MATCH(419,상세표[연속순번],0),"")</f>
        <v/>
      </c>
    </row>
    <row r="425">
      <c r="A425">
        <f>IF($Q425="","",INDEX(상세표[부서],$Q425)&amp;"")</f>
        <v/>
      </c>
      <c r="B425">
        <f>IF($Q425="","",INDEX(상세표[사번],$Q425)&amp;"")</f>
        <v/>
      </c>
      <c r="C425">
        <f>IF($Q425="","",INDEX(상세표[성명],$Q425)&amp;"")</f>
        <v/>
      </c>
      <c r="D425">
        <f>IF($Q425="","",INDEX(상세표[직위],$Q425)&amp;"")</f>
        <v/>
      </c>
      <c r="E425">
        <f>IF($Q425="","",IF(ISNUMBER(INDEX(상세표[근무일자],$Q425)),TEXT(INDEX(상세표[근무일자],$Q425),"yyyy-mm-dd"),INDEX(상세표[근무일자],$Q425)&amp;""))</f>
        <v/>
      </c>
      <c r="F425">
        <f>IF($Q425="","",IF(ISNUMBER(INDEX(상세표[시작],$Q425)),TEXT(INDEX(상세표[시작],$Q425),"yyyy-mm-dd hh:mm"),INDEX(상세표[시작],$Q425)&amp;""))</f>
        <v/>
      </c>
      <c r="G425">
        <f>IF($Q425="","",IF(ISNUMBER(INDEX(상세표[블록종료],$Q425)),TEXT(INDEX(상세표[블록종료],$Q425),"yyyy-mm-dd hh:mm"),INDEX(상세표[블록종료],$Q425)&amp;""))</f>
        <v/>
      </c>
      <c r="H425">
        <f>IF($Q425="","",CHOOSE(WEEKDAY(INDEX(상세표[시작],$Q425)),"일","월","화","수","목","금","토"))</f>
        <v/>
      </c>
      <c r="I425" s="20">
        <f>IF($Q425="","",INDEX(상세표[연속 시간],$Q425))</f>
        <v/>
      </c>
      <c r="J425">
        <f>IF($Q425="","",INDEX(상세표[기록 수],$Q425))</f>
        <v/>
      </c>
      <c r="K425" s="20">
        <f>IF($Q425="","",INDEX(상세표[블록 06~07시],$Q425))</f>
        <v/>
      </c>
      <c r="L425" s="20">
        <f>IF($Q425="","",INDEX(상세표[블록 07~18시],$Q425))</f>
        <v/>
      </c>
      <c r="M425" s="20">
        <f>IF($Q425="","",INDEX(상세표[블록 18~22시],$Q425))</f>
        <v/>
      </c>
      <c r="N425" s="20">
        <f>IF($Q425="","",INDEX(상세표[블록 22~06시],$Q425))</f>
        <v/>
      </c>
      <c r="O425">
        <f>IF($Q425="","",INDEX(상세표[주말·휴일 포함],$Q425)&amp;"")</f>
        <v/>
      </c>
      <c r="P425">
        <f>IF($Q425="","",INDEX(상세표[월 넘김 포함],$Q425)&amp;"")</f>
        <v/>
      </c>
      <c r="Q425" s="4">
        <f>IFERROR(MATCH(420,상세표[연속순번],0),"")</f>
        <v/>
      </c>
    </row>
    <row r="426">
      <c r="A426">
        <f>IF($Q426="","",INDEX(상세표[부서],$Q426)&amp;"")</f>
        <v/>
      </c>
      <c r="B426">
        <f>IF($Q426="","",INDEX(상세표[사번],$Q426)&amp;"")</f>
        <v/>
      </c>
      <c r="C426">
        <f>IF($Q426="","",INDEX(상세표[성명],$Q426)&amp;"")</f>
        <v/>
      </c>
      <c r="D426">
        <f>IF($Q426="","",INDEX(상세표[직위],$Q426)&amp;"")</f>
        <v/>
      </c>
      <c r="E426">
        <f>IF($Q426="","",IF(ISNUMBER(INDEX(상세표[근무일자],$Q426)),TEXT(INDEX(상세표[근무일자],$Q426),"yyyy-mm-dd"),INDEX(상세표[근무일자],$Q426)&amp;""))</f>
        <v/>
      </c>
      <c r="F426">
        <f>IF($Q426="","",IF(ISNUMBER(INDEX(상세표[시작],$Q426)),TEXT(INDEX(상세표[시작],$Q426),"yyyy-mm-dd hh:mm"),INDEX(상세표[시작],$Q426)&amp;""))</f>
        <v/>
      </c>
      <c r="G426">
        <f>IF($Q426="","",IF(ISNUMBER(INDEX(상세표[블록종료],$Q426)),TEXT(INDEX(상세표[블록종료],$Q426),"yyyy-mm-dd hh:mm"),INDEX(상세표[블록종료],$Q426)&amp;""))</f>
        <v/>
      </c>
      <c r="H426">
        <f>IF($Q426="","",CHOOSE(WEEKDAY(INDEX(상세표[시작],$Q426)),"일","월","화","수","목","금","토"))</f>
        <v/>
      </c>
      <c r="I426" s="20">
        <f>IF($Q426="","",INDEX(상세표[연속 시간],$Q426))</f>
        <v/>
      </c>
      <c r="J426">
        <f>IF($Q426="","",INDEX(상세표[기록 수],$Q426))</f>
        <v/>
      </c>
      <c r="K426" s="20">
        <f>IF($Q426="","",INDEX(상세표[블록 06~07시],$Q426))</f>
        <v/>
      </c>
      <c r="L426" s="20">
        <f>IF($Q426="","",INDEX(상세표[블록 07~18시],$Q426))</f>
        <v/>
      </c>
      <c r="M426" s="20">
        <f>IF($Q426="","",INDEX(상세표[블록 18~22시],$Q426))</f>
        <v/>
      </c>
      <c r="N426" s="20">
        <f>IF($Q426="","",INDEX(상세표[블록 22~06시],$Q426))</f>
        <v/>
      </c>
      <c r="O426">
        <f>IF($Q426="","",INDEX(상세표[주말·휴일 포함],$Q426)&amp;"")</f>
        <v/>
      </c>
      <c r="P426">
        <f>IF($Q426="","",INDEX(상세표[월 넘김 포함],$Q426)&amp;"")</f>
        <v/>
      </c>
      <c r="Q426" s="4">
        <f>IFERROR(MATCH(421,상세표[연속순번],0),"")</f>
        <v/>
      </c>
    </row>
    <row r="427">
      <c r="A427">
        <f>IF($Q427="","",INDEX(상세표[부서],$Q427)&amp;"")</f>
        <v/>
      </c>
      <c r="B427">
        <f>IF($Q427="","",INDEX(상세표[사번],$Q427)&amp;"")</f>
        <v/>
      </c>
      <c r="C427">
        <f>IF($Q427="","",INDEX(상세표[성명],$Q427)&amp;"")</f>
        <v/>
      </c>
      <c r="D427">
        <f>IF($Q427="","",INDEX(상세표[직위],$Q427)&amp;"")</f>
        <v/>
      </c>
      <c r="E427">
        <f>IF($Q427="","",IF(ISNUMBER(INDEX(상세표[근무일자],$Q427)),TEXT(INDEX(상세표[근무일자],$Q427),"yyyy-mm-dd"),INDEX(상세표[근무일자],$Q427)&amp;""))</f>
        <v/>
      </c>
      <c r="F427">
        <f>IF($Q427="","",IF(ISNUMBER(INDEX(상세표[시작],$Q427)),TEXT(INDEX(상세표[시작],$Q427),"yyyy-mm-dd hh:mm"),INDEX(상세표[시작],$Q427)&amp;""))</f>
        <v/>
      </c>
      <c r="G427">
        <f>IF($Q427="","",IF(ISNUMBER(INDEX(상세표[블록종료],$Q427)),TEXT(INDEX(상세표[블록종료],$Q427),"yyyy-mm-dd hh:mm"),INDEX(상세표[블록종료],$Q427)&amp;""))</f>
        <v/>
      </c>
      <c r="H427">
        <f>IF($Q427="","",CHOOSE(WEEKDAY(INDEX(상세표[시작],$Q427)),"일","월","화","수","목","금","토"))</f>
        <v/>
      </c>
      <c r="I427" s="20">
        <f>IF($Q427="","",INDEX(상세표[연속 시간],$Q427))</f>
        <v/>
      </c>
      <c r="J427">
        <f>IF($Q427="","",INDEX(상세표[기록 수],$Q427))</f>
        <v/>
      </c>
      <c r="K427" s="20">
        <f>IF($Q427="","",INDEX(상세표[블록 06~07시],$Q427))</f>
        <v/>
      </c>
      <c r="L427" s="20">
        <f>IF($Q427="","",INDEX(상세표[블록 07~18시],$Q427))</f>
        <v/>
      </c>
      <c r="M427" s="20">
        <f>IF($Q427="","",INDEX(상세표[블록 18~22시],$Q427))</f>
        <v/>
      </c>
      <c r="N427" s="20">
        <f>IF($Q427="","",INDEX(상세표[블록 22~06시],$Q427))</f>
        <v/>
      </c>
      <c r="O427">
        <f>IF($Q427="","",INDEX(상세표[주말·휴일 포함],$Q427)&amp;"")</f>
        <v/>
      </c>
      <c r="P427">
        <f>IF($Q427="","",INDEX(상세표[월 넘김 포함],$Q427)&amp;"")</f>
        <v/>
      </c>
      <c r="Q427" s="4">
        <f>IFERROR(MATCH(422,상세표[연속순번],0),"")</f>
        <v/>
      </c>
    </row>
    <row r="428">
      <c r="A428">
        <f>IF($Q428="","",INDEX(상세표[부서],$Q428)&amp;"")</f>
        <v/>
      </c>
      <c r="B428">
        <f>IF($Q428="","",INDEX(상세표[사번],$Q428)&amp;"")</f>
        <v/>
      </c>
      <c r="C428">
        <f>IF($Q428="","",INDEX(상세표[성명],$Q428)&amp;"")</f>
        <v/>
      </c>
      <c r="D428">
        <f>IF($Q428="","",INDEX(상세표[직위],$Q428)&amp;"")</f>
        <v/>
      </c>
      <c r="E428">
        <f>IF($Q428="","",IF(ISNUMBER(INDEX(상세표[근무일자],$Q428)),TEXT(INDEX(상세표[근무일자],$Q428),"yyyy-mm-dd"),INDEX(상세표[근무일자],$Q428)&amp;""))</f>
        <v/>
      </c>
      <c r="F428">
        <f>IF($Q428="","",IF(ISNUMBER(INDEX(상세표[시작],$Q428)),TEXT(INDEX(상세표[시작],$Q428),"yyyy-mm-dd hh:mm"),INDEX(상세표[시작],$Q428)&amp;""))</f>
        <v/>
      </c>
      <c r="G428">
        <f>IF($Q428="","",IF(ISNUMBER(INDEX(상세표[블록종료],$Q428)),TEXT(INDEX(상세표[블록종료],$Q428),"yyyy-mm-dd hh:mm"),INDEX(상세표[블록종료],$Q428)&amp;""))</f>
        <v/>
      </c>
      <c r="H428">
        <f>IF($Q428="","",CHOOSE(WEEKDAY(INDEX(상세표[시작],$Q428)),"일","월","화","수","목","금","토"))</f>
        <v/>
      </c>
      <c r="I428" s="20">
        <f>IF($Q428="","",INDEX(상세표[연속 시간],$Q428))</f>
        <v/>
      </c>
      <c r="J428">
        <f>IF($Q428="","",INDEX(상세표[기록 수],$Q428))</f>
        <v/>
      </c>
      <c r="K428" s="20">
        <f>IF($Q428="","",INDEX(상세표[블록 06~07시],$Q428))</f>
        <v/>
      </c>
      <c r="L428" s="20">
        <f>IF($Q428="","",INDEX(상세표[블록 07~18시],$Q428))</f>
        <v/>
      </c>
      <c r="M428" s="20">
        <f>IF($Q428="","",INDEX(상세표[블록 18~22시],$Q428))</f>
        <v/>
      </c>
      <c r="N428" s="20">
        <f>IF($Q428="","",INDEX(상세표[블록 22~06시],$Q428))</f>
        <v/>
      </c>
      <c r="O428">
        <f>IF($Q428="","",INDEX(상세표[주말·휴일 포함],$Q428)&amp;"")</f>
        <v/>
      </c>
      <c r="P428">
        <f>IF($Q428="","",INDEX(상세표[월 넘김 포함],$Q428)&amp;"")</f>
        <v/>
      </c>
      <c r="Q428" s="4">
        <f>IFERROR(MATCH(423,상세표[연속순번],0),"")</f>
        <v/>
      </c>
    </row>
    <row r="429">
      <c r="A429">
        <f>IF($Q429="","",INDEX(상세표[부서],$Q429)&amp;"")</f>
        <v/>
      </c>
      <c r="B429">
        <f>IF($Q429="","",INDEX(상세표[사번],$Q429)&amp;"")</f>
        <v/>
      </c>
      <c r="C429">
        <f>IF($Q429="","",INDEX(상세표[성명],$Q429)&amp;"")</f>
        <v/>
      </c>
      <c r="D429">
        <f>IF($Q429="","",INDEX(상세표[직위],$Q429)&amp;"")</f>
        <v/>
      </c>
      <c r="E429">
        <f>IF($Q429="","",IF(ISNUMBER(INDEX(상세표[근무일자],$Q429)),TEXT(INDEX(상세표[근무일자],$Q429),"yyyy-mm-dd"),INDEX(상세표[근무일자],$Q429)&amp;""))</f>
        <v/>
      </c>
      <c r="F429">
        <f>IF($Q429="","",IF(ISNUMBER(INDEX(상세표[시작],$Q429)),TEXT(INDEX(상세표[시작],$Q429),"yyyy-mm-dd hh:mm"),INDEX(상세표[시작],$Q429)&amp;""))</f>
        <v/>
      </c>
      <c r="G429">
        <f>IF($Q429="","",IF(ISNUMBER(INDEX(상세표[블록종료],$Q429)),TEXT(INDEX(상세표[블록종료],$Q429),"yyyy-mm-dd hh:mm"),INDEX(상세표[블록종료],$Q429)&amp;""))</f>
        <v/>
      </c>
      <c r="H429">
        <f>IF($Q429="","",CHOOSE(WEEKDAY(INDEX(상세표[시작],$Q429)),"일","월","화","수","목","금","토"))</f>
        <v/>
      </c>
      <c r="I429" s="20">
        <f>IF($Q429="","",INDEX(상세표[연속 시간],$Q429))</f>
        <v/>
      </c>
      <c r="J429">
        <f>IF($Q429="","",INDEX(상세표[기록 수],$Q429))</f>
        <v/>
      </c>
      <c r="K429" s="20">
        <f>IF($Q429="","",INDEX(상세표[블록 06~07시],$Q429))</f>
        <v/>
      </c>
      <c r="L429" s="20">
        <f>IF($Q429="","",INDEX(상세표[블록 07~18시],$Q429))</f>
        <v/>
      </c>
      <c r="M429" s="20">
        <f>IF($Q429="","",INDEX(상세표[블록 18~22시],$Q429))</f>
        <v/>
      </c>
      <c r="N429" s="20">
        <f>IF($Q429="","",INDEX(상세표[블록 22~06시],$Q429))</f>
        <v/>
      </c>
      <c r="O429">
        <f>IF($Q429="","",INDEX(상세표[주말·휴일 포함],$Q429)&amp;"")</f>
        <v/>
      </c>
      <c r="P429">
        <f>IF($Q429="","",INDEX(상세표[월 넘김 포함],$Q429)&amp;"")</f>
        <v/>
      </c>
      <c r="Q429" s="4">
        <f>IFERROR(MATCH(424,상세표[연속순번],0),"")</f>
        <v/>
      </c>
    </row>
    <row r="430">
      <c r="A430">
        <f>IF($Q430="","",INDEX(상세표[부서],$Q430)&amp;"")</f>
        <v/>
      </c>
      <c r="B430">
        <f>IF($Q430="","",INDEX(상세표[사번],$Q430)&amp;"")</f>
        <v/>
      </c>
      <c r="C430">
        <f>IF($Q430="","",INDEX(상세표[성명],$Q430)&amp;"")</f>
        <v/>
      </c>
      <c r="D430">
        <f>IF($Q430="","",INDEX(상세표[직위],$Q430)&amp;"")</f>
        <v/>
      </c>
      <c r="E430">
        <f>IF($Q430="","",IF(ISNUMBER(INDEX(상세표[근무일자],$Q430)),TEXT(INDEX(상세표[근무일자],$Q430),"yyyy-mm-dd"),INDEX(상세표[근무일자],$Q430)&amp;""))</f>
        <v/>
      </c>
      <c r="F430">
        <f>IF($Q430="","",IF(ISNUMBER(INDEX(상세표[시작],$Q430)),TEXT(INDEX(상세표[시작],$Q430),"yyyy-mm-dd hh:mm"),INDEX(상세표[시작],$Q430)&amp;""))</f>
        <v/>
      </c>
      <c r="G430">
        <f>IF($Q430="","",IF(ISNUMBER(INDEX(상세표[블록종료],$Q430)),TEXT(INDEX(상세표[블록종료],$Q430),"yyyy-mm-dd hh:mm"),INDEX(상세표[블록종료],$Q430)&amp;""))</f>
        <v/>
      </c>
      <c r="H430">
        <f>IF($Q430="","",CHOOSE(WEEKDAY(INDEX(상세표[시작],$Q430)),"일","월","화","수","목","금","토"))</f>
        <v/>
      </c>
      <c r="I430" s="20">
        <f>IF($Q430="","",INDEX(상세표[연속 시간],$Q430))</f>
        <v/>
      </c>
      <c r="J430">
        <f>IF($Q430="","",INDEX(상세표[기록 수],$Q430))</f>
        <v/>
      </c>
      <c r="K430" s="20">
        <f>IF($Q430="","",INDEX(상세표[블록 06~07시],$Q430))</f>
        <v/>
      </c>
      <c r="L430" s="20">
        <f>IF($Q430="","",INDEX(상세표[블록 07~18시],$Q430))</f>
        <v/>
      </c>
      <c r="M430" s="20">
        <f>IF($Q430="","",INDEX(상세표[블록 18~22시],$Q430))</f>
        <v/>
      </c>
      <c r="N430" s="20">
        <f>IF($Q430="","",INDEX(상세표[블록 22~06시],$Q430))</f>
        <v/>
      </c>
      <c r="O430">
        <f>IF($Q430="","",INDEX(상세표[주말·휴일 포함],$Q430)&amp;"")</f>
        <v/>
      </c>
      <c r="P430">
        <f>IF($Q430="","",INDEX(상세표[월 넘김 포함],$Q430)&amp;"")</f>
        <v/>
      </c>
      <c r="Q430" s="4">
        <f>IFERROR(MATCH(425,상세표[연속순번],0),"")</f>
        <v/>
      </c>
    </row>
    <row r="431">
      <c r="A431">
        <f>IF($Q431="","",INDEX(상세표[부서],$Q431)&amp;"")</f>
        <v/>
      </c>
      <c r="B431">
        <f>IF($Q431="","",INDEX(상세표[사번],$Q431)&amp;"")</f>
        <v/>
      </c>
      <c r="C431">
        <f>IF($Q431="","",INDEX(상세표[성명],$Q431)&amp;"")</f>
        <v/>
      </c>
      <c r="D431">
        <f>IF($Q431="","",INDEX(상세표[직위],$Q431)&amp;"")</f>
        <v/>
      </c>
      <c r="E431">
        <f>IF($Q431="","",IF(ISNUMBER(INDEX(상세표[근무일자],$Q431)),TEXT(INDEX(상세표[근무일자],$Q431),"yyyy-mm-dd"),INDEX(상세표[근무일자],$Q431)&amp;""))</f>
        <v/>
      </c>
      <c r="F431">
        <f>IF($Q431="","",IF(ISNUMBER(INDEX(상세표[시작],$Q431)),TEXT(INDEX(상세표[시작],$Q431),"yyyy-mm-dd hh:mm"),INDEX(상세표[시작],$Q431)&amp;""))</f>
        <v/>
      </c>
      <c r="G431">
        <f>IF($Q431="","",IF(ISNUMBER(INDEX(상세표[블록종료],$Q431)),TEXT(INDEX(상세표[블록종료],$Q431),"yyyy-mm-dd hh:mm"),INDEX(상세표[블록종료],$Q431)&amp;""))</f>
        <v/>
      </c>
      <c r="H431">
        <f>IF($Q431="","",CHOOSE(WEEKDAY(INDEX(상세표[시작],$Q431)),"일","월","화","수","목","금","토"))</f>
        <v/>
      </c>
      <c r="I431" s="20">
        <f>IF($Q431="","",INDEX(상세표[연속 시간],$Q431))</f>
        <v/>
      </c>
      <c r="J431">
        <f>IF($Q431="","",INDEX(상세표[기록 수],$Q431))</f>
        <v/>
      </c>
      <c r="K431" s="20">
        <f>IF($Q431="","",INDEX(상세표[블록 06~07시],$Q431))</f>
        <v/>
      </c>
      <c r="L431" s="20">
        <f>IF($Q431="","",INDEX(상세표[블록 07~18시],$Q431))</f>
        <v/>
      </c>
      <c r="M431" s="20">
        <f>IF($Q431="","",INDEX(상세표[블록 18~22시],$Q431))</f>
        <v/>
      </c>
      <c r="N431" s="20">
        <f>IF($Q431="","",INDEX(상세표[블록 22~06시],$Q431))</f>
        <v/>
      </c>
      <c r="O431">
        <f>IF($Q431="","",INDEX(상세표[주말·휴일 포함],$Q431)&amp;"")</f>
        <v/>
      </c>
      <c r="P431">
        <f>IF($Q431="","",INDEX(상세표[월 넘김 포함],$Q431)&amp;"")</f>
        <v/>
      </c>
      <c r="Q431" s="4">
        <f>IFERROR(MATCH(426,상세표[연속순번],0),"")</f>
        <v/>
      </c>
    </row>
    <row r="432">
      <c r="A432">
        <f>IF($Q432="","",INDEX(상세표[부서],$Q432)&amp;"")</f>
        <v/>
      </c>
      <c r="B432">
        <f>IF($Q432="","",INDEX(상세표[사번],$Q432)&amp;"")</f>
        <v/>
      </c>
      <c r="C432">
        <f>IF($Q432="","",INDEX(상세표[성명],$Q432)&amp;"")</f>
        <v/>
      </c>
      <c r="D432">
        <f>IF($Q432="","",INDEX(상세표[직위],$Q432)&amp;"")</f>
        <v/>
      </c>
      <c r="E432">
        <f>IF($Q432="","",IF(ISNUMBER(INDEX(상세표[근무일자],$Q432)),TEXT(INDEX(상세표[근무일자],$Q432),"yyyy-mm-dd"),INDEX(상세표[근무일자],$Q432)&amp;""))</f>
        <v/>
      </c>
      <c r="F432">
        <f>IF($Q432="","",IF(ISNUMBER(INDEX(상세표[시작],$Q432)),TEXT(INDEX(상세표[시작],$Q432),"yyyy-mm-dd hh:mm"),INDEX(상세표[시작],$Q432)&amp;""))</f>
        <v/>
      </c>
      <c r="G432">
        <f>IF($Q432="","",IF(ISNUMBER(INDEX(상세표[블록종료],$Q432)),TEXT(INDEX(상세표[블록종료],$Q432),"yyyy-mm-dd hh:mm"),INDEX(상세표[블록종료],$Q432)&amp;""))</f>
        <v/>
      </c>
      <c r="H432">
        <f>IF($Q432="","",CHOOSE(WEEKDAY(INDEX(상세표[시작],$Q432)),"일","월","화","수","목","금","토"))</f>
        <v/>
      </c>
      <c r="I432" s="20">
        <f>IF($Q432="","",INDEX(상세표[연속 시간],$Q432))</f>
        <v/>
      </c>
      <c r="J432">
        <f>IF($Q432="","",INDEX(상세표[기록 수],$Q432))</f>
        <v/>
      </c>
      <c r="K432" s="20">
        <f>IF($Q432="","",INDEX(상세표[블록 06~07시],$Q432))</f>
        <v/>
      </c>
      <c r="L432" s="20">
        <f>IF($Q432="","",INDEX(상세표[블록 07~18시],$Q432))</f>
        <v/>
      </c>
      <c r="M432" s="20">
        <f>IF($Q432="","",INDEX(상세표[블록 18~22시],$Q432))</f>
        <v/>
      </c>
      <c r="N432" s="20">
        <f>IF($Q432="","",INDEX(상세표[블록 22~06시],$Q432))</f>
        <v/>
      </c>
      <c r="O432">
        <f>IF($Q432="","",INDEX(상세표[주말·휴일 포함],$Q432)&amp;"")</f>
        <v/>
      </c>
      <c r="P432">
        <f>IF($Q432="","",INDEX(상세표[월 넘김 포함],$Q432)&amp;"")</f>
        <v/>
      </c>
      <c r="Q432" s="4">
        <f>IFERROR(MATCH(427,상세표[연속순번],0),"")</f>
        <v/>
      </c>
    </row>
    <row r="433">
      <c r="A433">
        <f>IF($Q433="","",INDEX(상세표[부서],$Q433)&amp;"")</f>
        <v/>
      </c>
      <c r="B433">
        <f>IF($Q433="","",INDEX(상세표[사번],$Q433)&amp;"")</f>
        <v/>
      </c>
      <c r="C433">
        <f>IF($Q433="","",INDEX(상세표[성명],$Q433)&amp;"")</f>
        <v/>
      </c>
      <c r="D433">
        <f>IF($Q433="","",INDEX(상세표[직위],$Q433)&amp;"")</f>
        <v/>
      </c>
      <c r="E433">
        <f>IF($Q433="","",IF(ISNUMBER(INDEX(상세표[근무일자],$Q433)),TEXT(INDEX(상세표[근무일자],$Q433),"yyyy-mm-dd"),INDEX(상세표[근무일자],$Q433)&amp;""))</f>
        <v/>
      </c>
      <c r="F433">
        <f>IF($Q433="","",IF(ISNUMBER(INDEX(상세표[시작],$Q433)),TEXT(INDEX(상세표[시작],$Q433),"yyyy-mm-dd hh:mm"),INDEX(상세표[시작],$Q433)&amp;""))</f>
        <v/>
      </c>
      <c r="G433">
        <f>IF($Q433="","",IF(ISNUMBER(INDEX(상세표[블록종료],$Q433)),TEXT(INDEX(상세표[블록종료],$Q433),"yyyy-mm-dd hh:mm"),INDEX(상세표[블록종료],$Q433)&amp;""))</f>
        <v/>
      </c>
      <c r="H433">
        <f>IF($Q433="","",CHOOSE(WEEKDAY(INDEX(상세표[시작],$Q433)),"일","월","화","수","목","금","토"))</f>
        <v/>
      </c>
      <c r="I433" s="20">
        <f>IF($Q433="","",INDEX(상세표[연속 시간],$Q433))</f>
        <v/>
      </c>
      <c r="J433">
        <f>IF($Q433="","",INDEX(상세표[기록 수],$Q433))</f>
        <v/>
      </c>
      <c r="K433" s="20">
        <f>IF($Q433="","",INDEX(상세표[블록 06~07시],$Q433))</f>
        <v/>
      </c>
      <c r="L433" s="20">
        <f>IF($Q433="","",INDEX(상세표[블록 07~18시],$Q433))</f>
        <v/>
      </c>
      <c r="M433" s="20">
        <f>IF($Q433="","",INDEX(상세표[블록 18~22시],$Q433))</f>
        <v/>
      </c>
      <c r="N433" s="20">
        <f>IF($Q433="","",INDEX(상세표[블록 22~06시],$Q433))</f>
        <v/>
      </c>
      <c r="O433">
        <f>IF($Q433="","",INDEX(상세표[주말·휴일 포함],$Q433)&amp;"")</f>
        <v/>
      </c>
      <c r="P433">
        <f>IF($Q433="","",INDEX(상세표[월 넘김 포함],$Q433)&amp;"")</f>
        <v/>
      </c>
      <c r="Q433" s="4">
        <f>IFERROR(MATCH(428,상세표[연속순번],0),"")</f>
        <v/>
      </c>
    </row>
    <row r="434">
      <c r="A434">
        <f>IF($Q434="","",INDEX(상세표[부서],$Q434)&amp;"")</f>
        <v/>
      </c>
      <c r="B434">
        <f>IF($Q434="","",INDEX(상세표[사번],$Q434)&amp;"")</f>
        <v/>
      </c>
      <c r="C434">
        <f>IF($Q434="","",INDEX(상세표[성명],$Q434)&amp;"")</f>
        <v/>
      </c>
      <c r="D434">
        <f>IF($Q434="","",INDEX(상세표[직위],$Q434)&amp;"")</f>
        <v/>
      </c>
      <c r="E434">
        <f>IF($Q434="","",IF(ISNUMBER(INDEX(상세표[근무일자],$Q434)),TEXT(INDEX(상세표[근무일자],$Q434),"yyyy-mm-dd"),INDEX(상세표[근무일자],$Q434)&amp;""))</f>
        <v/>
      </c>
      <c r="F434">
        <f>IF($Q434="","",IF(ISNUMBER(INDEX(상세표[시작],$Q434)),TEXT(INDEX(상세표[시작],$Q434),"yyyy-mm-dd hh:mm"),INDEX(상세표[시작],$Q434)&amp;""))</f>
        <v/>
      </c>
      <c r="G434">
        <f>IF($Q434="","",IF(ISNUMBER(INDEX(상세표[블록종료],$Q434)),TEXT(INDEX(상세표[블록종료],$Q434),"yyyy-mm-dd hh:mm"),INDEX(상세표[블록종료],$Q434)&amp;""))</f>
        <v/>
      </c>
      <c r="H434">
        <f>IF($Q434="","",CHOOSE(WEEKDAY(INDEX(상세표[시작],$Q434)),"일","월","화","수","목","금","토"))</f>
        <v/>
      </c>
      <c r="I434" s="20">
        <f>IF($Q434="","",INDEX(상세표[연속 시간],$Q434))</f>
        <v/>
      </c>
      <c r="J434">
        <f>IF($Q434="","",INDEX(상세표[기록 수],$Q434))</f>
        <v/>
      </c>
      <c r="K434" s="20">
        <f>IF($Q434="","",INDEX(상세표[블록 06~07시],$Q434))</f>
        <v/>
      </c>
      <c r="L434" s="20">
        <f>IF($Q434="","",INDEX(상세표[블록 07~18시],$Q434))</f>
        <v/>
      </c>
      <c r="M434" s="20">
        <f>IF($Q434="","",INDEX(상세표[블록 18~22시],$Q434))</f>
        <v/>
      </c>
      <c r="N434" s="20">
        <f>IF($Q434="","",INDEX(상세표[블록 22~06시],$Q434))</f>
        <v/>
      </c>
      <c r="O434">
        <f>IF($Q434="","",INDEX(상세표[주말·휴일 포함],$Q434)&amp;"")</f>
        <v/>
      </c>
      <c r="P434">
        <f>IF($Q434="","",INDEX(상세표[월 넘김 포함],$Q434)&amp;"")</f>
        <v/>
      </c>
      <c r="Q434" s="4">
        <f>IFERROR(MATCH(429,상세표[연속순번],0),"")</f>
        <v/>
      </c>
    </row>
    <row r="435">
      <c r="A435">
        <f>IF($Q435="","",INDEX(상세표[부서],$Q435)&amp;"")</f>
        <v/>
      </c>
      <c r="B435">
        <f>IF($Q435="","",INDEX(상세표[사번],$Q435)&amp;"")</f>
        <v/>
      </c>
      <c r="C435">
        <f>IF($Q435="","",INDEX(상세표[성명],$Q435)&amp;"")</f>
        <v/>
      </c>
      <c r="D435">
        <f>IF($Q435="","",INDEX(상세표[직위],$Q435)&amp;"")</f>
        <v/>
      </c>
      <c r="E435">
        <f>IF($Q435="","",IF(ISNUMBER(INDEX(상세표[근무일자],$Q435)),TEXT(INDEX(상세표[근무일자],$Q435),"yyyy-mm-dd"),INDEX(상세표[근무일자],$Q435)&amp;""))</f>
        <v/>
      </c>
      <c r="F435">
        <f>IF($Q435="","",IF(ISNUMBER(INDEX(상세표[시작],$Q435)),TEXT(INDEX(상세표[시작],$Q435),"yyyy-mm-dd hh:mm"),INDEX(상세표[시작],$Q435)&amp;""))</f>
        <v/>
      </c>
      <c r="G435">
        <f>IF($Q435="","",IF(ISNUMBER(INDEX(상세표[블록종료],$Q435)),TEXT(INDEX(상세표[블록종료],$Q435),"yyyy-mm-dd hh:mm"),INDEX(상세표[블록종료],$Q435)&amp;""))</f>
        <v/>
      </c>
      <c r="H435">
        <f>IF($Q435="","",CHOOSE(WEEKDAY(INDEX(상세표[시작],$Q435)),"일","월","화","수","목","금","토"))</f>
        <v/>
      </c>
      <c r="I435" s="20">
        <f>IF($Q435="","",INDEX(상세표[연속 시간],$Q435))</f>
        <v/>
      </c>
      <c r="J435">
        <f>IF($Q435="","",INDEX(상세표[기록 수],$Q435))</f>
        <v/>
      </c>
      <c r="K435" s="20">
        <f>IF($Q435="","",INDEX(상세표[블록 06~07시],$Q435))</f>
        <v/>
      </c>
      <c r="L435" s="20">
        <f>IF($Q435="","",INDEX(상세표[블록 07~18시],$Q435))</f>
        <v/>
      </c>
      <c r="M435" s="20">
        <f>IF($Q435="","",INDEX(상세표[블록 18~22시],$Q435))</f>
        <v/>
      </c>
      <c r="N435" s="20">
        <f>IF($Q435="","",INDEX(상세표[블록 22~06시],$Q435))</f>
        <v/>
      </c>
      <c r="O435">
        <f>IF($Q435="","",INDEX(상세표[주말·휴일 포함],$Q435)&amp;"")</f>
        <v/>
      </c>
      <c r="P435">
        <f>IF($Q435="","",INDEX(상세표[월 넘김 포함],$Q435)&amp;"")</f>
        <v/>
      </c>
      <c r="Q435" s="4">
        <f>IFERROR(MATCH(430,상세표[연속순번],0),"")</f>
        <v/>
      </c>
    </row>
    <row r="436">
      <c r="A436">
        <f>IF($Q436="","",INDEX(상세표[부서],$Q436)&amp;"")</f>
        <v/>
      </c>
      <c r="B436">
        <f>IF($Q436="","",INDEX(상세표[사번],$Q436)&amp;"")</f>
        <v/>
      </c>
      <c r="C436">
        <f>IF($Q436="","",INDEX(상세표[성명],$Q436)&amp;"")</f>
        <v/>
      </c>
      <c r="D436">
        <f>IF($Q436="","",INDEX(상세표[직위],$Q436)&amp;"")</f>
        <v/>
      </c>
      <c r="E436">
        <f>IF($Q436="","",IF(ISNUMBER(INDEX(상세표[근무일자],$Q436)),TEXT(INDEX(상세표[근무일자],$Q436),"yyyy-mm-dd"),INDEX(상세표[근무일자],$Q436)&amp;""))</f>
        <v/>
      </c>
      <c r="F436">
        <f>IF($Q436="","",IF(ISNUMBER(INDEX(상세표[시작],$Q436)),TEXT(INDEX(상세표[시작],$Q436),"yyyy-mm-dd hh:mm"),INDEX(상세표[시작],$Q436)&amp;""))</f>
        <v/>
      </c>
      <c r="G436">
        <f>IF($Q436="","",IF(ISNUMBER(INDEX(상세표[블록종료],$Q436)),TEXT(INDEX(상세표[블록종료],$Q436),"yyyy-mm-dd hh:mm"),INDEX(상세표[블록종료],$Q436)&amp;""))</f>
        <v/>
      </c>
      <c r="H436">
        <f>IF($Q436="","",CHOOSE(WEEKDAY(INDEX(상세표[시작],$Q436)),"일","월","화","수","목","금","토"))</f>
        <v/>
      </c>
      <c r="I436" s="20">
        <f>IF($Q436="","",INDEX(상세표[연속 시간],$Q436))</f>
        <v/>
      </c>
      <c r="J436">
        <f>IF($Q436="","",INDEX(상세표[기록 수],$Q436))</f>
        <v/>
      </c>
      <c r="K436" s="20">
        <f>IF($Q436="","",INDEX(상세표[블록 06~07시],$Q436))</f>
        <v/>
      </c>
      <c r="L436" s="20">
        <f>IF($Q436="","",INDEX(상세표[블록 07~18시],$Q436))</f>
        <v/>
      </c>
      <c r="M436" s="20">
        <f>IF($Q436="","",INDEX(상세표[블록 18~22시],$Q436))</f>
        <v/>
      </c>
      <c r="N436" s="20">
        <f>IF($Q436="","",INDEX(상세표[블록 22~06시],$Q436))</f>
        <v/>
      </c>
      <c r="O436">
        <f>IF($Q436="","",INDEX(상세표[주말·휴일 포함],$Q436)&amp;"")</f>
        <v/>
      </c>
      <c r="P436">
        <f>IF($Q436="","",INDEX(상세표[월 넘김 포함],$Q436)&amp;"")</f>
        <v/>
      </c>
      <c r="Q436" s="4">
        <f>IFERROR(MATCH(431,상세표[연속순번],0),"")</f>
        <v/>
      </c>
    </row>
    <row r="437">
      <c r="A437">
        <f>IF($Q437="","",INDEX(상세표[부서],$Q437)&amp;"")</f>
        <v/>
      </c>
      <c r="B437">
        <f>IF($Q437="","",INDEX(상세표[사번],$Q437)&amp;"")</f>
        <v/>
      </c>
      <c r="C437">
        <f>IF($Q437="","",INDEX(상세표[성명],$Q437)&amp;"")</f>
        <v/>
      </c>
      <c r="D437">
        <f>IF($Q437="","",INDEX(상세표[직위],$Q437)&amp;"")</f>
        <v/>
      </c>
      <c r="E437">
        <f>IF($Q437="","",IF(ISNUMBER(INDEX(상세표[근무일자],$Q437)),TEXT(INDEX(상세표[근무일자],$Q437),"yyyy-mm-dd"),INDEX(상세표[근무일자],$Q437)&amp;""))</f>
        <v/>
      </c>
      <c r="F437">
        <f>IF($Q437="","",IF(ISNUMBER(INDEX(상세표[시작],$Q437)),TEXT(INDEX(상세표[시작],$Q437),"yyyy-mm-dd hh:mm"),INDEX(상세표[시작],$Q437)&amp;""))</f>
        <v/>
      </c>
      <c r="G437">
        <f>IF($Q437="","",IF(ISNUMBER(INDEX(상세표[블록종료],$Q437)),TEXT(INDEX(상세표[블록종료],$Q437),"yyyy-mm-dd hh:mm"),INDEX(상세표[블록종료],$Q437)&amp;""))</f>
        <v/>
      </c>
      <c r="H437">
        <f>IF($Q437="","",CHOOSE(WEEKDAY(INDEX(상세표[시작],$Q437)),"일","월","화","수","목","금","토"))</f>
        <v/>
      </c>
      <c r="I437" s="20">
        <f>IF($Q437="","",INDEX(상세표[연속 시간],$Q437))</f>
        <v/>
      </c>
      <c r="J437">
        <f>IF($Q437="","",INDEX(상세표[기록 수],$Q437))</f>
        <v/>
      </c>
      <c r="K437" s="20">
        <f>IF($Q437="","",INDEX(상세표[블록 06~07시],$Q437))</f>
        <v/>
      </c>
      <c r="L437" s="20">
        <f>IF($Q437="","",INDEX(상세표[블록 07~18시],$Q437))</f>
        <v/>
      </c>
      <c r="M437" s="20">
        <f>IF($Q437="","",INDEX(상세표[블록 18~22시],$Q437))</f>
        <v/>
      </c>
      <c r="N437" s="20">
        <f>IF($Q437="","",INDEX(상세표[블록 22~06시],$Q437))</f>
        <v/>
      </c>
      <c r="O437">
        <f>IF($Q437="","",INDEX(상세표[주말·휴일 포함],$Q437)&amp;"")</f>
        <v/>
      </c>
      <c r="P437">
        <f>IF($Q437="","",INDEX(상세표[월 넘김 포함],$Q437)&amp;"")</f>
        <v/>
      </c>
      <c r="Q437" s="4">
        <f>IFERROR(MATCH(432,상세표[연속순번],0),"")</f>
        <v/>
      </c>
    </row>
    <row r="438">
      <c r="A438">
        <f>IF($Q438="","",INDEX(상세표[부서],$Q438)&amp;"")</f>
        <v/>
      </c>
      <c r="B438">
        <f>IF($Q438="","",INDEX(상세표[사번],$Q438)&amp;"")</f>
        <v/>
      </c>
      <c r="C438">
        <f>IF($Q438="","",INDEX(상세표[성명],$Q438)&amp;"")</f>
        <v/>
      </c>
      <c r="D438">
        <f>IF($Q438="","",INDEX(상세표[직위],$Q438)&amp;"")</f>
        <v/>
      </c>
      <c r="E438">
        <f>IF($Q438="","",IF(ISNUMBER(INDEX(상세표[근무일자],$Q438)),TEXT(INDEX(상세표[근무일자],$Q438),"yyyy-mm-dd"),INDEX(상세표[근무일자],$Q438)&amp;""))</f>
        <v/>
      </c>
      <c r="F438">
        <f>IF($Q438="","",IF(ISNUMBER(INDEX(상세표[시작],$Q438)),TEXT(INDEX(상세표[시작],$Q438),"yyyy-mm-dd hh:mm"),INDEX(상세표[시작],$Q438)&amp;""))</f>
        <v/>
      </c>
      <c r="G438">
        <f>IF($Q438="","",IF(ISNUMBER(INDEX(상세표[블록종료],$Q438)),TEXT(INDEX(상세표[블록종료],$Q438),"yyyy-mm-dd hh:mm"),INDEX(상세표[블록종료],$Q438)&amp;""))</f>
        <v/>
      </c>
      <c r="H438">
        <f>IF($Q438="","",CHOOSE(WEEKDAY(INDEX(상세표[시작],$Q438)),"일","월","화","수","목","금","토"))</f>
        <v/>
      </c>
      <c r="I438" s="20">
        <f>IF($Q438="","",INDEX(상세표[연속 시간],$Q438))</f>
        <v/>
      </c>
      <c r="J438">
        <f>IF($Q438="","",INDEX(상세표[기록 수],$Q438))</f>
        <v/>
      </c>
      <c r="K438" s="20">
        <f>IF($Q438="","",INDEX(상세표[블록 06~07시],$Q438))</f>
        <v/>
      </c>
      <c r="L438" s="20">
        <f>IF($Q438="","",INDEX(상세표[블록 07~18시],$Q438))</f>
        <v/>
      </c>
      <c r="M438" s="20">
        <f>IF($Q438="","",INDEX(상세표[블록 18~22시],$Q438))</f>
        <v/>
      </c>
      <c r="N438" s="20">
        <f>IF($Q438="","",INDEX(상세표[블록 22~06시],$Q438))</f>
        <v/>
      </c>
      <c r="O438">
        <f>IF($Q438="","",INDEX(상세표[주말·휴일 포함],$Q438)&amp;"")</f>
        <v/>
      </c>
      <c r="P438">
        <f>IF($Q438="","",INDEX(상세표[월 넘김 포함],$Q438)&amp;"")</f>
        <v/>
      </c>
      <c r="Q438" s="4">
        <f>IFERROR(MATCH(433,상세표[연속순번],0),"")</f>
        <v/>
      </c>
    </row>
    <row r="439">
      <c r="A439">
        <f>IF($Q439="","",INDEX(상세표[부서],$Q439)&amp;"")</f>
        <v/>
      </c>
      <c r="B439">
        <f>IF($Q439="","",INDEX(상세표[사번],$Q439)&amp;"")</f>
        <v/>
      </c>
      <c r="C439">
        <f>IF($Q439="","",INDEX(상세표[성명],$Q439)&amp;"")</f>
        <v/>
      </c>
      <c r="D439">
        <f>IF($Q439="","",INDEX(상세표[직위],$Q439)&amp;"")</f>
        <v/>
      </c>
      <c r="E439">
        <f>IF($Q439="","",IF(ISNUMBER(INDEX(상세표[근무일자],$Q439)),TEXT(INDEX(상세표[근무일자],$Q439),"yyyy-mm-dd"),INDEX(상세표[근무일자],$Q439)&amp;""))</f>
        <v/>
      </c>
      <c r="F439">
        <f>IF($Q439="","",IF(ISNUMBER(INDEX(상세표[시작],$Q439)),TEXT(INDEX(상세표[시작],$Q439),"yyyy-mm-dd hh:mm"),INDEX(상세표[시작],$Q439)&amp;""))</f>
        <v/>
      </c>
      <c r="G439">
        <f>IF($Q439="","",IF(ISNUMBER(INDEX(상세표[블록종료],$Q439)),TEXT(INDEX(상세표[블록종료],$Q439),"yyyy-mm-dd hh:mm"),INDEX(상세표[블록종료],$Q439)&amp;""))</f>
        <v/>
      </c>
      <c r="H439">
        <f>IF($Q439="","",CHOOSE(WEEKDAY(INDEX(상세표[시작],$Q439)),"일","월","화","수","목","금","토"))</f>
        <v/>
      </c>
      <c r="I439" s="20">
        <f>IF($Q439="","",INDEX(상세표[연속 시간],$Q439))</f>
        <v/>
      </c>
      <c r="J439">
        <f>IF($Q439="","",INDEX(상세표[기록 수],$Q439))</f>
        <v/>
      </c>
      <c r="K439" s="20">
        <f>IF($Q439="","",INDEX(상세표[블록 06~07시],$Q439))</f>
        <v/>
      </c>
      <c r="L439" s="20">
        <f>IF($Q439="","",INDEX(상세표[블록 07~18시],$Q439))</f>
        <v/>
      </c>
      <c r="M439" s="20">
        <f>IF($Q439="","",INDEX(상세표[블록 18~22시],$Q439))</f>
        <v/>
      </c>
      <c r="N439" s="20">
        <f>IF($Q439="","",INDEX(상세표[블록 22~06시],$Q439))</f>
        <v/>
      </c>
      <c r="O439">
        <f>IF($Q439="","",INDEX(상세표[주말·휴일 포함],$Q439)&amp;"")</f>
        <v/>
      </c>
      <c r="P439">
        <f>IF($Q439="","",INDEX(상세표[월 넘김 포함],$Q439)&amp;"")</f>
        <v/>
      </c>
      <c r="Q439" s="4">
        <f>IFERROR(MATCH(434,상세표[연속순번],0),"")</f>
        <v/>
      </c>
    </row>
    <row r="440">
      <c r="A440">
        <f>IF($Q440="","",INDEX(상세표[부서],$Q440)&amp;"")</f>
        <v/>
      </c>
      <c r="B440">
        <f>IF($Q440="","",INDEX(상세표[사번],$Q440)&amp;"")</f>
        <v/>
      </c>
      <c r="C440">
        <f>IF($Q440="","",INDEX(상세표[성명],$Q440)&amp;"")</f>
        <v/>
      </c>
      <c r="D440">
        <f>IF($Q440="","",INDEX(상세표[직위],$Q440)&amp;"")</f>
        <v/>
      </c>
      <c r="E440">
        <f>IF($Q440="","",IF(ISNUMBER(INDEX(상세표[근무일자],$Q440)),TEXT(INDEX(상세표[근무일자],$Q440),"yyyy-mm-dd"),INDEX(상세표[근무일자],$Q440)&amp;""))</f>
        <v/>
      </c>
      <c r="F440">
        <f>IF($Q440="","",IF(ISNUMBER(INDEX(상세표[시작],$Q440)),TEXT(INDEX(상세표[시작],$Q440),"yyyy-mm-dd hh:mm"),INDEX(상세표[시작],$Q440)&amp;""))</f>
        <v/>
      </c>
      <c r="G440">
        <f>IF($Q440="","",IF(ISNUMBER(INDEX(상세표[블록종료],$Q440)),TEXT(INDEX(상세표[블록종료],$Q440),"yyyy-mm-dd hh:mm"),INDEX(상세표[블록종료],$Q440)&amp;""))</f>
        <v/>
      </c>
      <c r="H440">
        <f>IF($Q440="","",CHOOSE(WEEKDAY(INDEX(상세표[시작],$Q440)),"일","월","화","수","목","금","토"))</f>
        <v/>
      </c>
      <c r="I440" s="20">
        <f>IF($Q440="","",INDEX(상세표[연속 시간],$Q440))</f>
        <v/>
      </c>
      <c r="J440">
        <f>IF($Q440="","",INDEX(상세표[기록 수],$Q440))</f>
        <v/>
      </c>
      <c r="K440" s="20">
        <f>IF($Q440="","",INDEX(상세표[블록 06~07시],$Q440))</f>
        <v/>
      </c>
      <c r="L440" s="20">
        <f>IF($Q440="","",INDEX(상세표[블록 07~18시],$Q440))</f>
        <v/>
      </c>
      <c r="M440" s="20">
        <f>IF($Q440="","",INDEX(상세표[블록 18~22시],$Q440))</f>
        <v/>
      </c>
      <c r="N440" s="20">
        <f>IF($Q440="","",INDEX(상세표[블록 22~06시],$Q440))</f>
        <v/>
      </c>
      <c r="O440">
        <f>IF($Q440="","",INDEX(상세표[주말·휴일 포함],$Q440)&amp;"")</f>
        <v/>
      </c>
      <c r="P440">
        <f>IF($Q440="","",INDEX(상세표[월 넘김 포함],$Q440)&amp;"")</f>
        <v/>
      </c>
      <c r="Q440" s="4">
        <f>IFERROR(MATCH(435,상세표[연속순번],0),"")</f>
        <v/>
      </c>
    </row>
    <row r="441">
      <c r="A441">
        <f>IF($Q441="","",INDEX(상세표[부서],$Q441)&amp;"")</f>
        <v/>
      </c>
      <c r="B441">
        <f>IF($Q441="","",INDEX(상세표[사번],$Q441)&amp;"")</f>
        <v/>
      </c>
      <c r="C441">
        <f>IF($Q441="","",INDEX(상세표[성명],$Q441)&amp;"")</f>
        <v/>
      </c>
      <c r="D441">
        <f>IF($Q441="","",INDEX(상세표[직위],$Q441)&amp;"")</f>
        <v/>
      </c>
      <c r="E441">
        <f>IF($Q441="","",IF(ISNUMBER(INDEX(상세표[근무일자],$Q441)),TEXT(INDEX(상세표[근무일자],$Q441),"yyyy-mm-dd"),INDEX(상세표[근무일자],$Q441)&amp;""))</f>
        <v/>
      </c>
      <c r="F441">
        <f>IF($Q441="","",IF(ISNUMBER(INDEX(상세표[시작],$Q441)),TEXT(INDEX(상세표[시작],$Q441),"yyyy-mm-dd hh:mm"),INDEX(상세표[시작],$Q441)&amp;""))</f>
        <v/>
      </c>
      <c r="G441">
        <f>IF($Q441="","",IF(ISNUMBER(INDEX(상세표[블록종료],$Q441)),TEXT(INDEX(상세표[블록종료],$Q441),"yyyy-mm-dd hh:mm"),INDEX(상세표[블록종료],$Q441)&amp;""))</f>
        <v/>
      </c>
      <c r="H441">
        <f>IF($Q441="","",CHOOSE(WEEKDAY(INDEX(상세표[시작],$Q441)),"일","월","화","수","목","금","토"))</f>
        <v/>
      </c>
      <c r="I441" s="20">
        <f>IF($Q441="","",INDEX(상세표[연속 시간],$Q441))</f>
        <v/>
      </c>
      <c r="J441">
        <f>IF($Q441="","",INDEX(상세표[기록 수],$Q441))</f>
        <v/>
      </c>
      <c r="K441" s="20">
        <f>IF($Q441="","",INDEX(상세표[블록 06~07시],$Q441))</f>
        <v/>
      </c>
      <c r="L441" s="20">
        <f>IF($Q441="","",INDEX(상세표[블록 07~18시],$Q441))</f>
        <v/>
      </c>
      <c r="M441" s="20">
        <f>IF($Q441="","",INDEX(상세표[블록 18~22시],$Q441))</f>
        <v/>
      </c>
      <c r="N441" s="20">
        <f>IF($Q441="","",INDEX(상세표[블록 22~06시],$Q441))</f>
        <v/>
      </c>
      <c r="O441">
        <f>IF($Q441="","",INDEX(상세표[주말·휴일 포함],$Q441)&amp;"")</f>
        <v/>
      </c>
      <c r="P441">
        <f>IF($Q441="","",INDEX(상세표[월 넘김 포함],$Q441)&amp;"")</f>
        <v/>
      </c>
      <c r="Q441" s="4">
        <f>IFERROR(MATCH(436,상세표[연속순번],0),"")</f>
        <v/>
      </c>
    </row>
    <row r="442">
      <c r="A442">
        <f>IF($Q442="","",INDEX(상세표[부서],$Q442)&amp;"")</f>
        <v/>
      </c>
      <c r="B442">
        <f>IF($Q442="","",INDEX(상세표[사번],$Q442)&amp;"")</f>
        <v/>
      </c>
      <c r="C442">
        <f>IF($Q442="","",INDEX(상세표[성명],$Q442)&amp;"")</f>
        <v/>
      </c>
      <c r="D442">
        <f>IF($Q442="","",INDEX(상세표[직위],$Q442)&amp;"")</f>
        <v/>
      </c>
      <c r="E442">
        <f>IF($Q442="","",IF(ISNUMBER(INDEX(상세표[근무일자],$Q442)),TEXT(INDEX(상세표[근무일자],$Q442),"yyyy-mm-dd"),INDEX(상세표[근무일자],$Q442)&amp;""))</f>
        <v/>
      </c>
      <c r="F442">
        <f>IF($Q442="","",IF(ISNUMBER(INDEX(상세표[시작],$Q442)),TEXT(INDEX(상세표[시작],$Q442),"yyyy-mm-dd hh:mm"),INDEX(상세표[시작],$Q442)&amp;""))</f>
        <v/>
      </c>
      <c r="G442">
        <f>IF($Q442="","",IF(ISNUMBER(INDEX(상세표[블록종료],$Q442)),TEXT(INDEX(상세표[블록종료],$Q442),"yyyy-mm-dd hh:mm"),INDEX(상세표[블록종료],$Q442)&amp;""))</f>
        <v/>
      </c>
      <c r="H442">
        <f>IF($Q442="","",CHOOSE(WEEKDAY(INDEX(상세표[시작],$Q442)),"일","월","화","수","목","금","토"))</f>
        <v/>
      </c>
      <c r="I442" s="20">
        <f>IF($Q442="","",INDEX(상세표[연속 시간],$Q442))</f>
        <v/>
      </c>
      <c r="J442">
        <f>IF($Q442="","",INDEX(상세표[기록 수],$Q442))</f>
        <v/>
      </c>
      <c r="K442" s="20">
        <f>IF($Q442="","",INDEX(상세표[블록 06~07시],$Q442))</f>
        <v/>
      </c>
      <c r="L442" s="20">
        <f>IF($Q442="","",INDEX(상세표[블록 07~18시],$Q442))</f>
        <v/>
      </c>
      <c r="M442" s="20">
        <f>IF($Q442="","",INDEX(상세표[블록 18~22시],$Q442))</f>
        <v/>
      </c>
      <c r="N442" s="20">
        <f>IF($Q442="","",INDEX(상세표[블록 22~06시],$Q442))</f>
        <v/>
      </c>
      <c r="O442">
        <f>IF($Q442="","",INDEX(상세표[주말·휴일 포함],$Q442)&amp;"")</f>
        <v/>
      </c>
      <c r="P442">
        <f>IF($Q442="","",INDEX(상세표[월 넘김 포함],$Q442)&amp;"")</f>
        <v/>
      </c>
      <c r="Q442" s="4">
        <f>IFERROR(MATCH(437,상세표[연속순번],0),"")</f>
        <v/>
      </c>
    </row>
    <row r="443">
      <c r="A443">
        <f>IF($Q443="","",INDEX(상세표[부서],$Q443)&amp;"")</f>
        <v/>
      </c>
      <c r="B443">
        <f>IF($Q443="","",INDEX(상세표[사번],$Q443)&amp;"")</f>
        <v/>
      </c>
      <c r="C443">
        <f>IF($Q443="","",INDEX(상세표[성명],$Q443)&amp;"")</f>
        <v/>
      </c>
      <c r="D443">
        <f>IF($Q443="","",INDEX(상세표[직위],$Q443)&amp;"")</f>
        <v/>
      </c>
      <c r="E443">
        <f>IF($Q443="","",IF(ISNUMBER(INDEX(상세표[근무일자],$Q443)),TEXT(INDEX(상세표[근무일자],$Q443),"yyyy-mm-dd"),INDEX(상세표[근무일자],$Q443)&amp;""))</f>
        <v/>
      </c>
      <c r="F443">
        <f>IF($Q443="","",IF(ISNUMBER(INDEX(상세표[시작],$Q443)),TEXT(INDEX(상세표[시작],$Q443),"yyyy-mm-dd hh:mm"),INDEX(상세표[시작],$Q443)&amp;""))</f>
        <v/>
      </c>
      <c r="G443">
        <f>IF($Q443="","",IF(ISNUMBER(INDEX(상세표[블록종료],$Q443)),TEXT(INDEX(상세표[블록종료],$Q443),"yyyy-mm-dd hh:mm"),INDEX(상세표[블록종료],$Q443)&amp;""))</f>
        <v/>
      </c>
      <c r="H443">
        <f>IF($Q443="","",CHOOSE(WEEKDAY(INDEX(상세표[시작],$Q443)),"일","월","화","수","목","금","토"))</f>
        <v/>
      </c>
      <c r="I443" s="20">
        <f>IF($Q443="","",INDEX(상세표[연속 시간],$Q443))</f>
        <v/>
      </c>
      <c r="J443">
        <f>IF($Q443="","",INDEX(상세표[기록 수],$Q443))</f>
        <v/>
      </c>
      <c r="K443" s="20">
        <f>IF($Q443="","",INDEX(상세표[블록 06~07시],$Q443))</f>
        <v/>
      </c>
      <c r="L443" s="20">
        <f>IF($Q443="","",INDEX(상세표[블록 07~18시],$Q443))</f>
        <v/>
      </c>
      <c r="M443" s="20">
        <f>IF($Q443="","",INDEX(상세표[블록 18~22시],$Q443))</f>
        <v/>
      </c>
      <c r="N443" s="20">
        <f>IF($Q443="","",INDEX(상세표[블록 22~06시],$Q443))</f>
        <v/>
      </c>
      <c r="O443">
        <f>IF($Q443="","",INDEX(상세표[주말·휴일 포함],$Q443)&amp;"")</f>
        <v/>
      </c>
      <c r="P443">
        <f>IF($Q443="","",INDEX(상세표[월 넘김 포함],$Q443)&amp;"")</f>
        <v/>
      </c>
      <c r="Q443" s="4">
        <f>IFERROR(MATCH(438,상세표[연속순번],0),"")</f>
        <v/>
      </c>
    </row>
    <row r="444">
      <c r="A444">
        <f>IF($Q444="","",INDEX(상세표[부서],$Q444)&amp;"")</f>
        <v/>
      </c>
      <c r="B444">
        <f>IF($Q444="","",INDEX(상세표[사번],$Q444)&amp;"")</f>
        <v/>
      </c>
      <c r="C444">
        <f>IF($Q444="","",INDEX(상세표[성명],$Q444)&amp;"")</f>
        <v/>
      </c>
      <c r="D444">
        <f>IF($Q444="","",INDEX(상세표[직위],$Q444)&amp;"")</f>
        <v/>
      </c>
      <c r="E444">
        <f>IF($Q444="","",IF(ISNUMBER(INDEX(상세표[근무일자],$Q444)),TEXT(INDEX(상세표[근무일자],$Q444),"yyyy-mm-dd"),INDEX(상세표[근무일자],$Q444)&amp;""))</f>
        <v/>
      </c>
      <c r="F444">
        <f>IF($Q444="","",IF(ISNUMBER(INDEX(상세표[시작],$Q444)),TEXT(INDEX(상세표[시작],$Q444),"yyyy-mm-dd hh:mm"),INDEX(상세표[시작],$Q444)&amp;""))</f>
        <v/>
      </c>
      <c r="G444">
        <f>IF($Q444="","",IF(ISNUMBER(INDEX(상세표[블록종료],$Q444)),TEXT(INDEX(상세표[블록종료],$Q444),"yyyy-mm-dd hh:mm"),INDEX(상세표[블록종료],$Q444)&amp;""))</f>
        <v/>
      </c>
      <c r="H444">
        <f>IF($Q444="","",CHOOSE(WEEKDAY(INDEX(상세표[시작],$Q444)),"일","월","화","수","목","금","토"))</f>
        <v/>
      </c>
      <c r="I444" s="20">
        <f>IF($Q444="","",INDEX(상세표[연속 시간],$Q444))</f>
        <v/>
      </c>
      <c r="J444">
        <f>IF($Q444="","",INDEX(상세표[기록 수],$Q444))</f>
        <v/>
      </c>
      <c r="K444" s="20">
        <f>IF($Q444="","",INDEX(상세표[블록 06~07시],$Q444))</f>
        <v/>
      </c>
      <c r="L444" s="20">
        <f>IF($Q444="","",INDEX(상세표[블록 07~18시],$Q444))</f>
        <v/>
      </c>
      <c r="M444" s="20">
        <f>IF($Q444="","",INDEX(상세표[블록 18~22시],$Q444))</f>
        <v/>
      </c>
      <c r="N444" s="20">
        <f>IF($Q444="","",INDEX(상세표[블록 22~06시],$Q444))</f>
        <v/>
      </c>
      <c r="O444">
        <f>IF($Q444="","",INDEX(상세표[주말·휴일 포함],$Q444)&amp;"")</f>
        <v/>
      </c>
      <c r="P444">
        <f>IF($Q444="","",INDEX(상세표[월 넘김 포함],$Q444)&amp;"")</f>
        <v/>
      </c>
      <c r="Q444" s="4">
        <f>IFERROR(MATCH(439,상세표[연속순번],0),"")</f>
        <v/>
      </c>
    </row>
    <row r="445">
      <c r="A445">
        <f>IF($Q445="","",INDEX(상세표[부서],$Q445)&amp;"")</f>
        <v/>
      </c>
      <c r="B445">
        <f>IF($Q445="","",INDEX(상세표[사번],$Q445)&amp;"")</f>
        <v/>
      </c>
      <c r="C445">
        <f>IF($Q445="","",INDEX(상세표[성명],$Q445)&amp;"")</f>
        <v/>
      </c>
      <c r="D445">
        <f>IF($Q445="","",INDEX(상세표[직위],$Q445)&amp;"")</f>
        <v/>
      </c>
      <c r="E445">
        <f>IF($Q445="","",IF(ISNUMBER(INDEX(상세표[근무일자],$Q445)),TEXT(INDEX(상세표[근무일자],$Q445),"yyyy-mm-dd"),INDEX(상세표[근무일자],$Q445)&amp;""))</f>
        <v/>
      </c>
      <c r="F445">
        <f>IF($Q445="","",IF(ISNUMBER(INDEX(상세표[시작],$Q445)),TEXT(INDEX(상세표[시작],$Q445),"yyyy-mm-dd hh:mm"),INDEX(상세표[시작],$Q445)&amp;""))</f>
        <v/>
      </c>
      <c r="G445">
        <f>IF($Q445="","",IF(ISNUMBER(INDEX(상세표[블록종료],$Q445)),TEXT(INDEX(상세표[블록종료],$Q445),"yyyy-mm-dd hh:mm"),INDEX(상세표[블록종료],$Q445)&amp;""))</f>
        <v/>
      </c>
      <c r="H445">
        <f>IF($Q445="","",CHOOSE(WEEKDAY(INDEX(상세표[시작],$Q445)),"일","월","화","수","목","금","토"))</f>
        <v/>
      </c>
      <c r="I445" s="20">
        <f>IF($Q445="","",INDEX(상세표[연속 시간],$Q445))</f>
        <v/>
      </c>
      <c r="J445">
        <f>IF($Q445="","",INDEX(상세표[기록 수],$Q445))</f>
        <v/>
      </c>
      <c r="K445" s="20">
        <f>IF($Q445="","",INDEX(상세표[블록 06~07시],$Q445))</f>
        <v/>
      </c>
      <c r="L445" s="20">
        <f>IF($Q445="","",INDEX(상세표[블록 07~18시],$Q445))</f>
        <v/>
      </c>
      <c r="M445" s="20">
        <f>IF($Q445="","",INDEX(상세표[블록 18~22시],$Q445))</f>
        <v/>
      </c>
      <c r="N445" s="20">
        <f>IF($Q445="","",INDEX(상세표[블록 22~06시],$Q445))</f>
        <v/>
      </c>
      <c r="O445">
        <f>IF($Q445="","",INDEX(상세표[주말·휴일 포함],$Q445)&amp;"")</f>
        <v/>
      </c>
      <c r="P445">
        <f>IF($Q445="","",INDEX(상세표[월 넘김 포함],$Q445)&amp;"")</f>
        <v/>
      </c>
      <c r="Q445" s="4">
        <f>IFERROR(MATCH(440,상세표[연속순번],0),"")</f>
        <v/>
      </c>
    </row>
    <row r="446">
      <c r="A446">
        <f>IF($Q446="","",INDEX(상세표[부서],$Q446)&amp;"")</f>
        <v/>
      </c>
      <c r="B446">
        <f>IF($Q446="","",INDEX(상세표[사번],$Q446)&amp;"")</f>
        <v/>
      </c>
      <c r="C446">
        <f>IF($Q446="","",INDEX(상세표[성명],$Q446)&amp;"")</f>
        <v/>
      </c>
      <c r="D446">
        <f>IF($Q446="","",INDEX(상세표[직위],$Q446)&amp;"")</f>
        <v/>
      </c>
      <c r="E446">
        <f>IF($Q446="","",IF(ISNUMBER(INDEX(상세표[근무일자],$Q446)),TEXT(INDEX(상세표[근무일자],$Q446),"yyyy-mm-dd"),INDEX(상세표[근무일자],$Q446)&amp;""))</f>
        <v/>
      </c>
      <c r="F446">
        <f>IF($Q446="","",IF(ISNUMBER(INDEX(상세표[시작],$Q446)),TEXT(INDEX(상세표[시작],$Q446),"yyyy-mm-dd hh:mm"),INDEX(상세표[시작],$Q446)&amp;""))</f>
        <v/>
      </c>
      <c r="G446">
        <f>IF($Q446="","",IF(ISNUMBER(INDEX(상세표[블록종료],$Q446)),TEXT(INDEX(상세표[블록종료],$Q446),"yyyy-mm-dd hh:mm"),INDEX(상세표[블록종료],$Q446)&amp;""))</f>
        <v/>
      </c>
      <c r="H446">
        <f>IF($Q446="","",CHOOSE(WEEKDAY(INDEX(상세표[시작],$Q446)),"일","월","화","수","목","금","토"))</f>
        <v/>
      </c>
      <c r="I446" s="20">
        <f>IF($Q446="","",INDEX(상세표[연속 시간],$Q446))</f>
        <v/>
      </c>
      <c r="J446">
        <f>IF($Q446="","",INDEX(상세표[기록 수],$Q446))</f>
        <v/>
      </c>
      <c r="K446" s="20">
        <f>IF($Q446="","",INDEX(상세표[블록 06~07시],$Q446))</f>
        <v/>
      </c>
      <c r="L446" s="20">
        <f>IF($Q446="","",INDEX(상세표[블록 07~18시],$Q446))</f>
        <v/>
      </c>
      <c r="M446" s="20">
        <f>IF($Q446="","",INDEX(상세표[블록 18~22시],$Q446))</f>
        <v/>
      </c>
      <c r="N446" s="20">
        <f>IF($Q446="","",INDEX(상세표[블록 22~06시],$Q446))</f>
        <v/>
      </c>
      <c r="O446">
        <f>IF($Q446="","",INDEX(상세표[주말·휴일 포함],$Q446)&amp;"")</f>
        <v/>
      </c>
      <c r="P446">
        <f>IF($Q446="","",INDEX(상세표[월 넘김 포함],$Q446)&amp;"")</f>
        <v/>
      </c>
      <c r="Q446" s="4">
        <f>IFERROR(MATCH(441,상세표[연속순번],0),"")</f>
        <v/>
      </c>
    </row>
    <row r="447">
      <c r="A447">
        <f>IF($Q447="","",INDEX(상세표[부서],$Q447)&amp;"")</f>
        <v/>
      </c>
      <c r="B447">
        <f>IF($Q447="","",INDEX(상세표[사번],$Q447)&amp;"")</f>
        <v/>
      </c>
      <c r="C447">
        <f>IF($Q447="","",INDEX(상세표[성명],$Q447)&amp;"")</f>
        <v/>
      </c>
      <c r="D447">
        <f>IF($Q447="","",INDEX(상세표[직위],$Q447)&amp;"")</f>
        <v/>
      </c>
      <c r="E447">
        <f>IF($Q447="","",IF(ISNUMBER(INDEX(상세표[근무일자],$Q447)),TEXT(INDEX(상세표[근무일자],$Q447),"yyyy-mm-dd"),INDEX(상세표[근무일자],$Q447)&amp;""))</f>
        <v/>
      </c>
      <c r="F447">
        <f>IF($Q447="","",IF(ISNUMBER(INDEX(상세표[시작],$Q447)),TEXT(INDEX(상세표[시작],$Q447),"yyyy-mm-dd hh:mm"),INDEX(상세표[시작],$Q447)&amp;""))</f>
        <v/>
      </c>
      <c r="G447">
        <f>IF($Q447="","",IF(ISNUMBER(INDEX(상세표[블록종료],$Q447)),TEXT(INDEX(상세표[블록종료],$Q447),"yyyy-mm-dd hh:mm"),INDEX(상세표[블록종료],$Q447)&amp;""))</f>
        <v/>
      </c>
      <c r="H447">
        <f>IF($Q447="","",CHOOSE(WEEKDAY(INDEX(상세표[시작],$Q447)),"일","월","화","수","목","금","토"))</f>
        <v/>
      </c>
      <c r="I447" s="20">
        <f>IF($Q447="","",INDEX(상세표[연속 시간],$Q447))</f>
        <v/>
      </c>
      <c r="J447">
        <f>IF($Q447="","",INDEX(상세표[기록 수],$Q447))</f>
        <v/>
      </c>
      <c r="K447" s="20">
        <f>IF($Q447="","",INDEX(상세표[블록 06~07시],$Q447))</f>
        <v/>
      </c>
      <c r="L447" s="20">
        <f>IF($Q447="","",INDEX(상세표[블록 07~18시],$Q447))</f>
        <v/>
      </c>
      <c r="M447" s="20">
        <f>IF($Q447="","",INDEX(상세표[블록 18~22시],$Q447))</f>
        <v/>
      </c>
      <c r="N447" s="20">
        <f>IF($Q447="","",INDEX(상세표[블록 22~06시],$Q447))</f>
        <v/>
      </c>
      <c r="O447">
        <f>IF($Q447="","",INDEX(상세표[주말·휴일 포함],$Q447)&amp;"")</f>
        <v/>
      </c>
      <c r="P447">
        <f>IF($Q447="","",INDEX(상세표[월 넘김 포함],$Q447)&amp;"")</f>
        <v/>
      </c>
      <c r="Q447" s="4">
        <f>IFERROR(MATCH(442,상세표[연속순번],0),"")</f>
        <v/>
      </c>
    </row>
    <row r="448">
      <c r="A448">
        <f>IF($Q448="","",INDEX(상세표[부서],$Q448)&amp;"")</f>
        <v/>
      </c>
      <c r="B448">
        <f>IF($Q448="","",INDEX(상세표[사번],$Q448)&amp;"")</f>
        <v/>
      </c>
      <c r="C448">
        <f>IF($Q448="","",INDEX(상세표[성명],$Q448)&amp;"")</f>
        <v/>
      </c>
      <c r="D448">
        <f>IF($Q448="","",INDEX(상세표[직위],$Q448)&amp;"")</f>
        <v/>
      </c>
      <c r="E448">
        <f>IF($Q448="","",IF(ISNUMBER(INDEX(상세표[근무일자],$Q448)),TEXT(INDEX(상세표[근무일자],$Q448),"yyyy-mm-dd"),INDEX(상세표[근무일자],$Q448)&amp;""))</f>
        <v/>
      </c>
      <c r="F448">
        <f>IF($Q448="","",IF(ISNUMBER(INDEX(상세표[시작],$Q448)),TEXT(INDEX(상세표[시작],$Q448),"yyyy-mm-dd hh:mm"),INDEX(상세표[시작],$Q448)&amp;""))</f>
        <v/>
      </c>
      <c r="G448">
        <f>IF($Q448="","",IF(ISNUMBER(INDEX(상세표[블록종료],$Q448)),TEXT(INDEX(상세표[블록종료],$Q448),"yyyy-mm-dd hh:mm"),INDEX(상세표[블록종료],$Q448)&amp;""))</f>
        <v/>
      </c>
      <c r="H448">
        <f>IF($Q448="","",CHOOSE(WEEKDAY(INDEX(상세표[시작],$Q448)),"일","월","화","수","목","금","토"))</f>
        <v/>
      </c>
      <c r="I448" s="20">
        <f>IF($Q448="","",INDEX(상세표[연속 시간],$Q448))</f>
        <v/>
      </c>
      <c r="J448">
        <f>IF($Q448="","",INDEX(상세표[기록 수],$Q448))</f>
        <v/>
      </c>
      <c r="K448" s="20">
        <f>IF($Q448="","",INDEX(상세표[블록 06~07시],$Q448))</f>
        <v/>
      </c>
      <c r="L448" s="20">
        <f>IF($Q448="","",INDEX(상세표[블록 07~18시],$Q448))</f>
        <v/>
      </c>
      <c r="M448" s="20">
        <f>IF($Q448="","",INDEX(상세표[블록 18~22시],$Q448))</f>
        <v/>
      </c>
      <c r="N448" s="20">
        <f>IF($Q448="","",INDEX(상세표[블록 22~06시],$Q448))</f>
        <v/>
      </c>
      <c r="O448">
        <f>IF($Q448="","",INDEX(상세표[주말·휴일 포함],$Q448)&amp;"")</f>
        <v/>
      </c>
      <c r="P448">
        <f>IF($Q448="","",INDEX(상세표[월 넘김 포함],$Q448)&amp;"")</f>
        <v/>
      </c>
      <c r="Q448" s="4">
        <f>IFERROR(MATCH(443,상세표[연속순번],0),"")</f>
        <v/>
      </c>
    </row>
    <row r="449">
      <c r="A449">
        <f>IF($Q449="","",INDEX(상세표[부서],$Q449)&amp;"")</f>
        <v/>
      </c>
      <c r="B449">
        <f>IF($Q449="","",INDEX(상세표[사번],$Q449)&amp;"")</f>
        <v/>
      </c>
      <c r="C449">
        <f>IF($Q449="","",INDEX(상세표[성명],$Q449)&amp;"")</f>
        <v/>
      </c>
      <c r="D449">
        <f>IF($Q449="","",INDEX(상세표[직위],$Q449)&amp;"")</f>
        <v/>
      </c>
      <c r="E449">
        <f>IF($Q449="","",IF(ISNUMBER(INDEX(상세표[근무일자],$Q449)),TEXT(INDEX(상세표[근무일자],$Q449),"yyyy-mm-dd"),INDEX(상세표[근무일자],$Q449)&amp;""))</f>
        <v/>
      </c>
      <c r="F449">
        <f>IF($Q449="","",IF(ISNUMBER(INDEX(상세표[시작],$Q449)),TEXT(INDEX(상세표[시작],$Q449),"yyyy-mm-dd hh:mm"),INDEX(상세표[시작],$Q449)&amp;""))</f>
        <v/>
      </c>
      <c r="G449">
        <f>IF($Q449="","",IF(ISNUMBER(INDEX(상세표[블록종료],$Q449)),TEXT(INDEX(상세표[블록종료],$Q449),"yyyy-mm-dd hh:mm"),INDEX(상세표[블록종료],$Q449)&amp;""))</f>
        <v/>
      </c>
      <c r="H449">
        <f>IF($Q449="","",CHOOSE(WEEKDAY(INDEX(상세표[시작],$Q449)),"일","월","화","수","목","금","토"))</f>
        <v/>
      </c>
      <c r="I449" s="20">
        <f>IF($Q449="","",INDEX(상세표[연속 시간],$Q449))</f>
        <v/>
      </c>
      <c r="J449">
        <f>IF($Q449="","",INDEX(상세표[기록 수],$Q449))</f>
        <v/>
      </c>
      <c r="K449" s="20">
        <f>IF($Q449="","",INDEX(상세표[블록 06~07시],$Q449))</f>
        <v/>
      </c>
      <c r="L449" s="20">
        <f>IF($Q449="","",INDEX(상세표[블록 07~18시],$Q449))</f>
        <v/>
      </c>
      <c r="M449" s="20">
        <f>IF($Q449="","",INDEX(상세표[블록 18~22시],$Q449))</f>
        <v/>
      </c>
      <c r="N449" s="20">
        <f>IF($Q449="","",INDEX(상세표[블록 22~06시],$Q449))</f>
        <v/>
      </c>
      <c r="O449">
        <f>IF($Q449="","",INDEX(상세표[주말·휴일 포함],$Q449)&amp;"")</f>
        <v/>
      </c>
      <c r="P449">
        <f>IF($Q449="","",INDEX(상세표[월 넘김 포함],$Q449)&amp;"")</f>
        <v/>
      </c>
      <c r="Q449" s="4">
        <f>IFERROR(MATCH(444,상세표[연속순번],0),"")</f>
        <v/>
      </c>
    </row>
    <row r="450">
      <c r="A450">
        <f>IF($Q450="","",INDEX(상세표[부서],$Q450)&amp;"")</f>
        <v/>
      </c>
      <c r="B450">
        <f>IF($Q450="","",INDEX(상세표[사번],$Q450)&amp;"")</f>
        <v/>
      </c>
      <c r="C450">
        <f>IF($Q450="","",INDEX(상세표[성명],$Q450)&amp;"")</f>
        <v/>
      </c>
      <c r="D450">
        <f>IF($Q450="","",INDEX(상세표[직위],$Q450)&amp;"")</f>
        <v/>
      </c>
      <c r="E450">
        <f>IF($Q450="","",IF(ISNUMBER(INDEX(상세표[근무일자],$Q450)),TEXT(INDEX(상세표[근무일자],$Q450),"yyyy-mm-dd"),INDEX(상세표[근무일자],$Q450)&amp;""))</f>
        <v/>
      </c>
      <c r="F450">
        <f>IF($Q450="","",IF(ISNUMBER(INDEX(상세표[시작],$Q450)),TEXT(INDEX(상세표[시작],$Q450),"yyyy-mm-dd hh:mm"),INDEX(상세표[시작],$Q450)&amp;""))</f>
        <v/>
      </c>
      <c r="G450">
        <f>IF($Q450="","",IF(ISNUMBER(INDEX(상세표[블록종료],$Q450)),TEXT(INDEX(상세표[블록종료],$Q450),"yyyy-mm-dd hh:mm"),INDEX(상세표[블록종료],$Q450)&amp;""))</f>
        <v/>
      </c>
      <c r="H450">
        <f>IF($Q450="","",CHOOSE(WEEKDAY(INDEX(상세표[시작],$Q450)),"일","월","화","수","목","금","토"))</f>
        <v/>
      </c>
      <c r="I450" s="20">
        <f>IF($Q450="","",INDEX(상세표[연속 시간],$Q450))</f>
        <v/>
      </c>
      <c r="J450">
        <f>IF($Q450="","",INDEX(상세표[기록 수],$Q450))</f>
        <v/>
      </c>
      <c r="K450" s="20">
        <f>IF($Q450="","",INDEX(상세표[블록 06~07시],$Q450))</f>
        <v/>
      </c>
      <c r="L450" s="20">
        <f>IF($Q450="","",INDEX(상세표[블록 07~18시],$Q450))</f>
        <v/>
      </c>
      <c r="M450" s="20">
        <f>IF($Q450="","",INDEX(상세표[블록 18~22시],$Q450))</f>
        <v/>
      </c>
      <c r="N450" s="20">
        <f>IF($Q450="","",INDEX(상세표[블록 22~06시],$Q450))</f>
        <v/>
      </c>
      <c r="O450">
        <f>IF($Q450="","",INDEX(상세표[주말·휴일 포함],$Q450)&amp;"")</f>
        <v/>
      </c>
      <c r="P450">
        <f>IF($Q450="","",INDEX(상세표[월 넘김 포함],$Q450)&amp;"")</f>
        <v/>
      </c>
      <c r="Q450" s="4">
        <f>IFERROR(MATCH(445,상세표[연속순번],0),"")</f>
        <v/>
      </c>
    </row>
    <row r="451">
      <c r="A451">
        <f>IF($Q451="","",INDEX(상세표[부서],$Q451)&amp;"")</f>
        <v/>
      </c>
      <c r="B451">
        <f>IF($Q451="","",INDEX(상세표[사번],$Q451)&amp;"")</f>
        <v/>
      </c>
      <c r="C451">
        <f>IF($Q451="","",INDEX(상세표[성명],$Q451)&amp;"")</f>
        <v/>
      </c>
      <c r="D451">
        <f>IF($Q451="","",INDEX(상세표[직위],$Q451)&amp;"")</f>
        <v/>
      </c>
      <c r="E451">
        <f>IF($Q451="","",IF(ISNUMBER(INDEX(상세표[근무일자],$Q451)),TEXT(INDEX(상세표[근무일자],$Q451),"yyyy-mm-dd"),INDEX(상세표[근무일자],$Q451)&amp;""))</f>
        <v/>
      </c>
      <c r="F451">
        <f>IF($Q451="","",IF(ISNUMBER(INDEX(상세표[시작],$Q451)),TEXT(INDEX(상세표[시작],$Q451),"yyyy-mm-dd hh:mm"),INDEX(상세표[시작],$Q451)&amp;""))</f>
        <v/>
      </c>
      <c r="G451">
        <f>IF($Q451="","",IF(ISNUMBER(INDEX(상세표[블록종료],$Q451)),TEXT(INDEX(상세표[블록종료],$Q451),"yyyy-mm-dd hh:mm"),INDEX(상세표[블록종료],$Q451)&amp;""))</f>
        <v/>
      </c>
      <c r="H451">
        <f>IF($Q451="","",CHOOSE(WEEKDAY(INDEX(상세표[시작],$Q451)),"일","월","화","수","목","금","토"))</f>
        <v/>
      </c>
      <c r="I451" s="20">
        <f>IF($Q451="","",INDEX(상세표[연속 시간],$Q451))</f>
        <v/>
      </c>
      <c r="J451">
        <f>IF($Q451="","",INDEX(상세표[기록 수],$Q451))</f>
        <v/>
      </c>
      <c r="K451" s="20">
        <f>IF($Q451="","",INDEX(상세표[블록 06~07시],$Q451))</f>
        <v/>
      </c>
      <c r="L451" s="20">
        <f>IF($Q451="","",INDEX(상세표[블록 07~18시],$Q451))</f>
        <v/>
      </c>
      <c r="M451" s="20">
        <f>IF($Q451="","",INDEX(상세표[블록 18~22시],$Q451))</f>
        <v/>
      </c>
      <c r="N451" s="20">
        <f>IF($Q451="","",INDEX(상세표[블록 22~06시],$Q451))</f>
        <v/>
      </c>
      <c r="O451">
        <f>IF($Q451="","",INDEX(상세표[주말·휴일 포함],$Q451)&amp;"")</f>
        <v/>
      </c>
      <c r="P451">
        <f>IF($Q451="","",INDEX(상세표[월 넘김 포함],$Q451)&amp;"")</f>
        <v/>
      </c>
      <c r="Q451" s="4">
        <f>IFERROR(MATCH(446,상세표[연속순번],0),"")</f>
        <v/>
      </c>
    </row>
    <row r="452">
      <c r="A452">
        <f>IF($Q452="","",INDEX(상세표[부서],$Q452)&amp;"")</f>
        <v/>
      </c>
      <c r="B452">
        <f>IF($Q452="","",INDEX(상세표[사번],$Q452)&amp;"")</f>
        <v/>
      </c>
      <c r="C452">
        <f>IF($Q452="","",INDEX(상세표[성명],$Q452)&amp;"")</f>
        <v/>
      </c>
      <c r="D452">
        <f>IF($Q452="","",INDEX(상세표[직위],$Q452)&amp;"")</f>
        <v/>
      </c>
      <c r="E452">
        <f>IF($Q452="","",IF(ISNUMBER(INDEX(상세표[근무일자],$Q452)),TEXT(INDEX(상세표[근무일자],$Q452),"yyyy-mm-dd"),INDEX(상세표[근무일자],$Q452)&amp;""))</f>
        <v/>
      </c>
      <c r="F452">
        <f>IF($Q452="","",IF(ISNUMBER(INDEX(상세표[시작],$Q452)),TEXT(INDEX(상세표[시작],$Q452),"yyyy-mm-dd hh:mm"),INDEX(상세표[시작],$Q452)&amp;""))</f>
        <v/>
      </c>
      <c r="G452">
        <f>IF($Q452="","",IF(ISNUMBER(INDEX(상세표[블록종료],$Q452)),TEXT(INDEX(상세표[블록종료],$Q452),"yyyy-mm-dd hh:mm"),INDEX(상세표[블록종료],$Q452)&amp;""))</f>
        <v/>
      </c>
      <c r="H452">
        <f>IF($Q452="","",CHOOSE(WEEKDAY(INDEX(상세표[시작],$Q452)),"일","월","화","수","목","금","토"))</f>
        <v/>
      </c>
      <c r="I452" s="20">
        <f>IF($Q452="","",INDEX(상세표[연속 시간],$Q452))</f>
        <v/>
      </c>
      <c r="J452">
        <f>IF($Q452="","",INDEX(상세표[기록 수],$Q452))</f>
        <v/>
      </c>
      <c r="K452" s="20">
        <f>IF($Q452="","",INDEX(상세표[블록 06~07시],$Q452))</f>
        <v/>
      </c>
      <c r="L452" s="20">
        <f>IF($Q452="","",INDEX(상세표[블록 07~18시],$Q452))</f>
        <v/>
      </c>
      <c r="M452" s="20">
        <f>IF($Q452="","",INDEX(상세표[블록 18~22시],$Q452))</f>
        <v/>
      </c>
      <c r="N452" s="20">
        <f>IF($Q452="","",INDEX(상세표[블록 22~06시],$Q452))</f>
        <v/>
      </c>
      <c r="O452">
        <f>IF($Q452="","",INDEX(상세표[주말·휴일 포함],$Q452)&amp;"")</f>
        <v/>
      </c>
      <c r="P452">
        <f>IF($Q452="","",INDEX(상세표[월 넘김 포함],$Q452)&amp;"")</f>
        <v/>
      </c>
      <c r="Q452" s="4">
        <f>IFERROR(MATCH(447,상세표[연속순번],0),"")</f>
        <v/>
      </c>
    </row>
    <row r="453">
      <c r="A453">
        <f>IF($Q453="","",INDEX(상세표[부서],$Q453)&amp;"")</f>
        <v/>
      </c>
      <c r="B453">
        <f>IF($Q453="","",INDEX(상세표[사번],$Q453)&amp;"")</f>
        <v/>
      </c>
      <c r="C453">
        <f>IF($Q453="","",INDEX(상세표[성명],$Q453)&amp;"")</f>
        <v/>
      </c>
      <c r="D453">
        <f>IF($Q453="","",INDEX(상세표[직위],$Q453)&amp;"")</f>
        <v/>
      </c>
      <c r="E453">
        <f>IF($Q453="","",IF(ISNUMBER(INDEX(상세표[근무일자],$Q453)),TEXT(INDEX(상세표[근무일자],$Q453),"yyyy-mm-dd"),INDEX(상세표[근무일자],$Q453)&amp;""))</f>
        <v/>
      </c>
      <c r="F453">
        <f>IF($Q453="","",IF(ISNUMBER(INDEX(상세표[시작],$Q453)),TEXT(INDEX(상세표[시작],$Q453),"yyyy-mm-dd hh:mm"),INDEX(상세표[시작],$Q453)&amp;""))</f>
        <v/>
      </c>
      <c r="G453">
        <f>IF($Q453="","",IF(ISNUMBER(INDEX(상세표[블록종료],$Q453)),TEXT(INDEX(상세표[블록종료],$Q453),"yyyy-mm-dd hh:mm"),INDEX(상세표[블록종료],$Q453)&amp;""))</f>
        <v/>
      </c>
      <c r="H453">
        <f>IF($Q453="","",CHOOSE(WEEKDAY(INDEX(상세표[시작],$Q453)),"일","월","화","수","목","금","토"))</f>
        <v/>
      </c>
      <c r="I453" s="20">
        <f>IF($Q453="","",INDEX(상세표[연속 시간],$Q453))</f>
        <v/>
      </c>
      <c r="J453">
        <f>IF($Q453="","",INDEX(상세표[기록 수],$Q453))</f>
        <v/>
      </c>
      <c r="K453" s="20">
        <f>IF($Q453="","",INDEX(상세표[블록 06~07시],$Q453))</f>
        <v/>
      </c>
      <c r="L453" s="20">
        <f>IF($Q453="","",INDEX(상세표[블록 07~18시],$Q453))</f>
        <v/>
      </c>
      <c r="M453" s="20">
        <f>IF($Q453="","",INDEX(상세표[블록 18~22시],$Q453))</f>
        <v/>
      </c>
      <c r="N453" s="20">
        <f>IF($Q453="","",INDEX(상세표[블록 22~06시],$Q453))</f>
        <v/>
      </c>
      <c r="O453">
        <f>IF($Q453="","",INDEX(상세표[주말·휴일 포함],$Q453)&amp;"")</f>
        <v/>
      </c>
      <c r="P453">
        <f>IF($Q453="","",INDEX(상세표[월 넘김 포함],$Q453)&amp;"")</f>
        <v/>
      </c>
      <c r="Q453" s="4">
        <f>IFERROR(MATCH(448,상세표[연속순번],0),"")</f>
        <v/>
      </c>
    </row>
    <row r="454">
      <c r="A454">
        <f>IF($Q454="","",INDEX(상세표[부서],$Q454)&amp;"")</f>
        <v/>
      </c>
      <c r="B454">
        <f>IF($Q454="","",INDEX(상세표[사번],$Q454)&amp;"")</f>
        <v/>
      </c>
      <c r="C454">
        <f>IF($Q454="","",INDEX(상세표[성명],$Q454)&amp;"")</f>
        <v/>
      </c>
      <c r="D454">
        <f>IF($Q454="","",INDEX(상세표[직위],$Q454)&amp;"")</f>
        <v/>
      </c>
      <c r="E454">
        <f>IF($Q454="","",IF(ISNUMBER(INDEX(상세표[근무일자],$Q454)),TEXT(INDEX(상세표[근무일자],$Q454),"yyyy-mm-dd"),INDEX(상세표[근무일자],$Q454)&amp;""))</f>
        <v/>
      </c>
      <c r="F454">
        <f>IF($Q454="","",IF(ISNUMBER(INDEX(상세표[시작],$Q454)),TEXT(INDEX(상세표[시작],$Q454),"yyyy-mm-dd hh:mm"),INDEX(상세표[시작],$Q454)&amp;""))</f>
        <v/>
      </c>
      <c r="G454">
        <f>IF($Q454="","",IF(ISNUMBER(INDEX(상세표[블록종료],$Q454)),TEXT(INDEX(상세표[블록종료],$Q454),"yyyy-mm-dd hh:mm"),INDEX(상세표[블록종료],$Q454)&amp;""))</f>
        <v/>
      </c>
      <c r="H454">
        <f>IF($Q454="","",CHOOSE(WEEKDAY(INDEX(상세표[시작],$Q454)),"일","월","화","수","목","금","토"))</f>
        <v/>
      </c>
      <c r="I454" s="20">
        <f>IF($Q454="","",INDEX(상세표[연속 시간],$Q454))</f>
        <v/>
      </c>
      <c r="J454">
        <f>IF($Q454="","",INDEX(상세표[기록 수],$Q454))</f>
        <v/>
      </c>
      <c r="K454" s="20">
        <f>IF($Q454="","",INDEX(상세표[블록 06~07시],$Q454))</f>
        <v/>
      </c>
      <c r="L454" s="20">
        <f>IF($Q454="","",INDEX(상세표[블록 07~18시],$Q454))</f>
        <v/>
      </c>
      <c r="M454" s="20">
        <f>IF($Q454="","",INDEX(상세표[블록 18~22시],$Q454))</f>
        <v/>
      </c>
      <c r="N454" s="20">
        <f>IF($Q454="","",INDEX(상세표[블록 22~06시],$Q454))</f>
        <v/>
      </c>
      <c r="O454">
        <f>IF($Q454="","",INDEX(상세표[주말·휴일 포함],$Q454)&amp;"")</f>
        <v/>
      </c>
      <c r="P454">
        <f>IF($Q454="","",INDEX(상세표[월 넘김 포함],$Q454)&amp;"")</f>
        <v/>
      </c>
      <c r="Q454" s="4">
        <f>IFERROR(MATCH(449,상세표[연속순번],0),"")</f>
        <v/>
      </c>
    </row>
    <row r="455">
      <c r="A455">
        <f>IF($Q455="","",INDEX(상세표[부서],$Q455)&amp;"")</f>
        <v/>
      </c>
      <c r="B455">
        <f>IF($Q455="","",INDEX(상세표[사번],$Q455)&amp;"")</f>
        <v/>
      </c>
      <c r="C455">
        <f>IF($Q455="","",INDEX(상세표[성명],$Q455)&amp;"")</f>
        <v/>
      </c>
      <c r="D455">
        <f>IF($Q455="","",INDEX(상세표[직위],$Q455)&amp;"")</f>
        <v/>
      </c>
      <c r="E455">
        <f>IF($Q455="","",IF(ISNUMBER(INDEX(상세표[근무일자],$Q455)),TEXT(INDEX(상세표[근무일자],$Q455),"yyyy-mm-dd"),INDEX(상세표[근무일자],$Q455)&amp;""))</f>
        <v/>
      </c>
      <c r="F455">
        <f>IF($Q455="","",IF(ISNUMBER(INDEX(상세표[시작],$Q455)),TEXT(INDEX(상세표[시작],$Q455),"yyyy-mm-dd hh:mm"),INDEX(상세표[시작],$Q455)&amp;""))</f>
        <v/>
      </c>
      <c r="G455">
        <f>IF($Q455="","",IF(ISNUMBER(INDEX(상세표[블록종료],$Q455)),TEXT(INDEX(상세표[블록종료],$Q455),"yyyy-mm-dd hh:mm"),INDEX(상세표[블록종료],$Q455)&amp;""))</f>
        <v/>
      </c>
      <c r="H455">
        <f>IF($Q455="","",CHOOSE(WEEKDAY(INDEX(상세표[시작],$Q455)),"일","월","화","수","목","금","토"))</f>
        <v/>
      </c>
      <c r="I455" s="20">
        <f>IF($Q455="","",INDEX(상세표[연속 시간],$Q455))</f>
        <v/>
      </c>
      <c r="J455">
        <f>IF($Q455="","",INDEX(상세표[기록 수],$Q455))</f>
        <v/>
      </c>
      <c r="K455" s="20">
        <f>IF($Q455="","",INDEX(상세표[블록 06~07시],$Q455))</f>
        <v/>
      </c>
      <c r="L455" s="20">
        <f>IF($Q455="","",INDEX(상세표[블록 07~18시],$Q455))</f>
        <v/>
      </c>
      <c r="M455" s="20">
        <f>IF($Q455="","",INDEX(상세표[블록 18~22시],$Q455))</f>
        <v/>
      </c>
      <c r="N455" s="20">
        <f>IF($Q455="","",INDEX(상세표[블록 22~06시],$Q455))</f>
        <v/>
      </c>
      <c r="O455">
        <f>IF($Q455="","",INDEX(상세표[주말·휴일 포함],$Q455)&amp;"")</f>
        <v/>
      </c>
      <c r="P455">
        <f>IF($Q455="","",INDEX(상세표[월 넘김 포함],$Q455)&amp;"")</f>
        <v/>
      </c>
      <c r="Q455" s="4">
        <f>IFERROR(MATCH(450,상세표[연속순번],0),"")</f>
        <v/>
      </c>
    </row>
    <row r="456">
      <c r="A456">
        <f>IF($Q456="","",INDEX(상세표[부서],$Q456)&amp;"")</f>
        <v/>
      </c>
      <c r="B456">
        <f>IF($Q456="","",INDEX(상세표[사번],$Q456)&amp;"")</f>
        <v/>
      </c>
      <c r="C456">
        <f>IF($Q456="","",INDEX(상세표[성명],$Q456)&amp;"")</f>
        <v/>
      </c>
      <c r="D456">
        <f>IF($Q456="","",INDEX(상세표[직위],$Q456)&amp;"")</f>
        <v/>
      </c>
      <c r="E456">
        <f>IF($Q456="","",IF(ISNUMBER(INDEX(상세표[근무일자],$Q456)),TEXT(INDEX(상세표[근무일자],$Q456),"yyyy-mm-dd"),INDEX(상세표[근무일자],$Q456)&amp;""))</f>
        <v/>
      </c>
      <c r="F456">
        <f>IF($Q456="","",IF(ISNUMBER(INDEX(상세표[시작],$Q456)),TEXT(INDEX(상세표[시작],$Q456),"yyyy-mm-dd hh:mm"),INDEX(상세표[시작],$Q456)&amp;""))</f>
        <v/>
      </c>
      <c r="G456">
        <f>IF($Q456="","",IF(ISNUMBER(INDEX(상세표[블록종료],$Q456)),TEXT(INDEX(상세표[블록종료],$Q456),"yyyy-mm-dd hh:mm"),INDEX(상세표[블록종료],$Q456)&amp;""))</f>
        <v/>
      </c>
      <c r="H456">
        <f>IF($Q456="","",CHOOSE(WEEKDAY(INDEX(상세표[시작],$Q456)),"일","월","화","수","목","금","토"))</f>
        <v/>
      </c>
      <c r="I456" s="20">
        <f>IF($Q456="","",INDEX(상세표[연속 시간],$Q456))</f>
        <v/>
      </c>
      <c r="J456">
        <f>IF($Q456="","",INDEX(상세표[기록 수],$Q456))</f>
        <v/>
      </c>
      <c r="K456" s="20">
        <f>IF($Q456="","",INDEX(상세표[블록 06~07시],$Q456))</f>
        <v/>
      </c>
      <c r="L456" s="20">
        <f>IF($Q456="","",INDEX(상세표[블록 07~18시],$Q456))</f>
        <v/>
      </c>
      <c r="M456" s="20">
        <f>IF($Q456="","",INDEX(상세표[블록 18~22시],$Q456))</f>
        <v/>
      </c>
      <c r="N456" s="20">
        <f>IF($Q456="","",INDEX(상세표[블록 22~06시],$Q456))</f>
        <v/>
      </c>
      <c r="O456">
        <f>IF($Q456="","",INDEX(상세표[주말·휴일 포함],$Q456)&amp;"")</f>
        <v/>
      </c>
      <c r="P456">
        <f>IF($Q456="","",INDEX(상세표[월 넘김 포함],$Q456)&amp;"")</f>
        <v/>
      </c>
      <c r="Q456" s="4">
        <f>IFERROR(MATCH(451,상세표[연속순번],0),"")</f>
        <v/>
      </c>
    </row>
    <row r="457">
      <c r="A457">
        <f>IF($Q457="","",INDEX(상세표[부서],$Q457)&amp;"")</f>
        <v/>
      </c>
      <c r="B457">
        <f>IF($Q457="","",INDEX(상세표[사번],$Q457)&amp;"")</f>
        <v/>
      </c>
      <c r="C457">
        <f>IF($Q457="","",INDEX(상세표[성명],$Q457)&amp;"")</f>
        <v/>
      </c>
      <c r="D457">
        <f>IF($Q457="","",INDEX(상세표[직위],$Q457)&amp;"")</f>
        <v/>
      </c>
      <c r="E457">
        <f>IF($Q457="","",IF(ISNUMBER(INDEX(상세표[근무일자],$Q457)),TEXT(INDEX(상세표[근무일자],$Q457),"yyyy-mm-dd"),INDEX(상세표[근무일자],$Q457)&amp;""))</f>
        <v/>
      </c>
      <c r="F457">
        <f>IF($Q457="","",IF(ISNUMBER(INDEX(상세표[시작],$Q457)),TEXT(INDEX(상세표[시작],$Q457),"yyyy-mm-dd hh:mm"),INDEX(상세표[시작],$Q457)&amp;""))</f>
        <v/>
      </c>
      <c r="G457">
        <f>IF($Q457="","",IF(ISNUMBER(INDEX(상세표[블록종료],$Q457)),TEXT(INDEX(상세표[블록종료],$Q457),"yyyy-mm-dd hh:mm"),INDEX(상세표[블록종료],$Q457)&amp;""))</f>
        <v/>
      </c>
      <c r="H457">
        <f>IF($Q457="","",CHOOSE(WEEKDAY(INDEX(상세표[시작],$Q457)),"일","월","화","수","목","금","토"))</f>
        <v/>
      </c>
      <c r="I457" s="20">
        <f>IF($Q457="","",INDEX(상세표[연속 시간],$Q457))</f>
        <v/>
      </c>
      <c r="J457">
        <f>IF($Q457="","",INDEX(상세표[기록 수],$Q457))</f>
        <v/>
      </c>
      <c r="K457" s="20">
        <f>IF($Q457="","",INDEX(상세표[블록 06~07시],$Q457))</f>
        <v/>
      </c>
      <c r="L457" s="20">
        <f>IF($Q457="","",INDEX(상세표[블록 07~18시],$Q457))</f>
        <v/>
      </c>
      <c r="M457" s="20">
        <f>IF($Q457="","",INDEX(상세표[블록 18~22시],$Q457))</f>
        <v/>
      </c>
      <c r="N457" s="20">
        <f>IF($Q457="","",INDEX(상세표[블록 22~06시],$Q457))</f>
        <v/>
      </c>
      <c r="O457">
        <f>IF($Q457="","",INDEX(상세표[주말·휴일 포함],$Q457)&amp;"")</f>
        <v/>
      </c>
      <c r="P457">
        <f>IF($Q457="","",INDEX(상세표[월 넘김 포함],$Q457)&amp;"")</f>
        <v/>
      </c>
      <c r="Q457" s="4">
        <f>IFERROR(MATCH(452,상세표[연속순번],0),"")</f>
        <v/>
      </c>
    </row>
    <row r="458">
      <c r="A458">
        <f>IF($Q458="","",INDEX(상세표[부서],$Q458)&amp;"")</f>
        <v/>
      </c>
      <c r="B458">
        <f>IF($Q458="","",INDEX(상세표[사번],$Q458)&amp;"")</f>
        <v/>
      </c>
      <c r="C458">
        <f>IF($Q458="","",INDEX(상세표[성명],$Q458)&amp;"")</f>
        <v/>
      </c>
      <c r="D458">
        <f>IF($Q458="","",INDEX(상세표[직위],$Q458)&amp;"")</f>
        <v/>
      </c>
      <c r="E458">
        <f>IF($Q458="","",IF(ISNUMBER(INDEX(상세표[근무일자],$Q458)),TEXT(INDEX(상세표[근무일자],$Q458),"yyyy-mm-dd"),INDEX(상세표[근무일자],$Q458)&amp;""))</f>
        <v/>
      </c>
      <c r="F458">
        <f>IF($Q458="","",IF(ISNUMBER(INDEX(상세표[시작],$Q458)),TEXT(INDEX(상세표[시작],$Q458),"yyyy-mm-dd hh:mm"),INDEX(상세표[시작],$Q458)&amp;""))</f>
        <v/>
      </c>
      <c r="G458">
        <f>IF($Q458="","",IF(ISNUMBER(INDEX(상세표[블록종료],$Q458)),TEXT(INDEX(상세표[블록종료],$Q458),"yyyy-mm-dd hh:mm"),INDEX(상세표[블록종료],$Q458)&amp;""))</f>
        <v/>
      </c>
      <c r="H458">
        <f>IF($Q458="","",CHOOSE(WEEKDAY(INDEX(상세표[시작],$Q458)),"일","월","화","수","목","금","토"))</f>
        <v/>
      </c>
      <c r="I458" s="20">
        <f>IF($Q458="","",INDEX(상세표[연속 시간],$Q458))</f>
        <v/>
      </c>
      <c r="J458">
        <f>IF($Q458="","",INDEX(상세표[기록 수],$Q458))</f>
        <v/>
      </c>
      <c r="K458" s="20">
        <f>IF($Q458="","",INDEX(상세표[블록 06~07시],$Q458))</f>
        <v/>
      </c>
      <c r="L458" s="20">
        <f>IF($Q458="","",INDEX(상세표[블록 07~18시],$Q458))</f>
        <v/>
      </c>
      <c r="M458" s="20">
        <f>IF($Q458="","",INDEX(상세표[블록 18~22시],$Q458))</f>
        <v/>
      </c>
      <c r="N458" s="20">
        <f>IF($Q458="","",INDEX(상세표[블록 22~06시],$Q458))</f>
        <v/>
      </c>
      <c r="O458">
        <f>IF($Q458="","",INDEX(상세표[주말·휴일 포함],$Q458)&amp;"")</f>
        <v/>
      </c>
      <c r="P458">
        <f>IF($Q458="","",INDEX(상세표[월 넘김 포함],$Q458)&amp;"")</f>
        <v/>
      </c>
      <c r="Q458" s="4">
        <f>IFERROR(MATCH(453,상세표[연속순번],0),"")</f>
        <v/>
      </c>
    </row>
    <row r="459">
      <c r="A459">
        <f>IF($Q459="","",INDEX(상세표[부서],$Q459)&amp;"")</f>
        <v/>
      </c>
      <c r="B459">
        <f>IF($Q459="","",INDEX(상세표[사번],$Q459)&amp;"")</f>
        <v/>
      </c>
      <c r="C459">
        <f>IF($Q459="","",INDEX(상세표[성명],$Q459)&amp;"")</f>
        <v/>
      </c>
      <c r="D459">
        <f>IF($Q459="","",INDEX(상세표[직위],$Q459)&amp;"")</f>
        <v/>
      </c>
      <c r="E459">
        <f>IF($Q459="","",IF(ISNUMBER(INDEX(상세표[근무일자],$Q459)),TEXT(INDEX(상세표[근무일자],$Q459),"yyyy-mm-dd"),INDEX(상세표[근무일자],$Q459)&amp;""))</f>
        <v/>
      </c>
      <c r="F459">
        <f>IF($Q459="","",IF(ISNUMBER(INDEX(상세표[시작],$Q459)),TEXT(INDEX(상세표[시작],$Q459),"yyyy-mm-dd hh:mm"),INDEX(상세표[시작],$Q459)&amp;""))</f>
        <v/>
      </c>
      <c r="G459">
        <f>IF($Q459="","",IF(ISNUMBER(INDEX(상세표[블록종료],$Q459)),TEXT(INDEX(상세표[블록종료],$Q459),"yyyy-mm-dd hh:mm"),INDEX(상세표[블록종료],$Q459)&amp;""))</f>
        <v/>
      </c>
      <c r="H459">
        <f>IF($Q459="","",CHOOSE(WEEKDAY(INDEX(상세표[시작],$Q459)),"일","월","화","수","목","금","토"))</f>
        <v/>
      </c>
      <c r="I459" s="20">
        <f>IF($Q459="","",INDEX(상세표[연속 시간],$Q459))</f>
        <v/>
      </c>
      <c r="J459">
        <f>IF($Q459="","",INDEX(상세표[기록 수],$Q459))</f>
        <v/>
      </c>
      <c r="K459" s="20">
        <f>IF($Q459="","",INDEX(상세표[블록 06~07시],$Q459))</f>
        <v/>
      </c>
      <c r="L459" s="20">
        <f>IF($Q459="","",INDEX(상세표[블록 07~18시],$Q459))</f>
        <v/>
      </c>
      <c r="M459" s="20">
        <f>IF($Q459="","",INDEX(상세표[블록 18~22시],$Q459))</f>
        <v/>
      </c>
      <c r="N459" s="20">
        <f>IF($Q459="","",INDEX(상세표[블록 22~06시],$Q459))</f>
        <v/>
      </c>
      <c r="O459">
        <f>IF($Q459="","",INDEX(상세표[주말·휴일 포함],$Q459)&amp;"")</f>
        <v/>
      </c>
      <c r="P459">
        <f>IF($Q459="","",INDEX(상세표[월 넘김 포함],$Q459)&amp;"")</f>
        <v/>
      </c>
      <c r="Q459" s="4">
        <f>IFERROR(MATCH(454,상세표[연속순번],0),"")</f>
        <v/>
      </c>
    </row>
    <row r="460">
      <c r="A460">
        <f>IF($Q460="","",INDEX(상세표[부서],$Q460)&amp;"")</f>
        <v/>
      </c>
      <c r="B460">
        <f>IF($Q460="","",INDEX(상세표[사번],$Q460)&amp;"")</f>
        <v/>
      </c>
      <c r="C460">
        <f>IF($Q460="","",INDEX(상세표[성명],$Q460)&amp;"")</f>
        <v/>
      </c>
      <c r="D460">
        <f>IF($Q460="","",INDEX(상세표[직위],$Q460)&amp;"")</f>
        <v/>
      </c>
      <c r="E460">
        <f>IF($Q460="","",IF(ISNUMBER(INDEX(상세표[근무일자],$Q460)),TEXT(INDEX(상세표[근무일자],$Q460),"yyyy-mm-dd"),INDEX(상세표[근무일자],$Q460)&amp;""))</f>
        <v/>
      </c>
      <c r="F460">
        <f>IF($Q460="","",IF(ISNUMBER(INDEX(상세표[시작],$Q460)),TEXT(INDEX(상세표[시작],$Q460),"yyyy-mm-dd hh:mm"),INDEX(상세표[시작],$Q460)&amp;""))</f>
        <v/>
      </c>
      <c r="G460">
        <f>IF($Q460="","",IF(ISNUMBER(INDEX(상세표[블록종료],$Q460)),TEXT(INDEX(상세표[블록종료],$Q460),"yyyy-mm-dd hh:mm"),INDEX(상세표[블록종료],$Q460)&amp;""))</f>
        <v/>
      </c>
      <c r="H460">
        <f>IF($Q460="","",CHOOSE(WEEKDAY(INDEX(상세표[시작],$Q460)),"일","월","화","수","목","금","토"))</f>
        <v/>
      </c>
      <c r="I460" s="20">
        <f>IF($Q460="","",INDEX(상세표[연속 시간],$Q460))</f>
        <v/>
      </c>
      <c r="J460">
        <f>IF($Q460="","",INDEX(상세표[기록 수],$Q460))</f>
        <v/>
      </c>
      <c r="K460" s="20">
        <f>IF($Q460="","",INDEX(상세표[블록 06~07시],$Q460))</f>
        <v/>
      </c>
      <c r="L460" s="20">
        <f>IF($Q460="","",INDEX(상세표[블록 07~18시],$Q460))</f>
        <v/>
      </c>
      <c r="M460" s="20">
        <f>IF($Q460="","",INDEX(상세표[블록 18~22시],$Q460))</f>
        <v/>
      </c>
      <c r="N460" s="20">
        <f>IF($Q460="","",INDEX(상세표[블록 22~06시],$Q460))</f>
        <v/>
      </c>
      <c r="O460">
        <f>IF($Q460="","",INDEX(상세표[주말·휴일 포함],$Q460)&amp;"")</f>
        <v/>
      </c>
      <c r="P460">
        <f>IF($Q460="","",INDEX(상세표[월 넘김 포함],$Q460)&amp;"")</f>
        <v/>
      </c>
      <c r="Q460" s="4">
        <f>IFERROR(MATCH(455,상세표[연속순번],0),"")</f>
        <v/>
      </c>
    </row>
    <row r="461">
      <c r="A461">
        <f>IF($Q461="","",INDEX(상세표[부서],$Q461)&amp;"")</f>
        <v/>
      </c>
      <c r="B461">
        <f>IF($Q461="","",INDEX(상세표[사번],$Q461)&amp;"")</f>
        <v/>
      </c>
      <c r="C461">
        <f>IF($Q461="","",INDEX(상세표[성명],$Q461)&amp;"")</f>
        <v/>
      </c>
      <c r="D461">
        <f>IF($Q461="","",INDEX(상세표[직위],$Q461)&amp;"")</f>
        <v/>
      </c>
      <c r="E461">
        <f>IF($Q461="","",IF(ISNUMBER(INDEX(상세표[근무일자],$Q461)),TEXT(INDEX(상세표[근무일자],$Q461),"yyyy-mm-dd"),INDEX(상세표[근무일자],$Q461)&amp;""))</f>
        <v/>
      </c>
      <c r="F461">
        <f>IF($Q461="","",IF(ISNUMBER(INDEX(상세표[시작],$Q461)),TEXT(INDEX(상세표[시작],$Q461),"yyyy-mm-dd hh:mm"),INDEX(상세표[시작],$Q461)&amp;""))</f>
        <v/>
      </c>
      <c r="G461">
        <f>IF($Q461="","",IF(ISNUMBER(INDEX(상세표[블록종료],$Q461)),TEXT(INDEX(상세표[블록종료],$Q461),"yyyy-mm-dd hh:mm"),INDEX(상세표[블록종료],$Q461)&amp;""))</f>
        <v/>
      </c>
      <c r="H461">
        <f>IF($Q461="","",CHOOSE(WEEKDAY(INDEX(상세표[시작],$Q461)),"일","월","화","수","목","금","토"))</f>
        <v/>
      </c>
      <c r="I461" s="20">
        <f>IF($Q461="","",INDEX(상세표[연속 시간],$Q461))</f>
        <v/>
      </c>
      <c r="J461">
        <f>IF($Q461="","",INDEX(상세표[기록 수],$Q461))</f>
        <v/>
      </c>
      <c r="K461" s="20">
        <f>IF($Q461="","",INDEX(상세표[블록 06~07시],$Q461))</f>
        <v/>
      </c>
      <c r="L461" s="20">
        <f>IF($Q461="","",INDEX(상세표[블록 07~18시],$Q461))</f>
        <v/>
      </c>
      <c r="M461" s="20">
        <f>IF($Q461="","",INDEX(상세표[블록 18~22시],$Q461))</f>
        <v/>
      </c>
      <c r="N461" s="20">
        <f>IF($Q461="","",INDEX(상세표[블록 22~06시],$Q461))</f>
        <v/>
      </c>
      <c r="O461">
        <f>IF($Q461="","",INDEX(상세표[주말·휴일 포함],$Q461)&amp;"")</f>
        <v/>
      </c>
      <c r="P461">
        <f>IF($Q461="","",INDEX(상세표[월 넘김 포함],$Q461)&amp;"")</f>
        <v/>
      </c>
      <c r="Q461" s="4">
        <f>IFERROR(MATCH(456,상세표[연속순번],0),"")</f>
        <v/>
      </c>
    </row>
    <row r="462">
      <c r="A462">
        <f>IF($Q462="","",INDEX(상세표[부서],$Q462)&amp;"")</f>
        <v/>
      </c>
      <c r="B462">
        <f>IF($Q462="","",INDEX(상세표[사번],$Q462)&amp;"")</f>
        <v/>
      </c>
      <c r="C462">
        <f>IF($Q462="","",INDEX(상세표[성명],$Q462)&amp;"")</f>
        <v/>
      </c>
      <c r="D462">
        <f>IF($Q462="","",INDEX(상세표[직위],$Q462)&amp;"")</f>
        <v/>
      </c>
      <c r="E462">
        <f>IF($Q462="","",IF(ISNUMBER(INDEX(상세표[근무일자],$Q462)),TEXT(INDEX(상세표[근무일자],$Q462),"yyyy-mm-dd"),INDEX(상세표[근무일자],$Q462)&amp;""))</f>
        <v/>
      </c>
      <c r="F462">
        <f>IF($Q462="","",IF(ISNUMBER(INDEX(상세표[시작],$Q462)),TEXT(INDEX(상세표[시작],$Q462),"yyyy-mm-dd hh:mm"),INDEX(상세표[시작],$Q462)&amp;""))</f>
        <v/>
      </c>
      <c r="G462">
        <f>IF($Q462="","",IF(ISNUMBER(INDEX(상세표[블록종료],$Q462)),TEXT(INDEX(상세표[블록종료],$Q462),"yyyy-mm-dd hh:mm"),INDEX(상세표[블록종료],$Q462)&amp;""))</f>
        <v/>
      </c>
      <c r="H462">
        <f>IF($Q462="","",CHOOSE(WEEKDAY(INDEX(상세표[시작],$Q462)),"일","월","화","수","목","금","토"))</f>
        <v/>
      </c>
      <c r="I462" s="20">
        <f>IF($Q462="","",INDEX(상세표[연속 시간],$Q462))</f>
        <v/>
      </c>
      <c r="J462">
        <f>IF($Q462="","",INDEX(상세표[기록 수],$Q462))</f>
        <v/>
      </c>
      <c r="K462" s="20">
        <f>IF($Q462="","",INDEX(상세표[블록 06~07시],$Q462))</f>
        <v/>
      </c>
      <c r="L462" s="20">
        <f>IF($Q462="","",INDEX(상세표[블록 07~18시],$Q462))</f>
        <v/>
      </c>
      <c r="M462" s="20">
        <f>IF($Q462="","",INDEX(상세표[블록 18~22시],$Q462))</f>
        <v/>
      </c>
      <c r="N462" s="20">
        <f>IF($Q462="","",INDEX(상세표[블록 22~06시],$Q462))</f>
        <v/>
      </c>
      <c r="O462">
        <f>IF($Q462="","",INDEX(상세표[주말·휴일 포함],$Q462)&amp;"")</f>
        <v/>
      </c>
      <c r="P462">
        <f>IF($Q462="","",INDEX(상세표[월 넘김 포함],$Q462)&amp;"")</f>
        <v/>
      </c>
      <c r="Q462" s="4">
        <f>IFERROR(MATCH(457,상세표[연속순번],0),"")</f>
        <v/>
      </c>
    </row>
    <row r="463">
      <c r="A463">
        <f>IF($Q463="","",INDEX(상세표[부서],$Q463)&amp;"")</f>
        <v/>
      </c>
      <c r="B463">
        <f>IF($Q463="","",INDEX(상세표[사번],$Q463)&amp;"")</f>
        <v/>
      </c>
      <c r="C463">
        <f>IF($Q463="","",INDEX(상세표[성명],$Q463)&amp;"")</f>
        <v/>
      </c>
      <c r="D463">
        <f>IF($Q463="","",INDEX(상세표[직위],$Q463)&amp;"")</f>
        <v/>
      </c>
      <c r="E463">
        <f>IF($Q463="","",IF(ISNUMBER(INDEX(상세표[근무일자],$Q463)),TEXT(INDEX(상세표[근무일자],$Q463),"yyyy-mm-dd"),INDEX(상세표[근무일자],$Q463)&amp;""))</f>
        <v/>
      </c>
      <c r="F463">
        <f>IF($Q463="","",IF(ISNUMBER(INDEX(상세표[시작],$Q463)),TEXT(INDEX(상세표[시작],$Q463),"yyyy-mm-dd hh:mm"),INDEX(상세표[시작],$Q463)&amp;""))</f>
        <v/>
      </c>
      <c r="G463">
        <f>IF($Q463="","",IF(ISNUMBER(INDEX(상세표[블록종료],$Q463)),TEXT(INDEX(상세표[블록종료],$Q463),"yyyy-mm-dd hh:mm"),INDEX(상세표[블록종료],$Q463)&amp;""))</f>
        <v/>
      </c>
      <c r="H463">
        <f>IF($Q463="","",CHOOSE(WEEKDAY(INDEX(상세표[시작],$Q463)),"일","월","화","수","목","금","토"))</f>
        <v/>
      </c>
      <c r="I463" s="20">
        <f>IF($Q463="","",INDEX(상세표[연속 시간],$Q463))</f>
        <v/>
      </c>
      <c r="J463">
        <f>IF($Q463="","",INDEX(상세표[기록 수],$Q463))</f>
        <v/>
      </c>
      <c r="K463" s="20">
        <f>IF($Q463="","",INDEX(상세표[블록 06~07시],$Q463))</f>
        <v/>
      </c>
      <c r="L463" s="20">
        <f>IF($Q463="","",INDEX(상세표[블록 07~18시],$Q463))</f>
        <v/>
      </c>
      <c r="M463" s="20">
        <f>IF($Q463="","",INDEX(상세표[블록 18~22시],$Q463))</f>
        <v/>
      </c>
      <c r="N463" s="20">
        <f>IF($Q463="","",INDEX(상세표[블록 22~06시],$Q463))</f>
        <v/>
      </c>
      <c r="O463">
        <f>IF($Q463="","",INDEX(상세표[주말·휴일 포함],$Q463)&amp;"")</f>
        <v/>
      </c>
      <c r="P463">
        <f>IF($Q463="","",INDEX(상세표[월 넘김 포함],$Q463)&amp;"")</f>
        <v/>
      </c>
      <c r="Q463" s="4">
        <f>IFERROR(MATCH(458,상세표[연속순번],0),"")</f>
        <v/>
      </c>
    </row>
    <row r="464">
      <c r="A464">
        <f>IF($Q464="","",INDEX(상세표[부서],$Q464)&amp;"")</f>
        <v/>
      </c>
      <c r="B464">
        <f>IF($Q464="","",INDEX(상세표[사번],$Q464)&amp;"")</f>
        <v/>
      </c>
      <c r="C464">
        <f>IF($Q464="","",INDEX(상세표[성명],$Q464)&amp;"")</f>
        <v/>
      </c>
      <c r="D464">
        <f>IF($Q464="","",INDEX(상세표[직위],$Q464)&amp;"")</f>
        <v/>
      </c>
      <c r="E464">
        <f>IF($Q464="","",IF(ISNUMBER(INDEX(상세표[근무일자],$Q464)),TEXT(INDEX(상세표[근무일자],$Q464),"yyyy-mm-dd"),INDEX(상세표[근무일자],$Q464)&amp;""))</f>
        <v/>
      </c>
      <c r="F464">
        <f>IF($Q464="","",IF(ISNUMBER(INDEX(상세표[시작],$Q464)),TEXT(INDEX(상세표[시작],$Q464),"yyyy-mm-dd hh:mm"),INDEX(상세표[시작],$Q464)&amp;""))</f>
        <v/>
      </c>
      <c r="G464">
        <f>IF($Q464="","",IF(ISNUMBER(INDEX(상세표[블록종료],$Q464)),TEXT(INDEX(상세표[블록종료],$Q464),"yyyy-mm-dd hh:mm"),INDEX(상세표[블록종료],$Q464)&amp;""))</f>
        <v/>
      </c>
      <c r="H464">
        <f>IF($Q464="","",CHOOSE(WEEKDAY(INDEX(상세표[시작],$Q464)),"일","월","화","수","목","금","토"))</f>
        <v/>
      </c>
      <c r="I464" s="20">
        <f>IF($Q464="","",INDEX(상세표[연속 시간],$Q464))</f>
        <v/>
      </c>
      <c r="J464">
        <f>IF($Q464="","",INDEX(상세표[기록 수],$Q464))</f>
        <v/>
      </c>
      <c r="K464" s="20">
        <f>IF($Q464="","",INDEX(상세표[블록 06~07시],$Q464))</f>
        <v/>
      </c>
      <c r="L464" s="20">
        <f>IF($Q464="","",INDEX(상세표[블록 07~18시],$Q464))</f>
        <v/>
      </c>
      <c r="M464" s="20">
        <f>IF($Q464="","",INDEX(상세표[블록 18~22시],$Q464))</f>
        <v/>
      </c>
      <c r="N464" s="20">
        <f>IF($Q464="","",INDEX(상세표[블록 22~06시],$Q464))</f>
        <v/>
      </c>
      <c r="O464">
        <f>IF($Q464="","",INDEX(상세표[주말·휴일 포함],$Q464)&amp;"")</f>
        <v/>
      </c>
      <c r="P464">
        <f>IF($Q464="","",INDEX(상세표[월 넘김 포함],$Q464)&amp;"")</f>
        <v/>
      </c>
      <c r="Q464" s="4">
        <f>IFERROR(MATCH(459,상세표[연속순번],0),"")</f>
        <v/>
      </c>
    </row>
    <row r="465">
      <c r="A465">
        <f>IF($Q465="","",INDEX(상세표[부서],$Q465)&amp;"")</f>
        <v/>
      </c>
      <c r="B465">
        <f>IF($Q465="","",INDEX(상세표[사번],$Q465)&amp;"")</f>
        <v/>
      </c>
      <c r="C465">
        <f>IF($Q465="","",INDEX(상세표[성명],$Q465)&amp;"")</f>
        <v/>
      </c>
      <c r="D465">
        <f>IF($Q465="","",INDEX(상세표[직위],$Q465)&amp;"")</f>
        <v/>
      </c>
      <c r="E465">
        <f>IF($Q465="","",IF(ISNUMBER(INDEX(상세표[근무일자],$Q465)),TEXT(INDEX(상세표[근무일자],$Q465),"yyyy-mm-dd"),INDEX(상세표[근무일자],$Q465)&amp;""))</f>
        <v/>
      </c>
      <c r="F465">
        <f>IF($Q465="","",IF(ISNUMBER(INDEX(상세표[시작],$Q465)),TEXT(INDEX(상세표[시작],$Q465),"yyyy-mm-dd hh:mm"),INDEX(상세표[시작],$Q465)&amp;""))</f>
        <v/>
      </c>
      <c r="G465">
        <f>IF($Q465="","",IF(ISNUMBER(INDEX(상세표[블록종료],$Q465)),TEXT(INDEX(상세표[블록종료],$Q465),"yyyy-mm-dd hh:mm"),INDEX(상세표[블록종료],$Q465)&amp;""))</f>
        <v/>
      </c>
      <c r="H465">
        <f>IF($Q465="","",CHOOSE(WEEKDAY(INDEX(상세표[시작],$Q465)),"일","월","화","수","목","금","토"))</f>
        <v/>
      </c>
      <c r="I465" s="20">
        <f>IF($Q465="","",INDEX(상세표[연속 시간],$Q465))</f>
        <v/>
      </c>
      <c r="J465">
        <f>IF($Q465="","",INDEX(상세표[기록 수],$Q465))</f>
        <v/>
      </c>
      <c r="K465" s="20">
        <f>IF($Q465="","",INDEX(상세표[블록 06~07시],$Q465))</f>
        <v/>
      </c>
      <c r="L465" s="20">
        <f>IF($Q465="","",INDEX(상세표[블록 07~18시],$Q465))</f>
        <v/>
      </c>
      <c r="M465" s="20">
        <f>IF($Q465="","",INDEX(상세표[블록 18~22시],$Q465))</f>
        <v/>
      </c>
      <c r="N465" s="20">
        <f>IF($Q465="","",INDEX(상세표[블록 22~06시],$Q465))</f>
        <v/>
      </c>
      <c r="O465">
        <f>IF($Q465="","",INDEX(상세표[주말·휴일 포함],$Q465)&amp;"")</f>
        <v/>
      </c>
      <c r="P465">
        <f>IF($Q465="","",INDEX(상세표[월 넘김 포함],$Q465)&amp;"")</f>
        <v/>
      </c>
      <c r="Q465" s="4">
        <f>IFERROR(MATCH(460,상세표[연속순번],0),"")</f>
        <v/>
      </c>
    </row>
    <row r="466">
      <c r="A466">
        <f>IF($Q466="","",INDEX(상세표[부서],$Q466)&amp;"")</f>
        <v/>
      </c>
      <c r="B466">
        <f>IF($Q466="","",INDEX(상세표[사번],$Q466)&amp;"")</f>
        <v/>
      </c>
      <c r="C466">
        <f>IF($Q466="","",INDEX(상세표[성명],$Q466)&amp;"")</f>
        <v/>
      </c>
      <c r="D466">
        <f>IF($Q466="","",INDEX(상세표[직위],$Q466)&amp;"")</f>
        <v/>
      </c>
      <c r="E466">
        <f>IF($Q466="","",IF(ISNUMBER(INDEX(상세표[근무일자],$Q466)),TEXT(INDEX(상세표[근무일자],$Q466),"yyyy-mm-dd"),INDEX(상세표[근무일자],$Q466)&amp;""))</f>
        <v/>
      </c>
      <c r="F466">
        <f>IF($Q466="","",IF(ISNUMBER(INDEX(상세표[시작],$Q466)),TEXT(INDEX(상세표[시작],$Q466),"yyyy-mm-dd hh:mm"),INDEX(상세표[시작],$Q466)&amp;""))</f>
        <v/>
      </c>
      <c r="G466">
        <f>IF($Q466="","",IF(ISNUMBER(INDEX(상세표[블록종료],$Q466)),TEXT(INDEX(상세표[블록종료],$Q466),"yyyy-mm-dd hh:mm"),INDEX(상세표[블록종료],$Q466)&amp;""))</f>
        <v/>
      </c>
      <c r="H466">
        <f>IF($Q466="","",CHOOSE(WEEKDAY(INDEX(상세표[시작],$Q466)),"일","월","화","수","목","금","토"))</f>
        <v/>
      </c>
      <c r="I466" s="20">
        <f>IF($Q466="","",INDEX(상세표[연속 시간],$Q466))</f>
        <v/>
      </c>
      <c r="J466">
        <f>IF($Q466="","",INDEX(상세표[기록 수],$Q466))</f>
        <v/>
      </c>
      <c r="K466" s="20">
        <f>IF($Q466="","",INDEX(상세표[블록 06~07시],$Q466))</f>
        <v/>
      </c>
      <c r="L466" s="20">
        <f>IF($Q466="","",INDEX(상세표[블록 07~18시],$Q466))</f>
        <v/>
      </c>
      <c r="M466" s="20">
        <f>IF($Q466="","",INDEX(상세표[블록 18~22시],$Q466))</f>
        <v/>
      </c>
      <c r="N466" s="20">
        <f>IF($Q466="","",INDEX(상세표[블록 22~06시],$Q466))</f>
        <v/>
      </c>
      <c r="O466">
        <f>IF($Q466="","",INDEX(상세표[주말·휴일 포함],$Q466)&amp;"")</f>
        <v/>
      </c>
      <c r="P466">
        <f>IF($Q466="","",INDEX(상세표[월 넘김 포함],$Q466)&amp;"")</f>
        <v/>
      </c>
      <c r="Q466" s="4">
        <f>IFERROR(MATCH(461,상세표[연속순번],0),"")</f>
        <v/>
      </c>
    </row>
    <row r="467">
      <c r="A467">
        <f>IF($Q467="","",INDEX(상세표[부서],$Q467)&amp;"")</f>
        <v/>
      </c>
      <c r="B467">
        <f>IF($Q467="","",INDEX(상세표[사번],$Q467)&amp;"")</f>
        <v/>
      </c>
      <c r="C467">
        <f>IF($Q467="","",INDEX(상세표[성명],$Q467)&amp;"")</f>
        <v/>
      </c>
      <c r="D467">
        <f>IF($Q467="","",INDEX(상세표[직위],$Q467)&amp;"")</f>
        <v/>
      </c>
      <c r="E467">
        <f>IF($Q467="","",IF(ISNUMBER(INDEX(상세표[근무일자],$Q467)),TEXT(INDEX(상세표[근무일자],$Q467),"yyyy-mm-dd"),INDEX(상세표[근무일자],$Q467)&amp;""))</f>
        <v/>
      </c>
      <c r="F467">
        <f>IF($Q467="","",IF(ISNUMBER(INDEX(상세표[시작],$Q467)),TEXT(INDEX(상세표[시작],$Q467),"yyyy-mm-dd hh:mm"),INDEX(상세표[시작],$Q467)&amp;""))</f>
        <v/>
      </c>
      <c r="G467">
        <f>IF($Q467="","",IF(ISNUMBER(INDEX(상세표[블록종료],$Q467)),TEXT(INDEX(상세표[블록종료],$Q467),"yyyy-mm-dd hh:mm"),INDEX(상세표[블록종료],$Q467)&amp;""))</f>
        <v/>
      </c>
      <c r="H467">
        <f>IF($Q467="","",CHOOSE(WEEKDAY(INDEX(상세표[시작],$Q467)),"일","월","화","수","목","금","토"))</f>
        <v/>
      </c>
      <c r="I467" s="20">
        <f>IF($Q467="","",INDEX(상세표[연속 시간],$Q467))</f>
        <v/>
      </c>
      <c r="J467">
        <f>IF($Q467="","",INDEX(상세표[기록 수],$Q467))</f>
        <v/>
      </c>
      <c r="K467" s="20">
        <f>IF($Q467="","",INDEX(상세표[블록 06~07시],$Q467))</f>
        <v/>
      </c>
      <c r="L467" s="20">
        <f>IF($Q467="","",INDEX(상세표[블록 07~18시],$Q467))</f>
        <v/>
      </c>
      <c r="M467" s="20">
        <f>IF($Q467="","",INDEX(상세표[블록 18~22시],$Q467))</f>
        <v/>
      </c>
      <c r="N467" s="20">
        <f>IF($Q467="","",INDEX(상세표[블록 22~06시],$Q467))</f>
        <v/>
      </c>
      <c r="O467">
        <f>IF($Q467="","",INDEX(상세표[주말·휴일 포함],$Q467)&amp;"")</f>
        <v/>
      </c>
      <c r="P467">
        <f>IF($Q467="","",INDEX(상세표[월 넘김 포함],$Q467)&amp;"")</f>
        <v/>
      </c>
      <c r="Q467" s="4">
        <f>IFERROR(MATCH(462,상세표[연속순번],0),"")</f>
        <v/>
      </c>
    </row>
    <row r="468">
      <c r="A468">
        <f>IF($Q468="","",INDEX(상세표[부서],$Q468)&amp;"")</f>
        <v/>
      </c>
      <c r="B468">
        <f>IF($Q468="","",INDEX(상세표[사번],$Q468)&amp;"")</f>
        <v/>
      </c>
      <c r="C468">
        <f>IF($Q468="","",INDEX(상세표[성명],$Q468)&amp;"")</f>
        <v/>
      </c>
      <c r="D468">
        <f>IF($Q468="","",INDEX(상세표[직위],$Q468)&amp;"")</f>
        <v/>
      </c>
      <c r="E468">
        <f>IF($Q468="","",IF(ISNUMBER(INDEX(상세표[근무일자],$Q468)),TEXT(INDEX(상세표[근무일자],$Q468),"yyyy-mm-dd"),INDEX(상세표[근무일자],$Q468)&amp;""))</f>
        <v/>
      </c>
      <c r="F468">
        <f>IF($Q468="","",IF(ISNUMBER(INDEX(상세표[시작],$Q468)),TEXT(INDEX(상세표[시작],$Q468),"yyyy-mm-dd hh:mm"),INDEX(상세표[시작],$Q468)&amp;""))</f>
        <v/>
      </c>
      <c r="G468">
        <f>IF($Q468="","",IF(ISNUMBER(INDEX(상세표[블록종료],$Q468)),TEXT(INDEX(상세표[블록종료],$Q468),"yyyy-mm-dd hh:mm"),INDEX(상세표[블록종료],$Q468)&amp;""))</f>
        <v/>
      </c>
      <c r="H468">
        <f>IF($Q468="","",CHOOSE(WEEKDAY(INDEX(상세표[시작],$Q468)),"일","월","화","수","목","금","토"))</f>
        <v/>
      </c>
      <c r="I468" s="20">
        <f>IF($Q468="","",INDEX(상세표[연속 시간],$Q468))</f>
        <v/>
      </c>
      <c r="J468">
        <f>IF($Q468="","",INDEX(상세표[기록 수],$Q468))</f>
        <v/>
      </c>
      <c r="K468" s="20">
        <f>IF($Q468="","",INDEX(상세표[블록 06~07시],$Q468))</f>
        <v/>
      </c>
      <c r="L468" s="20">
        <f>IF($Q468="","",INDEX(상세표[블록 07~18시],$Q468))</f>
        <v/>
      </c>
      <c r="M468" s="20">
        <f>IF($Q468="","",INDEX(상세표[블록 18~22시],$Q468))</f>
        <v/>
      </c>
      <c r="N468" s="20">
        <f>IF($Q468="","",INDEX(상세표[블록 22~06시],$Q468))</f>
        <v/>
      </c>
      <c r="O468">
        <f>IF($Q468="","",INDEX(상세표[주말·휴일 포함],$Q468)&amp;"")</f>
        <v/>
      </c>
      <c r="P468">
        <f>IF($Q468="","",INDEX(상세표[월 넘김 포함],$Q468)&amp;"")</f>
        <v/>
      </c>
      <c r="Q468" s="4">
        <f>IFERROR(MATCH(463,상세표[연속순번],0),"")</f>
        <v/>
      </c>
    </row>
    <row r="469">
      <c r="A469">
        <f>IF($Q469="","",INDEX(상세표[부서],$Q469)&amp;"")</f>
        <v/>
      </c>
      <c r="B469">
        <f>IF($Q469="","",INDEX(상세표[사번],$Q469)&amp;"")</f>
        <v/>
      </c>
      <c r="C469">
        <f>IF($Q469="","",INDEX(상세표[성명],$Q469)&amp;"")</f>
        <v/>
      </c>
      <c r="D469">
        <f>IF($Q469="","",INDEX(상세표[직위],$Q469)&amp;"")</f>
        <v/>
      </c>
      <c r="E469">
        <f>IF($Q469="","",IF(ISNUMBER(INDEX(상세표[근무일자],$Q469)),TEXT(INDEX(상세표[근무일자],$Q469),"yyyy-mm-dd"),INDEX(상세표[근무일자],$Q469)&amp;""))</f>
        <v/>
      </c>
      <c r="F469">
        <f>IF($Q469="","",IF(ISNUMBER(INDEX(상세표[시작],$Q469)),TEXT(INDEX(상세표[시작],$Q469),"yyyy-mm-dd hh:mm"),INDEX(상세표[시작],$Q469)&amp;""))</f>
        <v/>
      </c>
      <c r="G469">
        <f>IF($Q469="","",IF(ISNUMBER(INDEX(상세표[블록종료],$Q469)),TEXT(INDEX(상세표[블록종료],$Q469),"yyyy-mm-dd hh:mm"),INDEX(상세표[블록종료],$Q469)&amp;""))</f>
        <v/>
      </c>
      <c r="H469">
        <f>IF($Q469="","",CHOOSE(WEEKDAY(INDEX(상세표[시작],$Q469)),"일","월","화","수","목","금","토"))</f>
        <v/>
      </c>
      <c r="I469" s="20">
        <f>IF($Q469="","",INDEX(상세표[연속 시간],$Q469))</f>
        <v/>
      </c>
      <c r="J469">
        <f>IF($Q469="","",INDEX(상세표[기록 수],$Q469))</f>
        <v/>
      </c>
      <c r="K469" s="20">
        <f>IF($Q469="","",INDEX(상세표[블록 06~07시],$Q469))</f>
        <v/>
      </c>
      <c r="L469" s="20">
        <f>IF($Q469="","",INDEX(상세표[블록 07~18시],$Q469))</f>
        <v/>
      </c>
      <c r="M469" s="20">
        <f>IF($Q469="","",INDEX(상세표[블록 18~22시],$Q469))</f>
        <v/>
      </c>
      <c r="N469" s="20">
        <f>IF($Q469="","",INDEX(상세표[블록 22~06시],$Q469))</f>
        <v/>
      </c>
      <c r="O469">
        <f>IF($Q469="","",INDEX(상세표[주말·휴일 포함],$Q469)&amp;"")</f>
        <v/>
      </c>
      <c r="P469">
        <f>IF($Q469="","",INDEX(상세표[월 넘김 포함],$Q469)&amp;"")</f>
        <v/>
      </c>
      <c r="Q469" s="4">
        <f>IFERROR(MATCH(464,상세표[연속순번],0),"")</f>
        <v/>
      </c>
    </row>
    <row r="470">
      <c r="A470">
        <f>IF($Q470="","",INDEX(상세표[부서],$Q470)&amp;"")</f>
        <v/>
      </c>
      <c r="B470">
        <f>IF($Q470="","",INDEX(상세표[사번],$Q470)&amp;"")</f>
        <v/>
      </c>
      <c r="C470">
        <f>IF($Q470="","",INDEX(상세표[성명],$Q470)&amp;"")</f>
        <v/>
      </c>
      <c r="D470">
        <f>IF($Q470="","",INDEX(상세표[직위],$Q470)&amp;"")</f>
        <v/>
      </c>
      <c r="E470">
        <f>IF($Q470="","",IF(ISNUMBER(INDEX(상세표[근무일자],$Q470)),TEXT(INDEX(상세표[근무일자],$Q470),"yyyy-mm-dd"),INDEX(상세표[근무일자],$Q470)&amp;""))</f>
        <v/>
      </c>
      <c r="F470">
        <f>IF($Q470="","",IF(ISNUMBER(INDEX(상세표[시작],$Q470)),TEXT(INDEX(상세표[시작],$Q470),"yyyy-mm-dd hh:mm"),INDEX(상세표[시작],$Q470)&amp;""))</f>
        <v/>
      </c>
      <c r="G470">
        <f>IF($Q470="","",IF(ISNUMBER(INDEX(상세표[블록종료],$Q470)),TEXT(INDEX(상세표[블록종료],$Q470),"yyyy-mm-dd hh:mm"),INDEX(상세표[블록종료],$Q470)&amp;""))</f>
        <v/>
      </c>
      <c r="H470">
        <f>IF($Q470="","",CHOOSE(WEEKDAY(INDEX(상세표[시작],$Q470)),"일","월","화","수","목","금","토"))</f>
        <v/>
      </c>
      <c r="I470" s="20">
        <f>IF($Q470="","",INDEX(상세표[연속 시간],$Q470))</f>
        <v/>
      </c>
      <c r="J470">
        <f>IF($Q470="","",INDEX(상세표[기록 수],$Q470))</f>
        <v/>
      </c>
      <c r="K470" s="20">
        <f>IF($Q470="","",INDEX(상세표[블록 06~07시],$Q470))</f>
        <v/>
      </c>
      <c r="L470" s="20">
        <f>IF($Q470="","",INDEX(상세표[블록 07~18시],$Q470))</f>
        <v/>
      </c>
      <c r="M470" s="20">
        <f>IF($Q470="","",INDEX(상세표[블록 18~22시],$Q470))</f>
        <v/>
      </c>
      <c r="N470" s="20">
        <f>IF($Q470="","",INDEX(상세표[블록 22~06시],$Q470))</f>
        <v/>
      </c>
      <c r="O470">
        <f>IF($Q470="","",INDEX(상세표[주말·휴일 포함],$Q470)&amp;"")</f>
        <v/>
      </c>
      <c r="P470">
        <f>IF($Q470="","",INDEX(상세표[월 넘김 포함],$Q470)&amp;"")</f>
        <v/>
      </c>
      <c r="Q470" s="4">
        <f>IFERROR(MATCH(465,상세표[연속순번],0),"")</f>
        <v/>
      </c>
    </row>
    <row r="471">
      <c r="A471">
        <f>IF($Q471="","",INDEX(상세표[부서],$Q471)&amp;"")</f>
        <v/>
      </c>
      <c r="B471">
        <f>IF($Q471="","",INDEX(상세표[사번],$Q471)&amp;"")</f>
        <v/>
      </c>
      <c r="C471">
        <f>IF($Q471="","",INDEX(상세표[성명],$Q471)&amp;"")</f>
        <v/>
      </c>
      <c r="D471">
        <f>IF($Q471="","",INDEX(상세표[직위],$Q471)&amp;"")</f>
        <v/>
      </c>
      <c r="E471">
        <f>IF($Q471="","",IF(ISNUMBER(INDEX(상세표[근무일자],$Q471)),TEXT(INDEX(상세표[근무일자],$Q471),"yyyy-mm-dd"),INDEX(상세표[근무일자],$Q471)&amp;""))</f>
        <v/>
      </c>
      <c r="F471">
        <f>IF($Q471="","",IF(ISNUMBER(INDEX(상세표[시작],$Q471)),TEXT(INDEX(상세표[시작],$Q471),"yyyy-mm-dd hh:mm"),INDEX(상세표[시작],$Q471)&amp;""))</f>
        <v/>
      </c>
      <c r="G471">
        <f>IF($Q471="","",IF(ISNUMBER(INDEX(상세표[블록종료],$Q471)),TEXT(INDEX(상세표[블록종료],$Q471),"yyyy-mm-dd hh:mm"),INDEX(상세표[블록종료],$Q471)&amp;""))</f>
        <v/>
      </c>
      <c r="H471">
        <f>IF($Q471="","",CHOOSE(WEEKDAY(INDEX(상세표[시작],$Q471)),"일","월","화","수","목","금","토"))</f>
        <v/>
      </c>
      <c r="I471" s="20">
        <f>IF($Q471="","",INDEX(상세표[연속 시간],$Q471))</f>
        <v/>
      </c>
      <c r="J471">
        <f>IF($Q471="","",INDEX(상세표[기록 수],$Q471))</f>
        <v/>
      </c>
      <c r="K471" s="20">
        <f>IF($Q471="","",INDEX(상세표[블록 06~07시],$Q471))</f>
        <v/>
      </c>
      <c r="L471" s="20">
        <f>IF($Q471="","",INDEX(상세표[블록 07~18시],$Q471))</f>
        <v/>
      </c>
      <c r="M471" s="20">
        <f>IF($Q471="","",INDEX(상세표[블록 18~22시],$Q471))</f>
        <v/>
      </c>
      <c r="N471" s="20">
        <f>IF($Q471="","",INDEX(상세표[블록 22~06시],$Q471))</f>
        <v/>
      </c>
      <c r="O471">
        <f>IF($Q471="","",INDEX(상세표[주말·휴일 포함],$Q471)&amp;"")</f>
        <v/>
      </c>
      <c r="P471">
        <f>IF($Q471="","",INDEX(상세표[월 넘김 포함],$Q471)&amp;"")</f>
        <v/>
      </c>
      <c r="Q471" s="4">
        <f>IFERROR(MATCH(466,상세표[연속순번],0),"")</f>
        <v/>
      </c>
    </row>
    <row r="472">
      <c r="A472">
        <f>IF($Q472="","",INDEX(상세표[부서],$Q472)&amp;"")</f>
        <v/>
      </c>
      <c r="B472">
        <f>IF($Q472="","",INDEX(상세표[사번],$Q472)&amp;"")</f>
        <v/>
      </c>
      <c r="C472">
        <f>IF($Q472="","",INDEX(상세표[성명],$Q472)&amp;"")</f>
        <v/>
      </c>
      <c r="D472">
        <f>IF($Q472="","",INDEX(상세표[직위],$Q472)&amp;"")</f>
        <v/>
      </c>
      <c r="E472">
        <f>IF($Q472="","",IF(ISNUMBER(INDEX(상세표[근무일자],$Q472)),TEXT(INDEX(상세표[근무일자],$Q472),"yyyy-mm-dd"),INDEX(상세표[근무일자],$Q472)&amp;""))</f>
        <v/>
      </c>
      <c r="F472">
        <f>IF($Q472="","",IF(ISNUMBER(INDEX(상세표[시작],$Q472)),TEXT(INDEX(상세표[시작],$Q472),"yyyy-mm-dd hh:mm"),INDEX(상세표[시작],$Q472)&amp;""))</f>
        <v/>
      </c>
      <c r="G472">
        <f>IF($Q472="","",IF(ISNUMBER(INDEX(상세표[블록종료],$Q472)),TEXT(INDEX(상세표[블록종료],$Q472),"yyyy-mm-dd hh:mm"),INDEX(상세표[블록종료],$Q472)&amp;""))</f>
        <v/>
      </c>
      <c r="H472">
        <f>IF($Q472="","",CHOOSE(WEEKDAY(INDEX(상세표[시작],$Q472)),"일","월","화","수","목","금","토"))</f>
        <v/>
      </c>
      <c r="I472" s="20">
        <f>IF($Q472="","",INDEX(상세표[연속 시간],$Q472))</f>
        <v/>
      </c>
      <c r="J472">
        <f>IF($Q472="","",INDEX(상세표[기록 수],$Q472))</f>
        <v/>
      </c>
      <c r="K472" s="20">
        <f>IF($Q472="","",INDEX(상세표[블록 06~07시],$Q472))</f>
        <v/>
      </c>
      <c r="L472" s="20">
        <f>IF($Q472="","",INDEX(상세표[블록 07~18시],$Q472))</f>
        <v/>
      </c>
      <c r="M472" s="20">
        <f>IF($Q472="","",INDEX(상세표[블록 18~22시],$Q472))</f>
        <v/>
      </c>
      <c r="N472" s="20">
        <f>IF($Q472="","",INDEX(상세표[블록 22~06시],$Q472))</f>
        <v/>
      </c>
      <c r="O472">
        <f>IF($Q472="","",INDEX(상세표[주말·휴일 포함],$Q472)&amp;"")</f>
        <v/>
      </c>
      <c r="P472">
        <f>IF($Q472="","",INDEX(상세표[월 넘김 포함],$Q472)&amp;"")</f>
        <v/>
      </c>
      <c r="Q472" s="4">
        <f>IFERROR(MATCH(467,상세표[연속순번],0),"")</f>
        <v/>
      </c>
    </row>
    <row r="473">
      <c r="A473">
        <f>IF($Q473="","",INDEX(상세표[부서],$Q473)&amp;"")</f>
        <v/>
      </c>
      <c r="B473">
        <f>IF($Q473="","",INDEX(상세표[사번],$Q473)&amp;"")</f>
        <v/>
      </c>
      <c r="C473">
        <f>IF($Q473="","",INDEX(상세표[성명],$Q473)&amp;"")</f>
        <v/>
      </c>
      <c r="D473">
        <f>IF($Q473="","",INDEX(상세표[직위],$Q473)&amp;"")</f>
        <v/>
      </c>
      <c r="E473">
        <f>IF($Q473="","",IF(ISNUMBER(INDEX(상세표[근무일자],$Q473)),TEXT(INDEX(상세표[근무일자],$Q473),"yyyy-mm-dd"),INDEX(상세표[근무일자],$Q473)&amp;""))</f>
        <v/>
      </c>
      <c r="F473">
        <f>IF($Q473="","",IF(ISNUMBER(INDEX(상세표[시작],$Q473)),TEXT(INDEX(상세표[시작],$Q473),"yyyy-mm-dd hh:mm"),INDEX(상세표[시작],$Q473)&amp;""))</f>
        <v/>
      </c>
      <c r="G473">
        <f>IF($Q473="","",IF(ISNUMBER(INDEX(상세표[블록종료],$Q473)),TEXT(INDEX(상세표[블록종료],$Q473),"yyyy-mm-dd hh:mm"),INDEX(상세표[블록종료],$Q473)&amp;""))</f>
        <v/>
      </c>
      <c r="H473">
        <f>IF($Q473="","",CHOOSE(WEEKDAY(INDEX(상세표[시작],$Q473)),"일","월","화","수","목","금","토"))</f>
        <v/>
      </c>
      <c r="I473" s="20">
        <f>IF($Q473="","",INDEX(상세표[연속 시간],$Q473))</f>
        <v/>
      </c>
      <c r="J473">
        <f>IF($Q473="","",INDEX(상세표[기록 수],$Q473))</f>
        <v/>
      </c>
      <c r="K473" s="20">
        <f>IF($Q473="","",INDEX(상세표[블록 06~07시],$Q473))</f>
        <v/>
      </c>
      <c r="L473" s="20">
        <f>IF($Q473="","",INDEX(상세표[블록 07~18시],$Q473))</f>
        <v/>
      </c>
      <c r="M473" s="20">
        <f>IF($Q473="","",INDEX(상세표[블록 18~22시],$Q473))</f>
        <v/>
      </c>
      <c r="N473" s="20">
        <f>IF($Q473="","",INDEX(상세표[블록 22~06시],$Q473))</f>
        <v/>
      </c>
      <c r="O473">
        <f>IF($Q473="","",INDEX(상세표[주말·휴일 포함],$Q473)&amp;"")</f>
        <v/>
      </c>
      <c r="P473">
        <f>IF($Q473="","",INDEX(상세표[월 넘김 포함],$Q473)&amp;"")</f>
        <v/>
      </c>
      <c r="Q473" s="4">
        <f>IFERROR(MATCH(468,상세표[연속순번],0),"")</f>
        <v/>
      </c>
    </row>
    <row r="474">
      <c r="A474">
        <f>IF($Q474="","",INDEX(상세표[부서],$Q474)&amp;"")</f>
        <v/>
      </c>
      <c r="B474">
        <f>IF($Q474="","",INDEX(상세표[사번],$Q474)&amp;"")</f>
        <v/>
      </c>
      <c r="C474">
        <f>IF($Q474="","",INDEX(상세표[성명],$Q474)&amp;"")</f>
        <v/>
      </c>
      <c r="D474">
        <f>IF($Q474="","",INDEX(상세표[직위],$Q474)&amp;"")</f>
        <v/>
      </c>
      <c r="E474">
        <f>IF($Q474="","",IF(ISNUMBER(INDEX(상세표[근무일자],$Q474)),TEXT(INDEX(상세표[근무일자],$Q474),"yyyy-mm-dd"),INDEX(상세표[근무일자],$Q474)&amp;""))</f>
        <v/>
      </c>
      <c r="F474">
        <f>IF($Q474="","",IF(ISNUMBER(INDEX(상세표[시작],$Q474)),TEXT(INDEX(상세표[시작],$Q474),"yyyy-mm-dd hh:mm"),INDEX(상세표[시작],$Q474)&amp;""))</f>
        <v/>
      </c>
      <c r="G474">
        <f>IF($Q474="","",IF(ISNUMBER(INDEX(상세표[블록종료],$Q474)),TEXT(INDEX(상세표[블록종료],$Q474),"yyyy-mm-dd hh:mm"),INDEX(상세표[블록종료],$Q474)&amp;""))</f>
        <v/>
      </c>
      <c r="H474">
        <f>IF($Q474="","",CHOOSE(WEEKDAY(INDEX(상세표[시작],$Q474)),"일","월","화","수","목","금","토"))</f>
        <v/>
      </c>
      <c r="I474" s="20">
        <f>IF($Q474="","",INDEX(상세표[연속 시간],$Q474))</f>
        <v/>
      </c>
      <c r="J474">
        <f>IF($Q474="","",INDEX(상세표[기록 수],$Q474))</f>
        <v/>
      </c>
      <c r="K474" s="20">
        <f>IF($Q474="","",INDEX(상세표[블록 06~07시],$Q474))</f>
        <v/>
      </c>
      <c r="L474" s="20">
        <f>IF($Q474="","",INDEX(상세표[블록 07~18시],$Q474))</f>
        <v/>
      </c>
      <c r="M474" s="20">
        <f>IF($Q474="","",INDEX(상세표[블록 18~22시],$Q474))</f>
        <v/>
      </c>
      <c r="N474" s="20">
        <f>IF($Q474="","",INDEX(상세표[블록 22~06시],$Q474))</f>
        <v/>
      </c>
      <c r="O474">
        <f>IF($Q474="","",INDEX(상세표[주말·휴일 포함],$Q474)&amp;"")</f>
        <v/>
      </c>
      <c r="P474">
        <f>IF($Q474="","",INDEX(상세표[월 넘김 포함],$Q474)&amp;"")</f>
        <v/>
      </c>
      <c r="Q474" s="4">
        <f>IFERROR(MATCH(469,상세표[연속순번],0),"")</f>
        <v/>
      </c>
    </row>
    <row r="475">
      <c r="A475">
        <f>IF($Q475="","",INDEX(상세표[부서],$Q475)&amp;"")</f>
        <v/>
      </c>
      <c r="B475">
        <f>IF($Q475="","",INDEX(상세표[사번],$Q475)&amp;"")</f>
        <v/>
      </c>
      <c r="C475">
        <f>IF($Q475="","",INDEX(상세표[성명],$Q475)&amp;"")</f>
        <v/>
      </c>
      <c r="D475">
        <f>IF($Q475="","",INDEX(상세표[직위],$Q475)&amp;"")</f>
        <v/>
      </c>
      <c r="E475">
        <f>IF($Q475="","",IF(ISNUMBER(INDEX(상세표[근무일자],$Q475)),TEXT(INDEX(상세표[근무일자],$Q475),"yyyy-mm-dd"),INDEX(상세표[근무일자],$Q475)&amp;""))</f>
        <v/>
      </c>
      <c r="F475">
        <f>IF($Q475="","",IF(ISNUMBER(INDEX(상세표[시작],$Q475)),TEXT(INDEX(상세표[시작],$Q475),"yyyy-mm-dd hh:mm"),INDEX(상세표[시작],$Q475)&amp;""))</f>
        <v/>
      </c>
      <c r="G475">
        <f>IF($Q475="","",IF(ISNUMBER(INDEX(상세표[블록종료],$Q475)),TEXT(INDEX(상세표[블록종료],$Q475),"yyyy-mm-dd hh:mm"),INDEX(상세표[블록종료],$Q475)&amp;""))</f>
        <v/>
      </c>
      <c r="H475">
        <f>IF($Q475="","",CHOOSE(WEEKDAY(INDEX(상세표[시작],$Q475)),"일","월","화","수","목","금","토"))</f>
        <v/>
      </c>
      <c r="I475" s="20">
        <f>IF($Q475="","",INDEX(상세표[연속 시간],$Q475))</f>
        <v/>
      </c>
      <c r="J475">
        <f>IF($Q475="","",INDEX(상세표[기록 수],$Q475))</f>
        <v/>
      </c>
      <c r="K475" s="20">
        <f>IF($Q475="","",INDEX(상세표[블록 06~07시],$Q475))</f>
        <v/>
      </c>
      <c r="L475" s="20">
        <f>IF($Q475="","",INDEX(상세표[블록 07~18시],$Q475))</f>
        <v/>
      </c>
      <c r="M475" s="20">
        <f>IF($Q475="","",INDEX(상세표[블록 18~22시],$Q475))</f>
        <v/>
      </c>
      <c r="N475" s="20">
        <f>IF($Q475="","",INDEX(상세표[블록 22~06시],$Q475))</f>
        <v/>
      </c>
      <c r="O475">
        <f>IF($Q475="","",INDEX(상세표[주말·휴일 포함],$Q475)&amp;"")</f>
        <v/>
      </c>
      <c r="P475">
        <f>IF($Q475="","",INDEX(상세표[월 넘김 포함],$Q475)&amp;"")</f>
        <v/>
      </c>
      <c r="Q475" s="4">
        <f>IFERROR(MATCH(470,상세표[연속순번],0),"")</f>
        <v/>
      </c>
    </row>
    <row r="476">
      <c r="A476">
        <f>IF($Q476="","",INDEX(상세표[부서],$Q476)&amp;"")</f>
        <v/>
      </c>
      <c r="B476">
        <f>IF($Q476="","",INDEX(상세표[사번],$Q476)&amp;"")</f>
        <v/>
      </c>
      <c r="C476">
        <f>IF($Q476="","",INDEX(상세표[성명],$Q476)&amp;"")</f>
        <v/>
      </c>
      <c r="D476">
        <f>IF($Q476="","",INDEX(상세표[직위],$Q476)&amp;"")</f>
        <v/>
      </c>
      <c r="E476">
        <f>IF($Q476="","",IF(ISNUMBER(INDEX(상세표[근무일자],$Q476)),TEXT(INDEX(상세표[근무일자],$Q476),"yyyy-mm-dd"),INDEX(상세표[근무일자],$Q476)&amp;""))</f>
        <v/>
      </c>
      <c r="F476">
        <f>IF($Q476="","",IF(ISNUMBER(INDEX(상세표[시작],$Q476)),TEXT(INDEX(상세표[시작],$Q476),"yyyy-mm-dd hh:mm"),INDEX(상세표[시작],$Q476)&amp;""))</f>
        <v/>
      </c>
      <c r="G476">
        <f>IF($Q476="","",IF(ISNUMBER(INDEX(상세표[블록종료],$Q476)),TEXT(INDEX(상세표[블록종료],$Q476),"yyyy-mm-dd hh:mm"),INDEX(상세표[블록종료],$Q476)&amp;""))</f>
        <v/>
      </c>
      <c r="H476">
        <f>IF($Q476="","",CHOOSE(WEEKDAY(INDEX(상세표[시작],$Q476)),"일","월","화","수","목","금","토"))</f>
        <v/>
      </c>
      <c r="I476" s="20">
        <f>IF($Q476="","",INDEX(상세표[연속 시간],$Q476))</f>
        <v/>
      </c>
      <c r="J476">
        <f>IF($Q476="","",INDEX(상세표[기록 수],$Q476))</f>
        <v/>
      </c>
      <c r="K476" s="20">
        <f>IF($Q476="","",INDEX(상세표[블록 06~07시],$Q476))</f>
        <v/>
      </c>
      <c r="L476" s="20">
        <f>IF($Q476="","",INDEX(상세표[블록 07~18시],$Q476))</f>
        <v/>
      </c>
      <c r="M476" s="20">
        <f>IF($Q476="","",INDEX(상세표[블록 18~22시],$Q476))</f>
        <v/>
      </c>
      <c r="N476" s="20">
        <f>IF($Q476="","",INDEX(상세표[블록 22~06시],$Q476))</f>
        <v/>
      </c>
      <c r="O476">
        <f>IF($Q476="","",INDEX(상세표[주말·휴일 포함],$Q476)&amp;"")</f>
        <v/>
      </c>
      <c r="P476">
        <f>IF($Q476="","",INDEX(상세표[월 넘김 포함],$Q476)&amp;"")</f>
        <v/>
      </c>
      <c r="Q476" s="4">
        <f>IFERROR(MATCH(471,상세표[연속순번],0),"")</f>
        <v/>
      </c>
    </row>
    <row r="477">
      <c r="A477">
        <f>IF($Q477="","",INDEX(상세표[부서],$Q477)&amp;"")</f>
        <v/>
      </c>
      <c r="B477">
        <f>IF($Q477="","",INDEX(상세표[사번],$Q477)&amp;"")</f>
        <v/>
      </c>
      <c r="C477">
        <f>IF($Q477="","",INDEX(상세표[성명],$Q477)&amp;"")</f>
        <v/>
      </c>
      <c r="D477">
        <f>IF($Q477="","",INDEX(상세표[직위],$Q477)&amp;"")</f>
        <v/>
      </c>
      <c r="E477">
        <f>IF($Q477="","",IF(ISNUMBER(INDEX(상세표[근무일자],$Q477)),TEXT(INDEX(상세표[근무일자],$Q477),"yyyy-mm-dd"),INDEX(상세표[근무일자],$Q477)&amp;""))</f>
        <v/>
      </c>
      <c r="F477">
        <f>IF($Q477="","",IF(ISNUMBER(INDEX(상세표[시작],$Q477)),TEXT(INDEX(상세표[시작],$Q477),"yyyy-mm-dd hh:mm"),INDEX(상세표[시작],$Q477)&amp;""))</f>
        <v/>
      </c>
      <c r="G477">
        <f>IF($Q477="","",IF(ISNUMBER(INDEX(상세표[블록종료],$Q477)),TEXT(INDEX(상세표[블록종료],$Q477),"yyyy-mm-dd hh:mm"),INDEX(상세표[블록종료],$Q477)&amp;""))</f>
        <v/>
      </c>
      <c r="H477">
        <f>IF($Q477="","",CHOOSE(WEEKDAY(INDEX(상세표[시작],$Q477)),"일","월","화","수","목","금","토"))</f>
        <v/>
      </c>
      <c r="I477" s="20">
        <f>IF($Q477="","",INDEX(상세표[연속 시간],$Q477))</f>
        <v/>
      </c>
      <c r="J477">
        <f>IF($Q477="","",INDEX(상세표[기록 수],$Q477))</f>
        <v/>
      </c>
      <c r="K477" s="20">
        <f>IF($Q477="","",INDEX(상세표[블록 06~07시],$Q477))</f>
        <v/>
      </c>
      <c r="L477" s="20">
        <f>IF($Q477="","",INDEX(상세표[블록 07~18시],$Q477))</f>
        <v/>
      </c>
      <c r="M477" s="20">
        <f>IF($Q477="","",INDEX(상세표[블록 18~22시],$Q477))</f>
        <v/>
      </c>
      <c r="N477" s="20">
        <f>IF($Q477="","",INDEX(상세표[블록 22~06시],$Q477))</f>
        <v/>
      </c>
      <c r="O477">
        <f>IF($Q477="","",INDEX(상세표[주말·휴일 포함],$Q477)&amp;"")</f>
        <v/>
      </c>
      <c r="P477">
        <f>IF($Q477="","",INDEX(상세표[월 넘김 포함],$Q477)&amp;"")</f>
        <v/>
      </c>
      <c r="Q477" s="4">
        <f>IFERROR(MATCH(472,상세표[연속순번],0),"")</f>
        <v/>
      </c>
    </row>
    <row r="478">
      <c r="A478">
        <f>IF($Q478="","",INDEX(상세표[부서],$Q478)&amp;"")</f>
        <v/>
      </c>
      <c r="B478">
        <f>IF($Q478="","",INDEX(상세표[사번],$Q478)&amp;"")</f>
        <v/>
      </c>
      <c r="C478">
        <f>IF($Q478="","",INDEX(상세표[성명],$Q478)&amp;"")</f>
        <v/>
      </c>
      <c r="D478">
        <f>IF($Q478="","",INDEX(상세표[직위],$Q478)&amp;"")</f>
        <v/>
      </c>
      <c r="E478">
        <f>IF($Q478="","",IF(ISNUMBER(INDEX(상세표[근무일자],$Q478)),TEXT(INDEX(상세표[근무일자],$Q478),"yyyy-mm-dd"),INDEX(상세표[근무일자],$Q478)&amp;""))</f>
        <v/>
      </c>
      <c r="F478">
        <f>IF($Q478="","",IF(ISNUMBER(INDEX(상세표[시작],$Q478)),TEXT(INDEX(상세표[시작],$Q478),"yyyy-mm-dd hh:mm"),INDEX(상세표[시작],$Q478)&amp;""))</f>
        <v/>
      </c>
      <c r="G478">
        <f>IF($Q478="","",IF(ISNUMBER(INDEX(상세표[블록종료],$Q478)),TEXT(INDEX(상세표[블록종료],$Q478),"yyyy-mm-dd hh:mm"),INDEX(상세표[블록종료],$Q478)&amp;""))</f>
        <v/>
      </c>
      <c r="H478">
        <f>IF($Q478="","",CHOOSE(WEEKDAY(INDEX(상세표[시작],$Q478)),"일","월","화","수","목","금","토"))</f>
        <v/>
      </c>
      <c r="I478" s="20">
        <f>IF($Q478="","",INDEX(상세표[연속 시간],$Q478))</f>
        <v/>
      </c>
      <c r="J478">
        <f>IF($Q478="","",INDEX(상세표[기록 수],$Q478))</f>
        <v/>
      </c>
      <c r="K478" s="20">
        <f>IF($Q478="","",INDEX(상세표[블록 06~07시],$Q478))</f>
        <v/>
      </c>
      <c r="L478" s="20">
        <f>IF($Q478="","",INDEX(상세표[블록 07~18시],$Q478))</f>
        <v/>
      </c>
      <c r="M478" s="20">
        <f>IF($Q478="","",INDEX(상세표[블록 18~22시],$Q478))</f>
        <v/>
      </c>
      <c r="N478" s="20">
        <f>IF($Q478="","",INDEX(상세표[블록 22~06시],$Q478))</f>
        <v/>
      </c>
      <c r="O478">
        <f>IF($Q478="","",INDEX(상세표[주말·휴일 포함],$Q478)&amp;"")</f>
        <v/>
      </c>
      <c r="P478">
        <f>IF($Q478="","",INDEX(상세표[월 넘김 포함],$Q478)&amp;"")</f>
        <v/>
      </c>
      <c r="Q478" s="4">
        <f>IFERROR(MATCH(473,상세표[연속순번],0),"")</f>
        <v/>
      </c>
    </row>
    <row r="479">
      <c r="A479">
        <f>IF($Q479="","",INDEX(상세표[부서],$Q479)&amp;"")</f>
        <v/>
      </c>
      <c r="B479">
        <f>IF($Q479="","",INDEX(상세표[사번],$Q479)&amp;"")</f>
        <v/>
      </c>
      <c r="C479">
        <f>IF($Q479="","",INDEX(상세표[성명],$Q479)&amp;"")</f>
        <v/>
      </c>
      <c r="D479">
        <f>IF($Q479="","",INDEX(상세표[직위],$Q479)&amp;"")</f>
        <v/>
      </c>
      <c r="E479">
        <f>IF($Q479="","",IF(ISNUMBER(INDEX(상세표[근무일자],$Q479)),TEXT(INDEX(상세표[근무일자],$Q479),"yyyy-mm-dd"),INDEX(상세표[근무일자],$Q479)&amp;""))</f>
        <v/>
      </c>
      <c r="F479">
        <f>IF($Q479="","",IF(ISNUMBER(INDEX(상세표[시작],$Q479)),TEXT(INDEX(상세표[시작],$Q479),"yyyy-mm-dd hh:mm"),INDEX(상세표[시작],$Q479)&amp;""))</f>
        <v/>
      </c>
      <c r="G479">
        <f>IF($Q479="","",IF(ISNUMBER(INDEX(상세표[블록종료],$Q479)),TEXT(INDEX(상세표[블록종료],$Q479),"yyyy-mm-dd hh:mm"),INDEX(상세표[블록종료],$Q479)&amp;""))</f>
        <v/>
      </c>
      <c r="H479">
        <f>IF($Q479="","",CHOOSE(WEEKDAY(INDEX(상세표[시작],$Q479)),"일","월","화","수","목","금","토"))</f>
        <v/>
      </c>
      <c r="I479" s="20">
        <f>IF($Q479="","",INDEX(상세표[연속 시간],$Q479))</f>
        <v/>
      </c>
      <c r="J479">
        <f>IF($Q479="","",INDEX(상세표[기록 수],$Q479))</f>
        <v/>
      </c>
      <c r="K479" s="20">
        <f>IF($Q479="","",INDEX(상세표[블록 06~07시],$Q479))</f>
        <v/>
      </c>
      <c r="L479" s="20">
        <f>IF($Q479="","",INDEX(상세표[블록 07~18시],$Q479))</f>
        <v/>
      </c>
      <c r="M479" s="20">
        <f>IF($Q479="","",INDEX(상세표[블록 18~22시],$Q479))</f>
        <v/>
      </c>
      <c r="N479" s="20">
        <f>IF($Q479="","",INDEX(상세표[블록 22~06시],$Q479))</f>
        <v/>
      </c>
      <c r="O479">
        <f>IF($Q479="","",INDEX(상세표[주말·휴일 포함],$Q479)&amp;"")</f>
        <v/>
      </c>
      <c r="P479">
        <f>IF($Q479="","",INDEX(상세표[월 넘김 포함],$Q479)&amp;"")</f>
        <v/>
      </c>
      <c r="Q479" s="4">
        <f>IFERROR(MATCH(474,상세표[연속순번],0),"")</f>
        <v/>
      </c>
    </row>
    <row r="480">
      <c r="A480">
        <f>IF($Q480="","",INDEX(상세표[부서],$Q480)&amp;"")</f>
        <v/>
      </c>
      <c r="B480">
        <f>IF($Q480="","",INDEX(상세표[사번],$Q480)&amp;"")</f>
        <v/>
      </c>
      <c r="C480">
        <f>IF($Q480="","",INDEX(상세표[성명],$Q480)&amp;"")</f>
        <v/>
      </c>
      <c r="D480">
        <f>IF($Q480="","",INDEX(상세표[직위],$Q480)&amp;"")</f>
        <v/>
      </c>
      <c r="E480">
        <f>IF($Q480="","",IF(ISNUMBER(INDEX(상세표[근무일자],$Q480)),TEXT(INDEX(상세표[근무일자],$Q480),"yyyy-mm-dd"),INDEX(상세표[근무일자],$Q480)&amp;""))</f>
        <v/>
      </c>
      <c r="F480">
        <f>IF($Q480="","",IF(ISNUMBER(INDEX(상세표[시작],$Q480)),TEXT(INDEX(상세표[시작],$Q480),"yyyy-mm-dd hh:mm"),INDEX(상세표[시작],$Q480)&amp;""))</f>
        <v/>
      </c>
      <c r="G480">
        <f>IF($Q480="","",IF(ISNUMBER(INDEX(상세표[블록종료],$Q480)),TEXT(INDEX(상세표[블록종료],$Q480),"yyyy-mm-dd hh:mm"),INDEX(상세표[블록종료],$Q480)&amp;""))</f>
        <v/>
      </c>
      <c r="H480">
        <f>IF($Q480="","",CHOOSE(WEEKDAY(INDEX(상세표[시작],$Q480)),"일","월","화","수","목","금","토"))</f>
        <v/>
      </c>
      <c r="I480" s="20">
        <f>IF($Q480="","",INDEX(상세표[연속 시간],$Q480))</f>
        <v/>
      </c>
      <c r="J480">
        <f>IF($Q480="","",INDEX(상세표[기록 수],$Q480))</f>
        <v/>
      </c>
      <c r="K480" s="20">
        <f>IF($Q480="","",INDEX(상세표[블록 06~07시],$Q480))</f>
        <v/>
      </c>
      <c r="L480" s="20">
        <f>IF($Q480="","",INDEX(상세표[블록 07~18시],$Q480))</f>
        <v/>
      </c>
      <c r="M480" s="20">
        <f>IF($Q480="","",INDEX(상세표[블록 18~22시],$Q480))</f>
        <v/>
      </c>
      <c r="N480" s="20">
        <f>IF($Q480="","",INDEX(상세표[블록 22~06시],$Q480))</f>
        <v/>
      </c>
      <c r="O480">
        <f>IF($Q480="","",INDEX(상세표[주말·휴일 포함],$Q480)&amp;"")</f>
        <v/>
      </c>
      <c r="P480">
        <f>IF($Q480="","",INDEX(상세표[월 넘김 포함],$Q480)&amp;"")</f>
        <v/>
      </c>
      <c r="Q480" s="4">
        <f>IFERROR(MATCH(475,상세표[연속순번],0),"")</f>
        <v/>
      </c>
    </row>
    <row r="481">
      <c r="A481">
        <f>IF($Q481="","",INDEX(상세표[부서],$Q481)&amp;"")</f>
        <v/>
      </c>
      <c r="B481">
        <f>IF($Q481="","",INDEX(상세표[사번],$Q481)&amp;"")</f>
        <v/>
      </c>
      <c r="C481">
        <f>IF($Q481="","",INDEX(상세표[성명],$Q481)&amp;"")</f>
        <v/>
      </c>
      <c r="D481">
        <f>IF($Q481="","",INDEX(상세표[직위],$Q481)&amp;"")</f>
        <v/>
      </c>
      <c r="E481">
        <f>IF($Q481="","",IF(ISNUMBER(INDEX(상세표[근무일자],$Q481)),TEXT(INDEX(상세표[근무일자],$Q481),"yyyy-mm-dd"),INDEX(상세표[근무일자],$Q481)&amp;""))</f>
        <v/>
      </c>
      <c r="F481">
        <f>IF($Q481="","",IF(ISNUMBER(INDEX(상세표[시작],$Q481)),TEXT(INDEX(상세표[시작],$Q481),"yyyy-mm-dd hh:mm"),INDEX(상세표[시작],$Q481)&amp;""))</f>
        <v/>
      </c>
      <c r="G481">
        <f>IF($Q481="","",IF(ISNUMBER(INDEX(상세표[블록종료],$Q481)),TEXT(INDEX(상세표[블록종료],$Q481),"yyyy-mm-dd hh:mm"),INDEX(상세표[블록종료],$Q481)&amp;""))</f>
        <v/>
      </c>
      <c r="H481">
        <f>IF($Q481="","",CHOOSE(WEEKDAY(INDEX(상세표[시작],$Q481)),"일","월","화","수","목","금","토"))</f>
        <v/>
      </c>
      <c r="I481" s="20">
        <f>IF($Q481="","",INDEX(상세표[연속 시간],$Q481))</f>
        <v/>
      </c>
      <c r="J481">
        <f>IF($Q481="","",INDEX(상세표[기록 수],$Q481))</f>
        <v/>
      </c>
      <c r="K481" s="20">
        <f>IF($Q481="","",INDEX(상세표[블록 06~07시],$Q481))</f>
        <v/>
      </c>
      <c r="L481" s="20">
        <f>IF($Q481="","",INDEX(상세표[블록 07~18시],$Q481))</f>
        <v/>
      </c>
      <c r="M481" s="20">
        <f>IF($Q481="","",INDEX(상세표[블록 18~22시],$Q481))</f>
        <v/>
      </c>
      <c r="N481" s="20">
        <f>IF($Q481="","",INDEX(상세표[블록 22~06시],$Q481))</f>
        <v/>
      </c>
      <c r="O481">
        <f>IF($Q481="","",INDEX(상세표[주말·휴일 포함],$Q481)&amp;"")</f>
        <v/>
      </c>
      <c r="P481">
        <f>IF($Q481="","",INDEX(상세표[월 넘김 포함],$Q481)&amp;"")</f>
        <v/>
      </c>
      <c r="Q481" s="4">
        <f>IFERROR(MATCH(476,상세표[연속순번],0),"")</f>
        <v/>
      </c>
    </row>
    <row r="482">
      <c r="A482">
        <f>IF($Q482="","",INDEX(상세표[부서],$Q482)&amp;"")</f>
        <v/>
      </c>
      <c r="B482">
        <f>IF($Q482="","",INDEX(상세표[사번],$Q482)&amp;"")</f>
        <v/>
      </c>
      <c r="C482">
        <f>IF($Q482="","",INDEX(상세표[성명],$Q482)&amp;"")</f>
        <v/>
      </c>
      <c r="D482">
        <f>IF($Q482="","",INDEX(상세표[직위],$Q482)&amp;"")</f>
        <v/>
      </c>
      <c r="E482">
        <f>IF($Q482="","",IF(ISNUMBER(INDEX(상세표[근무일자],$Q482)),TEXT(INDEX(상세표[근무일자],$Q482),"yyyy-mm-dd"),INDEX(상세표[근무일자],$Q482)&amp;""))</f>
        <v/>
      </c>
      <c r="F482">
        <f>IF($Q482="","",IF(ISNUMBER(INDEX(상세표[시작],$Q482)),TEXT(INDEX(상세표[시작],$Q482),"yyyy-mm-dd hh:mm"),INDEX(상세표[시작],$Q482)&amp;""))</f>
        <v/>
      </c>
      <c r="G482">
        <f>IF($Q482="","",IF(ISNUMBER(INDEX(상세표[블록종료],$Q482)),TEXT(INDEX(상세표[블록종료],$Q482),"yyyy-mm-dd hh:mm"),INDEX(상세표[블록종료],$Q482)&amp;""))</f>
        <v/>
      </c>
      <c r="H482">
        <f>IF($Q482="","",CHOOSE(WEEKDAY(INDEX(상세표[시작],$Q482)),"일","월","화","수","목","금","토"))</f>
        <v/>
      </c>
      <c r="I482" s="20">
        <f>IF($Q482="","",INDEX(상세표[연속 시간],$Q482))</f>
        <v/>
      </c>
      <c r="J482">
        <f>IF($Q482="","",INDEX(상세표[기록 수],$Q482))</f>
        <v/>
      </c>
      <c r="K482" s="20">
        <f>IF($Q482="","",INDEX(상세표[블록 06~07시],$Q482))</f>
        <v/>
      </c>
      <c r="L482" s="20">
        <f>IF($Q482="","",INDEX(상세표[블록 07~18시],$Q482))</f>
        <v/>
      </c>
      <c r="M482" s="20">
        <f>IF($Q482="","",INDEX(상세표[블록 18~22시],$Q482))</f>
        <v/>
      </c>
      <c r="N482" s="20">
        <f>IF($Q482="","",INDEX(상세표[블록 22~06시],$Q482))</f>
        <v/>
      </c>
      <c r="O482">
        <f>IF($Q482="","",INDEX(상세표[주말·휴일 포함],$Q482)&amp;"")</f>
        <v/>
      </c>
      <c r="P482">
        <f>IF($Q482="","",INDEX(상세표[월 넘김 포함],$Q482)&amp;"")</f>
        <v/>
      </c>
      <c r="Q482" s="4">
        <f>IFERROR(MATCH(477,상세표[연속순번],0),"")</f>
        <v/>
      </c>
    </row>
    <row r="483">
      <c r="A483">
        <f>IF($Q483="","",INDEX(상세표[부서],$Q483)&amp;"")</f>
        <v/>
      </c>
      <c r="B483">
        <f>IF($Q483="","",INDEX(상세표[사번],$Q483)&amp;"")</f>
        <v/>
      </c>
      <c r="C483">
        <f>IF($Q483="","",INDEX(상세표[성명],$Q483)&amp;"")</f>
        <v/>
      </c>
      <c r="D483">
        <f>IF($Q483="","",INDEX(상세표[직위],$Q483)&amp;"")</f>
        <v/>
      </c>
      <c r="E483">
        <f>IF($Q483="","",IF(ISNUMBER(INDEX(상세표[근무일자],$Q483)),TEXT(INDEX(상세표[근무일자],$Q483),"yyyy-mm-dd"),INDEX(상세표[근무일자],$Q483)&amp;""))</f>
        <v/>
      </c>
      <c r="F483">
        <f>IF($Q483="","",IF(ISNUMBER(INDEX(상세표[시작],$Q483)),TEXT(INDEX(상세표[시작],$Q483),"yyyy-mm-dd hh:mm"),INDEX(상세표[시작],$Q483)&amp;""))</f>
        <v/>
      </c>
      <c r="G483">
        <f>IF($Q483="","",IF(ISNUMBER(INDEX(상세표[블록종료],$Q483)),TEXT(INDEX(상세표[블록종료],$Q483),"yyyy-mm-dd hh:mm"),INDEX(상세표[블록종료],$Q483)&amp;""))</f>
        <v/>
      </c>
      <c r="H483">
        <f>IF($Q483="","",CHOOSE(WEEKDAY(INDEX(상세표[시작],$Q483)),"일","월","화","수","목","금","토"))</f>
        <v/>
      </c>
      <c r="I483" s="20">
        <f>IF($Q483="","",INDEX(상세표[연속 시간],$Q483))</f>
        <v/>
      </c>
      <c r="J483">
        <f>IF($Q483="","",INDEX(상세표[기록 수],$Q483))</f>
        <v/>
      </c>
      <c r="K483" s="20">
        <f>IF($Q483="","",INDEX(상세표[블록 06~07시],$Q483))</f>
        <v/>
      </c>
      <c r="L483" s="20">
        <f>IF($Q483="","",INDEX(상세표[블록 07~18시],$Q483))</f>
        <v/>
      </c>
      <c r="M483" s="20">
        <f>IF($Q483="","",INDEX(상세표[블록 18~22시],$Q483))</f>
        <v/>
      </c>
      <c r="N483" s="20">
        <f>IF($Q483="","",INDEX(상세표[블록 22~06시],$Q483))</f>
        <v/>
      </c>
      <c r="O483">
        <f>IF($Q483="","",INDEX(상세표[주말·휴일 포함],$Q483)&amp;"")</f>
        <v/>
      </c>
      <c r="P483">
        <f>IF($Q483="","",INDEX(상세표[월 넘김 포함],$Q483)&amp;"")</f>
        <v/>
      </c>
      <c r="Q483" s="4">
        <f>IFERROR(MATCH(478,상세표[연속순번],0),"")</f>
        <v/>
      </c>
    </row>
    <row r="484">
      <c r="A484">
        <f>IF($Q484="","",INDEX(상세표[부서],$Q484)&amp;"")</f>
        <v/>
      </c>
      <c r="B484">
        <f>IF($Q484="","",INDEX(상세표[사번],$Q484)&amp;"")</f>
        <v/>
      </c>
      <c r="C484">
        <f>IF($Q484="","",INDEX(상세표[성명],$Q484)&amp;"")</f>
        <v/>
      </c>
      <c r="D484">
        <f>IF($Q484="","",INDEX(상세표[직위],$Q484)&amp;"")</f>
        <v/>
      </c>
      <c r="E484">
        <f>IF($Q484="","",IF(ISNUMBER(INDEX(상세표[근무일자],$Q484)),TEXT(INDEX(상세표[근무일자],$Q484),"yyyy-mm-dd"),INDEX(상세표[근무일자],$Q484)&amp;""))</f>
        <v/>
      </c>
      <c r="F484">
        <f>IF($Q484="","",IF(ISNUMBER(INDEX(상세표[시작],$Q484)),TEXT(INDEX(상세표[시작],$Q484),"yyyy-mm-dd hh:mm"),INDEX(상세표[시작],$Q484)&amp;""))</f>
        <v/>
      </c>
      <c r="G484">
        <f>IF($Q484="","",IF(ISNUMBER(INDEX(상세표[블록종료],$Q484)),TEXT(INDEX(상세표[블록종료],$Q484),"yyyy-mm-dd hh:mm"),INDEX(상세표[블록종료],$Q484)&amp;""))</f>
        <v/>
      </c>
      <c r="H484">
        <f>IF($Q484="","",CHOOSE(WEEKDAY(INDEX(상세표[시작],$Q484)),"일","월","화","수","목","금","토"))</f>
        <v/>
      </c>
      <c r="I484" s="20">
        <f>IF($Q484="","",INDEX(상세표[연속 시간],$Q484))</f>
        <v/>
      </c>
      <c r="J484">
        <f>IF($Q484="","",INDEX(상세표[기록 수],$Q484))</f>
        <v/>
      </c>
      <c r="K484" s="20">
        <f>IF($Q484="","",INDEX(상세표[블록 06~07시],$Q484))</f>
        <v/>
      </c>
      <c r="L484" s="20">
        <f>IF($Q484="","",INDEX(상세표[블록 07~18시],$Q484))</f>
        <v/>
      </c>
      <c r="M484" s="20">
        <f>IF($Q484="","",INDEX(상세표[블록 18~22시],$Q484))</f>
        <v/>
      </c>
      <c r="N484" s="20">
        <f>IF($Q484="","",INDEX(상세표[블록 22~06시],$Q484))</f>
        <v/>
      </c>
      <c r="O484">
        <f>IF($Q484="","",INDEX(상세표[주말·휴일 포함],$Q484)&amp;"")</f>
        <v/>
      </c>
      <c r="P484">
        <f>IF($Q484="","",INDEX(상세표[월 넘김 포함],$Q484)&amp;"")</f>
        <v/>
      </c>
      <c r="Q484" s="4">
        <f>IFERROR(MATCH(479,상세표[연속순번],0),"")</f>
        <v/>
      </c>
    </row>
    <row r="485">
      <c r="A485">
        <f>IF($Q485="","",INDEX(상세표[부서],$Q485)&amp;"")</f>
        <v/>
      </c>
      <c r="B485">
        <f>IF($Q485="","",INDEX(상세표[사번],$Q485)&amp;"")</f>
        <v/>
      </c>
      <c r="C485">
        <f>IF($Q485="","",INDEX(상세표[성명],$Q485)&amp;"")</f>
        <v/>
      </c>
      <c r="D485">
        <f>IF($Q485="","",INDEX(상세표[직위],$Q485)&amp;"")</f>
        <v/>
      </c>
      <c r="E485">
        <f>IF($Q485="","",IF(ISNUMBER(INDEX(상세표[근무일자],$Q485)),TEXT(INDEX(상세표[근무일자],$Q485),"yyyy-mm-dd"),INDEX(상세표[근무일자],$Q485)&amp;""))</f>
        <v/>
      </c>
      <c r="F485">
        <f>IF($Q485="","",IF(ISNUMBER(INDEX(상세표[시작],$Q485)),TEXT(INDEX(상세표[시작],$Q485),"yyyy-mm-dd hh:mm"),INDEX(상세표[시작],$Q485)&amp;""))</f>
        <v/>
      </c>
      <c r="G485">
        <f>IF($Q485="","",IF(ISNUMBER(INDEX(상세표[블록종료],$Q485)),TEXT(INDEX(상세표[블록종료],$Q485),"yyyy-mm-dd hh:mm"),INDEX(상세표[블록종료],$Q485)&amp;""))</f>
        <v/>
      </c>
      <c r="H485">
        <f>IF($Q485="","",CHOOSE(WEEKDAY(INDEX(상세표[시작],$Q485)),"일","월","화","수","목","금","토"))</f>
        <v/>
      </c>
      <c r="I485" s="20">
        <f>IF($Q485="","",INDEX(상세표[연속 시간],$Q485))</f>
        <v/>
      </c>
      <c r="J485">
        <f>IF($Q485="","",INDEX(상세표[기록 수],$Q485))</f>
        <v/>
      </c>
      <c r="K485" s="20">
        <f>IF($Q485="","",INDEX(상세표[블록 06~07시],$Q485))</f>
        <v/>
      </c>
      <c r="L485" s="20">
        <f>IF($Q485="","",INDEX(상세표[블록 07~18시],$Q485))</f>
        <v/>
      </c>
      <c r="M485" s="20">
        <f>IF($Q485="","",INDEX(상세표[블록 18~22시],$Q485))</f>
        <v/>
      </c>
      <c r="N485" s="20">
        <f>IF($Q485="","",INDEX(상세표[블록 22~06시],$Q485))</f>
        <v/>
      </c>
      <c r="O485">
        <f>IF($Q485="","",INDEX(상세표[주말·휴일 포함],$Q485)&amp;"")</f>
        <v/>
      </c>
      <c r="P485">
        <f>IF($Q485="","",INDEX(상세표[월 넘김 포함],$Q485)&amp;"")</f>
        <v/>
      </c>
      <c r="Q485" s="4">
        <f>IFERROR(MATCH(480,상세표[연속순번],0),"")</f>
        <v/>
      </c>
    </row>
    <row r="486">
      <c r="A486">
        <f>IF($Q486="","",INDEX(상세표[부서],$Q486)&amp;"")</f>
        <v/>
      </c>
      <c r="B486">
        <f>IF($Q486="","",INDEX(상세표[사번],$Q486)&amp;"")</f>
        <v/>
      </c>
      <c r="C486">
        <f>IF($Q486="","",INDEX(상세표[성명],$Q486)&amp;"")</f>
        <v/>
      </c>
      <c r="D486">
        <f>IF($Q486="","",INDEX(상세표[직위],$Q486)&amp;"")</f>
        <v/>
      </c>
      <c r="E486">
        <f>IF($Q486="","",IF(ISNUMBER(INDEX(상세표[근무일자],$Q486)),TEXT(INDEX(상세표[근무일자],$Q486),"yyyy-mm-dd"),INDEX(상세표[근무일자],$Q486)&amp;""))</f>
        <v/>
      </c>
      <c r="F486">
        <f>IF($Q486="","",IF(ISNUMBER(INDEX(상세표[시작],$Q486)),TEXT(INDEX(상세표[시작],$Q486),"yyyy-mm-dd hh:mm"),INDEX(상세표[시작],$Q486)&amp;""))</f>
        <v/>
      </c>
      <c r="G486">
        <f>IF($Q486="","",IF(ISNUMBER(INDEX(상세표[블록종료],$Q486)),TEXT(INDEX(상세표[블록종료],$Q486),"yyyy-mm-dd hh:mm"),INDEX(상세표[블록종료],$Q486)&amp;""))</f>
        <v/>
      </c>
      <c r="H486">
        <f>IF($Q486="","",CHOOSE(WEEKDAY(INDEX(상세표[시작],$Q486)),"일","월","화","수","목","금","토"))</f>
        <v/>
      </c>
      <c r="I486" s="20">
        <f>IF($Q486="","",INDEX(상세표[연속 시간],$Q486))</f>
        <v/>
      </c>
      <c r="J486">
        <f>IF($Q486="","",INDEX(상세표[기록 수],$Q486))</f>
        <v/>
      </c>
      <c r="K486" s="20">
        <f>IF($Q486="","",INDEX(상세표[블록 06~07시],$Q486))</f>
        <v/>
      </c>
      <c r="L486" s="20">
        <f>IF($Q486="","",INDEX(상세표[블록 07~18시],$Q486))</f>
        <v/>
      </c>
      <c r="M486" s="20">
        <f>IF($Q486="","",INDEX(상세표[블록 18~22시],$Q486))</f>
        <v/>
      </c>
      <c r="N486" s="20">
        <f>IF($Q486="","",INDEX(상세표[블록 22~06시],$Q486))</f>
        <v/>
      </c>
      <c r="O486">
        <f>IF($Q486="","",INDEX(상세표[주말·휴일 포함],$Q486)&amp;"")</f>
        <v/>
      </c>
      <c r="P486">
        <f>IF($Q486="","",INDEX(상세표[월 넘김 포함],$Q486)&amp;"")</f>
        <v/>
      </c>
      <c r="Q486" s="4">
        <f>IFERROR(MATCH(481,상세표[연속순번],0),"")</f>
        <v/>
      </c>
    </row>
    <row r="487">
      <c r="A487">
        <f>IF($Q487="","",INDEX(상세표[부서],$Q487)&amp;"")</f>
        <v/>
      </c>
      <c r="B487">
        <f>IF($Q487="","",INDEX(상세표[사번],$Q487)&amp;"")</f>
        <v/>
      </c>
      <c r="C487">
        <f>IF($Q487="","",INDEX(상세표[성명],$Q487)&amp;"")</f>
        <v/>
      </c>
      <c r="D487">
        <f>IF($Q487="","",INDEX(상세표[직위],$Q487)&amp;"")</f>
        <v/>
      </c>
      <c r="E487">
        <f>IF($Q487="","",IF(ISNUMBER(INDEX(상세표[근무일자],$Q487)),TEXT(INDEX(상세표[근무일자],$Q487),"yyyy-mm-dd"),INDEX(상세표[근무일자],$Q487)&amp;""))</f>
        <v/>
      </c>
      <c r="F487">
        <f>IF($Q487="","",IF(ISNUMBER(INDEX(상세표[시작],$Q487)),TEXT(INDEX(상세표[시작],$Q487),"yyyy-mm-dd hh:mm"),INDEX(상세표[시작],$Q487)&amp;""))</f>
        <v/>
      </c>
      <c r="G487">
        <f>IF($Q487="","",IF(ISNUMBER(INDEX(상세표[블록종료],$Q487)),TEXT(INDEX(상세표[블록종료],$Q487),"yyyy-mm-dd hh:mm"),INDEX(상세표[블록종료],$Q487)&amp;""))</f>
        <v/>
      </c>
      <c r="H487">
        <f>IF($Q487="","",CHOOSE(WEEKDAY(INDEX(상세표[시작],$Q487)),"일","월","화","수","목","금","토"))</f>
        <v/>
      </c>
      <c r="I487" s="20">
        <f>IF($Q487="","",INDEX(상세표[연속 시간],$Q487))</f>
        <v/>
      </c>
      <c r="J487">
        <f>IF($Q487="","",INDEX(상세표[기록 수],$Q487))</f>
        <v/>
      </c>
      <c r="K487" s="20">
        <f>IF($Q487="","",INDEX(상세표[블록 06~07시],$Q487))</f>
        <v/>
      </c>
      <c r="L487" s="20">
        <f>IF($Q487="","",INDEX(상세표[블록 07~18시],$Q487))</f>
        <v/>
      </c>
      <c r="M487" s="20">
        <f>IF($Q487="","",INDEX(상세표[블록 18~22시],$Q487))</f>
        <v/>
      </c>
      <c r="N487" s="20">
        <f>IF($Q487="","",INDEX(상세표[블록 22~06시],$Q487))</f>
        <v/>
      </c>
      <c r="O487">
        <f>IF($Q487="","",INDEX(상세표[주말·휴일 포함],$Q487)&amp;"")</f>
        <v/>
      </c>
      <c r="P487">
        <f>IF($Q487="","",INDEX(상세표[월 넘김 포함],$Q487)&amp;"")</f>
        <v/>
      </c>
      <c r="Q487" s="4">
        <f>IFERROR(MATCH(482,상세표[연속순번],0),"")</f>
        <v/>
      </c>
    </row>
    <row r="488">
      <c r="A488">
        <f>IF($Q488="","",INDEX(상세표[부서],$Q488)&amp;"")</f>
        <v/>
      </c>
      <c r="B488">
        <f>IF($Q488="","",INDEX(상세표[사번],$Q488)&amp;"")</f>
        <v/>
      </c>
      <c r="C488">
        <f>IF($Q488="","",INDEX(상세표[성명],$Q488)&amp;"")</f>
        <v/>
      </c>
      <c r="D488">
        <f>IF($Q488="","",INDEX(상세표[직위],$Q488)&amp;"")</f>
        <v/>
      </c>
      <c r="E488">
        <f>IF($Q488="","",IF(ISNUMBER(INDEX(상세표[근무일자],$Q488)),TEXT(INDEX(상세표[근무일자],$Q488),"yyyy-mm-dd"),INDEX(상세표[근무일자],$Q488)&amp;""))</f>
        <v/>
      </c>
      <c r="F488">
        <f>IF($Q488="","",IF(ISNUMBER(INDEX(상세표[시작],$Q488)),TEXT(INDEX(상세표[시작],$Q488),"yyyy-mm-dd hh:mm"),INDEX(상세표[시작],$Q488)&amp;""))</f>
        <v/>
      </c>
      <c r="G488">
        <f>IF($Q488="","",IF(ISNUMBER(INDEX(상세표[블록종료],$Q488)),TEXT(INDEX(상세표[블록종료],$Q488),"yyyy-mm-dd hh:mm"),INDEX(상세표[블록종료],$Q488)&amp;""))</f>
        <v/>
      </c>
      <c r="H488">
        <f>IF($Q488="","",CHOOSE(WEEKDAY(INDEX(상세표[시작],$Q488)),"일","월","화","수","목","금","토"))</f>
        <v/>
      </c>
      <c r="I488" s="20">
        <f>IF($Q488="","",INDEX(상세표[연속 시간],$Q488))</f>
        <v/>
      </c>
      <c r="J488">
        <f>IF($Q488="","",INDEX(상세표[기록 수],$Q488))</f>
        <v/>
      </c>
      <c r="K488" s="20">
        <f>IF($Q488="","",INDEX(상세표[블록 06~07시],$Q488))</f>
        <v/>
      </c>
      <c r="L488" s="20">
        <f>IF($Q488="","",INDEX(상세표[블록 07~18시],$Q488))</f>
        <v/>
      </c>
      <c r="M488" s="20">
        <f>IF($Q488="","",INDEX(상세표[블록 18~22시],$Q488))</f>
        <v/>
      </c>
      <c r="N488" s="20">
        <f>IF($Q488="","",INDEX(상세표[블록 22~06시],$Q488))</f>
        <v/>
      </c>
      <c r="O488">
        <f>IF($Q488="","",INDEX(상세표[주말·휴일 포함],$Q488)&amp;"")</f>
        <v/>
      </c>
      <c r="P488">
        <f>IF($Q488="","",INDEX(상세표[월 넘김 포함],$Q488)&amp;"")</f>
        <v/>
      </c>
      <c r="Q488" s="4">
        <f>IFERROR(MATCH(483,상세표[연속순번],0),"")</f>
        <v/>
      </c>
    </row>
    <row r="489">
      <c r="A489">
        <f>IF($Q489="","",INDEX(상세표[부서],$Q489)&amp;"")</f>
        <v/>
      </c>
      <c r="B489">
        <f>IF($Q489="","",INDEX(상세표[사번],$Q489)&amp;"")</f>
        <v/>
      </c>
      <c r="C489">
        <f>IF($Q489="","",INDEX(상세표[성명],$Q489)&amp;"")</f>
        <v/>
      </c>
      <c r="D489">
        <f>IF($Q489="","",INDEX(상세표[직위],$Q489)&amp;"")</f>
        <v/>
      </c>
      <c r="E489">
        <f>IF($Q489="","",IF(ISNUMBER(INDEX(상세표[근무일자],$Q489)),TEXT(INDEX(상세표[근무일자],$Q489),"yyyy-mm-dd"),INDEX(상세표[근무일자],$Q489)&amp;""))</f>
        <v/>
      </c>
      <c r="F489">
        <f>IF($Q489="","",IF(ISNUMBER(INDEX(상세표[시작],$Q489)),TEXT(INDEX(상세표[시작],$Q489),"yyyy-mm-dd hh:mm"),INDEX(상세표[시작],$Q489)&amp;""))</f>
        <v/>
      </c>
      <c r="G489">
        <f>IF($Q489="","",IF(ISNUMBER(INDEX(상세표[블록종료],$Q489)),TEXT(INDEX(상세표[블록종료],$Q489),"yyyy-mm-dd hh:mm"),INDEX(상세표[블록종료],$Q489)&amp;""))</f>
        <v/>
      </c>
      <c r="H489">
        <f>IF($Q489="","",CHOOSE(WEEKDAY(INDEX(상세표[시작],$Q489)),"일","월","화","수","목","금","토"))</f>
        <v/>
      </c>
      <c r="I489" s="20">
        <f>IF($Q489="","",INDEX(상세표[연속 시간],$Q489))</f>
        <v/>
      </c>
      <c r="J489">
        <f>IF($Q489="","",INDEX(상세표[기록 수],$Q489))</f>
        <v/>
      </c>
      <c r="K489" s="20">
        <f>IF($Q489="","",INDEX(상세표[블록 06~07시],$Q489))</f>
        <v/>
      </c>
      <c r="L489" s="20">
        <f>IF($Q489="","",INDEX(상세표[블록 07~18시],$Q489))</f>
        <v/>
      </c>
      <c r="M489" s="20">
        <f>IF($Q489="","",INDEX(상세표[블록 18~22시],$Q489))</f>
        <v/>
      </c>
      <c r="N489" s="20">
        <f>IF($Q489="","",INDEX(상세표[블록 22~06시],$Q489))</f>
        <v/>
      </c>
      <c r="O489">
        <f>IF($Q489="","",INDEX(상세표[주말·휴일 포함],$Q489)&amp;"")</f>
        <v/>
      </c>
      <c r="P489">
        <f>IF($Q489="","",INDEX(상세표[월 넘김 포함],$Q489)&amp;"")</f>
        <v/>
      </c>
      <c r="Q489" s="4">
        <f>IFERROR(MATCH(484,상세표[연속순번],0),"")</f>
        <v/>
      </c>
    </row>
    <row r="490">
      <c r="A490">
        <f>IF($Q490="","",INDEX(상세표[부서],$Q490)&amp;"")</f>
        <v/>
      </c>
      <c r="B490">
        <f>IF($Q490="","",INDEX(상세표[사번],$Q490)&amp;"")</f>
        <v/>
      </c>
      <c r="C490">
        <f>IF($Q490="","",INDEX(상세표[성명],$Q490)&amp;"")</f>
        <v/>
      </c>
      <c r="D490">
        <f>IF($Q490="","",INDEX(상세표[직위],$Q490)&amp;"")</f>
        <v/>
      </c>
      <c r="E490">
        <f>IF($Q490="","",IF(ISNUMBER(INDEX(상세표[근무일자],$Q490)),TEXT(INDEX(상세표[근무일자],$Q490),"yyyy-mm-dd"),INDEX(상세표[근무일자],$Q490)&amp;""))</f>
        <v/>
      </c>
      <c r="F490">
        <f>IF($Q490="","",IF(ISNUMBER(INDEX(상세표[시작],$Q490)),TEXT(INDEX(상세표[시작],$Q490),"yyyy-mm-dd hh:mm"),INDEX(상세표[시작],$Q490)&amp;""))</f>
        <v/>
      </c>
      <c r="G490">
        <f>IF($Q490="","",IF(ISNUMBER(INDEX(상세표[블록종료],$Q490)),TEXT(INDEX(상세표[블록종료],$Q490),"yyyy-mm-dd hh:mm"),INDEX(상세표[블록종료],$Q490)&amp;""))</f>
        <v/>
      </c>
      <c r="H490">
        <f>IF($Q490="","",CHOOSE(WEEKDAY(INDEX(상세표[시작],$Q490)),"일","월","화","수","목","금","토"))</f>
        <v/>
      </c>
      <c r="I490" s="20">
        <f>IF($Q490="","",INDEX(상세표[연속 시간],$Q490))</f>
        <v/>
      </c>
      <c r="J490">
        <f>IF($Q490="","",INDEX(상세표[기록 수],$Q490))</f>
        <v/>
      </c>
      <c r="K490" s="20">
        <f>IF($Q490="","",INDEX(상세표[블록 06~07시],$Q490))</f>
        <v/>
      </c>
      <c r="L490" s="20">
        <f>IF($Q490="","",INDEX(상세표[블록 07~18시],$Q490))</f>
        <v/>
      </c>
      <c r="M490" s="20">
        <f>IF($Q490="","",INDEX(상세표[블록 18~22시],$Q490))</f>
        <v/>
      </c>
      <c r="N490" s="20">
        <f>IF($Q490="","",INDEX(상세표[블록 22~06시],$Q490))</f>
        <v/>
      </c>
      <c r="O490">
        <f>IF($Q490="","",INDEX(상세표[주말·휴일 포함],$Q490)&amp;"")</f>
        <v/>
      </c>
      <c r="P490">
        <f>IF($Q490="","",INDEX(상세표[월 넘김 포함],$Q490)&amp;"")</f>
        <v/>
      </c>
      <c r="Q490" s="4">
        <f>IFERROR(MATCH(485,상세표[연속순번],0),"")</f>
        <v/>
      </c>
    </row>
    <row r="491">
      <c r="A491">
        <f>IF($Q491="","",INDEX(상세표[부서],$Q491)&amp;"")</f>
        <v/>
      </c>
      <c r="B491">
        <f>IF($Q491="","",INDEX(상세표[사번],$Q491)&amp;"")</f>
        <v/>
      </c>
      <c r="C491">
        <f>IF($Q491="","",INDEX(상세표[성명],$Q491)&amp;"")</f>
        <v/>
      </c>
      <c r="D491">
        <f>IF($Q491="","",INDEX(상세표[직위],$Q491)&amp;"")</f>
        <v/>
      </c>
      <c r="E491">
        <f>IF($Q491="","",IF(ISNUMBER(INDEX(상세표[근무일자],$Q491)),TEXT(INDEX(상세표[근무일자],$Q491),"yyyy-mm-dd"),INDEX(상세표[근무일자],$Q491)&amp;""))</f>
        <v/>
      </c>
      <c r="F491">
        <f>IF($Q491="","",IF(ISNUMBER(INDEX(상세표[시작],$Q491)),TEXT(INDEX(상세표[시작],$Q491),"yyyy-mm-dd hh:mm"),INDEX(상세표[시작],$Q491)&amp;""))</f>
        <v/>
      </c>
      <c r="G491">
        <f>IF($Q491="","",IF(ISNUMBER(INDEX(상세표[블록종료],$Q491)),TEXT(INDEX(상세표[블록종료],$Q491),"yyyy-mm-dd hh:mm"),INDEX(상세표[블록종료],$Q491)&amp;""))</f>
        <v/>
      </c>
      <c r="H491">
        <f>IF($Q491="","",CHOOSE(WEEKDAY(INDEX(상세표[시작],$Q491)),"일","월","화","수","목","금","토"))</f>
        <v/>
      </c>
      <c r="I491" s="20">
        <f>IF($Q491="","",INDEX(상세표[연속 시간],$Q491))</f>
        <v/>
      </c>
      <c r="J491">
        <f>IF($Q491="","",INDEX(상세표[기록 수],$Q491))</f>
        <v/>
      </c>
      <c r="K491" s="20">
        <f>IF($Q491="","",INDEX(상세표[블록 06~07시],$Q491))</f>
        <v/>
      </c>
      <c r="L491" s="20">
        <f>IF($Q491="","",INDEX(상세표[블록 07~18시],$Q491))</f>
        <v/>
      </c>
      <c r="M491" s="20">
        <f>IF($Q491="","",INDEX(상세표[블록 18~22시],$Q491))</f>
        <v/>
      </c>
      <c r="N491" s="20">
        <f>IF($Q491="","",INDEX(상세표[블록 22~06시],$Q491))</f>
        <v/>
      </c>
      <c r="O491">
        <f>IF($Q491="","",INDEX(상세표[주말·휴일 포함],$Q491)&amp;"")</f>
        <v/>
      </c>
      <c r="P491">
        <f>IF($Q491="","",INDEX(상세표[월 넘김 포함],$Q491)&amp;"")</f>
        <v/>
      </c>
      <c r="Q491" s="4">
        <f>IFERROR(MATCH(486,상세표[연속순번],0),"")</f>
        <v/>
      </c>
    </row>
    <row r="492">
      <c r="A492">
        <f>IF($Q492="","",INDEX(상세표[부서],$Q492)&amp;"")</f>
        <v/>
      </c>
      <c r="B492">
        <f>IF($Q492="","",INDEX(상세표[사번],$Q492)&amp;"")</f>
        <v/>
      </c>
      <c r="C492">
        <f>IF($Q492="","",INDEX(상세표[성명],$Q492)&amp;"")</f>
        <v/>
      </c>
      <c r="D492">
        <f>IF($Q492="","",INDEX(상세표[직위],$Q492)&amp;"")</f>
        <v/>
      </c>
      <c r="E492">
        <f>IF($Q492="","",IF(ISNUMBER(INDEX(상세표[근무일자],$Q492)),TEXT(INDEX(상세표[근무일자],$Q492),"yyyy-mm-dd"),INDEX(상세표[근무일자],$Q492)&amp;""))</f>
        <v/>
      </c>
      <c r="F492">
        <f>IF($Q492="","",IF(ISNUMBER(INDEX(상세표[시작],$Q492)),TEXT(INDEX(상세표[시작],$Q492),"yyyy-mm-dd hh:mm"),INDEX(상세표[시작],$Q492)&amp;""))</f>
        <v/>
      </c>
      <c r="G492">
        <f>IF($Q492="","",IF(ISNUMBER(INDEX(상세표[블록종료],$Q492)),TEXT(INDEX(상세표[블록종료],$Q492),"yyyy-mm-dd hh:mm"),INDEX(상세표[블록종료],$Q492)&amp;""))</f>
        <v/>
      </c>
      <c r="H492">
        <f>IF($Q492="","",CHOOSE(WEEKDAY(INDEX(상세표[시작],$Q492)),"일","월","화","수","목","금","토"))</f>
        <v/>
      </c>
      <c r="I492" s="20">
        <f>IF($Q492="","",INDEX(상세표[연속 시간],$Q492))</f>
        <v/>
      </c>
      <c r="J492">
        <f>IF($Q492="","",INDEX(상세표[기록 수],$Q492))</f>
        <v/>
      </c>
      <c r="K492" s="20">
        <f>IF($Q492="","",INDEX(상세표[블록 06~07시],$Q492))</f>
        <v/>
      </c>
      <c r="L492" s="20">
        <f>IF($Q492="","",INDEX(상세표[블록 07~18시],$Q492))</f>
        <v/>
      </c>
      <c r="M492" s="20">
        <f>IF($Q492="","",INDEX(상세표[블록 18~22시],$Q492))</f>
        <v/>
      </c>
      <c r="N492" s="20">
        <f>IF($Q492="","",INDEX(상세표[블록 22~06시],$Q492))</f>
        <v/>
      </c>
      <c r="O492">
        <f>IF($Q492="","",INDEX(상세표[주말·휴일 포함],$Q492)&amp;"")</f>
        <v/>
      </c>
      <c r="P492">
        <f>IF($Q492="","",INDEX(상세표[월 넘김 포함],$Q492)&amp;"")</f>
        <v/>
      </c>
      <c r="Q492" s="4">
        <f>IFERROR(MATCH(487,상세표[연속순번],0),"")</f>
        <v/>
      </c>
    </row>
    <row r="493">
      <c r="A493">
        <f>IF($Q493="","",INDEX(상세표[부서],$Q493)&amp;"")</f>
        <v/>
      </c>
      <c r="B493">
        <f>IF($Q493="","",INDEX(상세표[사번],$Q493)&amp;"")</f>
        <v/>
      </c>
      <c r="C493">
        <f>IF($Q493="","",INDEX(상세표[성명],$Q493)&amp;"")</f>
        <v/>
      </c>
      <c r="D493">
        <f>IF($Q493="","",INDEX(상세표[직위],$Q493)&amp;"")</f>
        <v/>
      </c>
      <c r="E493">
        <f>IF($Q493="","",IF(ISNUMBER(INDEX(상세표[근무일자],$Q493)),TEXT(INDEX(상세표[근무일자],$Q493),"yyyy-mm-dd"),INDEX(상세표[근무일자],$Q493)&amp;""))</f>
        <v/>
      </c>
      <c r="F493">
        <f>IF($Q493="","",IF(ISNUMBER(INDEX(상세표[시작],$Q493)),TEXT(INDEX(상세표[시작],$Q493),"yyyy-mm-dd hh:mm"),INDEX(상세표[시작],$Q493)&amp;""))</f>
        <v/>
      </c>
      <c r="G493">
        <f>IF($Q493="","",IF(ISNUMBER(INDEX(상세표[블록종료],$Q493)),TEXT(INDEX(상세표[블록종료],$Q493),"yyyy-mm-dd hh:mm"),INDEX(상세표[블록종료],$Q493)&amp;""))</f>
        <v/>
      </c>
      <c r="H493">
        <f>IF($Q493="","",CHOOSE(WEEKDAY(INDEX(상세표[시작],$Q493)),"일","월","화","수","목","금","토"))</f>
        <v/>
      </c>
      <c r="I493" s="20">
        <f>IF($Q493="","",INDEX(상세표[연속 시간],$Q493))</f>
        <v/>
      </c>
      <c r="J493">
        <f>IF($Q493="","",INDEX(상세표[기록 수],$Q493))</f>
        <v/>
      </c>
      <c r="K493" s="20">
        <f>IF($Q493="","",INDEX(상세표[블록 06~07시],$Q493))</f>
        <v/>
      </c>
      <c r="L493" s="20">
        <f>IF($Q493="","",INDEX(상세표[블록 07~18시],$Q493))</f>
        <v/>
      </c>
      <c r="M493" s="20">
        <f>IF($Q493="","",INDEX(상세표[블록 18~22시],$Q493))</f>
        <v/>
      </c>
      <c r="N493" s="20">
        <f>IF($Q493="","",INDEX(상세표[블록 22~06시],$Q493))</f>
        <v/>
      </c>
      <c r="O493">
        <f>IF($Q493="","",INDEX(상세표[주말·휴일 포함],$Q493)&amp;"")</f>
        <v/>
      </c>
      <c r="P493">
        <f>IF($Q493="","",INDEX(상세표[월 넘김 포함],$Q493)&amp;"")</f>
        <v/>
      </c>
      <c r="Q493" s="4">
        <f>IFERROR(MATCH(488,상세표[연속순번],0),"")</f>
        <v/>
      </c>
    </row>
    <row r="494">
      <c r="A494">
        <f>IF($Q494="","",INDEX(상세표[부서],$Q494)&amp;"")</f>
        <v/>
      </c>
      <c r="B494">
        <f>IF($Q494="","",INDEX(상세표[사번],$Q494)&amp;"")</f>
        <v/>
      </c>
      <c r="C494">
        <f>IF($Q494="","",INDEX(상세표[성명],$Q494)&amp;"")</f>
        <v/>
      </c>
      <c r="D494">
        <f>IF($Q494="","",INDEX(상세표[직위],$Q494)&amp;"")</f>
        <v/>
      </c>
      <c r="E494">
        <f>IF($Q494="","",IF(ISNUMBER(INDEX(상세표[근무일자],$Q494)),TEXT(INDEX(상세표[근무일자],$Q494),"yyyy-mm-dd"),INDEX(상세표[근무일자],$Q494)&amp;""))</f>
        <v/>
      </c>
      <c r="F494">
        <f>IF($Q494="","",IF(ISNUMBER(INDEX(상세표[시작],$Q494)),TEXT(INDEX(상세표[시작],$Q494),"yyyy-mm-dd hh:mm"),INDEX(상세표[시작],$Q494)&amp;""))</f>
        <v/>
      </c>
      <c r="G494">
        <f>IF($Q494="","",IF(ISNUMBER(INDEX(상세표[블록종료],$Q494)),TEXT(INDEX(상세표[블록종료],$Q494),"yyyy-mm-dd hh:mm"),INDEX(상세표[블록종료],$Q494)&amp;""))</f>
        <v/>
      </c>
      <c r="H494">
        <f>IF($Q494="","",CHOOSE(WEEKDAY(INDEX(상세표[시작],$Q494)),"일","월","화","수","목","금","토"))</f>
        <v/>
      </c>
      <c r="I494" s="20">
        <f>IF($Q494="","",INDEX(상세표[연속 시간],$Q494))</f>
        <v/>
      </c>
      <c r="J494">
        <f>IF($Q494="","",INDEX(상세표[기록 수],$Q494))</f>
        <v/>
      </c>
      <c r="K494" s="20">
        <f>IF($Q494="","",INDEX(상세표[블록 06~07시],$Q494))</f>
        <v/>
      </c>
      <c r="L494" s="20">
        <f>IF($Q494="","",INDEX(상세표[블록 07~18시],$Q494))</f>
        <v/>
      </c>
      <c r="M494" s="20">
        <f>IF($Q494="","",INDEX(상세표[블록 18~22시],$Q494))</f>
        <v/>
      </c>
      <c r="N494" s="20">
        <f>IF($Q494="","",INDEX(상세표[블록 22~06시],$Q494))</f>
        <v/>
      </c>
      <c r="O494">
        <f>IF($Q494="","",INDEX(상세표[주말·휴일 포함],$Q494)&amp;"")</f>
        <v/>
      </c>
      <c r="P494">
        <f>IF($Q494="","",INDEX(상세표[월 넘김 포함],$Q494)&amp;"")</f>
        <v/>
      </c>
      <c r="Q494" s="4">
        <f>IFERROR(MATCH(489,상세표[연속순번],0),"")</f>
        <v/>
      </c>
    </row>
    <row r="495">
      <c r="A495">
        <f>IF($Q495="","",INDEX(상세표[부서],$Q495)&amp;"")</f>
        <v/>
      </c>
      <c r="B495">
        <f>IF($Q495="","",INDEX(상세표[사번],$Q495)&amp;"")</f>
        <v/>
      </c>
      <c r="C495">
        <f>IF($Q495="","",INDEX(상세표[성명],$Q495)&amp;"")</f>
        <v/>
      </c>
      <c r="D495">
        <f>IF($Q495="","",INDEX(상세표[직위],$Q495)&amp;"")</f>
        <v/>
      </c>
      <c r="E495">
        <f>IF($Q495="","",IF(ISNUMBER(INDEX(상세표[근무일자],$Q495)),TEXT(INDEX(상세표[근무일자],$Q495),"yyyy-mm-dd"),INDEX(상세표[근무일자],$Q495)&amp;""))</f>
        <v/>
      </c>
      <c r="F495">
        <f>IF($Q495="","",IF(ISNUMBER(INDEX(상세표[시작],$Q495)),TEXT(INDEX(상세표[시작],$Q495),"yyyy-mm-dd hh:mm"),INDEX(상세표[시작],$Q495)&amp;""))</f>
        <v/>
      </c>
      <c r="G495">
        <f>IF($Q495="","",IF(ISNUMBER(INDEX(상세표[블록종료],$Q495)),TEXT(INDEX(상세표[블록종료],$Q495),"yyyy-mm-dd hh:mm"),INDEX(상세표[블록종료],$Q495)&amp;""))</f>
        <v/>
      </c>
      <c r="H495">
        <f>IF($Q495="","",CHOOSE(WEEKDAY(INDEX(상세표[시작],$Q495)),"일","월","화","수","목","금","토"))</f>
        <v/>
      </c>
      <c r="I495" s="20">
        <f>IF($Q495="","",INDEX(상세표[연속 시간],$Q495))</f>
        <v/>
      </c>
      <c r="J495">
        <f>IF($Q495="","",INDEX(상세표[기록 수],$Q495))</f>
        <v/>
      </c>
      <c r="K495" s="20">
        <f>IF($Q495="","",INDEX(상세표[블록 06~07시],$Q495))</f>
        <v/>
      </c>
      <c r="L495" s="20">
        <f>IF($Q495="","",INDEX(상세표[블록 07~18시],$Q495))</f>
        <v/>
      </c>
      <c r="M495" s="20">
        <f>IF($Q495="","",INDEX(상세표[블록 18~22시],$Q495))</f>
        <v/>
      </c>
      <c r="N495" s="20">
        <f>IF($Q495="","",INDEX(상세표[블록 22~06시],$Q495))</f>
        <v/>
      </c>
      <c r="O495">
        <f>IF($Q495="","",INDEX(상세표[주말·휴일 포함],$Q495)&amp;"")</f>
        <v/>
      </c>
      <c r="P495">
        <f>IF($Q495="","",INDEX(상세표[월 넘김 포함],$Q495)&amp;"")</f>
        <v/>
      </c>
      <c r="Q495" s="4">
        <f>IFERROR(MATCH(490,상세표[연속순번],0),"")</f>
        <v/>
      </c>
    </row>
    <row r="496">
      <c r="A496">
        <f>IF($Q496="","",INDEX(상세표[부서],$Q496)&amp;"")</f>
        <v/>
      </c>
      <c r="B496">
        <f>IF($Q496="","",INDEX(상세표[사번],$Q496)&amp;"")</f>
        <v/>
      </c>
      <c r="C496">
        <f>IF($Q496="","",INDEX(상세표[성명],$Q496)&amp;"")</f>
        <v/>
      </c>
      <c r="D496">
        <f>IF($Q496="","",INDEX(상세표[직위],$Q496)&amp;"")</f>
        <v/>
      </c>
      <c r="E496">
        <f>IF($Q496="","",IF(ISNUMBER(INDEX(상세표[근무일자],$Q496)),TEXT(INDEX(상세표[근무일자],$Q496),"yyyy-mm-dd"),INDEX(상세표[근무일자],$Q496)&amp;""))</f>
        <v/>
      </c>
      <c r="F496">
        <f>IF($Q496="","",IF(ISNUMBER(INDEX(상세표[시작],$Q496)),TEXT(INDEX(상세표[시작],$Q496),"yyyy-mm-dd hh:mm"),INDEX(상세표[시작],$Q496)&amp;""))</f>
        <v/>
      </c>
      <c r="G496">
        <f>IF($Q496="","",IF(ISNUMBER(INDEX(상세표[블록종료],$Q496)),TEXT(INDEX(상세표[블록종료],$Q496),"yyyy-mm-dd hh:mm"),INDEX(상세표[블록종료],$Q496)&amp;""))</f>
        <v/>
      </c>
      <c r="H496">
        <f>IF($Q496="","",CHOOSE(WEEKDAY(INDEX(상세표[시작],$Q496)),"일","월","화","수","목","금","토"))</f>
        <v/>
      </c>
      <c r="I496" s="20">
        <f>IF($Q496="","",INDEX(상세표[연속 시간],$Q496))</f>
        <v/>
      </c>
      <c r="J496">
        <f>IF($Q496="","",INDEX(상세표[기록 수],$Q496))</f>
        <v/>
      </c>
      <c r="K496" s="20">
        <f>IF($Q496="","",INDEX(상세표[블록 06~07시],$Q496))</f>
        <v/>
      </c>
      <c r="L496" s="20">
        <f>IF($Q496="","",INDEX(상세표[블록 07~18시],$Q496))</f>
        <v/>
      </c>
      <c r="M496" s="20">
        <f>IF($Q496="","",INDEX(상세표[블록 18~22시],$Q496))</f>
        <v/>
      </c>
      <c r="N496" s="20">
        <f>IF($Q496="","",INDEX(상세표[블록 22~06시],$Q496))</f>
        <v/>
      </c>
      <c r="O496">
        <f>IF($Q496="","",INDEX(상세표[주말·휴일 포함],$Q496)&amp;"")</f>
        <v/>
      </c>
      <c r="P496">
        <f>IF($Q496="","",INDEX(상세표[월 넘김 포함],$Q496)&amp;"")</f>
        <v/>
      </c>
      <c r="Q496" s="4">
        <f>IFERROR(MATCH(491,상세표[연속순번],0),"")</f>
        <v/>
      </c>
    </row>
    <row r="497">
      <c r="A497">
        <f>IF($Q497="","",INDEX(상세표[부서],$Q497)&amp;"")</f>
        <v/>
      </c>
      <c r="B497">
        <f>IF($Q497="","",INDEX(상세표[사번],$Q497)&amp;"")</f>
        <v/>
      </c>
      <c r="C497">
        <f>IF($Q497="","",INDEX(상세표[성명],$Q497)&amp;"")</f>
        <v/>
      </c>
      <c r="D497">
        <f>IF($Q497="","",INDEX(상세표[직위],$Q497)&amp;"")</f>
        <v/>
      </c>
      <c r="E497">
        <f>IF($Q497="","",IF(ISNUMBER(INDEX(상세표[근무일자],$Q497)),TEXT(INDEX(상세표[근무일자],$Q497),"yyyy-mm-dd"),INDEX(상세표[근무일자],$Q497)&amp;""))</f>
        <v/>
      </c>
      <c r="F497">
        <f>IF($Q497="","",IF(ISNUMBER(INDEX(상세표[시작],$Q497)),TEXT(INDEX(상세표[시작],$Q497),"yyyy-mm-dd hh:mm"),INDEX(상세표[시작],$Q497)&amp;""))</f>
        <v/>
      </c>
      <c r="G497">
        <f>IF($Q497="","",IF(ISNUMBER(INDEX(상세표[블록종료],$Q497)),TEXT(INDEX(상세표[블록종료],$Q497),"yyyy-mm-dd hh:mm"),INDEX(상세표[블록종료],$Q497)&amp;""))</f>
        <v/>
      </c>
      <c r="H497">
        <f>IF($Q497="","",CHOOSE(WEEKDAY(INDEX(상세표[시작],$Q497)),"일","월","화","수","목","금","토"))</f>
        <v/>
      </c>
      <c r="I497" s="20">
        <f>IF($Q497="","",INDEX(상세표[연속 시간],$Q497))</f>
        <v/>
      </c>
      <c r="J497">
        <f>IF($Q497="","",INDEX(상세표[기록 수],$Q497))</f>
        <v/>
      </c>
      <c r="K497" s="20">
        <f>IF($Q497="","",INDEX(상세표[블록 06~07시],$Q497))</f>
        <v/>
      </c>
      <c r="L497" s="20">
        <f>IF($Q497="","",INDEX(상세표[블록 07~18시],$Q497))</f>
        <v/>
      </c>
      <c r="M497" s="20">
        <f>IF($Q497="","",INDEX(상세표[블록 18~22시],$Q497))</f>
        <v/>
      </c>
      <c r="N497" s="20">
        <f>IF($Q497="","",INDEX(상세표[블록 22~06시],$Q497))</f>
        <v/>
      </c>
      <c r="O497">
        <f>IF($Q497="","",INDEX(상세표[주말·휴일 포함],$Q497)&amp;"")</f>
        <v/>
      </c>
      <c r="P497">
        <f>IF($Q497="","",INDEX(상세표[월 넘김 포함],$Q497)&amp;"")</f>
        <v/>
      </c>
      <c r="Q497" s="4">
        <f>IFERROR(MATCH(492,상세표[연속순번],0),"")</f>
        <v/>
      </c>
    </row>
    <row r="498">
      <c r="A498">
        <f>IF($Q498="","",INDEX(상세표[부서],$Q498)&amp;"")</f>
        <v/>
      </c>
      <c r="B498">
        <f>IF($Q498="","",INDEX(상세표[사번],$Q498)&amp;"")</f>
        <v/>
      </c>
      <c r="C498">
        <f>IF($Q498="","",INDEX(상세표[성명],$Q498)&amp;"")</f>
        <v/>
      </c>
      <c r="D498">
        <f>IF($Q498="","",INDEX(상세표[직위],$Q498)&amp;"")</f>
        <v/>
      </c>
      <c r="E498">
        <f>IF($Q498="","",IF(ISNUMBER(INDEX(상세표[근무일자],$Q498)),TEXT(INDEX(상세표[근무일자],$Q498),"yyyy-mm-dd"),INDEX(상세표[근무일자],$Q498)&amp;""))</f>
        <v/>
      </c>
      <c r="F498">
        <f>IF($Q498="","",IF(ISNUMBER(INDEX(상세표[시작],$Q498)),TEXT(INDEX(상세표[시작],$Q498),"yyyy-mm-dd hh:mm"),INDEX(상세표[시작],$Q498)&amp;""))</f>
        <v/>
      </c>
      <c r="G498">
        <f>IF($Q498="","",IF(ISNUMBER(INDEX(상세표[블록종료],$Q498)),TEXT(INDEX(상세표[블록종료],$Q498),"yyyy-mm-dd hh:mm"),INDEX(상세표[블록종료],$Q498)&amp;""))</f>
        <v/>
      </c>
      <c r="H498">
        <f>IF($Q498="","",CHOOSE(WEEKDAY(INDEX(상세표[시작],$Q498)),"일","월","화","수","목","금","토"))</f>
        <v/>
      </c>
      <c r="I498" s="20">
        <f>IF($Q498="","",INDEX(상세표[연속 시간],$Q498))</f>
        <v/>
      </c>
      <c r="J498">
        <f>IF($Q498="","",INDEX(상세표[기록 수],$Q498))</f>
        <v/>
      </c>
      <c r="K498" s="20">
        <f>IF($Q498="","",INDEX(상세표[블록 06~07시],$Q498))</f>
        <v/>
      </c>
      <c r="L498" s="20">
        <f>IF($Q498="","",INDEX(상세표[블록 07~18시],$Q498))</f>
        <v/>
      </c>
      <c r="M498" s="20">
        <f>IF($Q498="","",INDEX(상세표[블록 18~22시],$Q498))</f>
        <v/>
      </c>
      <c r="N498" s="20">
        <f>IF($Q498="","",INDEX(상세표[블록 22~06시],$Q498))</f>
        <v/>
      </c>
      <c r="O498">
        <f>IF($Q498="","",INDEX(상세표[주말·휴일 포함],$Q498)&amp;"")</f>
        <v/>
      </c>
      <c r="P498">
        <f>IF($Q498="","",INDEX(상세표[월 넘김 포함],$Q498)&amp;"")</f>
        <v/>
      </c>
      <c r="Q498" s="4">
        <f>IFERROR(MATCH(493,상세표[연속순번],0),"")</f>
        <v/>
      </c>
    </row>
    <row r="499">
      <c r="A499">
        <f>IF($Q499="","",INDEX(상세표[부서],$Q499)&amp;"")</f>
        <v/>
      </c>
      <c r="B499">
        <f>IF($Q499="","",INDEX(상세표[사번],$Q499)&amp;"")</f>
        <v/>
      </c>
      <c r="C499">
        <f>IF($Q499="","",INDEX(상세표[성명],$Q499)&amp;"")</f>
        <v/>
      </c>
      <c r="D499">
        <f>IF($Q499="","",INDEX(상세표[직위],$Q499)&amp;"")</f>
        <v/>
      </c>
      <c r="E499">
        <f>IF($Q499="","",IF(ISNUMBER(INDEX(상세표[근무일자],$Q499)),TEXT(INDEX(상세표[근무일자],$Q499),"yyyy-mm-dd"),INDEX(상세표[근무일자],$Q499)&amp;""))</f>
        <v/>
      </c>
      <c r="F499">
        <f>IF($Q499="","",IF(ISNUMBER(INDEX(상세표[시작],$Q499)),TEXT(INDEX(상세표[시작],$Q499),"yyyy-mm-dd hh:mm"),INDEX(상세표[시작],$Q499)&amp;""))</f>
        <v/>
      </c>
      <c r="G499">
        <f>IF($Q499="","",IF(ISNUMBER(INDEX(상세표[블록종료],$Q499)),TEXT(INDEX(상세표[블록종료],$Q499),"yyyy-mm-dd hh:mm"),INDEX(상세표[블록종료],$Q499)&amp;""))</f>
        <v/>
      </c>
      <c r="H499">
        <f>IF($Q499="","",CHOOSE(WEEKDAY(INDEX(상세표[시작],$Q499)),"일","월","화","수","목","금","토"))</f>
        <v/>
      </c>
      <c r="I499" s="20">
        <f>IF($Q499="","",INDEX(상세표[연속 시간],$Q499))</f>
        <v/>
      </c>
      <c r="J499">
        <f>IF($Q499="","",INDEX(상세표[기록 수],$Q499))</f>
        <v/>
      </c>
      <c r="K499" s="20">
        <f>IF($Q499="","",INDEX(상세표[블록 06~07시],$Q499))</f>
        <v/>
      </c>
      <c r="L499" s="20">
        <f>IF($Q499="","",INDEX(상세표[블록 07~18시],$Q499))</f>
        <v/>
      </c>
      <c r="M499" s="20">
        <f>IF($Q499="","",INDEX(상세표[블록 18~22시],$Q499))</f>
        <v/>
      </c>
      <c r="N499" s="20">
        <f>IF($Q499="","",INDEX(상세표[블록 22~06시],$Q499))</f>
        <v/>
      </c>
      <c r="O499">
        <f>IF($Q499="","",INDEX(상세표[주말·휴일 포함],$Q499)&amp;"")</f>
        <v/>
      </c>
      <c r="P499">
        <f>IF($Q499="","",INDEX(상세표[월 넘김 포함],$Q499)&amp;"")</f>
        <v/>
      </c>
      <c r="Q499" s="4">
        <f>IFERROR(MATCH(494,상세표[연속순번],0),"")</f>
        <v/>
      </c>
    </row>
    <row r="500">
      <c r="A500">
        <f>IF($Q500="","",INDEX(상세표[부서],$Q500)&amp;"")</f>
        <v/>
      </c>
      <c r="B500">
        <f>IF($Q500="","",INDEX(상세표[사번],$Q500)&amp;"")</f>
        <v/>
      </c>
      <c r="C500">
        <f>IF($Q500="","",INDEX(상세표[성명],$Q500)&amp;"")</f>
        <v/>
      </c>
      <c r="D500">
        <f>IF($Q500="","",INDEX(상세표[직위],$Q500)&amp;"")</f>
        <v/>
      </c>
      <c r="E500">
        <f>IF($Q500="","",IF(ISNUMBER(INDEX(상세표[근무일자],$Q500)),TEXT(INDEX(상세표[근무일자],$Q500),"yyyy-mm-dd"),INDEX(상세표[근무일자],$Q500)&amp;""))</f>
        <v/>
      </c>
      <c r="F500">
        <f>IF($Q500="","",IF(ISNUMBER(INDEX(상세표[시작],$Q500)),TEXT(INDEX(상세표[시작],$Q500),"yyyy-mm-dd hh:mm"),INDEX(상세표[시작],$Q500)&amp;""))</f>
        <v/>
      </c>
      <c r="G500">
        <f>IF($Q500="","",IF(ISNUMBER(INDEX(상세표[블록종료],$Q500)),TEXT(INDEX(상세표[블록종료],$Q500),"yyyy-mm-dd hh:mm"),INDEX(상세표[블록종료],$Q500)&amp;""))</f>
        <v/>
      </c>
      <c r="H500">
        <f>IF($Q500="","",CHOOSE(WEEKDAY(INDEX(상세표[시작],$Q500)),"일","월","화","수","목","금","토"))</f>
        <v/>
      </c>
      <c r="I500" s="20">
        <f>IF($Q500="","",INDEX(상세표[연속 시간],$Q500))</f>
        <v/>
      </c>
      <c r="J500">
        <f>IF($Q500="","",INDEX(상세표[기록 수],$Q500))</f>
        <v/>
      </c>
      <c r="K500" s="20">
        <f>IF($Q500="","",INDEX(상세표[블록 06~07시],$Q500))</f>
        <v/>
      </c>
      <c r="L500" s="20">
        <f>IF($Q500="","",INDEX(상세표[블록 07~18시],$Q500))</f>
        <v/>
      </c>
      <c r="M500" s="20">
        <f>IF($Q500="","",INDEX(상세표[블록 18~22시],$Q500))</f>
        <v/>
      </c>
      <c r="N500" s="20">
        <f>IF($Q500="","",INDEX(상세표[블록 22~06시],$Q500))</f>
        <v/>
      </c>
      <c r="O500">
        <f>IF($Q500="","",INDEX(상세표[주말·휴일 포함],$Q500)&amp;"")</f>
        <v/>
      </c>
      <c r="P500">
        <f>IF($Q500="","",INDEX(상세표[월 넘김 포함],$Q500)&amp;"")</f>
        <v/>
      </c>
      <c r="Q500" s="4">
        <f>IFERROR(MATCH(495,상세표[연속순번],0),"")</f>
        <v/>
      </c>
    </row>
    <row r="501">
      <c r="A501">
        <f>IF($Q501="","",INDEX(상세표[부서],$Q501)&amp;"")</f>
        <v/>
      </c>
      <c r="B501">
        <f>IF($Q501="","",INDEX(상세표[사번],$Q501)&amp;"")</f>
        <v/>
      </c>
      <c r="C501">
        <f>IF($Q501="","",INDEX(상세표[성명],$Q501)&amp;"")</f>
        <v/>
      </c>
      <c r="D501">
        <f>IF($Q501="","",INDEX(상세표[직위],$Q501)&amp;"")</f>
        <v/>
      </c>
      <c r="E501">
        <f>IF($Q501="","",IF(ISNUMBER(INDEX(상세표[근무일자],$Q501)),TEXT(INDEX(상세표[근무일자],$Q501),"yyyy-mm-dd"),INDEX(상세표[근무일자],$Q501)&amp;""))</f>
        <v/>
      </c>
      <c r="F501">
        <f>IF($Q501="","",IF(ISNUMBER(INDEX(상세표[시작],$Q501)),TEXT(INDEX(상세표[시작],$Q501),"yyyy-mm-dd hh:mm"),INDEX(상세표[시작],$Q501)&amp;""))</f>
        <v/>
      </c>
      <c r="G501">
        <f>IF($Q501="","",IF(ISNUMBER(INDEX(상세표[블록종료],$Q501)),TEXT(INDEX(상세표[블록종료],$Q501),"yyyy-mm-dd hh:mm"),INDEX(상세표[블록종료],$Q501)&amp;""))</f>
        <v/>
      </c>
      <c r="H501">
        <f>IF($Q501="","",CHOOSE(WEEKDAY(INDEX(상세표[시작],$Q501)),"일","월","화","수","목","금","토"))</f>
        <v/>
      </c>
      <c r="I501" s="20">
        <f>IF($Q501="","",INDEX(상세표[연속 시간],$Q501))</f>
        <v/>
      </c>
      <c r="J501">
        <f>IF($Q501="","",INDEX(상세표[기록 수],$Q501))</f>
        <v/>
      </c>
      <c r="K501" s="20">
        <f>IF($Q501="","",INDEX(상세표[블록 06~07시],$Q501))</f>
        <v/>
      </c>
      <c r="L501" s="20">
        <f>IF($Q501="","",INDEX(상세표[블록 07~18시],$Q501))</f>
        <v/>
      </c>
      <c r="M501" s="20">
        <f>IF($Q501="","",INDEX(상세표[블록 18~22시],$Q501))</f>
        <v/>
      </c>
      <c r="N501" s="20">
        <f>IF($Q501="","",INDEX(상세표[블록 22~06시],$Q501))</f>
        <v/>
      </c>
      <c r="O501">
        <f>IF($Q501="","",INDEX(상세표[주말·휴일 포함],$Q501)&amp;"")</f>
        <v/>
      </c>
      <c r="P501">
        <f>IF($Q501="","",INDEX(상세표[월 넘김 포함],$Q501)&amp;"")</f>
        <v/>
      </c>
      <c r="Q501" s="4">
        <f>IFERROR(MATCH(496,상세표[연속순번],0),"")</f>
        <v/>
      </c>
    </row>
    <row r="502">
      <c r="A502">
        <f>IF($Q502="","",INDEX(상세표[부서],$Q502)&amp;"")</f>
        <v/>
      </c>
      <c r="B502">
        <f>IF($Q502="","",INDEX(상세표[사번],$Q502)&amp;"")</f>
        <v/>
      </c>
      <c r="C502">
        <f>IF($Q502="","",INDEX(상세표[성명],$Q502)&amp;"")</f>
        <v/>
      </c>
      <c r="D502">
        <f>IF($Q502="","",INDEX(상세표[직위],$Q502)&amp;"")</f>
        <v/>
      </c>
      <c r="E502">
        <f>IF($Q502="","",IF(ISNUMBER(INDEX(상세표[근무일자],$Q502)),TEXT(INDEX(상세표[근무일자],$Q502),"yyyy-mm-dd"),INDEX(상세표[근무일자],$Q502)&amp;""))</f>
        <v/>
      </c>
      <c r="F502">
        <f>IF($Q502="","",IF(ISNUMBER(INDEX(상세표[시작],$Q502)),TEXT(INDEX(상세표[시작],$Q502),"yyyy-mm-dd hh:mm"),INDEX(상세표[시작],$Q502)&amp;""))</f>
        <v/>
      </c>
      <c r="G502">
        <f>IF($Q502="","",IF(ISNUMBER(INDEX(상세표[블록종료],$Q502)),TEXT(INDEX(상세표[블록종료],$Q502),"yyyy-mm-dd hh:mm"),INDEX(상세표[블록종료],$Q502)&amp;""))</f>
        <v/>
      </c>
      <c r="H502">
        <f>IF($Q502="","",CHOOSE(WEEKDAY(INDEX(상세표[시작],$Q502)),"일","월","화","수","목","금","토"))</f>
        <v/>
      </c>
      <c r="I502" s="20">
        <f>IF($Q502="","",INDEX(상세표[연속 시간],$Q502))</f>
        <v/>
      </c>
      <c r="J502">
        <f>IF($Q502="","",INDEX(상세표[기록 수],$Q502))</f>
        <v/>
      </c>
      <c r="K502" s="20">
        <f>IF($Q502="","",INDEX(상세표[블록 06~07시],$Q502))</f>
        <v/>
      </c>
      <c r="L502" s="20">
        <f>IF($Q502="","",INDEX(상세표[블록 07~18시],$Q502))</f>
        <v/>
      </c>
      <c r="M502" s="20">
        <f>IF($Q502="","",INDEX(상세표[블록 18~22시],$Q502))</f>
        <v/>
      </c>
      <c r="N502" s="20">
        <f>IF($Q502="","",INDEX(상세표[블록 22~06시],$Q502))</f>
        <v/>
      </c>
      <c r="O502">
        <f>IF($Q502="","",INDEX(상세표[주말·휴일 포함],$Q502)&amp;"")</f>
        <v/>
      </c>
      <c r="P502">
        <f>IF($Q502="","",INDEX(상세표[월 넘김 포함],$Q502)&amp;"")</f>
        <v/>
      </c>
      <c r="Q502" s="4">
        <f>IFERROR(MATCH(497,상세표[연속순번],0),"")</f>
        <v/>
      </c>
    </row>
    <row r="503">
      <c r="A503">
        <f>IF($Q503="","",INDEX(상세표[부서],$Q503)&amp;"")</f>
        <v/>
      </c>
      <c r="B503">
        <f>IF($Q503="","",INDEX(상세표[사번],$Q503)&amp;"")</f>
        <v/>
      </c>
      <c r="C503">
        <f>IF($Q503="","",INDEX(상세표[성명],$Q503)&amp;"")</f>
        <v/>
      </c>
      <c r="D503">
        <f>IF($Q503="","",INDEX(상세표[직위],$Q503)&amp;"")</f>
        <v/>
      </c>
      <c r="E503">
        <f>IF($Q503="","",IF(ISNUMBER(INDEX(상세표[근무일자],$Q503)),TEXT(INDEX(상세표[근무일자],$Q503),"yyyy-mm-dd"),INDEX(상세표[근무일자],$Q503)&amp;""))</f>
        <v/>
      </c>
      <c r="F503">
        <f>IF($Q503="","",IF(ISNUMBER(INDEX(상세표[시작],$Q503)),TEXT(INDEX(상세표[시작],$Q503),"yyyy-mm-dd hh:mm"),INDEX(상세표[시작],$Q503)&amp;""))</f>
        <v/>
      </c>
      <c r="G503">
        <f>IF($Q503="","",IF(ISNUMBER(INDEX(상세표[블록종료],$Q503)),TEXT(INDEX(상세표[블록종료],$Q503),"yyyy-mm-dd hh:mm"),INDEX(상세표[블록종료],$Q503)&amp;""))</f>
        <v/>
      </c>
      <c r="H503">
        <f>IF($Q503="","",CHOOSE(WEEKDAY(INDEX(상세표[시작],$Q503)),"일","월","화","수","목","금","토"))</f>
        <v/>
      </c>
      <c r="I503" s="20">
        <f>IF($Q503="","",INDEX(상세표[연속 시간],$Q503))</f>
        <v/>
      </c>
      <c r="J503">
        <f>IF($Q503="","",INDEX(상세표[기록 수],$Q503))</f>
        <v/>
      </c>
      <c r="K503" s="20">
        <f>IF($Q503="","",INDEX(상세표[블록 06~07시],$Q503))</f>
        <v/>
      </c>
      <c r="L503" s="20">
        <f>IF($Q503="","",INDEX(상세표[블록 07~18시],$Q503))</f>
        <v/>
      </c>
      <c r="M503" s="20">
        <f>IF($Q503="","",INDEX(상세표[블록 18~22시],$Q503))</f>
        <v/>
      </c>
      <c r="N503" s="20">
        <f>IF($Q503="","",INDEX(상세표[블록 22~06시],$Q503))</f>
        <v/>
      </c>
      <c r="O503">
        <f>IF($Q503="","",INDEX(상세표[주말·휴일 포함],$Q503)&amp;"")</f>
        <v/>
      </c>
      <c r="P503">
        <f>IF($Q503="","",INDEX(상세표[월 넘김 포함],$Q503)&amp;"")</f>
        <v/>
      </c>
      <c r="Q503" s="4">
        <f>IFERROR(MATCH(498,상세표[연속순번],0),"")</f>
        <v/>
      </c>
    </row>
    <row r="504">
      <c r="A504">
        <f>IF($Q504="","",INDEX(상세표[부서],$Q504)&amp;"")</f>
        <v/>
      </c>
      <c r="B504">
        <f>IF($Q504="","",INDEX(상세표[사번],$Q504)&amp;"")</f>
        <v/>
      </c>
      <c r="C504">
        <f>IF($Q504="","",INDEX(상세표[성명],$Q504)&amp;"")</f>
        <v/>
      </c>
      <c r="D504">
        <f>IF($Q504="","",INDEX(상세표[직위],$Q504)&amp;"")</f>
        <v/>
      </c>
      <c r="E504">
        <f>IF($Q504="","",IF(ISNUMBER(INDEX(상세표[근무일자],$Q504)),TEXT(INDEX(상세표[근무일자],$Q504),"yyyy-mm-dd"),INDEX(상세표[근무일자],$Q504)&amp;""))</f>
        <v/>
      </c>
      <c r="F504">
        <f>IF($Q504="","",IF(ISNUMBER(INDEX(상세표[시작],$Q504)),TEXT(INDEX(상세표[시작],$Q504),"yyyy-mm-dd hh:mm"),INDEX(상세표[시작],$Q504)&amp;""))</f>
        <v/>
      </c>
      <c r="G504">
        <f>IF($Q504="","",IF(ISNUMBER(INDEX(상세표[블록종료],$Q504)),TEXT(INDEX(상세표[블록종료],$Q504),"yyyy-mm-dd hh:mm"),INDEX(상세표[블록종료],$Q504)&amp;""))</f>
        <v/>
      </c>
      <c r="H504">
        <f>IF($Q504="","",CHOOSE(WEEKDAY(INDEX(상세표[시작],$Q504)),"일","월","화","수","목","금","토"))</f>
        <v/>
      </c>
      <c r="I504" s="20">
        <f>IF($Q504="","",INDEX(상세표[연속 시간],$Q504))</f>
        <v/>
      </c>
      <c r="J504">
        <f>IF($Q504="","",INDEX(상세표[기록 수],$Q504))</f>
        <v/>
      </c>
      <c r="K504" s="20">
        <f>IF($Q504="","",INDEX(상세표[블록 06~07시],$Q504))</f>
        <v/>
      </c>
      <c r="L504" s="20">
        <f>IF($Q504="","",INDEX(상세표[블록 07~18시],$Q504))</f>
        <v/>
      </c>
      <c r="M504" s="20">
        <f>IF($Q504="","",INDEX(상세표[블록 18~22시],$Q504))</f>
        <v/>
      </c>
      <c r="N504" s="20">
        <f>IF($Q504="","",INDEX(상세표[블록 22~06시],$Q504))</f>
        <v/>
      </c>
      <c r="O504">
        <f>IF($Q504="","",INDEX(상세표[주말·휴일 포함],$Q504)&amp;"")</f>
        <v/>
      </c>
      <c r="P504">
        <f>IF($Q504="","",INDEX(상세표[월 넘김 포함],$Q504)&amp;"")</f>
        <v/>
      </c>
      <c r="Q504" s="4">
        <f>IFERROR(MATCH(499,상세표[연속순번],0),"")</f>
        <v/>
      </c>
    </row>
    <row r="505">
      <c r="A505">
        <f>IF($Q505="","",INDEX(상세표[부서],$Q505)&amp;"")</f>
        <v/>
      </c>
      <c r="B505">
        <f>IF($Q505="","",INDEX(상세표[사번],$Q505)&amp;"")</f>
        <v/>
      </c>
      <c r="C505">
        <f>IF($Q505="","",INDEX(상세표[성명],$Q505)&amp;"")</f>
        <v/>
      </c>
      <c r="D505">
        <f>IF($Q505="","",INDEX(상세표[직위],$Q505)&amp;"")</f>
        <v/>
      </c>
      <c r="E505">
        <f>IF($Q505="","",IF(ISNUMBER(INDEX(상세표[근무일자],$Q505)),TEXT(INDEX(상세표[근무일자],$Q505),"yyyy-mm-dd"),INDEX(상세표[근무일자],$Q505)&amp;""))</f>
        <v/>
      </c>
      <c r="F505">
        <f>IF($Q505="","",IF(ISNUMBER(INDEX(상세표[시작],$Q505)),TEXT(INDEX(상세표[시작],$Q505),"yyyy-mm-dd hh:mm"),INDEX(상세표[시작],$Q505)&amp;""))</f>
        <v/>
      </c>
      <c r="G505">
        <f>IF($Q505="","",IF(ISNUMBER(INDEX(상세표[블록종료],$Q505)),TEXT(INDEX(상세표[블록종료],$Q505),"yyyy-mm-dd hh:mm"),INDEX(상세표[블록종료],$Q505)&amp;""))</f>
        <v/>
      </c>
      <c r="H505">
        <f>IF($Q505="","",CHOOSE(WEEKDAY(INDEX(상세표[시작],$Q505)),"일","월","화","수","목","금","토"))</f>
        <v/>
      </c>
      <c r="I505" s="20">
        <f>IF($Q505="","",INDEX(상세표[연속 시간],$Q505))</f>
        <v/>
      </c>
      <c r="J505">
        <f>IF($Q505="","",INDEX(상세표[기록 수],$Q505))</f>
        <v/>
      </c>
      <c r="K505" s="20">
        <f>IF($Q505="","",INDEX(상세표[블록 06~07시],$Q505))</f>
        <v/>
      </c>
      <c r="L505" s="20">
        <f>IF($Q505="","",INDEX(상세표[블록 07~18시],$Q505))</f>
        <v/>
      </c>
      <c r="M505" s="20">
        <f>IF($Q505="","",INDEX(상세표[블록 18~22시],$Q505))</f>
        <v/>
      </c>
      <c r="N505" s="20">
        <f>IF($Q505="","",INDEX(상세표[블록 22~06시],$Q505))</f>
        <v/>
      </c>
      <c r="O505">
        <f>IF($Q505="","",INDEX(상세표[주말·휴일 포함],$Q505)&amp;"")</f>
        <v/>
      </c>
      <c r="P505">
        <f>IF($Q505="","",INDEX(상세표[월 넘김 포함],$Q505)&amp;"")</f>
        <v/>
      </c>
      <c r="Q505" s="4">
        <f>IFERROR(MATCH(500,상세표[연속순번],0),"")</f>
        <v/>
      </c>
    </row>
    <row r="506">
      <c r="A506">
        <f>IF($Q506="","",INDEX(상세표[부서],$Q506)&amp;"")</f>
        <v/>
      </c>
      <c r="B506">
        <f>IF($Q506="","",INDEX(상세표[사번],$Q506)&amp;"")</f>
        <v/>
      </c>
      <c r="C506">
        <f>IF($Q506="","",INDEX(상세표[성명],$Q506)&amp;"")</f>
        <v/>
      </c>
      <c r="D506">
        <f>IF($Q506="","",INDEX(상세표[직위],$Q506)&amp;"")</f>
        <v/>
      </c>
      <c r="E506">
        <f>IF($Q506="","",IF(ISNUMBER(INDEX(상세표[근무일자],$Q506)),TEXT(INDEX(상세표[근무일자],$Q506),"yyyy-mm-dd"),INDEX(상세표[근무일자],$Q506)&amp;""))</f>
        <v/>
      </c>
      <c r="F506">
        <f>IF($Q506="","",IF(ISNUMBER(INDEX(상세표[시작],$Q506)),TEXT(INDEX(상세표[시작],$Q506),"yyyy-mm-dd hh:mm"),INDEX(상세표[시작],$Q506)&amp;""))</f>
        <v/>
      </c>
      <c r="G506">
        <f>IF($Q506="","",IF(ISNUMBER(INDEX(상세표[블록종료],$Q506)),TEXT(INDEX(상세표[블록종료],$Q506),"yyyy-mm-dd hh:mm"),INDEX(상세표[블록종료],$Q506)&amp;""))</f>
        <v/>
      </c>
      <c r="H506">
        <f>IF($Q506="","",CHOOSE(WEEKDAY(INDEX(상세표[시작],$Q506)),"일","월","화","수","목","금","토"))</f>
        <v/>
      </c>
      <c r="I506" s="20">
        <f>IF($Q506="","",INDEX(상세표[연속 시간],$Q506))</f>
        <v/>
      </c>
      <c r="J506">
        <f>IF($Q506="","",INDEX(상세표[기록 수],$Q506))</f>
        <v/>
      </c>
      <c r="K506" s="20">
        <f>IF($Q506="","",INDEX(상세표[블록 06~07시],$Q506))</f>
        <v/>
      </c>
      <c r="L506" s="20">
        <f>IF($Q506="","",INDEX(상세표[블록 07~18시],$Q506))</f>
        <v/>
      </c>
      <c r="M506" s="20">
        <f>IF($Q506="","",INDEX(상세표[블록 18~22시],$Q506))</f>
        <v/>
      </c>
      <c r="N506" s="20">
        <f>IF($Q506="","",INDEX(상세표[블록 22~06시],$Q506))</f>
        <v/>
      </c>
      <c r="O506">
        <f>IF($Q506="","",INDEX(상세표[주말·휴일 포함],$Q506)&amp;"")</f>
        <v/>
      </c>
      <c r="P506">
        <f>IF($Q506="","",INDEX(상세표[월 넘김 포함],$Q506)&amp;"")</f>
        <v/>
      </c>
      <c r="Q506" s="4">
        <f>IFERROR(MATCH(501,상세표[연속순번],0),"")</f>
        <v/>
      </c>
    </row>
    <row r="507">
      <c r="A507">
        <f>IF($Q507="","",INDEX(상세표[부서],$Q507)&amp;"")</f>
        <v/>
      </c>
      <c r="B507">
        <f>IF($Q507="","",INDEX(상세표[사번],$Q507)&amp;"")</f>
        <v/>
      </c>
      <c r="C507">
        <f>IF($Q507="","",INDEX(상세표[성명],$Q507)&amp;"")</f>
        <v/>
      </c>
      <c r="D507">
        <f>IF($Q507="","",INDEX(상세표[직위],$Q507)&amp;"")</f>
        <v/>
      </c>
      <c r="E507">
        <f>IF($Q507="","",IF(ISNUMBER(INDEX(상세표[근무일자],$Q507)),TEXT(INDEX(상세표[근무일자],$Q507),"yyyy-mm-dd"),INDEX(상세표[근무일자],$Q507)&amp;""))</f>
        <v/>
      </c>
      <c r="F507">
        <f>IF($Q507="","",IF(ISNUMBER(INDEX(상세표[시작],$Q507)),TEXT(INDEX(상세표[시작],$Q507),"yyyy-mm-dd hh:mm"),INDEX(상세표[시작],$Q507)&amp;""))</f>
        <v/>
      </c>
      <c r="G507">
        <f>IF($Q507="","",IF(ISNUMBER(INDEX(상세표[블록종료],$Q507)),TEXT(INDEX(상세표[블록종료],$Q507),"yyyy-mm-dd hh:mm"),INDEX(상세표[블록종료],$Q507)&amp;""))</f>
        <v/>
      </c>
      <c r="H507">
        <f>IF($Q507="","",CHOOSE(WEEKDAY(INDEX(상세표[시작],$Q507)),"일","월","화","수","목","금","토"))</f>
        <v/>
      </c>
      <c r="I507" s="20">
        <f>IF($Q507="","",INDEX(상세표[연속 시간],$Q507))</f>
        <v/>
      </c>
      <c r="J507">
        <f>IF($Q507="","",INDEX(상세표[기록 수],$Q507))</f>
        <v/>
      </c>
      <c r="K507" s="20">
        <f>IF($Q507="","",INDEX(상세표[블록 06~07시],$Q507))</f>
        <v/>
      </c>
      <c r="L507" s="20">
        <f>IF($Q507="","",INDEX(상세표[블록 07~18시],$Q507))</f>
        <v/>
      </c>
      <c r="M507" s="20">
        <f>IF($Q507="","",INDEX(상세표[블록 18~22시],$Q507))</f>
        <v/>
      </c>
      <c r="N507" s="20">
        <f>IF($Q507="","",INDEX(상세표[블록 22~06시],$Q507))</f>
        <v/>
      </c>
      <c r="O507">
        <f>IF($Q507="","",INDEX(상세표[주말·휴일 포함],$Q507)&amp;"")</f>
        <v/>
      </c>
      <c r="P507">
        <f>IF($Q507="","",INDEX(상세표[월 넘김 포함],$Q507)&amp;"")</f>
        <v/>
      </c>
      <c r="Q507" s="4">
        <f>IFERROR(MATCH(502,상세표[연속순번],0),"")</f>
        <v/>
      </c>
    </row>
    <row r="508">
      <c r="A508">
        <f>IF($Q508="","",INDEX(상세표[부서],$Q508)&amp;"")</f>
        <v/>
      </c>
      <c r="B508">
        <f>IF($Q508="","",INDEX(상세표[사번],$Q508)&amp;"")</f>
        <v/>
      </c>
      <c r="C508">
        <f>IF($Q508="","",INDEX(상세표[성명],$Q508)&amp;"")</f>
        <v/>
      </c>
      <c r="D508">
        <f>IF($Q508="","",INDEX(상세표[직위],$Q508)&amp;"")</f>
        <v/>
      </c>
      <c r="E508">
        <f>IF($Q508="","",IF(ISNUMBER(INDEX(상세표[근무일자],$Q508)),TEXT(INDEX(상세표[근무일자],$Q508),"yyyy-mm-dd"),INDEX(상세표[근무일자],$Q508)&amp;""))</f>
        <v/>
      </c>
      <c r="F508">
        <f>IF($Q508="","",IF(ISNUMBER(INDEX(상세표[시작],$Q508)),TEXT(INDEX(상세표[시작],$Q508),"yyyy-mm-dd hh:mm"),INDEX(상세표[시작],$Q508)&amp;""))</f>
        <v/>
      </c>
      <c r="G508">
        <f>IF($Q508="","",IF(ISNUMBER(INDEX(상세표[블록종료],$Q508)),TEXT(INDEX(상세표[블록종료],$Q508),"yyyy-mm-dd hh:mm"),INDEX(상세표[블록종료],$Q508)&amp;""))</f>
        <v/>
      </c>
      <c r="H508">
        <f>IF($Q508="","",CHOOSE(WEEKDAY(INDEX(상세표[시작],$Q508)),"일","월","화","수","목","금","토"))</f>
        <v/>
      </c>
      <c r="I508" s="20">
        <f>IF($Q508="","",INDEX(상세표[연속 시간],$Q508))</f>
        <v/>
      </c>
      <c r="J508">
        <f>IF($Q508="","",INDEX(상세표[기록 수],$Q508))</f>
        <v/>
      </c>
      <c r="K508" s="20">
        <f>IF($Q508="","",INDEX(상세표[블록 06~07시],$Q508))</f>
        <v/>
      </c>
      <c r="L508" s="20">
        <f>IF($Q508="","",INDEX(상세표[블록 07~18시],$Q508))</f>
        <v/>
      </c>
      <c r="M508" s="20">
        <f>IF($Q508="","",INDEX(상세표[블록 18~22시],$Q508))</f>
        <v/>
      </c>
      <c r="N508" s="20">
        <f>IF($Q508="","",INDEX(상세표[블록 22~06시],$Q508))</f>
        <v/>
      </c>
      <c r="O508">
        <f>IF($Q508="","",INDEX(상세표[주말·휴일 포함],$Q508)&amp;"")</f>
        <v/>
      </c>
      <c r="P508">
        <f>IF($Q508="","",INDEX(상세표[월 넘김 포함],$Q508)&amp;"")</f>
        <v/>
      </c>
      <c r="Q508" s="4">
        <f>IFERROR(MATCH(503,상세표[연속순번],0),"")</f>
        <v/>
      </c>
    </row>
    <row r="509">
      <c r="A509">
        <f>IF($Q509="","",INDEX(상세표[부서],$Q509)&amp;"")</f>
        <v/>
      </c>
      <c r="B509">
        <f>IF($Q509="","",INDEX(상세표[사번],$Q509)&amp;"")</f>
        <v/>
      </c>
      <c r="C509">
        <f>IF($Q509="","",INDEX(상세표[성명],$Q509)&amp;"")</f>
        <v/>
      </c>
      <c r="D509">
        <f>IF($Q509="","",INDEX(상세표[직위],$Q509)&amp;"")</f>
        <v/>
      </c>
      <c r="E509">
        <f>IF($Q509="","",IF(ISNUMBER(INDEX(상세표[근무일자],$Q509)),TEXT(INDEX(상세표[근무일자],$Q509),"yyyy-mm-dd"),INDEX(상세표[근무일자],$Q509)&amp;""))</f>
        <v/>
      </c>
      <c r="F509">
        <f>IF($Q509="","",IF(ISNUMBER(INDEX(상세표[시작],$Q509)),TEXT(INDEX(상세표[시작],$Q509),"yyyy-mm-dd hh:mm"),INDEX(상세표[시작],$Q509)&amp;""))</f>
        <v/>
      </c>
      <c r="G509">
        <f>IF($Q509="","",IF(ISNUMBER(INDEX(상세표[블록종료],$Q509)),TEXT(INDEX(상세표[블록종료],$Q509),"yyyy-mm-dd hh:mm"),INDEX(상세표[블록종료],$Q509)&amp;""))</f>
        <v/>
      </c>
      <c r="H509">
        <f>IF($Q509="","",CHOOSE(WEEKDAY(INDEX(상세표[시작],$Q509)),"일","월","화","수","목","금","토"))</f>
        <v/>
      </c>
      <c r="I509" s="20">
        <f>IF($Q509="","",INDEX(상세표[연속 시간],$Q509))</f>
        <v/>
      </c>
      <c r="J509">
        <f>IF($Q509="","",INDEX(상세표[기록 수],$Q509))</f>
        <v/>
      </c>
      <c r="K509" s="20">
        <f>IF($Q509="","",INDEX(상세표[블록 06~07시],$Q509))</f>
        <v/>
      </c>
      <c r="L509" s="20">
        <f>IF($Q509="","",INDEX(상세표[블록 07~18시],$Q509))</f>
        <v/>
      </c>
      <c r="M509" s="20">
        <f>IF($Q509="","",INDEX(상세표[블록 18~22시],$Q509))</f>
        <v/>
      </c>
      <c r="N509" s="20">
        <f>IF($Q509="","",INDEX(상세표[블록 22~06시],$Q509))</f>
        <v/>
      </c>
      <c r="O509">
        <f>IF($Q509="","",INDEX(상세표[주말·휴일 포함],$Q509)&amp;"")</f>
        <v/>
      </c>
      <c r="P509">
        <f>IF($Q509="","",INDEX(상세표[월 넘김 포함],$Q509)&amp;"")</f>
        <v/>
      </c>
      <c r="Q509" s="4">
        <f>IFERROR(MATCH(504,상세표[연속순번],0),"")</f>
        <v/>
      </c>
    </row>
    <row r="510">
      <c r="A510">
        <f>IF($Q510="","",INDEX(상세표[부서],$Q510)&amp;"")</f>
        <v/>
      </c>
      <c r="B510">
        <f>IF($Q510="","",INDEX(상세표[사번],$Q510)&amp;"")</f>
        <v/>
      </c>
      <c r="C510">
        <f>IF($Q510="","",INDEX(상세표[성명],$Q510)&amp;"")</f>
        <v/>
      </c>
      <c r="D510">
        <f>IF($Q510="","",INDEX(상세표[직위],$Q510)&amp;"")</f>
        <v/>
      </c>
      <c r="E510">
        <f>IF($Q510="","",IF(ISNUMBER(INDEX(상세표[근무일자],$Q510)),TEXT(INDEX(상세표[근무일자],$Q510),"yyyy-mm-dd"),INDEX(상세표[근무일자],$Q510)&amp;""))</f>
        <v/>
      </c>
      <c r="F510">
        <f>IF($Q510="","",IF(ISNUMBER(INDEX(상세표[시작],$Q510)),TEXT(INDEX(상세표[시작],$Q510),"yyyy-mm-dd hh:mm"),INDEX(상세표[시작],$Q510)&amp;""))</f>
        <v/>
      </c>
      <c r="G510">
        <f>IF($Q510="","",IF(ISNUMBER(INDEX(상세표[블록종료],$Q510)),TEXT(INDEX(상세표[블록종료],$Q510),"yyyy-mm-dd hh:mm"),INDEX(상세표[블록종료],$Q510)&amp;""))</f>
        <v/>
      </c>
      <c r="H510">
        <f>IF($Q510="","",CHOOSE(WEEKDAY(INDEX(상세표[시작],$Q510)),"일","월","화","수","목","금","토"))</f>
        <v/>
      </c>
      <c r="I510" s="20">
        <f>IF($Q510="","",INDEX(상세표[연속 시간],$Q510))</f>
        <v/>
      </c>
      <c r="J510">
        <f>IF($Q510="","",INDEX(상세표[기록 수],$Q510))</f>
        <v/>
      </c>
      <c r="K510" s="20">
        <f>IF($Q510="","",INDEX(상세표[블록 06~07시],$Q510))</f>
        <v/>
      </c>
      <c r="L510" s="20">
        <f>IF($Q510="","",INDEX(상세표[블록 07~18시],$Q510))</f>
        <v/>
      </c>
      <c r="M510" s="20">
        <f>IF($Q510="","",INDEX(상세표[블록 18~22시],$Q510))</f>
        <v/>
      </c>
      <c r="N510" s="20">
        <f>IF($Q510="","",INDEX(상세표[블록 22~06시],$Q510))</f>
        <v/>
      </c>
      <c r="O510">
        <f>IF($Q510="","",INDEX(상세표[주말·휴일 포함],$Q510)&amp;"")</f>
        <v/>
      </c>
      <c r="P510">
        <f>IF($Q510="","",INDEX(상세표[월 넘김 포함],$Q510)&amp;"")</f>
        <v/>
      </c>
      <c r="Q510" s="4">
        <f>IFERROR(MATCH(505,상세표[연속순번],0),"")</f>
        <v/>
      </c>
    </row>
    <row r="511">
      <c r="A511">
        <f>IF($Q511="","",INDEX(상세표[부서],$Q511)&amp;"")</f>
        <v/>
      </c>
      <c r="B511">
        <f>IF($Q511="","",INDEX(상세표[사번],$Q511)&amp;"")</f>
        <v/>
      </c>
      <c r="C511">
        <f>IF($Q511="","",INDEX(상세표[성명],$Q511)&amp;"")</f>
        <v/>
      </c>
      <c r="D511">
        <f>IF($Q511="","",INDEX(상세표[직위],$Q511)&amp;"")</f>
        <v/>
      </c>
      <c r="E511">
        <f>IF($Q511="","",IF(ISNUMBER(INDEX(상세표[근무일자],$Q511)),TEXT(INDEX(상세표[근무일자],$Q511),"yyyy-mm-dd"),INDEX(상세표[근무일자],$Q511)&amp;""))</f>
        <v/>
      </c>
      <c r="F511">
        <f>IF($Q511="","",IF(ISNUMBER(INDEX(상세표[시작],$Q511)),TEXT(INDEX(상세표[시작],$Q511),"yyyy-mm-dd hh:mm"),INDEX(상세표[시작],$Q511)&amp;""))</f>
        <v/>
      </c>
      <c r="G511">
        <f>IF($Q511="","",IF(ISNUMBER(INDEX(상세표[블록종료],$Q511)),TEXT(INDEX(상세표[블록종료],$Q511),"yyyy-mm-dd hh:mm"),INDEX(상세표[블록종료],$Q511)&amp;""))</f>
        <v/>
      </c>
      <c r="H511">
        <f>IF($Q511="","",CHOOSE(WEEKDAY(INDEX(상세표[시작],$Q511)),"일","월","화","수","목","금","토"))</f>
        <v/>
      </c>
      <c r="I511" s="20">
        <f>IF($Q511="","",INDEX(상세표[연속 시간],$Q511))</f>
        <v/>
      </c>
      <c r="J511">
        <f>IF($Q511="","",INDEX(상세표[기록 수],$Q511))</f>
        <v/>
      </c>
      <c r="K511" s="20">
        <f>IF($Q511="","",INDEX(상세표[블록 06~07시],$Q511))</f>
        <v/>
      </c>
      <c r="L511" s="20">
        <f>IF($Q511="","",INDEX(상세표[블록 07~18시],$Q511))</f>
        <v/>
      </c>
      <c r="M511" s="20">
        <f>IF($Q511="","",INDEX(상세표[블록 18~22시],$Q511))</f>
        <v/>
      </c>
      <c r="N511" s="20">
        <f>IF($Q511="","",INDEX(상세표[블록 22~06시],$Q511))</f>
        <v/>
      </c>
      <c r="O511">
        <f>IF($Q511="","",INDEX(상세표[주말·휴일 포함],$Q511)&amp;"")</f>
        <v/>
      </c>
      <c r="P511">
        <f>IF($Q511="","",INDEX(상세표[월 넘김 포함],$Q511)&amp;"")</f>
        <v/>
      </c>
      <c r="Q511" s="4">
        <f>IFERROR(MATCH(506,상세표[연속순번],0),"")</f>
        <v/>
      </c>
    </row>
    <row r="512">
      <c r="A512">
        <f>IF($Q512="","",INDEX(상세표[부서],$Q512)&amp;"")</f>
        <v/>
      </c>
      <c r="B512">
        <f>IF($Q512="","",INDEX(상세표[사번],$Q512)&amp;"")</f>
        <v/>
      </c>
      <c r="C512">
        <f>IF($Q512="","",INDEX(상세표[성명],$Q512)&amp;"")</f>
        <v/>
      </c>
      <c r="D512">
        <f>IF($Q512="","",INDEX(상세표[직위],$Q512)&amp;"")</f>
        <v/>
      </c>
      <c r="E512">
        <f>IF($Q512="","",IF(ISNUMBER(INDEX(상세표[근무일자],$Q512)),TEXT(INDEX(상세표[근무일자],$Q512),"yyyy-mm-dd"),INDEX(상세표[근무일자],$Q512)&amp;""))</f>
        <v/>
      </c>
      <c r="F512">
        <f>IF($Q512="","",IF(ISNUMBER(INDEX(상세표[시작],$Q512)),TEXT(INDEX(상세표[시작],$Q512),"yyyy-mm-dd hh:mm"),INDEX(상세표[시작],$Q512)&amp;""))</f>
        <v/>
      </c>
      <c r="G512">
        <f>IF($Q512="","",IF(ISNUMBER(INDEX(상세표[블록종료],$Q512)),TEXT(INDEX(상세표[블록종료],$Q512),"yyyy-mm-dd hh:mm"),INDEX(상세표[블록종료],$Q512)&amp;""))</f>
        <v/>
      </c>
      <c r="H512">
        <f>IF($Q512="","",CHOOSE(WEEKDAY(INDEX(상세표[시작],$Q512)),"일","월","화","수","목","금","토"))</f>
        <v/>
      </c>
      <c r="I512" s="20">
        <f>IF($Q512="","",INDEX(상세표[연속 시간],$Q512))</f>
        <v/>
      </c>
      <c r="J512">
        <f>IF($Q512="","",INDEX(상세표[기록 수],$Q512))</f>
        <v/>
      </c>
      <c r="K512" s="20">
        <f>IF($Q512="","",INDEX(상세표[블록 06~07시],$Q512))</f>
        <v/>
      </c>
      <c r="L512" s="20">
        <f>IF($Q512="","",INDEX(상세표[블록 07~18시],$Q512))</f>
        <v/>
      </c>
      <c r="M512" s="20">
        <f>IF($Q512="","",INDEX(상세표[블록 18~22시],$Q512))</f>
        <v/>
      </c>
      <c r="N512" s="20">
        <f>IF($Q512="","",INDEX(상세표[블록 22~06시],$Q512))</f>
        <v/>
      </c>
      <c r="O512">
        <f>IF($Q512="","",INDEX(상세표[주말·휴일 포함],$Q512)&amp;"")</f>
        <v/>
      </c>
      <c r="P512">
        <f>IF($Q512="","",INDEX(상세표[월 넘김 포함],$Q512)&amp;"")</f>
        <v/>
      </c>
      <c r="Q512" s="4">
        <f>IFERROR(MATCH(507,상세표[연속순번],0),"")</f>
        <v/>
      </c>
    </row>
    <row r="513">
      <c r="A513">
        <f>IF($Q513="","",INDEX(상세표[부서],$Q513)&amp;"")</f>
        <v/>
      </c>
      <c r="B513">
        <f>IF($Q513="","",INDEX(상세표[사번],$Q513)&amp;"")</f>
        <v/>
      </c>
      <c r="C513">
        <f>IF($Q513="","",INDEX(상세표[성명],$Q513)&amp;"")</f>
        <v/>
      </c>
      <c r="D513">
        <f>IF($Q513="","",INDEX(상세표[직위],$Q513)&amp;"")</f>
        <v/>
      </c>
      <c r="E513">
        <f>IF($Q513="","",IF(ISNUMBER(INDEX(상세표[근무일자],$Q513)),TEXT(INDEX(상세표[근무일자],$Q513),"yyyy-mm-dd"),INDEX(상세표[근무일자],$Q513)&amp;""))</f>
        <v/>
      </c>
      <c r="F513">
        <f>IF($Q513="","",IF(ISNUMBER(INDEX(상세표[시작],$Q513)),TEXT(INDEX(상세표[시작],$Q513),"yyyy-mm-dd hh:mm"),INDEX(상세표[시작],$Q513)&amp;""))</f>
        <v/>
      </c>
      <c r="G513">
        <f>IF($Q513="","",IF(ISNUMBER(INDEX(상세표[블록종료],$Q513)),TEXT(INDEX(상세표[블록종료],$Q513),"yyyy-mm-dd hh:mm"),INDEX(상세표[블록종료],$Q513)&amp;""))</f>
        <v/>
      </c>
      <c r="H513">
        <f>IF($Q513="","",CHOOSE(WEEKDAY(INDEX(상세표[시작],$Q513)),"일","월","화","수","목","금","토"))</f>
        <v/>
      </c>
      <c r="I513" s="20">
        <f>IF($Q513="","",INDEX(상세표[연속 시간],$Q513))</f>
        <v/>
      </c>
      <c r="J513">
        <f>IF($Q513="","",INDEX(상세표[기록 수],$Q513))</f>
        <v/>
      </c>
      <c r="K513" s="20">
        <f>IF($Q513="","",INDEX(상세표[블록 06~07시],$Q513))</f>
        <v/>
      </c>
      <c r="L513" s="20">
        <f>IF($Q513="","",INDEX(상세표[블록 07~18시],$Q513))</f>
        <v/>
      </c>
      <c r="M513" s="20">
        <f>IF($Q513="","",INDEX(상세표[블록 18~22시],$Q513))</f>
        <v/>
      </c>
      <c r="N513" s="20">
        <f>IF($Q513="","",INDEX(상세표[블록 22~06시],$Q513))</f>
        <v/>
      </c>
      <c r="O513">
        <f>IF($Q513="","",INDEX(상세표[주말·휴일 포함],$Q513)&amp;"")</f>
        <v/>
      </c>
      <c r="P513">
        <f>IF($Q513="","",INDEX(상세표[월 넘김 포함],$Q513)&amp;"")</f>
        <v/>
      </c>
      <c r="Q513" s="4">
        <f>IFERROR(MATCH(508,상세표[연속순번],0),"")</f>
        <v/>
      </c>
    </row>
    <row r="514">
      <c r="A514">
        <f>IF($Q514="","",INDEX(상세표[부서],$Q514)&amp;"")</f>
        <v/>
      </c>
      <c r="B514">
        <f>IF($Q514="","",INDEX(상세표[사번],$Q514)&amp;"")</f>
        <v/>
      </c>
      <c r="C514">
        <f>IF($Q514="","",INDEX(상세표[성명],$Q514)&amp;"")</f>
        <v/>
      </c>
      <c r="D514">
        <f>IF($Q514="","",INDEX(상세표[직위],$Q514)&amp;"")</f>
        <v/>
      </c>
      <c r="E514">
        <f>IF($Q514="","",IF(ISNUMBER(INDEX(상세표[근무일자],$Q514)),TEXT(INDEX(상세표[근무일자],$Q514),"yyyy-mm-dd"),INDEX(상세표[근무일자],$Q514)&amp;""))</f>
        <v/>
      </c>
      <c r="F514">
        <f>IF($Q514="","",IF(ISNUMBER(INDEX(상세표[시작],$Q514)),TEXT(INDEX(상세표[시작],$Q514),"yyyy-mm-dd hh:mm"),INDEX(상세표[시작],$Q514)&amp;""))</f>
        <v/>
      </c>
      <c r="G514">
        <f>IF($Q514="","",IF(ISNUMBER(INDEX(상세표[블록종료],$Q514)),TEXT(INDEX(상세표[블록종료],$Q514),"yyyy-mm-dd hh:mm"),INDEX(상세표[블록종료],$Q514)&amp;""))</f>
        <v/>
      </c>
      <c r="H514">
        <f>IF($Q514="","",CHOOSE(WEEKDAY(INDEX(상세표[시작],$Q514)),"일","월","화","수","목","금","토"))</f>
        <v/>
      </c>
      <c r="I514" s="20">
        <f>IF($Q514="","",INDEX(상세표[연속 시간],$Q514))</f>
        <v/>
      </c>
      <c r="J514">
        <f>IF($Q514="","",INDEX(상세표[기록 수],$Q514))</f>
        <v/>
      </c>
      <c r="K514" s="20">
        <f>IF($Q514="","",INDEX(상세표[블록 06~07시],$Q514))</f>
        <v/>
      </c>
      <c r="L514" s="20">
        <f>IF($Q514="","",INDEX(상세표[블록 07~18시],$Q514))</f>
        <v/>
      </c>
      <c r="M514" s="20">
        <f>IF($Q514="","",INDEX(상세표[블록 18~22시],$Q514))</f>
        <v/>
      </c>
      <c r="N514" s="20">
        <f>IF($Q514="","",INDEX(상세표[블록 22~06시],$Q514))</f>
        <v/>
      </c>
      <c r="O514">
        <f>IF($Q514="","",INDEX(상세표[주말·휴일 포함],$Q514)&amp;"")</f>
        <v/>
      </c>
      <c r="P514">
        <f>IF($Q514="","",INDEX(상세표[월 넘김 포함],$Q514)&amp;"")</f>
        <v/>
      </c>
      <c r="Q514" s="4">
        <f>IFERROR(MATCH(509,상세표[연속순번],0),"")</f>
        <v/>
      </c>
    </row>
    <row r="515">
      <c r="A515">
        <f>IF($Q515="","",INDEX(상세표[부서],$Q515)&amp;"")</f>
        <v/>
      </c>
      <c r="B515">
        <f>IF($Q515="","",INDEX(상세표[사번],$Q515)&amp;"")</f>
        <v/>
      </c>
      <c r="C515">
        <f>IF($Q515="","",INDEX(상세표[성명],$Q515)&amp;"")</f>
        <v/>
      </c>
      <c r="D515">
        <f>IF($Q515="","",INDEX(상세표[직위],$Q515)&amp;"")</f>
        <v/>
      </c>
      <c r="E515">
        <f>IF($Q515="","",IF(ISNUMBER(INDEX(상세표[근무일자],$Q515)),TEXT(INDEX(상세표[근무일자],$Q515),"yyyy-mm-dd"),INDEX(상세표[근무일자],$Q515)&amp;""))</f>
        <v/>
      </c>
      <c r="F515">
        <f>IF($Q515="","",IF(ISNUMBER(INDEX(상세표[시작],$Q515)),TEXT(INDEX(상세표[시작],$Q515),"yyyy-mm-dd hh:mm"),INDEX(상세표[시작],$Q515)&amp;""))</f>
        <v/>
      </c>
      <c r="G515">
        <f>IF($Q515="","",IF(ISNUMBER(INDEX(상세표[블록종료],$Q515)),TEXT(INDEX(상세표[블록종료],$Q515),"yyyy-mm-dd hh:mm"),INDEX(상세표[블록종료],$Q515)&amp;""))</f>
        <v/>
      </c>
      <c r="H515">
        <f>IF($Q515="","",CHOOSE(WEEKDAY(INDEX(상세표[시작],$Q515)),"일","월","화","수","목","금","토"))</f>
        <v/>
      </c>
      <c r="I515" s="20">
        <f>IF($Q515="","",INDEX(상세표[연속 시간],$Q515))</f>
        <v/>
      </c>
      <c r="J515">
        <f>IF($Q515="","",INDEX(상세표[기록 수],$Q515))</f>
        <v/>
      </c>
      <c r="K515" s="20">
        <f>IF($Q515="","",INDEX(상세표[블록 06~07시],$Q515))</f>
        <v/>
      </c>
      <c r="L515" s="20">
        <f>IF($Q515="","",INDEX(상세표[블록 07~18시],$Q515))</f>
        <v/>
      </c>
      <c r="M515" s="20">
        <f>IF($Q515="","",INDEX(상세표[블록 18~22시],$Q515))</f>
        <v/>
      </c>
      <c r="N515" s="20">
        <f>IF($Q515="","",INDEX(상세표[블록 22~06시],$Q515))</f>
        <v/>
      </c>
      <c r="O515">
        <f>IF($Q515="","",INDEX(상세표[주말·휴일 포함],$Q515)&amp;"")</f>
        <v/>
      </c>
      <c r="P515">
        <f>IF($Q515="","",INDEX(상세표[월 넘김 포함],$Q515)&amp;"")</f>
        <v/>
      </c>
      <c r="Q515" s="4">
        <f>IFERROR(MATCH(510,상세표[연속순번],0),"")</f>
        <v/>
      </c>
    </row>
    <row r="516">
      <c r="A516">
        <f>IF($Q516="","",INDEX(상세표[부서],$Q516)&amp;"")</f>
        <v/>
      </c>
      <c r="B516">
        <f>IF($Q516="","",INDEX(상세표[사번],$Q516)&amp;"")</f>
        <v/>
      </c>
      <c r="C516">
        <f>IF($Q516="","",INDEX(상세표[성명],$Q516)&amp;"")</f>
        <v/>
      </c>
      <c r="D516">
        <f>IF($Q516="","",INDEX(상세표[직위],$Q516)&amp;"")</f>
        <v/>
      </c>
      <c r="E516">
        <f>IF($Q516="","",IF(ISNUMBER(INDEX(상세표[근무일자],$Q516)),TEXT(INDEX(상세표[근무일자],$Q516),"yyyy-mm-dd"),INDEX(상세표[근무일자],$Q516)&amp;""))</f>
        <v/>
      </c>
      <c r="F516">
        <f>IF($Q516="","",IF(ISNUMBER(INDEX(상세표[시작],$Q516)),TEXT(INDEX(상세표[시작],$Q516),"yyyy-mm-dd hh:mm"),INDEX(상세표[시작],$Q516)&amp;""))</f>
        <v/>
      </c>
      <c r="G516">
        <f>IF($Q516="","",IF(ISNUMBER(INDEX(상세표[블록종료],$Q516)),TEXT(INDEX(상세표[블록종료],$Q516),"yyyy-mm-dd hh:mm"),INDEX(상세표[블록종료],$Q516)&amp;""))</f>
        <v/>
      </c>
      <c r="H516">
        <f>IF($Q516="","",CHOOSE(WEEKDAY(INDEX(상세표[시작],$Q516)),"일","월","화","수","목","금","토"))</f>
        <v/>
      </c>
      <c r="I516" s="20">
        <f>IF($Q516="","",INDEX(상세표[연속 시간],$Q516))</f>
        <v/>
      </c>
      <c r="J516">
        <f>IF($Q516="","",INDEX(상세표[기록 수],$Q516))</f>
        <v/>
      </c>
      <c r="K516" s="20">
        <f>IF($Q516="","",INDEX(상세표[블록 06~07시],$Q516))</f>
        <v/>
      </c>
      <c r="L516" s="20">
        <f>IF($Q516="","",INDEX(상세표[블록 07~18시],$Q516))</f>
        <v/>
      </c>
      <c r="M516" s="20">
        <f>IF($Q516="","",INDEX(상세표[블록 18~22시],$Q516))</f>
        <v/>
      </c>
      <c r="N516" s="20">
        <f>IF($Q516="","",INDEX(상세표[블록 22~06시],$Q516))</f>
        <v/>
      </c>
      <c r="O516">
        <f>IF($Q516="","",INDEX(상세표[주말·휴일 포함],$Q516)&amp;"")</f>
        <v/>
      </c>
      <c r="P516">
        <f>IF($Q516="","",INDEX(상세표[월 넘김 포함],$Q516)&amp;"")</f>
        <v/>
      </c>
      <c r="Q516" s="4">
        <f>IFERROR(MATCH(511,상세표[연속순번],0),"")</f>
        <v/>
      </c>
    </row>
    <row r="517">
      <c r="A517">
        <f>IF($Q517="","",INDEX(상세표[부서],$Q517)&amp;"")</f>
        <v/>
      </c>
      <c r="B517">
        <f>IF($Q517="","",INDEX(상세표[사번],$Q517)&amp;"")</f>
        <v/>
      </c>
      <c r="C517">
        <f>IF($Q517="","",INDEX(상세표[성명],$Q517)&amp;"")</f>
        <v/>
      </c>
      <c r="D517">
        <f>IF($Q517="","",INDEX(상세표[직위],$Q517)&amp;"")</f>
        <v/>
      </c>
      <c r="E517">
        <f>IF($Q517="","",IF(ISNUMBER(INDEX(상세표[근무일자],$Q517)),TEXT(INDEX(상세표[근무일자],$Q517),"yyyy-mm-dd"),INDEX(상세표[근무일자],$Q517)&amp;""))</f>
        <v/>
      </c>
      <c r="F517">
        <f>IF($Q517="","",IF(ISNUMBER(INDEX(상세표[시작],$Q517)),TEXT(INDEX(상세표[시작],$Q517),"yyyy-mm-dd hh:mm"),INDEX(상세표[시작],$Q517)&amp;""))</f>
        <v/>
      </c>
      <c r="G517">
        <f>IF($Q517="","",IF(ISNUMBER(INDEX(상세표[블록종료],$Q517)),TEXT(INDEX(상세표[블록종료],$Q517),"yyyy-mm-dd hh:mm"),INDEX(상세표[블록종료],$Q517)&amp;""))</f>
        <v/>
      </c>
      <c r="H517">
        <f>IF($Q517="","",CHOOSE(WEEKDAY(INDEX(상세표[시작],$Q517)),"일","월","화","수","목","금","토"))</f>
        <v/>
      </c>
      <c r="I517" s="20">
        <f>IF($Q517="","",INDEX(상세표[연속 시간],$Q517))</f>
        <v/>
      </c>
      <c r="J517">
        <f>IF($Q517="","",INDEX(상세표[기록 수],$Q517))</f>
        <v/>
      </c>
      <c r="K517" s="20">
        <f>IF($Q517="","",INDEX(상세표[블록 06~07시],$Q517))</f>
        <v/>
      </c>
      <c r="L517" s="20">
        <f>IF($Q517="","",INDEX(상세표[블록 07~18시],$Q517))</f>
        <v/>
      </c>
      <c r="M517" s="20">
        <f>IF($Q517="","",INDEX(상세표[블록 18~22시],$Q517))</f>
        <v/>
      </c>
      <c r="N517" s="20">
        <f>IF($Q517="","",INDEX(상세표[블록 22~06시],$Q517))</f>
        <v/>
      </c>
      <c r="O517">
        <f>IF($Q517="","",INDEX(상세표[주말·휴일 포함],$Q517)&amp;"")</f>
        <v/>
      </c>
      <c r="P517">
        <f>IF($Q517="","",INDEX(상세표[월 넘김 포함],$Q517)&amp;"")</f>
        <v/>
      </c>
      <c r="Q517" s="4">
        <f>IFERROR(MATCH(512,상세표[연속순번],0),"")</f>
        <v/>
      </c>
    </row>
    <row r="518">
      <c r="A518">
        <f>IF($Q518="","",INDEX(상세표[부서],$Q518)&amp;"")</f>
        <v/>
      </c>
      <c r="B518">
        <f>IF($Q518="","",INDEX(상세표[사번],$Q518)&amp;"")</f>
        <v/>
      </c>
      <c r="C518">
        <f>IF($Q518="","",INDEX(상세표[성명],$Q518)&amp;"")</f>
        <v/>
      </c>
      <c r="D518">
        <f>IF($Q518="","",INDEX(상세표[직위],$Q518)&amp;"")</f>
        <v/>
      </c>
      <c r="E518">
        <f>IF($Q518="","",IF(ISNUMBER(INDEX(상세표[근무일자],$Q518)),TEXT(INDEX(상세표[근무일자],$Q518),"yyyy-mm-dd"),INDEX(상세표[근무일자],$Q518)&amp;""))</f>
        <v/>
      </c>
      <c r="F518">
        <f>IF($Q518="","",IF(ISNUMBER(INDEX(상세표[시작],$Q518)),TEXT(INDEX(상세표[시작],$Q518),"yyyy-mm-dd hh:mm"),INDEX(상세표[시작],$Q518)&amp;""))</f>
        <v/>
      </c>
      <c r="G518">
        <f>IF($Q518="","",IF(ISNUMBER(INDEX(상세표[블록종료],$Q518)),TEXT(INDEX(상세표[블록종료],$Q518),"yyyy-mm-dd hh:mm"),INDEX(상세표[블록종료],$Q518)&amp;""))</f>
        <v/>
      </c>
      <c r="H518">
        <f>IF($Q518="","",CHOOSE(WEEKDAY(INDEX(상세표[시작],$Q518)),"일","월","화","수","목","금","토"))</f>
        <v/>
      </c>
      <c r="I518" s="20">
        <f>IF($Q518="","",INDEX(상세표[연속 시간],$Q518))</f>
        <v/>
      </c>
      <c r="J518">
        <f>IF($Q518="","",INDEX(상세표[기록 수],$Q518))</f>
        <v/>
      </c>
      <c r="K518" s="20">
        <f>IF($Q518="","",INDEX(상세표[블록 06~07시],$Q518))</f>
        <v/>
      </c>
      <c r="L518" s="20">
        <f>IF($Q518="","",INDEX(상세표[블록 07~18시],$Q518))</f>
        <v/>
      </c>
      <c r="M518" s="20">
        <f>IF($Q518="","",INDEX(상세표[블록 18~22시],$Q518))</f>
        <v/>
      </c>
      <c r="N518" s="20">
        <f>IF($Q518="","",INDEX(상세표[블록 22~06시],$Q518))</f>
        <v/>
      </c>
      <c r="O518">
        <f>IF($Q518="","",INDEX(상세표[주말·휴일 포함],$Q518)&amp;"")</f>
        <v/>
      </c>
      <c r="P518">
        <f>IF($Q518="","",INDEX(상세표[월 넘김 포함],$Q518)&amp;"")</f>
        <v/>
      </c>
      <c r="Q518" s="4">
        <f>IFERROR(MATCH(513,상세표[연속순번],0),"")</f>
        <v/>
      </c>
    </row>
    <row r="519">
      <c r="A519">
        <f>IF($Q519="","",INDEX(상세표[부서],$Q519)&amp;"")</f>
        <v/>
      </c>
      <c r="B519">
        <f>IF($Q519="","",INDEX(상세표[사번],$Q519)&amp;"")</f>
        <v/>
      </c>
      <c r="C519">
        <f>IF($Q519="","",INDEX(상세표[성명],$Q519)&amp;"")</f>
        <v/>
      </c>
      <c r="D519">
        <f>IF($Q519="","",INDEX(상세표[직위],$Q519)&amp;"")</f>
        <v/>
      </c>
      <c r="E519">
        <f>IF($Q519="","",IF(ISNUMBER(INDEX(상세표[근무일자],$Q519)),TEXT(INDEX(상세표[근무일자],$Q519),"yyyy-mm-dd"),INDEX(상세표[근무일자],$Q519)&amp;""))</f>
        <v/>
      </c>
      <c r="F519">
        <f>IF($Q519="","",IF(ISNUMBER(INDEX(상세표[시작],$Q519)),TEXT(INDEX(상세표[시작],$Q519),"yyyy-mm-dd hh:mm"),INDEX(상세표[시작],$Q519)&amp;""))</f>
        <v/>
      </c>
      <c r="G519">
        <f>IF($Q519="","",IF(ISNUMBER(INDEX(상세표[블록종료],$Q519)),TEXT(INDEX(상세표[블록종료],$Q519),"yyyy-mm-dd hh:mm"),INDEX(상세표[블록종료],$Q519)&amp;""))</f>
        <v/>
      </c>
      <c r="H519">
        <f>IF($Q519="","",CHOOSE(WEEKDAY(INDEX(상세표[시작],$Q519)),"일","월","화","수","목","금","토"))</f>
        <v/>
      </c>
      <c r="I519" s="20">
        <f>IF($Q519="","",INDEX(상세표[연속 시간],$Q519))</f>
        <v/>
      </c>
      <c r="J519">
        <f>IF($Q519="","",INDEX(상세표[기록 수],$Q519))</f>
        <v/>
      </c>
      <c r="K519" s="20">
        <f>IF($Q519="","",INDEX(상세표[블록 06~07시],$Q519))</f>
        <v/>
      </c>
      <c r="L519" s="20">
        <f>IF($Q519="","",INDEX(상세표[블록 07~18시],$Q519))</f>
        <v/>
      </c>
      <c r="M519" s="20">
        <f>IF($Q519="","",INDEX(상세표[블록 18~22시],$Q519))</f>
        <v/>
      </c>
      <c r="N519" s="20">
        <f>IF($Q519="","",INDEX(상세표[블록 22~06시],$Q519))</f>
        <v/>
      </c>
      <c r="O519">
        <f>IF($Q519="","",INDEX(상세표[주말·휴일 포함],$Q519)&amp;"")</f>
        <v/>
      </c>
      <c r="P519">
        <f>IF($Q519="","",INDEX(상세표[월 넘김 포함],$Q519)&amp;"")</f>
        <v/>
      </c>
      <c r="Q519" s="4">
        <f>IFERROR(MATCH(514,상세표[연속순번],0),"")</f>
        <v/>
      </c>
    </row>
    <row r="520">
      <c r="A520">
        <f>IF($Q520="","",INDEX(상세표[부서],$Q520)&amp;"")</f>
        <v/>
      </c>
      <c r="B520">
        <f>IF($Q520="","",INDEX(상세표[사번],$Q520)&amp;"")</f>
        <v/>
      </c>
      <c r="C520">
        <f>IF($Q520="","",INDEX(상세표[성명],$Q520)&amp;"")</f>
        <v/>
      </c>
      <c r="D520">
        <f>IF($Q520="","",INDEX(상세표[직위],$Q520)&amp;"")</f>
        <v/>
      </c>
      <c r="E520">
        <f>IF($Q520="","",IF(ISNUMBER(INDEX(상세표[근무일자],$Q520)),TEXT(INDEX(상세표[근무일자],$Q520),"yyyy-mm-dd"),INDEX(상세표[근무일자],$Q520)&amp;""))</f>
        <v/>
      </c>
      <c r="F520">
        <f>IF($Q520="","",IF(ISNUMBER(INDEX(상세표[시작],$Q520)),TEXT(INDEX(상세표[시작],$Q520),"yyyy-mm-dd hh:mm"),INDEX(상세표[시작],$Q520)&amp;""))</f>
        <v/>
      </c>
      <c r="G520">
        <f>IF($Q520="","",IF(ISNUMBER(INDEX(상세표[블록종료],$Q520)),TEXT(INDEX(상세표[블록종료],$Q520),"yyyy-mm-dd hh:mm"),INDEX(상세표[블록종료],$Q520)&amp;""))</f>
        <v/>
      </c>
      <c r="H520">
        <f>IF($Q520="","",CHOOSE(WEEKDAY(INDEX(상세표[시작],$Q520)),"일","월","화","수","목","금","토"))</f>
        <v/>
      </c>
      <c r="I520" s="20">
        <f>IF($Q520="","",INDEX(상세표[연속 시간],$Q520))</f>
        <v/>
      </c>
      <c r="J520">
        <f>IF($Q520="","",INDEX(상세표[기록 수],$Q520))</f>
        <v/>
      </c>
      <c r="K520" s="20">
        <f>IF($Q520="","",INDEX(상세표[블록 06~07시],$Q520))</f>
        <v/>
      </c>
      <c r="L520" s="20">
        <f>IF($Q520="","",INDEX(상세표[블록 07~18시],$Q520))</f>
        <v/>
      </c>
      <c r="M520" s="20">
        <f>IF($Q520="","",INDEX(상세표[블록 18~22시],$Q520))</f>
        <v/>
      </c>
      <c r="N520" s="20">
        <f>IF($Q520="","",INDEX(상세표[블록 22~06시],$Q520))</f>
        <v/>
      </c>
      <c r="O520">
        <f>IF($Q520="","",INDEX(상세표[주말·휴일 포함],$Q520)&amp;"")</f>
        <v/>
      </c>
      <c r="P520">
        <f>IF($Q520="","",INDEX(상세표[월 넘김 포함],$Q520)&amp;"")</f>
        <v/>
      </c>
      <c r="Q520" s="4">
        <f>IFERROR(MATCH(515,상세표[연속순번],0),"")</f>
        <v/>
      </c>
    </row>
    <row r="521">
      <c r="A521">
        <f>IF($Q521="","",INDEX(상세표[부서],$Q521)&amp;"")</f>
        <v/>
      </c>
      <c r="B521">
        <f>IF($Q521="","",INDEX(상세표[사번],$Q521)&amp;"")</f>
        <v/>
      </c>
      <c r="C521">
        <f>IF($Q521="","",INDEX(상세표[성명],$Q521)&amp;"")</f>
        <v/>
      </c>
      <c r="D521">
        <f>IF($Q521="","",INDEX(상세표[직위],$Q521)&amp;"")</f>
        <v/>
      </c>
      <c r="E521">
        <f>IF($Q521="","",IF(ISNUMBER(INDEX(상세표[근무일자],$Q521)),TEXT(INDEX(상세표[근무일자],$Q521),"yyyy-mm-dd"),INDEX(상세표[근무일자],$Q521)&amp;""))</f>
        <v/>
      </c>
      <c r="F521">
        <f>IF($Q521="","",IF(ISNUMBER(INDEX(상세표[시작],$Q521)),TEXT(INDEX(상세표[시작],$Q521),"yyyy-mm-dd hh:mm"),INDEX(상세표[시작],$Q521)&amp;""))</f>
        <v/>
      </c>
      <c r="G521">
        <f>IF($Q521="","",IF(ISNUMBER(INDEX(상세표[블록종료],$Q521)),TEXT(INDEX(상세표[블록종료],$Q521),"yyyy-mm-dd hh:mm"),INDEX(상세표[블록종료],$Q521)&amp;""))</f>
        <v/>
      </c>
      <c r="H521">
        <f>IF($Q521="","",CHOOSE(WEEKDAY(INDEX(상세표[시작],$Q521)),"일","월","화","수","목","금","토"))</f>
        <v/>
      </c>
      <c r="I521" s="20">
        <f>IF($Q521="","",INDEX(상세표[연속 시간],$Q521))</f>
        <v/>
      </c>
      <c r="J521">
        <f>IF($Q521="","",INDEX(상세표[기록 수],$Q521))</f>
        <v/>
      </c>
      <c r="K521" s="20">
        <f>IF($Q521="","",INDEX(상세표[블록 06~07시],$Q521))</f>
        <v/>
      </c>
      <c r="L521" s="20">
        <f>IF($Q521="","",INDEX(상세표[블록 07~18시],$Q521))</f>
        <v/>
      </c>
      <c r="M521" s="20">
        <f>IF($Q521="","",INDEX(상세표[블록 18~22시],$Q521))</f>
        <v/>
      </c>
      <c r="N521" s="20">
        <f>IF($Q521="","",INDEX(상세표[블록 22~06시],$Q521))</f>
        <v/>
      </c>
      <c r="O521">
        <f>IF($Q521="","",INDEX(상세표[주말·휴일 포함],$Q521)&amp;"")</f>
        <v/>
      </c>
      <c r="P521">
        <f>IF($Q521="","",INDEX(상세표[월 넘김 포함],$Q521)&amp;"")</f>
        <v/>
      </c>
      <c r="Q521" s="4">
        <f>IFERROR(MATCH(516,상세표[연속순번],0),"")</f>
        <v/>
      </c>
    </row>
    <row r="522">
      <c r="A522">
        <f>IF($Q522="","",INDEX(상세표[부서],$Q522)&amp;"")</f>
        <v/>
      </c>
      <c r="B522">
        <f>IF($Q522="","",INDEX(상세표[사번],$Q522)&amp;"")</f>
        <v/>
      </c>
      <c r="C522">
        <f>IF($Q522="","",INDEX(상세표[성명],$Q522)&amp;"")</f>
        <v/>
      </c>
      <c r="D522">
        <f>IF($Q522="","",INDEX(상세표[직위],$Q522)&amp;"")</f>
        <v/>
      </c>
      <c r="E522">
        <f>IF($Q522="","",IF(ISNUMBER(INDEX(상세표[근무일자],$Q522)),TEXT(INDEX(상세표[근무일자],$Q522),"yyyy-mm-dd"),INDEX(상세표[근무일자],$Q522)&amp;""))</f>
        <v/>
      </c>
      <c r="F522">
        <f>IF($Q522="","",IF(ISNUMBER(INDEX(상세표[시작],$Q522)),TEXT(INDEX(상세표[시작],$Q522),"yyyy-mm-dd hh:mm"),INDEX(상세표[시작],$Q522)&amp;""))</f>
        <v/>
      </c>
      <c r="G522">
        <f>IF($Q522="","",IF(ISNUMBER(INDEX(상세표[블록종료],$Q522)),TEXT(INDEX(상세표[블록종료],$Q522),"yyyy-mm-dd hh:mm"),INDEX(상세표[블록종료],$Q522)&amp;""))</f>
        <v/>
      </c>
      <c r="H522">
        <f>IF($Q522="","",CHOOSE(WEEKDAY(INDEX(상세표[시작],$Q522)),"일","월","화","수","목","금","토"))</f>
        <v/>
      </c>
      <c r="I522" s="20">
        <f>IF($Q522="","",INDEX(상세표[연속 시간],$Q522))</f>
        <v/>
      </c>
      <c r="J522">
        <f>IF($Q522="","",INDEX(상세표[기록 수],$Q522))</f>
        <v/>
      </c>
      <c r="K522" s="20">
        <f>IF($Q522="","",INDEX(상세표[블록 06~07시],$Q522))</f>
        <v/>
      </c>
      <c r="L522" s="20">
        <f>IF($Q522="","",INDEX(상세표[블록 07~18시],$Q522))</f>
        <v/>
      </c>
      <c r="M522" s="20">
        <f>IF($Q522="","",INDEX(상세표[블록 18~22시],$Q522))</f>
        <v/>
      </c>
      <c r="N522" s="20">
        <f>IF($Q522="","",INDEX(상세표[블록 22~06시],$Q522))</f>
        <v/>
      </c>
      <c r="O522">
        <f>IF($Q522="","",INDEX(상세표[주말·휴일 포함],$Q522)&amp;"")</f>
        <v/>
      </c>
      <c r="P522">
        <f>IF($Q522="","",INDEX(상세표[월 넘김 포함],$Q522)&amp;"")</f>
        <v/>
      </c>
      <c r="Q522" s="4">
        <f>IFERROR(MATCH(517,상세표[연속순번],0),"")</f>
        <v/>
      </c>
    </row>
    <row r="523">
      <c r="A523">
        <f>IF($Q523="","",INDEX(상세표[부서],$Q523)&amp;"")</f>
        <v/>
      </c>
      <c r="B523">
        <f>IF($Q523="","",INDEX(상세표[사번],$Q523)&amp;"")</f>
        <v/>
      </c>
      <c r="C523">
        <f>IF($Q523="","",INDEX(상세표[성명],$Q523)&amp;"")</f>
        <v/>
      </c>
      <c r="D523">
        <f>IF($Q523="","",INDEX(상세표[직위],$Q523)&amp;"")</f>
        <v/>
      </c>
      <c r="E523">
        <f>IF($Q523="","",IF(ISNUMBER(INDEX(상세표[근무일자],$Q523)),TEXT(INDEX(상세표[근무일자],$Q523),"yyyy-mm-dd"),INDEX(상세표[근무일자],$Q523)&amp;""))</f>
        <v/>
      </c>
      <c r="F523">
        <f>IF($Q523="","",IF(ISNUMBER(INDEX(상세표[시작],$Q523)),TEXT(INDEX(상세표[시작],$Q523),"yyyy-mm-dd hh:mm"),INDEX(상세표[시작],$Q523)&amp;""))</f>
        <v/>
      </c>
      <c r="G523">
        <f>IF($Q523="","",IF(ISNUMBER(INDEX(상세표[블록종료],$Q523)),TEXT(INDEX(상세표[블록종료],$Q523),"yyyy-mm-dd hh:mm"),INDEX(상세표[블록종료],$Q523)&amp;""))</f>
        <v/>
      </c>
      <c r="H523">
        <f>IF($Q523="","",CHOOSE(WEEKDAY(INDEX(상세표[시작],$Q523)),"일","월","화","수","목","금","토"))</f>
        <v/>
      </c>
      <c r="I523" s="20">
        <f>IF($Q523="","",INDEX(상세표[연속 시간],$Q523))</f>
        <v/>
      </c>
      <c r="J523">
        <f>IF($Q523="","",INDEX(상세표[기록 수],$Q523))</f>
        <v/>
      </c>
      <c r="K523" s="20">
        <f>IF($Q523="","",INDEX(상세표[블록 06~07시],$Q523))</f>
        <v/>
      </c>
      <c r="L523" s="20">
        <f>IF($Q523="","",INDEX(상세표[블록 07~18시],$Q523))</f>
        <v/>
      </c>
      <c r="M523" s="20">
        <f>IF($Q523="","",INDEX(상세표[블록 18~22시],$Q523))</f>
        <v/>
      </c>
      <c r="N523" s="20">
        <f>IF($Q523="","",INDEX(상세표[블록 22~06시],$Q523))</f>
        <v/>
      </c>
      <c r="O523">
        <f>IF($Q523="","",INDEX(상세표[주말·휴일 포함],$Q523)&amp;"")</f>
        <v/>
      </c>
      <c r="P523">
        <f>IF($Q523="","",INDEX(상세표[월 넘김 포함],$Q523)&amp;"")</f>
        <v/>
      </c>
      <c r="Q523" s="4">
        <f>IFERROR(MATCH(518,상세표[연속순번],0),"")</f>
        <v/>
      </c>
    </row>
    <row r="524">
      <c r="A524">
        <f>IF($Q524="","",INDEX(상세표[부서],$Q524)&amp;"")</f>
        <v/>
      </c>
      <c r="B524">
        <f>IF($Q524="","",INDEX(상세표[사번],$Q524)&amp;"")</f>
        <v/>
      </c>
      <c r="C524">
        <f>IF($Q524="","",INDEX(상세표[성명],$Q524)&amp;"")</f>
        <v/>
      </c>
      <c r="D524">
        <f>IF($Q524="","",INDEX(상세표[직위],$Q524)&amp;"")</f>
        <v/>
      </c>
      <c r="E524">
        <f>IF($Q524="","",IF(ISNUMBER(INDEX(상세표[근무일자],$Q524)),TEXT(INDEX(상세표[근무일자],$Q524),"yyyy-mm-dd"),INDEX(상세표[근무일자],$Q524)&amp;""))</f>
        <v/>
      </c>
      <c r="F524">
        <f>IF($Q524="","",IF(ISNUMBER(INDEX(상세표[시작],$Q524)),TEXT(INDEX(상세표[시작],$Q524),"yyyy-mm-dd hh:mm"),INDEX(상세표[시작],$Q524)&amp;""))</f>
        <v/>
      </c>
      <c r="G524">
        <f>IF($Q524="","",IF(ISNUMBER(INDEX(상세표[블록종료],$Q524)),TEXT(INDEX(상세표[블록종료],$Q524),"yyyy-mm-dd hh:mm"),INDEX(상세표[블록종료],$Q524)&amp;""))</f>
        <v/>
      </c>
      <c r="H524">
        <f>IF($Q524="","",CHOOSE(WEEKDAY(INDEX(상세표[시작],$Q524)),"일","월","화","수","목","금","토"))</f>
        <v/>
      </c>
      <c r="I524" s="20">
        <f>IF($Q524="","",INDEX(상세표[연속 시간],$Q524))</f>
        <v/>
      </c>
      <c r="J524">
        <f>IF($Q524="","",INDEX(상세표[기록 수],$Q524))</f>
        <v/>
      </c>
      <c r="K524" s="20">
        <f>IF($Q524="","",INDEX(상세표[블록 06~07시],$Q524))</f>
        <v/>
      </c>
      <c r="L524" s="20">
        <f>IF($Q524="","",INDEX(상세표[블록 07~18시],$Q524))</f>
        <v/>
      </c>
      <c r="M524" s="20">
        <f>IF($Q524="","",INDEX(상세표[블록 18~22시],$Q524))</f>
        <v/>
      </c>
      <c r="N524" s="20">
        <f>IF($Q524="","",INDEX(상세표[블록 22~06시],$Q524))</f>
        <v/>
      </c>
      <c r="O524">
        <f>IF($Q524="","",INDEX(상세표[주말·휴일 포함],$Q524)&amp;"")</f>
        <v/>
      </c>
      <c r="P524">
        <f>IF($Q524="","",INDEX(상세표[월 넘김 포함],$Q524)&amp;"")</f>
        <v/>
      </c>
      <c r="Q524" s="4">
        <f>IFERROR(MATCH(519,상세표[연속순번],0),"")</f>
        <v/>
      </c>
    </row>
    <row r="525">
      <c r="A525">
        <f>IF($Q525="","",INDEX(상세표[부서],$Q525)&amp;"")</f>
        <v/>
      </c>
      <c r="B525">
        <f>IF($Q525="","",INDEX(상세표[사번],$Q525)&amp;"")</f>
        <v/>
      </c>
      <c r="C525">
        <f>IF($Q525="","",INDEX(상세표[성명],$Q525)&amp;"")</f>
        <v/>
      </c>
      <c r="D525">
        <f>IF($Q525="","",INDEX(상세표[직위],$Q525)&amp;"")</f>
        <v/>
      </c>
      <c r="E525">
        <f>IF($Q525="","",IF(ISNUMBER(INDEX(상세표[근무일자],$Q525)),TEXT(INDEX(상세표[근무일자],$Q525),"yyyy-mm-dd"),INDEX(상세표[근무일자],$Q525)&amp;""))</f>
        <v/>
      </c>
      <c r="F525">
        <f>IF($Q525="","",IF(ISNUMBER(INDEX(상세표[시작],$Q525)),TEXT(INDEX(상세표[시작],$Q525),"yyyy-mm-dd hh:mm"),INDEX(상세표[시작],$Q525)&amp;""))</f>
        <v/>
      </c>
      <c r="G525">
        <f>IF($Q525="","",IF(ISNUMBER(INDEX(상세표[블록종료],$Q525)),TEXT(INDEX(상세표[블록종료],$Q525),"yyyy-mm-dd hh:mm"),INDEX(상세표[블록종료],$Q525)&amp;""))</f>
        <v/>
      </c>
      <c r="H525">
        <f>IF($Q525="","",CHOOSE(WEEKDAY(INDEX(상세표[시작],$Q525)),"일","월","화","수","목","금","토"))</f>
        <v/>
      </c>
      <c r="I525" s="20">
        <f>IF($Q525="","",INDEX(상세표[연속 시간],$Q525))</f>
        <v/>
      </c>
      <c r="J525">
        <f>IF($Q525="","",INDEX(상세표[기록 수],$Q525))</f>
        <v/>
      </c>
      <c r="K525" s="20">
        <f>IF($Q525="","",INDEX(상세표[블록 06~07시],$Q525))</f>
        <v/>
      </c>
      <c r="L525" s="20">
        <f>IF($Q525="","",INDEX(상세표[블록 07~18시],$Q525))</f>
        <v/>
      </c>
      <c r="M525" s="20">
        <f>IF($Q525="","",INDEX(상세표[블록 18~22시],$Q525))</f>
        <v/>
      </c>
      <c r="N525" s="20">
        <f>IF($Q525="","",INDEX(상세표[블록 22~06시],$Q525))</f>
        <v/>
      </c>
      <c r="O525">
        <f>IF($Q525="","",INDEX(상세표[주말·휴일 포함],$Q525)&amp;"")</f>
        <v/>
      </c>
      <c r="P525">
        <f>IF($Q525="","",INDEX(상세표[월 넘김 포함],$Q525)&amp;"")</f>
        <v/>
      </c>
      <c r="Q525" s="4">
        <f>IFERROR(MATCH(520,상세표[연속순번],0),"")</f>
        <v/>
      </c>
    </row>
    <row r="526">
      <c r="A526">
        <f>IF($Q526="","",INDEX(상세표[부서],$Q526)&amp;"")</f>
        <v/>
      </c>
      <c r="B526">
        <f>IF($Q526="","",INDEX(상세표[사번],$Q526)&amp;"")</f>
        <v/>
      </c>
      <c r="C526">
        <f>IF($Q526="","",INDEX(상세표[성명],$Q526)&amp;"")</f>
        <v/>
      </c>
      <c r="D526">
        <f>IF($Q526="","",INDEX(상세표[직위],$Q526)&amp;"")</f>
        <v/>
      </c>
      <c r="E526">
        <f>IF($Q526="","",IF(ISNUMBER(INDEX(상세표[근무일자],$Q526)),TEXT(INDEX(상세표[근무일자],$Q526),"yyyy-mm-dd"),INDEX(상세표[근무일자],$Q526)&amp;""))</f>
        <v/>
      </c>
      <c r="F526">
        <f>IF($Q526="","",IF(ISNUMBER(INDEX(상세표[시작],$Q526)),TEXT(INDEX(상세표[시작],$Q526),"yyyy-mm-dd hh:mm"),INDEX(상세표[시작],$Q526)&amp;""))</f>
        <v/>
      </c>
      <c r="G526">
        <f>IF($Q526="","",IF(ISNUMBER(INDEX(상세표[블록종료],$Q526)),TEXT(INDEX(상세표[블록종료],$Q526),"yyyy-mm-dd hh:mm"),INDEX(상세표[블록종료],$Q526)&amp;""))</f>
        <v/>
      </c>
      <c r="H526">
        <f>IF($Q526="","",CHOOSE(WEEKDAY(INDEX(상세표[시작],$Q526)),"일","월","화","수","목","금","토"))</f>
        <v/>
      </c>
      <c r="I526" s="20">
        <f>IF($Q526="","",INDEX(상세표[연속 시간],$Q526))</f>
        <v/>
      </c>
      <c r="J526">
        <f>IF($Q526="","",INDEX(상세표[기록 수],$Q526))</f>
        <v/>
      </c>
      <c r="K526" s="20">
        <f>IF($Q526="","",INDEX(상세표[블록 06~07시],$Q526))</f>
        <v/>
      </c>
      <c r="L526" s="20">
        <f>IF($Q526="","",INDEX(상세표[블록 07~18시],$Q526))</f>
        <v/>
      </c>
      <c r="M526" s="20">
        <f>IF($Q526="","",INDEX(상세표[블록 18~22시],$Q526))</f>
        <v/>
      </c>
      <c r="N526" s="20">
        <f>IF($Q526="","",INDEX(상세표[블록 22~06시],$Q526))</f>
        <v/>
      </c>
      <c r="O526">
        <f>IF($Q526="","",INDEX(상세표[주말·휴일 포함],$Q526)&amp;"")</f>
        <v/>
      </c>
      <c r="P526">
        <f>IF($Q526="","",INDEX(상세표[월 넘김 포함],$Q526)&amp;"")</f>
        <v/>
      </c>
      <c r="Q526" s="4">
        <f>IFERROR(MATCH(521,상세표[연속순번],0),"")</f>
        <v/>
      </c>
    </row>
    <row r="527">
      <c r="A527">
        <f>IF($Q527="","",INDEX(상세표[부서],$Q527)&amp;"")</f>
        <v/>
      </c>
      <c r="B527">
        <f>IF($Q527="","",INDEX(상세표[사번],$Q527)&amp;"")</f>
        <v/>
      </c>
      <c r="C527">
        <f>IF($Q527="","",INDEX(상세표[성명],$Q527)&amp;"")</f>
        <v/>
      </c>
      <c r="D527">
        <f>IF($Q527="","",INDEX(상세표[직위],$Q527)&amp;"")</f>
        <v/>
      </c>
      <c r="E527">
        <f>IF($Q527="","",IF(ISNUMBER(INDEX(상세표[근무일자],$Q527)),TEXT(INDEX(상세표[근무일자],$Q527),"yyyy-mm-dd"),INDEX(상세표[근무일자],$Q527)&amp;""))</f>
        <v/>
      </c>
      <c r="F527">
        <f>IF($Q527="","",IF(ISNUMBER(INDEX(상세표[시작],$Q527)),TEXT(INDEX(상세표[시작],$Q527),"yyyy-mm-dd hh:mm"),INDEX(상세표[시작],$Q527)&amp;""))</f>
        <v/>
      </c>
      <c r="G527">
        <f>IF($Q527="","",IF(ISNUMBER(INDEX(상세표[블록종료],$Q527)),TEXT(INDEX(상세표[블록종료],$Q527),"yyyy-mm-dd hh:mm"),INDEX(상세표[블록종료],$Q527)&amp;""))</f>
        <v/>
      </c>
      <c r="H527">
        <f>IF($Q527="","",CHOOSE(WEEKDAY(INDEX(상세표[시작],$Q527)),"일","월","화","수","목","금","토"))</f>
        <v/>
      </c>
      <c r="I527" s="20">
        <f>IF($Q527="","",INDEX(상세표[연속 시간],$Q527))</f>
        <v/>
      </c>
      <c r="J527">
        <f>IF($Q527="","",INDEX(상세표[기록 수],$Q527))</f>
        <v/>
      </c>
      <c r="K527" s="20">
        <f>IF($Q527="","",INDEX(상세표[블록 06~07시],$Q527))</f>
        <v/>
      </c>
      <c r="L527" s="20">
        <f>IF($Q527="","",INDEX(상세표[블록 07~18시],$Q527))</f>
        <v/>
      </c>
      <c r="M527" s="20">
        <f>IF($Q527="","",INDEX(상세표[블록 18~22시],$Q527))</f>
        <v/>
      </c>
      <c r="N527" s="20">
        <f>IF($Q527="","",INDEX(상세표[블록 22~06시],$Q527))</f>
        <v/>
      </c>
      <c r="O527">
        <f>IF($Q527="","",INDEX(상세표[주말·휴일 포함],$Q527)&amp;"")</f>
        <v/>
      </c>
      <c r="P527">
        <f>IF($Q527="","",INDEX(상세표[월 넘김 포함],$Q527)&amp;"")</f>
        <v/>
      </c>
      <c r="Q527" s="4">
        <f>IFERROR(MATCH(522,상세표[연속순번],0),"")</f>
        <v/>
      </c>
    </row>
    <row r="528">
      <c r="A528">
        <f>IF($Q528="","",INDEX(상세표[부서],$Q528)&amp;"")</f>
        <v/>
      </c>
      <c r="B528">
        <f>IF($Q528="","",INDEX(상세표[사번],$Q528)&amp;"")</f>
        <v/>
      </c>
      <c r="C528">
        <f>IF($Q528="","",INDEX(상세표[성명],$Q528)&amp;"")</f>
        <v/>
      </c>
      <c r="D528">
        <f>IF($Q528="","",INDEX(상세표[직위],$Q528)&amp;"")</f>
        <v/>
      </c>
      <c r="E528">
        <f>IF($Q528="","",IF(ISNUMBER(INDEX(상세표[근무일자],$Q528)),TEXT(INDEX(상세표[근무일자],$Q528),"yyyy-mm-dd"),INDEX(상세표[근무일자],$Q528)&amp;""))</f>
        <v/>
      </c>
      <c r="F528">
        <f>IF($Q528="","",IF(ISNUMBER(INDEX(상세표[시작],$Q528)),TEXT(INDEX(상세표[시작],$Q528),"yyyy-mm-dd hh:mm"),INDEX(상세표[시작],$Q528)&amp;""))</f>
        <v/>
      </c>
      <c r="G528">
        <f>IF($Q528="","",IF(ISNUMBER(INDEX(상세표[블록종료],$Q528)),TEXT(INDEX(상세표[블록종료],$Q528),"yyyy-mm-dd hh:mm"),INDEX(상세표[블록종료],$Q528)&amp;""))</f>
        <v/>
      </c>
      <c r="H528">
        <f>IF($Q528="","",CHOOSE(WEEKDAY(INDEX(상세표[시작],$Q528)),"일","월","화","수","목","금","토"))</f>
        <v/>
      </c>
      <c r="I528" s="20">
        <f>IF($Q528="","",INDEX(상세표[연속 시간],$Q528))</f>
        <v/>
      </c>
      <c r="J528">
        <f>IF($Q528="","",INDEX(상세표[기록 수],$Q528))</f>
        <v/>
      </c>
      <c r="K528" s="20">
        <f>IF($Q528="","",INDEX(상세표[블록 06~07시],$Q528))</f>
        <v/>
      </c>
      <c r="L528" s="20">
        <f>IF($Q528="","",INDEX(상세표[블록 07~18시],$Q528))</f>
        <v/>
      </c>
      <c r="M528" s="20">
        <f>IF($Q528="","",INDEX(상세표[블록 18~22시],$Q528))</f>
        <v/>
      </c>
      <c r="N528" s="20">
        <f>IF($Q528="","",INDEX(상세표[블록 22~06시],$Q528))</f>
        <v/>
      </c>
      <c r="O528">
        <f>IF($Q528="","",INDEX(상세표[주말·휴일 포함],$Q528)&amp;"")</f>
        <v/>
      </c>
      <c r="P528">
        <f>IF($Q528="","",INDEX(상세표[월 넘김 포함],$Q528)&amp;"")</f>
        <v/>
      </c>
      <c r="Q528" s="4">
        <f>IFERROR(MATCH(523,상세표[연속순번],0),"")</f>
        <v/>
      </c>
    </row>
    <row r="529">
      <c r="A529">
        <f>IF($Q529="","",INDEX(상세표[부서],$Q529)&amp;"")</f>
        <v/>
      </c>
      <c r="B529">
        <f>IF($Q529="","",INDEX(상세표[사번],$Q529)&amp;"")</f>
        <v/>
      </c>
      <c r="C529">
        <f>IF($Q529="","",INDEX(상세표[성명],$Q529)&amp;"")</f>
        <v/>
      </c>
      <c r="D529">
        <f>IF($Q529="","",INDEX(상세표[직위],$Q529)&amp;"")</f>
        <v/>
      </c>
      <c r="E529">
        <f>IF($Q529="","",IF(ISNUMBER(INDEX(상세표[근무일자],$Q529)),TEXT(INDEX(상세표[근무일자],$Q529),"yyyy-mm-dd"),INDEX(상세표[근무일자],$Q529)&amp;""))</f>
        <v/>
      </c>
      <c r="F529">
        <f>IF($Q529="","",IF(ISNUMBER(INDEX(상세표[시작],$Q529)),TEXT(INDEX(상세표[시작],$Q529),"yyyy-mm-dd hh:mm"),INDEX(상세표[시작],$Q529)&amp;""))</f>
        <v/>
      </c>
      <c r="G529">
        <f>IF($Q529="","",IF(ISNUMBER(INDEX(상세표[블록종료],$Q529)),TEXT(INDEX(상세표[블록종료],$Q529),"yyyy-mm-dd hh:mm"),INDEX(상세표[블록종료],$Q529)&amp;""))</f>
        <v/>
      </c>
      <c r="H529">
        <f>IF($Q529="","",CHOOSE(WEEKDAY(INDEX(상세표[시작],$Q529)),"일","월","화","수","목","금","토"))</f>
        <v/>
      </c>
      <c r="I529" s="20">
        <f>IF($Q529="","",INDEX(상세표[연속 시간],$Q529))</f>
        <v/>
      </c>
      <c r="J529">
        <f>IF($Q529="","",INDEX(상세표[기록 수],$Q529))</f>
        <v/>
      </c>
      <c r="K529" s="20">
        <f>IF($Q529="","",INDEX(상세표[블록 06~07시],$Q529))</f>
        <v/>
      </c>
      <c r="L529" s="20">
        <f>IF($Q529="","",INDEX(상세표[블록 07~18시],$Q529))</f>
        <v/>
      </c>
      <c r="M529" s="20">
        <f>IF($Q529="","",INDEX(상세표[블록 18~22시],$Q529))</f>
        <v/>
      </c>
      <c r="N529" s="20">
        <f>IF($Q529="","",INDEX(상세표[블록 22~06시],$Q529))</f>
        <v/>
      </c>
      <c r="O529">
        <f>IF($Q529="","",INDEX(상세표[주말·휴일 포함],$Q529)&amp;"")</f>
        <v/>
      </c>
      <c r="P529">
        <f>IF($Q529="","",INDEX(상세표[월 넘김 포함],$Q529)&amp;"")</f>
        <v/>
      </c>
      <c r="Q529" s="4">
        <f>IFERROR(MATCH(524,상세표[연속순번],0),"")</f>
        <v/>
      </c>
    </row>
    <row r="530">
      <c r="A530">
        <f>IF($Q530="","",INDEX(상세표[부서],$Q530)&amp;"")</f>
        <v/>
      </c>
      <c r="B530">
        <f>IF($Q530="","",INDEX(상세표[사번],$Q530)&amp;"")</f>
        <v/>
      </c>
      <c r="C530">
        <f>IF($Q530="","",INDEX(상세표[성명],$Q530)&amp;"")</f>
        <v/>
      </c>
      <c r="D530">
        <f>IF($Q530="","",INDEX(상세표[직위],$Q530)&amp;"")</f>
        <v/>
      </c>
      <c r="E530">
        <f>IF($Q530="","",IF(ISNUMBER(INDEX(상세표[근무일자],$Q530)),TEXT(INDEX(상세표[근무일자],$Q530),"yyyy-mm-dd"),INDEX(상세표[근무일자],$Q530)&amp;""))</f>
        <v/>
      </c>
      <c r="F530">
        <f>IF($Q530="","",IF(ISNUMBER(INDEX(상세표[시작],$Q530)),TEXT(INDEX(상세표[시작],$Q530),"yyyy-mm-dd hh:mm"),INDEX(상세표[시작],$Q530)&amp;""))</f>
        <v/>
      </c>
      <c r="G530">
        <f>IF($Q530="","",IF(ISNUMBER(INDEX(상세표[블록종료],$Q530)),TEXT(INDEX(상세표[블록종료],$Q530),"yyyy-mm-dd hh:mm"),INDEX(상세표[블록종료],$Q530)&amp;""))</f>
        <v/>
      </c>
      <c r="H530">
        <f>IF($Q530="","",CHOOSE(WEEKDAY(INDEX(상세표[시작],$Q530)),"일","월","화","수","목","금","토"))</f>
        <v/>
      </c>
      <c r="I530" s="20">
        <f>IF($Q530="","",INDEX(상세표[연속 시간],$Q530))</f>
        <v/>
      </c>
      <c r="J530">
        <f>IF($Q530="","",INDEX(상세표[기록 수],$Q530))</f>
        <v/>
      </c>
      <c r="K530" s="20">
        <f>IF($Q530="","",INDEX(상세표[블록 06~07시],$Q530))</f>
        <v/>
      </c>
      <c r="L530" s="20">
        <f>IF($Q530="","",INDEX(상세표[블록 07~18시],$Q530))</f>
        <v/>
      </c>
      <c r="M530" s="20">
        <f>IF($Q530="","",INDEX(상세표[블록 18~22시],$Q530))</f>
        <v/>
      </c>
      <c r="N530" s="20">
        <f>IF($Q530="","",INDEX(상세표[블록 22~06시],$Q530))</f>
        <v/>
      </c>
      <c r="O530">
        <f>IF($Q530="","",INDEX(상세표[주말·휴일 포함],$Q530)&amp;"")</f>
        <v/>
      </c>
      <c r="P530">
        <f>IF($Q530="","",INDEX(상세표[월 넘김 포함],$Q530)&amp;"")</f>
        <v/>
      </c>
      <c r="Q530" s="4">
        <f>IFERROR(MATCH(525,상세표[연속순번],0),"")</f>
        <v/>
      </c>
    </row>
    <row r="531">
      <c r="A531">
        <f>IF($Q531="","",INDEX(상세표[부서],$Q531)&amp;"")</f>
        <v/>
      </c>
      <c r="B531">
        <f>IF($Q531="","",INDEX(상세표[사번],$Q531)&amp;"")</f>
        <v/>
      </c>
      <c r="C531">
        <f>IF($Q531="","",INDEX(상세표[성명],$Q531)&amp;"")</f>
        <v/>
      </c>
      <c r="D531">
        <f>IF($Q531="","",INDEX(상세표[직위],$Q531)&amp;"")</f>
        <v/>
      </c>
      <c r="E531">
        <f>IF($Q531="","",IF(ISNUMBER(INDEX(상세표[근무일자],$Q531)),TEXT(INDEX(상세표[근무일자],$Q531),"yyyy-mm-dd"),INDEX(상세표[근무일자],$Q531)&amp;""))</f>
        <v/>
      </c>
      <c r="F531">
        <f>IF($Q531="","",IF(ISNUMBER(INDEX(상세표[시작],$Q531)),TEXT(INDEX(상세표[시작],$Q531),"yyyy-mm-dd hh:mm"),INDEX(상세표[시작],$Q531)&amp;""))</f>
        <v/>
      </c>
      <c r="G531">
        <f>IF($Q531="","",IF(ISNUMBER(INDEX(상세표[블록종료],$Q531)),TEXT(INDEX(상세표[블록종료],$Q531),"yyyy-mm-dd hh:mm"),INDEX(상세표[블록종료],$Q531)&amp;""))</f>
        <v/>
      </c>
      <c r="H531">
        <f>IF($Q531="","",CHOOSE(WEEKDAY(INDEX(상세표[시작],$Q531)),"일","월","화","수","목","금","토"))</f>
        <v/>
      </c>
      <c r="I531" s="20">
        <f>IF($Q531="","",INDEX(상세표[연속 시간],$Q531))</f>
        <v/>
      </c>
      <c r="J531">
        <f>IF($Q531="","",INDEX(상세표[기록 수],$Q531))</f>
        <v/>
      </c>
      <c r="K531" s="20">
        <f>IF($Q531="","",INDEX(상세표[블록 06~07시],$Q531))</f>
        <v/>
      </c>
      <c r="L531" s="20">
        <f>IF($Q531="","",INDEX(상세표[블록 07~18시],$Q531))</f>
        <v/>
      </c>
      <c r="M531" s="20">
        <f>IF($Q531="","",INDEX(상세표[블록 18~22시],$Q531))</f>
        <v/>
      </c>
      <c r="N531" s="20">
        <f>IF($Q531="","",INDEX(상세표[블록 22~06시],$Q531))</f>
        <v/>
      </c>
      <c r="O531">
        <f>IF($Q531="","",INDEX(상세표[주말·휴일 포함],$Q531)&amp;"")</f>
        <v/>
      </c>
      <c r="P531">
        <f>IF($Q531="","",INDEX(상세표[월 넘김 포함],$Q531)&amp;"")</f>
        <v/>
      </c>
      <c r="Q531" s="4">
        <f>IFERROR(MATCH(526,상세표[연속순번],0),"")</f>
        <v/>
      </c>
    </row>
    <row r="532">
      <c r="A532">
        <f>IF($Q532="","",INDEX(상세표[부서],$Q532)&amp;"")</f>
        <v/>
      </c>
      <c r="B532">
        <f>IF($Q532="","",INDEX(상세표[사번],$Q532)&amp;"")</f>
        <v/>
      </c>
      <c r="C532">
        <f>IF($Q532="","",INDEX(상세표[성명],$Q532)&amp;"")</f>
        <v/>
      </c>
      <c r="D532">
        <f>IF($Q532="","",INDEX(상세표[직위],$Q532)&amp;"")</f>
        <v/>
      </c>
      <c r="E532">
        <f>IF($Q532="","",IF(ISNUMBER(INDEX(상세표[근무일자],$Q532)),TEXT(INDEX(상세표[근무일자],$Q532),"yyyy-mm-dd"),INDEX(상세표[근무일자],$Q532)&amp;""))</f>
        <v/>
      </c>
      <c r="F532">
        <f>IF($Q532="","",IF(ISNUMBER(INDEX(상세표[시작],$Q532)),TEXT(INDEX(상세표[시작],$Q532),"yyyy-mm-dd hh:mm"),INDEX(상세표[시작],$Q532)&amp;""))</f>
        <v/>
      </c>
      <c r="G532">
        <f>IF($Q532="","",IF(ISNUMBER(INDEX(상세표[블록종료],$Q532)),TEXT(INDEX(상세표[블록종료],$Q532),"yyyy-mm-dd hh:mm"),INDEX(상세표[블록종료],$Q532)&amp;""))</f>
        <v/>
      </c>
      <c r="H532">
        <f>IF($Q532="","",CHOOSE(WEEKDAY(INDEX(상세표[시작],$Q532)),"일","월","화","수","목","금","토"))</f>
        <v/>
      </c>
      <c r="I532" s="20">
        <f>IF($Q532="","",INDEX(상세표[연속 시간],$Q532))</f>
        <v/>
      </c>
      <c r="J532">
        <f>IF($Q532="","",INDEX(상세표[기록 수],$Q532))</f>
        <v/>
      </c>
      <c r="K532" s="20">
        <f>IF($Q532="","",INDEX(상세표[블록 06~07시],$Q532))</f>
        <v/>
      </c>
      <c r="L532" s="20">
        <f>IF($Q532="","",INDEX(상세표[블록 07~18시],$Q532))</f>
        <v/>
      </c>
      <c r="M532" s="20">
        <f>IF($Q532="","",INDEX(상세표[블록 18~22시],$Q532))</f>
        <v/>
      </c>
      <c r="N532" s="20">
        <f>IF($Q532="","",INDEX(상세표[블록 22~06시],$Q532))</f>
        <v/>
      </c>
      <c r="O532">
        <f>IF($Q532="","",INDEX(상세표[주말·휴일 포함],$Q532)&amp;"")</f>
        <v/>
      </c>
      <c r="P532">
        <f>IF($Q532="","",INDEX(상세표[월 넘김 포함],$Q532)&amp;"")</f>
        <v/>
      </c>
      <c r="Q532" s="4">
        <f>IFERROR(MATCH(527,상세표[연속순번],0),"")</f>
        <v/>
      </c>
    </row>
    <row r="533">
      <c r="A533">
        <f>IF($Q533="","",INDEX(상세표[부서],$Q533)&amp;"")</f>
        <v/>
      </c>
      <c r="B533">
        <f>IF($Q533="","",INDEX(상세표[사번],$Q533)&amp;"")</f>
        <v/>
      </c>
      <c r="C533">
        <f>IF($Q533="","",INDEX(상세표[성명],$Q533)&amp;"")</f>
        <v/>
      </c>
      <c r="D533">
        <f>IF($Q533="","",INDEX(상세표[직위],$Q533)&amp;"")</f>
        <v/>
      </c>
      <c r="E533">
        <f>IF($Q533="","",IF(ISNUMBER(INDEX(상세표[근무일자],$Q533)),TEXT(INDEX(상세표[근무일자],$Q533),"yyyy-mm-dd"),INDEX(상세표[근무일자],$Q533)&amp;""))</f>
        <v/>
      </c>
      <c r="F533">
        <f>IF($Q533="","",IF(ISNUMBER(INDEX(상세표[시작],$Q533)),TEXT(INDEX(상세표[시작],$Q533),"yyyy-mm-dd hh:mm"),INDEX(상세표[시작],$Q533)&amp;""))</f>
        <v/>
      </c>
      <c r="G533">
        <f>IF($Q533="","",IF(ISNUMBER(INDEX(상세표[블록종료],$Q533)),TEXT(INDEX(상세표[블록종료],$Q533),"yyyy-mm-dd hh:mm"),INDEX(상세표[블록종료],$Q533)&amp;""))</f>
        <v/>
      </c>
      <c r="H533">
        <f>IF($Q533="","",CHOOSE(WEEKDAY(INDEX(상세표[시작],$Q533)),"일","월","화","수","목","금","토"))</f>
        <v/>
      </c>
      <c r="I533" s="20">
        <f>IF($Q533="","",INDEX(상세표[연속 시간],$Q533))</f>
        <v/>
      </c>
      <c r="J533">
        <f>IF($Q533="","",INDEX(상세표[기록 수],$Q533))</f>
        <v/>
      </c>
      <c r="K533" s="20">
        <f>IF($Q533="","",INDEX(상세표[블록 06~07시],$Q533))</f>
        <v/>
      </c>
      <c r="L533" s="20">
        <f>IF($Q533="","",INDEX(상세표[블록 07~18시],$Q533))</f>
        <v/>
      </c>
      <c r="M533" s="20">
        <f>IF($Q533="","",INDEX(상세표[블록 18~22시],$Q533))</f>
        <v/>
      </c>
      <c r="N533" s="20">
        <f>IF($Q533="","",INDEX(상세표[블록 22~06시],$Q533))</f>
        <v/>
      </c>
      <c r="O533">
        <f>IF($Q533="","",INDEX(상세표[주말·휴일 포함],$Q533)&amp;"")</f>
        <v/>
      </c>
      <c r="P533">
        <f>IF($Q533="","",INDEX(상세표[월 넘김 포함],$Q533)&amp;"")</f>
        <v/>
      </c>
      <c r="Q533" s="4">
        <f>IFERROR(MATCH(528,상세표[연속순번],0),"")</f>
        <v/>
      </c>
    </row>
    <row r="534">
      <c r="A534">
        <f>IF($Q534="","",INDEX(상세표[부서],$Q534)&amp;"")</f>
        <v/>
      </c>
      <c r="B534">
        <f>IF($Q534="","",INDEX(상세표[사번],$Q534)&amp;"")</f>
        <v/>
      </c>
      <c r="C534">
        <f>IF($Q534="","",INDEX(상세표[성명],$Q534)&amp;"")</f>
        <v/>
      </c>
      <c r="D534">
        <f>IF($Q534="","",INDEX(상세표[직위],$Q534)&amp;"")</f>
        <v/>
      </c>
      <c r="E534">
        <f>IF($Q534="","",IF(ISNUMBER(INDEX(상세표[근무일자],$Q534)),TEXT(INDEX(상세표[근무일자],$Q534),"yyyy-mm-dd"),INDEX(상세표[근무일자],$Q534)&amp;""))</f>
        <v/>
      </c>
      <c r="F534">
        <f>IF($Q534="","",IF(ISNUMBER(INDEX(상세표[시작],$Q534)),TEXT(INDEX(상세표[시작],$Q534),"yyyy-mm-dd hh:mm"),INDEX(상세표[시작],$Q534)&amp;""))</f>
        <v/>
      </c>
      <c r="G534">
        <f>IF($Q534="","",IF(ISNUMBER(INDEX(상세표[블록종료],$Q534)),TEXT(INDEX(상세표[블록종료],$Q534),"yyyy-mm-dd hh:mm"),INDEX(상세표[블록종료],$Q534)&amp;""))</f>
        <v/>
      </c>
      <c r="H534">
        <f>IF($Q534="","",CHOOSE(WEEKDAY(INDEX(상세표[시작],$Q534)),"일","월","화","수","목","금","토"))</f>
        <v/>
      </c>
      <c r="I534" s="20">
        <f>IF($Q534="","",INDEX(상세표[연속 시간],$Q534))</f>
        <v/>
      </c>
      <c r="J534">
        <f>IF($Q534="","",INDEX(상세표[기록 수],$Q534))</f>
        <v/>
      </c>
      <c r="K534" s="20">
        <f>IF($Q534="","",INDEX(상세표[블록 06~07시],$Q534))</f>
        <v/>
      </c>
      <c r="L534" s="20">
        <f>IF($Q534="","",INDEX(상세표[블록 07~18시],$Q534))</f>
        <v/>
      </c>
      <c r="M534" s="20">
        <f>IF($Q534="","",INDEX(상세표[블록 18~22시],$Q534))</f>
        <v/>
      </c>
      <c r="N534" s="20">
        <f>IF($Q534="","",INDEX(상세표[블록 22~06시],$Q534))</f>
        <v/>
      </c>
      <c r="O534">
        <f>IF($Q534="","",INDEX(상세표[주말·휴일 포함],$Q534)&amp;"")</f>
        <v/>
      </c>
      <c r="P534">
        <f>IF($Q534="","",INDEX(상세표[월 넘김 포함],$Q534)&amp;"")</f>
        <v/>
      </c>
      <c r="Q534" s="4">
        <f>IFERROR(MATCH(529,상세표[연속순번],0),"")</f>
        <v/>
      </c>
    </row>
    <row r="535">
      <c r="A535">
        <f>IF($Q535="","",INDEX(상세표[부서],$Q535)&amp;"")</f>
        <v/>
      </c>
      <c r="B535">
        <f>IF($Q535="","",INDEX(상세표[사번],$Q535)&amp;"")</f>
        <v/>
      </c>
      <c r="C535">
        <f>IF($Q535="","",INDEX(상세표[성명],$Q535)&amp;"")</f>
        <v/>
      </c>
      <c r="D535">
        <f>IF($Q535="","",INDEX(상세표[직위],$Q535)&amp;"")</f>
        <v/>
      </c>
      <c r="E535">
        <f>IF($Q535="","",IF(ISNUMBER(INDEX(상세표[근무일자],$Q535)),TEXT(INDEX(상세표[근무일자],$Q535),"yyyy-mm-dd"),INDEX(상세표[근무일자],$Q535)&amp;""))</f>
        <v/>
      </c>
      <c r="F535">
        <f>IF($Q535="","",IF(ISNUMBER(INDEX(상세표[시작],$Q535)),TEXT(INDEX(상세표[시작],$Q535),"yyyy-mm-dd hh:mm"),INDEX(상세표[시작],$Q535)&amp;""))</f>
        <v/>
      </c>
      <c r="G535">
        <f>IF($Q535="","",IF(ISNUMBER(INDEX(상세표[블록종료],$Q535)),TEXT(INDEX(상세표[블록종료],$Q535),"yyyy-mm-dd hh:mm"),INDEX(상세표[블록종료],$Q535)&amp;""))</f>
        <v/>
      </c>
      <c r="H535">
        <f>IF($Q535="","",CHOOSE(WEEKDAY(INDEX(상세표[시작],$Q535)),"일","월","화","수","목","금","토"))</f>
        <v/>
      </c>
      <c r="I535" s="20">
        <f>IF($Q535="","",INDEX(상세표[연속 시간],$Q535))</f>
        <v/>
      </c>
      <c r="J535">
        <f>IF($Q535="","",INDEX(상세표[기록 수],$Q535))</f>
        <v/>
      </c>
      <c r="K535" s="20">
        <f>IF($Q535="","",INDEX(상세표[블록 06~07시],$Q535))</f>
        <v/>
      </c>
      <c r="L535" s="20">
        <f>IF($Q535="","",INDEX(상세표[블록 07~18시],$Q535))</f>
        <v/>
      </c>
      <c r="M535" s="20">
        <f>IF($Q535="","",INDEX(상세표[블록 18~22시],$Q535))</f>
        <v/>
      </c>
      <c r="N535" s="20">
        <f>IF($Q535="","",INDEX(상세표[블록 22~06시],$Q535))</f>
        <v/>
      </c>
      <c r="O535">
        <f>IF($Q535="","",INDEX(상세표[주말·휴일 포함],$Q535)&amp;"")</f>
        <v/>
      </c>
      <c r="P535">
        <f>IF($Q535="","",INDEX(상세표[월 넘김 포함],$Q535)&amp;"")</f>
        <v/>
      </c>
      <c r="Q535" s="4">
        <f>IFERROR(MATCH(530,상세표[연속순번],0),"")</f>
        <v/>
      </c>
    </row>
    <row r="536">
      <c r="A536">
        <f>IF($Q536="","",INDEX(상세표[부서],$Q536)&amp;"")</f>
        <v/>
      </c>
      <c r="B536">
        <f>IF($Q536="","",INDEX(상세표[사번],$Q536)&amp;"")</f>
        <v/>
      </c>
      <c r="C536">
        <f>IF($Q536="","",INDEX(상세표[성명],$Q536)&amp;"")</f>
        <v/>
      </c>
      <c r="D536">
        <f>IF($Q536="","",INDEX(상세표[직위],$Q536)&amp;"")</f>
        <v/>
      </c>
      <c r="E536">
        <f>IF($Q536="","",IF(ISNUMBER(INDEX(상세표[근무일자],$Q536)),TEXT(INDEX(상세표[근무일자],$Q536),"yyyy-mm-dd"),INDEX(상세표[근무일자],$Q536)&amp;""))</f>
        <v/>
      </c>
      <c r="F536">
        <f>IF($Q536="","",IF(ISNUMBER(INDEX(상세표[시작],$Q536)),TEXT(INDEX(상세표[시작],$Q536),"yyyy-mm-dd hh:mm"),INDEX(상세표[시작],$Q536)&amp;""))</f>
        <v/>
      </c>
      <c r="G536">
        <f>IF($Q536="","",IF(ISNUMBER(INDEX(상세표[블록종료],$Q536)),TEXT(INDEX(상세표[블록종료],$Q536),"yyyy-mm-dd hh:mm"),INDEX(상세표[블록종료],$Q536)&amp;""))</f>
        <v/>
      </c>
      <c r="H536">
        <f>IF($Q536="","",CHOOSE(WEEKDAY(INDEX(상세표[시작],$Q536)),"일","월","화","수","목","금","토"))</f>
        <v/>
      </c>
      <c r="I536" s="20">
        <f>IF($Q536="","",INDEX(상세표[연속 시간],$Q536))</f>
        <v/>
      </c>
      <c r="J536">
        <f>IF($Q536="","",INDEX(상세표[기록 수],$Q536))</f>
        <v/>
      </c>
      <c r="K536" s="20">
        <f>IF($Q536="","",INDEX(상세표[블록 06~07시],$Q536))</f>
        <v/>
      </c>
      <c r="L536" s="20">
        <f>IF($Q536="","",INDEX(상세표[블록 07~18시],$Q536))</f>
        <v/>
      </c>
      <c r="M536" s="20">
        <f>IF($Q536="","",INDEX(상세표[블록 18~22시],$Q536))</f>
        <v/>
      </c>
      <c r="N536" s="20">
        <f>IF($Q536="","",INDEX(상세표[블록 22~06시],$Q536))</f>
        <v/>
      </c>
      <c r="O536">
        <f>IF($Q536="","",INDEX(상세표[주말·휴일 포함],$Q536)&amp;"")</f>
        <v/>
      </c>
      <c r="P536">
        <f>IF($Q536="","",INDEX(상세표[월 넘김 포함],$Q536)&amp;"")</f>
        <v/>
      </c>
      <c r="Q536" s="4">
        <f>IFERROR(MATCH(531,상세표[연속순번],0),"")</f>
        <v/>
      </c>
    </row>
    <row r="537">
      <c r="A537">
        <f>IF($Q537="","",INDEX(상세표[부서],$Q537)&amp;"")</f>
        <v/>
      </c>
      <c r="B537">
        <f>IF($Q537="","",INDEX(상세표[사번],$Q537)&amp;"")</f>
        <v/>
      </c>
      <c r="C537">
        <f>IF($Q537="","",INDEX(상세표[성명],$Q537)&amp;"")</f>
        <v/>
      </c>
      <c r="D537">
        <f>IF($Q537="","",INDEX(상세표[직위],$Q537)&amp;"")</f>
        <v/>
      </c>
      <c r="E537">
        <f>IF($Q537="","",IF(ISNUMBER(INDEX(상세표[근무일자],$Q537)),TEXT(INDEX(상세표[근무일자],$Q537),"yyyy-mm-dd"),INDEX(상세표[근무일자],$Q537)&amp;""))</f>
        <v/>
      </c>
      <c r="F537">
        <f>IF($Q537="","",IF(ISNUMBER(INDEX(상세표[시작],$Q537)),TEXT(INDEX(상세표[시작],$Q537),"yyyy-mm-dd hh:mm"),INDEX(상세표[시작],$Q537)&amp;""))</f>
        <v/>
      </c>
      <c r="G537">
        <f>IF($Q537="","",IF(ISNUMBER(INDEX(상세표[블록종료],$Q537)),TEXT(INDEX(상세표[블록종료],$Q537),"yyyy-mm-dd hh:mm"),INDEX(상세표[블록종료],$Q537)&amp;""))</f>
        <v/>
      </c>
      <c r="H537">
        <f>IF($Q537="","",CHOOSE(WEEKDAY(INDEX(상세표[시작],$Q537)),"일","월","화","수","목","금","토"))</f>
        <v/>
      </c>
      <c r="I537" s="20">
        <f>IF($Q537="","",INDEX(상세표[연속 시간],$Q537))</f>
        <v/>
      </c>
      <c r="J537">
        <f>IF($Q537="","",INDEX(상세표[기록 수],$Q537))</f>
        <v/>
      </c>
      <c r="K537" s="20">
        <f>IF($Q537="","",INDEX(상세표[블록 06~07시],$Q537))</f>
        <v/>
      </c>
      <c r="L537" s="20">
        <f>IF($Q537="","",INDEX(상세표[블록 07~18시],$Q537))</f>
        <v/>
      </c>
      <c r="M537" s="20">
        <f>IF($Q537="","",INDEX(상세표[블록 18~22시],$Q537))</f>
        <v/>
      </c>
      <c r="N537" s="20">
        <f>IF($Q537="","",INDEX(상세표[블록 22~06시],$Q537))</f>
        <v/>
      </c>
      <c r="O537">
        <f>IF($Q537="","",INDEX(상세표[주말·휴일 포함],$Q537)&amp;"")</f>
        <v/>
      </c>
      <c r="P537">
        <f>IF($Q537="","",INDEX(상세표[월 넘김 포함],$Q537)&amp;"")</f>
        <v/>
      </c>
      <c r="Q537" s="4">
        <f>IFERROR(MATCH(532,상세표[연속순번],0),"")</f>
        <v/>
      </c>
    </row>
    <row r="538">
      <c r="A538">
        <f>IF($Q538="","",INDEX(상세표[부서],$Q538)&amp;"")</f>
        <v/>
      </c>
      <c r="B538">
        <f>IF($Q538="","",INDEX(상세표[사번],$Q538)&amp;"")</f>
        <v/>
      </c>
      <c r="C538">
        <f>IF($Q538="","",INDEX(상세표[성명],$Q538)&amp;"")</f>
        <v/>
      </c>
      <c r="D538">
        <f>IF($Q538="","",INDEX(상세표[직위],$Q538)&amp;"")</f>
        <v/>
      </c>
      <c r="E538">
        <f>IF($Q538="","",IF(ISNUMBER(INDEX(상세표[근무일자],$Q538)),TEXT(INDEX(상세표[근무일자],$Q538),"yyyy-mm-dd"),INDEX(상세표[근무일자],$Q538)&amp;""))</f>
        <v/>
      </c>
      <c r="F538">
        <f>IF($Q538="","",IF(ISNUMBER(INDEX(상세표[시작],$Q538)),TEXT(INDEX(상세표[시작],$Q538),"yyyy-mm-dd hh:mm"),INDEX(상세표[시작],$Q538)&amp;""))</f>
        <v/>
      </c>
      <c r="G538">
        <f>IF($Q538="","",IF(ISNUMBER(INDEX(상세표[블록종료],$Q538)),TEXT(INDEX(상세표[블록종료],$Q538),"yyyy-mm-dd hh:mm"),INDEX(상세표[블록종료],$Q538)&amp;""))</f>
        <v/>
      </c>
      <c r="H538">
        <f>IF($Q538="","",CHOOSE(WEEKDAY(INDEX(상세표[시작],$Q538)),"일","월","화","수","목","금","토"))</f>
        <v/>
      </c>
      <c r="I538" s="20">
        <f>IF($Q538="","",INDEX(상세표[연속 시간],$Q538))</f>
        <v/>
      </c>
      <c r="J538">
        <f>IF($Q538="","",INDEX(상세표[기록 수],$Q538))</f>
        <v/>
      </c>
      <c r="K538" s="20">
        <f>IF($Q538="","",INDEX(상세표[블록 06~07시],$Q538))</f>
        <v/>
      </c>
      <c r="L538" s="20">
        <f>IF($Q538="","",INDEX(상세표[블록 07~18시],$Q538))</f>
        <v/>
      </c>
      <c r="M538" s="20">
        <f>IF($Q538="","",INDEX(상세표[블록 18~22시],$Q538))</f>
        <v/>
      </c>
      <c r="N538" s="20">
        <f>IF($Q538="","",INDEX(상세표[블록 22~06시],$Q538))</f>
        <v/>
      </c>
      <c r="O538">
        <f>IF($Q538="","",INDEX(상세표[주말·휴일 포함],$Q538)&amp;"")</f>
        <v/>
      </c>
      <c r="P538">
        <f>IF($Q538="","",INDEX(상세표[월 넘김 포함],$Q538)&amp;"")</f>
        <v/>
      </c>
      <c r="Q538" s="4">
        <f>IFERROR(MATCH(533,상세표[연속순번],0),"")</f>
        <v/>
      </c>
    </row>
    <row r="539">
      <c r="A539">
        <f>IF($Q539="","",INDEX(상세표[부서],$Q539)&amp;"")</f>
        <v/>
      </c>
      <c r="B539">
        <f>IF($Q539="","",INDEX(상세표[사번],$Q539)&amp;"")</f>
        <v/>
      </c>
      <c r="C539">
        <f>IF($Q539="","",INDEX(상세표[성명],$Q539)&amp;"")</f>
        <v/>
      </c>
      <c r="D539">
        <f>IF($Q539="","",INDEX(상세표[직위],$Q539)&amp;"")</f>
        <v/>
      </c>
      <c r="E539">
        <f>IF($Q539="","",IF(ISNUMBER(INDEX(상세표[근무일자],$Q539)),TEXT(INDEX(상세표[근무일자],$Q539),"yyyy-mm-dd"),INDEX(상세표[근무일자],$Q539)&amp;""))</f>
        <v/>
      </c>
      <c r="F539">
        <f>IF($Q539="","",IF(ISNUMBER(INDEX(상세표[시작],$Q539)),TEXT(INDEX(상세표[시작],$Q539),"yyyy-mm-dd hh:mm"),INDEX(상세표[시작],$Q539)&amp;""))</f>
        <v/>
      </c>
      <c r="G539">
        <f>IF($Q539="","",IF(ISNUMBER(INDEX(상세표[블록종료],$Q539)),TEXT(INDEX(상세표[블록종료],$Q539),"yyyy-mm-dd hh:mm"),INDEX(상세표[블록종료],$Q539)&amp;""))</f>
        <v/>
      </c>
      <c r="H539">
        <f>IF($Q539="","",CHOOSE(WEEKDAY(INDEX(상세표[시작],$Q539)),"일","월","화","수","목","금","토"))</f>
        <v/>
      </c>
      <c r="I539" s="20">
        <f>IF($Q539="","",INDEX(상세표[연속 시간],$Q539))</f>
        <v/>
      </c>
      <c r="J539">
        <f>IF($Q539="","",INDEX(상세표[기록 수],$Q539))</f>
        <v/>
      </c>
      <c r="K539" s="20">
        <f>IF($Q539="","",INDEX(상세표[블록 06~07시],$Q539))</f>
        <v/>
      </c>
      <c r="L539" s="20">
        <f>IF($Q539="","",INDEX(상세표[블록 07~18시],$Q539))</f>
        <v/>
      </c>
      <c r="M539" s="20">
        <f>IF($Q539="","",INDEX(상세표[블록 18~22시],$Q539))</f>
        <v/>
      </c>
      <c r="N539" s="20">
        <f>IF($Q539="","",INDEX(상세표[블록 22~06시],$Q539))</f>
        <v/>
      </c>
      <c r="O539">
        <f>IF($Q539="","",INDEX(상세표[주말·휴일 포함],$Q539)&amp;"")</f>
        <v/>
      </c>
      <c r="P539">
        <f>IF($Q539="","",INDEX(상세표[월 넘김 포함],$Q539)&amp;"")</f>
        <v/>
      </c>
      <c r="Q539" s="4">
        <f>IFERROR(MATCH(534,상세표[연속순번],0),"")</f>
        <v/>
      </c>
    </row>
    <row r="540">
      <c r="A540">
        <f>IF($Q540="","",INDEX(상세표[부서],$Q540)&amp;"")</f>
        <v/>
      </c>
      <c r="B540">
        <f>IF($Q540="","",INDEX(상세표[사번],$Q540)&amp;"")</f>
        <v/>
      </c>
      <c r="C540">
        <f>IF($Q540="","",INDEX(상세표[성명],$Q540)&amp;"")</f>
        <v/>
      </c>
      <c r="D540">
        <f>IF($Q540="","",INDEX(상세표[직위],$Q540)&amp;"")</f>
        <v/>
      </c>
      <c r="E540">
        <f>IF($Q540="","",IF(ISNUMBER(INDEX(상세표[근무일자],$Q540)),TEXT(INDEX(상세표[근무일자],$Q540),"yyyy-mm-dd"),INDEX(상세표[근무일자],$Q540)&amp;""))</f>
        <v/>
      </c>
      <c r="F540">
        <f>IF($Q540="","",IF(ISNUMBER(INDEX(상세표[시작],$Q540)),TEXT(INDEX(상세표[시작],$Q540),"yyyy-mm-dd hh:mm"),INDEX(상세표[시작],$Q540)&amp;""))</f>
        <v/>
      </c>
      <c r="G540">
        <f>IF($Q540="","",IF(ISNUMBER(INDEX(상세표[블록종료],$Q540)),TEXT(INDEX(상세표[블록종료],$Q540),"yyyy-mm-dd hh:mm"),INDEX(상세표[블록종료],$Q540)&amp;""))</f>
        <v/>
      </c>
      <c r="H540">
        <f>IF($Q540="","",CHOOSE(WEEKDAY(INDEX(상세표[시작],$Q540)),"일","월","화","수","목","금","토"))</f>
        <v/>
      </c>
      <c r="I540" s="20">
        <f>IF($Q540="","",INDEX(상세표[연속 시간],$Q540))</f>
        <v/>
      </c>
      <c r="J540">
        <f>IF($Q540="","",INDEX(상세표[기록 수],$Q540))</f>
        <v/>
      </c>
      <c r="K540" s="20">
        <f>IF($Q540="","",INDEX(상세표[블록 06~07시],$Q540))</f>
        <v/>
      </c>
      <c r="L540" s="20">
        <f>IF($Q540="","",INDEX(상세표[블록 07~18시],$Q540))</f>
        <v/>
      </c>
      <c r="M540" s="20">
        <f>IF($Q540="","",INDEX(상세표[블록 18~22시],$Q540))</f>
        <v/>
      </c>
      <c r="N540" s="20">
        <f>IF($Q540="","",INDEX(상세표[블록 22~06시],$Q540))</f>
        <v/>
      </c>
      <c r="O540">
        <f>IF($Q540="","",INDEX(상세표[주말·휴일 포함],$Q540)&amp;"")</f>
        <v/>
      </c>
      <c r="P540">
        <f>IF($Q540="","",INDEX(상세표[월 넘김 포함],$Q540)&amp;"")</f>
        <v/>
      </c>
      <c r="Q540" s="4">
        <f>IFERROR(MATCH(535,상세표[연속순번],0),"")</f>
        <v/>
      </c>
    </row>
    <row r="541">
      <c r="A541">
        <f>IF($Q541="","",INDEX(상세표[부서],$Q541)&amp;"")</f>
        <v/>
      </c>
      <c r="B541">
        <f>IF($Q541="","",INDEX(상세표[사번],$Q541)&amp;"")</f>
        <v/>
      </c>
      <c r="C541">
        <f>IF($Q541="","",INDEX(상세표[성명],$Q541)&amp;"")</f>
        <v/>
      </c>
      <c r="D541">
        <f>IF($Q541="","",INDEX(상세표[직위],$Q541)&amp;"")</f>
        <v/>
      </c>
      <c r="E541">
        <f>IF($Q541="","",IF(ISNUMBER(INDEX(상세표[근무일자],$Q541)),TEXT(INDEX(상세표[근무일자],$Q541),"yyyy-mm-dd"),INDEX(상세표[근무일자],$Q541)&amp;""))</f>
        <v/>
      </c>
      <c r="F541">
        <f>IF($Q541="","",IF(ISNUMBER(INDEX(상세표[시작],$Q541)),TEXT(INDEX(상세표[시작],$Q541),"yyyy-mm-dd hh:mm"),INDEX(상세표[시작],$Q541)&amp;""))</f>
        <v/>
      </c>
      <c r="G541">
        <f>IF($Q541="","",IF(ISNUMBER(INDEX(상세표[블록종료],$Q541)),TEXT(INDEX(상세표[블록종료],$Q541),"yyyy-mm-dd hh:mm"),INDEX(상세표[블록종료],$Q541)&amp;""))</f>
        <v/>
      </c>
      <c r="H541">
        <f>IF($Q541="","",CHOOSE(WEEKDAY(INDEX(상세표[시작],$Q541)),"일","월","화","수","목","금","토"))</f>
        <v/>
      </c>
      <c r="I541" s="20">
        <f>IF($Q541="","",INDEX(상세표[연속 시간],$Q541))</f>
        <v/>
      </c>
      <c r="J541">
        <f>IF($Q541="","",INDEX(상세표[기록 수],$Q541))</f>
        <v/>
      </c>
      <c r="K541" s="20">
        <f>IF($Q541="","",INDEX(상세표[블록 06~07시],$Q541))</f>
        <v/>
      </c>
      <c r="L541" s="20">
        <f>IF($Q541="","",INDEX(상세표[블록 07~18시],$Q541))</f>
        <v/>
      </c>
      <c r="M541" s="20">
        <f>IF($Q541="","",INDEX(상세표[블록 18~22시],$Q541))</f>
        <v/>
      </c>
      <c r="N541" s="20">
        <f>IF($Q541="","",INDEX(상세표[블록 22~06시],$Q541))</f>
        <v/>
      </c>
      <c r="O541">
        <f>IF($Q541="","",INDEX(상세표[주말·휴일 포함],$Q541)&amp;"")</f>
        <v/>
      </c>
      <c r="P541">
        <f>IF($Q541="","",INDEX(상세표[월 넘김 포함],$Q541)&amp;"")</f>
        <v/>
      </c>
      <c r="Q541" s="4">
        <f>IFERROR(MATCH(536,상세표[연속순번],0),"")</f>
        <v/>
      </c>
    </row>
    <row r="542">
      <c r="A542">
        <f>IF($Q542="","",INDEX(상세표[부서],$Q542)&amp;"")</f>
        <v/>
      </c>
      <c r="B542">
        <f>IF($Q542="","",INDEX(상세표[사번],$Q542)&amp;"")</f>
        <v/>
      </c>
      <c r="C542">
        <f>IF($Q542="","",INDEX(상세표[성명],$Q542)&amp;"")</f>
        <v/>
      </c>
      <c r="D542">
        <f>IF($Q542="","",INDEX(상세표[직위],$Q542)&amp;"")</f>
        <v/>
      </c>
      <c r="E542">
        <f>IF($Q542="","",IF(ISNUMBER(INDEX(상세표[근무일자],$Q542)),TEXT(INDEX(상세표[근무일자],$Q542),"yyyy-mm-dd"),INDEX(상세표[근무일자],$Q542)&amp;""))</f>
        <v/>
      </c>
      <c r="F542">
        <f>IF($Q542="","",IF(ISNUMBER(INDEX(상세표[시작],$Q542)),TEXT(INDEX(상세표[시작],$Q542),"yyyy-mm-dd hh:mm"),INDEX(상세표[시작],$Q542)&amp;""))</f>
        <v/>
      </c>
      <c r="G542">
        <f>IF($Q542="","",IF(ISNUMBER(INDEX(상세표[블록종료],$Q542)),TEXT(INDEX(상세표[블록종료],$Q542),"yyyy-mm-dd hh:mm"),INDEX(상세표[블록종료],$Q542)&amp;""))</f>
        <v/>
      </c>
      <c r="H542">
        <f>IF($Q542="","",CHOOSE(WEEKDAY(INDEX(상세표[시작],$Q542)),"일","월","화","수","목","금","토"))</f>
        <v/>
      </c>
      <c r="I542" s="20">
        <f>IF($Q542="","",INDEX(상세표[연속 시간],$Q542))</f>
        <v/>
      </c>
      <c r="J542">
        <f>IF($Q542="","",INDEX(상세표[기록 수],$Q542))</f>
        <v/>
      </c>
      <c r="K542" s="20">
        <f>IF($Q542="","",INDEX(상세표[블록 06~07시],$Q542))</f>
        <v/>
      </c>
      <c r="L542" s="20">
        <f>IF($Q542="","",INDEX(상세표[블록 07~18시],$Q542))</f>
        <v/>
      </c>
      <c r="M542" s="20">
        <f>IF($Q542="","",INDEX(상세표[블록 18~22시],$Q542))</f>
        <v/>
      </c>
      <c r="N542" s="20">
        <f>IF($Q542="","",INDEX(상세표[블록 22~06시],$Q542))</f>
        <v/>
      </c>
      <c r="O542">
        <f>IF($Q542="","",INDEX(상세표[주말·휴일 포함],$Q542)&amp;"")</f>
        <v/>
      </c>
      <c r="P542">
        <f>IF($Q542="","",INDEX(상세표[월 넘김 포함],$Q542)&amp;"")</f>
        <v/>
      </c>
      <c r="Q542" s="4">
        <f>IFERROR(MATCH(537,상세표[연속순번],0),"")</f>
        <v/>
      </c>
    </row>
    <row r="543">
      <c r="A543">
        <f>IF($Q543="","",INDEX(상세표[부서],$Q543)&amp;"")</f>
        <v/>
      </c>
      <c r="B543">
        <f>IF($Q543="","",INDEX(상세표[사번],$Q543)&amp;"")</f>
        <v/>
      </c>
      <c r="C543">
        <f>IF($Q543="","",INDEX(상세표[성명],$Q543)&amp;"")</f>
        <v/>
      </c>
      <c r="D543">
        <f>IF($Q543="","",INDEX(상세표[직위],$Q543)&amp;"")</f>
        <v/>
      </c>
      <c r="E543">
        <f>IF($Q543="","",IF(ISNUMBER(INDEX(상세표[근무일자],$Q543)),TEXT(INDEX(상세표[근무일자],$Q543),"yyyy-mm-dd"),INDEX(상세표[근무일자],$Q543)&amp;""))</f>
        <v/>
      </c>
      <c r="F543">
        <f>IF($Q543="","",IF(ISNUMBER(INDEX(상세표[시작],$Q543)),TEXT(INDEX(상세표[시작],$Q543),"yyyy-mm-dd hh:mm"),INDEX(상세표[시작],$Q543)&amp;""))</f>
        <v/>
      </c>
      <c r="G543">
        <f>IF($Q543="","",IF(ISNUMBER(INDEX(상세표[블록종료],$Q543)),TEXT(INDEX(상세표[블록종료],$Q543),"yyyy-mm-dd hh:mm"),INDEX(상세표[블록종료],$Q543)&amp;""))</f>
        <v/>
      </c>
      <c r="H543">
        <f>IF($Q543="","",CHOOSE(WEEKDAY(INDEX(상세표[시작],$Q543)),"일","월","화","수","목","금","토"))</f>
        <v/>
      </c>
      <c r="I543" s="20">
        <f>IF($Q543="","",INDEX(상세표[연속 시간],$Q543))</f>
        <v/>
      </c>
      <c r="J543">
        <f>IF($Q543="","",INDEX(상세표[기록 수],$Q543))</f>
        <v/>
      </c>
      <c r="K543" s="20">
        <f>IF($Q543="","",INDEX(상세표[블록 06~07시],$Q543))</f>
        <v/>
      </c>
      <c r="L543" s="20">
        <f>IF($Q543="","",INDEX(상세표[블록 07~18시],$Q543))</f>
        <v/>
      </c>
      <c r="M543" s="20">
        <f>IF($Q543="","",INDEX(상세표[블록 18~22시],$Q543))</f>
        <v/>
      </c>
      <c r="N543" s="20">
        <f>IF($Q543="","",INDEX(상세표[블록 22~06시],$Q543))</f>
        <v/>
      </c>
      <c r="O543">
        <f>IF($Q543="","",INDEX(상세표[주말·휴일 포함],$Q543)&amp;"")</f>
        <v/>
      </c>
      <c r="P543">
        <f>IF($Q543="","",INDEX(상세표[월 넘김 포함],$Q543)&amp;"")</f>
        <v/>
      </c>
      <c r="Q543" s="4">
        <f>IFERROR(MATCH(538,상세표[연속순번],0),"")</f>
        <v/>
      </c>
    </row>
    <row r="544">
      <c r="A544">
        <f>IF($Q544="","",INDEX(상세표[부서],$Q544)&amp;"")</f>
        <v/>
      </c>
      <c r="B544">
        <f>IF($Q544="","",INDEX(상세표[사번],$Q544)&amp;"")</f>
        <v/>
      </c>
      <c r="C544">
        <f>IF($Q544="","",INDEX(상세표[성명],$Q544)&amp;"")</f>
        <v/>
      </c>
      <c r="D544">
        <f>IF($Q544="","",INDEX(상세표[직위],$Q544)&amp;"")</f>
        <v/>
      </c>
      <c r="E544">
        <f>IF($Q544="","",IF(ISNUMBER(INDEX(상세표[근무일자],$Q544)),TEXT(INDEX(상세표[근무일자],$Q544),"yyyy-mm-dd"),INDEX(상세표[근무일자],$Q544)&amp;""))</f>
        <v/>
      </c>
      <c r="F544">
        <f>IF($Q544="","",IF(ISNUMBER(INDEX(상세표[시작],$Q544)),TEXT(INDEX(상세표[시작],$Q544),"yyyy-mm-dd hh:mm"),INDEX(상세표[시작],$Q544)&amp;""))</f>
        <v/>
      </c>
      <c r="G544">
        <f>IF($Q544="","",IF(ISNUMBER(INDEX(상세표[블록종료],$Q544)),TEXT(INDEX(상세표[블록종료],$Q544),"yyyy-mm-dd hh:mm"),INDEX(상세표[블록종료],$Q544)&amp;""))</f>
        <v/>
      </c>
      <c r="H544">
        <f>IF($Q544="","",CHOOSE(WEEKDAY(INDEX(상세표[시작],$Q544)),"일","월","화","수","목","금","토"))</f>
        <v/>
      </c>
      <c r="I544" s="20">
        <f>IF($Q544="","",INDEX(상세표[연속 시간],$Q544))</f>
        <v/>
      </c>
      <c r="J544">
        <f>IF($Q544="","",INDEX(상세표[기록 수],$Q544))</f>
        <v/>
      </c>
      <c r="K544" s="20">
        <f>IF($Q544="","",INDEX(상세표[블록 06~07시],$Q544))</f>
        <v/>
      </c>
      <c r="L544" s="20">
        <f>IF($Q544="","",INDEX(상세표[블록 07~18시],$Q544))</f>
        <v/>
      </c>
      <c r="M544" s="20">
        <f>IF($Q544="","",INDEX(상세표[블록 18~22시],$Q544))</f>
        <v/>
      </c>
      <c r="N544" s="20">
        <f>IF($Q544="","",INDEX(상세표[블록 22~06시],$Q544))</f>
        <v/>
      </c>
      <c r="O544">
        <f>IF($Q544="","",INDEX(상세표[주말·휴일 포함],$Q544)&amp;"")</f>
        <v/>
      </c>
      <c r="P544">
        <f>IF($Q544="","",INDEX(상세표[월 넘김 포함],$Q544)&amp;"")</f>
        <v/>
      </c>
      <c r="Q544" s="4">
        <f>IFERROR(MATCH(539,상세표[연속순번],0),"")</f>
        <v/>
      </c>
    </row>
    <row r="545">
      <c r="A545">
        <f>IF($Q545="","",INDEX(상세표[부서],$Q545)&amp;"")</f>
        <v/>
      </c>
      <c r="B545">
        <f>IF($Q545="","",INDEX(상세표[사번],$Q545)&amp;"")</f>
        <v/>
      </c>
      <c r="C545">
        <f>IF($Q545="","",INDEX(상세표[성명],$Q545)&amp;"")</f>
        <v/>
      </c>
      <c r="D545">
        <f>IF($Q545="","",INDEX(상세표[직위],$Q545)&amp;"")</f>
        <v/>
      </c>
      <c r="E545">
        <f>IF($Q545="","",IF(ISNUMBER(INDEX(상세표[근무일자],$Q545)),TEXT(INDEX(상세표[근무일자],$Q545),"yyyy-mm-dd"),INDEX(상세표[근무일자],$Q545)&amp;""))</f>
        <v/>
      </c>
      <c r="F545">
        <f>IF($Q545="","",IF(ISNUMBER(INDEX(상세표[시작],$Q545)),TEXT(INDEX(상세표[시작],$Q545),"yyyy-mm-dd hh:mm"),INDEX(상세표[시작],$Q545)&amp;""))</f>
        <v/>
      </c>
      <c r="G545">
        <f>IF($Q545="","",IF(ISNUMBER(INDEX(상세표[블록종료],$Q545)),TEXT(INDEX(상세표[블록종료],$Q545),"yyyy-mm-dd hh:mm"),INDEX(상세표[블록종료],$Q545)&amp;""))</f>
        <v/>
      </c>
      <c r="H545">
        <f>IF($Q545="","",CHOOSE(WEEKDAY(INDEX(상세표[시작],$Q545)),"일","월","화","수","목","금","토"))</f>
        <v/>
      </c>
      <c r="I545" s="20">
        <f>IF($Q545="","",INDEX(상세표[연속 시간],$Q545))</f>
        <v/>
      </c>
      <c r="J545">
        <f>IF($Q545="","",INDEX(상세표[기록 수],$Q545))</f>
        <v/>
      </c>
      <c r="K545" s="20">
        <f>IF($Q545="","",INDEX(상세표[블록 06~07시],$Q545))</f>
        <v/>
      </c>
      <c r="L545" s="20">
        <f>IF($Q545="","",INDEX(상세표[블록 07~18시],$Q545))</f>
        <v/>
      </c>
      <c r="M545" s="20">
        <f>IF($Q545="","",INDEX(상세표[블록 18~22시],$Q545))</f>
        <v/>
      </c>
      <c r="N545" s="20">
        <f>IF($Q545="","",INDEX(상세표[블록 22~06시],$Q545))</f>
        <v/>
      </c>
      <c r="O545">
        <f>IF($Q545="","",INDEX(상세표[주말·휴일 포함],$Q545)&amp;"")</f>
        <v/>
      </c>
      <c r="P545">
        <f>IF($Q545="","",INDEX(상세표[월 넘김 포함],$Q545)&amp;"")</f>
        <v/>
      </c>
      <c r="Q545" s="4">
        <f>IFERROR(MATCH(540,상세표[연속순번],0),"")</f>
        <v/>
      </c>
    </row>
    <row r="546">
      <c r="A546">
        <f>IF($Q546="","",INDEX(상세표[부서],$Q546)&amp;"")</f>
        <v/>
      </c>
      <c r="B546">
        <f>IF($Q546="","",INDEX(상세표[사번],$Q546)&amp;"")</f>
        <v/>
      </c>
      <c r="C546">
        <f>IF($Q546="","",INDEX(상세표[성명],$Q546)&amp;"")</f>
        <v/>
      </c>
      <c r="D546">
        <f>IF($Q546="","",INDEX(상세표[직위],$Q546)&amp;"")</f>
        <v/>
      </c>
      <c r="E546">
        <f>IF($Q546="","",IF(ISNUMBER(INDEX(상세표[근무일자],$Q546)),TEXT(INDEX(상세표[근무일자],$Q546),"yyyy-mm-dd"),INDEX(상세표[근무일자],$Q546)&amp;""))</f>
        <v/>
      </c>
      <c r="F546">
        <f>IF($Q546="","",IF(ISNUMBER(INDEX(상세표[시작],$Q546)),TEXT(INDEX(상세표[시작],$Q546),"yyyy-mm-dd hh:mm"),INDEX(상세표[시작],$Q546)&amp;""))</f>
        <v/>
      </c>
      <c r="G546">
        <f>IF($Q546="","",IF(ISNUMBER(INDEX(상세표[블록종료],$Q546)),TEXT(INDEX(상세표[블록종료],$Q546),"yyyy-mm-dd hh:mm"),INDEX(상세표[블록종료],$Q546)&amp;""))</f>
        <v/>
      </c>
      <c r="H546">
        <f>IF($Q546="","",CHOOSE(WEEKDAY(INDEX(상세표[시작],$Q546)),"일","월","화","수","목","금","토"))</f>
        <v/>
      </c>
      <c r="I546" s="20">
        <f>IF($Q546="","",INDEX(상세표[연속 시간],$Q546))</f>
        <v/>
      </c>
      <c r="J546">
        <f>IF($Q546="","",INDEX(상세표[기록 수],$Q546))</f>
        <v/>
      </c>
      <c r="K546" s="20">
        <f>IF($Q546="","",INDEX(상세표[블록 06~07시],$Q546))</f>
        <v/>
      </c>
      <c r="L546" s="20">
        <f>IF($Q546="","",INDEX(상세표[블록 07~18시],$Q546))</f>
        <v/>
      </c>
      <c r="M546" s="20">
        <f>IF($Q546="","",INDEX(상세표[블록 18~22시],$Q546))</f>
        <v/>
      </c>
      <c r="N546" s="20">
        <f>IF($Q546="","",INDEX(상세표[블록 22~06시],$Q546))</f>
        <v/>
      </c>
      <c r="O546">
        <f>IF($Q546="","",INDEX(상세표[주말·휴일 포함],$Q546)&amp;"")</f>
        <v/>
      </c>
      <c r="P546">
        <f>IF($Q546="","",INDEX(상세표[월 넘김 포함],$Q546)&amp;"")</f>
        <v/>
      </c>
      <c r="Q546" s="4">
        <f>IFERROR(MATCH(541,상세표[연속순번],0),"")</f>
        <v/>
      </c>
    </row>
    <row r="547">
      <c r="A547">
        <f>IF($Q547="","",INDEX(상세표[부서],$Q547)&amp;"")</f>
        <v/>
      </c>
      <c r="B547">
        <f>IF($Q547="","",INDEX(상세표[사번],$Q547)&amp;"")</f>
        <v/>
      </c>
      <c r="C547">
        <f>IF($Q547="","",INDEX(상세표[성명],$Q547)&amp;"")</f>
        <v/>
      </c>
      <c r="D547">
        <f>IF($Q547="","",INDEX(상세표[직위],$Q547)&amp;"")</f>
        <v/>
      </c>
      <c r="E547">
        <f>IF($Q547="","",IF(ISNUMBER(INDEX(상세표[근무일자],$Q547)),TEXT(INDEX(상세표[근무일자],$Q547),"yyyy-mm-dd"),INDEX(상세표[근무일자],$Q547)&amp;""))</f>
        <v/>
      </c>
      <c r="F547">
        <f>IF($Q547="","",IF(ISNUMBER(INDEX(상세표[시작],$Q547)),TEXT(INDEX(상세표[시작],$Q547),"yyyy-mm-dd hh:mm"),INDEX(상세표[시작],$Q547)&amp;""))</f>
        <v/>
      </c>
      <c r="G547">
        <f>IF($Q547="","",IF(ISNUMBER(INDEX(상세표[블록종료],$Q547)),TEXT(INDEX(상세표[블록종료],$Q547),"yyyy-mm-dd hh:mm"),INDEX(상세표[블록종료],$Q547)&amp;""))</f>
        <v/>
      </c>
      <c r="H547">
        <f>IF($Q547="","",CHOOSE(WEEKDAY(INDEX(상세표[시작],$Q547)),"일","월","화","수","목","금","토"))</f>
        <v/>
      </c>
      <c r="I547" s="20">
        <f>IF($Q547="","",INDEX(상세표[연속 시간],$Q547))</f>
        <v/>
      </c>
      <c r="J547">
        <f>IF($Q547="","",INDEX(상세표[기록 수],$Q547))</f>
        <v/>
      </c>
      <c r="K547" s="20">
        <f>IF($Q547="","",INDEX(상세표[블록 06~07시],$Q547))</f>
        <v/>
      </c>
      <c r="L547" s="20">
        <f>IF($Q547="","",INDEX(상세표[블록 07~18시],$Q547))</f>
        <v/>
      </c>
      <c r="M547" s="20">
        <f>IF($Q547="","",INDEX(상세표[블록 18~22시],$Q547))</f>
        <v/>
      </c>
      <c r="N547" s="20">
        <f>IF($Q547="","",INDEX(상세표[블록 22~06시],$Q547))</f>
        <v/>
      </c>
      <c r="O547">
        <f>IF($Q547="","",INDEX(상세표[주말·휴일 포함],$Q547)&amp;"")</f>
        <v/>
      </c>
      <c r="P547">
        <f>IF($Q547="","",INDEX(상세표[월 넘김 포함],$Q547)&amp;"")</f>
        <v/>
      </c>
      <c r="Q547" s="4">
        <f>IFERROR(MATCH(542,상세표[연속순번],0),"")</f>
        <v/>
      </c>
    </row>
    <row r="548">
      <c r="A548">
        <f>IF($Q548="","",INDEX(상세표[부서],$Q548)&amp;"")</f>
        <v/>
      </c>
      <c r="B548">
        <f>IF($Q548="","",INDEX(상세표[사번],$Q548)&amp;"")</f>
        <v/>
      </c>
      <c r="C548">
        <f>IF($Q548="","",INDEX(상세표[성명],$Q548)&amp;"")</f>
        <v/>
      </c>
      <c r="D548">
        <f>IF($Q548="","",INDEX(상세표[직위],$Q548)&amp;"")</f>
        <v/>
      </c>
      <c r="E548">
        <f>IF($Q548="","",IF(ISNUMBER(INDEX(상세표[근무일자],$Q548)),TEXT(INDEX(상세표[근무일자],$Q548),"yyyy-mm-dd"),INDEX(상세표[근무일자],$Q548)&amp;""))</f>
        <v/>
      </c>
      <c r="F548">
        <f>IF($Q548="","",IF(ISNUMBER(INDEX(상세표[시작],$Q548)),TEXT(INDEX(상세표[시작],$Q548),"yyyy-mm-dd hh:mm"),INDEX(상세표[시작],$Q548)&amp;""))</f>
        <v/>
      </c>
      <c r="G548">
        <f>IF($Q548="","",IF(ISNUMBER(INDEX(상세표[블록종료],$Q548)),TEXT(INDEX(상세표[블록종료],$Q548),"yyyy-mm-dd hh:mm"),INDEX(상세표[블록종료],$Q548)&amp;""))</f>
        <v/>
      </c>
      <c r="H548">
        <f>IF($Q548="","",CHOOSE(WEEKDAY(INDEX(상세표[시작],$Q548)),"일","월","화","수","목","금","토"))</f>
        <v/>
      </c>
      <c r="I548" s="20">
        <f>IF($Q548="","",INDEX(상세표[연속 시간],$Q548))</f>
        <v/>
      </c>
      <c r="J548">
        <f>IF($Q548="","",INDEX(상세표[기록 수],$Q548))</f>
        <v/>
      </c>
      <c r="K548" s="20">
        <f>IF($Q548="","",INDEX(상세표[블록 06~07시],$Q548))</f>
        <v/>
      </c>
      <c r="L548" s="20">
        <f>IF($Q548="","",INDEX(상세표[블록 07~18시],$Q548))</f>
        <v/>
      </c>
      <c r="M548" s="20">
        <f>IF($Q548="","",INDEX(상세표[블록 18~22시],$Q548))</f>
        <v/>
      </c>
      <c r="N548" s="20">
        <f>IF($Q548="","",INDEX(상세표[블록 22~06시],$Q548))</f>
        <v/>
      </c>
      <c r="O548">
        <f>IF($Q548="","",INDEX(상세표[주말·휴일 포함],$Q548)&amp;"")</f>
        <v/>
      </c>
      <c r="P548">
        <f>IF($Q548="","",INDEX(상세표[월 넘김 포함],$Q548)&amp;"")</f>
        <v/>
      </c>
      <c r="Q548" s="4">
        <f>IFERROR(MATCH(543,상세표[연속순번],0),"")</f>
        <v/>
      </c>
    </row>
    <row r="549">
      <c r="A549">
        <f>IF($Q549="","",INDEX(상세표[부서],$Q549)&amp;"")</f>
        <v/>
      </c>
      <c r="B549">
        <f>IF($Q549="","",INDEX(상세표[사번],$Q549)&amp;"")</f>
        <v/>
      </c>
      <c r="C549">
        <f>IF($Q549="","",INDEX(상세표[성명],$Q549)&amp;"")</f>
        <v/>
      </c>
      <c r="D549">
        <f>IF($Q549="","",INDEX(상세표[직위],$Q549)&amp;"")</f>
        <v/>
      </c>
      <c r="E549">
        <f>IF($Q549="","",IF(ISNUMBER(INDEX(상세표[근무일자],$Q549)),TEXT(INDEX(상세표[근무일자],$Q549),"yyyy-mm-dd"),INDEX(상세표[근무일자],$Q549)&amp;""))</f>
        <v/>
      </c>
      <c r="F549">
        <f>IF($Q549="","",IF(ISNUMBER(INDEX(상세표[시작],$Q549)),TEXT(INDEX(상세표[시작],$Q549),"yyyy-mm-dd hh:mm"),INDEX(상세표[시작],$Q549)&amp;""))</f>
        <v/>
      </c>
      <c r="G549">
        <f>IF($Q549="","",IF(ISNUMBER(INDEX(상세표[블록종료],$Q549)),TEXT(INDEX(상세표[블록종료],$Q549),"yyyy-mm-dd hh:mm"),INDEX(상세표[블록종료],$Q549)&amp;""))</f>
        <v/>
      </c>
      <c r="H549">
        <f>IF($Q549="","",CHOOSE(WEEKDAY(INDEX(상세표[시작],$Q549)),"일","월","화","수","목","금","토"))</f>
        <v/>
      </c>
      <c r="I549" s="20">
        <f>IF($Q549="","",INDEX(상세표[연속 시간],$Q549))</f>
        <v/>
      </c>
      <c r="J549">
        <f>IF($Q549="","",INDEX(상세표[기록 수],$Q549))</f>
        <v/>
      </c>
      <c r="K549" s="20">
        <f>IF($Q549="","",INDEX(상세표[블록 06~07시],$Q549))</f>
        <v/>
      </c>
      <c r="L549" s="20">
        <f>IF($Q549="","",INDEX(상세표[블록 07~18시],$Q549))</f>
        <v/>
      </c>
      <c r="M549" s="20">
        <f>IF($Q549="","",INDEX(상세표[블록 18~22시],$Q549))</f>
        <v/>
      </c>
      <c r="N549" s="20">
        <f>IF($Q549="","",INDEX(상세표[블록 22~06시],$Q549))</f>
        <v/>
      </c>
      <c r="O549">
        <f>IF($Q549="","",INDEX(상세표[주말·휴일 포함],$Q549)&amp;"")</f>
        <v/>
      </c>
      <c r="P549">
        <f>IF($Q549="","",INDEX(상세표[월 넘김 포함],$Q549)&amp;"")</f>
        <v/>
      </c>
      <c r="Q549" s="4">
        <f>IFERROR(MATCH(544,상세표[연속순번],0),"")</f>
        <v/>
      </c>
    </row>
    <row r="550">
      <c r="A550">
        <f>IF($Q550="","",INDEX(상세표[부서],$Q550)&amp;"")</f>
        <v/>
      </c>
      <c r="B550">
        <f>IF($Q550="","",INDEX(상세표[사번],$Q550)&amp;"")</f>
        <v/>
      </c>
      <c r="C550">
        <f>IF($Q550="","",INDEX(상세표[성명],$Q550)&amp;"")</f>
        <v/>
      </c>
      <c r="D550">
        <f>IF($Q550="","",INDEX(상세표[직위],$Q550)&amp;"")</f>
        <v/>
      </c>
      <c r="E550">
        <f>IF($Q550="","",IF(ISNUMBER(INDEX(상세표[근무일자],$Q550)),TEXT(INDEX(상세표[근무일자],$Q550),"yyyy-mm-dd"),INDEX(상세표[근무일자],$Q550)&amp;""))</f>
        <v/>
      </c>
      <c r="F550">
        <f>IF($Q550="","",IF(ISNUMBER(INDEX(상세표[시작],$Q550)),TEXT(INDEX(상세표[시작],$Q550),"yyyy-mm-dd hh:mm"),INDEX(상세표[시작],$Q550)&amp;""))</f>
        <v/>
      </c>
      <c r="G550">
        <f>IF($Q550="","",IF(ISNUMBER(INDEX(상세표[블록종료],$Q550)),TEXT(INDEX(상세표[블록종료],$Q550),"yyyy-mm-dd hh:mm"),INDEX(상세표[블록종료],$Q550)&amp;""))</f>
        <v/>
      </c>
      <c r="H550">
        <f>IF($Q550="","",CHOOSE(WEEKDAY(INDEX(상세표[시작],$Q550)),"일","월","화","수","목","금","토"))</f>
        <v/>
      </c>
      <c r="I550" s="20">
        <f>IF($Q550="","",INDEX(상세표[연속 시간],$Q550))</f>
        <v/>
      </c>
      <c r="J550">
        <f>IF($Q550="","",INDEX(상세표[기록 수],$Q550))</f>
        <v/>
      </c>
      <c r="K550" s="20">
        <f>IF($Q550="","",INDEX(상세표[블록 06~07시],$Q550))</f>
        <v/>
      </c>
      <c r="L550" s="20">
        <f>IF($Q550="","",INDEX(상세표[블록 07~18시],$Q550))</f>
        <v/>
      </c>
      <c r="M550" s="20">
        <f>IF($Q550="","",INDEX(상세표[블록 18~22시],$Q550))</f>
        <v/>
      </c>
      <c r="N550" s="20">
        <f>IF($Q550="","",INDEX(상세표[블록 22~06시],$Q550))</f>
        <v/>
      </c>
      <c r="O550">
        <f>IF($Q550="","",INDEX(상세표[주말·휴일 포함],$Q550)&amp;"")</f>
        <v/>
      </c>
      <c r="P550">
        <f>IF($Q550="","",INDEX(상세표[월 넘김 포함],$Q550)&amp;"")</f>
        <v/>
      </c>
      <c r="Q550" s="4">
        <f>IFERROR(MATCH(545,상세표[연속순번],0),"")</f>
        <v/>
      </c>
    </row>
    <row r="551">
      <c r="A551">
        <f>IF($Q551="","",INDEX(상세표[부서],$Q551)&amp;"")</f>
        <v/>
      </c>
      <c r="B551">
        <f>IF($Q551="","",INDEX(상세표[사번],$Q551)&amp;"")</f>
        <v/>
      </c>
      <c r="C551">
        <f>IF($Q551="","",INDEX(상세표[성명],$Q551)&amp;"")</f>
        <v/>
      </c>
      <c r="D551">
        <f>IF($Q551="","",INDEX(상세표[직위],$Q551)&amp;"")</f>
        <v/>
      </c>
      <c r="E551">
        <f>IF($Q551="","",IF(ISNUMBER(INDEX(상세표[근무일자],$Q551)),TEXT(INDEX(상세표[근무일자],$Q551),"yyyy-mm-dd"),INDEX(상세표[근무일자],$Q551)&amp;""))</f>
        <v/>
      </c>
      <c r="F551">
        <f>IF($Q551="","",IF(ISNUMBER(INDEX(상세표[시작],$Q551)),TEXT(INDEX(상세표[시작],$Q551),"yyyy-mm-dd hh:mm"),INDEX(상세표[시작],$Q551)&amp;""))</f>
        <v/>
      </c>
      <c r="G551">
        <f>IF($Q551="","",IF(ISNUMBER(INDEX(상세표[블록종료],$Q551)),TEXT(INDEX(상세표[블록종료],$Q551),"yyyy-mm-dd hh:mm"),INDEX(상세표[블록종료],$Q551)&amp;""))</f>
        <v/>
      </c>
      <c r="H551">
        <f>IF($Q551="","",CHOOSE(WEEKDAY(INDEX(상세표[시작],$Q551)),"일","월","화","수","목","금","토"))</f>
        <v/>
      </c>
      <c r="I551" s="20">
        <f>IF($Q551="","",INDEX(상세표[연속 시간],$Q551))</f>
        <v/>
      </c>
      <c r="J551">
        <f>IF($Q551="","",INDEX(상세표[기록 수],$Q551))</f>
        <v/>
      </c>
      <c r="K551" s="20">
        <f>IF($Q551="","",INDEX(상세표[블록 06~07시],$Q551))</f>
        <v/>
      </c>
      <c r="L551" s="20">
        <f>IF($Q551="","",INDEX(상세표[블록 07~18시],$Q551))</f>
        <v/>
      </c>
      <c r="M551" s="20">
        <f>IF($Q551="","",INDEX(상세표[블록 18~22시],$Q551))</f>
        <v/>
      </c>
      <c r="N551" s="20">
        <f>IF($Q551="","",INDEX(상세표[블록 22~06시],$Q551))</f>
        <v/>
      </c>
      <c r="O551">
        <f>IF($Q551="","",INDEX(상세표[주말·휴일 포함],$Q551)&amp;"")</f>
        <v/>
      </c>
      <c r="P551">
        <f>IF($Q551="","",INDEX(상세표[월 넘김 포함],$Q551)&amp;"")</f>
        <v/>
      </c>
      <c r="Q551" s="4">
        <f>IFERROR(MATCH(546,상세표[연속순번],0),"")</f>
        <v/>
      </c>
    </row>
    <row r="552">
      <c r="A552">
        <f>IF($Q552="","",INDEX(상세표[부서],$Q552)&amp;"")</f>
        <v/>
      </c>
      <c r="B552">
        <f>IF($Q552="","",INDEX(상세표[사번],$Q552)&amp;"")</f>
        <v/>
      </c>
      <c r="C552">
        <f>IF($Q552="","",INDEX(상세표[성명],$Q552)&amp;"")</f>
        <v/>
      </c>
      <c r="D552">
        <f>IF($Q552="","",INDEX(상세표[직위],$Q552)&amp;"")</f>
        <v/>
      </c>
      <c r="E552">
        <f>IF($Q552="","",IF(ISNUMBER(INDEX(상세표[근무일자],$Q552)),TEXT(INDEX(상세표[근무일자],$Q552),"yyyy-mm-dd"),INDEX(상세표[근무일자],$Q552)&amp;""))</f>
        <v/>
      </c>
      <c r="F552">
        <f>IF($Q552="","",IF(ISNUMBER(INDEX(상세표[시작],$Q552)),TEXT(INDEX(상세표[시작],$Q552),"yyyy-mm-dd hh:mm"),INDEX(상세표[시작],$Q552)&amp;""))</f>
        <v/>
      </c>
      <c r="G552">
        <f>IF($Q552="","",IF(ISNUMBER(INDEX(상세표[블록종료],$Q552)),TEXT(INDEX(상세표[블록종료],$Q552),"yyyy-mm-dd hh:mm"),INDEX(상세표[블록종료],$Q552)&amp;""))</f>
        <v/>
      </c>
      <c r="H552">
        <f>IF($Q552="","",CHOOSE(WEEKDAY(INDEX(상세표[시작],$Q552)),"일","월","화","수","목","금","토"))</f>
        <v/>
      </c>
      <c r="I552" s="20">
        <f>IF($Q552="","",INDEX(상세표[연속 시간],$Q552))</f>
        <v/>
      </c>
      <c r="J552">
        <f>IF($Q552="","",INDEX(상세표[기록 수],$Q552))</f>
        <v/>
      </c>
      <c r="K552" s="20">
        <f>IF($Q552="","",INDEX(상세표[블록 06~07시],$Q552))</f>
        <v/>
      </c>
      <c r="L552" s="20">
        <f>IF($Q552="","",INDEX(상세표[블록 07~18시],$Q552))</f>
        <v/>
      </c>
      <c r="M552" s="20">
        <f>IF($Q552="","",INDEX(상세표[블록 18~22시],$Q552))</f>
        <v/>
      </c>
      <c r="N552" s="20">
        <f>IF($Q552="","",INDEX(상세표[블록 22~06시],$Q552))</f>
        <v/>
      </c>
      <c r="O552">
        <f>IF($Q552="","",INDEX(상세표[주말·휴일 포함],$Q552)&amp;"")</f>
        <v/>
      </c>
      <c r="P552">
        <f>IF($Q552="","",INDEX(상세표[월 넘김 포함],$Q552)&amp;"")</f>
        <v/>
      </c>
      <c r="Q552" s="4">
        <f>IFERROR(MATCH(547,상세표[연속순번],0),"")</f>
        <v/>
      </c>
    </row>
    <row r="553">
      <c r="A553">
        <f>IF($Q553="","",INDEX(상세표[부서],$Q553)&amp;"")</f>
        <v/>
      </c>
      <c r="B553">
        <f>IF($Q553="","",INDEX(상세표[사번],$Q553)&amp;"")</f>
        <v/>
      </c>
      <c r="C553">
        <f>IF($Q553="","",INDEX(상세표[성명],$Q553)&amp;"")</f>
        <v/>
      </c>
      <c r="D553">
        <f>IF($Q553="","",INDEX(상세표[직위],$Q553)&amp;"")</f>
        <v/>
      </c>
      <c r="E553">
        <f>IF($Q553="","",IF(ISNUMBER(INDEX(상세표[근무일자],$Q553)),TEXT(INDEX(상세표[근무일자],$Q553),"yyyy-mm-dd"),INDEX(상세표[근무일자],$Q553)&amp;""))</f>
        <v/>
      </c>
      <c r="F553">
        <f>IF($Q553="","",IF(ISNUMBER(INDEX(상세표[시작],$Q553)),TEXT(INDEX(상세표[시작],$Q553),"yyyy-mm-dd hh:mm"),INDEX(상세표[시작],$Q553)&amp;""))</f>
        <v/>
      </c>
      <c r="G553">
        <f>IF($Q553="","",IF(ISNUMBER(INDEX(상세표[블록종료],$Q553)),TEXT(INDEX(상세표[블록종료],$Q553),"yyyy-mm-dd hh:mm"),INDEX(상세표[블록종료],$Q553)&amp;""))</f>
        <v/>
      </c>
      <c r="H553">
        <f>IF($Q553="","",CHOOSE(WEEKDAY(INDEX(상세표[시작],$Q553)),"일","월","화","수","목","금","토"))</f>
        <v/>
      </c>
      <c r="I553" s="20">
        <f>IF($Q553="","",INDEX(상세표[연속 시간],$Q553))</f>
        <v/>
      </c>
      <c r="J553">
        <f>IF($Q553="","",INDEX(상세표[기록 수],$Q553))</f>
        <v/>
      </c>
      <c r="K553" s="20">
        <f>IF($Q553="","",INDEX(상세표[블록 06~07시],$Q553))</f>
        <v/>
      </c>
      <c r="L553" s="20">
        <f>IF($Q553="","",INDEX(상세표[블록 07~18시],$Q553))</f>
        <v/>
      </c>
      <c r="M553" s="20">
        <f>IF($Q553="","",INDEX(상세표[블록 18~22시],$Q553))</f>
        <v/>
      </c>
      <c r="N553" s="20">
        <f>IF($Q553="","",INDEX(상세표[블록 22~06시],$Q553))</f>
        <v/>
      </c>
      <c r="O553">
        <f>IF($Q553="","",INDEX(상세표[주말·휴일 포함],$Q553)&amp;"")</f>
        <v/>
      </c>
      <c r="P553">
        <f>IF($Q553="","",INDEX(상세표[월 넘김 포함],$Q553)&amp;"")</f>
        <v/>
      </c>
      <c r="Q553" s="4">
        <f>IFERROR(MATCH(548,상세표[연속순번],0),"")</f>
        <v/>
      </c>
    </row>
    <row r="554">
      <c r="A554">
        <f>IF($Q554="","",INDEX(상세표[부서],$Q554)&amp;"")</f>
        <v/>
      </c>
      <c r="B554">
        <f>IF($Q554="","",INDEX(상세표[사번],$Q554)&amp;"")</f>
        <v/>
      </c>
      <c r="C554">
        <f>IF($Q554="","",INDEX(상세표[성명],$Q554)&amp;"")</f>
        <v/>
      </c>
      <c r="D554">
        <f>IF($Q554="","",INDEX(상세표[직위],$Q554)&amp;"")</f>
        <v/>
      </c>
      <c r="E554">
        <f>IF($Q554="","",IF(ISNUMBER(INDEX(상세표[근무일자],$Q554)),TEXT(INDEX(상세표[근무일자],$Q554),"yyyy-mm-dd"),INDEX(상세표[근무일자],$Q554)&amp;""))</f>
        <v/>
      </c>
      <c r="F554">
        <f>IF($Q554="","",IF(ISNUMBER(INDEX(상세표[시작],$Q554)),TEXT(INDEX(상세표[시작],$Q554),"yyyy-mm-dd hh:mm"),INDEX(상세표[시작],$Q554)&amp;""))</f>
        <v/>
      </c>
      <c r="G554">
        <f>IF($Q554="","",IF(ISNUMBER(INDEX(상세표[블록종료],$Q554)),TEXT(INDEX(상세표[블록종료],$Q554),"yyyy-mm-dd hh:mm"),INDEX(상세표[블록종료],$Q554)&amp;""))</f>
        <v/>
      </c>
      <c r="H554">
        <f>IF($Q554="","",CHOOSE(WEEKDAY(INDEX(상세표[시작],$Q554)),"일","월","화","수","목","금","토"))</f>
        <v/>
      </c>
      <c r="I554" s="20">
        <f>IF($Q554="","",INDEX(상세표[연속 시간],$Q554))</f>
        <v/>
      </c>
      <c r="J554">
        <f>IF($Q554="","",INDEX(상세표[기록 수],$Q554))</f>
        <v/>
      </c>
      <c r="K554" s="20">
        <f>IF($Q554="","",INDEX(상세표[블록 06~07시],$Q554))</f>
        <v/>
      </c>
      <c r="L554" s="20">
        <f>IF($Q554="","",INDEX(상세표[블록 07~18시],$Q554))</f>
        <v/>
      </c>
      <c r="M554" s="20">
        <f>IF($Q554="","",INDEX(상세표[블록 18~22시],$Q554))</f>
        <v/>
      </c>
      <c r="N554" s="20">
        <f>IF($Q554="","",INDEX(상세표[블록 22~06시],$Q554))</f>
        <v/>
      </c>
      <c r="O554">
        <f>IF($Q554="","",INDEX(상세표[주말·휴일 포함],$Q554)&amp;"")</f>
        <v/>
      </c>
      <c r="P554">
        <f>IF($Q554="","",INDEX(상세표[월 넘김 포함],$Q554)&amp;"")</f>
        <v/>
      </c>
      <c r="Q554" s="4">
        <f>IFERROR(MATCH(549,상세표[연속순번],0),"")</f>
        <v/>
      </c>
    </row>
    <row r="555">
      <c r="A555">
        <f>IF($Q555="","",INDEX(상세표[부서],$Q555)&amp;"")</f>
        <v/>
      </c>
      <c r="B555">
        <f>IF($Q555="","",INDEX(상세표[사번],$Q555)&amp;"")</f>
        <v/>
      </c>
      <c r="C555">
        <f>IF($Q555="","",INDEX(상세표[성명],$Q555)&amp;"")</f>
        <v/>
      </c>
      <c r="D555">
        <f>IF($Q555="","",INDEX(상세표[직위],$Q555)&amp;"")</f>
        <v/>
      </c>
      <c r="E555">
        <f>IF($Q555="","",IF(ISNUMBER(INDEX(상세표[근무일자],$Q555)),TEXT(INDEX(상세표[근무일자],$Q555),"yyyy-mm-dd"),INDEX(상세표[근무일자],$Q555)&amp;""))</f>
        <v/>
      </c>
      <c r="F555">
        <f>IF($Q555="","",IF(ISNUMBER(INDEX(상세표[시작],$Q555)),TEXT(INDEX(상세표[시작],$Q555),"yyyy-mm-dd hh:mm"),INDEX(상세표[시작],$Q555)&amp;""))</f>
        <v/>
      </c>
      <c r="G555">
        <f>IF($Q555="","",IF(ISNUMBER(INDEX(상세표[블록종료],$Q555)),TEXT(INDEX(상세표[블록종료],$Q555),"yyyy-mm-dd hh:mm"),INDEX(상세표[블록종료],$Q555)&amp;""))</f>
        <v/>
      </c>
      <c r="H555">
        <f>IF($Q555="","",CHOOSE(WEEKDAY(INDEX(상세표[시작],$Q555)),"일","월","화","수","목","금","토"))</f>
        <v/>
      </c>
      <c r="I555" s="20">
        <f>IF($Q555="","",INDEX(상세표[연속 시간],$Q555))</f>
        <v/>
      </c>
      <c r="J555">
        <f>IF($Q555="","",INDEX(상세표[기록 수],$Q555))</f>
        <v/>
      </c>
      <c r="K555" s="20">
        <f>IF($Q555="","",INDEX(상세표[블록 06~07시],$Q555))</f>
        <v/>
      </c>
      <c r="L555" s="20">
        <f>IF($Q555="","",INDEX(상세표[블록 07~18시],$Q555))</f>
        <v/>
      </c>
      <c r="M555" s="20">
        <f>IF($Q555="","",INDEX(상세표[블록 18~22시],$Q555))</f>
        <v/>
      </c>
      <c r="N555" s="20">
        <f>IF($Q555="","",INDEX(상세표[블록 22~06시],$Q555))</f>
        <v/>
      </c>
      <c r="O555">
        <f>IF($Q555="","",INDEX(상세표[주말·휴일 포함],$Q555)&amp;"")</f>
        <v/>
      </c>
      <c r="P555">
        <f>IF($Q555="","",INDEX(상세표[월 넘김 포함],$Q555)&amp;"")</f>
        <v/>
      </c>
      <c r="Q555" s="4">
        <f>IFERROR(MATCH(550,상세표[연속순번],0),"")</f>
        <v/>
      </c>
    </row>
    <row r="556">
      <c r="A556">
        <f>IF($Q556="","",INDEX(상세표[부서],$Q556)&amp;"")</f>
        <v/>
      </c>
      <c r="B556">
        <f>IF($Q556="","",INDEX(상세표[사번],$Q556)&amp;"")</f>
        <v/>
      </c>
      <c r="C556">
        <f>IF($Q556="","",INDEX(상세표[성명],$Q556)&amp;"")</f>
        <v/>
      </c>
      <c r="D556">
        <f>IF($Q556="","",INDEX(상세표[직위],$Q556)&amp;"")</f>
        <v/>
      </c>
      <c r="E556">
        <f>IF($Q556="","",IF(ISNUMBER(INDEX(상세표[근무일자],$Q556)),TEXT(INDEX(상세표[근무일자],$Q556),"yyyy-mm-dd"),INDEX(상세표[근무일자],$Q556)&amp;""))</f>
        <v/>
      </c>
      <c r="F556">
        <f>IF($Q556="","",IF(ISNUMBER(INDEX(상세표[시작],$Q556)),TEXT(INDEX(상세표[시작],$Q556),"yyyy-mm-dd hh:mm"),INDEX(상세표[시작],$Q556)&amp;""))</f>
        <v/>
      </c>
      <c r="G556">
        <f>IF($Q556="","",IF(ISNUMBER(INDEX(상세표[블록종료],$Q556)),TEXT(INDEX(상세표[블록종료],$Q556),"yyyy-mm-dd hh:mm"),INDEX(상세표[블록종료],$Q556)&amp;""))</f>
        <v/>
      </c>
      <c r="H556">
        <f>IF($Q556="","",CHOOSE(WEEKDAY(INDEX(상세표[시작],$Q556)),"일","월","화","수","목","금","토"))</f>
        <v/>
      </c>
      <c r="I556" s="20">
        <f>IF($Q556="","",INDEX(상세표[연속 시간],$Q556))</f>
        <v/>
      </c>
      <c r="J556">
        <f>IF($Q556="","",INDEX(상세표[기록 수],$Q556))</f>
        <v/>
      </c>
      <c r="K556" s="20">
        <f>IF($Q556="","",INDEX(상세표[블록 06~07시],$Q556))</f>
        <v/>
      </c>
      <c r="L556" s="20">
        <f>IF($Q556="","",INDEX(상세표[블록 07~18시],$Q556))</f>
        <v/>
      </c>
      <c r="M556" s="20">
        <f>IF($Q556="","",INDEX(상세표[블록 18~22시],$Q556))</f>
        <v/>
      </c>
      <c r="N556" s="20">
        <f>IF($Q556="","",INDEX(상세표[블록 22~06시],$Q556))</f>
        <v/>
      </c>
      <c r="O556">
        <f>IF($Q556="","",INDEX(상세표[주말·휴일 포함],$Q556)&amp;"")</f>
        <v/>
      </c>
      <c r="P556">
        <f>IF($Q556="","",INDEX(상세표[월 넘김 포함],$Q556)&amp;"")</f>
        <v/>
      </c>
      <c r="Q556" s="4">
        <f>IFERROR(MATCH(551,상세표[연속순번],0),"")</f>
        <v/>
      </c>
    </row>
    <row r="557">
      <c r="A557">
        <f>IF($Q557="","",INDEX(상세표[부서],$Q557)&amp;"")</f>
        <v/>
      </c>
      <c r="B557">
        <f>IF($Q557="","",INDEX(상세표[사번],$Q557)&amp;"")</f>
        <v/>
      </c>
      <c r="C557">
        <f>IF($Q557="","",INDEX(상세표[성명],$Q557)&amp;"")</f>
        <v/>
      </c>
      <c r="D557">
        <f>IF($Q557="","",INDEX(상세표[직위],$Q557)&amp;"")</f>
        <v/>
      </c>
      <c r="E557">
        <f>IF($Q557="","",IF(ISNUMBER(INDEX(상세표[근무일자],$Q557)),TEXT(INDEX(상세표[근무일자],$Q557),"yyyy-mm-dd"),INDEX(상세표[근무일자],$Q557)&amp;""))</f>
        <v/>
      </c>
      <c r="F557">
        <f>IF($Q557="","",IF(ISNUMBER(INDEX(상세표[시작],$Q557)),TEXT(INDEX(상세표[시작],$Q557),"yyyy-mm-dd hh:mm"),INDEX(상세표[시작],$Q557)&amp;""))</f>
        <v/>
      </c>
      <c r="G557">
        <f>IF($Q557="","",IF(ISNUMBER(INDEX(상세표[블록종료],$Q557)),TEXT(INDEX(상세표[블록종료],$Q557),"yyyy-mm-dd hh:mm"),INDEX(상세표[블록종료],$Q557)&amp;""))</f>
        <v/>
      </c>
      <c r="H557">
        <f>IF($Q557="","",CHOOSE(WEEKDAY(INDEX(상세표[시작],$Q557)),"일","월","화","수","목","금","토"))</f>
        <v/>
      </c>
      <c r="I557" s="20">
        <f>IF($Q557="","",INDEX(상세표[연속 시간],$Q557))</f>
        <v/>
      </c>
      <c r="J557">
        <f>IF($Q557="","",INDEX(상세표[기록 수],$Q557))</f>
        <v/>
      </c>
      <c r="K557" s="20">
        <f>IF($Q557="","",INDEX(상세표[블록 06~07시],$Q557))</f>
        <v/>
      </c>
      <c r="L557" s="20">
        <f>IF($Q557="","",INDEX(상세표[블록 07~18시],$Q557))</f>
        <v/>
      </c>
      <c r="M557" s="20">
        <f>IF($Q557="","",INDEX(상세표[블록 18~22시],$Q557))</f>
        <v/>
      </c>
      <c r="N557" s="20">
        <f>IF($Q557="","",INDEX(상세표[블록 22~06시],$Q557))</f>
        <v/>
      </c>
      <c r="O557">
        <f>IF($Q557="","",INDEX(상세표[주말·휴일 포함],$Q557)&amp;"")</f>
        <v/>
      </c>
      <c r="P557">
        <f>IF($Q557="","",INDEX(상세표[월 넘김 포함],$Q557)&amp;"")</f>
        <v/>
      </c>
      <c r="Q557" s="4">
        <f>IFERROR(MATCH(552,상세표[연속순번],0),"")</f>
        <v/>
      </c>
    </row>
    <row r="558">
      <c r="A558">
        <f>IF($Q558="","",INDEX(상세표[부서],$Q558)&amp;"")</f>
        <v/>
      </c>
      <c r="B558">
        <f>IF($Q558="","",INDEX(상세표[사번],$Q558)&amp;"")</f>
        <v/>
      </c>
      <c r="C558">
        <f>IF($Q558="","",INDEX(상세표[성명],$Q558)&amp;"")</f>
        <v/>
      </c>
      <c r="D558">
        <f>IF($Q558="","",INDEX(상세표[직위],$Q558)&amp;"")</f>
        <v/>
      </c>
      <c r="E558">
        <f>IF($Q558="","",IF(ISNUMBER(INDEX(상세표[근무일자],$Q558)),TEXT(INDEX(상세표[근무일자],$Q558),"yyyy-mm-dd"),INDEX(상세표[근무일자],$Q558)&amp;""))</f>
        <v/>
      </c>
      <c r="F558">
        <f>IF($Q558="","",IF(ISNUMBER(INDEX(상세표[시작],$Q558)),TEXT(INDEX(상세표[시작],$Q558),"yyyy-mm-dd hh:mm"),INDEX(상세표[시작],$Q558)&amp;""))</f>
        <v/>
      </c>
      <c r="G558">
        <f>IF($Q558="","",IF(ISNUMBER(INDEX(상세표[블록종료],$Q558)),TEXT(INDEX(상세표[블록종료],$Q558),"yyyy-mm-dd hh:mm"),INDEX(상세표[블록종료],$Q558)&amp;""))</f>
        <v/>
      </c>
      <c r="H558">
        <f>IF($Q558="","",CHOOSE(WEEKDAY(INDEX(상세표[시작],$Q558)),"일","월","화","수","목","금","토"))</f>
        <v/>
      </c>
      <c r="I558" s="20">
        <f>IF($Q558="","",INDEX(상세표[연속 시간],$Q558))</f>
        <v/>
      </c>
      <c r="J558">
        <f>IF($Q558="","",INDEX(상세표[기록 수],$Q558))</f>
        <v/>
      </c>
      <c r="K558" s="20">
        <f>IF($Q558="","",INDEX(상세표[블록 06~07시],$Q558))</f>
        <v/>
      </c>
      <c r="L558" s="20">
        <f>IF($Q558="","",INDEX(상세표[블록 07~18시],$Q558))</f>
        <v/>
      </c>
      <c r="M558" s="20">
        <f>IF($Q558="","",INDEX(상세표[블록 18~22시],$Q558))</f>
        <v/>
      </c>
      <c r="N558" s="20">
        <f>IF($Q558="","",INDEX(상세표[블록 22~06시],$Q558))</f>
        <v/>
      </c>
      <c r="O558">
        <f>IF($Q558="","",INDEX(상세표[주말·휴일 포함],$Q558)&amp;"")</f>
        <v/>
      </c>
      <c r="P558">
        <f>IF($Q558="","",INDEX(상세표[월 넘김 포함],$Q558)&amp;"")</f>
        <v/>
      </c>
      <c r="Q558" s="4">
        <f>IFERROR(MATCH(553,상세표[연속순번],0),"")</f>
        <v/>
      </c>
    </row>
    <row r="559">
      <c r="A559">
        <f>IF($Q559="","",INDEX(상세표[부서],$Q559)&amp;"")</f>
        <v/>
      </c>
      <c r="B559">
        <f>IF($Q559="","",INDEX(상세표[사번],$Q559)&amp;"")</f>
        <v/>
      </c>
      <c r="C559">
        <f>IF($Q559="","",INDEX(상세표[성명],$Q559)&amp;"")</f>
        <v/>
      </c>
      <c r="D559">
        <f>IF($Q559="","",INDEX(상세표[직위],$Q559)&amp;"")</f>
        <v/>
      </c>
      <c r="E559">
        <f>IF($Q559="","",IF(ISNUMBER(INDEX(상세표[근무일자],$Q559)),TEXT(INDEX(상세표[근무일자],$Q559),"yyyy-mm-dd"),INDEX(상세표[근무일자],$Q559)&amp;""))</f>
        <v/>
      </c>
      <c r="F559">
        <f>IF($Q559="","",IF(ISNUMBER(INDEX(상세표[시작],$Q559)),TEXT(INDEX(상세표[시작],$Q559),"yyyy-mm-dd hh:mm"),INDEX(상세표[시작],$Q559)&amp;""))</f>
        <v/>
      </c>
      <c r="G559">
        <f>IF($Q559="","",IF(ISNUMBER(INDEX(상세표[블록종료],$Q559)),TEXT(INDEX(상세표[블록종료],$Q559),"yyyy-mm-dd hh:mm"),INDEX(상세표[블록종료],$Q559)&amp;""))</f>
        <v/>
      </c>
      <c r="H559">
        <f>IF($Q559="","",CHOOSE(WEEKDAY(INDEX(상세표[시작],$Q559)),"일","월","화","수","목","금","토"))</f>
        <v/>
      </c>
      <c r="I559" s="20">
        <f>IF($Q559="","",INDEX(상세표[연속 시간],$Q559))</f>
        <v/>
      </c>
      <c r="J559">
        <f>IF($Q559="","",INDEX(상세표[기록 수],$Q559))</f>
        <v/>
      </c>
      <c r="K559" s="20">
        <f>IF($Q559="","",INDEX(상세표[블록 06~07시],$Q559))</f>
        <v/>
      </c>
      <c r="L559" s="20">
        <f>IF($Q559="","",INDEX(상세표[블록 07~18시],$Q559))</f>
        <v/>
      </c>
      <c r="M559" s="20">
        <f>IF($Q559="","",INDEX(상세표[블록 18~22시],$Q559))</f>
        <v/>
      </c>
      <c r="N559" s="20">
        <f>IF($Q559="","",INDEX(상세표[블록 22~06시],$Q559))</f>
        <v/>
      </c>
      <c r="O559">
        <f>IF($Q559="","",INDEX(상세표[주말·휴일 포함],$Q559)&amp;"")</f>
        <v/>
      </c>
      <c r="P559">
        <f>IF($Q559="","",INDEX(상세표[월 넘김 포함],$Q559)&amp;"")</f>
        <v/>
      </c>
      <c r="Q559" s="4">
        <f>IFERROR(MATCH(554,상세표[연속순번],0),"")</f>
        <v/>
      </c>
    </row>
    <row r="560">
      <c r="A560">
        <f>IF($Q560="","",INDEX(상세표[부서],$Q560)&amp;"")</f>
        <v/>
      </c>
      <c r="B560">
        <f>IF($Q560="","",INDEX(상세표[사번],$Q560)&amp;"")</f>
        <v/>
      </c>
      <c r="C560">
        <f>IF($Q560="","",INDEX(상세표[성명],$Q560)&amp;"")</f>
        <v/>
      </c>
      <c r="D560">
        <f>IF($Q560="","",INDEX(상세표[직위],$Q560)&amp;"")</f>
        <v/>
      </c>
      <c r="E560">
        <f>IF($Q560="","",IF(ISNUMBER(INDEX(상세표[근무일자],$Q560)),TEXT(INDEX(상세표[근무일자],$Q560),"yyyy-mm-dd"),INDEX(상세표[근무일자],$Q560)&amp;""))</f>
        <v/>
      </c>
      <c r="F560">
        <f>IF($Q560="","",IF(ISNUMBER(INDEX(상세표[시작],$Q560)),TEXT(INDEX(상세표[시작],$Q560),"yyyy-mm-dd hh:mm"),INDEX(상세표[시작],$Q560)&amp;""))</f>
        <v/>
      </c>
      <c r="G560">
        <f>IF($Q560="","",IF(ISNUMBER(INDEX(상세표[블록종료],$Q560)),TEXT(INDEX(상세표[블록종료],$Q560),"yyyy-mm-dd hh:mm"),INDEX(상세표[블록종료],$Q560)&amp;""))</f>
        <v/>
      </c>
      <c r="H560">
        <f>IF($Q560="","",CHOOSE(WEEKDAY(INDEX(상세표[시작],$Q560)),"일","월","화","수","목","금","토"))</f>
        <v/>
      </c>
      <c r="I560" s="20">
        <f>IF($Q560="","",INDEX(상세표[연속 시간],$Q560))</f>
        <v/>
      </c>
      <c r="J560">
        <f>IF($Q560="","",INDEX(상세표[기록 수],$Q560))</f>
        <v/>
      </c>
      <c r="K560" s="20">
        <f>IF($Q560="","",INDEX(상세표[블록 06~07시],$Q560))</f>
        <v/>
      </c>
      <c r="L560" s="20">
        <f>IF($Q560="","",INDEX(상세표[블록 07~18시],$Q560))</f>
        <v/>
      </c>
      <c r="M560" s="20">
        <f>IF($Q560="","",INDEX(상세표[블록 18~22시],$Q560))</f>
        <v/>
      </c>
      <c r="N560" s="20">
        <f>IF($Q560="","",INDEX(상세표[블록 22~06시],$Q560))</f>
        <v/>
      </c>
      <c r="O560">
        <f>IF($Q560="","",INDEX(상세표[주말·휴일 포함],$Q560)&amp;"")</f>
        <v/>
      </c>
      <c r="P560">
        <f>IF($Q560="","",INDEX(상세표[월 넘김 포함],$Q560)&amp;"")</f>
        <v/>
      </c>
      <c r="Q560" s="4">
        <f>IFERROR(MATCH(555,상세표[연속순번],0),"")</f>
        <v/>
      </c>
    </row>
    <row r="561">
      <c r="A561">
        <f>IF($Q561="","",INDEX(상세표[부서],$Q561)&amp;"")</f>
        <v/>
      </c>
      <c r="B561">
        <f>IF($Q561="","",INDEX(상세표[사번],$Q561)&amp;"")</f>
        <v/>
      </c>
      <c r="C561">
        <f>IF($Q561="","",INDEX(상세표[성명],$Q561)&amp;"")</f>
        <v/>
      </c>
      <c r="D561">
        <f>IF($Q561="","",INDEX(상세표[직위],$Q561)&amp;"")</f>
        <v/>
      </c>
      <c r="E561">
        <f>IF($Q561="","",IF(ISNUMBER(INDEX(상세표[근무일자],$Q561)),TEXT(INDEX(상세표[근무일자],$Q561),"yyyy-mm-dd"),INDEX(상세표[근무일자],$Q561)&amp;""))</f>
        <v/>
      </c>
      <c r="F561">
        <f>IF($Q561="","",IF(ISNUMBER(INDEX(상세표[시작],$Q561)),TEXT(INDEX(상세표[시작],$Q561),"yyyy-mm-dd hh:mm"),INDEX(상세표[시작],$Q561)&amp;""))</f>
        <v/>
      </c>
      <c r="G561">
        <f>IF($Q561="","",IF(ISNUMBER(INDEX(상세표[블록종료],$Q561)),TEXT(INDEX(상세표[블록종료],$Q561),"yyyy-mm-dd hh:mm"),INDEX(상세표[블록종료],$Q561)&amp;""))</f>
        <v/>
      </c>
      <c r="H561">
        <f>IF($Q561="","",CHOOSE(WEEKDAY(INDEX(상세표[시작],$Q561)),"일","월","화","수","목","금","토"))</f>
        <v/>
      </c>
      <c r="I561" s="20">
        <f>IF($Q561="","",INDEX(상세표[연속 시간],$Q561))</f>
        <v/>
      </c>
      <c r="J561">
        <f>IF($Q561="","",INDEX(상세표[기록 수],$Q561))</f>
        <v/>
      </c>
      <c r="K561" s="20">
        <f>IF($Q561="","",INDEX(상세표[블록 06~07시],$Q561))</f>
        <v/>
      </c>
      <c r="L561" s="20">
        <f>IF($Q561="","",INDEX(상세표[블록 07~18시],$Q561))</f>
        <v/>
      </c>
      <c r="M561" s="20">
        <f>IF($Q561="","",INDEX(상세표[블록 18~22시],$Q561))</f>
        <v/>
      </c>
      <c r="N561" s="20">
        <f>IF($Q561="","",INDEX(상세표[블록 22~06시],$Q561))</f>
        <v/>
      </c>
      <c r="O561">
        <f>IF($Q561="","",INDEX(상세표[주말·휴일 포함],$Q561)&amp;"")</f>
        <v/>
      </c>
      <c r="P561">
        <f>IF($Q561="","",INDEX(상세표[월 넘김 포함],$Q561)&amp;"")</f>
        <v/>
      </c>
      <c r="Q561" s="4">
        <f>IFERROR(MATCH(556,상세표[연속순번],0),"")</f>
        <v/>
      </c>
    </row>
    <row r="562">
      <c r="A562">
        <f>IF($Q562="","",INDEX(상세표[부서],$Q562)&amp;"")</f>
        <v/>
      </c>
      <c r="B562">
        <f>IF($Q562="","",INDEX(상세표[사번],$Q562)&amp;"")</f>
        <v/>
      </c>
      <c r="C562">
        <f>IF($Q562="","",INDEX(상세표[성명],$Q562)&amp;"")</f>
        <v/>
      </c>
      <c r="D562">
        <f>IF($Q562="","",INDEX(상세표[직위],$Q562)&amp;"")</f>
        <v/>
      </c>
      <c r="E562">
        <f>IF($Q562="","",IF(ISNUMBER(INDEX(상세표[근무일자],$Q562)),TEXT(INDEX(상세표[근무일자],$Q562),"yyyy-mm-dd"),INDEX(상세표[근무일자],$Q562)&amp;""))</f>
        <v/>
      </c>
      <c r="F562">
        <f>IF($Q562="","",IF(ISNUMBER(INDEX(상세표[시작],$Q562)),TEXT(INDEX(상세표[시작],$Q562),"yyyy-mm-dd hh:mm"),INDEX(상세표[시작],$Q562)&amp;""))</f>
        <v/>
      </c>
      <c r="G562">
        <f>IF($Q562="","",IF(ISNUMBER(INDEX(상세표[블록종료],$Q562)),TEXT(INDEX(상세표[블록종료],$Q562),"yyyy-mm-dd hh:mm"),INDEX(상세표[블록종료],$Q562)&amp;""))</f>
        <v/>
      </c>
      <c r="H562">
        <f>IF($Q562="","",CHOOSE(WEEKDAY(INDEX(상세표[시작],$Q562)),"일","월","화","수","목","금","토"))</f>
        <v/>
      </c>
      <c r="I562" s="20">
        <f>IF($Q562="","",INDEX(상세표[연속 시간],$Q562))</f>
        <v/>
      </c>
      <c r="J562">
        <f>IF($Q562="","",INDEX(상세표[기록 수],$Q562))</f>
        <v/>
      </c>
      <c r="K562" s="20">
        <f>IF($Q562="","",INDEX(상세표[블록 06~07시],$Q562))</f>
        <v/>
      </c>
      <c r="L562" s="20">
        <f>IF($Q562="","",INDEX(상세표[블록 07~18시],$Q562))</f>
        <v/>
      </c>
      <c r="M562" s="20">
        <f>IF($Q562="","",INDEX(상세표[블록 18~22시],$Q562))</f>
        <v/>
      </c>
      <c r="N562" s="20">
        <f>IF($Q562="","",INDEX(상세표[블록 22~06시],$Q562))</f>
        <v/>
      </c>
      <c r="O562">
        <f>IF($Q562="","",INDEX(상세표[주말·휴일 포함],$Q562)&amp;"")</f>
        <v/>
      </c>
      <c r="P562">
        <f>IF($Q562="","",INDEX(상세표[월 넘김 포함],$Q562)&amp;"")</f>
        <v/>
      </c>
      <c r="Q562" s="4">
        <f>IFERROR(MATCH(557,상세표[연속순번],0),"")</f>
        <v/>
      </c>
    </row>
    <row r="563">
      <c r="A563">
        <f>IF($Q563="","",INDEX(상세표[부서],$Q563)&amp;"")</f>
        <v/>
      </c>
      <c r="B563">
        <f>IF($Q563="","",INDEX(상세표[사번],$Q563)&amp;"")</f>
        <v/>
      </c>
      <c r="C563">
        <f>IF($Q563="","",INDEX(상세표[성명],$Q563)&amp;"")</f>
        <v/>
      </c>
      <c r="D563">
        <f>IF($Q563="","",INDEX(상세표[직위],$Q563)&amp;"")</f>
        <v/>
      </c>
      <c r="E563">
        <f>IF($Q563="","",IF(ISNUMBER(INDEX(상세표[근무일자],$Q563)),TEXT(INDEX(상세표[근무일자],$Q563),"yyyy-mm-dd"),INDEX(상세표[근무일자],$Q563)&amp;""))</f>
        <v/>
      </c>
      <c r="F563">
        <f>IF($Q563="","",IF(ISNUMBER(INDEX(상세표[시작],$Q563)),TEXT(INDEX(상세표[시작],$Q563),"yyyy-mm-dd hh:mm"),INDEX(상세표[시작],$Q563)&amp;""))</f>
        <v/>
      </c>
      <c r="G563">
        <f>IF($Q563="","",IF(ISNUMBER(INDEX(상세표[블록종료],$Q563)),TEXT(INDEX(상세표[블록종료],$Q563),"yyyy-mm-dd hh:mm"),INDEX(상세표[블록종료],$Q563)&amp;""))</f>
        <v/>
      </c>
      <c r="H563">
        <f>IF($Q563="","",CHOOSE(WEEKDAY(INDEX(상세표[시작],$Q563)),"일","월","화","수","목","금","토"))</f>
        <v/>
      </c>
      <c r="I563" s="20">
        <f>IF($Q563="","",INDEX(상세표[연속 시간],$Q563))</f>
        <v/>
      </c>
      <c r="J563">
        <f>IF($Q563="","",INDEX(상세표[기록 수],$Q563))</f>
        <v/>
      </c>
      <c r="K563" s="20">
        <f>IF($Q563="","",INDEX(상세표[블록 06~07시],$Q563))</f>
        <v/>
      </c>
      <c r="L563" s="20">
        <f>IF($Q563="","",INDEX(상세표[블록 07~18시],$Q563))</f>
        <v/>
      </c>
      <c r="M563" s="20">
        <f>IF($Q563="","",INDEX(상세표[블록 18~22시],$Q563))</f>
        <v/>
      </c>
      <c r="N563" s="20">
        <f>IF($Q563="","",INDEX(상세표[블록 22~06시],$Q563))</f>
        <v/>
      </c>
      <c r="O563">
        <f>IF($Q563="","",INDEX(상세표[주말·휴일 포함],$Q563)&amp;"")</f>
        <v/>
      </c>
      <c r="P563">
        <f>IF($Q563="","",INDEX(상세표[월 넘김 포함],$Q563)&amp;"")</f>
        <v/>
      </c>
      <c r="Q563" s="4">
        <f>IFERROR(MATCH(558,상세표[연속순번],0),"")</f>
        <v/>
      </c>
    </row>
    <row r="564">
      <c r="A564">
        <f>IF($Q564="","",INDEX(상세표[부서],$Q564)&amp;"")</f>
        <v/>
      </c>
      <c r="B564">
        <f>IF($Q564="","",INDEX(상세표[사번],$Q564)&amp;"")</f>
        <v/>
      </c>
      <c r="C564">
        <f>IF($Q564="","",INDEX(상세표[성명],$Q564)&amp;"")</f>
        <v/>
      </c>
      <c r="D564">
        <f>IF($Q564="","",INDEX(상세표[직위],$Q564)&amp;"")</f>
        <v/>
      </c>
      <c r="E564">
        <f>IF($Q564="","",IF(ISNUMBER(INDEX(상세표[근무일자],$Q564)),TEXT(INDEX(상세표[근무일자],$Q564),"yyyy-mm-dd"),INDEX(상세표[근무일자],$Q564)&amp;""))</f>
        <v/>
      </c>
      <c r="F564">
        <f>IF($Q564="","",IF(ISNUMBER(INDEX(상세표[시작],$Q564)),TEXT(INDEX(상세표[시작],$Q564),"yyyy-mm-dd hh:mm"),INDEX(상세표[시작],$Q564)&amp;""))</f>
        <v/>
      </c>
      <c r="G564">
        <f>IF($Q564="","",IF(ISNUMBER(INDEX(상세표[블록종료],$Q564)),TEXT(INDEX(상세표[블록종료],$Q564),"yyyy-mm-dd hh:mm"),INDEX(상세표[블록종료],$Q564)&amp;""))</f>
        <v/>
      </c>
      <c r="H564">
        <f>IF($Q564="","",CHOOSE(WEEKDAY(INDEX(상세표[시작],$Q564)),"일","월","화","수","목","금","토"))</f>
        <v/>
      </c>
      <c r="I564" s="20">
        <f>IF($Q564="","",INDEX(상세표[연속 시간],$Q564))</f>
        <v/>
      </c>
      <c r="J564">
        <f>IF($Q564="","",INDEX(상세표[기록 수],$Q564))</f>
        <v/>
      </c>
      <c r="K564" s="20">
        <f>IF($Q564="","",INDEX(상세표[블록 06~07시],$Q564))</f>
        <v/>
      </c>
      <c r="L564" s="20">
        <f>IF($Q564="","",INDEX(상세표[블록 07~18시],$Q564))</f>
        <v/>
      </c>
      <c r="M564" s="20">
        <f>IF($Q564="","",INDEX(상세표[블록 18~22시],$Q564))</f>
        <v/>
      </c>
      <c r="N564" s="20">
        <f>IF($Q564="","",INDEX(상세표[블록 22~06시],$Q564))</f>
        <v/>
      </c>
      <c r="O564">
        <f>IF($Q564="","",INDEX(상세표[주말·휴일 포함],$Q564)&amp;"")</f>
        <v/>
      </c>
      <c r="P564">
        <f>IF($Q564="","",INDEX(상세표[월 넘김 포함],$Q564)&amp;"")</f>
        <v/>
      </c>
      <c r="Q564" s="4">
        <f>IFERROR(MATCH(559,상세표[연속순번],0),"")</f>
        <v/>
      </c>
    </row>
    <row r="565">
      <c r="A565">
        <f>IF($Q565="","",INDEX(상세표[부서],$Q565)&amp;"")</f>
        <v/>
      </c>
      <c r="B565">
        <f>IF($Q565="","",INDEX(상세표[사번],$Q565)&amp;"")</f>
        <v/>
      </c>
      <c r="C565">
        <f>IF($Q565="","",INDEX(상세표[성명],$Q565)&amp;"")</f>
        <v/>
      </c>
      <c r="D565">
        <f>IF($Q565="","",INDEX(상세표[직위],$Q565)&amp;"")</f>
        <v/>
      </c>
      <c r="E565">
        <f>IF($Q565="","",IF(ISNUMBER(INDEX(상세표[근무일자],$Q565)),TEXT(INDEX(상세표[근무일자],$Q565),"yyyy-mm-dd"),INDEX(상세표[근무일자],$Q565)&amp;""))</f>
        <v/>
      </c>
      <c r="F565">
        <f>IF($Q565="","",IF(ISNUMBER(INDEX(상세표[시작],$Q565)),TEXT(INDEX(상세표[시작],$Q565),"yyyy-mm-dd hh:mm"),INDEX(상세표[시작],$Q565)&amp;""))</f>
        <v/>
      </c>
      <c r="G565">
        <f>IF($Q565="","",IF(ISNUMBER(INDEX(상세표[블록종료],$Q565)),TEXT(INDEX(상세표[블록종료],$Q565),"yyyy-mm-dd hh:mm"),INDEX(상세표[블록종료],$Q565)&amp;""))</f>
        <v/>
      </c>
      <c r="H565">
        <f>IF($Q565="","",CHOOSE(WEEKDAY(INDEX(상세표[시작],$Q565)),"일","월","화","수","목","금","토"))</f>
        <v/>
      </c>
      <c r="I565" s="20">
        <f>IF($Q565="","",INDEX(상세표[연속 시간],$Q565))</f>
        <v/>
      </c>
      <c r="J565">
        <f>IF($Q565="","",INDEX(상세표[기록 수],$Q565))</f>
        <v/>
      </c>
      <c r="K565" s="20">
        <f>IF($Q565="","",INDEX(상세표[블록 06~07시],$Q565))</f>
        <v/>
      </c>
      <c r="L565" s="20">
        <f>IF($Q565="","",INDEX(상세표[블록 07~18시],$Q565))</f>
        <v/>
      </c>
      <c r="M565" s="20">
        <f>IF($Q565="","",INDEX(상세표[블록 18~22시],$Q565))</f>
        <v/>
      </c>
      <c r="N565" s="20">
        <f>IF($Q565="","",INDEX(상세표[블록 22~06시],$Q565))</f>
        <v/>
      </c>
      <c r="O565">
        <f>IF($Q565="","",INDEX(상세표[주말·휴일 포함],$Q565)&amp;"")</f>
        <v/>
      </c>
      <c r="P565">
        <f>IF($Q565="","",INDEX(상세표[월 넘김 포함],$Q565)&amp;"")</f>
        <v/>
      </c>
      <c r="Q565" s="4">
        <f>IFERROR(MATCH(560,상세표[연속순번],0),"")</f>
        <v/>
      </c>
    </row>
    <row r="566">
      <c r="A566">
        <f>IF($Q566="","",INDEX(상세표[부서],$Q566)&amp;"")</f>
        <v/>
      </c>
      <c r="B566">
        <f>IF($Q566="","",INDEX(상세표[사번],$Q566)&amp;"")</f>
        <v/>
      </c>
      <c r="C566">
        <f>IF($Q566="","",INDEX(상세표[성명],$Q566)&amp;"")</f>
        <v/>
      </c>
      <c r="D566">
        <f>IF($Q566="","",INDEX(상세표[직위],$Q566)&amp;"")</f>
        <v/>
      </c>
      <c r="E566">
        <f>IF($Q566="","",IF(ISNUMBER(INDEX(상세표[근무일자],$Q566)),TEXT(INDEX(상세표[근무일자],$Q566),"yyyy-mm-dd"),INDEX(상세표[근무일자],$Q566)&amp;""))</f>
        <v/>
      </c>
      <c r="F566">
        <f>IF($Q566="","",IF(ISNUMBER(INDEX(상세표[시작],$Q566)),TEXT(INDEX(상세표[시작],$Q566),"yyyy-mm-dd hh:mm"),INDEX(상세표[시작],$Q566)&amp;""))</f>
        <v/>
      </c>
      <c r="G566">
        <f>IF($Q566="","",IF(ISNUMBER(INDEX(상세표[블록종료],$Q566)),TEXT(INDEX(상세표[블록종료],$Q566),"yyyy-mm-dd hh:mm"),INDEX(상세표[블록종료],$Q566)&amp;""))</f>
        <v/>
      </c>
      <c r="H566">
        <f>IF($Q566="","",CHOOSE(WEEKDAY(INDEX(상세표[시작],$Q566)),"일","월","화","수","목","금","토"))</f>
        <v/>
      </c>
      <c r="I566" s="20">
        <f>IF($Q566="","",INDEX(상세표[연속 시간],$Q566))</f>
        <v/>
      </c>
      <c r="J566">
        <f>IF($Q566="","",INDEX(상세표[기록 수],$Q566))</f>
        <v/>
      </c>
      <c r="K566" s="20">
        <f>IF($Q566="","",INDEX(상세표[블록 06~07시],$Q566))</f>
        <v/>
      </c>
      <c r="L566" s="20">
        <f>IF($Q566="","",INDEX(상세표[블록 07~18시],$Q566))</f>
        <v/>
      </c>
      <c r="M566" s="20">
        <f>IF($Q566="","",INDEX(상세표[블록 18~22시],$Q566))</f>
        <v/>
      </c>
      <c r="N566" s="20">
        <f>IF($Q566="","",INDEX(상세표[블록 22~06시],$Q566))</f>
        <v/>
      </c>
      <c r="O566">
        <f>IF($Q566="","",INDEX(상세표[주말·휴일 포함],$Q566)&amp;"")</f>
        <v/>
      </c>
      <c r="P566">
        <f>IF($Q566="","",INDEX(상세표[월 넘김 포함],$Q566)&amp;"")</f>
        <v/>
      </c>
      <c r="Q566" s="4">
        <f>IFERROR(MATCH(561,상세표[연속순번],0),"")</f>
        <v/>
      </c>
    </row>
    <row r="567">
      <c r="A567">
        <f>IF($Q567="","",INDEX(상세표[부서],$Q567)&amp;"")</f>
        <v/>
      </c>
      <c r="B567">
        <f>IF($Q567="","",INDEX(상세표[사번],$Q567)&amp;"")</f>
        <v/>
      </c>
      <c r="C567">
        <f>IF($Q567="","",INDEX(상세표[성명],$Q567)&amp;"")</f>
        <v/>
      </c>
      <c r="D567">
        <f>IF($Q567="","",INDEX(상세표[직위],$Q567)&amp;"")</f>
        <v/>
      </c>
      <c r="E567">
        <f>IF($Q567="","",IF(ISNUMBER(INDEX(상세표[근무일자],$Q567)),TEXT(INDEX(상세표[근무일자],$Q567),"yyyy-mm-dd"),INDEX(상세표[근무일자],$Q567)&amp;""))</f>
        <v/>
      </c>
      <c r="F567">
        <f>IF($Q567="","",IF(ISNUMBER(INDEX(상세표[시작],$Q567)),TEXT(INDEX(상세표[시작],$Q567),"yyyy-mm-dd hh:mm"),INDEX(상세표[시작],$Q567)&amp;""))</f>
        <v/>
      </c>
      <c r="G567">
        <f>IF($Q567="","",IF(ISNUMBER(INDEX(상세표[블록종료],$Q567)),TEXT(INDEX(상세표[블록종료],$Q567),"yyyy-mm-dd hh:mm"),INDEX(상세표[블록종료],$Q567)&amp;""))</f>
        <v/>
      </c>
      <c r="H567">
        <f>IF($Q567="","",CHOOSE(WEEKDAY(INDEX(상세표[시작],$Q567)),"일","월","화","수","목","금","토"))</f>
        <v/>
      </c>
      <c r="I567" s="20">
        <f>IF($Q567="","",INDEX(상세표[연속 시간],$Q567))</f>
        <v/>
      </c>
      <c r="J567">
        <f>IF($Q567="","",INDEX(상세표[기록 수],$Q567))</f>
        <v/>
      </c>
      <c r="K567" s="20">
        <f>IF($Q567="","",INDEX(상세표[블록 06~07시],$Q567))</f>
        <v/>
      </c>
      <c r="L567" s="20">
        <f>IF($Q567="","",INDEX(상세표[블록 07~18시],$Q567))</f>
        <v/>
      </c>
      <c r="M567" s="20">
        <f>IF($Q567="","",INDEX(상세표[블록 18~22시],$Q567))</f>
        <v/>
      </c>
      <c r="N567" s="20">
        <f>IF($Q567="","",INDEX(상세표[블록 22~06시],$Q567))</f>
        <v/>
      </c>
      <c r="O567">
        <f>IF($Q567="","",INDEX(상세표[주말·휴일 포함],$Q567)&amp;"")</f>
        <v/>
      </c>
      <c r="P567">
        <f>IF($Q567="","",INDEX(상세표[월 넘김 포함],$Q567)&amp;"")</f>
        <v/>
      </c>
      <c r="Q567" s="4">
        <f>IFERROR(MATCH(562,상세표[연속순번],0),"")</f>
        <v/>
      </c>
    </row>
    <row r="568">
      <c r="A568">
        <f>IF($Q568="","",INDEX(상세표[부서],$Q568)&amp;"")</f>
        <v/>
      </c>
      <c r="B568">
        <f>IF($Q568="","",INDEX(상세표[사번],$Q568)&amp;"")</f>
        <v/>
      </c>
      <c r="C568">
        <f>IF($Q568="","",INDEX(상세표[성명],$Q568)&amp;"")</f>
        <v/>
      </c>
      <c r="D568">
        <f>IF($Q568="","",INDEX(상세표[직위],$Q568)&amp;"")</f>
        <v/>
      </c>
      <c r="E568">
        <f>IF($Q568="","",IF(ISNUMBER(INDEX(상세표[근무일자],$Q568)),TEXT(INDEX(상세표[근무일자],$Q568),"yyyy-mm-dd"),INDEX(상세표[근무일자],$Q568)&amp;""))</f>
        <v/>
      </c>
      <c r="F568">
        <f>IF($Q568="","",IF(ISNUMBER(INDEX(상세표[시작],$Q568)),TEXT(INDEX(상세표[시작],$Q568),"yyyy-mm-dd hh:mm"),INDEX(상세표[시작],$Q568)&amp;""))</f>
        <v/>
      </c>
      <c r="G568">
        <f>IF($Q568="","",IF(ISNUMBER(INDEX(상세표[블록종료],$Q568)),TEXT(INDEX(상세표[블록종료],$Q568),"yyyy-mm-dd hh:mm"),INDEX(상세표[블록종료],$Q568)&amp;""))</f>
        <v/>
      </c>
      <c r="H568">
        <f>IF($Q568="","",CHOOSE(WEEKDAY(INDEX(상세표[시작],$Q568)),"일","월","화","수","목","금","토"))</f>
        <v/>
      </c>
      <c r="I568" s="20">
        <f>IF($Q568="","",INDEX(상세표[연속 시간],$Q568))</f>
        <v/>
      </c>
      <c r="J568">
        <f>IF($Q568="","",INDEX(상세표[기록 수],$Q568))</f>
        <v/>
      </c>
      <c r="K568" s="20">
        <f>IF($Q568="","",INDEX(상세표[블록 06~07시],$Q568))</f>
        <v/>
      </c>
      <c r="L568" s="20">
        <f>IF($Q568="","",INDEX(상세표[블록 07~18시],$Q568))</f>
        <v/>
      </c>
      <c r="M568" s="20">
        <f>IF($Q568="","",INDEX(상세표[블록 18~22시],$Q568))</f>
        <v/>
      </c>
      <c r="N568" s="20">
        <f>IF($Q568="","",INDEX(상세표[블록 22~06시],$Q568))</f>
        <v/>
      </c>
      <c r="O568">
        <f>IF($Q568="","",INDEX(상세표[주말·휴일 포함],$Q568)&amp;"")</f>
        <v/>
      </c>
      <c r="P568">
        <f>IF($Q568="","",INDEX(상세표[월 넘김 포함],$Q568)&amp;"")</f>
        <v/>
      </c>
      <c r="Q568" s="4">
        <f>IFERROR(MATCH(563,상세표[연속순번],0),"")</f>
        <v/>
      </c>
    </row>
    <row r="569">
      <c r="A569">
        <f>IF($Q569="","",INDEX(상세표[부서],$Q569)&amp;"")</f>
        <v/>
      </c>
      <c r="B569">
        <f>IF($Q569="","",INDEX(상세표[사번],$Q569)&amp;"")</f>
        <v/>
      </c>
      <c r="C569">
        <f>IF($Q569="","",INDEX(상세표[성명],$Q569)&amp;"")</f>
        <v/>
      </c>
      <c r="D569">
        <f>IF($Q569="","",INDEX(상세표[직위],$Q569)&amp;"")</f>
        <v/>
      </c>
      <c r="E569">
        <f>IF($Q569="","",IF(ISNUMBER(INDEX(상세표[근무일자],$Q569)),TEXT(INDEX(상세표[근무일자],$Q569),"yyyy-mm-dd"),INDEX(상세표[근무일자],$Q569)&amp;""))</f>
        <v/>
      </c>
      <c r="F569">
        <f>IF($Q569="","",IF(ISNUMBER(INDEX(상세표[시작],$Q569)),TEXT(INDEX(상세표[시작],$Q569),"yyyy-mm-dd hh:mm"),INDEX(상세표[시작],$Q569)&amp;""))</f>
        <v/>
      </c>
      <c r="G569">
        <f>IF($Q569="","",IF(ISNUMBER(INDEX(상세표[블록종료],$Q569)),TEXT(INDEX(상세표[블록종료],$Q569),"yyyy-mm-dd hh:mm"),INDEX(상세표[블록종료],$Q569)&amp;""))</f>
        <v/>
      </c>
      <c r="H569">
        <f>IF($Q569="","",CHOOSE(WEEKDAY(INDEX(상세표[시작],$Q569)),"일","월","화","수","목","금","토"))</f>
        <v/>
      </c>
      <c r="I569" s="20">
        <f>IF($Q569="","",INDEX(상세표[연속 시간],$Q569))</f>
        <v/>
      </c>
      <c r="J569">
        <f>IF($Q569="","",INDEX(상세표[기록 수],$Q569))</f>
        <v/>
      </c>
      <c r="K569" s="20">
        <f>IF($Q569="","",INDEX(상세표[블록 06~07시],$Q569))</f>
        <v/>
      </c>
      <c r="L569" s="20">
        <f>IF($Q569="","",INDEX(상세표[블록 07~18시],$Q569))</f>
        <v/>
      </c>
      <c r="M569" s="20">
        <f>IF($Q569="","",INDEX(상세표[블록 18~22시],$Q569))</f>
        <v/>
      </c>
      <c r="N569" s="20">
        <f>IF($Q569="","",INDEX(상세표[블록 22~06시],$Q569))</f>
        <v/>
      </c>
      <c r="O569">
        <f>IF($Q569="","",INDEX(상세표[주말·휴일 포함],$Q569)&amp;"")</f>
        <v/>
      </c>
      <c r="P569">
        <f>IF($Q569="","",INDEX(상세표[월 넘김 포함],$Q569)&amp;"")</f>
        <v/>
      </c>
      <c r="Q569" s="4">
        <f>IFERROR(MATCH(564,상세표[연속순번],0),"")</f>
        <v/>
      </c>
    </row>
    <row r="570">
      <c r="A570">
        <f>IF($Q570="","",INDEX(상세표[부서],$Q570)&amp;"")</f>
        <v/>
      </c>
      <c r="B570">
        <f>IF($Q570="","",INDEX(상세표[사번],$Q570)&amp;"")</f>
        <v/>
      </c>
      <c r="C570">
        <f>IF($Q570="","",INDEX(상세표[성명],$Q570)&amp;"")</f>
        <v/>
      </c>
      <c r="D570">
        <f>IF($Q570="","",INDEX(상세표[직위],$Q570)&amp;"")</f>
        <v/>
      </c>
      <c r="E570">
        <f>IF($Q570="","",IF(ISNUMBER(INDEX(상세표[근무일자],$Q570)),TEXT(INDEX(상세표[근무일자],$Q570),"yyyy-mm-dd"),INDEX(상세표[근무일자],$Q570)&amp;""))</f>
        <v/>
      </c>
      <c r="F570">
        <f>IF($Q570="","",IF(ISNUMBER(INDEX(상세표[시작],$Q570)),TEXT(INDEX(상세표[시작],$Q570),"yyyy-mm-dd hh:mm"),INDEX(상세표[시작],$Q570)&amp;""))</f>
        <v/>
      </c>
      <c r="G570">
        <f>IF($Q570="","",IF(ISNUMBER(INDEX(상세표[블록종료],$Q570)),TEXT(INDEX(상세표[블록종료],$Q570),"yyyy-mm-dd hh:mm"),INDEX(상세표[블록종료],$Q570)&amp;""))</f>
        <v/>
      </c>
      <c r="H570">
        <f>IF($Q570="","",CHOOSE(WEEKDAY(INDEX(상세표[시작],$Q570)),"일","월","화","수","목","금","토"))</f>
        <v/>
      </c>
      <c r="I570" s="20">
        <f>IF($Q570="","",INDEX(상세표[연속 시간],$Q570))</f>
        <v/>
      </c>
      <c r="J570">
        <f>IF($Q570="","",INDEX(상세표[기록 수],$Q570))</f>
        <v/>
      </c>
      <c r="K570" s="20">
        <f>IF($Q570="","",INDEX(상세표[블록 06~07시],$Q570))</f>
        <v/>
      </c>
      <c r="L570" s="20">
        <f>IF($Q570="","",INDEX(상세표[블록 07~18시],$Q570))</f>
        <v/>
      </c>
      <c r="M570" s="20">
        <f>IF($Q570="","",INDEX(상세표[블록 18~22시],$Q570))</f>
        <v/>
      </c>
      <c r="N570" s="20">
        <f>IF($Q570="","",INDEX(상세표[블록 22~06시],$Q570))</f>
        <v/>
      </c>
      <c r="O570">
        <f>IF($Q570="","",INDEX(상세표[주말·휴일 포함],$Q570)&amp;"")</f>
        <v/>
      </c>
      <c r="P570">
        <f>IF($Q570="","",INDEX(상세표[월 넘김 포함],$Q570)&amp;"")</f>
        <v/>
      </c>
      <c r="Q570" s="4">
        <f>IFERROR(MATCH(565,상세표[연속순번],0),"")</f>
        <v/>
      </c>
    </row>
    <row r="571">
      <c r="A571">
        <f>IF($Q571="","",INDEX(상세표[부서],$Q571)&amp;"")</f>
        <v/>
      </c>
      <c r="B571">
        <f>IF($Q571="","",INDEX(상세표[사번],$Q571)&amp;"")</f>
        <v/>
      </c>
      <c r="C571">
        <f>IF($Q571="","",INDEX(상세표[성명],$Q571)&amp;"")</f>
        <v/>
      </c>
      <c r="D571">
        <f>IF($Q571="","",INDEX(상세표[직위],$Q571)&amp;"")</f>
        <v/>
      </c>
      <c r="E571">
        <f>IF($Q571="","",IF(ISNUMBER(INDEX(상세표[근무일자],$Q571)),TEXT(INDEX(상세표[근무일자],$Q571),"yyyy-mm-dd"),INDEX(상세표[근무일자],$Q571)&amp;""))</f>
        <v/>
      </c>
      <c r="F571">
        <f>IF($Q571="","",IF(ISNUMBER(INDEX(상세표[시작],$Q571)),TEXT(INDEX(상세표[시작],$Q571),"yyyy-mm-dd hh:mm"),INDEX(상세표[시작],$Q571)&amp;""))</f>
        <v/>
      </c>
      <c r="G571">
        <f>IF($Q571="","",IF(ISNUMBER(INDEX(상세표[블록종료],$Q571)),TEXT(INDEX(상세표[블록종료],$Q571),"yyyy-mm-dd hh:mm"),INDEX(상세표[블록종료],$Q571)&amp;""))</f>
        <v/>
      </c>
      <c r="H571">
        <f>IF($Q571="","",CHOOSE(WEEKDAY(INDEX(상세표[시작],$Q571)),"일","월","화","수","목","금","토"))</f>
        <v/>
      </c>
      <c r="I571" s="20">
        <f>IF($Q571="","",INDEX(상세표[연속 시간],$Q571))</f>
        <v/>
      </c>
      <c r="J571">
        <f>IF($Q571="","",INDEX(상세표[기록 수],$Q571))</f>
        <v/>
      </c>
      <c r="K571" s="20">
        <f>IF($Q571="","",INDEX(상세표[블록 06~07시],$Q571))</f>
        <v/>
      </c>
      <c r="L571" s="20">
        <f>IF($Q571="","",INDEX(상세표[블록 07~18시],$Q571))</f>
        <v/>
      </c>
      <c r="M571" s="20">
        <f>IF($Q571="","",INDEX(상세표[블록 18~22시],$Q571))</f>
        <v/>
      </c>
      <c r="N571" s="20">
        <f>IF($Q571="","",INDEX(상세표[블록 22~06시],$Q571))</f>
        <v/>
      </c>
      <c r="O571">
        <f>IF($Q571="","",INDEX(상세표[주말·휴일 포함],$Q571)&amp;"")</f>
        <v/>
      </c>
      <c r="P571">
        <f>IF($Q571="","",INDEX(상세표[월 넘김 포함],$Q571)&amp;"")</f>
        <v/>
      </c>
      <c r="Q571" s="4">
        <f>IFERROR(MATCH(566,상세표[연속순번],0),"")</f>
        <v/>
      </c>
    </row>
    <row r="572">
      <c r="A572">
        <f>IF($Q572="","",INDEX(상세표[부서],$Q572)&amp;"")</f>
        <v/>
      </c>
      <c r="B572">
        <f>IF($Q572="","",INDEX(상세표[사번],$Q572)&amp;"")</f>
        <v/>
      </c>
      <c r="C572">
        <f>IF($Q572="","",INDEX(상세표[성명],$Q572)&amp;"")</f>
        <v/>
      </c>
      <c r="D572">
        <f>IF($Q572="","",INDEX(상세표[직위],$Q572)&amp;"")</f>
        <v/>
      </c>
      <c r="E572">
        <f>IF($Q572="","",IF(ISNUMBER(INDEX(상세표[근무일자],$Q572)),TEXT(INDEX(상세표[근무일자],$Q572),"yyyy-mm-dd"),INDEX(상세표[근무일자],$Q572)&amp;""))</f>
        <v/>
      </c>
      <c r="F572">
        <f>IF($Q572="","",IF(ISNUMBER(INDEX(상세표[시작],$Q572)),TEXT(INDEX(상세표[시작],$Q572),"yyyy-mm-dd hh:mm"),INDEX(상세표[시작],$Q572)&amp;""))</f>
        <v/>
      </c>
      <c r="G572">
        <f>IF($Q572="","",IF(ISNUMBER(INDEX(상세표[블록종료],$Q572)),TEXT(INDEX(상세표[블록종료],$Q572),"yyyy-mm-dd hh:mm"),INDEX(상세표[블록종료],$Q572)&amp;""))</f>
        <v/>
      </c>
      <c r="H572">
        <f>IF($Q572="","",CHOOSE(WEEKDAY(INDEX(상세표[시작],$Q572)),"일","월","화","수","목","금","토"))</f>
        <v/>
      </c>
      <c r="I572" s="20">
        <f>IF($Q572="","",INDEX(상세표[연속 시간],$Q572))</f>
        <v/>
      </c>
      <c r="J572">
        <f>IF($Q572="","",INDEX(상세표[기록 수],$Q572))</f>
        <v/>
      </c>
      <c r="K572" s="20">
        <f>IF($Q572="","",INDEX(상세표[블록 06~07시],$Q572))</f>
        <v/>
      </c>
      <c r="L572" s="20">
        <f>IF($Q572="","",INDEX(상세표[블록 07~18시],$Q572))</f>
        <v/>
      </c>
      <c r="M572" s="20">
        <f>IF($Q572="","",INDEX(상세표[블록 18~22시],$Q572))</f>
        <v/>
      </c>
      <c r="N572" s="20">
        <f>IF($Q572="","",INDEX(상세표[블록 22~06시],$Q572))</f>
        <v/>
      </c>
      <c r="O572">
        <f>IF($Q572="","",INDEX(상세표[주말·휴일 포함],$Q572)&amp;"")</f>
        <v/>
      </c>
      <c r="P572">
        <f>IF($Q572="","",INDEX(상세표[월 넘김 포함],$Q572)&amp;"")</f>
        <v/>
      </c>
      <c r="Q572" s="4">
        <f>IFERROR(MATCH(567,상세표[연속순번],0),"")</f>
        <v/>
      </c>
    </row>
    <row r="573">
      <c r="A573">
        <f>IF($Q573="","",INDEX(상세표[부서],$Q573)&amp;"")</f>
        <v/>
      </c>
      <c r="B573">
        <f>IF($Q573="","",INDEX(상세표[사번],$Q573)&amp;"")</f>
        <v/>
      </c>
      <c r="C573">
        <f>IF($Q573="","",INDEX(상세표[성명],$Q573)&amp;"")</f>
        <v/>
      </c>
      <c r="D573">
        <f>IF($Q573="","",INDEX(상세표[직위],$Q573)&amp;"")</f>
        <v/>
      </c>
      <c r="E573">
        <f>IF($Q573="","",IF(ISNUMBER(INDEX(상세표[근무일자],$Q573)),TEXT(INDEX(상세표[근무일자],$Q573),"yyyy-mm-dd"),INDEX(상세표[근무일자],$Q573)&amp;""))</f>
        <v/>
      </c>
      <c r="F573">
        <f>IF($Q573="","",IF(ISNUMBER(INDEX(상세표[시작],$Q573)),TEXT(INDEX(상세표[시작],$Q573),"yyyy-mm-dd hh:mm"),INDEX(상세표[시작],$Q573)&amp;""))</f>
        <v/>
      </c>
      <c r="G573">
        <f>IF($Q573="","",IF(ISNUMBER(INDEX(상세표[블록종료],$Q573)),TEXT(INDEX(상세표[블록종료],$Q573),"yyyy-mm-dd hh:mm"),INDEX(상세표[블록종료],$Q573)&amp;""))</f>
        <v/>
      </c>
      <c r="H573">
        <f>IF($Q573="","",CHOOSE(WEEKDAY(INDEX(상세표[시작],$Q573)),"일","월","화","수","목","금","토"))</f>
        <v/>
      </c>
      <c r="I573" s="20">
        <f>IF($Q573="","",INDEX(상세표[연속 시간],$Q573))</f>
        <v/>
      </c>
      <c r="J573">
        <f>IF($Q573="","",INDEX(상세표[기록 수],$Q573))</f>
        <v/>
      </c>
      <c r="K573" s="20">
        <f>IF($Q573="","",INDEX(상세표[블록 06~07시],$Q573))</f>
        <v/>
      </c>
      <c r="L573" s="20">
        <f>IF($Q573="","",INDEX(상세표[블록 07~18시],$Q573))</f>
        <v/>
      </c>
      <c r="M573" s="20">
        <f>IF($Q573="","",INDEX(상세표[블록 18~22시],$Q573))</f>
        <v/>
      </c>
      <c r="N573" s="20">
        <f>IF($Q573="","",INDEX(상세표[블록 22~06시],$Q573))</f>
        <v/>
      </c>
      <c r="O573">
        <f>IF($Q573="","",INDEX(상세표[주말·휴일 포함],$Q573)&amp;"")</f>
        <v/>
      </c>
      <c r="P573">
        <f>IF($Q573="","",INDEX(상세표[월 넘김 포함],$Q573)&amp;"")</f>
        <v/>
      </c>
      <c r="Q573" s="4">
        <f>IFERROR(MATCH(568,상세표[연속순번],0),"")</f>
        <v/>
      </c>
    </row>
    <row r="574">
      <c r="A574">
        <f>IF($Q574="","",INDEX(상세표[부서],$Q574)&amp;"")</f>
        <v/>
      </c>
      <c r="B574">
        <f>IF($Q574="","",INDEX(상세표[사번],$Q574)&amp;"")</f>
        <v/>
      </c>
      <c r="C574">
        <f>IF($Q574="","",INDEX(상세표[성명],$Q574)&amp;"")</f>
        <v/>
      </c>
      <c r="D574">
        <f>IF($Q574="","",INDEX(상세표[직위],$Q574)&amp;"")</f>
        <v/>
      </c>
      <c r="E574">
        <f>IF($Q574="","",IF(ISNUMBER(INDEX(상세표[근무일자],$Q574)),TEXT(INDEX(상세표[근무일자],$Q574),"yyyy-mm-dd"),INDEX(상세표[근무일자],$Q574)&amp;""))</f>
        <v/>
      </c>
      <c r="F574">
        <f>IF($Q574="","",IF(ISNUMBER(INDEX(상세표[시작],$Q574)),TEXT(INDEX(상세표[시작],$Q574),"yyyy-mm-dd hh:mm"),INDEX(상세표[시작],$Q574)&amp;""))</f>
        <v/>
      </c>
      <c r="G574">
        <f>IF($Q574="","",IF(ISNUMBER(INDEX(상세표[블록종료],$Q574)),TEXT(INDEX(상세표[블록종료],$Q574),"yyyy-mm-dd hh:mm"),INDEX(상세표[블록종료],$Q574)&amp;""))</f>
        <v/>
      </c>
      <c r="H574">
        <f>IF($Q574="","",CHOOSE(WEEKDAY(INDEX(상세표[시작],$Q574)),"일","월","화","수","목","금","토"))</f>
        <v/>
      </c>
      <c r="I574" s="20">
        <f>IF($Q574="","",INDEX(상세표[연속 시간],$Q574))</f>
        <v/>
      </c>
      <c r="J574">
        <f>IF($Q574="","",INDEX(상세표[기록 수],$Q574))</f>
        <v/>
      </c>
      <c r="K574" s="20">
        <f>IF($Q574="","",INDEX(상세표[블록 06~07시],$Q574))</f>
        <v/>
      </c>
      <c r="L574" s="20">
        <f>IF($Q574="","",INDEX(상세표[블록 07~18시],$Q574))</f>
        <v/>
      </c>
      <c r="M574" s="20">
        <f>IF($Q574="","",INDEX(상세표[블록 18~22시],$Q574))</f>
        <v/>
      </c>
      <c r="N574" s="20">
        <f>IF($Q574="","",INDEX(상세표[블록 22~06시],$Q574))</f>
        <v/>
      </c>
      <c r="O574">
        <f>IF($Q574="","",INDEX(상세표[주말·휴일 포함],$Q574)&amp;"")</f>
        <v/>
      </c>
      <c r="P574">
        <f>IF($Q574="","",INDEX(상세표[월 넘김 포함],$Q574)&amp;"")</f>
        <v/>
      </c>
      <c r="Q574" s="4">
        <f>IFERROR(MATCH(569,상세표[연속순번],0),"")</f>
        <v/>
      </c>
    </row>
    <row r="575">
      <c r="A575">
        <f>IF($Q575="","",INDEX(상세표[부서],$Q575)&amp;"")</f>
        <v/>
      </c>
      <c r="B575">
        <f>IF($Q575="","",INDEX(상세표[사번],$Q575)&amp;"")</f>
        <v/>
      </c>
      <c r="C575">
        <f>IF($Q575="","",INDEX(상세표[성명],$Q575)&amp;"")</f>
        <v/>
      </c>
      <c r="D575">
        <f>IF($Q575="","",INDEX(상세표[직위],$Q575)&amp;"")</f>
        <v/>
      </c>
      <c r="E575">
        <f>IF($Q575="","",IF(ISNUMBER(INDEX(상세표[근무일자],$Q575)),TEXT(INDEX(상세표[근무일자],$Q575),"yyyy-mm-dd"),INDEX(상세표[근무일자],$Q575)&amp;""))</f>
        <v/>
      </c>
      <c r="F575">
        <f>IF($Q575="","",IF(ISNUMBER(INDEX(상세표[시작],$Q575)),TEXT(INDEX(상세표[시작],$Q575),"yyyy-mm-dd hh:mm"),INDEX(상세표[시작],$Q575)&amp;""))</f>
        <v/>
      </c>
      <c r="G575">
        <f>IF($Q575="","",IF(ISNUMBER(INDEX(상세표[블록종료],$Q575)),TEXT(INDEX(상세표[블록종료],$Q575),"yyyy-mm-dd hh:mm"),INDEX(상세표[블록종료],$Q575)&amp;""))</f>
        <v/>
      </c>
      <c r="H575">
        <f>IF($Q575="","",CHOOSE(WEEKDAY(INDEX(상세표[시작],$Q575)),"일","월","화","수","목","금","토"))</f>
        <v/>
      </c>
      <c r="I575" s="20">
        <f>IF($Q575="","",INDEX(상세표[연속 시간],$Q575))</f>
        <v/>
      </c>
      <c r="J575">
        <f>IF($Q575="","",INDEX(상세표[기록 수],$Q575))</f>
        <v/>
      </c>
      <c r="K575" s="20">
        <f>IF($Q575="","",INDEX(상세표[블록 06~07시],$Q575))</f>
        <v/>
      </c>
      <c r="L575" s="20">
        <f>IF($Q575="","",INDEX(상세표[블록 07~18시],$Q575))</f>
        <v/>
      </c>
      <c r="M575" s="20">
        <f>IF($Q575="","",INDEX(상세표[블록 18~22시],$Q575))</f>
        <v/>
      </c>
      <c r="N575" s="20">
        <f>IF($Q575="","",INDEX(상세표[블록 22~06시],$Q575))</f>
        <v/>
      </c>
      <c r="O575">
        <f>IF($Q575="","",INDEX(상세표[주말·휴일 포함],$Q575)&amp;"")</f>
        <v/>
      </c>
      <c r="P575">
        <f>IF($Q575="","",INDEX(상세표[월 넘김 포함],$Q575)&amp;"")</f>
        <v/>
      </c>
      <c r="Q575" s="4">
        <f>IFERROR(MATCH(570,상세표[연속순번],0),"")</f>
        <v/>
      </c>
    </row>
    <row r="576">
      <c r="A576">
        <f>IF($Q576="","",INDEX(상세표[부서],$Q576)&amp;"")</f>
        <v/>
      </c>
      <c r="B576">
        <f>IF($Q576="","",INDEX(상세표[사번],$Q576)&amp;"")</f>
        <v/>
      </c>
      <c r="C576">
        <f>IF($Q576="","",INDEX(상세표[성명],$Q576)&amp;"")</f>
        <v/>
      </c>
      <c r="D576">
        <f>IF($Q576="","",INDEX(상세표[직위],$Q576)&amp;"")</f>
        <v/>
      </c>
      <c r="E576">
        <f>IF($Q576="","",IF(ISNUMBER(INDEX(상세표[근무일자],$Q576)),TEXT(INDEX(상세표[근무일자],$Q576),"yyyy-mm-dd"),INDEX(상세표[근무일자],$Q576)&amp;""))</f>
        <v/>
      </c>
      <c r="F576">
        <f>IF($Q576="","",IF(ISNUMBER(INDEX(상세표[시작],$Q576)),TEXT(INDEX(상세표[시작],$Q576),"yyyy-mm-dd hh:mm"),INDEX(상세표[시작],$Q576)&amp;""))</f>
        <v/>
      </c>
      <c r="G576">
        <f>IF($Q576="","",IF(ISNUMBER(INDEX(상세표[블록종료],$Q576)),TEXT(INDEX(상세표[블록종료],$Q576),"yyyy-mm-dd hh:mm"),INDEX(상세표[블록종료],$Q576)&amp;""))</f>
        <v/>
      </c>
      <c r="H576">
        <f>IF($Q576="","",CHOOSE(WEEKDAY(INDEX(상세표[시작],$Q576)),"일","월","화","수","목","금","토"))</f>
        <v/>
      </c>
      <c r="I576" s="20">
        <f>IF($Q576="","",INDEX(상세표[연속 시간],$Q576))</f>
        <v/>
      </c>
      <c r="J576">
        <f>IF($Q576="","",INDEX(상세표[기록 수],$Q576))</f>
        <v/>
      </c>
      <c r="K576" s="20">
        <f>IF($Q576="","",INDEX(상세표[블록 06~07시],$Q576))</f>
        <v/>
      </c>
      <c r="L576" s="20">
        <f>IF($Q576="","",INDEX(상세표[블록 07~18시],$Q576))</f>
        <v/>
      </c>
      <c r="M576" s="20">
        <f>IF($Q576="","",INDEX(상세표[블록 18~22시],$Q576))</f>
        <v/>
      </c>
      <c r="N576" s="20">
        <f>IF($Q576="","",INDEX(상세표[블록 22~06시],$Q576))</f>
        <v/>
      </c>
      <c r="O576">
        <f>IF($Q576="","",INDEX(상세표[주말·휴일 포함],$Q576)&amp;"")</f>
        <v/>
      </c>
      <c r="P576">
        <f>IF($Q576="","",INDEX(상세표[월 넘김 포함],$Q576)&amp;"")</f>
        <v/>
      </c>
      <c r="Q576" s="4">
        <f>IFERROR(MATCH(571,상세표[연속순번],0),"")</f>
        <v/>
      </c>
    </row>
    <row r="577">
      <c r="A577">
        <f>IF($Q577="","",INDEX(상세표[부서],$Q577)&amp;"")</f>
        <v/>
      </c>
      <c r="B577">
        <f>IF($Q577="","",INDEX(상세표[사번],$Q577)&amp;"")</f>
        <v/>
      </c>
      <c r="C577">
        <f>IF($Q577="","",INDEX(상세표[성명],$Q577)&amp;"")</f>
        <v/>
      </c>
      <c r="D577">
        <f>IF($Q577="","",INDEX(상세표[직위],$Q577)&amp;"")</f>
        <v/>
      </c>
      <c r="E577">
        <f>IF($Q577="","",IF(ISNUMBER(INDEX(상세표[근무일자],$Q577)),TEXT(INDEX(상세표[근무일자],$Q577),"yyyy-mm-dd"),INDEX(상세표[근무일자],$Q577)&amp;""))</f>
        <v/>
      </c>
      <c r="F577">
        <f>IF($Q577="","",IF(ISNUMBER(INDEX(상세표[시작],$Q577)),TEXT(INDEX(상세표[시작],$Q577),"yyyy-mm-dd hh:mm"),INDEX(상세표[시작],$Q577)&amp;""))</f>
        <v/>
      </c>
      <c r="G577">
        <f>IF($Q577="","",IF(ISNUMBER(INDEX(상세표[블록종료],$Q577)),TEXT(INDEX(상세표[블록종료],$Q577),"yyyy-mm-dd hh:mm"),INDEX(상세표[블록종료],$Q577)&amp;""))</f>
        <v/>
      </c>
      <c r="H577">
        <f>IF($Q577="","",CHOOSE(WEEKDAY(INDEX(상세표[시작],$Q577)),"일","월","화","수","목","금","토"))</f>
        <v/>
      </c>
      <c r="I577" s="20">
        <f>IF($Q577="","",INDEX(상세표[연속 시간],$Q577))</f>
        <v/>
      </c>
      <c r="J577">
        <f>IF($Q577="","",INDEX(상세표[기록 수],$Q577))</f>
        <v/>
      </c>
      <c r="K577" s="20">
        <f>IF($Q577="","",INDEX(상세표[블록 06~07시],$Q577))</f>
        <v/>
      </c>
      <c r="L577" s="20">
        <f>IF($Q577="","",INDEX(상세표[블록 07~18시],$Q577))</f>
        <v/>
      </c>
      <c r="M577" s="20">
        <f>IF($Q577="","",INDEX(상세표[블록 18~22시],$Q577))</f>
        <v/>
      </c>
      <c r="N577" s="20">
        <f>IF($Q577="","",INDEX(상세표[블록 22~06시],$Q577))</f>
        <v/>
      </c>
      <c r="O577">
        <f>IF($Q577="","",INDEX(상세표[주말·휴일 포함],$Q577)&amp;"")</f>
        <v/>
      </c>
      <c r="P577">
        <f>IF($Q577="","",INDEX(상세표[월 넘김 포함],$Q577)&amp;"")</f>
        <v/>
      </c>
      <c r="Q577" s="4">
        <f>IFERROR(MATCH(572,상세표[연속순번],0),"")</f>
        <v/>
      </c>
    </row>
    <row r="578">
      <c r="A578">
        <f>IF($Q578="","",INDEX(상세표[부서],$Q578)&amp;"")</f>
        <v/>
      </c>
      <c r="B578">
        <f>IF($Q578="","",INDEX(상세표[사번],$Q578)&amp;"")</f>
        <v/>
      </c>
      <c r="C578">
        <f>IF($Q578="","",INDEX(상세표[성명],$Q578)&amp;"")</f>
        <v/>
      </c>
      <c r="D578">
        <f>IF($Q578="","",INDEX(상세표[직위],$Q578)&amp;"")</f>
        <v/>
      </c>
      <c r="E578">
        <f>IF($Q578="","",IF(ISNUMBER(INDEX(상세표[근무일자],$Q578)),TEXT(INDEX(상세표[근무일자],$Q578),"yyyy-mm-dd"),INDEX(상세표[근무일자],$Q578)&amp;""))</f>
        <v/>
      </c>
      <c r="F578">
        <f>IF($Q578="","",IF(ISNUMBER(INDEX(상세표[시작],$Q578)),TEXT(INDEX(상세표[시작],$Q578),"yyyy-mm-dd hh:mm"),INDEX(상세표[시작],$Q578)&amp;""))</f>
        <v/>
      </c>
      <c r="G578">
        <f>IF($Q578="","",IF(ISNUMBER(INDEX(상세표[블록종료],$Q578)),TEXT(INDEX(상세표[블록종료],$Q578),"yyyy-mm-dd hh:mm"),INDEX(상세표[블록종료],$Q578)&amp;""))</f>
        <v/>
      </c>
      <c r="H578">
        <f>IF($Q578="","",CHOOSE(WEEKDAY(INDEX(상세표[시작],$Q578)),"일","월","화","수","목","금","토"))</f>
        <v/>
      </c>
      <c r="I578" s="20">
        <f>IF($Q578="","",INDEX(상세표[연속 시간],$Q578))</f>
        <v/>
      </c>
      <c r="J578">
        <f>IF($Q578="","",INDEX(상세표[기록 수],$Q578))</f>
        <v/>
      </c>
      <c r="K578" s="20">
        <f>IF($Q578="","",INDEX(상세표[블록 06~07시],$Q578))</f>
        <v/>
      </c>
      <c r="L578" s="20">
        <f>IF($Q578="","",INDEX(상세표[블록 07~18시],$Q578))</f>
        <v/>
      </c>
      <c r="M578" s="20">
        <f>IF($Q578="","",INDEX(상세표[블록 18~22시],$Q578))</f>
        <v/>
      </c>
      <c r="N578" s="20">
        <f>IF($Q578="","",INDEX(상세표[블록 22~06시],$Q578))</f>
        <v/>
      </c>
      <c r="O578">
        <f>IF($Q578="","",INDEX(상세표[주말·휴일 포함],$Q578)&amp;"")</f>
        <v/>
      </c>
      <c r="P578">
        <f>IF($Q578="","",INDEX(상세표[월 넘김 포함],$Q578)&amp;"")</f>
        <v/>
      </c>
      <c r="Q578" s="4">
        <f>IFERROR(MATCH(573,상세표[연속순번],0),"")</f>
        <v/>
      </c>
    </row>
    <row r="579">
      <c r="A579">
        <f>IF($Q579="","",INDEX(상세표[부서],$Q579)&amp;"")</f>
        <v/>
      </c>
      <c r="B579">
        <f>IF($Q579="","",INDEX(상세표[사번],$Q579)&amp;"")</f>
        <v/>
      </c>
      <c r="C579">
        <f>IF($Q579="","",INDEX(상세표[성명],$Q579)&amp;"")</f>
        <v/>
      </c>
      <c r="D579">
        <f>IF($Q579="","",INDEX(상세표[직위],$Q579)&amp;"")</f>
        <v/>
      </c>
      <c r="E579">
        <f>IF($Q579="","",IF(ISNUMBER(INDEX(상세표[근무일자],$Q579)),TEXT(INDEX(상세표[근무일자],$Q579),"yyyy-mm-dd"),INDEX(상세표[근무일자],$Q579)&amp;""))</f>
        <v/>
      </c>
      <c r="F579">
        <f>IF($Q579="","",IF(ISNUMBER(INDEX(상세표[시작],$Q579)),TEXT(INDEX(상세표[시작],$Q579),"yyyy-mm-dd hh:mm"),INDEX(상세표[시작],$Q579)&amp;""))</f>
        <v/>
      </c>
      <c r="G579">
        <f>IF($Q579="","",IF(ISNUMBER(INDEX(상세표[블록종료],$Q579)),TEXT(INDEX(상세표[블록종료],$Q579),"yyyy-mm-dd hh:mm"),INDEX(상세표[블록종료],$Q579)&amp;""))</f>
        <v/>
      </c>
      <c r="H579">
        <f>IF($Q579="","",CHOOSE(WEEKDAY(INDEX(상세표[시작],$Q579)),"일","월","화","수","목","금","토"))</f>
        <v/>
      </c>
      <c r="I579" s="20">
        <f>IF($Q579="","",INDEX(상세표[연속 시간],$Q579))</f>
        <v/>
      </c>
      <c r="J579">
        <f>IF($Q579="","",INDEX(상세표[기록 수],$Q579))</f>
        <v/>
      </c>
      <c r="K579" s="20">
        <f>IF($Q579="","",INDEX(상세표[블록 06~07시],$Q579))</f>
        <v/>
      </c>
      <c r="L579" s="20">
        <f>IF($Q579="","",INDEX(상세표[블록 07~18시],$Q579))</f>
        <v/>
      </c>
      <c r="M579" s="20">
        <f>IF($Q579="","",INDEX(상세표[블록 18~22시],$Q579))</f>
        <v/>
      </c>
      <c r="N579" s="20">
        <f>IF($Q579="","",INDEX(상세표[블록 22~06시],$Q579))</f>
        <v/>
      </c>
      <c r="O579">
        <f>IF($Q579="","",INDEX(상세표[주말·휴일 포함],$Q579)&amp;"")</f>
        <v/>
      </c>
      <c r="P579">
        <f>IF($Q579="","",INDEX(상세표[월 넘김 포함],$Q579)&amp;"")</f>
        <v/>
      </c>
      <c r="Q579" s="4">
        <f>IFERROR(MATCH(574,상세표[연속순번],0),"")</f>
        <v/>
      </c>
    </row>
    <row r="580">
      <c r="A580">
        <f>IF($Q580="","",INDEX(상세표[부서],$Q580)&amp;"")</f>
        <v/>
      </c>
      <c r="B580">
        <f>IF($Q580="","",INDEX(상세표[사번],$Q580)&amp;"")</f>
        <v/>
      </c>
      <c r="C580">
        <f>IF($Q580="","",INDEX(상세표[성명],$Q580)&amp;"")</f>
        <v/>
      </c>
      <c r="D580">
        <f>IF($Q580="","",INDEX(상세표[직위],$Q580)&amp;"")</f>
        <v/>
      </c>
      <c r="E580">
        <f>IF($Q580="","",IF(ISNUMBER(INDEX(상세표[근무일자],$Q580)),TEXT(INDEX(상세표[근무일자],$Q580),"yyyy-mm-dd"),INDEX(상세표[근무일자],$Q580)&amp;""))</f>
        <v/>
      </c>
      <c r="F580">
        <f>IF($Q580="","",IF(ISNUMBER(INDEX(상세표[시작],$Q580)),TEXT(INDEX(상세표[시작],$Q580),"yyyy-mm-dd hh:mm"),INDEX(상세표[시작],$Q580)&amp;""))</f>
        <v/>
      </c>
      <c r="G580">
        <f>IF($Q580="","",IF(ISNUMBER(INDEX(상세표[블록종료],$Q580)),TEXT(INDEX(상세표[블록종료],$Q580),"yyyy-mm-dd hh:mm"),INDEX(상세표[블록종료],$Q580)&amp;""))</f>
        <v/>
      </c>
      <c r="H580">
        <f>IF($Q580="","",CHOOSE(WEEKDAY(INDEX(상세표[시작],$Q580)),"일","월","화","수","목","금","토"))</f>
        <v/>
      </c>
      <c r="I580" s="20">
        <f>IF($Q580="","",INDEX(상세표[연속 시간],$Q580))</f>
        <v/>
      </c>
      <c r="J580">
        <f>IF($Q580="","",INDEX(상세표[기록 수],$Q580))</f>
        <v/>
      </c>
      <c r="K580" s="20">
        <f>IF($Q580="","",INDEX(상세표[블록 06~07시],$Q580))</f>
        <v/>
      </c>
      <c r="L580" s="20">
        <f>IF($Q580="","",INDEX(상세표[블록 07~18시],$Q580))</f>
        <v/>
      </c>
      <c r="M580" s="20">
        <f>IF($Q580="","",INDEX(상세표[블록 18~22시],$Q580))</f>
        <v/>
      </c>
      <c r="N580" s="20">
        <f>IF($Q580="","",INDEX(상세표[블록 22~06시],$Q580))</f>
        <v/>
      </c>
      <c r="O580">
        <f>IF($Q580="","",INDEX(상세표[주말·휴일 포함],$Q580)&amp;"")</f>
        <v/>
      </c>
      <c r="P580">
        <f>IF($Q580="","",INDEX(상세표[월 넘김 포함],$Q580)&amp;"")</f>
        <v/>
      </c>
      <c r="Q580" s="4">
        <f>IFERROR(MATCH(575,상세표[연속순번],0),"")</f>
        <v/>
      </c>
    </row>
    <row r="581">
      <c r="A581">
        <f>IF($Q581="","",INDEX(상세표[부서],$Q581)&amp;"")</f>
        <v/>
      </c>
      <c r="B581">
        <f>IF($Q581="","",INDEX(상세표[사번],$Q581)&amp;"")</f>
        <v/>
      </c>
      <c r="C581">
        <f>IF($Q581="","",INDEX(상세표[성명],$Q581)&amp;"")</f>
        <v/>
      </c>
      <c r="D581">
        <f>IF($Q581="","",INDEX(상세표[직위],$Q581)&amp;"")</f>
        <v/>
      </c>
      <c r="E581">
        <f>IF($Q581="","",IF(ISNUMBER(INDEX(상세표[근무일자],$Q581)),TEXT(INDEX(상세표[근무일자],$Q581),"yyyy-mm-dd"),INDEX(상세표[근무일자],$Q581)&amp;""))</f>
        <v/>
      </c>
      <c r="F581">
        <f>IF($Q581="","",IF(ISNUMBER(INDEX(상세표[시작],$Q581)),TEXT(INDEX(상세표[시작],$Q581),"yyyy-mm-dd hh:mm"),INDEX(상세표[시작],$Q581)&amp;""))</f>
        <v/>
      </c>
      <c r="G581">
        <f>IF($Q581="","",IF(ISNUMBER(INDEX(상세표[블록종료],$Q581)),TEXT(INDEX(상세표[블록종료],$Q581),"yyyy-mm-dd hh:mm"),INDEX(상세표[블록종료],$Q581)&amp;""))</f>
        <v/>
      </c>
      <c r="H581">
        <f>IF($Q581="","",CHOOSE(WEEKDAY(INDEX(상세표[시작],$Q581)),"일","월","화","수","목","금","토"))</f>
        <v/>
      </c>
      <c r="I581" s="20">
        <f>IF($Q581="","",INDEX(상세표[연속 시간],$Q581))</f>
        <v/>
      </c>
      <c r="J581">
        <f>IF($Q581="","",INDEX(상세표[기록 수],$Q581))</f>
        <v/>
      </c>
      <c r="K581" s="20">
        <f>IF($Q581="","",INDEX(상세표[블록 06~07시],$Q581))</f>
        <v/>
      </c>
      <c r="L581" s="20">
        <f>IF($Q581="","",INDEX(상세표[블록 07~18시],$Q581))</f>
        <v/>
      </c>
      <c r="M581" s="20">
        <f>IF($Q581="","",INDEX(상세표[블록 18~22시],$Q581))</f>
        <v/>
      </c>
      <c r="N581" s="20">
        <f>IF($Q581="","",INDEX(상세표[블록 22~06시],$Q581))</f>
        <v/>
      </c>
      <c r="O581">
        <f>IF($Q581="","",INDEX(상세표[주말·휴일 포함],$Q581)&amp;"")</f>
        <v/>
      </c>
      <c r="P581">
        <f>IF($Q581="","",INDEX(상세표[월 넘김 포함],$Q581)&amp;"")</f>
        <v/>
      </c>
      <c r="Q581" s="4">
        <f>IFERROR(MATCH(576,상세표[연속순번],0),"")</f>
        <v/>
      </c>
    </row>
    <row r="582">
      <c r="A582">
        <f>IF($Q582="","",INDEX(상세표[부서],$Q582)&amp;"")</f>
        <v/>
      </c>
      <c r="B582">
        <f>IF($Q582="","",INDEX(상세표[사번],$Q582)&amp;"")</f>
        <v/>
      </c>
      <c r="C582">
        <f>IF($Q582="","",INDEX(상세표[성명],$Q582)&amp;"")</f>
        <v/>
      </c>
      <c r="D582">
        <f>IF($Q582="","",INDEX(상세표[직위],$Q582)&amp;"")</f>
        <v/>
      </c>
      <c r="E582">
        <f>IF($Q582="","",IF(ISNUMBER(INDEX(상세표[근무일자],$Q582)),TEXT(INDEX(상세표[근무일자],$Q582),"yyyy-mm-dd"),INDEX(상세표[근무일자],$Q582)&amp;""))</f>
        <v/>
      </c>
      <c r="F582">
        <f>IF($Q582="","",IF(ISNUMBER(INDEX(상세표[시작],$Q582)),TEXT(INDEX(상세표[시작],$Q582),"yyyy-mm-dd hh:mm"),INDEX(상세표[시작],$Q582)&amp;""))</f>
        <v/>
      </c>
      <c r="G582">
        <f>IF($Q582="","",IF(ISNUMBER(INDEX(상세표[블록종료],$Q582)),TEXT(INDEX(상세표[블록종료],$Q582),"yyyy-mm-dd hh:mm"),INDEX(상세표[블록종료],$Q582)&amp;""))</f>
        <v/>
      </c>
      <c r="H582">
        <f>IF($Q582="","",CHOOSE(WEEKDAY(INDEX(상세표[시작],$Q582)),"일","월","화","수","목","금","토"))</f>
        <v/>
      </c>
      <c r="I582" s="20">
        <f>IF($Q582="","",INDEX(상세표[연속 시간],$Q582))</f>
        <v/>
      </c>
      <c r="J582">
        <f>IF($Q582="","",INDEX(상세표[기록 수],$Q582))</f>
        <v/>
      </c>
      <c r="K582" s="20">
        <f>IF($Q582="","",INDEX(상세표[블록 06~07시],$Q582))</f>
        <v/>
      </c>
      <c r="L582" s="20">
        <f>IF($Q582="","",INDEX(상세표[블록 07~18시],$Q582))</f>
        <v/>
      </c>
      <c r="M582" s="20">
        <f>IF($Q582="","",INDEX(상세표[블록 18~22시],$Q582))</f>
        <v/>
      </c>
      <c r="N582" s="20">
        <f>IF($Q582="","",INDEX(상세표[블록 22~06시],$Q582))</f>
        <v/>
      </c>
      <c r="O582">
        <f>IF($Q582="","",INDEX(상세표[주말·휴일 포함],$Q582)&amp;"")</f>
        <v/>
      </c>
      <c r="P582">
        <f>IF($Q582="","",INDEX(상세표[월 넘김 포함],$Q582)&amp;"")</f>
        <v/>
      </c>
      <c r="Q582" s="4">
        <f>IFERROR(MATCH(577,상세표[연속순번],0),"")</f>
        <v/>
      </c>
    </row>
    <row r="583">
      <c r="A583">
        <f>IF($Q583="","",INDEX(상세표[부서],$Q583)&amp;"")</f>
        <v/>
      </c>
      <c r="B583">
        <f>IF($Q583="","",INDEX(상세표[사번],$Q583)&amp;"")</f>
        <v/>
      </c>
      <c r="C583">
        <f>IF($Q583="","",INDEX(상세표[성명],$Q583)&amp;"")</f>
        <v/>
      </c>
      <c r="D583">
        <f>IF($Q583="","",INDEX(상세표[직위],$Q583)&amp;"")</f>
        <v/>
      </c>
      <c r="E583">
        <f>IF($Q583="","",IF(ISNUMBER(INDEX(상세표[근무일자],$Q583)),TEXT(INDEX(상세표[근무일자],$Q583),"yyyy-mm-dd"),INDEX(상세표[근무일자],$Q583)&amp;""))</f>
        <v/>
      </c>
      <c r="F583">
        <f>IF($Q583="","",IF(ISNUMBER(INDEX(상세표[시작],$Q583)),TEXT(INDEX(상세표[시작],$Q583),"yyyy-mm-dd hh:mm"),INDEX(상세표[시작],$Q583)&amp;""))</f>
        <v/>
      </c>
      <c r="G583">
        <f>IF($Q583="","",IF(ISNUMBER(INDEX(상세표[블록종료],$Q583)),TEXT(INDEX(상세표[블록종료],$Q583),"yyyy-mm-dd hh:mm"),INDEX(상세표[블록종료],$Q583)&amp;""))</f>
        <v/>
      </c>
      <c r="H583">
        <f>IF($Q583="","",CHOOSE(WEEKDAY(INDEX(상세표[시작],$Q583)),"일","월","화","수","목","금","토"))</f>
        <v/>
      </c>
      <c r="I583" s="20">
        <f>IF($Q583="","",INDEX(상세표[연속 시간],$Q583))</f>
        <v/>
      </c>
      <c r="J583">
        <f>IF($Q583="","",INDEX(상세표[기록 수],$Q583))</f>
        <v/>
      </c>
      <c r="K583" s="20">
        <f>IF($Q583="","",INDEX(상세표[블록 06~07시],$Q583))</f>
        <v/>
      </c>
      <c r="L583" s="20">
        <f>IF($Q583="","",INDEX(상세표[블록 07~18시],$Q583))</f>
        <v/>
      </c>
      <c r="M583" s="20">
        <f>IF($Q583="","",INDEX(상세표[블록 18~22시],$Q583))</f>
        <v/>
      </c>
      <c r="N583" s="20">
        <f>IF($Q583="","",INDEX(상세표[블록 22~06시],$Q583))</f>
        <v/>
      </c>
      <c r="O583">
        <f>IF($Q583="","",INDEX(상세표[주말·휴일 포함],$Q583)&amp;"")</f>
        <v/>
      </c>
      <c r="P583">
        <f>IF($Q583="","",INDEX(상세표[월 넘김 포함],$Q583)&amp;"")</f>
        <v/>
      </c>
      <c r="Q583" s="4">
        <f>IFERROR(MATCH(578,상세표[연속순번],0),"")</f>
        <v/>
      </c>
    </row>
    <row r="584">
      <c r="A584">
        <f>IF($Q584="","",INDEX(상세표[부서],$Q584)&amp;"")</f>
        <v/>
      </c>
      <c r="B584">
        <f>IF($Q584="","",INDEX(상세표[사번],$Q584)&amp;"")</f>
        <v/>
      </c>
      <c r="C584">
        <f>IF($Q584="","",INDEX(상세표[성명],$Q584)&amp;"")</f>
        <v/>
      </c>
      <c r="D584">
        <f>IF($Q584="","",INDEX(상세표[직위],$Q584)&amp;"")</f>
        <v/>
      </c>
      <c r="E584">
        <f>IF($Q584="","",IF(ISNUMBER(INDEX(상세표[근무일자],$Q584)),TEXT(INDEX(상세표[근무일자],$Q584),"yyyy-mm-dd"),INDEX(상세표[근무일자],$Q584)&amp;""))</f>
        <v/>
      </c>
      <c r="F584">
        <f>IF($Q584="","",IF(ISNUMBER(INDEX(상세표[시작],$Q584)),TEXT(INDEX(상세표[시작],$Q584),"yyyy-mm-dd hh:mm"),INDEX(상세표[시작],$Q584)&amp;""))</f>
        <v/>
      </c>
      <c r="G584">
        <f>IF($Q584="","",IF(ISNUMBER(INDEX(상세표[블록종료],$Q584)),TEXT(INDEX(상세표[블록종료],$Q584),"yyyy-mm-dd hh:mm"),INDEX(상세표[블록종료],$Q584)&amp;""))</f>
        <v/>
      </c>
      <c r="H584">
        <f>IF($Q584="","",CHOOSE(WEEKDAY(INDEX(상세표[시작],$Q584)),"일","월","화","수","목","금","토"))</f>
        <v/>
      </c>
      <c r="I584" s="20">
        <f>IF($Q584="","",INDEX(상세표[연속 시간],$Q584))</f>
        <v/>
      </c>
      <c r="J584">
        <f>IF($Q584="","",INDEX(상세표[기록 수],$Q584))</f>
        <v/>
      </c>
      <c r="K584" s="20">
        <f>IF($Q584="","",INDEX(상세표[블록 06~07시],$Q584))</f>
        <v/>
      </c>
      <c r="L584" s="20">
        <f>IF($Q584="","",INDEX(상세표[블록 07~18시],$Q584))</f>
        <v/>
      </c>
      <c r="M584" s="20">
        <f>IF($Q584="","",INDEX(상세표[블록 18~22시],$Q584))</f>
        <v/>
      </c>
      <c r="N584" s="20">
        <f>IF($Q584="","",INDEX(상세표[블록 22~06시],$Q584))</f>
        <v/>
      </c>
      <c r="O584">
        <f>IF($Q584="","",INDEX(상세표[주말·휴일 포함],$Q584)&amp;"")</f>
        <v/>
      </c>
      <c r="P584">
        <f>IF($Q584="","",INDEX(상세표[월 넘김 포함],$Q584)&amp;"")</f>
        <v/>
      </c>
      <c r="Q584" s="4">
        <f>IFERROR(MATCH(579,상세표[연속순번],0),"")</f>
        <v/>
      </c>
    </row>
    <row r="585">
      <c r="A585">
        <f>IF($Q585="","",INDEX(상세표[부서],$Q585)&amp;"")</f>
        <v/>
      </c>
      <c r="B585">
        <f>IF($Q585="","",INDEX(상세표[사번],$Q585)&amp;"")</f>
        <v/>
      </c>
      <c r="C585">
        <f>IF($Q585="","",INDEX(상세표[성명],$Q585)&amp;"")</f>
        <v/>
      </c>
      <c r="D585">
        <f>IF($Q585="","",INDEX(상세표[직위],$Q585)&amp;"")</f>
        <v/>
      </c>
      <c r="E585">
        <f>IF($Q585="","",IF(ISNUMBER(INDEX(상세표[근무일자],$Q585)),TEXT(INDEX(상세표[근무일자],$Q585),"yyyy-mm-dd"),INDEX(상세표[근무일자],$Q585)&amp;""))</f>
        <v/>
      </c>
      <c r="F585">
        <f>IF($Q585="","",IF(ISNUMBER(INDEX(상세표[시작],$Q585)),TEXT(INDEX(상세표[시작],$Q585),"yyyy-mm-dd hh:mm"),INDEX(상세표[시작],$Q585)&amp;""))</f>
        <v/>
      </c>
      <c r="G585">
        <f>IF($Q585="","",IF(ISNUMBER(INDEX(상세표[블록종료],$Q585)),TEXT(INDEX(상세표[블록종료],$Q585),"yyyy-mm-dd hh:mm"),INDEX(상세표[블록종료],$Q585)&amp;""))</f>
        <v/>
      </c>
      <c r="H585">
        <f>IF($Q585="","",CHOOSE(WEEKDAY(INDEX(상세표[시작],$Q585)),"일","월","화","수","목","금","토"))</f>
        <v/>
      </c>
      <c r="I585" s="20">
        <f>IF($Q585="","",INDEX(상세표[연속 시간],$Q585))</f>
        <v/>
      </c>
      <c r="J585">
        <f>IF($Q585="","",INDEX(상세표[기록 수],$Q585))</f>
        <v/>
      </c>
      <c r="K585" s="20">
        <f>IF($Q585="","",INDEX(상세표[블록 06~07시],$Q585))</f>
        <v/>
      </c>
      <c r="L585" s="20">
        <f>IF($Q585="","",INDEX(상세표[블록 07~18시],$Q585))</f>
        <v/>
      </c>
      <c r="M585" s="20">
        <f>IF($Q585="","",INDEX(상세표[블록 18~22시],$Q585))</f>
        <v/>
      </c>
      <c r="N585" s="20">
        <f>IF($Q585="","",INDEX(상세표[블록 22~06시],$Q585))</f>
        <v/>
      </c>
      <c r="O585">
        <f>IF($Q585="","",INDEX(상세표[주말·휴일 포함],$Q585)&amp;"")</f>
        <v/>
      </c>
      <c r="P585">
        <f>IF($Q585="","",INDEX(상세표[월 넘김 포함],$Q585)&amp;"")</f>
        <v/>
      </c>
      <c r="Q585" s="4">
        <f>IFERROR(MATCH(580,상세표[연속순번],0),"")</f>
        <v/>
      </c>
    </row>
    <row r="586">
      <c r="A586">
        <f>IF($Q586="","",INDEX(상세표[부서],$Q586)&amp;"")</f>
        <v/>
      </c>
      <c r="B586">
        <f>IF($Q586="","",INDEX(상세표[사번],$Q586)&amp;"")</f>
        <v/>
      </c>
      <c r="C586">
        <f>IF($Q586="","",INDEX(상세표[성명],$Q586)&amp;"")</f>
        <v/>
      </c>
      <c r="D586">
        <f>IF($Q586="","",INDEX(상세표[직위],$Q586)&amp;"")</f>
        <v/>
      </c>
      <c r="E586">
        <f>IF($Q586="","",IF(ISNUMBER(INDEX(상세표[근무일자],$Q586)),TEXT(INDEX(상세표[근무일자],$Q586),"yyyy-mm-dd"),INDEX(상세표[근무일자],$Q586)&amp;""))</f>
        <v/>
      </c>
      <c r="F586">
        <f>IF($Q586="","",IF(ISNUMBER(INDEX(상세표[시작],$Q586)),TEXT(INDEX(상세표[시작],$Q586),"yyyy-mm-dd hh:mm"),INDEX(상세표[시작],$Q586)&amp;""))</f>
        <v/>
      </c>
      <c r="G586">
        <f>IF($Q586="","",IF(ISNUMBER(INDEX(상세표[블록종료],$Q586)),TEXT(INDEX(상세표[블록종료],$Q586),"yyyy-mm-dd hh:mm"),INDEX(상세표[블록종료],$Q586)&amp;""))</f>
        <v/>
      </c>
      <c r="H586">
        <f>IF($Q586="","",CHOOSE(WEEKDAY(INDEX(상세표[시작],$Q586)),"일","월","화","수","목","금","토"))</f>
        <v/>
      </c>
      <c r="I586" s="20">
        <f>IF($Q586="","",INDEX(상세표[연속 시간],$Q586))</f>
        <v/>
      </c>
      <c r="J586">
        <f>IF($Q586="","",INDEX(상세표[기록 수],$Q586))</f>
        <v/>
      </c>
      <c r="K586" s="20">
        <f>IF($Q586="","",INDEX(상세표[블록 06~07시],$Q586))</f>
        <v/>
      </c>
      <c r="L586" s="20">
        <f>IF($Q586="","",INDEX(상세표[블록 07~18시],$Q586))</f>
        <v/>
      </c>
      <c r="M586" s="20">
        <f>IF($Q586="","",INDEX(상세표[블록 18~22시],$Q586))</f>
        <v/>
      </c>
      <c r="N586" s="20">
        <f>IF($Q586="","",INDEX(상세표[블록 22~06시],$Q586))</f>
        <v/>
      </c>
      <c r="O586">
        <f>IF($Q586="","",INDEX(상세표[주말·휴일 포함],$Q586)&amp;"")</f>
        <v/>
      </c>
      <c r="P586">
        <f>IF($Q586="","",INDEX(상세표[월 넘김 포함],$Q586)&amp;"")</f>
        <v/>
      </c>
      <c r="Q586" s="4">
        <f>IFERROR(MATCH(581,상세표[연속순번],0),"")</f>
        <v/>
      </c>
    </row>
    <row r="587">
      <c r="A587">
        <f>IF($Q587="","",INDEX(상세표[부서],$Q587)&amp;"")</f>
        <v/>
      </c>
      <c r="B587">
        <f>IF($Q587="","",INDEX(상세표[사번],$Q587)&amp;"")</f>
        <v/>
      </c>
      <c r="C587">
        <f>IF($Q587="","",INDEX(상세표[성명],$Q587)&amp;"")</f>
        <v/>
      </c>
      <c r="D587">
        <f>IF($Q587="","",INDEX(상세표[직위],$Q587)&amp;"")</f>
        <v/>
      </c>
      <c r="E587">
        <f>IF($Q587="","",IF(ISNUMBER(INDEX(상세표[근무일자],$Q587)),TEXT(INDEX(상세표[근무일자],$Q587),"yyyy-mm-dd"),INDEX(상세표[근무일자],$Q587)&amp;""))</f>
        <v/>
      </c>
      <c r="F587">
        <f>IF($Q587="","",IF(ISNUMBER(INDEX(상세표[시작],$Q587)),TEXT(INDEX(상세표[시작],$Q587),"yyyy-mm-dd hh:mm"),INDEX(상세표[시작],$Q587)&amp;""))</f>
        <v/>
      </c>
      <c r="G587">
        <f>IF($Q587="","",IF(ISNUMBER(INDEX(상세표[블록종료],$Q587)),TEXT(INDEX(상세표[블록종료],$Q587),"yyyy-mm-dd hh:mm"),INDEX(상세표[블록종료],$Q587)&amp;""))</f>
        <v/>
      </c>
      <c r="H587">
        <f>IF($Q587="","",CHOOSE(WEEKDAY(INDEX(상세표[시작],$Q587)),"일","월","화","수","목","금","토"))</f>
        <v/>
      </c>
      <c r="I587" s="20">
        <f>IF($Q587="","",INDEX(상세표[연속 시간],$Q587))</f>
        <v/>
      </c>
      <c r="J587">
        <f>IF($Q587="","",INDEX(상세표[기록 수],$Q587))</f>
        <v/>
      </c>
      <c r="K587" s="20">
        <f>IF($Q587="","",INDEX(상세표[블록 06~07시],$Q587))</f>
        <v/>
      </c>
      <c r="L587" s="20">
        <f>IF($Q587="","",INDEX(상세표[블록 07~18시],$Q587))</f>
        <v/>
      </c>
      <c r="M587" s="20">
        <f>IF($Q587="","",INDEX(상세표[블록 18~22시],$Q587))</f>
        <v/>
      </c>
      <c r="N587" s="20">
        <f>IF($Q587="","",INDEX(상세표[블록 22~06시],$Q587))</f>
        <v/>
      </c>
      <c r="O587">
        <f>IF($Q587="","",INDEX(상세표[주말·휴일 포함],$Q587)&amp;"")</f>
        <v/>
      </c>
      <c r="P587">
        <f>IF($Q587="","",INDEX(상세표[월 넘김 포함],$Q587)&amp;"")</f>
        <v/>
      </c>
      <c r="Q587" s="4">
        <f>IFERROR(MATCH(582,상세표[연속순번],0),"")</f>
        <v/>
      </c>
    </row>
    <row r="588">
      <c r="A588">
        <f>IF($Q588="","",INDEX(상세표[부서],$Q588)&amp;"")</f>
        <v/>
      </c>
      <c r="B588">
        <f>IF($Q588="","",INDEX(상세표[사번],$Q588)&amp;"")</f>
        <v/>
      </c>
      <c r="C588">
        <f>IF($Q588="","",INDEX(상세표[성명],$Q588)&amp;"")</f>
        <v/>
      </c>
      <c r="D588">
        <f>IF($Q588="","",INDEX(상세표[직위],$Q588)&amp;"")</f>
        <v/>
      </c>
      <c r="E588">
        <f>IF($Q588="","",IF(ISNUMBER(INDEX(상세표[근무일자],$Q588)),TEXT(INDEX(상세표[근무일자],$Q588),"yyyy-mm-dd"),INDEX(상세표[근무일자],$Q588)&amp;""))</f>
        <v/>
      </c>
      <c r="F588">
        <f>IF($Q588="","",IF(ISNUMBER(INDEX(상세표[시작],$Q588)),TEXT(INDEX(상세표[시작],$Q588),"yyyy-mm-dd hh:mm"),INDEX(상세표[시작],$Q588)&amp;""))</f>
        <v/>
      </c>
      <c r="G588">
        <f>IF($Q588="","",IF(ISNUMBER(INDEX(상세표[블록종료],$Q588)),TEXT(INDEX(상세표[블록종료],$Q588),"yyyy-mm-dd hh:mm"),INDEX(상세표[블록종료],$Q588)&amp;""))</f>
        <v/>
      </c>
      <c r="H588">
        <f>IF($Q588="","",CHOOSE(WEEKDAY(INDEX(상세표[시작],$Q588)),"일","월","화","수","목","금","토"))</f>
        <v/>
      </c>
      <c r="I588" s="20">
        <f>IF($Q588="","",INDEX(상세표[연속 시간],$Q588))</f>
        <v/>
      </c>
      <c r="J588">
        <f>IF($Q588="","",INDEX(상세표[기록 수],$Q588))</f>
        <v/>
      </c>
      <c r="K588" s="20">
        <f>IF($Q588="","",INDEX(상세표[블록 06~07시],$Q588))</f>
        <v/>
      </c>
      <c r="L588" s="20">
        <f>IF($Q588="","",INDEX(상세표[블록 07~18시],$Q588))</f>
        <v/>
      </c>
      <c r="M588" s="20">
        <f>IF($Q588="","",INDEX(상세표[블록 18~22시],$Q588))</f>
        <v/>
      </c>
      <c r="N588" s="20">
        <f>IF($Q588="","",INDEX(상세표[블록 22~06시],$Q588))</f>
        <v/>
      </c>
      <c r="O588">
        <f>IF($Q588="","",INDEX(상세표[주말·휴일 포함],$Q588)&amp;"")</f>
        <v/>
      </c>
      <c r="P588">
        <f>IF($Q588="","",INDEX(상세표[월 넘김 포함],$Q588)&amp;"")</f>
        <v/>
      </c>
      <c r="Q588" s="4">
        <f>IFERROR(MATCH(583,상세표[연속순번],0),"")</f>
        <v/>
      </c>
    </row>
    <row r="589">
      <c r="A589">
        <f>IF($Q589="","",INDEX(상세표[부서],$Q589)&amp;"")</f>
        <v/>
      </c>
      <c r="B589">
        <f>IF($Q589="","",INDEX(상세표[사번],$Q589)&amp;"")</f>
        <v/>
      </c>
      <c r="C589">
        <f>IF($Q589="","",INDEX(상세표[성명],$Q589)&amp;"")</f>
        <v/>
      </c>
      <c r="D589">
        <f>IF($Q589="","",INDEX(상세표[직위],$Q589)&amp;"")</f>
        <v/>
      </c>
      <c r="E589">
        <f>IF($Q589="","",IF(ISNUMBER(INDEX(상세표[근무일자],$Q589)),TEXT(INDEX(상세표[근무일자],$Q589),"yyyy-mm-dd"),INDEX(상세표[근무일자],$Q589)&amp;""))</f>
        <v/>
      </c>
      <c r="F589">
        <f>IF($Q589="","",IF(ISNUMBER(INDEX(상세표[시작],$Q589)),TEXT(INDEX(상세표[시작],$Q589),"yyyy-mm-dd hh:mm"),INDEX(상세표[시작],$Q589)&amp;""))</f>
        <v/>
      </c>
      <c r="G589">
        <f>IF($Q589="","",IF(ISNUMBER(INDEX(상세표[블록종료],$Q589)),TEXT(INDEX(상세표[블록종료],$Q589),"yyyy-mm-dd hh:mm"),INDEX(상세표[블록종료],$Q589)&amp;""))</f>
        <v/>
      </c>
      <c r="H589">
        <f>IF($Q589="","",CHOOSE(WEEKDAY(INDEX(상세표[시작],$Q589)),"일","월","화","수","목","금","토"))</f>
        <v/>
      </c>
      <c r="I589" s="20">
        <f>IF($Q589="","",INDEX(상세표[연속 시간],$Q589))</f>
        <v/>
      </c>
      <c r="J589">
        <f>IF($Q589="","",INDEX(상세표[기록 수],$Q589))</f>
        <v/>
      </c>
      <c r="K589" s="20">
        <f>IF($Q589="","",INDEX(상세표[블록 06~07시],$Q589))</f>
        <v/>
      </c>
      <c r="L589" s="20">
        <f>IF($Q589="","",INDEX(상세표[블록 07~18시],$Q589))</f>
        <v/>
      </c>
      <c r="M589" s="20">
        <f>IF($Q589="","",INDEX(상세표[블록 18~22시],$Q589))</f>
        <v/>
      </c>
      <c r="N589" s="20">
        <f>IF($Q589="","",INDEX(상세표[블록 22~06시],$Q589))</f>
        <v/>
      </c>
      <c r="O589">
        <f>IF($Q589="","",INDEX(상세표[주말·휴일 포함],$Q589)&amp;"")</f>
        <v/>
      </c>
      <c r="P589">
        <f>IF($Q589="","",INDEX(상세표[월 넘김 포함],$Q589)&amp;"")</f>
        <v/>
      </c>
      <c r="Q589" s="4">
        <f>IFERROR(MATCH(584,상세표[연속순번],0),"")</f>
        <v/>
      </c>
    </row>
    <row r="590">
      <c r="A590">
        <f>IF($Q590="","",INDEX(상세표[부서],$Q590)&amp;"")</f>
        <v/>
      </c>
      <c r="B590">
        <f>IF($Q590="","",INDEX(상세표[사번],$Q590)&amp;"")</f>
        <v/>
      </c>
      <c r="C590">
        <f>IF($Q590="","",INDEX(상세표[성명],$Q590)&amp;"")</f>
        <v/>
      </c>
      <c r="D590">
        <f>IF($Q590="","",INDEX(상세표[직위],$Q590)&amp;"")</f>
        <v/>
      </c>
      <c r="E590">
        <f>IF($Q590="","",IF(ISNUMBER(INDEX(상세표[근무일자],$Q590)),TEXT(INDEX(상세표[근무일자],$Q590),"yyyy-mm-dd"),INDEX(상세표[근무일자],$Q590)&amp;""))</f>
        <v/>
      </c>
      <c r="F590">
        <f>IF($Q590="","",IF(ISNUMBER(INDEX(상세표[시작],$Q590)),TEXT(INDEX(상세표[시작],$Q590),"yyyy-mm-dd hh:mm"),INDEX(상세표[시작],$Q590)&amp;""))</f>
        <v/>
      </c>
      <c r="G590">
        <f>IF($Q590="","",IF(ISNUMBER(INDEX(상세표[블록종료],$Q590)),TEXT(INDEX(상세표[블록종료],$Q590),"yyyy-mm-dd hh:mm"),INDEX(상세표[블록종료],$Q590)&amp;""))</f>
        <v/>
      </c>
      <c r="H590">
        <f>IF($Q590="","",CHOOSE(WEEKDAY(INDEX(상세표[시작],$Q590)),"일","월","화","수","목","금","토"))</f>
        <v/>
      </c>
      <c r="I590" s="20">
        <f>IF($Q590="","",INDEX(상세표[연속 시간],$Q590))</f>
        <v/>
      </c>
      <c r="J590">
        <f>IF($Q590="","",INDEX(상세표[기록 수],$Q590))</f>
        <v/>
      </c>
      <c r="K590" s="20">
        <f>IF($Q590="","",INDEX(상세표[블록 06~07시],$Q590))</f>
        <v/>
      </c>
      <c r="L590" s="20">
        <f>IF($Q590="","",INDEX(상세표[블록 07~18시],$Q590))</f>
        <v/>
      </c>
      <c r="M590" s="20">
        <f>IF($Q590="","",INDEX(상세표[블록 18~22시],$Q590))</f>
        <v/>
      </c>
      <c r="N590" s="20">
        <f>IF($Q590="","",INDEX(상세표[블록 22~06시],$Q590))</f>
        <v/>
      </c>
      <c r="O590">
        <f>IF($Q590="","",INDEX(상세표[주말·휴일 포함],$Q590)&amp;"")</f>
        <v/>
      </c>
      <c r="P590">
        <f>IF($Q590="","",INDEX(상세표[월 넘김 포함],$Q590)&amp;"")</f>
        <v/>
      </c>
      <c r="Q590" s="4">
        <f>IFERROR(MATCH(585,상세표[연속순번],0),"")</f>
        <v/>
      </c>
    </row>
    <row r="591">
      <c r="A591">
        <f>IF($Q591="","",INDEX(상세표[부서],$Q591)&amp;"")</f>
        <v/>
      </c>
      <c r="B591">
        <f>IF($Q591="","",INDEX(상세표[사번],$Q591)&amp;"")</f>
        <v/>
      </c>
      <c r="C591">
        <f>IF($Q591="","",INDEX(상세표[성명],$Q591)&amp;"")</f>
        <v/>
      </c>
      <c r="D591">
        <f>IF($Q591="","",INDEX(상세표[직위],$Q591)&amp;"")</f>
        <v/>
      </c>
      <c r="E591">
        <f>IF($Q591="","",IF(ISNUMBER(INDEX(상세표[근무일자],$Q591)),TEXT(INDEX(상세표[근무일자],$Q591),"yyyy-mm-dd"),INDEX(상세표[근무일자],$Q591)&amp;""))</f>
        <v/>
      </c>
      <c r="F591">
        <f>IF($Q591="","",IF(ISNUMBER(INDEX(상세표[시작],$Q591)),TEXT(INDEX(상세표[시작],$Q591),"yyyy-mm-dd hh:mm"),INDEX(상세표[시작],$Q591)&amp;""))</f>
        <v/>
      </c>
      <c r="G591">
        <f>IF($Q591="","",IF(ISNUMBER(INDEX(상세표[블록종료],$Q591)),TEXT(INDEX(상세표[블록종료],$Q591),"yyyy-mm-dd hh:mm"),INDEX(상세표[블록종료],$Q591)&amp;""))</f>
        <v/>
      </c>
      <c r="H591">
        <f>IF($Q591="","",CHOOSE(WEEKDAY(INDEX(상세표[시작],$Q591)),"일","월","화","수","목","금","토"))</f>
        <v/>
      </c>
      <c r="I591" s="20">
        <f>IF($Q591="","",INDEX(상세표[연속 시간],$Q591))</f>
        <v/>
      </c>
      <c r="J591">
        <f>IF($Q591="","",INDEX(상세표[기록 수],$Q591))</f>
        <v/>
      </c>
      <c r="K591" s="20">
        <f>IF($Q591="","",INDEX(상세표[블록 06~07시],$Q591))</f>
        <v/>
      </c>
      <c r="L591" s="20">
        <f>IF($Q591="","",INDEX(상세표[블록 07~18시],$Q591))</f>
        <v/>
      </c>
      <c r="M591" s="20">
        <f>IF($Q591="","",INDEX(상세표[블록 18~22시],$Q591))</f>
        <v/>
      </c>
      <c r="N591" s="20">
        <f>IF($Q591="","",INDEX(상세표[블록 22~06시],$Q591))</f>
        <v/>
      </c>
      <c r="O591">
        <f>IF($Q591="","",INDEX(상세표[주말·휴일 포함],$Q591)&amp;"")</f>
        <v/>
      </c>
      <c r="P591">
        <f>IF($Q591="","",INDEX(상세표[월 넘김 포함],$Q591)&amp;"")</f>
        <v/>
      </c>
      <c r="Q591" s="4">
        <f>IFERROR(MATCH(586,상세표[연속순번],0),"")</f>
        <v/>
      </c>
    </row>
    <row r="592">
      <c r="A592">
        <f>IF($Q592="","",INDEX(상세표[부서],$Q592)&amp;"")</f>
        <v/>
      </c>
      <c r="B592">
        <f>IF($Q592="","",INDEX(상세표[사번],$Q592)&amp;"")</f>
        <v/>
      </c>
      <c r="C592">
        <f>IF($Q592="","",INDEX(상세표[성명],$Q592)&amp;"")</f>
        <v/>
      </c>
      <c r="D592">
        <f>IF($Q592="","",INDEX(상세표[직위],$Q592)&amp;"")</f>
        <v/>
      </c>
      <c r="E592">
        <f>IF($Q592="","",IF(ISNUMBER(INDEX(상세표[근무일자],$Q592)),TEXT(INDEX(상세표[근무일자],$Q592),"yyyy-mm-dd"),INDEX(상세표[근무일자],$Q592)&amp;""))</f>
        <v/>
      </c>
      <c r="F592">
        <f>IF($Q592="","",IF(ISNUMBER(INDEX(상세표[시작],$Q592)),TEXT(INDEX(상세표[시작],$Q592),"yyyy-mm-dd hh:mm"),INDEX(상세표[시작],$Q592)&amp;""))</f>
        <v/>
      </c>
      <c r="G592">
        <f>IF($Q592="","",IF(ISNUMBER(INDEX(상세표[블록종료],$Q592)),TEXT(INDEX(상세표[블록종료],$Q592),"yyyy-mm-dd hh:mm"),INDEX(상세표[블록종료],$Q592)&amp;""))</f>
        <v/>
      </c>
      <c r="H592">
        <f>IF($Q592="","",CHOOSE(WEEKDAY(INDEX(상세표[시작],$Q592)),"일","월","화","수","목","금","토"))</f>
        <v/>
      </c>
      <c r="I592" s="20">
        <f>IF($Q592="","",INDEX(상세표[연속 시간],$Q592))</f>
        <v/>
      </c>
      <c r="J592">
        <f>IF($Q592="","",INDEX(상세표[기록 수],$Q592))</f>
        <v/>
      </c>
      <c r="K592" s="20">
        <f>IF($Q592="","",INDEX(상세표[블록 06~07시],$Q592))</f>
        <v/>
      </c>
      <c r="L592" s="20">
        <f>IF($Q592="","",INDEX(상세표[블록 07~18시],$Q592))</f>
        <v/>
      </c>
      <c r="M592" s="20">
        <f>IF($Q592="","",INDEX(상세표[블록 18~22시],$Q592))</f>
        <v/>
      </c>
      <c r="N592" s="20">
        <f>IF($Q592="","",INDEX(상세표[블록 22~06시],$Q592))</f>
        <v/>
      </c>
      <c r="O592">
        <f>IF($Q592="","",INDEX(상세표[주말·휴일 포함],$Q592)&amp;"")</f>
        <v/>
      </c>
      <c r="P592">
        <f>IF($Q592="","",INDEX(상세표[월 넘김 포함],$Q592)&amp;"")</f>
        <v/>
      </c>
      <c r="Q592" s="4">
        <f>IFERROR(MATCH(587,상세표[연속순번],0),"")</f>
        <v/>
      </c>
    </row>
    <row r="593">
      <c r="A593">
        <f>IF($Q593="","",INDEX(상세표[부서],$Q593)&amp;"")</f>
        <v/>
      </c>
      <c r="B593">
        <f>IF($Q593="","",INDEX(상세표[사번],$Q593)&amp;"")</f>
        <v/>
      </c>
      <c r="C593">
        <f>IF($Q593="","",INDEX(상세표[성명],$Q593)&amp;"")</f>
        <v/>
      </c>
      <c r="D593">
        <f>IF($Q593="","",INDEX(상세표[직위],$Q593)&amp;"")</f>
        <v/>
      </c>
      <c r="E593">
        <f>IF($Q593="","",IF(ISNUMBER(INDEX(상세표[근무일자],$Q593)),TEXT(INDEX(상세표[근무일자],$Q593),"yyyy-mm-dd"),INDEX(상세표[근무일자],$Q593)&amp;""))</f>
        <v/>
      </c>
      <c r="F593">
        <f>IF($Q593="","",IF(ISNUMBER(INDEX(상세표[시작],$Q593)),TEXT(INDEX(상세표[시작],$Q593),"yyyy-mm-dd hh:mm"),INDEX(상세표[시작],$Q593)&amp;""))</f>
        <v/>
      </c>
      <c r="G593">
        <f>IF($Q593="","",IF(ISNUMBER(INDEX(상세표[블록종료],$Q593)),TEXT(INDEX(상세표[블록종료],$Q593),"yyyy-mm-dd hh:mm"),INDEX(상세표[블록종료],$Q593)&amp;""))</f>
        <v/>
      </c>
      <c r="H593">
        <f>IF($Q593="","",CHOOSE(WEEKDAY(INDEX(상세표[시작],$Q593)),"일","월","화","수","목","금","토"))</f>
        <v/>
      </c>
      <c r="I593" s="20">
        <f>IF($Q593="","",INDEX(상세표[연속 시간],$Q593))</f>
        <v/>
      </c>
      <c r="J593">
        <f>IF($Q593="","",INDEX(상세표[기록 수],$Q593))</f>
        <v/>
      </c>
      <c r="K593" s="20">
        <f>IF($Q593="","",INDEX(상세표[블록 06~07시],$Q593))</f>
        <v/>
      </c>
      <c r="L593" s="20">
        <f>IF($Q593="","",INDEX(상세표[블록 07~18시],$Q593))</f>
        <v/>
      </c>
      <c r="M593" s="20">
        <f>IF($Q593="","",INDEX(상세표[블록 18~22시],$Q593))</f>
        <v/>
      </c>
      <c r="N593" s="20">
        <f>IF($Q593="","",INDEX(상세표[블록 22~06시],$Q593))</f>
        <v/>
      </c>
      <c r="O593">
        <f>IF($Q593="","",INDEX(상세표[주말·휴일 포함],$Q593)&amp;"")</f>
        <v/>
      </c>
      <c r="P593">
        <f>IF($Q593="","",INDEX(상세표[월 넘김 포함],$Q593)&amp;"")</f>
        <v/>
      </c>
      <c r="Q593" s="4">
        <f>IFERROR(MATCH(588,상세표[연속순번],0),"")</f>
        <v/>
      </c>
    </row>
    <row r="594">
      <c r="A594">
        <f>IF($Q594="","",INDEX(상세표[부서],$Q594)&amp;"")</f>
        <v/>
      </c>
      <c r="B594">
        <f>IF($Q594="","",INDEX(상세표[사번],$Q594)&amp;"")</f>
        <v/>
      </c>
      <c r="C594">
        <f>IF($Q594="","",INDEX(상세표[성명],$Q594)&amp;"")</f>
        <v/>
      </c>
      <c r="D594">
        <f>IF($Q594="","",INDEX(상세표[직위],$Q594)&amp;"")</f>
        <v/>
      </c>
      <c r="E594">
        <f>IF($Q594="","",IF(ISNUMBER(INDEX(상세표[근무일자],$Q594)),TEXT(INDEX(상세표[근무일자],$Q594),"yyyy-mm-dd"),INDEX(상세표[근무일자],$Q594)&amp;""))</f>
        <v/>
      </c>
      <c r="F594">
        <f>IF($Q594="","",IF(ISNUMBER(INDEX(상세표[시작],$Q594)),TEXT(INDEX(상세표[시작],$Q594),"yyyy-mm-dd hh:mm"),INDEX(상세표[시작],$Q594)&amp;""))</f>
        <v/>
      </c>
      <c r="G594">
        <f>IF($Q594="","",IF(ISNUMBER(INDEX(상세표[블록종료],$Q594)),TEXT(INDEX(상세표[블록종료],$Q594),"yyyy-mm-dd hh:mm"),INDEX(상세표[블록종료],$Q594)&amp;""))</f>
        <v/>
      </c>
      <c r="H594">
        <f>IF($Q594="","",CHOOSE(WEEKDAY(INDEX(상세표[시작],$Q594)),"일","월","화","수","목","금","토"))</f>
        <v/>
      </c>
      <c r="I594" s="20">
        <f>IF($Q594="","",INDEX(상세표[연속 시간],$Q594))</f>
        <v/>
      </c>
      <c r="J594">
        <f>IF($Q594="","",INDEX(상세표[기록 수],$Q594))</f>
        <v/>
      </c>
      <c r="K594" s="20">
        <f>IF($Q594="","",INDEX(상세표[블록 06~07시],$Q594))</f>
        <v/>
      </c>
      <c r="L594" s="20">
        <f>IF($Q594="","",INDEX(상세표[블록 07~18시],$Q594))</f>
        <v/>
      </c>
      <c r="M594" s="20">
        <f>IF($Q594="","",INDEX(상세표[블록 18~22시],$Q594))</f>
        <v/>
      </c>
      <c r="N594" s="20">
        <f>IF($Q594="","",INDEX(상세표[블록 22~06시],$Q594))</f>
        <v/>
      </c>
      <c r="O594">
        <f>IF($Q594="","",INDEX(상세표[주말·휴일 포함],$Q594)&amp;"")</f>
        <v/>
      </c>
      <c r="P594">
        <f>IF($Q594="","",INDEX(상세표[월 넘김 포함],$Q594)&amp;"")</f>
        <v/>
      </c>
      <c r="Q594" s="4">
        <f>IFERROR(MATCH(589,상세표[연속순번],0),"")</f>
        <v/>
      </c>
    </row>
    <row r="595">
      <c r="A595">
        <f>IF($Q595="","",INDEX(상세표[부서],$Q595)&amp;"")</f>
        <v/>
      </c>
      <c r="B595">
        <f>IF($Q595="","",INDEX(상세표[사번],$Q595)&amp;"")</f>
        <v/>
      </c>
      <c r="C595">
        <f>IF($Q595="","",INDEX(상세표[성명],$Q595)&amp;"")</f>
        <v/>
      </c>
      <c r="D595">
        <f>IF($Q595="","",INDEX(상세표[직위],$Q595)&amp;"")</f>
        <v/>
      </c>
      <c r="E595">
        <f>IF($Q595="","",IF(ISNUMBER(INDEX(상세표[근무일자],$Q595)),TEXT(INDEX(상세표[근무일자],$Q595),"yyyy-mm-dd"),INDEX(상세표[근무일자],$Q595)&amp;""))</f>
        <v/>
      </c>
      <c r="F595">
        <f>IF($Q595="","",IF(ISNUMBER(INDEX(상세표[시작],$Q595)),TEXT(INDEX(상세표[시작],$Q595),"yyyy-mm-dd hh:mm"),INDEX(상세표[시작],$Q595)&amp;""))</f>
        <v/>
      </c>
      <c r="G595">
        <f>IF($Q595="","",IF(ISNUMBER(INDEX(상세표[블록종료],$Q595)),TEXT(INDEX(상세표[블록종료],$Q595),"yyyy-mm-dd hh:mm"),INDEX(상세표[블록종료],$Q595)&amp;""))</f>
        <v/>
      </c>
      <c r="H595">
        <f>IF($Q595="","",CHOOSE(WEEKDAY(INDEX(상세표[시작],$Q595)),"일","월","화","수","목","금","토"))</f>
        <v/>
      </c>
      <c r="I595" s="20">
        <f>IF($Q595="","",INDEX(상세표[연속 시간],$Q595))</f>
        <v/>
      </c>
      <c r="J595">
        <f>IF($Q595="","",INDEX(상세표[기록 수],$Q595))</f>
        <v/>
      </c>
      <c r="K595" s="20">
        <f>IF($Q595="","",INDEX(상세표[블록 06~07시],$Q595))</f>
        <v/>
      </c>
      <c r="L595" s="20">
        <f>IF($Q595="","",INDEX(상세표[블록 07~18시],$Q595))</f>
        <v/>
      </c>
      <c r="M595" s="20">
        <f>IF($Q595="","",INDEX(상세표[블록 18~22시],$Q595))</f>
        <v/>
      </c>
      <c r="N595" s="20">
        <f>IF($Q595="","",INDEX(상세표[블록 22~06시],$Q595))</f>
        <v/>
      </c>
      <c r="O595">
        <f>IF($Q595="","",INDEX(상세표[주말·휴일 포함],$Q595)&amp;"")</f>
        <v/>
      </c>
      <c r="P595">
        <f>IF($Q595="","",INDEX(상세표[월 넘김 포함],$Q595)&amp;"")</f>
        <v/>
      </c>
      <c r="Q595" s="4">
        <f>IFERROR(MATCH(590,상세표[연속순번],0),"")</f>
        <v/>
      </c>
    </row>
    <row r="596">
      <c r="A596">
        <f>IF($Q596="","",INDEX(상세표[부서],$Q596)&amp;"")</f>
        <v/>
      </c>
      <c r="B596">
        <f>IF($Q596="","",INDEX(상세표[사번],$Q596)&amp;"")</f>
        <v/>
      </c>
      <c r="C596">
        <f>IF($Q596="","",INDEX(상세표[성명],$Q596)&amp;"")</f>
        <v/>
      </c>
      <c r="D596">
        <f>IF($Q596="","",INDEX(상세표[직위],$Q596)&amp;"")</f>
        <v/>
      </c>
      <c r="E596">
        <f>IF($Q596="","",IF(ISNUMBER(INDEX(상세표[근무일자],$Q596)),TEXT(INDEX(상세표[근무일자],$Q596),"yyyy-mm-dd"),INDEX(상세표[근무일자],$Q596)&amp;""))</f>
        <v/>
      </c>
      <c r="F596">
        <f>IF($Q596="","",IF(ISNUMBER(INDEX(상세표[시작],$Q596)),TEXT(INDEX(상세표[시작],$Q596),"yyyy-mm-dd hh:mm"),INDEX(상세표[시작],$Q596)&amp;""))</f>
        <v/>
      </c>
      <c r="G596">
        <f>IF($Q596="","",IF(ISNUMBER(INDEX(상세표[블록종료],$Q596)),TEXT(INDEX(상세표[블록종료],$Q596),"yyyy-mm-dd hh:mm"),INDEX(상세표[블록종료],$Q596)&amp;""))</f>
        <v/>
      </c>
      <c r="H596">
        <f>IF($Q596="","",CHOOSE(WEEKDAY(INDEX(상세표[시작],$Q596)),"일","월","화","수","목","금","토"))</f>
        <v/>
      </c>
      <c r="I596" s="20">
        <f>IF($Q596="","",INDEX(상세표[연속 시간],$Q596))</f>
        <v/>
      </c>
      <c r="J596">
        <f>IF($Q596="","",INDEX(상세표[기록 수],$Q596))</f>
        <v/>
      </c>
      <c r="K596" s="20">
        <f>IF($Q596="","",INDEX(상세표[블록 06~07시],$Q596))</f>
        <v/>
      </c>
      <c r="L596" s="20">
        <f>IF($Q596="","",INDEX(상세표[블록 07~18시],$Q596))</f>
        <v/>
      </c>
      <c r="M596" s="20">
        <f>IF($Q596="","",INDEX(상세표[블록 18~22시],$Q596))</f>
        <v/>
      </c>
      <c r="N596" s="20">
        <f>IF($Q596="","",INDEX(상세표[블록 22~06시],$Q596))</f>
        <v/>
      </c>
      <c r="O596">
        <f>IF($Q596="","",INDEX(상세표[주말·휴일 포함],$Q596)&amp;"")</f>
        <v/>
      </c>
      <c r="P596">
        <f>IF($Q596="","",INDEX(상세표[월 넘김 포함],$Q596)&amp;"")</f>
        <v/>
      </c>
      <c r="Q596" s="4">
        <f>IFERROR(MATCH(591,상세표[연속순번],0),"")</f>
        <v/>
      </c>
    </row>
    <row r="597">
      <c r="A597">
        <f>IF($Q597="","",INDEX(상세표[부서],$Q597)&amp;"")</f>
        <v/>
      </c>
      <c r="B597">
        <f>IF($Q597="","",INDEX(상세표[사번],$Q597)&amp;"")</f>
        <v/>
      </c>
      <c r="C597">
        <f>IF($Q597="","",INDEX(상세표[성명],$Q597)&amp;"")</f>
        <v/>
      </c>
      <c r="D597">
        <f>IF($Q597="","",INDEX(상세표[직위],$Q597)&amp;"")</f>
        <v/>
      </c>
      <c r="E597">
        <f>IF($Q597="","",IF(ISNUMBER(INDEX(상세표[근무일자],$Q597)),TEXT(INDEX(상세표[근무일자],$Q597),"yyyy-mm-dd"),INDEX(상세표[근무일자],$Q597)&amp;""))</f>
        <v/>
      </c>
      <c r="F597">
        <f>IF($Q597="","",IF(ISNUMBER(INDEX(상세표[시작],$Q597)),TEXT(INDEX(상세표[시작],$Q597),"yyyy-mm-dd hh:mm"),INDEX(상세표[시작],$Q597)&amp;""))</f>
        <v/>
      </c>
      <c r="G597">
        <f>IF($Q597="","",IF(ISNUMBER(INDEX(상세표[블록종료],$Q597)),TEXT(INDEX(상세표[블록종료],$Q597),"yyyy-mm-dd hh:mm"),INDEX(상세표[블록종료],$Q597)&amp;""))</f>
        <v/>
      </c>
      <c r="H597">
        <f>IF($Q597="","",CHOOSE(WEEKDAY(INDEX(상세표[시작],$Q597)),"일","월","화","수","목","금","토"))</f>
        <v/>
      </c>
      <c r="I597" s="20">
        <f>IF($Q597="","",INDEX(상세표[연속 시간],$Q597))</f>
        <v/>
      </c>
      <c r="J597">
        <f>IF($Q597="","",INDEX(상세표[기록 수],$Q597))</f>
        <v/>
      </c>
      <c r="K597" s="20">
        <f>IF($Q597="","",INDEX(상세표[블록 06~07시],$Q597))</f>
        <v/>
      </c>
      <c r="L597" s="20">
        <f>IF($Q597="","",INDEX(상세표[블록 07~18시],$Q597))</f>
        <v/>
      </c>
      <c r="M597" s="20">
        <f>IF($Q597="","",INDEX(상세표[블록 18~22시],$Q597))</f>
        <v/>
      </c>
      <c r="N597" s="20">
        <f>IF($Q597="","",INDEX(상세표[블록 22~06시],$Q597))</f>
        <v/>
      </c>
      <c r="O597">
        <f>IF($Q597="","",INDEX(상세표[주말·휴일 포함],$Q597)&amp;"")</f>
        <v/>
      </c>
      <c r="P597">
        <f>IF($Q597="","",INDEX(상세표[월 넘김 포함],$Q597)&amp;"")</f>
        <v/>
      </c>
      <c r="Q597" s="4">
        <f>IFERROR(MATCH(592,상세표[연속순번],0),"")</f>
        <v/>
      </c>
    </row>
    <row r="598">
      <c r="A598">
        <f>IF($Q598="","",INDEX(상세표[부서],$Q598)&amp;"")</f>
        <v/>
      </c>
      <c r="B598">
        <f>IF($Q598="","",INDEX(상세표[사번],$Q598)&amp;"")</f>
        <v/>
      </c>
      <c r="C598">
        <f>IF($Q598="","",INDEX(상세표[성명],$Q598)&amp;"")</f>
        <v/>
      </c>
      <c r="D598">
        <f>IF($Q598="","",INDEX(상세표[직위],$Q598)&amp;"")</f>
        <v/>
      </c>
      <c r="E598">
        <f>IF($Q598="","",IF(ISNUMBER(INDEX(상세표[근무일자],$Q598)),TEXT(INDEX(상세표[근무일자],$Q598),"yyyy-mm-dd"),INDEX(상세표[근무일자],$Q598)&amp;""))</f>
        <v/>
      </c>
      <c r="F598">
        <f>IF($Q598="","",IF(ISNUMBER(INDEX(상세표[시작],$Q598)),TEXT(INDEX(상세표[시작],$Q598),"yyyy-mm-dd hh:mm"),INDEX(상세표[시작],$Q598)&amp;""))</f>
        <v/>
      </c>
      <c r="G598">
        <f>IF($Q598="","",IF(ISNUMBER(INDEX(상세표[블록종료],$Q598)),TEXT(INDEX(상세표[블록종료],$Q598),"yyyy-mm-dd hh:mm"),INDEX(상세표[블록종료],$Q598)&amp;""))</f>
        <v/>
      </c>
      <c r="H598">
        <f>IF($Q598="","",CHOOSE(WEEKDAY(INDEX(상세표[시작],$Q598)),"일","월","화","수","목","금","토"))</f>
        <v/>
      </c>
      <c r="I598" s="20">
        <f>IF($Q598="","",INDEX(상세표[연속 시간],$Q598))</f>
        <v/>
      </c>
      <c r="J598">
        <f>IF($Q598="","",INDEX(상세표[기록 수],$Q598))</f>
        <v/>
      </c>
      <c r="K598" s="20">
        <f>IF($Q598="","",INDEX(상세표[블록 06~07시],$Q598))</f>
        <v/>
      </c>
      <c r="L598" s="20">
        <f>IF($Q598="","",INDEX(상세표[블록 07~18시],$Q598))</f>
        <v/>
      </c>
      <c r="M598" s="20">
        <f>IF($Q598="","",INDEX(상세표[블록 18~22시],$Q598))</f>
        <v/>
      </c>
      <c r="N598" s="20">
        <f>IF($Q598="","",INDEX(상세표[블록 22~06시],$Q598))</f>
        <v/>
      </c>
      <c r="O598">
        <f>IF($Q598="","",INDEX(상세표[주말·휴일 포함],$Q598)&amp;"")</f>
        <v/>
      </c>
      <c r="P598">
        <f>IF($Q598="","",INDEX(상세표[월 넘김 포함],$Q598)&amp;"")</f>
        <v/>
      </c>
      <c r="Q598" s="4">
        <f>IFERROR(MATCH(593,상세표[연속순번],0),"")</f>
        <v/>
      </c>
    </row>
    <row r="599">
      <c r="A599">
        <f>IF($Q599="","",INDEX(상세표[부서],$Q599)&amp;"")</f>
        <v/>
      </c>
      <c r="B599">
        <f>IF($Q599="","",INDEX(상세표[사번],$Q599)&amp;"")</f>
        <v/>
      </c>
      <c r="C599">
        <f>IF($Q599="","",INDEX(상세표[성명],$Q599)&amp;"")</f>
        <v/>
      </c>
      <c r="D599">
        <f>IF($Q599="","",INDEX(상세표[직위],$Q599)&amp;"")</f>
        <v/>
      </c>
      <c r="E599">
        <f>IF($Q599="","",IF(ISNUMBER(INDEX(상세표[근무일자],$Q599)),TEXT(INDEX(상세표[근무일자],$Q599),"yyyy-mm-dd"),INDEX(상세표[근무일자],$Q599)&amp;""))</f>
        <v/>
      </c>
      <c r="F599">
        <f>IF($Q599="","",IF(ISNUMBER(INDEX(상세표[시작],$Q599)),TEXT(INDEX(상세표[시작],$Q599),"yyyy-mm-dd hh:mm"),INDEX(상세표[시작],$Q599)&amp;""))</f>
        <v/>
      </c>
      <c r="G599">
        <f>IF($Q599="","",IF(ISNUMBER(INDEX(상세표[블록종료],$Q599)),TEXT(INDEX(상세표[블록종료],$Q599),"yyyy-mm-dd hh:mm"),INDEX(상세표[블록종료],$Q599)&amp;""))</f>
        <v/>
      </c>
      <c r="H599">
        <f>IF($Q599="","",CHOOSE(WEEKDAY(INDEX(상세표[시작],$Q599)),"일","월","화","수","목","금","토"))</f>
        <v/>
      </c>
      <c r="I599" s="20">
        <f>IF($Q599="","",INDEX(상세표[연속 시간],$Q599))</f>
        <v/>
      </c>
      <c r="J599">
        <f>IF($Q599="","",INDEX(상세표[기록 수],$Q599))</f>
        <v/>
      </c>
      <c r="K599" s="20">
        <f>IF($Q599="","",INDEX(상세표[블록 06~07시],$Q599))</f>
        <v/>
      </c>
      <c r="L599" s="20">
        <f>IF($Q599="","",INDEX(상세표[블록 07~18시],$Q599))</f>
        <v/>
      </c>
      <c r="M599" s="20">
        <f>IF($Q599="","",INDEX(상세표[블록 18~22시],$Q599))</f>
        <v/>
      </c>
      <c r="N599" s="20">
        <f>IF($Q599="","",INDEX(상세표[블록 22~06시],$Q599))</f>
        <v/>
      </c>
      <c r="O599">
        <f>IF($Q599="","",INDEX(상세표[주말·휴일 포함],$Q599)&amp;"")</f>
        <v/>
      </c>
      <c r="P599">
        <f>IF($Q599="","",INDEX(상세표[월 넘김 포함],$Q599)&amp;"")</f>
        <v/>
      </c>
      <c r="Q599" s="4">
        <f>IFERROR(MATCH(594,상세표[연속순번],0),"")</f>
        <v/>
      </c>
    </row>
    <row r="600">
      <c r="A600">
        <f>IF($Q600="","",INDEX(상세표[부서],$Q600)&amp;"")</f>
        <v/>
      </c>
      <c r="B600">
        <f>IF($Q600="","",INDEX(상세표[사번],$Q600)&amp;"")</f>
        <v/>
      </c>
      <c r="C600">
        <f>IF($Q600="","",INDEX(상세표[성명],$Q600)&amp;"")</f>
        <v/>
      </c>
      <c r="D600">
        <f>IF($Q600="","",INDEX(상세표[직위],$Q600)&amp;"")</f>
        <v/>
      </c>
      <c r="E600">
        <f>IF($Q600="","",IF(ISNUMBER(INDEX(상세표[근무일자],$Q600)),TEXT(INDEX(상세표[근무일자],$Q600),"yyyy-mm-dd"),INDEX(상세표[근무일자],$Q600)&amp;""))</f>
        <v/>
      </c>
      <c r="F600">
        <f>IF($Q600="","",IF(ISNUMBER(INDEX(상세표[시작],$Q600)),TEXT(INDEX(상세표[시작],$Q600),"yyyy-mm-dd hh:mm"),INDEX(상세표[시작],$Q600)&amp;""))</f>
        <v/>
      </c>
      <c r="G600">
        <f>IF($Q600="","",IF(ISNUMBER(INDEX(상세표[블록종료],$Q600)),TEXT(INDEX(상세표[블록종료],$Q600),"yyyy-mm-dd hh:mm"),INDEX(상세표[블록종료],$Q600)&amp;""))</f>
        <v/>
      </c>
      <c r="H600">
        <f>IF($Q600="","",CHOOSE(WEEKDAY(INDEX(상세표[시작],$Q600)),"일","월","화","수","목","금","토"))</f>
        <v/>
      </c>
      <c r="I600" s="20">
        <f>IF($Q600="","",INDEX(상세표[연속 시간],$Q600))</f>
        <v/>
      </c>
      <c r="J600">
        <f>IF($Q600="","",INDEX(상세표[기록 수],$Q600))</f>
        <v/>
      </c>
      <c r="K600" s="20">
        <f>IF($Q600="","",INDEX(상세표[블록 06~07시],$Q600))</f>
        <v/>
      </c>
      <c r="L600" s="20">
        <f>IF($Q600="","",INDEX(상세표[블록 07~18시],$Q600))</f>
        <v/>
      </c>
      <c r="M600" s="20">
        <f>IF($Q600="","",INDEX(상세표[블록 18~22시],$Q600))</f>
        <v/>
      </c>
      <c r="N600" s="20">
        <f>IF($Q600="","",INDEX(상세표[블록 22~06시],$Q600))</f>
        <v/>
      </c>
      <c r="O600">
        <f>IF($Q600="","",INDEX(상세표[주말·휴일 포함],$Q600)&amp;"")</f>
        <v/>
      </c>
      <c r="P600">
        <f>IF($Q600="","",INDEX(상세표[월 넘김 포함],$Q600)&amp;"")</f>
        <v/>
      </c>
      <c r="Q600" s="4">
        <f>IFERROR(MATCH(595,상세표[연속순번],0),"")</f>
        <v/>
      </c>
    </row>
    <row r="601">
      <c r="A601">
        <f>IF($Q601="","",INDEX(상세표[부서],$Q601)&amp;"")</f>
        <v/>
      </c>
      <c r="B601">
        <f>IF($Q601="","",INDEX(상세표[사번],$Q601)&amp;"")</f>
        <v/>
      </c>
      <c r="C601">
        <f>IF($Q601="","",INDEX(상세표[성명],$Q601)&amp;"")</f>
        <v/>
      </c>
      <c r="D601">
        <f>IF($Q601="","",INDEX(상세표[직위],$Q601)&amp;"")</f>
        <v/>
      </c>
      <c r="E601">
        <f>IF($Q601="","",IF(ISNUMBER(INDEX(상세표[근무일자],$Q601)),TEXT(INDEX(상세표[근무일자],$Q601),"yyyy-mm-dd"),INDEX(상세표[근무일자],$Q601)&amp;""))</f>
        <v/>
      </c>
      <c r="F601">
        <f>IF($Q601="","",IF(ISNUMBER(INDEX(상세표[시작],$Q601)),TEXT(INDEX(상세표[시작],$Q601),"yyyy-mm-dd hh:mm"),INDEX(상세표[시작],$Q601)&amp;""))</f>
        <v/>
      </c>
      <c r="G601">
        <f>IF($Q601="","",IF(ISNUMBER(INDEX(상세표[블록종료],$Q601)),TEXT(INDEX(상세표[블록종료],$Q601),"yyyy-mm-dd hh:mm"),INDEX(상세표[블록종료],$Q601)&amp;""))</f>
        <v/>
      </c>
      <c r="H601">
        <f>IF($Q601="","",CHOOSE(WEEKDAY(INDEX(상세표[시작],$Q601)),"일","월","화","수","목","금","토"))</f>
        <v/>
      </c>
      <c r="I601" s="20">
        <f>IF($Q601="","",INDEX(상세표[연속 시간],$Q601))</f>
        <v/>
      </c>
      <c r="J601">
        <f>IF($Q601="","",INDEX(상세표[기록 수],$Q601))</f>
        <v/>
      </c>
      <c r="K601" s="20">
        <f>IF($Q601="","",INDEX(상세표[블록 06~07시],$Q601))</f>
        <v/>
      </c>
      <c r="L601" s="20">
        <f>IF($Q601="","",INDEX(상세표[블록 07~18시],$Q601))</f>
        <v/>
      </c>
      <c r="M601" s="20">
        <f>IF($Q601="","",INDEX(상세표[블록 18~22시],$Q601))</f>
        <v/>
      </c>
      <c r="N601" s="20">
        <f>IF($Q601="","",INDEX(상세표[블록 22~06시],$Q601))</f>
        <v/>
      </c>
      <c r="O601">
        <f>IF($Q601="","",INDEX(상세표[주말·휴일 포함],$Q601)&amp;"")</f>
        <v/>
      </c>
      <c r="P601">
        <f>IF($Q601="","",INDEX(상세표[월 넘김 포함],$Q601)&amp;"")</f>
        <v/>
      </c>
      <c r="Q601" s="4">
        <f>IFERROR(MATCH(596,상세표[연속순번],0),"")</f>
        <v/>
      </c>
    </row>
    <row r="602">
      <c r="A602">
        <f>IF($Q602="","",INDEX(상세표[부서],$Q602)&amp;"")</f>
        <v/>
      </c>
      <c r="B602">
        <f>IF($Q602="","",INDEX(상세표[사번],$Q602)&amp;"")</f>
        <v/>
      </c>
      <c r="C602">
        <f>IF($Q602="","",INDEX(상세표[성명],$Q602)&amp;"")</f>
        <v/>
      </c>
      <c r="D602">
        <f>IF($Q602="","",INDEX(상세표[직위],$Q602)&amp;"")</f>
        <v/>
      </c>
      <c r="E602">
        <f>IF($Q602="","",IF(ISNUMBER(INDEX(상세표[근무일자],$Q602)),TEXT(INDEX(상세표[근무일자],$Q602),"yyyy-mm-dd"),INDEX(상세표[근무일자],$Q602)&amp;""))</f>
        <v/>
      </c>
      <c r="F602">
        <f>IF($Q602="","",IF(ISNUMBER(INDEX(상세표[시작],$Q602)),TEXT(INDEX(상세표[시작],$Q602),"yyyy-mm-dd hh:mm"),INDEX(상세표[시작],$Q602)&amp;""))</f>
        <v/>
      </c>
      <c r="G602">
        <f>IF($Q602="","",IF(ISNUMBER(INDEX(상세표[블록종료],$Q602)),TEXT(INDEX(상세표[블록종료],$Q602),"yyyy-mm-dd hh:mm"),INDEX(상세표[블록종료],$Q602)&amp;""))</f>
        <v/>
      </c>
      <c r="H602">
        <f>IF($Q602="","",CHOOSE(WEEKDAY(INDEX(상세표[시작],$Q602)),"일","월","화","수","목","금","토"))</f>
        <v/>
      </c>
      <c r="I602" s="20">
        <f>IF($Q602="","",INDEX(상세표[연속 시간],$Q602))</f>
        <v/>
      </c>
      <c r="J602">
        <f>IF($Q602="","",INDEX(상세표[기록 수],$Q602))</f>
        <v/>
      </c>
      <c r="K602" s="20">
        <f>IF($Q602="","",INDEX(상세표[블록 06~07시],$Q602))</f>
        <v/>
      </c>
      <c r="L602" s="20">
        <f>IF($Q602="","",INDEX(상세표[블록 07~18시],$Q602))</f>
        <v/>
      </c>
      <c r="M602" s="20">
        <f>IF($Q602="","",INDEX(상세표[블록 18~22시],$Q602))</f>
        <v/>
      </c>
      <c r="N602" s="20">
        <f>IF($Q602="","",INDEX(상세표[블록 22~06시],$Q602))</f>
        <v/>
      </c>
      <c r="O602">
        <f>IF($Q602="","",INDEX(상세표[주말·휴일 포함],$Q602)&amp;"")</f>
        <v/>
      </c>
      <c r="P602">
        <f>IF($Q602="","",INDEX(상세표[월 넘김 포함],$Q602)&amp;"")</f>
        <v/>
      </c>
      <c r="Q602" s="4">
        <f>IFERROR(MATCH(597,상세표[연속순번],0),"")</f>
        <v/>
      </c>
    </row>
    <row r="603">
      <c r="A603">
        <f>IF($Q603="","",INDEX(상세표[부서],$Q603)&amp;"")</f>
        <v/>
      </c>
      <c r="B603">
        <f>IF($Q603="","",INDEX(상세표[사번],$Q603)&amp;"")</f>
        <v/>
      </c>
      <c r="C603">
        <f>IF($Q603="","",INDEX(상세표[성명],$Q603)&amp;"")</f>
        <v/>
      </c>
      <c r="D603">
        <f>IF($Q603="","",INDEX(상세표[직위],$Q603)&amp;"")</f>
        <v/>
      </c>
      <c r="E603">
        <f>IF($Q603="","",IF(ISNUMBER(INDEX(상세표[근무일자],$Q603)),TEXT(INDEX(상세표[근무일자],$Q603),"yyyy-mm-dd"),INDEX(상세표[근무일자],$Q603)&amp;""))</f>
        <v/>
      </c>
      <c r="F603">
        <f>IF($Q603="","",IF(ISNUMBER(INDEX(상세표[시작],$Q603)),TEXT(INDEX(상세표[시작],$Q603),"yyyy-mm-dd hh:mm"),INDEX(상세표[시작],$Q603)&amp;""))</f>
        <v/>
      </c>
      <c r="G603">
        <f>IF($Q603="","",IF(ISNUMBER(INDEX(상세표[블록종료],$Q603)),TEXT(INDEX(상세표[블록종료],$Q603),"yyyy-mm-dd hh:mm"),INDEX(상세표[블록종료],$Q603)&amp;""))</f>
        <v/>
      </c>
      <c r="H603">
        <f>IF($Q603="","",CHOOSE(WEEKDAY(INDEX(상세표[시작],$Q603)),"일","월","화","수","목","금","토"))</f>
        <v/>
      </c>
      <c r="I603" s="20">
        <f>IF($Q603="","",INDEX(상세표[연속 시간],$Q603))</f>
        <v/>
      </c>
      <c r="J603">
        <f>IF($Q603="","",INDEX(상세표[기록 수],$Q603))</f>
        <v/>
      </c>
      <c r="K603" s="20">
        <f>IF($Q603="","",INDEX(상세표[블록 06~07시],$Q603))</f>
        <v/>
      </c>
      <c r="L603" s="20">
        <f>IF($Q603="","",INDEX(상세표[블록 07~18시],$Q603))</f>
        <v/>
      </c>
      <c r="M603" s="20">
        <f>IF($Q603="","",INDEX(상세표[블록 18~22시],$Q603))</f>
        <v/>
      </c>
      <c r="N603" s="20">
        <f>IF($Q603="","",INDEX(상세표[블록 22~06시],$Q603))</f>
        <v/>
      </c>
      <c r="O603">
        <f>IF($Q603="","",INDEX(상세표[주말·휴일 포함],$Q603)&amp;"")</f>
        <v/>
      </c>
      <c r="P603">
        <f>IF($Q603="","",INDEX(상세표[월 넘김 포함],$Q603)&amp;"")</f>
        <v/>
      </c>
      <c r="Q603" s="4">
        <f>IFERROR(MATCH(598,상세표[연속순번],0),"")</f>
        <v/>
      </c>
    </row>
    <row r="604">
      <c r="A604">
        <f>IF($Q604="","",INDEX(상세표[부서],$Q604)&amp;"")</f>
        <v/>
      </c>
      <c r="B604">
        <f>IF($Q604="","",INDEX(상세표[사번],$Q604)&amp;"")</f>
        <v/>
      </c>
      <c r="C604">
        <f>IF($Q604="","",INDEX(상세표[성명],$Q604)&amp;"")</f>
        <v/>
      </c>
      <c r="D604">
        <f>IF($Q604="","",INDEX(상세표[직위],$Q604)&amp;"")</f>
        <v/>
      </c>
      <c r="E604">
        <f>IF($Q604="","",IF(ISNUMBER(INDEX(상세표[근무일자],$Q604)),TEXT(INDEX(상세표[근무일자],$Q604),"yyyy-mm-dd"),INDEX(상세표[근무일자],$Q604)&amp;""))</f>
        <v/>
      </c>
      <c r="F604">
        <f>IF($Q604="","",IF(ISNUMBER(INDEX(상세표[시작],$Q604)),TEXT(INDEX(상세표[시작],$Q604),"yyyy-mm-dd hh:mm"),INDEX(상세표[시작],$Q604)&amp;""))</f>
        <v/>
      </c>
      <c r="G604">
        <f>IF($Q604="","",IF(ISNUMBER(INDEX(상세표[블록종료],$Q604)),TEXT(INDEX(상세표[블록종료],$Q604),"yyyy-mm-dd hh:mm"),INDEX(상세표[블록종료],$Q604)&amp;""))</f>
        <v/>
      </c>
      <c r="H604">
        <f>IF($Q604="","",CHOOSE(WEEKDAY(INDEX(상세표[시작],$Q604)),"일","월","화","수","목","금","토"))</f>
        <v/>
      </c>
      <c r="I604" s="20">
        <f>IF($Q604="","",INDEX(상세표[연속 시간],$Q604))</f>
        <v/>
      </c>
      <c r="J604">
        <f>IF($Q604="","",INDEX(상세표[기록 수],$Q604))</f>
        <v/>
      </c>
      <c r="K604" s="20">
        <f>IF($Q604="","",INDEX(상세표[블록 06~07시],$Q604))</f>
        <v/>
      </c>
      <c r="L604" s="20">
        <f>IF($Q604="","",INDEX(상세표[블록 07~18시],$Q604))</f>
        <v/>
      </c>
      <c r="M604" s="20">
        <f>IF($Q604="","",INDEX(상세표[블록 18~22시],$Q604))</f>
        <v/>
      </c>
      <c r="N604" s="20">
        <f>IF($Q604="","",INDEX(상세표[블록 22~06시],$Q604))</f>
        <v/>
      </c>
      <c r="O604">
        <f>IF($Q604="","",INDEX(상세표[주말·휴일 포함],$Q604)&amp;"")</f>
        <v/>
      </c>
      <c r="P604">
        <f>IF($Q604="","",INDEX(상세표[월 넘김 포함],$Q604)&amp;"")</f>
        <v/>
      </c>
      <c r="Q604" s="4">
        <f>IFERROR(MATCH(599,상세표[연속순번],0),"")</f>
        <v/>
      </c>
    </row>
    <row r="605">
      <c r="A605">
        <f>IF($Q605="","",INDEX(상세표[부서],$Q605)&amp;"")</f>
        <v/>
      </c>
      <c r="B605">
        <f>IF($Q605="","",INDEX(상세표[사번],$Q605)&amp;"")</f>
        <v/>
      </c>
      <c r="C605">
        <f>IF($Q605="","",INDEX(상세표[성명],$Q605)&amp;"")</f>
        <v/>
      </c>
      <c r="D605">
        <f>IF($Q605="","",INDEX(상세표[직위],$Q605)&amp;"")</f>
        <v/>
      </c>
      <c r="E605">
        <f>IF($Q605="","",IF(ISNUMBER(INDEX(상세표[근무일자],$Q605)),TEXT(INDEX(상세표[근무일자],$Q605),"yyyy-mm-dd"),INDEX(상세표[근무일자],$Q605)&amp;""))</f>
        <v/>
      </c>
      <c r="F605">
        <f>IF($Q605="","",IF(ISNUMBER(INDEX(상세표[시작],$Q605)),TEXT(INDEX(상세표[시작],$Q605),"yyyy-mm-dd hh:mm"),INDEX(상세표[시작],$Q605)&amp;""))</f>
        <v/>
      </c>
      <c r="G605">
        <f>IF($Q605="","",IF(ISNUMBER(INDEX(상세표[블록종료],$Q605)),TEXT(INDEX(상세표[블록종료],$Q605),"yyyy-mm-dd hh:mm"),INDEX(상세표[블록종료],$Q605)&amp;""))</f>
        <v/>
      </c>
      <c r="H605">
        <f>IF($Q605="","",CHOOSE(WEEKDAY(INDEX(상세표[시작],$Q605)),"일","월","화","수","목","금","토"))</f>
        <v/>
      </c>
      <c r="I605" s="20">
        <f>IF($Q605="","",INDEX(상세표[연속 시간],$Q605))</f>
        <v/>
      </c>
      <c r="J605">
        <f>IF($Q605="","",INDEX(상세표[기록 수],$Q605))</f>
        <v/>
      </c>
      <c r="K605" s="20">
        <f>IF($Q605="","",INDEX(상세표[블록 06~07시],$Q605))</f>
        <v/>
      </c>
      <c r="L605" s="20">
        <f>IF($Q605="","",INDEX(상세표[블록 07~18시],$Q605))</f>
        <v/>
      </c>
      <c r="M605" s="20">
        <f>IF($Q605="","",INDEX(상세표[블록 18~22시],$Q605))</f>
        <v/>
      </c>
      <c r="N605" s="20">
        <f>IF($Q605="","",INDEX(상세표[블록 22~06시],$Q605))</f>
        <v/>
      </c>
      <c r="O605">
        <f>IF($Q605="","",INDEX(상세표[주말·휴일 포함],$Q605)&amp;"")</f>
        <v/>
      </c>
      <c r="P605">
        <f>IF($Q605="","",INDEX(상세표[월 넘김 포함],$Q605)&amp;"")</f>
        <v/>
      </c>
      <c r="Q605" s="4">
        <f>IFERROR(MATCH(600,상세표[연속순번],0),"")</f>
        <v/>
      </c>
    </row>
    <row r="606">
      <c r="A606">
        <f>IF($Q606="","",INDEX(상세표[부서],$Q606)&amp;"")</f>
        <v/>
      </c>
      <c r="B606">
        <f>IF($Q606="","",INDEX(상세표[사번],$Q606)&amp;"")</f>
        <v/>
      </c>
      <c r="C606">
        <f>IF($Q606="","",INDEX(상세표[성명],$Q606)&amp;"")</f>
        <v/>
      </c>
      <c r="D606">
        <f>IF($Q606="","",INDEX(상세표[직위],$Q606)&amp;"")</f>
        <v/>
      </c>
      <c r="E606">
        <f>IF($Q606="","",IF(ISNUMBER(INDEX(상세표[근무일자],$Q606)),TEXT(INDEX(상세표[근무일자],$Q606),"yyyy-mm-dd"),INDEX(상세표[근무일자],$Q606)&amp;""))</f>
        <v/>
      </c>
      <c r="F606">
        <f>IF($Q606="","",IF(ISNUMBER(INDEX(상세표[시작],$Q606)),TEXT(INDEX(상세표[시작],$Q606),"yyyy-mm-dd hh:mm"),INDEX(상세표[시작],$Q606)&amp;""))</f>
        <v/>
      </c>
      <c r="G606">
        <f>IF($Q606="","",IF(ISNUMBER(INDEX(상세표[블록종료],$Q606)),TEXT(INDEX(상세표[블록종료],$Q606),"yyyy-mm-dd hh:mm"),INDEX(상세표[블록종료],$Q606)&amp;""))</f>
        <v/>
      </c>
      <c r="H606">
        <f>IF($Q606="","",CHOOSE(WEEKDAY(INDEX(상세표[시작],$Q606)),"일","월","화","수","목","금","토"))</f>
        <v/>
      </c>
      <c r="I606" s="20">
        <f>IF($Q606="","",INDEX(상세표[연속 시간],$Q606))</f>
        <v/>
      </c>
      <c r="J606">
        <f>IF($Q606="","",INDEX(상세표[기록 수],$Q606))</f>
        <v/>
      </c>
      <c r="K606" s="20">
        <f>IF($Q606="","",INDEX(상세표[블록 06~07시],$Q606))</f>
        <v/>
      </c>
      <c r="L606" s="20">
        <f>IF($Q606="","",INDEX(상세표[블록 07~18시],$Q606))</f>
        <v/>
      </c>
      <c r="M606" s="20">
        <f>IF($Q606="","",INDEX(상세표[블록 18~22시],$Q606))</f>
        <v/>
      </c>
      <c r="N606" s="20">
        <f>IF($Q606="","",INDEX(상세표[블록 22~06시],$Q606))</f>
        <v/>
      </c>
      <c r="O606">
        <f>IF($Q606="","",INDEX(상세표[주말·휴일 포함],$Q606)&amp;"")</f>
        <v/>
      </c>
      <c r="P606">
        <f>IF($Q606="","",INDEX(상세표[월 넘김 포함],$Q606)&amp;"")</f>
        <v/>
      </c>
      <c r="Q606" s="4">
        <f>IFERROR(MATCH(601,상세표[연속순번],0),"")</f>
        <v/>
      </c>
    </row>
    <row r="607">
      <c r="A607">
        <f>IF($Q607="","",INDEX(상세표[부서],$Q607)&amp;"")</f>
        <v/>
      </c>
      <c r="B607">
        <f>IF($Q607="","",INDEX(상세표[사번],$Q607)&amp;"")</f>
        <v/>
      </c>
      <c r="C607">
        <f>IF($Q607="","",INDEX(상세표[성명],$Q607)&amp;"")</f>
        <v/>
      </c>
      <c r="D607">
        <f>IF($Q607="","",INDEX(상세표[직위],$Q607)&amp;"")</f>
        <v/>
      </c>
      <c r="E607">
        <f>IF($Q607="","",IF(ISNUMBER(INDEX(상세표[근무일자],$Q607)),TEXT(INDEX(상세표[근무일자],$Q607),"yyyy-mm-dd"),INDEX(상세표[근무일자],$Q607)&amp;""))</f>
        <v/>
      </c>
      <c r="F607">
        <f>IF($Q607="","",IF(ISNUMBER(INDEX(상세표[시작],$Q607)),TEXT(INDEX(상세표[시작],$Q607),"yyyy-mm-dd hh:mm"),INDEX(상세표[시작],$Q607)&amp;""))</f>
        <v/>
      </c>
      <c r="G607">
        <f>IF($Q607="","",IF(ISNUMBER(INDEX(상세표[블록종료],$Q607)),TEXT(INDEX(상세표[블록종료],$Q607),"yyyy-mm-dd hh:mm"),INDEX(상세표[블록종료],$Q607)&amp;""))</f>
        <v/>
      </c>
      <c r="H607">
        <f>IF($Q607="","",CHOOSE(WEEKDAY(INDEX(상세표[시작],$Q607)),"일","월","화","수","목","금","토"))</f>
        <v/>
      </c>
      <c r="I607" s="20">
        <f>IF($Q607="","",INDEX(상세표[연속 시간],$Q607))</f>
        <v/>
      </c>
      <c r="J607">
        <f>IF($Q607="","",INDEX(상세표[기록 수],$Q607))</f>
        <v/>
      </c>
      <c r="K607" s="20">
        <f>IF($Q607="","",INDEX(상세표[블록 06~07시],$Q607))</f>
        <v/>
      </c>
      <c r="L607" s="20">
        <f>IF($Q607="","",INDEX(상세표[블록 07~18시],$Q607))</f>
        <v/>
      </c>
      <c r="M607" s="20">
        <f>IF($Q607="","",INDEX(상세표[블록 18~22시],$Q607))</f>
        <v/>
      </c>
      <c r="N607" s="20">
        <f>IF($Q607="","",INDEX(상세표[블록 22~06시],$Q607))</f>
        <v/>
      </c>
      <c r="O607">
        <f>IF($Q607="","",INDEX(상세표[주말·휴일 포함],$Q607)&amp;"")</f>
        <v/>
      </c>
      <c r="P607">
        <f>IF($Q607="","",INDEX(상세표[월 넘김 포함],$Q607)&amp;"")</f>
        <v/>
      </c>
      <c r="Q607" s="4">
        <f>IFERROR(MATCH(602,상세표[연속순번],0),"")</f>
        <v/>
      </c>
    </row>
    <row r="608">
      <c r="A608">
        <f>IF($Q608="","",INDEX(상세표[부서],$Q608)&amp;"")</f>
        <v/>
      </c>
      <c r="B608">
        <f>IF($Q608="","",INDEX(상세표[사번],$Q608)&amp;"")</f>
        <v/>
      </c>
      <c r="C608">
        <f>IF($Q608="","",INDEX(상세표[성명],$Q608)&amp;"")</f>
        <v/>
      </c>
      <c r="D608">
        <f>IF($Q608="","",INDEX(상세표[직위],$Q608)&amp;"")</f>
        <v/>
      </c>
      <c r="E608">
        <f>IF($Q608="","",IF(ISNUMBER(INDEX(상세표[근무일자],$Q608)),TEXT(INDEX(상세표[근무일자],$Q608),"yyyy-mm-dd"),INDEX(상세표[근무일자],$Q608)&amp;""))</f>
        <v/>
      </c>
      <c r="F608">
        <f>IF($Q608="","",IF(ISNUMBER(INDEX(상세표[시작],$Q608)),TEXT(INDEX(상세표[시작],$Q608),"yyyy-mm-dd hh:mm"),INDEX(상세표[시작],$Q608)&amp;""))</f>
        <v/>
      </c>
      <c r="G608">
        <f>IF($Q608="","",IF(ISNUMBER(INDEX(상세표[블록종료],$Q608)),TEXT(INDEX(상세표[블록종료],$Q608),"yyyy-mm-dd hh:mm"),INDEX(상세표[블록종료],$Q608)&amp;""))</f>
        <v/>
      </c>
      <c r="H608">
        <f>IF($Q608="","",CHOOSE(WEEKDAY(INDEX(상세표[시작],$Q608)),"일","월","화","수","목","금","토"))</f>
        <v/>
      </c>
      <c r="I608" s="20">
        <f>IF($Q608="","",INDEX(상세표[연속 시간],$Q608))</f>
        <v/>
      </c>
      <c r="J608">
        <f>IF($Q608="","",INDEX(상세표[기록 수],$Q608))</f>
        <v/>
      </c>
      <c r="K608" s="20">
        <f>IF($Q608="","",INDEX(상세표[블록 06~07시],$Q608))</f>
        <v/>
      </c>
      <c r="L608" s="20">
        <f>IF($Q608="","",INDEX(상세표[블록 07~18시],$Q608))</f>
        <v/>
      </c>
      <c r="M608" s="20">
        <f>IF($Q608="","",INDEX(상세표[블록 18~22시],$Q608))</f>
        <v/>
      </c>
      <c r="N608" s="20">
        <f>IF($Q608="","",INDEX(상세표[블록 22~06시],$Q608))</f>
        <v/>
      </c>
      <c r="O608">
        <f>IF($Q608="","",INDEX(상세표[주말·휴일 포함],$Q608)&amp;"")</f>
        <v/>
      </c>
      <c r="P608">
        <f>IF($Q608="","",INDEX(상세표[월 넘김 포함],$Q608)&amp;"")</f>
        <v/>
      </c>
      <c r="Q608" s="4">
        <f>IFERROR(MATCH(603,상세표[연속순번],0),"")</f>
        <v/>
      </c>
    </row>
    <row r="609">
      <c r="A609">
        <f>IF($Q609="","",INDEX(상세표[부서],$Q609)&amp;"")</f>
        <v/>
      </c>
      <c r="B609">
        <f>IF($Q609="","",INDEX(상세표[사번],$Q609)&amp;"")</f>
        <v/>
      </c>
      <c r="C609">
        <f>IF($Q609="","",INDEX(상세표[성명],$Q609)&amp;"")</f>
        <v/>
      </c>
      <c r="D609">
        <f>IF($Q609="","",INDEX(상세표[직위],$Q609)&amp;"")</f>
        <v/>
      </c>
      <c r="E609">
        <f>IF($Q609="","",IF(ISNUMBER(INDEX(상세표[근무일자],$Q609)),TEXT(INDEX(상세표[근무일자],$Q609),"yyyy-mm-dd"),INDEX(상세표[근무일자],$Q609)&amp;""))</f>
        <v/>
      </c>
      <c r="F609">
        <f>IF($Q609="","",IF(ISNUMBER(INDEX(상세표[시작],$Q609)),TEXT(INDEX(상세표[시작],$Q609),"yyyy-mm-dd hh:mm"),INDEX(상세표[시작],$Q609)&amp;""))</f>
        <v/>
      </c>
      <c r="G609">
        <f>IF($Q609="","",IF(ISNUMBER(INDEX(상세표[블록종료],$Q609)),TEXT(INDEX(상세표[블록종료],$Q609),"yyyy-mm-dd hh:mm"),INDEX(상세표[블록종료],$Q609)&amp;""))</f>
        <v/>
      </c>
      <c r="H609">
        <f>IF($Q609="","",CHOOSE(WEEKDAY(INDEX(상세표[시작],$Q609)),"일","월","화","수","목","금","토"))</f>
        <v/>
      </c>
      <c r="I609" s="20">
        <f>IF($Q609="","",INDEX(상세표[연속 시간],$Q609))</f>
        <v/>
      </c>
      <c r="J609">
        <f>IF($Q609="","",INDEX(상세표[기록 수],$Q609))</f>
        <v/>
      </c>
      <c r="K609" s="20">
        <f>IF($Q609="","",INDEX(상세표[블록 06~07시],$Q609))</f>
        <v/>
      </c>
      <c r="L609" s="20">
        <f>IF($Q609="","",INDEX(상세표[블록 07~18시],$Q609))</f>
        <v/>
      </c>
      <c r="M609" s="20">
        <f>IF($Q609="","",INDEX(상세표[블록 18~22시],$Q609))</f>
        <v/>
      </c>
      <c r="N609" s="20">
        <f>IF($Q609="","",INDEX(상세표[블록 22~06시],$Q609))</f>
        <v/>
      </c>
      <c r="O609">
        <f>IF($Q609="","",INDEX(상세표[주말·휴일 포함],$Q609)&amp;"")</f>
        <v/>
      </c>
      <c r="P609">
        <f>IF($Q609="","",INDEX(상세표[월 넘김 포함],$Q609)&amp;"")</f>
        <v/>
      </c>
      <c r="Q609" s="4">
        <f>IFERROR(MATCH(604,상세표[연속순번],0),"")</f>
        <v/>
      </c>
    </row>
    <row r="610">
      <c r="A610">
        <f>IF($Q610="","",INDEX(상세표[부서],$Q610)&amp;"")</f>
        <v/>
      </c>
      <c r="B610">
        <f>IF($Q610="","",INDEX(상세표[사번],$Q610)&amp;"")</f>
        <v/>
      </c>
      <c r="C610">
        <f>IF($Q610="","",INDEX(상세표[성명],$Q610)&amp;"")</f>
        <v/>
      </c>
      <c r="D610">
        <f>IF($Q610="","",INDEX(상세표[직위],$Q610)&amp;"")</f>
        <v/>
      </c>
      <c r="E610">
        <f>IF($Q610="","",IF(ISNUMBER(INDEX(상세표[근무일자],$Q610)),TEXT(INDEX(상세표[근무일자],$Q610),"yyyy-mm-dd"),INDEX(상세표[근무일자],$Q610)&amp;""))</f>
        <v/>
      </c>
      <c r="F610">
        <f>IF($Q610="","",IF(ISNUMBER(INDEX(상세표[시작],$Q610)),TEXT(INDEX(상세표[시작],$Q610),"yyyy-mm-dd hh:mm"),INDEX(상세표[시작],$Q610)&amp;""))</f>
        <v/>
      </c>
      <c r="G610">
        <f>IF($Q610="","",IF(ISNUMBER(INDEX(상세표[블록종료],$Q610)),TEXT(INDEX(상세표[블록종료],$Q610),"yyyy-mm-dd hh:mm"),INDEX(상세표[블록종료],$Q610)&amp;""))</f>
        <v/>
      </c>
      <c r="H610">
        <f>IF($Q610="","",CHOOSE(WEEKDAY(INDEX(상세표[시작],$Q610)),"일","월","화","수","목","금","토"))</f>
        <v/>
      </c>
      <c r="I610" s="20">
        <f>IF($Q610="","",INDEX(상세표[연속 시간],$Q610))</f>
        <v/>
      </c>
      <c r="J610">
        <f>IF($Q610="","",INDEX(상세표[기록 수],$Q610))</f>
        <v/>
      </c>
      <c r="K610" s="20">
        <f>IF($Q610="","",INDEX(상세표[블록 06~07시],$Q610))</f>
        <v/>
      </c>
      <c r="L610" s="20">
        <f>IF($Q610="","",INDEX(상세표[블록 07~18시],$Q610))</f>
        <v/>
      </c>
      <c r="M610" s="20">
        <f>IF($Q610="","",INDEX(상세표[블록 18~22시],$Q610))</f>
        <v/>
      </c>
      <c r="N610" s="20">
        <f>IF($Q610="","",INDEX(상세표[블록 22~06시],$Q610))</f>
        <v/>
      </c>
      <c r="O610">
        <f>IF($Q610="","",INDEX(상세표[주말·휴일 포함],$Q610)&amp;"")</f>
        <v/>
      </c>
      <c r="P610">
        <f>IF($Q610="","",INDEX(상세표[월 넘김 포함],$Q610)&amp;"")</f>
        <v/>
      </c>
      <c r="Q610" s="4">
        <f>IFERROR(MATCH(605,상세표[연속순번],0),"")</f>
        <v/>
      </c>
    </row>
    <row r="611">
      <c r="A611">
        <f>IF($Q611="","",INDEX(상세표[부서],$Q611)&amp;"")</f>
        <v/>
      </c>
      <c r="B611">
        <f>IF($Q611="","",INDEX(상세표[사번],$Q611)&amp;"")</f>
        <v/>
      </c>
      <c r="C611">
        <f>IF($Q611="","",INDEX(상세표[성명],$Q611)&amp;"")</f>
        <v/>
      </c>
      <c r="D611">
        <f>IF($Q611="","",INDEX(상세표[직위],$Q611)&amp;"")</f>
        <v/>
      </c>
      <c r="E611">
        <f>IF($Q611="","",IF(ISNUMBER(INDEX(상세표[근무일자],$Q611)),TEXT(INDEX(상세표[근무일자],$Q611),"yyyy-mm-dd"),INDEX(상세표[근무일자],$Q611)&amp;""))</f>
        <v/>
      </c>
      <c r="F611">
        <f>IF($Q611="","",IF(ISNUMBER(INDEX(상세표[시작],$Q611)),TEXT(INDEX(상세표[시작],$Q611),"yyyy-mm-dd hh:mm"),INDEX(상세표[시작],$Q611)&amp;""))</f>
        <v/>
      </c>
      <c r="G611">
        <f>IF($Q611="","",IF(ISNUMBER(INDEX(상세표[블록종료],$Q611)),TEXT(INDEX(상세표[블록종료],$Q611),"yyyy-mm-dd hh:mm"),INDEX(상세표[블록종료],$Q611)&amp;""))</f>
        <v/>
      </c>
      <c r="H611">
        <f>IF($Q611="","",CHOOSE(WEEKDAY(INDEX(상세표[시작],$Q611)),"일","월","화","수","목","금","토"))</f>
        <v/>
      </c>
      <c r="I611" s="20">
        <f>IF($Q611="","",INDEX(상세표[연속 시간],$Q611))</f>
        <v/>
      </c>
      <c r="J611">
        <f>IF($Q611="","",INDEX(상세표[기록 수],$Q611))</f>
        <v/>
      </c>
      <c r="K611" s="20">
        <f>IF($Q611="","",INDEX(상세표[블록 06~07시],$Q611))</f>
        <v/>
      </c>
      <c r="L611" s="20">
        <f>IF($Q611="","",INDEX(상세표[블록 07~18시],$Q611))</f>
        <v/>
      </c>
      <c r="M611" s="20">
        <f>IF($Q611="","",INDEX(상세표[블록 18~22시],$Q611))</f>
        <v/>
      </c>
      <c r="N611" s="20">
        <f>IF($Q611="","",INDEX(상세표[블록 22~06시],$Q611))</f>
        <v/>
      </c>
      <c r="O611">
        <f>IF($Q611="","",INDEX(상세표[주말·휴일 포함],$Q611)&amp;"")</f>
        <v/>
      </c>
      <c r="P611">
        <f>IF($Q611="","",INDEX(상세표[월 넘김 포함],$Q611)&amp;"")</f>
        <v/>
      </c>
      <c r="Q611" s="4">
        <f>IFERROR(MATCH(606,상세표[연속순번],0),"")</f>
        <v/>
      </c>
    </row>
    <row r="612">
      <c r="A612">
        <f>IF($Q612="","",INDEX(상세표[부서],$Q612)&amp;"")</f>
        <v/>
      </c>
      <c r="B612">
        <f>IF($Q612="","",INDEX(상세표[사번],$Q612)&amp;"")</f>
        <v/>
      </c>
      <c r="C612">
        <f>IF($Q612="","",INDEX(상세표[성명],$Q612)&amp;"")</f>
        <v/>
      </c>
      <c r="D612">
        <f>IF($Q612="","",INDEX(상세표[직위],$Q612)&amp;"")</f>
        <v/>
      </c>
      <c r="E612">
        <f>IF($Q612="","",IF(ISNUMBER(INDEX(상세표[근무일자],$Q612)),TEXT(INDEX(상세표[근무일자],$Q612),"yyyy-mm-dd"),INDEX(상세표[근무일자],$Q612)&amp;""))</f>
        <v/>
      </c>
      <c r="F612">
        <f>IF($Q612="","",IF(ISNUMBER(INDEX(상세표[시작],$Q612)),TEXT(INDEX(상세표[시작],$Q612),"yyyy-mm-dd hh:mm"),INDEX(상세표[시작],$Q612)&amp;""))</f>
        <v/>
      </c>
      <c r="G612">
        <f>IF($Q612="","",IF(ISNUMBER(INDEX(상세표[블록종료],$Q612)),TEXT(INDEX(상세표[블록종료],$Q612),"yyyy-mm-dd hh:mm"),INDEX(상세표[블록종료],$Q612)&amp;""))</f>
        <v/>
      </c>
      <c r="H612">
        <f>IF($Q612="","",CHOOSE(WEEKDAY(INDEX(상세표[시작],$Q612)),"일","월","화","수","목","금","토"))</f>
        <v/>
      </c>
      <c r="I612" s="20">
        <f>IF($Q612="","",INDEX(상세표[연속 시간],$Q612))</f>
        <v/>
      </c>
      <c r="J612">
        <f>IF($Q612="","",INDEX(상세표[기록 수],$Q612))</f>
        <v/>
      </c>
      <c r="K612" s="20">
        <f>IF($Q612="","",INDEX(상세표[블록 06~07시],$Q612))</f>
        <v/>
      </c>
      <c r="L612" s="20">
        <f>IF($Q612="","",INDEX(상세표[블록 07~18시],$Q612))</f>
        <v/>
      </c>
      <c r="M612" s="20">
        <f>IF($Q612="","",INDEX(상세표[블록 18~22시],$Q612))</f>
        <v/>
      </c>
      <c r="N612" s="20">
        <f>IF($Q612="","",INDEX(상세표[블록 22~06시],$Q612))</f>
        <v/>
      </c>
      <c r="O612">
        <f>IF($Q612="","",INDEX(상세표[주말·휴일 포함],$Q612)&amp;"")</f>
        <v/>
      </c>
      <c r="P612">
        <f>IF($Q612="","",INDEX(상세표[월 넘김 포함],$Q612)&amp;"")</f>
        <v/>
      </c>
      <c r="Q612" s="4">
        <f>IFERROR(MATCH(607,상세표[연속순번],0),"")</f>
        <v/>
      </c>
    </row>
    <row r="613">
      <c r="A613">
        <f>IF($Q613="","",INDEX(상세표[부서],$Q613)&amp;"")</f>
        <v/>
      </c>
      <c r="B613">
        <f>IF($Q613="","",INDEX(상세표[사번],$Q613)&amp;"")</f>
        <v/>
      </c>
      <c r="C613">
        <f>IF($Q613="","",INDEX(상세표[성명],$Q613)&amp;"")</f>
        <v/>
      </c>
      <c r="D613">
        <f>IF($Q613="","",INDEX(상세표[직위],$Q613)&amp;"")</f>
        <v/>
      </c>
      <c r="E613">
        <f>IF($Q613="","",IF(ISNUMBER(INDEX(상세표[근무일자],$Q613)),TEXT(INDEX(상세표[근무일자],$Q613),"yyyy-mm-dd"),INDEX(상세표[근무일자],$Q613)&amp;""))</f>
        <v/>
      </c>
      <c r="F613">
        <f>IF($Q613="","",IF(ISNUMBER(INDEX(상세표[시작],$Q613)),TEXT(INDEX(상세표[시작],$Q613),"yyyy-mm-dd hh:mm"),INDEX(상세표[시작],$Q613)&amp;""))</f>
        <v/>
      </c>
      <c r="G613">
        <f>IF($Q613="","",IF(ISNUMBER(INDEX(상세표[블록종료],$Q613)),TEXT(INDEX(상세표[블록종료],$Q613),"yyyy-mm-dd hh:mm"),INDEX(상세표[블록종료],$Q613)&amp;""))</f>
        <v/>
      </c>
      <c r="H613">
        <f>IF($Q613="","",CHOOSE(WEEKDAY(INDEX(상세표[시작],$Q613)),"일","월","화","수","목","금","토"))</f>
        <v/>
      </c>
      <c r="I613" s="20">
        <f>IF($Q613="","",INDEX(상세표[연속 시간],$Q613))</f>
        <v/>
      </c>
      <c r="J613">
        <f>IF($Q613="","",INDEX(상세표[기록 수],$Q613))</f>
        <v/>
      </c>
      <c r="K613" s="20">
        <f>IF($Q613="","",INDEX(상세표[블록 06~07시],$Q613))</f>
        <v/>
      </c>
      <c r="L613" s="20">
        <f>IF($Q613="","",INDEX(상세표[블록 07~18시],$Q613))</f>
        <v/>
      </c>
      <c r="M613" s="20">
        <f>IF($Q613="","",INDEX(상세표[블록 18~22시],$Q613))</f>
        <v/>
      </c>
      <c r="N613" s="20">
        <f>IF($Q613="","",INDEX(상세표[블록 22~06시],$Q613))</f>
        <v/>
      </c>
      <c r="O613">
        <f>IF($Q613="","",INDEX(상세표[주말·휴일 포함],$Q613)&amp;"")</f>
        <v/>
      </c>
      <c r="P613">
        <f>IF($Q613="","",INDEX(상세표[월 넘김 포함],$Q613)&amp;"")</f>
        <v/>
      </c>
      <c r="Q613" s="4">
        <f>IFERROR(MATCH(608,상세표[연속순번],0),"")</f>
        <v/>
      </c>
    </row>
    <row r="614">
      <c r="A614">
        <f>IF($Q614="","",INDEX(상세표[부서],$Q614)&amp;"")</f>
        <v/>
      </c>
      <c r="B614">
        <f>IF($Q614="","",INDEX(상세표[사번],$Q614)&amp;"")</f>
        <v/>
      </c>
      <c r="C614">
        <f>IF($Q614="","",INDEX(상세표[성명],$Q614)&amp;"")</f>
        <v/>
      </c>
      <c r="D614">
        <f>IF($Q614="","",INDEX(상세표[직위],$Q614)&amp;"")</f>
        <v/>
      </c>
      <c r="E614">
        <f>IF($Q614="","",IF(ISNUMBER(INDEX(상세표[근무일자],$Q614)),TEXT(INDEX(상세표[근무일자],$Q614),"yyyy-mm-dd"),INDEX(상세표[근무일자],$Q614)&amp;""))</f>
        <v/>
      </c>
      <c r="F614">
        <f>IF($Q614="","",IF(ISNUMBER(INDEX(상세표[시작],$Q614)),TEXT(INDEX(상세표[시작],$Q614),"yyyy-mm-dd hh:mm"),INDEX(상세표[시작],$Q614)&amp;""))</f>
        <v/>
      </c>
      <c r="G614">
        <f>IF($Q614="","",IF(ISNUMBER(INDEX(상세표[블록종료],$Q614)),TEXT(INDEX(상세표[블록종료],$Q614),"yyyy-mm-dd hh:mm"),INDEX(상세표[블록종료],$Q614)&amp;""))</f>
        <v/>
      </c>
      <c r="H614">
        <f>IF($Q614="","",CHOOSE(WEEKDAY(INDEX(상세표[시작],$Q614)),"일","월","화","수","목","금","토"))</f>
        <v/>
      </c>
      <c r="I614" s="20">
        <f>IF($Q614="","",INDEX(상세표[연속 시간],$Q614))</f>
        <v/>
      </c>
      <c r="J614">
        <f>IF($Q614="","",INDEX(상세표[기록 수],$Q614))</f>
        <v/>
      </c>
      <c r="K614" s="20">
        <f>IF($Q614="","",INDEX(상세표[블록 06~07시],$Q614))</f>
        <v/>
      </c>
      <c r="L614" s="20">
        <f>IF($Q614="","",INDEX(상세표[블록 07~18시],$Q614))</f>
        <v/>
      </c>
      <c r="M614" s="20">
        <f>IF($Q614="","",INDEX(상세표[블록 18~22시],$Q614))</f>
        <v/>
      </c>
      <c r="N614" s="20">
        <f>IF($Q614="","",INDEX(상세표[블록 22~06시],$Q614))</f>
        <v/>
      </c>
      <c r="O614">
        <f>IF($Q614="","",INDEX(상세표[주말·휴일 포함],$Q614)&amp;"")</f>
        <v/>
      </c>
      <c r="P614">
        <f>IF($Q614="","",INDEX(상세표[월 넘김 포함],$Q614)&amp;"")</f>
        <v/>
      </c>
      <c r="Q614" s="4">
        <f>IFERROR(MATCH(609,상세표[연속순번],0),"")</f>
        <v/>
      </c>
    </row>
    <row r="615">
      <c r="A615">
        <f>IF($Q615="","",INDEX(상세표[부서],$Q615)&amp;"")</f>
        <v/>
      </c>
      <c r="B615">
        <f>IF($Q615="","",INDEX(상세표[사번],$Q615)&amp;"")</f>
        <v/>
      </c>
      <c r="C615">
        <f>IF($Q615="","",INDEX(상세표[성명],$Q615)&amp;"")</f>
        <v/>
      </c>
      <c r="D615">
        <f>IF($Q615="","",INDEX(상세표[직위],$Q615)&amp;"")</f>
        <v/>
      </c>
      <c r="E615">
        <f>IF($Q615="","",IF(ISNUMBER(INDEX(상세표[근무일자],$Q615)),TEXT(INDEX(상세표[근무일자],$Q615),"yyyy-mm-dd"),INDEX(상세표[근무일자],$Q615)&amp;""))</f>
        <v/>
      </c>
      <c r="F615">
        <f>IF($Q615="","",IF(ISNUMBER(INDEX(상세표[시작],$Q615)),TEXT(INDEX(상세표[시작],$Q615),"yyyy-mm-dd hh:mm"),INDEX(상세표[시작],$Q615)&amp;""))</f>
        <v/>
      </c>
      <c r="G615">
        <f>IF($Q615="","",IF(ISNUMBER(INDEX(상세표[블록종료],$Q615)),TEXT(INDEX(상세표[블록종료],$Q615),"yyyy-mm-dd hh:mm"),INDEX(상세표[블록종료],$Q615)&amp;""))</f>
        <v/>
      </c>
      <c r="H615">
        <f>IF($Q615="","",CHOOSE(WEEKDAY(INDEX(상세표[시작],$Q615)),"일","월","화","수","목","금","토"))</f>
        <v/>
      </c>
      <c r="I615" s="20">
        <f>IF($Q615="","",INDEX(상세표[연속 시간],$Q615))</f>
        <v/>
      </c>
      <c r="J615">
        <f>IF($Q615="","",INDEX(상세표[기록 수],$Q615))</f>
        <v/>
      </c>
      <c r="K615" s="20">
        <f>IF($Q615="","",INDEX(상세표[블록 06~07시],$Q615))</f>
        <v/>
      </c>
      <c r="L615" s="20">
        <f>IF($Q615="","",INDEX(상세표[블록 07~18시],$Q615))</f>
        <v/>
      </c>
      <c r="M615" s="20">
        <f>IF($Q615="","",INDEX(상세표[블록 18~22시],$Q615))</f>
        <v/>
      </c>
      <c r="N615" s="20">
        <f>IF($Q615="","",INDEX(상세표[블록 22~06시],$Q615))</f>
        <v/>
      </c>
      <c r="O615">
        <f>IF($Q615="","",INDEX(상세표[주말·휴일 포함],$Q615)&amp;"")</f>
        <v/>
      </c>
      <c r="P615">
        <f>IF($Q615="","",INDEX(상세표[월 넘김 포함],$Q615)&amp;"")</f>
        <v/>
      </c>
      <c r="Q615" s="4">
        <f>IFERROR(MATCH(610,상세표[연속순번],0),"")</f>
        <v/>
      </c>
    </row>
    <row r="616">
      <c r="A616">
        <f>IF($Q616="","",INDEX(상세표[부서],$Q616)&amp;"")</f>
        <v/>
      </c>
      <c r="B616">
        <f>IF($Q616="","",INDEX(상세표[사번],$Q616)&amp;"")</f>
        <v/>
      </c>
      <c r="C616">
        <f>IF($Q616="","",INDEX(상세표[성명],$Q616)&amp;"")</f>
        <v/>
      </c>
      <c r="D616">
        <f>IF($Q616="","",INDEX(상세표[직위],$Q616)&amp;"")</f>
        <v/>
      </c>
      <c r="E616">
        <f>IF($Q616="","",IF(ISNUMBER(INDEX(상세표[근무일자],$Q616)),TEXT(INDEX(상세표[근무일자],$Q616),"yyyy-mm-dd"),INDEX(상세표[근무일자],$Q616)&amp;""))</f>
        <v/>
      </c>
      <c r="F616">
        <f>IF($Q616="","",IF(ISNUMBER(INDEX(상세표[시작],$Q616)),TEXT(INDEX(상세표[시작],$Q616),"yyyy-mm-dd hh:mm"),INDEX(상세표[시작],$Q616)&amp;""))</f>
        <v/>
      </c>
      <c r="G616">
        <f>IF($Q616="","",IF(ISNUMBER(INDEX(상세표[블록종료],$Q616)),TEXT(INDEX(상세표[블록종료],$Q616),"yyyy-mm-dd hh:mm"),INDEX(상세표[블록종료],$Q616)&amp;""))</f>
        <v/>
      </c>
      <c r="H616">
        <f>IF($Q616="","",CHOOSE(WEEKDAY(INDEX(상세표[시작],$Q616)),"일","월","화","수","목","금","토"))</f>
        <v/>
      </c>
      <c r="I616" s="20">
        <f>IF($Q616="","",INDEX(상세표[연속 시간],$Q616))</f>
        <v/>
      </c>
      <c r="J616">
        <f>IF($Q616="","",INDEX(상세표[기록 수],$Q616))</f>
        <v/>
      </c>
      <c r="K616" s="20">
        <f>IF($Q616="","",INDEX(상세표[블록 06~07시],$Q616))</f>
        <v/>
      </c>
      <c r="L616" s="20">
        <f>IF($Q616="","",INDEX(상세표[블록 07~18시],$Q616))</f>
        <v/>
      </c>
      <c r="M616" s="20">
        <f>IF($Q616="","",INDEX(상세표[블록 18~22시],$Q616))</f>
        <v/>
      </c>
      <c r="N616" s="20">
        <f>IF($Q616="","",INDEX(상세표[블록 22~06시],$Q616))</f>
        <v/>
      </c>
      <c r="O616">
        <f>IF($Q616="","",INDEX(상세표[주말·휴일 포함],$Q616)&amp;"")</f>
        <v/>
      </c>
      <c r="P616">
        <f>IF($Q616="","",INDEX(상세표[월 넘김 포함],$Q616)&amp;"")</f>
        <v/>
      </c>
      <c r="Q616" s="4">
        <f>IFERROR(MATCH(611,상세표[연속순번],0),"")</f>
        <v/>
      </c>
    </row>
    <row r="617">
      <c r="A617">
        <f>IF($Q617="","",INDEX(상세표[부서],$Q617)&amp;"")</f>
        <v/>
      </c>
      <c r="B617">
        <f>IF($Q617="","",INDEX(상세표[사번],$Q617)&amp;"")</f>
        <v/>
      </c>
      <c r="C617">
        <f>IF($Q617="","",INDEX(상세표[성명],$Q617)&amp;"")</f>
        <v/>
      </c>
      <c r="D617">
        <f>IF($Q617="","",INDEX(상세표[직위],$Q617)&amp;"")</f>
        <v/>
      </c>
      <c r="E617">
        <f>IF($Q617="","",IF(ISNUMBER(INDEX(상세표[근무일자],$Q617)),TEXT(INDEX(상세표[근무일자],$Q617),"yyyy-mm-dd"),INDEX(상세표[근무일자],$Q617)&amp;""))</f>
        <v/>
      </c>
      <c r="F617">
        <f>IF($Q617="","",IF(ISNUMBER(INDEX(상세표[시작],$Q617)),TEXT(INDEX(상세표[시작],$Q617),"yyyy-mm-dd hh:mm"),INDEX(상세표[시작],$Q617)&amp;""))</f>
        <v/>
      </c>
      <c r="G617">
        <f>IF($Q617="","",IF(ISNUMBER(INDEX(상세표[블록종료],$Q617)),TEXT(INDEX(상세표[블록종료],$Q617),"yyyy-mm-dd hh:mm"),INDEX(상세표[블록종료],$Q617)&amp;""))</f>
        <v/>
      </c>
      <c r="H617">
        <f>IF($Q617="","",CHOOSE(WEEKDAY(INDEX(상세표[시작],$Q617)),"일","월","화","수","목","금","토"))</f>
        <v/>
      </c>
      <c r="I617" s="20">
        <f>IF($Q617="","",INDEX(상세표[연속 시간],$Q617))</f>
        <v/>
      </c>
      <c r="J617">
        <f>IF($Q617="","",INDEX(상세표[기록 수],$Q617))</f>
        <v/>
      </c>
      <c r="K617" s="20">
        <f>IF($Q617="","",INDEX(상세표[블록 06~07시],$Q617))</f>
        <v/>
      </c>
      <c r="L617" s="20">
        <f>IF($Q617="","",INDEX(상세표[블록 07~18시],$Q617))</f>
        <v/>
      </c>
      <c r="M617" s="20">
        <f>IF($Q617="","",INDEX(상세표[블록 18~22시],$Q617))</f>
        <v/>
      </c>
      <c r="N617" s="20">
        <f>IF($Q617="","",INDEX(상세표[블록 22~06시],$Q617))</f>
        <v/>
      </c>
      <c r="O617">
        <f>IF($Q617="","",INDEX(상세표[주말·휴일 포함],$Q617)&amp;"")</f>
        <v/>
      </c>
      <c r="P617">
        <f>IF($Q617="","",INDEX(상세표[월 넘김 포함],$Q617)&amp;"")</f>
        <v/>
      </c>
      <c r="Q617" s="4">
        <f>IFERROR(MATCH(612,상세표[연속순번],0),"")</f>
        <v/>
      </c>
    </row>
    <row r="618">
      <c r="A618">
        <f>IF($Q618="","",INDEX(상세표[부서],$Q618)&amp;"")</f>
        <v/>
      </c>
      <c r="B618">
        <f>IF($Q618="","",INDEX(상세표[사번],$Q618)&amp;"")</f>
        <v/>
      </c>
      <c r="C618">
        <f>IF($Q618="","",INDEX(상세표[성명],$Q618)&amp;"")</f>
        <v/>
      </c>
      <c r="D618">
        <f>IF($Q618="","",INDEX(상세표[직위],$Q618)&amp;"")</f>
        <v/>
      </c>
      <c r="E618">
        <f>IF($Q618="","",IF(ISNUMBER(INDEX(상세표[근무일자],$Q618)),TEXT(INDEX(상세표[근무일자],$Q618),"yyyy-mm-dd"),INDEX(상세표[근무일자],$Q618)&amp;""))</f>
        <v/>
      </c>
      <c r="F618">
        <f>IF($Q618="","",IF(ISNUMBER(INDEX(상세표[시작],$Q618)),TEXT(INDEX(상세표[시작],$Q618),"yyyy-mm-dd hh:mm"),INDEX(상세표[시작],$Q618)&amp;""))</f>
        <v/>
      </c>
      <c r="G618">
        <f>IF($Q618="","",IF(ISNUMBER(INDEX(상세표[블록종료],$Q618)),TEXT(INDEX(상세표[블록종료],$Q618),"yyyy-mm-dd hh:mm"),INDEX(상세표[블록종료],$Q618)&amp;""))</f>
        <v/>
      </c>
      <c r="H618">
        <f>IF($Q618="","",CHOOSE(WEEKDAY(INDEX(상세표[시작],$Q618)),"일","월","화","수","목","금","토"))</f>
        <v/>
      </c>
      <c r="I618" s="20">
        <f>IF($Q618="","",INDEX(상세표[연속 시간],$Q618))</f>
        <v/>
      </c>
      <c r="J618">
        <f>IF($Q618="","",INDEX(상세표[기록 수],$Q618))</f>
        <v/>
      </c>
      <c r="K618" s="20">
        <f>IF($Q618="","",INDEX(상세표[블록 06~07시],$Q618))</f>
        <v/>
      </c>
      <c r="L618" s="20">
        <f>IF($Q618="","",INDEX(상세표[블록 07~18시],$Q618))</f>
        <v/>
      </c>
      <c r="M618" s="20">
        <f>IF($Q618="","",INDEX(상세표[블록 18~22시],$Q618))</f>
        <v/>
      </c>
      <c r="N618" s="20">
        <f>IF($Q618="","",INDEX(상세표[블록 22~06시],$Q618))</f>
        <v/>
      </c>
      <c r="O618">
        <f>IF($Q618="","",INDEX(상세표[주말·휴일 포함],$Q618)&amp;"")</f>
        <v/>
      </c>
      <c r="P618">
        <f>IF($Q618="","",INDEX(상세표[월 넘김 포함],$Q618)&amp;"")</f>
        <v/>
      </c>
      <c r="Q618" s="4">
        <f>IFERROR(MATCH(613,상세표[연속순번],0),"")</f>
        <v/>
      </c>
    </row>
    <row r="619">
      <c r="A619">
        <f>IF($Q619="","",INDEX(상세표[부서],$Q619)&amp;"")</f>
        <v/>
      </c>
      <c r="B619">
        <f>IF($Q619="","",INDEX(상세표[사번],$Q619)&amp;"")</f>
        <v/>
      </c>
      <c r="C619">
        <f>IF($Q619="","",INDEX(상세표[성명],$Q619)&amp;"")</f>
        <v/>
      </c>
      <c r="D619">
        <f>IF($Q619="","",INDEX(상세표[직위],$Q619)&amp;"")</f>
        <v/>
      </c>
      <c r="E619">
        <f>IF($Q619="","",IF(ISNUMBER(INDEX(상세표[근무일자],$Q619)),TEXT(INDEX(상세표[근무일자],$Q619),"yyyy-mm-dd"),INDEX(상세표[근무일자],$Q619)&amp;""))</f>
        <v/>
      </c>
      <c r="F619">
        <f>IF($Q619="","",IF(ISNUMBER(INDEX(상세표[시작],$Q619)),TEXT(INDEX(상세표[시작],$Q619),"yyyy-mm-dd hh:mm"),INDEX(상세표[시작],$Q619)&amp;""))</f>
        <v/>
      </c>
      <c r="G619">
        <f>IF($Q619="","",IF(ISNUMBER(INDEX(상세표[블록종료],$Q619)),TEXT(INDEX(상세표[블록종료],$Q619),"yyyy-mm-dd hh:mm"),INDEX(상세표[블록종료],$Q619)&amp;""))</f>
        <v/>
      </c>
      <c r="H619">
        <f>IF($Q619="","",CHOOSE(WEEKDAY(INDEX(상세표[시작],$Q619)),"일","월","화","수","목","금","토"))</f>
        <v/>
      </c>
      <c r="I619" s="20">
        <f>IF($Q619="","",INDEX(상세표[연속 시간],$Q619))</f>
        <v/>
      </c>
      <c r="J619">
        <f>IF($Q619="","",INDEX(상세표[기록 수],$Q619))</f>
        <v/>
      </c>
      <c r="K619" s="20">
        <f>IF($Q619="","",INDEX(상세표[블록 06~07시],$Q619))</f>
        <v/>
      </c>
      <c r="L619" s="20">
        <f>IF($Q619="","",INDEX(상세표[블록 07~18시],$Q619))</f>
        <v/>
      </c>
      <c r="M619" s="20">
        <f>IF($Q619="","",INDEX(상세표[블록 18~22시],$Q619))</f>
        <v/>
      </c>
      <c r="N619" s="20">
        <f>IF($Q619="","",INDEX(상세표[블록 22~06시],$Q619))</f>
        <v/>
      </c>
      <c r="O619">
        <f>IF($Q619="","",INDEX(상세표[주말·휴일 포함],$Q619)&amp;"")</f>
        <v/>
      </c>
      <c r="P619">
        <f>IF($Q619="","",INDEX(상세표[월 넘김 포함],$Q619)&amp;"")</f>
        <v/>
      </c>
      <c r="Q619" s="4">
        <f>IFERROR(MATCH(614,상세표[연속순번],0),"")</f>
        <v/>
      </c>
    </row>
    <row r="620">
      <c r="A620">
        <f>IF($Q620="","",INDEX(상세표[부서],$Q620)&amp;"")</f>
        <v/>
      </c>
      <c r="B620">
        <f>IF($Q620="","",INDEX(상세표[사번],$Q620)&amp;"")</f>
        <v/>
      </c>
      <c r="C620">
        <f>IF($Q620="","",INDEX(상세표[성명],$Q620)&amp;"")</f>
        <v/>
      </c>
      <c r="D620">
        <f>IF($Q620="","",INDEX(상세표[직위],$Q620)&amp;"")</f>
        <v/>
      </c>
      <c r="E620">
        <f>IF($Q620="","",IF(ISNUMBER(INDEX(상세표[근무일자],$Q620)),TEXT(INDEX(상세표[근무일자],$Q620),"yyyy-mm-dd"),INDEX(상세표[근무일자],$Q620)&amp;""))</f>
        <v/>
      </c>
      <c r="F620">
        <f>IF($Q620="","",IF(ISNUMBER(INDEX(상세표[시작],$Q620)),TEXT(INDEX(상세표[시작],$Q620),"yyyy-mm-dd hh:mm"),INDEX(상세표[시작],$Q620)&amp;""))</f>
        <v/>
      </c>
      <c r="G620">
        <f>IF($Q620="","",IF(ISNUMBER(INDEX(상세표[블록종료],$Q620)),TEXT(INDEX(상세표[블록종료],$Q620),"yyyy-mm-dd hh:mm"),INDEX(상세표[블록종료],$Q620)&amp;""))</f>
        <v/>
      </c>
      <c r="H620">
        <f>IF($Q620="","",CHOOSE(WEEKDAY(INDEX(상세표[시작],$Q620)),"일","월","화","수","목","금","토"))</f>
        <v/>
      </c>
      <c r="I620" s="20">
        <f>IF($Q620="","",INDEX(상세표[연속 시간],$Q620))</f>
        <v/>
      </c>
      <c r="J620">
        <f>IF($Q620="","",INDEX(상세표[기록 수],$Q620))</f>
        <v/>
      </c>
      <c r="K620" s="20">
        <f>IF($Q620="","",INDEX(상세표[블록 06~07시],$Q620))</f>
        <v/>
      </c>
      <c r="L620" s="20">
        <f>IF($Q620="","",INDEX(상세표[블록 07~18시],$Q620))</f>
        <v/>
      </c>
      <c r="M620" s="20">
        <f>IF($Q620="","",INDEX(상세표[블록 18~22시],$Q620))</f>
        <v/>
      </c>
      <c r="N620" s="20">
        <f>IF($Q620="","",INDEX(상세표[블록 22~06시],$Q620))</f>
        <v/>
      </c>
      <c r="O620">
        <f>IF($Q620="","",INDEX(상세표[주말·휴일 포함],$Q620)&amp;"")</f>
        <v/>
      </c>
      <c r="P620">
        <f>IF($Q620="","",INDEX(상세표[월 넘김 포함],$Q620)&amp;"")</f>
        <v/>
      </c>
      <c r="Q620" s="4">
        <f>IFERROR(MATCH(615,상세표[연속순번],0),"")</f>
        <v/>
      </c>
    </row>
    <row r="621">
      <c r="A621">
        <f>IF($Q621="","",INDEX(상세표[부서],$Q621)&amp;"")</f>
        <v/>
      </c>
      <c r="B621">
        <f>IF($Q621="","",INDEX(상세표[사번],$Q621)&amp;"")</f>
        <v/>
      </c>
      <c r="C621">
        <f>IF($Q621="","",INDEX(상세표[성명],$Q621)&amp;"")</f>
        <v/>
      </c>
      <c r="D621">
        <f>IF($Q621="","",INDEX(상세표[직위],$Q621)&amp;"")</f>
        <v/>
      </c>
      <c r="E621">
        <f>IF($Q621="","",IF(ISNUMBER(INDEX(상세표[근무일자],$Q621)),TEXT(INDEX(상세표[근무일자],$Q621),"yyyy-mm-dd"),INDEX(상세표[근무일자],$Q621)&amp;""))</f>
        <v/>
      </c>
      <c r="F621">
        <f>IF($Q621="","",IF(ISNUMBER(INDEX(상세표[시작],$Q621)),TEXT(INDEX(상세표[시작],$Q621),"yyyy-mm-dd hh:mm"),INDEX(상세표[시작],$Q621)&amp;""))</f>
        <v/>
      </c>
      <c r="G621">
        <f>IF($Q621="","",IF(ISNUMBER(INDEX(상세표[블록종료],$Q621)),TEXT(INDEX(상세표[블록종료],$Q621),"yyyy-mm-dd hh:mm"),INDEX(상세표[블록종료],$Q621)&amp;""))</f>
        <v/>
      </c>
      <c r="H621">
        <f>IF($Q621="","",CHOOSE(WEEKDAY(INDEX(상세표[시작],$Q621)),"일","월","화","수","목","금","토"))</f>
        <v/>
      </c>
      <c r="I621" s="20">
        <f>IF($Q621="","",INDEX(상세표[연속 시간],$Q621))</f>
        <v/>
      </c>
      <c r="J621">
        <f>IF($Q621="","",INDEX(상세표[기록 수],$Q621))</f>
        <v/>
      </c>
      <c r="K621" s="20">
        <f>IF($Q621="","",INDEX(상세표[블록 06~07시],$Q621))</f>
        <v/>
      </c>
      <c r="L621" s="20">
        <f>IF($Q621="","",INDEX(상세표[블록 07~18시],$Q621))</f>
        <v/>
      </c>
      <c r="M621" s="20">
        <f>IF($Q621="","",INDEX(상세표[블록 18~22시],$Q621))</f>
        <v/>
      </c>
      <c r="N621" s="20">
        <f>IF($Q621="","",INDEX(상세표[블록 22~06시],$Q621))</f>
        <v/>
      </c>
      <c r="O621">
        <f>IF($Q621="","",INDEX(상세표[주말·휴일 포함],$Q621)&amp;"")</f>
        <v/>
      </c>
      <c r="P621">
        <f>IF($Q621="","",INDEX(상세표[월 넘김 포함],$Q621)&amp;"")</f>
        <v/>
      </c>
      <c r="Q621" s="4">
        <f>IFERROR(MATCH(616,상세표[연속순번],0),"")</f>
        <v/>
      </c>
    </row>
    <row r="622">
      <c r="A622">
        <f>IF($Q622="","",INDEX(상세표[부서],$Q622)&amp;"")</f>
        <v/>
      </c>
      <c r="B622">
        <f>IF($Q622="","",INDEX(상세표[사번],$Q622)&amp;"")</f>
        <v/>
      </c>
      <c r="C622">
        <f>IF($Q622="","",INDEX(상세표[성명],$Q622)&amp;"")</f>
        <v/>
      </c>
      <c r="D622">
        <f>IF($Q622="","",INDEX(상세표[직위],$Q622)&amp;"")</f>
        <v/>
      </c>
      <c r="E622">
        <f>IF($Q622="","",IF(ISNUMBER(INDEX(상세표[근무일자],$Q622)),TEXT(INDEX(상세표[근무일자],$Q622),"yyyy-mm-dd"),INDEX(상세표[근무일자],$Q622)&amp;""))</f>
        <v/>
      </c>
      <c r="F622">
        <f>IF($Q622="","",IF(ISNUMBER(INDEX(상세표[시작],$Q622)),TEXT(INDEX(상세표[시작],$Q622),"yyyy-mm-dd hh:mm"),INDEX(상세표[시작],$Q622)&amp;""))</f>
        <v/>
      </c>
      <c r="G622">
        <f>IF($Q622="","",IF(ISNUMBER(INDEX(상세표[블록종료],$Q622)),TEXT(INDEX(상세표[블록종료],$Q622),"yyyy-mm-dd hh:mm"),INDEX(상세표[블록종료],$Q622)&amp;""))</f>
        <v/>
      </c>
      <c r="H622">
        <f>IF($Q622="","",CHOOSE(WEEKDAY(INDEX(상세표[시작],$Q622)),"일","월","화","수","목","금","토"))</f>
        <v/>
      </c>
      <c r="I622" s="20">
        <f>IF($Q622="","",INDEX(상세표[연속 시간],$Q622))</f>
        <v/>
      </c>
      <c r="J622">
        <f>IF($Q622="","",INDEX(상세표[기록 수],$Q622))</f>
        <v/>
      </c>
      <c r="K622" s="20">
        <f>IF($Q622="","",INDEX(상세표[블록 06~07시],$Q622))</f>
        <v/>
      </c>
      <c r="L622" s="20">
        <f>IF($Q622="","",INDEX(상세표[블록 07~18시],$Q622))</f>
        <v/>
      </c>
      <c r="M622" s="20">
        <f>IF($Q622="","",INDEX(상세표[블록 18~22시],$Q622))</f>
        <v/>
      </c>
      <c r="N622" s="20">
        <f>IF($Q622="","",INDEX(상세표[블록 22~06시],$Q622))</f>
        <v/>
      </c>
      <c r="O622">
        <f>IF($Q622="","",INDEX(상세표[주말·휴일 포함],$Q622)&amp;"")</f>
        <v/>
      </c>
      <c r="P622">
        <f>IF($Q622="","",INDEX(상세표[월 넘김 포함],$Q622)&amp;"")</f>
        <v/>
      </c>
      <c r="Q622" s="4">
        <f>IFERROR(MATCH(617,상세표[연속순번],0),"")</f>
        <v/>
      </c>
    </row>
    <row r="623">
      <c r="A623">
        <f>IF($Q623="","",INDEX(상세표[부서],$Q623)&amp;"")</f>
        <v/>
      </c>
      <c r="B623">
        <f>IF($Q623="","",INDEX(상세표[사번],$Q623)&amp;"")</f>
        <v/>
      </c>
      <c r="C623">
        <f>IF($Q623="","",INDEX(상세표[성명],$Q623)&amp;"")</f>
        <v/>
      </c>
      <c r="D623">
        <f>IF($Q623="","",INDEX(상세표[직위],$Q623)&amp;"")</f>
        <v/>
      </c>
      <c r="E623">
        <f>IF($Q623="","",IF(ISNUMBER(INDEX(상세표[근무일자],$Q623)),TEXT(INDEX(상세표[근무일자],$Q623),"yyyy-mm-dd"),INDEX(상세표[근무일자],$Q623)&amp;""))</f>
        <v/>
      </c>
      <c r="F623">
        <f>IF($Q623="","",IF(ISNUMBER(INDEX(상세표[시작],$Q623)),TEXT(INDEX(상세표[시작],$Q623),"yyyy-mm-dd hh:mm"),INDEX(상세표[시작],$Q623)&amp;""))</f>
        <v/>
      </c>
      <c r="G623">
        <f>IF($Q623="","",IF(ISNUMBER(INDEX(상세표[블록종료],$Q623)),TEXT(INDEX(상세표[블록종료],$Q623),"yyyy-mm-dd hh:mm"),INDEX(상세표[블록종료],$Q623)&amp;""))</f>
        <v/>
      </c>
      <c r="H623">
        <f>IF($Q623="","",CHOOSE(WEEKDAY(INDEX(상세표[시작],$Q623)),"일","월","화","수","목","금","토"))</f>
        <v/>
      </c>
      <c r="I623" s="20">
        <f>IF($Q623="","",INDEX(상세표[연속 시간],$Q623))</f>
        <v/>
      </c>
      <c r="J623">
        <f>IF($Q623="","",INDEX(상세표[기록 수],$Q623))</f>
        <v/>
      </c>
      <c r="K623" s="20">
        <f>IF($Q623="","",INDEX(상세표[블록 06~07시],$Q623))</f>
        <v/>
      </c>
      <c r="L623" s="20">
        <f>IF($Q623="","",INDEX(상세표[블록 07~18시],$Q623))</f>
        <v/>
      </c>
      <c r="M623" s="20">
        <f>IF($Q623="","",INDEX(상세표[블록 18~22시],$Q623))</f>
        <v/>
      </c>
      <c r="N623" s="20">
        <f>IF($Q623="","",INDEX(상세표[블록 22~06시],$Q623))</f>
        <v/>
      </c>
      <c r="O623">
        <f>IF($Q623="","",INDEX(상세표[주말·휴일 포함],$Q623)&amp;"")</f>
        <v/>
      </c>
      <c r="P623">
        <f>IF($Q623="","",INDEX(상세표[월 넘김 포함],$Q623)&amp;"")</f>
        <v/>
      </c>
      <c r="Q623" s="4">
        <f>IFERROR(MATCH(618,상세표[연속순번],0),"")</f>
        <v/>
      </c>
    </row>
    <row r="624">
      <c r="A624">
        <f>IF($Q624="","",INDEX(상세표[부서],$Q624)&amp;"")</f>
        <v/>
      </c>
      <c r="B624">
        <f>IF($Q624="","",INDEX(상세표[사번],$Q624)&amp;"")</f>
        <v/>
      </c>
      <c r="C624">
        <f>IF($Q624="","",INDEX(상세표[성명],$Q624)&amp;"")</f>
        <v/>
      </c>
      <c r="D624">
        <f>IF($Q624="","",INDEX(상세표[직위],$Q624)&amp;"")</f>
        <v/>
      </c>
      <c r="E624">
        <f>IF($Q624="","",IF(ISNUMBER(INDEX(상세표[근무일자],$Q624)),TEXT(INDEX(상세표[근무일자],$Q624),"yyyy-mm-dd"),INDEX(상세표[근무일자],$Q624)&amp;""))</f>
        <v/>
      </c>
      <c r="F624">
        <f>IF($Q624="","",IF(ISNUMBER(INDEX(상세표[시작],$Q624)),TEXT(INDEX(상세표[시작],$Q624),"yyyy-mm-dd hh:mm"),INDEX(상세표[시작],$Q624)&amp;""))</f>
        <v/>
      </c>
      <c r="G624">
        <f>IF($Q624="","",IF(ISNUMBER(INDEX(상세표[블록종료],$Q624)),TEXT(INDEX(상세표[블록종료],$Q624),"yyyy-mm-dd hh:mm"),INDEX(상세표[블록종료],$Q624)&amp;""))</f>
        <v/>
      </c>
      <c r="H624">
        <f>IF($Q624="","",CHOOSE(WEEKDAY(INDEX(상세표[시작],$Q624)),"일","월","화","수","목","금","토"))</f>
        <v/>
      </c>
      <c r="I624" s="20">
        <f>IF($Q624="","",INDEX(상세표[연속 시간],$Q624))</f>
        <v/>
      </c>
      <c r="J624">
        <f>IF($Q624="","",INDEX(상세표[기록 수],$Q624))</f>
        <v/>
      </c>
      <c r="K624" s="20">
        <f>IF($Q624="","",INDEX(상세표[블록 06~07시],$Q624))</f>
        <v/>
      </c>
      <c r="L624" s="20">
        <f>IF($Q624="","",INDEX(상세표[블록 07~18시],$Q624))</f>
        <v/>
      </c>
      <c r="M624" s="20">
        <f>IF($Q624="","",INDEX(상세표[블록 18~22시],$Q624))</f>
        <v/>
      </c>
      <c r="N624" s="20">
        <f>IF($Q624="","",INDEX(상세표[블록 22~06시],$Q624))</f>
        <v/>
      </c>
      <c r="O624">
        <f>IF($Q624="","",INDEX(상세표[주말·휴일 포함],$Q624)&amp;"")</f>
        <v/>
      </c>
      <c r="P624">
        <f>IF($Q624="","",INDEX(상세표[월 넘김 포함],$Q624)&amp;"")</f>
        <v/>
      </c>
      <c r="Q624" s="4">
        <f>IFERROR(MATCH(619,상세표[연속순번],0),"")</f>
        <v/>
      </c>
    </row>
    <row r="625">
      <c r="A625">
        <f>IF($Q625="","",INDEX(상세표[부서],$Q625)&amp;"")</f>
        <v/>
      </c>
      <c r="B625">
        <f>IF($Q625="","",INDEX(상세표[사번],$Q625)&amp;"")</f>
        <v/>
      </c>
      <c r="C625">
        <f>IF($Q625="","",INDEX(상세표[성명],$Q625)&amp;"")</f>
        <v/>
      </c>
      <c r="D625">
        <f>IF($Q625="","",INDEX(상세표[직위],$Q625)&amp;"")</f>
        <v/>
      </c>
      <c r="E625">
        <f>IF($Q625="","",IF(ISNUMBER(INDEX(상세표[근무일자],$Q625)),TEXT(INDEX(상세표[근무일자],$Q625),"yyyy-mm-dd"),INDEX(상세표[근무일자],$Q625)&amp;""))</f>
        <v/>
      </c>
      <c r="F625">
        <f>IF($Q625="","",IF(ISNUMBER(INDEX(상세표[시작],$Q625)),TEXT(INDEX(상세표[시작],$Q625),"yyyy-mm-dd hh:mm"),INDEX(상세표[시작],$Q625)&amp;""))</f>
        <v/>
      </c>
      <c r="G625">
        <f>IF($Q625="","",IF(ISNUMBER(INDEX(상세표[블록종료],$Q625)),TEXT(INDEX(상세표[블록종료],$Q625),"yyyy-mm-dd hh:mm"),INDEX(상세표[블록종료],$Q625)&amp;""))</f>
        <v/>
      </c>
      <c r="H625">
        <f>IF($Q625="","",CHOOSE(WEEKDAY(INDEX(상세표[시작],$Q625)),"일","월","화","수","목","금","토"))</f>
        <v/>
      </c>
      <c r="I625" s="20">
        <f>IF($Q625="","",INDEX(상세표[연속 시간],$Q625))</f>
        <v/>
      </c>
      <c r="J625">
        <f>IF($Q625="","",INDEX(상세표[기록 수],$Q625))</f>
        <v/>
      </c>
      <c r="K625" s="20">
        <f>IF($Q625="","",INDEX(상세표[블록 06~07시],$Q625))</f>
        <v/>
      </c>
      <c r="L625" s="20">
        <f>IF($Q625="","",INDEX(상세표[블록 07~18시],$Q625))</f>
        <v/>
      </c>
      <c r="M625" s="20">
        <f>IF($Q625="","",INDEX(상세표[블록 18~22시],$Q625))</f>
        <v/>
      </c>
      <c r="N625" s="20">
        <f>IF($Q625="","",INDEX(상세표[블록 22~06시],$Q625))</f>
        <v/>
      </c>
      <c r="O625">
        <f>IF($Q625="","",INDEX(상세표[주말·휴일 포함],$Q625)&amp;"")</f>
        <v/>
      </c>
      <c r="P625">
        <f>IF($Q625="","",INDEX(상세표[월 넘김 포함],$Q625)&amp;"")</f>
        <v/>
      </c>
      <c r="Q625" s="4">
        <f>IFERROR(MATCH(620,상세표[연속순번],0),"")</f>
        <v/>
      </c>
    </row>
    <row r="626">
      <c r="A626">
        <f>IF($Q626="","",INDEX(상세표[부서],$Q626)&amp;"")</f>
        <v/>
      </c>
      <c r="B626">
        <f>IF($Q626="","",INDEX(상세표[사번],$Q626)&amp;"")</f>
        <v/>
      </c>
      <c r="C626">
        <f>IF($Q626="","",INDEX(상세표[성명],$Q626)&amp;"")</f>
        <v/>
      </c>
      <c r="D626">
        <f>IF($Q626="","",INDEX(상세표[직위],$Q626)&amp;"")</f>
        <v/>
      </c>
      <c r="E626">
        <f>IF($Q626="","",IF(ISNUMBER(INDEX(상세표[근무일자],$Q626)),TEXT(INDEX(상세표[근무일자],$Q626),"yyyy-mm-dd"),INDEX(상세표[근무일자],$Q626)&amp;""))</f>
        <v/>
      </c>
      <c r="F626">
        <f>IF($Q626="","",IF(ISNUMBER(INDEX(상세표[시작],$Q626)),TEXT(INDEX(상세표[시작],$Q626),"yyyy-mm-dd hh:mm"),INDEX(상세표[시작],$Q626)&amp;""))</f>
        <v/>
      </c>
      <c r="G626">
        <f>IF($Q626="","",IF(ISNUMBER(INDEX(상세표[블록종료],$Q626)),TEXT(INDEX(상세표[블록종료],$Q626),"yyyy-mm-dd hh:mm"),INDEX(상세표[블록종료],$Q626)&amp;""))</f>
        <v/>
      </c>
      <c r="H626">
        <f>IF($Q626="","",CHOOSE(WEEKDAY(INDEX(상세표[시작],$Q626)),"일","월","화","수","목","금","토"))</f>
        <v/>
      </c>
      <c r="I626" s="20">
        <f>IF($Q626="","",INDEX(상세표[연속 시간],$Q626))</f>
        <v/>
      </c>
      <c r="J626">
        <f>IF($Q626="","",INDEX(상세표[기록 수],$Q626))</f>
        <v/>
      </c>
      <c r="K626" s="20">
        <f>IF($Q626="","",INDEX(상세표[블록 06~07시],$Q626))</f>
        <v/>
      </c>
      <c r="L626" s="20">
        <f>IF($Q626="","",INDEX(상세표[블록 07~18시],$Q626))</f>
        <v/>
      </c>
      <c r="M626" s="20">
        <f>IF($Q626="","",INDEX(상세표[블록 18~22시],$Q626))</f>
        <v/>
      </c>
      <c r="N626" s="20">
        <f>IF($Q626="","",INDEX(상세표[블록 22~06시],$Q626))</f>
        <v/>
      </c>
      <c r="O626">
        <f>IF($Q626="","",INDEX(상세표[주말·휴일 포함],$Q626)&amp;"")</f>
        <v/>
      </c>
      <c r="P626">
        <f>IF($Q626="","",INDEX(상세표[월 넘김 포함],$Q626)&amp;"")</f>
        <v/>
      </c>
      <c r="Q626" s="4">
        <f>IFERROR(MATCH(621,상세표[연속순번],0),"")</f>
        <v/>
      </c>
    </row>
    <row r="627">
      <c r="A627">
        <f>IF($Q627="","",INDEX(상세표[부서],$Q627)&amp;"")</f>
        <v/>
      </c>
      <c r="B627">
        <f>IF($Q627="","",INDEX(상세표[사번],$Q627)&amp;"")</f>
        <v/>
      </c>
      <c r="C627">
        <f>IF($Q627="","",INDEX(상세표[성명],$Q627)&amp;"")</f>
        <v/>
      </c>
      <c r="D627">
        <f>IF($Q627="","",INDEX(상세표[직위],$Q627)&amp;"")</f>
        <v/>
      </c>
      <c r="E627">
        <f>IF($Q627="","",IF(ISNUMBER(INDEX(상세표[근무일자],$Q627)),TEXT(INDEX(상세표[근무일자],$Q627),"yyyy-mm-dd"),INDEX(상세표[근무일자],$Q627)&amp;""))</f>
        <v/>
      </c>
      <c r="F627">
        <f>IF($Q627="","",IF(ISNUMBER(INDEX(상세표[시작],$Q627)),TEXT(INDEX(상세표[시작],$Q627),"yyyy-mm-dd hh:mm"),INDEX(상세표[시작],$Q627)&amp;""))</f>
        <v/>
      </c>
      <c r="G627">
        <f>IF($Q627="","",IF(ISNUMBER(INDEX(상세표[블록종료],$Q627)),TEXT(INDEX(상세표[블록종료],$Q627),"yyyy-mm-dd hh:mm"),INDEX(상세표[블록종료],$Q627)&amp;""))</f>
        <v/>
      </c>
      <c r="H627">
        <f>IF($Q627="","",CHOOSE(WEEKDAY(INDEX(상세표[시작],$Q627)),"일","월","화","수","목","금","토"))</f>
        <v/>
      </c>
      <c r="I627" s="20">
        <f>IF($Q627="","",INDEX(상세표[연속 시간],$Q627))</f>
        <v/>
      </c>
      <c r="J627">
        <f>IF($Q627="","",INDEX(상세표[기록 수],$Q627))</f>
        <v/>
      </c>
      <c r="K627" s="20">
        <f>IF($Q627="","",INDEX(상세표[블록 06~07시],$Q627))</f>
        <v/>
      </c>
      <c r="L627" s="20">
        <f>IF($Q627="","",INDEX(상세표[블록 07~18시],$Q627))</f>
        <v/>
      </c>
      <c r="M627" s="20">
        <f>IF($Q627="","",INDEX(상세표[블록 18~22시],$Q627))</f>
        <v/>
      </c>
      <c r="N627" s="20">
        <f>IF($Q627="","",INDEX(상세표[블록 22~06시],$Q627))</f>
        <v/>
      </c>
      <c r="O627">
        <f>IF($Q627="","",INDEX(상세표[주말·휴일 포함],$Q627)&amp;"")</f>
        <v/>
      </c>
      <c r="P627">
        <f>IF($Q627="","",INDEX(상세표[월 넘김 포함],$Q627)&amp;"")</f>
        <v/>
      </c>
      <c r="Q627" s="4">
        <f>IFERROR(MATCH(622,상세표[연속순번],0),"")</f>
        <v/>
      </c>
    </row>
    <row r="628">
      <c r="A628">
        <f>IF($Q628="","",INDEX(상세표[부서],$Q628)&amp;"")</f>
        <v/>
      </c>
      <c r="B628">
        <f>IF($Q628="","",INDEX(상세표[사번],$Q628)&amp;"")</f>
        <v/>
      </c>
      <c r="C628">
        <f>IF($Q628="","",INDEX(상세표[성명],$Q628)&amp;"")</f>
        <v/>
      </c>
      <c r="D628">
        <f>IF($Q628="","",INDEX(상세표[직위],$Q628)&amp;"")</f>
        <v/>
      </c>
      <c r="E628">
        <f>IF($Q628="","",IF(ISNUMBER(INDEX(상세표[근무일자],$Q628)),TEXT(INDEX(상세표[근무일자],$Q628),"yyyy-mm-dd"),INDEX(상세표[근무일자],$Q628)&amp;""))</f>
        <v/>
      </c>
      <c r="F628">
        <f>IF($Q628="","",IF(ISNUMBER(INDEX(상세표[시작],$Q628)),TEXT(INDEX(상세표[시작],$Q628),"yyyy-mm-dd hh:mm"),INDEX(상세표[시작],$Q628)&amp;""))</f>
        <v/>
      </c>
      <c r="G628">
        <f>IF($Q628="","",IF(ISNUMBER(INDEX(상세표[블록종료],$Q628)),TEXT(INDEX(상세표[블록종료],$Q628),"yyyy-mm-dd hh:mm"),INDEX(상세표[블록종료],$Q628)&amp;""))</f>
        <v/>
      </c>
      <c r="H628">
        <f>IF($Q628="","",CHOOSE(WEEKDAY(INDEX(상세표[시작],$Q628)),"일","월","화","수","목","금","토"))</f>
        <v/>
      </c>
      <c r="I628" s="20">
        <f>IF($Q628="","",INDEX(상세표[연속 시간],$Q628))</f>
        <v/>
      </c>
      <c r="J628">
        <f>IF($Q628="","",INDEX(상세표[기록 수],$Q628))</f>
        <v/>
      </c>
      <c r="K628" s="20">
        <f>IF($Q628="","",INDEX(상세표[블록 06~07시],$Q628))</f>
        <v/>
      </c>
      <c r="L628" s="20">
        <f>IF($Q628="","",INDEX(상세표[블록 07~18시],$Q628))</f>
        <v/>
      </c>
      <c r="M628" s="20">
        <f>IF($Q628="","",INDEX(상세표[블록 18~22시],$Q628))</f>
        <v/>
      </c>
      <c r="N628" s="20">
        <f>IF($Q628="","",INDEX(상세표[블록 22~06시],$Q628))</f>
        <v/>
      </c>
      <c r="O628">
        <f>IF($Q628="","",INDEX(상세표[주말·휴일 포함],$Q628)&amp;"")</f>
        <v/>
      </c>
      <c r="P628">
        <f>IF($Q628="","",INDEX(상세표[월 넘김 포함],$Q628)&amp;"")</f>
        <v/>
      </c>
      <c r="Q628" s="4">
        <f>IFERROR(MATCH(623,상세표[연속순번],0),"")</f>
        <v/>
      </c>
    </row>
    <row r="629">
      <c r="A629">
        <f>IF($Q629="","",INDEX(상세표[부서],$Q629)&amp;"")</f>
        <v/>
      </c>
      <c r="B629">
        <f>IF($Q629="","",INDEX(상세표[사번],$Q629)&amp;"")</f>
        <v/>
      </c>
      <c r="C629">
        <f>IF($Q629="","",INDEX(상세표[성명],$Q629)&amp;"")</f>
        <v/>
      </c>
      <c r="D629">
        <f>IF($Q629="","",INDEX(상세표[직위],$Q629)&amp;"")</f>
        <v/>
      </c>
      <c r="E629">
        <f>IF($Q629="","",IF(ISNUMBER(INDEX(상세표[근무일자],$Q629)),TEXT(INDEX(상세표[근무일자],$Q629),"yyyy-mm-dd"),INDEX(상세표[근무일자],$Q629)&amp;""))</f>
        <v/>
      </c>
      <c r="F629">
        <f>IF($Q629="","",IF(ISNUMBER(INDEX(상세표[시작],$Q629)),TEXT(INDEX(상세표[시작],$Q629),"yyyy-mm-dd hh:mm"),INDEX(상세표[시작],$Q629)&amp;""))</f>
        <v/>
      </c>
      <c r="G629">
        <f>IF($Q629="","",IF(ISNUMBER(INDEX(상세표[블록종료],$Q629)),TEXT(INDEX(상세표[블록종료],$Q629),"yyyy-mm-dd hh:mm"),INDEX(상세표[블록종료],$Q629)&amp;""))</f>
        <v/>
      </c>
      <c r="H629">
        <f>IF($Q629="","",CHOOSE(WEEKDAY(INDEX(상세표[시작],$Q629)),"일","월","화","수","목","금","토"))</f>
        <v/>
      </c>
      <c r="I629" s="20">
        <f>IF($Q629="","",INDEX(상세표[연속 시간],$Q629))</f>
        <v/>
      </c>
      <c r="J629">
        <f>IF($Q629="","",INDEX(상세표[기록 수],$Q629))</f>
        <v/>
      </c>
      <c r="K629" s="20">
        <f>IF($Q629="","",INDEX(상세표[블록 06~07시],$Q629))</f>
        <v/>
      </c>
      <c r="L629" s="20">
        <f>IF($Q629="","",INDEX(상세표[블록 07~18시],$Q629))</f>
        <v/>
      </c>
      <c r="M629" s="20">
        <f>IF($Q629="","",INDEX(상세표[블록 18~22시],$Q629))</f>
        <v/>
      </c>
      <c r="N629" s="20">
        <f>IF($Q629="","",INDEX(상세표[블록 22~06시],$Q629))</f>
        <v/>
      </c>
      <c r="O629">
        <f>IF($Q629="","",INDEX(상세표[주말·휴일 포함],$Q629)&amp;"")</f>
        <v/>
      </c>
      <c r="P629">
        <f>IF($Q629="","",INDEX(상세표[월 넘김 포함],$Q629)&amp;"")</f>
        <v/>
      </c>
      <c r="Q629" s="4">
        <f>IFERROR(MATCH(624,상세표[연속순번],0),"")</f>
        <v/>
      </c>
    </row>
    <row r="630">
      <c r="A630">
        <f>IF($Q630="","",INDEX(상세표[부서],$Q630)&amp;"")</f>
        <v/>
      </c>
      <c r="B630">
        <f>IF($Q630="","",INDEX(상세표[사번],$Q630)&amp;"")</f>
        <v/>
      </c>
      <c r="C630">
        <f>IF($Q630="","",INDEX(상세표[성명],$Q630)&amp;"")</f>
        <v/>
      </c>
      <c r="D630">
        <f>IF($Q630="","",INDEX(상세표[직위],$Q630)&amp;"")</f>
        <v/>
      </c>
      <c r="E630">
        <f>IF($Q630="","",IF(ISNUMBER(INDEX(상세표[근무일자],$Q630)),TEXT(INDEX(상세표[근무일자],$Q630),"yyyy-mm-dd"),INDEX(상세표[근무일자],$Q630)&amp;""))</f>
        <v/>
      </c>
      <c r="F630">
        <f>IF($Q630="","",IF(ISNUMBER(INDEX(상세표[시작],$Q630)),TEXT(INDEX(상세표[시작],$Q630),"yyyy-mm-dd hh:mm"),INDEX(상세표[시작],$Q630)&amp;""))</f>
        <v/>
      </c>
      <c r="G630">
        <f>IF($Q630="","",IF(ISNUMBER(INDEX(상세표[블록종료],$Q630)),TEXT(INDEX(상세표[블록종료],$Q630),"yyyy-mm-dd hh:mm"),INDEX(상세표[블록종료],$Q630)&amp;""))</f>
        <v/>
      </c>
      <c r="H630">
        <f>IF($Q630="","",CHOOSE(WEEKDAY(INDEX(상세표[시작],$Q630)),"일","월","화","수","목","금","토"))</f>
        <v/>
      </c>
      <c r="I630" s="20">
        <f>IF($Q630="","",INDEX(상세표[연속 시간],$Q630))</f>
        <v/>
      </c>
      <c r="J630">
        <f>IF($Q630="","",INDEX(상세표[기록 수],$Q630))</f>
        <v/>
      </c>
      <c r="K630" s="20">
        <f>IF($Q630="","",INDEX(상세표[블록 06~07시],$Q630))</f>
        <v/>
      </c>
      <c r="L630" s="20">
        <f>IF($Q630="","",INDEX(상세표[블록 07~18시],$Q630))</f>
        <v/>
      </c>
      <c r="M630" s="20">
        <f>IF($Q630="","",INDEX(상세표[블록 18~22시],$Q630))</f>
        <v/>
      </c>
      <c r="N630" s="20">
        <f>IF($Q630="","",INDEX(상세표[블록 22~06시],$Q630))</f>
        <v/>
      </c>
      <c r="O630">
        <f>IF($Q630="","",INDEX(상세표[주말·휴일 포함],$Q630)&amp;"")</f>
        <v/>
      </c>
      <c r="P630">
        <f>IF($Q630="","",INDEX(상세표[월 넘김 포함],$Q630)&amp;"")</f>
        <v/>
      </c>
      <c r="Q630" s="4">
        <f>IFERROR(MATCH(625,상세표[연속순번],0),"")</f>
        <v/>
      </c>
    </row>
    <row r="631">
      <c r="A631">
        <f>IF($Q631="","",INDEX(상세표[부서],$Q631)&amp;"")</f>
        <v/>
      </c>
      <c r="B631">
        <f>IF($Q631="","",INDEX(상세표[사번],$Q631)&amp;"")</f>
        <v/>
      </c>
      <c r="C631">
        <f>IF($Q631="","",INDEX(상세표[성명],$Q631)&amp;"")</f>
        <v/>
      </c>
      <c r="D631">
        <f>IF($Q631="","",INDEX(상세표[직위],$Q631)&amp;"")</f>
        <v/>
      </c>
      <c r="E631">
        <f>IF($Q631="","",IF(ISNUMBER(INDEX(상세표[근무일자],$Q631)),TEXT(INDEX(상세표[근무일자],$Q631),"yyyy-mm-dd"),INDEX(상세표[근무일자],$Q631)&amp;""))</f>
        <v/>
      </c>
      <c r="F631">
        <f>IF($Q631="","",IF(ISNUMBER(INDEX(상세표[시작],$Q631)),TEXT(INDEX(상세표[시작],$Q631),"yyyy-mm-dd hh:mm"),INDEX(상세표[시작],$Q631)&amp;""))</f>
        <v/>
      </c>
      <c r="G631">
        <f>IF($Q631="","",IF(ISNUMBER(INDEX(상세표[블록종료],$Q631)),TEXT(INDEX(상세표[블록종료],$Q631),"yyyy-mm-dd hh:mm"),INDEX(상세표[블록종료],$Q631)&amp;""))</f>
        <v/>
      </c>
      <c r="H631">
        <f>IF($Q631="","",CHOOSE(WEEKDAY(INDEX(상세표[시작],$Q631)),"일","월","화","수","목","금","토"))</f>
        <v/>
      </c>
      <c r="I631" s="20">
        <f>IF($Q631="","",INDEX(상세표[연속 시간],$Q631))</f>
        <v/>
      </c>
      <c r="J631">
        <f>IF($Q631="","",INDEX(상세표[기록 수],$Q631))</f>
        <v/>
      </c>
      <c r="K631" s="20">
        <f>IF($Q631="","",INDEX(상세표[블록 06~07시],$Q631))</f>
        <v/>
      </c>
      <c r="L631" s="20">
        <f>IF($Q631="","",INDEX(상세표[블록 07~18시],$Q631))</f>
        <v/>
      </c>
      <c r="M631" s="20">
        <f>IF($Q631="","",INDEX(상세표[블록 18~22시],$Q631))</f>
        <v/>
      </c>
      <c r="N631" s="20">
        <f>IF($Q631="","",INDEX(상세표[블록 22~06시],$Q631))</f>
        <v/>
      </c>
      <c r="O631">
        <f>IF($Q631="","",INDEX(상세표[주말·휴일 포함],$Q631)&amp;"")</f>
        <v/>
      </c>
      <c r="P631">
        <f>IF($Q631="","",INDEX(상세표[월 넘김 포함],$Q631)&amp;"")</f>
        <v/>
      </c>
      <c r="Q631" s="4">
        <f>IFERROR(MATCH(626,상세표[연속순번],0),"")</f>
        <v/>
      </c>
    </row>
    <row r="632">
      <c r="A632">
        <f>IF($Q632="","",INDEX(상세표[부서],$Q632)&amp;"")</f>
        <v/>
      </c>
      <c r="B632">
        <f>IF($Q632="","",INDEX(상세표[사번],$Q632)&amp;"")</f>
        <v/>
      </c>
      <c r="C632">
        <f>IF($Q632="","",INDEX(상세표[성명],$Q632)&amp;"")</f>
        <v/>
      </c>
      <c r="D632">
        <f>IF($Q632="","",INDEX(상세표[직위],$Q632)&amp;"")</f>
        <v/>
      </c>
      <c r="E632">
        <f>IF($Q632="","",IF(ISNUMBER(INDEX(상세표[근무일자],$Q632)),TEXT(INDEX(상세표[근무일자],$Q632),"yyyy-mm-dd"),INDEX(상세표[근무일자],$Q632)&amp;""))</f>
        <v/>
      </c>
      <c r="F632">
        <f>IF($Q632="","",IF(ISNUMBER(INDEX(상세표[시작],$Q632)),TEXT(INDEX(상세표[시작],$Q632),"yyyy-mm-dd hh:mm"),INDEX(상세표[시작],$Q632)&amp;""))</f>
        <v/>
      </c>
      <c r="G632">
        <f>IF($Q632="","",IF(ISNUMBER(INDEX(상세표[블록종료],$Q632)),TEXT(INDEX(상세표[블록종료],$Q632),"yyyy-mm-dd hh:mm"),INDEX(상세표[블록종료],$Q632)&amp;""))</f>
        <v/>
      </c>
      <c r="H632">
        <f>IF($Q632="","",CHOOSE(WEEKDAY(INDEX(상세표[시작],$Q632)),"일","월","화","수","목","금","토"))</f>
        <v/>
      </c>
      <c r="I632" s="20">
        <f>IF($Q632="","",INDEX(상세표[연속 시간],$Q632))</f>
        <v/>
      </c>
      <c r="J632">
        <f>IF($Q632="","",INDEX(상세표[기록 수],$Q632))</f>
        <v/>
      </c>
      <c r="K632" s="20">
        <f>IF($Q632="","",INDEX(상세표[블록 06~07시],$Q632))</f>
        <v/>
      </c>
      <c r="L632" s="20">
        <f>IF($Q632="","",INDEX(상세표[블록 07~18시],$Q632))</f>
        <v/>
      </c>
      <c r="M632" s="20">
        <f>IF($Q632="","",INDEX(상세표[블록 18~22시],$Q632))</f>
        <v/>
      </c>
      <c r="N632" s="20">
        <f>IF($Q632="","",INDEX(상세표[블록 22~06시],$Q632))</f>
        <v/>
      </c>
      <c r="O632">
        <f>IF($Q632="","",INDEX(상세표[주말·휴일 포함],$Q632)&amp;"")</f>
        <v/>
      </c>
      <c r="P632">
        <f>IF($Q632="","",INDEX(상세표[월 넘김 포함],$Q632)&amp;"")</f>
        <v/>
      </c>
      <c r="Q632" s="4">
        <f>IFERROR(MATCH(627,상세표[연속순번],0),"")</f>
        <v/>
      </c>
    </row>
    <row r="633">
      <c r="A633">
        <f>IF($Q633="","",INDEX(상세표[부서],$Q633)&amp;"")</f>
        <v/>
      </c>
      <c r="B633">
        <f>IF($Q633="","",INDEX(상세표[사번],$Q633)&amp;"")</f>
        <v/>
      </c>
      <c r="C633">
        <f>IF($Q633="","",INDEX(상세표[성명],$Q633)&amp;"")</f>
        <v/>
      </c>
      <c r="D633">
        <f>IF($Q633="","",INDEX(상세표[직위],$Q633)&amp;"")</f>
        <v/>
      </c>
      <c r="E633">
        <f>IF($Q633="","",IF(ISNUMBER(INDEX(상세표[근무일자],$Q633)),TEXT(INDEX(상세표[근무일자],$Q633),"yyyy-mm-dd"),INDEX(상세표[근무일자],$Q633)&amp;""))</f>
        <v/>
      </c>
      <c r="F633">
        <f>IF($Q633="","",IF(ISNUMBER(INDEX(상세표[시작],$Q633)),TEXT(INDEX(상세표[시작],$Q633),"yyyy-mm-dd hh:mm"),INDEX(상세표[시작],$Q633)&amp;""))</f>
        <v/>
      </c>
      <c r="G633">
        <f>IF($Q633="","",IF(ISNUMBER(INDEX(상세표[블록종료],$Q633)),TEXT(INDEX(상세표[블록종료],$Q633),"yyyy-mm-dd hh:mm"),INDEX(상세표[블록종료],$Q633)&amp;""))</f>
        <v/>
      </c>
      <c r="H633">
        <f>IF($Q633="","",CHOOSE(WEEKDAY(INDEX(상세표[시작],$Q633)),"일","월","화","수","목","금","토"))</f>
        <v/>
      </c>
      <c r="I633" s="20">
        <f>IF($Q633="","",INDEX(상세표[연속 시간],$Q633))</f>
        <v/>
      </c>
      <c r="J633">
        <f>IF($Q633="","",INDEX(상세표[기록 수],$Q633))</f>
        <v/>
      </c>
      <c r="K633" s="20">
        <f>IF($Q633="","",INDEX(상세표[블록 06~07시],$Q633))</f>
        <v/>
      </c>
      <c r="L633" s="20">
        <f>IF($Q633="","",INDEX(상세표[블록 07~18시],$Q633))</f>
        <v/>
      </c>
      <c r="M633" s="20">
        <f>IF($Q633="","",INDEX(상세표[블록 18~22시],$Q633))</f>
        <v/>
      </c>
      <c r="N633" s="20">
        <f>IF($Q633="","",INDEX(상세표[블록 22~06시],$Q633))</f>
        <v/>
      </c>
      <c r="O633">
        <f>IF($Q633="","",INDEX(상세표[주말·휴일 포함],$Q633)&amp;"")</f>
        <v/>
      </c>
      <c r="P633">
        <f>IF($Q633="","",INDEX(상세표[월 넘김 포함],$Q633)&amp;"")</f>
        <v/>
      </c>
      <c r="Q633" s="4">
        <f>IFERROR(MATCH(628,상세표[연속순번],0),"")</f>
        <v/>
      </c>
    </row>
    <row r="634">
      <c r="A634">
        <f>IF($Q634="","",INDEX(상세표[부서],$Q634)&amp;"")</f>
        <v/>
      </c>
      <c r="B634">
        <f>IF($Q634="","",INDEX(상세표[사번],$Q634)&amp;"")</f>
        <v/>
      </c>
      <c r="C634">
        <f>IF($Q634="","",INDEX(상세표[성명],$Q634)&amp;"")</f>
        <v/>
      </c>
      <c r="D634">
        <f>IF($Q634="","",INDEX(상세표[직위],$Q634)&amp;"")</f>
        <v/>
      </c>
      <c r="E634">
        <f>IF($Q634="","",IF(ISNUMBER(INDEX(상세표[근무일자],$Q634)),TEXT(INDEX(상세표[근무일자],$Q634),"yyyy-mm-dd"),INDEX(상세표[근무일자],$Q634)&amp;""))</f>
        <v/>
      </c>
      <c r="F634">
        <f>IF($Q634="","",IF(ISNUMBER(INDEX(상세표[시작],$Q634)),TEXT(INDEX(상세표[시작],$Q634),"yyyy-mm-dd hh:mm"),INDEX(상세표[시작],$Q634)&amp;""))</f>
        <v/>
      </c>
      <c r="G634">
        <f>IF($Q634="","",IF(ISNUMBER(INDEX(상세표[블록종료],$Q634)),TEXT(INDEX(상세표[블록종료],$Q634),"yyyy-mm-dd hh:mm"),INDEX(상세표[블록종료],$Q634)&amp;""))</f>
        <v/>
      </c>
      <c r="H634">
        <f>IF($Q634="","",CHOOSE(WEEKDAY(INDEX(상세표[시작],$Q634)),"일","월","화","수","목","금","토"))</f>
        <v/>
      </c>
      <c r="I634" s="20">
        <f>IF($Q634="","",INDEX(상세표[연속 시간],$Q634))</f>
        <v/>
      </c>
      <c r="J634">
        <f>IF($Q634="","",INDEX(상세표[기록 수],$Q634))</f>
        <v/>
      </c>
      <c r="K634" s="20">
        <f>IF($Q634="","",INDEX(상세표[블록 06~07시],$Q634))</f>
        <v/>
      </c>
      <c r="L634" s="20">
        <f>IF($Q634="","",INDEX(상세표[블록 07~18시],$Q634))</f>
        <v/>
      </c>
      <c r="M634" s="20">
        <f>IF($Q634="","",INDEX(상세표[블록 18~22시],$Q634))</f>
        <v/>
      </c>
      <c r="N634" s="20">
        <f>IF($Q634="","",INDEX(상세표[블록 22~06시],$Q634))</f>
        <v/>
      </c>
      <c r="O634">
        <f>IF($Q634="","",INDEX(상세표[주말·휴일 포함],$Q634)&amp;"")</f>
        <v/>
      </c>
      <c r="P634">
        <f>IF($Q634="","",INDEX(상세표[월 넘김 포함],$Q634)&amp;"")</f>
        <v/>
      </c>
      <c r="Q634" s="4">
        <f>IFERROR(MATCH(629,상세표[연속순번],0),"")</f>
        <v/>
      </c>
    </row>
    <row r="635">
      <c r="A635">
        <f>IF($Q635="","",INDEX(상세표[부서],$Q635)&amp;"")</f>
        <v/>
      </c>
      <c r="B635">
        <f>IF($Q635="","",INDEX(상세표[사번],$Q635)&amp;"")</f>
        <v/>
      </c>
      <c r="C635">
        <f>IF($Q635="","",INDEX(상세표[성명],$Q635)&amp;"")</f>
        <v/>
      </c>
      <c r="D635">
        <f>IF($Q635="","",INDEX(상세표[직위],$Q635)&amp;"")</f>
        <v/>
      </c>
      <c r="E635">
        <f>IF($Q635="","",IF(ISNUMBER(INDEX(상세표[근무일자],$Q635)),TEXT(INDEX(상세표[근무일자],$Q635),"yyyy-mm-dd"),INDEX(상세표[근무일자],$Q635)&amp;""))</f>
        <v/>
      </c>
      <c r="F635">
        <f>IF($Q635="","",IF(ISNUMBER(INDEX(상세표[시작],$Q635)),TEXT(INDEX(상세표[시작],$Q635),"yyyy-mm-dd hh:mm"),INDEX(상세표[시작],$Q635)&amp;""))</f>
        <v/>
      </c>
      <c r="G635">
        <f>IF($Q635="","",IF(ISNUMBER(INDEX(상세표[블록종료],$Q635)),TEXT(INDEX(상세표[블록종료],$Q635),"yyyy-mm-dd hh:mm"),INDEX(상세표[블록종료],$Q635)&amp;""))</f>
        <v/>
      </c>
      <c r="H635">
        <f>IF($Q635="","",CHOOSE(WEEKDAY(INDEX(상세표[시작],$Q635)),"일","월","화","수","목","금","토"))</f>
        <v/>
      </c>
      <c r="I635" s="20">
        <f>IF($Q635="","",INDEX(상세표[연속 시간],$Q635))</f>
        <v/>
      </c>
      <c r="J635">
        <f>IF($Q635="","",INDEX(상세표[기록 수],$Q635))</f>
        <v/>
      </c>
      <c r="K635" s="20">
        <f>IF($Q635="","",INDEX(상세표[블록 06~07시],$Q635))</f>
        <v/>
      </c>
      <c r="L635" s="20">
        <f>IF($Q635="","",INDEX(상세표[블록 07~18시],$Q635))</f>
        <v/>
      </c>
      <c r="M635" s="20">
        <f>IF($Q635="","",INDEX(상세표[블록 18~22시],$Q635))</f>
        <v/>
      </c>
      <c r="N635" s="20">
        <f>IF($Q635="","",INDEX(상세표[블록 22~06시],$Q635))</f>
        <v/>
      </c>
      <c r="O635">
        <f>IF($Q635="","",INDEX(상세표[주말·휴일 포함],$Q635)&amp;"")</f>
        <v/>
      </c>
      <c r="P635">
        <f>IF($Q635="","",INDEX(상세표[월 넘김 포함],$Q635)&amp;"")</f>
        <v/>
      </c>
      <c r="Q635" s="4">
        <f>IFERROR(MATCH(630,상세표[연속순번],0),"")</f>
        <v/>
      </c>
    </row>
    <row r="636">
      <c r="A636">
        <f>IF($Q636="","",INDEX(상세표[부서],$Q636)&amp;"")</f>
        <v/>
      </c>
      <c r="B636">
        <f>IF($Q636="","",INDEX(상세표[사번],$Q636)&amp;"")</f>
        <v/>
      </c>
      <c r="C636">
        <f>IF($Q636="","",INDEX(상세표[성명],$Q636)&amp;"")</f>
        <v/>
      </c>
      <c r="D636">
        <f>IF($Q636="","",INDEX(상세표[직위],$Q636)&amp;"")</f>
        <v/>
      </c>
      <c r="E636">
        <f>IF($Q636="","",IF(ISNUMBER(INDEX(상세표[근무일자],$Q636)),TEXT(INDEX(상세표[근무일자],$Q636),"yyyy-mm-dd"),INDEX(상세표[근무일자],$Q636)&amp;""))</f>
        <v/>
      </c>
      <c r="F636">
        <f>IF($Q636="","",IF(ISNUMBER(INDEX(상세표[시작],$Q636)),TEXT(INDEX(상세표[시작],$Q636),"yyyy-mm-dd hh:mm"),INDEX(상세표[시작],$Q636)&amp;""))</f>
        <v/>
      </c>
      <c r="G636">
        <f>IF($Q636="","",IF(ISNUMBER(INDEX(상세표[블록종료],$Q636)),TEXT(INDEX(상세표[블록종료],$Q636),"yyyy-mm-dd hh:mm"),INDEX(상세표[블록종료],$Q636)&amp;""))</f>
        <v/>
      </c>
      <c r="H636">
        <f>IF($Q636="","",CHOOSE(WEEKDAY(INDEX(상세표[시작],$Q636)),"일","월","화","수","목","금","토"))</f>
        <v/>
      </c>
      <c r="I636" s="20">
        <f>IF($Q636="","",INDEX(상세표[연속 시간],$Q636))</f>
        <v/>
      </c>
      <c r="J636">
        <f>IF($Q636="","",INDEX(상세표[기록 수],$Q636))</f>
        <v/>
      </c>
      <c r="K636" s="20">
        <f>IF($Q636="","",INDEX(상세표[블록 06~07시],$Q636))</f>
        <v/>
      </c>
      <c r="L636" s="20">
        <f>IF($Q636="","",INDEX(상세표[블록 07~18시],$Q636))</f>
        <v/>
      </c>
      <c r="M636" s="20">
        <f>IF($Q636="","",INDEX(상세표[블록 18~22시],$Q636))</f>
        <v/>
      </c>
      <c r="N636" s="20">
        <f>IF($Q636="","",INDEX(상세표[블록 22~06시],$Q636))</f>
        <v/>
      </c>
      <c r="O636">
        <f>IF($Q636="","",INDEX(상세표[주말·휴일 포함],$Q636)&amp;"")</f>
        <v/>
      </c>
      <c r="P636">
        <f>IF($Q636="","",INDEX(상세표[월 넘김 포함],$Q636)&amp;"")</f>
        <v/>
      </c>
      <c r="Q636" s="4">
        <f>IFERROR(MATCH(631,상세표[연속순번],0),"")</f>
        <v/>
      </c>
    </row>
    <row r="637">
      <c r="A637">
        <f>IF($Q637="","",INDEX(상세표[부서],$Q637)&amp;"")</f>
        <v/>
      </c>
      <c r="B637">
        <f>IF($Q637="","",INDEX(상세표[사번],$Q637)&amp;"")</f>
        <v/>
      </c>
      <c r="C637">
        <f>IF($Q637="","",INDEX(상세표[성명],$Q637)&amp;"")</f>
        <v/>
      </c>
      <c r="D637">
        <f>IF($Q637="","",INDEX(상세표[직위],$Q637)&amp;"")</f>
        <v/>
      </c>
      <c r="E637">
        <f>IF($Q637="","",IF(ISNUMBER(INDEX(상세표[근무일자],$Q637)),TEXT(INDEX(상세표[근무일자],$Q637),"yyyy-mm-dd"),INDEX(상세표[근무일자],$Q637)&amp;""))</f>
        <v/>
      </c>
      <c r="F637">
        <f>IF($Q637="","",IF(ISNUMBER(INDEX(상세표[시작],$Q637)),TEXT(INDEX(상세표[시작],$Q637),"yyyy-mm-dd hh:mm"),INDEX(상세표[시작],$Q637)&amp;""))</f>
        <v/>
      </c>
      <c r="G637">
        <f>IF($Q637="","",IF(ISNUMBER(INDEX(상세표[블록종료],$Q637)),TEXT(INDEX(상세표[블록종료],$Q637),"yyyy-mm-dd hh:mm"),INDEX(상세표[블록종료],$Q637)&amp;""))</f>
        <v/>
      </c>
      <c r="H637">
        <f>IF($Q637="","",CHOOSE(WEEKDAY(INDEX(상세표[시작],$Q637)),"일","월","화","수","목","금","토"))</f>
        <v/>
      </c>
      <c r="I637" s="20">
        <f>IF($Q637="","",INDEX(상세표[연속 시간],$Q637))</f>
        <v/>
      </c>
      <c r="J637">
        <f>IF($Q637="","",INDEX(상세표[기록 수],$Q637))</f>
        <v/>
      </c>
      <c r="K637" s="20">
        <f>IF($Q637="","",INDEX(상세표[블록 06~07시],$Q637))</f>
        <v/>
      </c>
      <c r="L637" s="20">
        <f>IF($Q637="","",INDEX(상세표[블록 07~18시],$Q637))</f>
        <v/>
      </c>
      <c r="M637" s="20">
        <f>IF($Q637="","",INDEX(상세표[블록 18~22시],$Q637))</f>
        <v/>
      </c>
      <c r="N637" s="20">
        <f>IF($Q637="","",INDEX(상세표[블록 22~06시],$Q637))</f>
        <v/>
      </c>
      <c r="O637">
        <f>IF($Q637="","",INDEX(상세표[주말·휴일 포함],$Q637)&amp;"")</f>
        <v/>
      </c>
      <c r="P637">
        <f>IF($Q637="","",INDEX(상세표[월 넘김 포함],$Q637)&amp;"")</f>
        <v/>
      </c>
      <c r="Q637" s="4">
        <f>IFERROR(MATCH(632,상세표[연속순번],0),"")</f>
        <v/>
      </c>
    </row>
    <row r="638">
      <c r="A638">
        <f>IF($Q638="","",INDEX(상세표[부서],$Q638)&amp;"")</f>
        <v/>
      </c>
      <c r="B638">
        <f>IF($Q638="","",INDEX(상세표[사번],$Q638)&amp;"")</f>
        <v/>
      </c>
      <c r="C638">
        <f>IF($Q638="","",INDEX(상세표[성명],$Q638)&amp;"")</f>
        <v/>
      </c>
      <c r="D638">
        <f>IF($Q638="","",INDEX(상세표[직위],$Q638)&amp;"")</f>
        <v/>
      </c>
      <c r="E638">
        <f>IF($Q638="","",IF(ISNUMBER(INDEX(상세표[근무일자],$Q638)),TEXT(INDEX(상세표[근무일자],$Q638),"yyyy-mm-dd"),INDEX(상세표[근무일자],$Q638)&amp;""))</f>
        <v/>
      </c>
      <c r="F638">
        <f>IF($Q638="","",IF(ISNUMBER(INDEX(상세표[시작],$Q638)),TEXT(INDEX(상세표[시작],$Q638),"yyyy-mm-dd hh:mm"),INDEX(상세표[시작],$Q638)&amp;""))</f>
        <v/>
      </c>
      <c r="G638">
        <f>IF($Q638="","",IF(ISNUMBER(INDEX(상세표[블록종료],$Q638)),TEXT(INDEX(상세표[블록종료],$Q638),"yyyy-mm-dd hh:mm"),INDEX(상세표[블록종료],$Q638)&amp;""))</f>
        <v/>
      </c>
      <c r="H638">
        <f>IF($Q638="","",CHOOSE(WEEKDAY(INDEX(상세표[시작],$Q638)),"일","월","화","수","목","금","토"))</f>
        <v/>
      </c>
      <c r="I638" s="20">
        <f>IF($Q638="","",INDEX(상세표[연속 시간],$Q638))</f>
        <v/>
      </c>
      <c r="J638">
        <f>IF($Q638="","",INDEX(상세표[기록 수],$Q638))</f>
        <v/>
      </c>
      <c r="K638" s="20">
        <f>IF($Q638="","",INDEX(상세표[블록 06~07시],$Q638))</f>
        <v/>
      </c>
      <c r="L638" s="20">
        <f>IF($Q638="","",INDEX(상세표[블록 07~18시],$Q638))</f>
        <v/>
      </c>
      <c r="M638" s="20">
        <f>IF($Q638="","",INDEX(상세표[블록 18~22시],$Q638))</f>
        <v/>
      </c>
      <c r="N638" s="20">
        <f>IF($Q638="","",INDEX(상세표[블록 22~06시],$Q638))</f>
        <v/>
      </c>
      <c r="O638">
        <f>IF($Q638="","",INDEX(상세표[주말·휴일 포함],$Q638)&amp;"")</f>
        <v/>
      </c>
      <c r="P638">
        <f>IF($Q638="","",INDEX(상세표[월 넘김 포함],$Q638)&amp;"")</f>
        <v/>
      </c>
      <c r="Q638" s="4">
        <f>IFERROR(MATCH(633,상세표[연속순번],0),"")</f>
        <v/>
      </c>
    </row>
    <row r="639">
      <c r="A639">
        <f>IF($Q639="","",INDEX(상세표[부서],$Q639)&amp;"")</f>
        <v/>
      </c>
      <c r="B639">
        <f>IF($Q639="","",INDEX(상세표[사번],$Q639)&amp;"")</f>
        <v/>
      </c>
      <c r="C639">
        <f>IF($Q639="","",INDEX(상세표[성명],$Q639)&amp;"")</f>
        <v/>
      </c>
      <c r="D639">
        <f>IF($Q639="","",INDEX(상세표[직위],$Q639)&amp;"")</f>
        <v/>
      </c>
      <c r="E639">
        <f>IF($Q639="","",IF(ISNUMBER(INDEX(상세표[근무일자],$Q639)),TEXT(INDEX(상세표[근무일자],$Q639),"yyyy-mm-dd"),INDEX(상세표[근무일자],$Q639)&amp;""))</f>
        <v/>
      </c>
      <c r="F639">
        <f>IF($Q639="","",IF(ISNUMBER(INDEX(상세표[시작],$Q639)),TEXT(INDEX(상세표[시작],$Q639),"yyyy-mm-dd hh:mm"),INDEX(상세표[시작],$Q639)&amp;""))</f>
        <v/>
      </c>
      <c r="G639">
        <f>IF($Q639="","",IF(ISNUMBER(INDEX(상세표[블록종료],$Q639)),TEXT(INDEX(상세표[블록종료],$Q639),"yyyy-mm-dd hh:mm"),INDEX(상세표[블록종료],$Q639)&amp;""))</f>
        <v/>
      </c>
      <c r="H639">
        <f>IF($Q639="","",CHOOSE(WEEKDAY(INDEX(상세표[시작],$Q639)),"일","월","화","수","목","금","토"))</f>
        <v/>
      </c>
      <c r="I639" s="20">
        <f>IF($Q639="","",INDEX(상세표[연속 시간],$Q639))</f>
        <v/>
      </c>
      <c r="J639">
        <f>IF($Q639="","",INDEX(상세표[기록 수],$Q639))</f>
        <v/>
      </c>
      <c r="K639" s="20">
        <f>IF($Q639="","",INDEX(상세표[블록 06~07시],$Q639))</f>
        <v/>
      </c>
      <c r="L639" s="20">
        <f>IF($Q639="","",INDEX(상세표[블록 07~18시],$Q639))</f>
        <v/>
      </c>
      <c r="M639" s="20">
        <f>IF($Q639="","",INDEX(상세표[블록 18~22시],$Q639))</f>
        <v/>
      </c>
      <c r="N639" s="20">
        <f>IF($Q639="","",INDEX(상세표[블록 22~06시],$Q639))</f>
        <v/>
      </c>
      <c r="O639">
        <f>IF($Q639="","",INDEX(상세표[주말·휴일 포함],$Q639)&amp;"")</f>
        <v/>
      </c>
      <c r="P639">
        <f>IF($Q639="","",INDEX(상세표[월 넘김 포함],$Q639)&amp;"")</f>
        <v/>
      </c>
      <c r="Q639" s="4">
        <f>IFERROR(MATCH(634,상세표[연속순번],0),"")</f>
        <v/>
      </c>
    </row>
    <row r="640">
      <c r="A640">
        <f>IF($Q640="","",INDEX(상세표[부서],$Q640)&amp;"")</f>
        <v/>
      </c>
      <c r="B640">
        <f>IF($Q640="","",INDEX(상세표[사번],$Q640)&amp;"")</f>
        <v/>
      </c>
      <c r="C640">
        <f>IF($Q640="","",INDEX(상세표[성명],$Q640)&amp;"")</f>
        <v/>
      </c>
      <c r="D640">
        <f>IF($Q640="","",INDEX(상세표[직위],$Q640)&amp;"")</f>
        <v/>
      </c>
      <c r="E640">
        <f>IF($Q640="","",IF(ISNUMBER(INDEX(상세표[근무일자],$Q640)),TEXT(INDEX(상세표[근무일자],$Q640),"yyyy-mm-dd"),INDEX(상세표[근무일자],$Q640)&amp;""))</f>
        <v/>
      </c>
      <c r="F640">
        <f>IF($Q640="","",IF(ISNUMBER(INDEX(상세표[시작],$Q640)),TEXT(INDEX(상세표[시작],$Q640),"yyyy-mm-dd hh:mm"),INDEX(상세표[시작],$Q640)&amp;""))</f>
        <v/>
      </c>
      <c r="G640">
        <f>IF($Q640="","",IF(ISNUMBER(INDEX(상세표[블록종료],$Q640)),TEXT(INDEX(상세표[블록종료],$Q640),"yyyy-mm-dd hh:mm"),INDEX(상세표[블록종료],$Q640)&amp;""))</f>
        <v/>
      </c>
      <c r="H640">
        <f>IF($Q640="","",CHOOSE(WEEKDAY(INDEX(상세표[시작],$Q640)),"일","월","화","수","목","금","토"))</f>
        <v/>
      </c>
      <c r="I640" s="20">
        <f>IF($Q640="","",INDEX(상세표[연속 시간],$Q640))</f>
        <v/>
      </c>
      <c r="J640">
        <f>IF($Q640="","",INDEX(상세표[기록 수],$Q640))</f>
        <v/>
      </c>
      <c r="K640" s="20">
        <f>IF($Q640="","",INDEX(상세표[블록 06~07시],$Q640))</f>
        <v/>
      </c>
      <c r="L640" s="20">
        <f>IF($Q640="","",INDEX(상세표[블록 07~18시],$Q640))</f>
        <v/>
      </c>
      <c r="M640" s="20">
        <f>IF($Q640="","",INDEX(상세표[블록 18~22시],$Q640))</f>
        <v/>
      </c>
      <c r="N640" s="20">
        <f>IF($Q640="","",INDEX(상세표[블록 22~06시],$Q640))</f>
        <v/>
      </c>
      <c r="O640">
        <f>IF($Q640="","",INDEX(상세표[주말·휴일 포함],$Q640)&amp;"")</f>
        <v/>
      </c>
      <c r="P640">
        <f>IF($Q640="","",INDEX(상세표[월 넘김 포함],$Q640)&amp;"")</f>
        <v/>
      </c>
      <c r="Q640" s="4">
        <f>IFERROR(MATCH(635,상세표[연속순번],0),"")</f>
        <v/>
      </c>
    </row>
    <row r="641">
      <c r="A641">
        <f>IF($Q641="","",INDEX(상세표[부서],$Q641)&amp;"")</f>
        <v/>
      </c>
      <c r="B641">
        <f>IF($Q641="","",INDEX(상세표[사번],$Q641)&amp;"")</f>
        <v/>
      </c>
      <c r="C641">
        <f>IF($Q641="","",INDEX(상세표[성명],$Q641)&amp;"")</f>
        <v/>
      </c>
      <c r="D641">
        <f>IF($Q641="","",INDEX(상세표[직위],$Q641)&amp;"")</f>
        <v/>
      </c>
      <c r="E641">
        <f>IF($Q641="","",IF(ISNUMBER(INDEX(상세표[근무일자],$Q641)),TEXT(INDEX(상세표[근무일자],$Q641),"yyyy-mm-dd"),INDEX(상세표[근무일자],$Q641)&amp;""))</f>
        <v/>
      </c>
      <c r="F641">
        <f>IF($Q641="","",IF(ISNUMBER(INDEX(상세표[시작],$Q641)),TEXT(INDEX(상세표[시작],$Q641),"yyyy-mm-dd hh:mm"),INDEX(상세표[시작],$Q641)&amp;""))</f>
        <v/>
      </c>
      <c r="G641">
        <f>IF($Q641="","",IF(ISNUMBER(INDEX(상세표[블록종료],$Q641)),TEXT(INDEX(상세표[블록종료],$Q641),"yyyy-mm-dd hh:mm"),INDEX(상세표[블록종료],$Q641)&amp;""))</f>
        <v/>
      </c>
      <c r="H641">
        <f>IF($Q641="","",CHOOSE(WEEKDAY(INDEX(상세표[시작],$Q641)),"일","월","화","수","목","금","토"))</f>
        <v/>
      </c>
      <c r="I641" s="20">
        <f>IF($Q641="","",INDEX(상세표[연속 시간],$Q641))</f>
        <v/>
      </c>
      <c r="J641">
        <f>IF($Q641="","",INDEX(상세표[기록 수],$Q641))</f>
        <v/>
      </c>
      <c r="K641" s="20">
        <f>IF($Q641="","",INDEX(상세표[블록 06~07시],$Q641))</f>
        <v/>
      </c>
      <c r="L641" s="20">
        <f>IF($Q641="","",INDEX(상세표[블록 07~18시],$Q641))</f>
        <v/>
      </c>
      <c r="M641" s="20">
        <f>IF($Q641="","",INDEX(상세표[블록 18~22시],$Q641))</f>
        <v/>
      </c>
      <c r="N641" s="20">
        <f>IF($Q641="","",INDEX(상세표[블록 22~06시],$Q641))</f>
        <v/>
      </c>
      <c r="O641">
        <f>IF($Q641="","",INDEX(상세표[주말·휴일 포함],$Q641)&amp;"")</f>
        <v/>
      </c>
      <c r="P641">
        <f>IF($Q641="","",INDEX(상세표[월 넘김 포함],$Q641)&amp;"")</f>
        <v/>
      </c>
      <c r="Q641" s="4">
        <f>IFERROR(MATCH(636,상세표[연속순번],0),"")</f>
        <v/>
      </c>
    </row>
    <row r="642">
      <c r="A642">
        <f>IF($Q642="","",INDEX(상세표[부서],$Q642)&amp;"")</f>
        <v/>
      </c>
      <c r="B642">
        <f>IF($Q642="","",INDEX(상세표[사번],$Q642)&amp;"")</f>
        <v/>
      </c>
      <c r="C642">
        <f>IF($Q642="","",INDEX(상세표[성명],$Q642)&amp;"")</f>
        <v/>
      </c>
      <c r="D642">
        <f>IF($Q642="","",INDEX(상세표[직위],$Q642)&amp;"")</f>
        <v/>
      </c>
      <c r="E642">
        <f>IF($Q642="","",IF(ISNUMBER(INDEX(상세표[근무일자],$Q642)),TEXT(INDEX(상세표[근무일자],$Q642),"yyyy-mm-dd"),INDEX(상세표[근무일자],$Q642)&amp;""))</f>
        <v/>
      </c>
      <c r="F642">
        <f>IF($Q642="","",IF(ISNUMBER(INDEX(상세표[시작],$Q642)),TEXT(INDEX(상세표[시작],$Q642),"yyyy-mm-dd hh:mm"),INDEX(상세표[시작],$Q642)&amp;""))</f>
        <v/>
      </c>
      <c r="G642">
        <f>IF($Q642="","",IF(ISNUMBER(INDEX(상세표[블록종료],$Q642)),TEXT(INDEX(상세표[블록종료],$Q642),"yyyy-mm-dd hh:mm"),INDEX(상세표[블록종료],$Q642)&amp;""))</f>
        <v/>
      </c>
      <c r="H642">
        <f>IF($Q642="","",CHOOSE(WEEKDAY(INDEX(상세표[시작],$Q642)),"일","월","화","수","목","금","토"))</f>
        <v/>
      </c>
      <c r="I642" s="20">
        <f>IF($Q642="","",INDEX(상세표[연속 시간],$Q642))</f>
        <v/>
      </c>
      <c r="J642">
        <f>IF($Q642="","",INDEX(상세표[기록 수],$Q642))</f>
        <v/>
      </c>
      <c r="K642" s="20">
        <f>IF($Q642="","",INDEX(상세표[블록 06~07시],$Q642))</f>
        <v/>
      </c>
      <c r="L642" s="20">
        <f>IF($Q642="","",INDEX(상세표[블록 07~18시],$Q642))</f>
        <v/>
      </c>
      <c r="M642" s="20">
        <f>IF($Q642="","",INDEX(상세표[블록 18~22시],$Q642))</f>
        <v/>
      </c>
      <c r="N642" s="20">
        <f>IF($Q642="","",INDEX(상세표[블록 22~06시],$Q642))</f>
        <v/>
      </c>
      <c r="O642">
        <f>IF($Q642="","",INDEX(상세표[주말·휴일 포함],$Q642)&amp;"")</f>
        <v/>
      </c>
      <c r="P642">
        <f>IF($Q642="","",INDEX(상세표[월 넘김 포함],$Q642)&amp;"")</f>
        <v/>
      </c>
      <c r="Q642" s="4">
        <f>IFERROR(MATCH(637,상세표[연속순번],0),"")</f>
        <v/>
      </c>
    </row>
    <row r="643">
      <c r="A643">
        <f>IF($Q643="","",INDEX(상세표[부서],$Q643)&amp;"")</f>
        <v/>
      </c>
      <c r="B643">
        <f>IF($Q643="","",INDEX(상세표[사번],$Q643)&amp;"")</f>
        <v/>
      </c>
      <c r="C643">
        <f>IF($Q643="","",INDEX(상세표[성명],$Q643)&amp;"")</f>
        <v/>
      </c>
      <c r="D643">
        <f>IF($Q643="","",INDEX(상세표[직위],$Q643)&amp;"")</f>
        <v/>
      </c>
      <c r="E643">
        <f>IF($Q643="","",IF(ISNUMBER(INDEX(상세표[근무일자],$Q643)),TEXT(INDEX(상세표[근무일자],$Q643),"yyyy-mm-dd"),INDEX(상세표[근무일자],$Q643)&amp;""))</f>
        <v/>
      </c>
      <c r="F643">
        <f>IF($Q643="","",IF(ISNUMBER(INDEX(상세표[시작],$Q643)),TEXT(INDEX(상세표[시작],$Q643),"yyyy-mm-dd hh:mm"),INDEX(상세표[시작],$Q643)&amp;""))</f>
        <v/>
      </c>
      <c r="G643">
        <f>IF($Q643="","",IF(ISNUMBER(INDEX(상세표[블록종료],$Q643)),TEXT(INDEX(상세표[블록종료],$Q643),"yyyy-mm-dd hh:mm"),INDEX(상세표[블록종료],$Q643)&amp;""))</f>
        <v/>
      </c>
      <c r="H643">
        <f>IF($Q643="","",CHOOSE(WEEKDAY(INDEX(상세표[시작],$Q643)),"일","월","화","수","목","금","토"))</f>
        <v/>
      </c>
      <c r="I643" s="20">
        <f>IF($Q643="","",INDEX(상세표[연속 시간],$Q643))</f>
        <v/>
      </c>
      <c r="J643">
        <f>IF($Q643="","",INDEX(상세표[기록 수],$Q643))</f>
        <v/>
      </c>
      <c r="K643" s="20">
        <f>IF($Q643="","",INDEX(상세표[블록 06~07시],$Q643))</f>
        <v/>
      </c>
      <c r="L643" s="20">
        <f>IF($Q643="","",INDEX(상세표[블록 07~18시],$Q643))</f>
        <v/>
      </c>
      <c r="M643" s="20">
        <f>IF($Q643="","",INDEX(상세표[블록 18~22시],$Q643))</f>
        <v/>
      </c>
      <c r="N643" s="20">
        <f>IF($Q643="","",INDEX(상세표[블록 22~06시],$Q643))</f>
        <v/>
      </c>
      <c r="O643">
        <f>IF($Q643="","",INDEX(상세표[주말·휴일 포함],$Q643)&amp;"")</f>
        <v/>
      </c>
      <c r="P643">
        <f>IF($Q643="","",INDEX(상세표[월 넘김 포함],$Q643)&amp;"")</f>
        <v/>
      </c>
      <c r="Q643" s="4">
        <f>IFERROR(MATCH(638,상세표[연속순번],0),"")</f>
        <v/>
      </c>
    </row>
    <row r="644">
      <c r="A644">
        <f>IF($Q644="","",INDEX(상세표[부서],$Q644)&amp;"")</f>
        <v/>
      </c>
      <c r="B644">
        <f>IF($Q644="","",INDEX(상세표[사번],$Q644)&amp;"")</f>
        <v/>
      </c>
      <c r="C644">
        <f>IF($Q644="","",INDEX(상세표[성명],$Q644)&amp;"")</f>
        <v/>
      </c>
      <c r="D644">
        <f>IF($Q644="","",INDEX(상세표[직위],$Q644)&amp;"")</f>
        <v/>
      </c>
      <c r="E644">
        <f>IF($Q644="","",IF(ISNUMBER(INDEX(상세표[근무일자],$Q644)),TEXT(INDEX(상세표[근무일자],$Q644),"yyyy-mm-dd"),INDEX(상세표[근무일자],$Q644)&amp;""))</f>
        <v/>
      </c>
      <c r="F644">
        <f>IF($Q644="","",IF(ISNUMBER(INDEX(상세표[시작],$Q644)),TEXT(INDEX(상세표[시작],$Q644),"yyyy-mm-dd hh:mm"),INDEX(상세표[시작],$Q644)&amp;""))</f>
        <v/>
      </c>
      <c r="G644">
        <f>IF($Q644="","",IF(ISNUMBER(INDEX(상세표[블록종료],$Q644)),TEXT(INDEX(상세표[블록종료],$Q644),"yyyy-mm-dd hh:mm"),INDEX(상세표[블록종료],$Q644)&amp;""))</f>
        <v/>
      </c>
      <c r="H644">
        <f>IF($Q644="","",CHOOSE(WEEKDAY(INDEX(상세표[시작],$Q644)),"일","월","화","수","목","금","토"))</f>
        <v/>
      </c>
      <c r="I644" s="20">
        <f>IF($Q644="","",INDEX(상세표[연속 시간],$Q644))</f>
        <v/>
      </c>
      <c r="J644">
        <f>IF($Q644="","",INDEX(상세표[기록 수],$Q644))</f>
        <v/>
      </c>
      <c r="K644" s="20">
        <f>IF($Q644="","",INDEX(상세표[블록 06~07시],$Q644))</f>
        <v/>
      </c>
      <c r="L644" s="20">
        <f>IF($Q644="","",INDEX(상세표[블록 07~18시],$Q644))</f>
        <v/>
      </c>
      <c r="M644" s="20">
        <f>IF($Q644="","",INDEX(상세표[블록 18~22시],$Q644))</f>
        <v/>
      </c>
      <c r="N644" s="20">
        <f>IF($Q644="","",INDEX(상세표[블록 22~06시],$Q644))</f>
        <v/>
      </c>
      <c r="O644">
        <f>IF($Q644="","",INDEX(상세표[주말·휴일 포함],$Q644)&amp;"")</f>
        <v/>
      </c>
      <c r="P644">
        <f>IF($Q644="","",INDEX(상세표[월 넘김 포함],$Q644)&amp;"")</f>
        <v/>
      </c>
      <c r="Q644" s="4">
        <f>IFERROR(MATCH(639,상세표[연속순번],0),"")</f>
        <v/>
      </c>
    </row>
    <row r="645">
      <c r="A645">
        <f>IF($Q645="","",INDEX(상세표[부서],$Q645)&amp;"")</f>
        <v/>
      </c>
      <c r="B645">
        <f>IF($Q645="","",INDEX(상세표[사번],$Q645)&amp;"")</f>
        <v/>
      </c>
      <c r="C645">
        <f>IF($Q645="","",INDEX(상세표[성명],$Q645)&amp;"")</f>
        <v/>
      </c>
      <c r="D645">
        <f>IF($Q645="","",INDEX(상세표[직위],$Q645)&amp;"")</f>
        <v/>
      </c>
      <c r="E645">
        <f>IF($Q645="","",IF(ISNUMBER(INDEX(상세표[근무일자],$Q645)),TEXT(INDEX(상세표[근무일자],$Q645),"yyyy-mm-dd"),INDEX(상세표[근무일자],$Q645)&amp;""))</f>
        <v/>
      </c>
      <c r="F645">
        <f>IF($Q645="","",IF(ISNUMBER(INDEX(상세표[시작],$Q645)),TEXT(INDEX(상세표[시작],$Q645),"yyyy-mm-dd hh:mm"),INDEX(상세표[시작],$Q645)&amp;""))</f>
        <v/>
      </c>
      <c r="G645">
        <f>IF($Q645="","",IF(ISNUMBER(INDEX(상세표[블록종료],$Q645)),TEXT(INDEX(상세표[블록종료],$Q645),"yyyy-mm-dd hh:mm"),INDEX(상세표[블록종료],$Q645)&amp;""))</f>
        <v/>
      </c>
      <c r="H645">
        <f>IF($Q645="","",CHOOSE(WEEKDAY(INDEX(상세표[시작],$Q645)),"일","월","화","수","목","금","토"))</f>
        <v/>
      </c>
      <c r="I645" s="20">
        <f>IF($Q645="","",INDEX(상세표[연속 시간],$Q645))</f>
        <v/>
      </c>
      <c r="J645">
        <f>IF($Q645="","",INDEX(상세표[기록 수],$Q645))</f>
        <v/>
      </c>
      <c r="K645" s="20">
        <f>IF($Q645="","",INDEX(상세표[블록 06~07시],$Q645))</f>
        <v/>
      </c>
      <c r="L645" s="20">
        <f>IF($Q645="","",INDEX(상세표[블록 07~18시],$Q645))</f>
        <v/>
      </c>
      <c r="M645" s="20">
        <f>IF($Q645="","",INDEX(상세표[블록 18~22시],$Q645))</f>
        <v/>
      </c>
      <c r="N645" s="20">
        <f>IF($Q645="","",INDEX(상세표[블록 22~06시],$Q645))</f>
        <v/>
      </c>
      <c r="O645">
        <f>IF($Q645="","",INDEX(상세표[주말·휴일 포함],$Q645)&amp;"")</f>
        <v/>
      </c>
      <c r="P645">
        <f>IF($Q645="","",INDEX(상세표[월 넘김 포함],$Q645)&amp;"")</f>
        <v/>
      </c>
      <c r="Q645" s="4">
        <f>IFERROR(MATCH(640,상세표[연속순번],0),"")</f>
        <v/>
      </c>
    </row>
    <row r="646">
      <c r="A646">
        <f>IF($Q646="","",INDEX(상세표[부서],$Q646)&amp;"")</f>
        <v/>
      </c>
      <c r="B646">
        <f>IF($Q646="","",INDEX(상세표[사번],$Q646)&amp;"")</f>
        <v/>
      </c>
      <c r="C646">
        <f>IF($Q646="","",INDEX(상세표[성명],$Q646)&amp;"")</f>
        <v/>
      </c>
      <c r="D646">
        <f>IF($Q646="","",INDEX(상세표[직위],$Q646)&amp;"")</f>
        <v/>
      </c>
      <c r="E646">
        <f>IF($Q646="","",IF(ISNUMBER(INDEX(상세표[근무일자],$Q646)),TEXT(INDEX(상세표[근무일자],$Q646),"yyyy-mm-dd"),INDEX(상세표[근무일자],$Q646)&amp;""))</f>
        <v/>
      </c>
      <c r="F646">
        <f>IF($Q646="","",IF(ISNUMBER(INDEX(상세표[시작],$Q646)),TEXT(INDEX(상세표[시작],$Q646),"yyyy-mm-dd hh:mm"),INDEX(상세표[시작],$Q646)&amp;""))</f>
        <v/>
      </c>
      <c r="G646">
        <f>IF($Q646="","",IF(ISNUMBER(INDEX(상세표[블록종료],$Q646)),TEXT(INDEX(상세표[블록종료],$Q646),"yyyy-mm-dd hh:mm"),INDEX(상세표[블록종료],$Q646)&amp;""))</f>
        <v/>
      </c>
      <c r="H646">
        <f>IF($Q646="","",CHOOSE(WEEKDAY(INDEX(상세표[시작],$Q646)),"일","월","화","수","목","금","토"))</f>
        <v/>
      </c>
      <c r="I646" s="20">
        <f>IF($Q646="","",INDEX(상세표[연속 시간],$Q646))</f>
        <v/>
      </c>
      <c r="J646">
        <f>IF($Q646="","",INDEX(상세표[기록 수],$Q646))</f>
        <v/>
      </c>
      <c r="K646" s="20">
        <f>IF($Q646="","",INDEX(상세표[블록 06~07시],$Q646))</f>
        <v/>
      </c>
      <c r="L646" s="20">
        <f>IF($Q646="","",INDEX(상세표[블록 07~18시],$Q646))</f>
        <v/>
      </c>
      <c r="M646" s="20">
        <f>IF($Q646="","",INDEX(상세표[블록 18~22시],$Q646))</f>
        <v/>
      </c>
      <c r="N646" s="20">
        <f>IF($Q646="","",INDEX(상세표[블록 22~06시],$Q646))</f>
        <v/>
      </c>
      <c r="O646">
        <f>IF($Q646="","",INDEX(상세표[주말·휴일 포함],$Q646)&amp;"")</f>
        <v/>
      </c>
      <c r="P646">
        <f>IF($Q646="","",INDEX(상세표[월 넘김 포함],$Q646)&amp;"")</f>
        <v/>
      </c>
      <c r="Q646" s="4">
        <f>IFERROR(MATCH(641,상세표[연속순번],0),"")</f>
        <v/>
      </c>
    </row>
    <row r="647">
      <c r="A647">
        <f>IF($Q647="","",INDEX(상세표[부서],$Q647)&amp;"")</f>
        <v/>
      </c>
      <c r="B647">
        <f>IF($Q647="","",INDEX(상세표[사번],$Q647)&amp;"")</f>
        <v/>
      </c>
      <c r="C647">
        <f>IF($Q647="","",INDEX(상세표[성명],$Q647)&amp;"")</f>
        <v/>
      </c>
      <c r="D647">
        <f>IF($Q647="","",INDEX(상세표[직위],$Q647)&amp;"")</f>
        <v/>
      </c>
      <c r="E647">
        <f>IF($Q647="","",IF(ISNUMBER(INDEX(상세표[근무일자],$Q647)),TEXT(INDEX(상세표[근무일자],$Q647),"yyyy-mm-dd"),INDEX(상세표[근무일자],$Q647)&amp;""))</f>
        <v/>
      </c>
      <c r="F647">
        <f>IF($Q647="","",IF(ISNUMBER(INDEX(상세표[시작],$Q647)),TEXT(INDEX(상세표[시작],$Q647),"yyyy-mm-dd hh:mm"),INDEX(상세표[시작],$Q647)&amp;""))</f>
        <v/>
      </c>
      <c r="G647">
        <f>IF($Q647="","",IF(ISNUMBER(INDEX(상세표[블록종료],$Q647)),TEXT(INDEX(상세표[블록종료],$Q647),"yyyy-mm-dd hh:mm"),INDEX(상세표[블록종료],$Q647)&amp;""))</f>
        <v/>
      </c>
      <c r="H647">
        <f>IF($Q647="","",CHOOSE(WEEKDAY(INDEX(상세표[시작],$Q647)),"일","월","화","수","목","금","토"))</f>
        <v/>
      </c>
      <c r="I647" s="20">
        <f>IF($Q647="","",INDEX(상세표[연속 시간],$Q647))</f>
        <v/>
      </c>
      <c r="J647">
        <f>IF($Q647="","",INDEX(상세표[기록 수],$Q647))</f>
        <v/>
      </c>
      <c r="K647" s="20">
        <f>IF($Q647="","",INDEX(상세표[블록 06~07시],$Q647))</f>
        <v/>
      </c>
      <c r="L647" s="20">
        <f>IF($Q647="","",INDEX(상세표[블록 07~18시],$Q647))</f>
        <v/>
      </c>
      <c r="M647" s="20">
        <f>IF($Q647="","",INDEX(상세표[블록 18~22시],$Q647))</f>
        <v/>
      </c>
      <c r="N647" s="20">
        <f>IF($Q647="","",INDEX(상세표[블록 22~06시],$Q647))</f>
        <v/>
      </c>
      <c r="O647">
        <f>IF($Q647="","",INDEX(상세표[주말·휴일 포함],$Q647)&amp;"")</f>
        <v/>
      </c>
      <c r="P647">
        <f>IF($Q647="","",INDEX(상세표[월 넘김 포함],$Q647)&amp;"")</f>
        <v/>
      </c>
      <c r="Q647" s="4">
        <f>IFERROR(MATCH(642,상세표[연속순번],0),"")</f>
        <v/>
      </c>
    </row>
    <row r="648">
      <c r="A648">
        <f>IF($Q648="","",INDEX(상세표[부서],$Q648)&amp;"")</f>
        <v/>
      </c>
      <c r="B648">
        <f>IF($Q648="","",INDEX(상세표[사번],$Q648)&amp;"")</f>
        <v/>
      </c>
      <c r="C648">
        <f>IF($Q648="","",INDEX(상세표[성명],$Q648)&amp;"")</f>
        <v/>
      </c>
      <c r="D648">
        <f>IF($Q648="","",INDEX(상세표[직위],$Q648)&amp;"")</f>
        <v/>
      </c>
      <c r="E648">
        <f>IF($Q648="","",IF(ISNUMBER(INDEX(상세표[근무일자],$Q648)),TEXT(INDEX(상세표[근무일자],$Q648),"yyyy-mm-dd"),INDEX(상세표[근무일자],$Q648)&amp;""))</f>
        <v/>
      </c>
      <c r="F648">
        <f>IF($Q648="","",IF(ISNUMBER(INDEX(상세표[시작],$Q648)),TEXT(INDEX(상세표[시작],$Q648),"yyyy-mm-dd hh:mm"),INDEX(상세표[시작],$Q648)&amp;""))</f>
        <v/>
      </c>
      <c r="G648">
        <f>IF($Q648="","",IF(ISNUMBER(INDEX(상세표[블록종료],$Q648)),TEXT(INDEX(상세표[블록종료],$Q648),"yyyy-mm-dd hh:mm"),INDEX(상세표[블록종료],$Q648)&amp;""))</f>
        <v/>
      </c>
      <c r="H648">
        <f>IF($Q648="","",CHOOSE(WEEKDAY(INDEX(상세표[시작],$Q648)),"일","월","화","수","목","금","토"))</f>
        <v/>
      </c>
      <c r="I648" s="20">
        <f>IF($Q648="","",INDEX(상세표[연속 시간],$Q648))</f>
        <v/>
      </c>
      <c r="J648">
        <f>IF($Q648="","",INDEX(상세표[기록 수],$Q648))</f>
        <v/>
      </c>
      <c r="K648" s="20">
        <f>IF($Q648="","",INDEX(상세표[블록 06~07시],$Q648))</f>
        <v/>
      </c>
      <c r="L648" s="20">
        <f>IF($Q648="","",INDEX(상세표[블록 07~18시],$Q648))</f>
        <v/>
      </c>
      <c r="M648" s="20">
        <f>IF($Q648="","",INDEX(상세표[블록 18~22시],$Q648))</f>
        <v/>
      </c>
      <c r="N648" s="20">
        <f>IF($Q648="","",INDEX(상세표[블록 22~06시],$Q648))</f>
        <v/>
      </c>
      <c r="O648">
        <f>IF($Q648="","",INDEX(상세표[주말·휴일 포함],$Q648)&amp;"")</f>
        <v/>
      </c>
      <c r="P648">
        <f>IF($Q648="","",INDEX(상세표[월 넘김 포함],$Q648)&amp;"")</f>
        <v/>
      </c>
      <c r="Q648" s="4">
        <f>IFERROR(MATCH(643,상세표[연속순번],0),"")</f>
        <v/>
      </c>
    </row>
    <row r="649">
      <c r="A649">
        <f>IF($Q649="","",INDEX(상세표[부서],$Q649)&amp;"")</f>
        <v/>
      </c>
      <c r="B649">
        <f>IF($Q649="","",INDEX(상세표[사번],$Q649)&amp;"")</f>
        <v/>
      </c>
      <c r="C649">
        <f>IF($Q649="","",INDEX(상세표[성명],$Q649)&amp;"")</f>
        <v/>
      </c>
      <c r="D649">
        <f>IF($Q649="","",INDEX(상세표[직위],$Q649)&amp;"")</f>
        <v/>
      </c>
      <c r="E649">
        <f>IF($Q649="","",IF(ISNUMBER(INDEX(상세표[근무일자],$Q649)),TEXT(INDEX(상세표[근무일자],$Q649),"yyyy-mm-dd"),INDEX(상세표[근무일자],$Q649)&amp;""))</f>
        <v/>
      </c>
      <c r="F649">
        <f>IF($Q649="","",IF(ISNUMBER(INDEX(상세표[시작],$Q649)),TEXT(INDEX(상세표[시작],$Q649),"yyyy-mm-dd hh:mm"),INDEX(상세표[시작],$Q649)&amp;""))</f>
        <v/>
      </c>
      <c r="G649">
        <f>IF($Q649="","",IF(ISNUMBER(INDEX(상세표[블록종료],$Q649)),TEXT(INDEX(상세표[블록종료],$Q649),"yyyy-mm-dd hh:mm"),INDEX(상세표[블록종료],$Q649)&amp;""))</f>
        <v/>
      </c>
      <c r="H649">
        <f>IF($Q649="","",CHOOSE(WEEKDAY(INDEX(상세표[시작],$Q649)),"일","월","화","수","목","금","토"))</f>
        <v/>
      </c>
      <c r="I649" s="20">
        <f>IF($Q649="","",INDEX(상세표[연속 시간],$Q649))</f>
        <v/>
      </c>
      <c r="J649">
        <f>IF($Q649="","",INDEX(상세표[기록 수],$Q649))</f>
        <v/>
      </c>
      <c r="K649" s="20">
        <f>IF($Q649="","",INDEX(상세표[블록 06~07시],$Q649))</f>
        <v/>
      </c>
      <c r="L649" s="20">
        <f>IF($Q649="","",INDEX(상세표[블록 07~18시],$Q649))</f>
        <v/>
      </c>
      <c r="M649" s="20">
        <f>IF($Q649="","",INDEX(상세표[블록 18~22시],$Q649))</f>
        <v/>
      </c>
      <c r="N649" s="20">
        <f>IF($Q649="","",INDEX(상세표[블록 22~06시],$Q649))</f>
        <v/>
      </c>
      <c r="O649">
        <f>IF($Q649="","",INDEX(상세표[주말·휴일 포함],$Q649)&amp;"")</f>
        <v/>
      </c>
      <c r="P649">
        <f>IF($Q649="","",INDEX(상세표[월 넘김 포함],$Q649)&amp;"")</f>
        <v/>
      </c>
      <c r="Q649" s="4">
        <f>IFERROR(MATCH(644,상세표[연속순번],0),"")</f>
        <v/>
      </c>
    </row>
    <row r="650">
      <c r="A650">
        <f>IF($Q650="","",INDEX(상세표[부서],$Q650)&amp;"")</f>
        <v/>
      </c>
      <c r="B650">
        <f>IF($Q650="","",INDEX(상세표[사번],$Q650)&amp;"")</f>
        <v/>
      </c>
      <c r="C650">
        <f>IF($Q650="","",INDEX(상세표[성명],$Q650)&amp;"")</f>
        <v/>
      </c>
      <c r="D650">
        <f>IF($Q650="","",INDEX(상세표[직위],$Q650)&amp;"")</f>
        <v/>
      </c>
      <c r="E650">
        <f>IF($Q650="","",IF(ISNUMBER(INDEX(상세표[근무일자],$Q650)),TEXT(INDEX(상세표[근무일자],$Q650),"yyyy-mm-dd"),INDEX(상세표[근무일자],$Q650)&amp;""))</f>
        <v/>
      </c>
      <c r="F650">
        <f>IF($Q650="","",IF(ISNUMBER(INDEX(상세표[시작],$Q650)),TEXT(INDEX(상세표[시작],$Q650),"yyyy-mm-dd hh:mm"),INDEX(상세표[시작],$Q650)&amp;""))</f>
        <v/>
      </c>
      <c r="G650">
        <f>IF($Q650="","",IF(ISNUMBER(INDEX(상세표[블록종료],$Q650)),TEXT(INDEX(상세표[블록종료],$Q650),"yyyy-mm-dd hh:mm"),INDEX(상세표[블록종료],$Q650)&amp;""))</f>
        <v/>
      </c>
      <c r="H650">
        <f>IF($Q650="","",CHOOSE(WEEKDAY(INDEX(상세표[시작],$Q650)),"일","월","화","수","목","금","토"))</f>
        <v/>
      </c>
      <c r="I650" s="20">
        <f>IF($Q650="","",INDEX(상세표[연속 시간],$Q650))</f>
        <v/>
      </c>
      <c r="J650">
        <f>IF($Q650="","",INDEX(상세표[기록 수],$Q650))</f>
        <v/>
      </c>
      <c r="K650" s="20">
        <f>IF($Q650="","",INDEX(상세표[블록 06~07시],$Q650))</f>
        <v/>
      </c>
      <c r="L650" s="20">
        <f>IF($Q650="","",INDEX(상세표[블록 07~18시],$Q650))</f>
        <v/>
      </c>
      <c r="M650" s="20">
        <f>IF($Q650="","",INDEX(상세표[블록 18~22시],$Q650))</f>
        <v/>
      </c>
      <c r="N650" s="20">
        <f>IF($Q650="","",INDEX(상세표[블록 22~06시],$Q650))</f>
        <v/>
      </c>
      <c r="O650">
        <f>IF($Q650="","",INDEX(상세표[주말·휴일 포함],$Q650)&amp;"")</f>
        <v/>
      </c>
      <c r="P650">
        <f>IF($Q650="","",INDEX(상세표[월 넘김 포함],$Q650)&amp;"")</f>
        <v/>
      </c>
      <c r="Q650" s="4">
        <f>IFERROR(MATCH(645,상세표[연속순번],0),"")</f>
        <v/>
      </c>
    </row>
    <row r="651">
      <c r="A651">
        <f>IF($Q651="","",INDEX(상세표[부서],$Q651)&amp;"")</f>
        <v/>
      </c>
      <c r="B651">
        <f>IF($Q651="","",INDEX(상세표[사번],$Q651)&amp;"")</f>
        <v/>
      </c>
      <c r="C651">
        <f>IF($Q651="","",INDEX(상세표[성명],$Q651)&amp;"")</f>
        <v/>
      </c>
      <c r="D651">
        <f>IF($Q651="","",INDEX(상세표[직위],$Q651)&amp;"")</f>
        <v/>
      </c>
      <c r="E651">
        <f>IF($Q651="","",IF(ISNUMBER(INDEX(상세표[근무일자],$Q651)),TEXT(INDEX(상세표[근무일자],$Q651),"yyyy-mm-dd"),INDEX(상세표[근무일자],$Q651)&amp;""))</f>
        <v/>
      </c>
      <c r="F651">
        <f>IF($Q651="","",IF(ISNUMBER(INDEX(상세표[시작],$Q651)),TEXT(INDEX(상세표[시작],$Q651),"yyyy-mm-dd hh:mm"),INDEX(상세표[시작],$Q651)&amp;""))</f>
        <v/>
      </c>
      <c r="G651">
        <f>IF($Q651="","",IF(ISNUMBER(INDEX(상세표[블록종료],$Q651)),TEXT(INDEX(상세표[블록종료],$Q651),"yyyy-mm-dd hh:mm"),INDEX(상세표[블록종료],$Q651)&amp;""))</f>
        <v/>
      </c>
      <c r="H651">
        <f>IF($Q651="","",CHOOSE(WEEKDAY(INDEX(상세표[시작],$Q651)),"일","월","화","수","목","금","토"))</f>
        <v/>
      </c>
      <c r="I651" s="20">
        <f>IF($Q651="","",INDEX(상세표[연속 시간],$Q651))</f>
        <v/>
      </c>
      <c r="J651">
        <f>IF($Q651="","",INDEX(상세표[기록 수],$Q651))</f>
        <v/>
      </c>
      <c r="K651" s="20">
        <f>IF($Q651="","",INDEX(상세표[블록 06~07시],$Q651))</f>
        <v/>
      </c>
      <c r="L651" s="20">
        <f>IF($Q651="","",INDEX(상세표[블록 07~18시],$Q651))</f>
        <v/>
      </c>
      <c r="M651" s="20">
        <f>IF($Q651="","",INDEX(상세표[블록 18~22시],$Q651))</f>
        <v/>
      </c>
      <c r="N651" s="20">
        <f>IF($Q651="","",INDEX(상세표[블록 22~06시],$Q651))</f>
        <v/>
      </c>
      <c r="O651">
        <f>IF($Q651="","",INDEX(상세표[주말·휴일 포함],$Q651)&amp;"")</f>
        <v/>
      </c>
      <c r="P651">
        <f>IF($Q651="","",INDEX(상세표[월 넘김 포함],$Q651)&amp;"")</f>
        <v/>
      </c>
      <c r="Q651" s="4">
        <f>IFERROR(MATCH(646,상세표[연속순번],0),"")</f>
        <v/>
      </c>
    </row>
    <row r="652">
      <c r="A652">
        <f>IF($Q652="","",INDEX(상세표[부서],$Q652)&amp;"")</f>
        <v/>
      </c>
      <c r="B652">
        <f>IF($Q652="","",INDEX(상세표[사번],$Q652)&amp;"")</f>
        <v/>
      </c>
      <c r="C652">
        <f>IF($Q652="","",INDEX(상세표[성명],$Q652)&amp;"")</f>
        <v/>
      </c>
      <c r="D652">
        <f>IF($Q652="","",INDEX(상세표[직위],$Q652)&amp;"")</f>
        <v/>
      </c>
      <c r="E652">
        <f>IF($Q652="","",IF(ISNUMBER(INDEX(상세표[근무일자],$Q652)),TEXT(INDEX(상세표[근무일자],$Q652),"yyyy-mm-dd"),INDEX(상세표[근무일자],$Q652)&amp;""))</f>
        <v/>
      </c>
      <c r="F652">
        <f>IF($Q652="","",IF(ISNUMBER(INDEX(상세표[시작],$Q652)),TEXT(INDEX(상세표[시작],$Q652),"yyyy-mm-dd hh:mm"),INDEX(상세표[시작],$Q652)&amp;""))</f>
        <v/>
      </c>
      <c r="G652">
        <f>IF($Q652="","",IF(ISNUMBER(INDEX(상세표[블록종료],$Q652)),TEXT(INDEX(상세표[블록종료],$Q652),"yyyy-mm-dd hh:mm"),INDEX(상세표[블록종료],$Q652)&amp;""))</f>
        <v/>
      </c>
      <c r="H652">
        <f>IF($Q652="","",CHOOSE(WEEKDAY(INDEX(상세표[시작],$Q652)),"일","월","화","수","목","금","토"))</f>
        <v/>
      </c>
      <c r="I652" s="20">
        <f>IF($Q652="","",INDEX(상세표[연속 시간],$Q652))</f>
        <v/>
      </c>
      <c r="J652">
        <f>IF($Q652="","",INDEX(상세표[기록 수],$Q652))</f>
        <v/>
      </c>
      <c r="K652" s="20">
        <f>IF($Q652="","",INDEX(상세표[블록 06~07시],$Q652))</f>
        <v/>
      </c>
      <c r="L652" s="20">
        <f>IF($Q652="","",INDEX(상세표[블록 07~18시],$Q652))</f>
        <v/>
      </c>
      <c r="M652" s="20">
        <f>IF($Q652="","",INDEX(상세표[블록 18~22시],$Q652))</f>
        <v/>
      </c>
      <c r="N652" s="20">
        <f>IF($Q652="","",INDEX(상세표[블록 22~06시],$Q652))</f>
        <v/>
      </c>
      <c r="O652">
        <f>IF($Q652="","",INDEX(상세표[주말·휴일 포함],$Q652)&amp;"")</f>
        <v/>
      </c>
      <c r="P652">
        <f>IF($Q652="","",INDEX(상세표[월 넘김 포함],$Q652)&amp;"")</f>
        <v/>
      </c>
      <c r="Q652" s="4">
        <f>IFERROR(MATCH(647,상세표[연속순번],0),"")</f>
        <v/>
      </c>
    </row>
    <row r="653">
      <c r="A653">
        <f>IF($Q653="","",INDEX(상세표[부서],$Q653)&amp;"")</f>
        <v/>
      </c>
      <c r="B653">
        <f>IF($Q653="","",INDEX(상세표[사번],$Q653)&amp;"")</f>
        <v/>
      </c>
      <c r="C653">
        <f>IF($Q653="","",INDEX(상세표[성명],$Q653)&amp;"")</f>
        <v/>
      </c>
      <c r="D653">
        <f>IF($Q653="","",INDEX(상세표[직위],$Q653)&amp;"")</f>
        <v/>
      </c>
      <c r="E653">
        <f>IF($Q653="","",IF(ISNUMBER(INDEX(상세표[근무일자],$Q653)),TEXT(INDEX(상세표[근무일자],$Q653),"yyyy-mm-dd"),INDEX(상세표[근무일자],$Q653)&amp;""))</f>
        <v/>
      </c>
      <c r="F653">
        <f>IF($Q653="","",IF(ISNUMBER(INDEX(상세표[시작],$Q653)),TEXT(INDEX(상세표[시작],$Q653),"yyyy-mm-dd hh:mm"),INDEX(상세표[시작],$Q653)&amp;""))</f>
        <v/>
      </c>
      <c r="G653">
        <f>IF($Q653="","",IF(ISNUMBER(INDEX(상세표[블록종료],$Q653)),TEXT(INDEX(상세표[블록종료],$Q653),"yyyy-mm-dd hh:mm"),INDEX(상세표[블록종료],$Q653)&amp;""))</f>
        <v/>
      </c>
      <c r="H653">
        <f>IF($Q653="","",CHOOSE(WEEKDAY(INDEX(상세표[시작],$Q653)),"일","월","화","수","목","금","토"))</f>
        <v/>
      </c>
      <c r="I653" s="20">
        <f>IF($Q653="","",INDEX(상세표[연속 시간],$Q653))</f>
        <v/>
      </c>
      <c r="J653">
        <f>IF($Q653="","",INDEX(상세표[기록 수],$Q653))</f>
        <v/>
      </c>
      <c r="K653" s="20">
        <f>IF($Q653="","",INDEX(상세표[블록 06~07시],$Q653))</f>
        <v/>
      </c>
      <c r="L653" s="20">
        <f>IF($Q653="","",INDEX(상세표[블록 07~18시],$Q653))</f>
        <v/>
      </c>
      <c r="M653" s="20">
        <f>IF($Q653="","",INDEX(상세표[블록 18~22시],$Q653))</f>
        <v/>
      </c>
      <c r="N653" s="20">
        <f>IF($Q653="","",INDEX(상세표[블록 22~06시],$Q653))</f>
        <v/>
      </c>
      <c r="O653">
        <f>IF($Q653="","",INDEX(상세표[주말·휴일 포함],$Q653)&amp;"")</f>
        <v/>
      </c>
      <c r="P653">
        <f>IF($Q653="","",INDEX(상세표[월 넘김 포함],$Q653)&amp;"")</f>
        <v/>
      </c>
      <c r="Q653" s="4">
        <f>IFERROR(MATCH(648,상세표[연속순번],0),"")</f>
        <v/>
      </c>
    </row>
    <row r="654">
      <c r="A654">
        <f>IF($Q654="","",INDEX(상세표[부서],$Q654)&amp;"")</f>
        <v/>
      </c>
      <c r="B654">
        <f>IF($Q654="","",INDEX(상세표[사번],$Q654)&amp;"")</f>
        <v/>
      </c>
      <c r="C654">
        <f>IF($Q654="","",INDEX(상세표[성명],$Q654)&amp;"")</f>
        <v/>
      </c>
      <c r="D654">
        <f>IF($Q654="","",INDEX(상세표[직위],$Q654)&amp;"")</f>
        <v/>
      </c>
      <c r="E654">
        <f>IF($Q654="","",IF(ISNUMBER(INDEX(상세표[근무일자],$Q654)),TEXT(INDEX(상세표[근무일자],$Q654),"yyyy-mm-dd"),INDEX(상세표[근무일자],$Q654)&amp;""))</f>
        <v/>
      </c>
      <c r="F654">
        <f>IF($Q654="","",IF(ISNUMBER(INDEX(상세표[시작],$Q654)),TEXT(INDEX(상세표[시작],$Q654),"yyyy-mm-dd hh:mm"),INDEX(상세표[시작],$Q654)&amp;""))</f>
        <v/>
      </c>
      <c r="G654">
        <f>IF($Q654="","",IF(ISNUMBER(INDEX(상세표[블록종료],$Q654)),TEXT(INDEX(상세표[블록종료],$Q654),"yyyy-mm-dd hh:mm"),INDEX(상세표[블록종료],$Q654)&amp;""))</f>
        <v/>
      </c>
      <c r="H654">
        <f>IF($Q654="","",CHOOSE(WEEKDAY(INDEX(상세표[시작],$Q654)),"일","월","화","수","목","금","토"))</f>
        <v/>
      </c>
      <c r="I654" s="20">
        <f>IF($Q654="","",INDEX(상세표[연속 시간],$Q654))</f>
        <v/>
      </c>
      <c r="J654">
        <f>IF($Q654="","",INDEX(상세표[기록 수],$Q654))</f>
        <v/>
      </c>
      <c r="K654" s="20">
        <f>IF($Q654="","",INDEX(상세표[블록 06~07시],$Q654))</f>
        <v/>
      </c>
      <c r="L654" s="20">
        <f>IF($Q654="","",INDEX(상세표[블록 07~18시],$Q654))</f>
        <v/>
      </c>
      <c r="M654" s="20">
        <f>IF($Q654="","",INDEX(상세표[블록 18~22시],$Q654))</f>
        <v/>
      </c>
      <c r="N654" s="20">
        <f>IF($Q654="","",INDEX(상세표[블록 22~06시],$Q654))</f>
        <v/>
      </c>
      <c r="O654">
        <f>IF($Q654="","",INDEX(상세표[주말·휴일 포함],$Q654)&amp;"")</f>
        <v/>
      </c>
      <c r="P654">
        <f>IF($Q654="","",INDEX(상세표[월 넘김 포함],$Q654)&amp;"")</f>
        <v/>
      </c>
      <c r="Q654" s="4">
        <f>IFERROR(MATCH(649,상세표[연속순번],0),"")</f>
        <v/>
      </c>
    </row>
    <row r="655">
      <c r="A655">
        <f>IF($Q655="","",INDEX(상세표[부서],$Q655)&amp;"")</f>
        <v/>
      </c>
      <c r="B655">
        <f>IF($Q655="","",INDEX(상세표[사번],$Q655)&amp;"")</f>
        <v/>
      </c>
      <c r="C655">
        <f>IF($Q655="","",INDEX(상세표[성명],$Q655)&amp;"")</f>
        <v/>
      </c>
      <c r="D655">
        <f>IF($Q655="","",INDEX(상세표[직위],$Q655)&amp;"")</f>
        <v/>
      </c>
      <c r="E655">
        <f>IF($Q655="","",IF(ISNUMBER(INDEX(상세표[근무일자],$Q655)),TEXT(INDEX(상세표[근무일자],$Q655),"yyyy-mm-dd"),INDEX(상세표[근무일자],$Q655)&amp;""))</f>
        <v/>
      </c>
      <c r="F655">
        <f>IF($Q655="","",IF(ISNUMBER(INDEX(상세표[시작],$Q655)),TEXT(INDEX(상세표[시작],$Q655),"yyyy-mm-dd hh:mm"),INDEX(상세표[시작],$Q655)&amp;""))</f>
        <v/>
      </c>
      <c r="G655">
        <f>IF($Q655="","",IF(ISNUMBER(INDEX(상세표[블록종료],$Q655)),TEXT(INDEX(상세표[블록종료],$Q655),"yyyy-mm-dd hh:mm"),INDEX(상세표[블록종료],$Q655)&amp;""))</f>
        <v/>
      </c>
      <c r="H655">
        <f>IF($Q655="","",CHOOSE(WEEKDAY(INDEX(상세표[시작],$Q655)),"일","월","화","수","목","금","토"))</f>
        <v/>
      </c>
      <c r="I655" s="20">
        <f>IF($Q655="","",INDEX(상세표[연속 시간],$Q655))</f>
        <v/>
      </c>
      <c r="J655">
        <f>IF($Q655="","",INDEX(상세표[기록 수],$Q655))</f>
        <v/>
      </c>
      <c r="K655" s="20">
        <f>IF($Q655="","",INDEX(상세표[블록 06~07시],$Q655))</f>
        <v/>
      </c>
      <c r="L655" s="20">
        <f>IF($Q655="","",INDEX(상세표[블록 07~18시],$Q655))</f>
        <v/>
      </c>
      <c r="M655" s="20">
        <f>IF($Q655="","",INDEX(상세표[블록 18~22시],$Q655))</f>
        <v/>
      </c>
      <c r="N655" s="20">
        <f>IF($Q655="","",INDEX(상세표[블록 22~06시],$Q655))</f>
        <v/>
      </c>
      <c r="O655">
        <f>IF($Q655="","",INDEX(상세표[주말·휴일 포함],$Q655)&amp;"")</f>
        <v/>
      </c>
      <c r="P655">
        <f>IF($Q655="","",INDEX(상세표[월 넘김 포함],$Q655)&amp;"")</f>
        <v/>
      </c>
      <c r="Q655" s="4">
        <f>IFERROR(MATCH(650,상세표[연속순번],0),"")</f>
        <v/>
      </c>
    </row>
    <row r="656">
      <c r="A656">
        <f>IF($Q656="","",INDEX(상세표[부서],$Q656)&amp;"")</f>
        <v/>
      </c>
      <c r="B656">
        <f>IF($Q656="","",INDEX(상세표[사번],$Q656)&amp;"")</f>
        <v/>
      </c>
      <c r="C656">
        <f>IF($Q656="","",INDEX(상세표[성명],$Q656)&amp;"")</f>
        <v/>
      </c>
      <c r="D656">
        <f>IF($Q656="","",INDEX(상세표[직위],$Q656)&amp;"")</f>
        <v/>
      </c>
      <c r="E656">
        <f>IF($Q656="","",IF(ISNUMBER(INDEX(상세표[근무일자],$Q656)),TEXT(INDEX(상세표[근무일자],$Q656),"yyyy-mm-dd"),INDEX(상세표[근무일자],$Q656)&amp;""))</f>
        <v/>
      </c>
      <c r="F656">
        <f>IF($Q656="","",IF(ISNUMBER(INDEX(상세표[시작],$Q656)),TEXT(INDEX(상세표[시작],$Q656),"yyyy-mm-dd hh:mm"),INDEX(상세표[시작],$Q656)&amp;""))</f>
        <v/>
      </c>
      <c r="G656">
        <f>IF($Q656="","",IF(ISNUMBER(INDEX(상세표[블록종료],$Q656)),TEXT(INDEX(상세표[블록종료],$Q656),"yyyy-mm-dd hh:mm"),INDEX(상세표[블록종료],$Q656)&amp;""))</f>
        <v/>
      </c>
      <c r="H656">
        <f>IF($Q656="","",CHOOSE(WEEKDAY(INDEX(상세표[시작],$Q656)),"일","월","화","수","목","금","토"))</f>
        <v/>
      </c>
      <c r="I656" s="20">
        <f>IF($Q656="","",INDEX(상세표[연속 시간],$Q656))</f>
        <v/>
      </c>
      <c r="J656">
        <f>IF($Q656="","",INDEX(상세표[기록 수],$Q656))</f>
        <v/>
      </c>
      <c r="K656" s="20">
        <f>IF($Q656="","",INDEX(상세표[블록 06~07시],$Q656))</f>
        <v/>
      </c>
      <c r="L656" s="20">
        <f>IF($Q656="","",INDEX(상세표[블록 07~18시],$Q656))</f>
        <v/>
      </c>
      <c r="M656" s="20">
        <f>IF($Q656="","",INDEX(상세표[블록 18~22시],$Q656))</f>
        <v/>
      </c>
      <c r="N656" s="20">
        <f>IF($Q656="","",INDEX(상세표[블록 22~06시],$Q656))</f>
        <v/>
      </c>
      <c r="O656">
        <f>IF($Q656="","",INDEX(상세표[주말·휴일 포함],$Q656)&amp;"")</f>
        <v/>
      </c>
      <c r="P656">
        <f>IF($Q656="","",INDEX(상세표[월 넘김 포함],$Q656)&amp;"")</f>
        <v/>
      </c>
      <c r="Q656" s="4">
        <f>IFERROR(MATCH(651,상세표[연속순번],0),"")</f>
        <v/>
      </c>
    </row>
    <row r="657">
      <c r="A657">
        <f>IF($Q657="","",INDEX(상세표[부서],$Q657)&amp;"")</f>
        <v/>
      </c>
      <c r="B657">
        <f>IF($Q657="","",INDEX(상세표[사번],$Q657)&amp;"")</f>
        <v/>
      </c>
      <c r="C657">
        <f>IF($Q657="","",INDEX(상세표[성명],$Q657)&amp;"")</f>
        <v/>
      </c>
      <c r="D657">
        <f>IF($Q657="","",INDEX(상세표[직위],$Q657)&amp;"")</f>
        <v/>
      </c>
      <c r="E657">
        <f>IF($Q657="","",IF(ISNUMBER(INDEX(상세표[근무일자],$Q657)),TEXT(INDEX(상세표[근무일자],$Q657),"yyyy-mm-dd"),INDEX(상세표[근무일자],$Q657)&amp;""))</f>
        <v/>
      </c>
      <c r="F657">
        <f>IF($Q657="","",IF(ISNUMBER(INDEX(상세표[시작],$Q657)),TEXT(INDEX(상세표[시작],$Q657),"yyyy-mm-dd hh:mm"),INDEX(상세표[시작],$Q657)&amp;""))</f>
        <v/>
      </c>
      <c r="G657">
        <f>IF($Q657="","",IF(ISNUMBER(INDEX(상세표[블록종료],$Q657)),TEXT(INDEX(상세표[블록종료],$Q657),"yyyy-mm-dd hh:mm"),INDEX(상세표[블록종료],$Q657)&amp;""))</f>
        <v/>
      </c>
      <c r="H657">
        <f>IF($Q657="","",CHOOSE(WEEKDAY(INDEX(상세표[시작],$Q657)),"일","월","화","수","목","금","토"))</f>
        <v/>
      </c>
      <c r="I657" s="20">
        <f>IF($Q657="","",INDEX(상세표[연속 시간],$Q657))</f>
        <v/>
      </c>
      <c r="J657">
        <f>IF($Q657="","",INDEX(상세표[기록 수],$Q657))</f>
        <v/>
      </c>
      <c r="K657" s="20">
        <f>IF($Q657="","",INDEX(상세표[블록 06~07시],$Q657))</f>
        <v/>
      </c>
      <c r="L657" s="20">
        <f>IF($Q657="","",INDEX(상세표[블록 07~18시],$Q657))</f>
        <v/>
      </c>
      <c r="M657" s="20">
        <f>IF($Q657="","",INDEX(상세표[블록 18~22시],$Q657))</f>
        <v/>
      </c>
      <c r="N657" s="20">
        <f>IF($Q657="","",INDEX(상세표[블록 22~06시],$Q657))</f>
        <v/>
      </c>
      <c r="O657">
        <f>IF($Q657="","",INDEX(상세표[주말·휴일 포함],$Q657)&amp;"")</f>
        <v/>
      </c>
      <c r="P657">
        <f>IF($Q657="","",INDEX(상세표[월 넘김 포함],$Q657)&amp;"")</f>
        <v/>
      </c>
      <c r="Q657" s="4">
        <f>IFERROR(MATCH(652,상세표[연속순번],0),"")</f>
        <v/>
      </c>
    </row>
    <row r="658">
      <c r="A658">
        <f>IF($Q658="","",INDEX(상세표[부서],$Q658)&amp;"")</f>
        <v/>
      </c>
      <c r="B658">
        <f>IF($Q658="","",INDEX(상세표[사번],$Q658)&amp;"")</f>
        <v/>
      </c>
      <c r="C658">
        <f>IF($Q658="","",INDEX(상세표[성명],$Q658)&amp;"")</f>
        <v/>
      </c>
      <c r="D658">
        <f>IF($Q658="","",INDEX(상세표[직위],$Q658)&amp;"")</f>
        <v/>
      </c>
      <c r="E658">
        <f>IF($Q658="","",IF(ISNUMBER(INDEX(상세표[근무일자],$Q658)),TEXT(INDEX(상세표[근무일자],$Q658),"yyyy-mm-dd"),INDEX(상세표[근무일자],$Q658)&amp;""))</f>
        <v/>
      </c>
      <c r="F658">
        <f>IF($Q658="","",IF(ISNUMBER(INDEX(상세표[시작],$Q658)),TEXT(INDEX(상세표[시작],$Q658),"yyyy-mm-dd hh:mm"),INDEX(상세표[시작],$Q658)&amp;""))</f>
        <v/>
      </c>
      <c r="G658">
        <f>IF($Q658="","",IF(ISNUMBER(INDEX(상세표[블록종료],$Q658)),TEXT(INDEX(상세표[블록종료],$Q658),"yyyy-mm-dd hh:mm"),INDEX(상세표[블록종료],$Q658)&amp;""))</f>
        <v/>
      </c>
      <c r="H658">
        <f>IF($Q658="","",CHOOSE(WEEKDAY(INDEX(상세표[시작],$Q658)),"일","월","화","수","목","금","토"))</f>
        <v/>
      </c>
      <c r="I658" s="20">
        <f>IF($Q658="","",INDEX(상세표[연속 시간],$Q658))</f>
        <v/>
      </c>
      <c r="J658">
        <f>IF($Q658="","",INDEX(상세표[기록 수],$Q658))</f>
        <v/>
      </c>
      <c r="K658" s="20">
        <f>IF($Q658="","",INDEX(상세표[블록 06~07시],$Q658))</f>
        <v/>
      </c>
      <c r="L658" s="20">
        <f>IF($Q658="","",INDEX(상세표[블록 07~18시],$Q658))</f>
        <v/>
      </c>
      <c r="M658" s="20">
        <f>IF($Q658="","",INDEX(상세표[블록 18~22시],$Q658))</f>
        <v/>
      </c>
      <c r="N658" s="20">
        <f>IF($Q658="","",INDEX(상세표[블록 22~06시],$Q658))</f>
        <v/>
      </c>
      <c r="O658">
        <f>IF($Q658="","",INDEX(상세표[주말·휴일 포함],$Q658)&amp;"")</f>
        <v/>
      </c>
      <c r="P658">
        <f>IF($Q658="","",INDEX(상세표[월 넘김 포함],$Q658)&amp;"")</f>
        <v/>
      </c>
      <c r="Q658" s="4">
        <f>IFERROR(MATCH(653,상세표[연속순번],0),"")</f>
        <v/>
      </c>
    </row>
    <row r="659">
      <c r="A659">
        <f>IF($Q659="","",INDEX(상세표[부서],$Q659)&amp;"")</f>
        <v/>
      </c>
      <c r="B659">
        <f>IF($Q659="","",INDEX(상세표[사번],$Q659)&amp;"")</f>
        <v/>
      </c>
      <c r="C659">
        <f>IF($Q659="","",INDEX(상세표[성명],$Q659)&amp;"")</f>
        <v/>
      </c>
      <c r="D659">
        <f>IF($Q659="","",INDEX(상세표[직위],$Q659)&amp;"")</f>
        <v/>
      </c>
      <c r="E659">
        <f>IF($Q659="","",IF(ISNUMBER(INDEX(상세표[근무일자],$Q659)),TEXT(INDEX(상세표[근무일자],$Q659),"yyyy-mm-dd"),INDEX(상세표[근무일자],$Q659)&amp;""))</f>
        <v/>
      </c>
      <c r="F659">
        <f>IF($Q659="","",IF(ISNUMBER(INDEX(상세표[시작],$Q659)),TEXT(INDEX(상세표[시작],$Q659),"yyyy-mm-dd hh:mm"),INDEX(상세표[시작],$Q659)&amp;""))</f>
        <v/>
      </c>
      <c r="G659">
        <f>IF($Q659="","",IF(ISNUMBER(INDEX(상세표[블록종료],$Q659)),TEXT(INDEX(상세표[블록종료],$Q659),"yyyy-mm-dd hh:mm"),INDEX(상세표[블록종료],$Q659)&amp;""))</f>
        <v/>
      </c>
      <c r="H659">
        <f>IF($Q659="","",CHOOSE(WEEKDAY(INDEX(상세표[시작],$Q659)),"일","월","화","수","목","금","토"))</f>
        <v/>
      </c>
      <c r="I659" s="20">
        <f>IF($Q659="","",INDEX(상세표[연속 시간],$Q659))</f>
        <v/>
      </c>
      <c r="J659">
        <f>IF($Q659="","",INDEX(상세표[기록 수],$Q659))</f>
        <v/>
      </c>
      <c r="K659" s="20">
        <f>IF($Q659="","",INDEX(상세표[블록 06~07시],$Q659))</f>
        <v/>
      </c>
      <c r="L659" s="20">
        <f>IF($Q659="","",INDEX(상세표[블록 07~18시],$Q659))</f>
        <v/>
      </c>
      <c r="M659" s="20">
        <f>IF($Q659="","",INDEX(상세표[블록 18~22시],$Q659))</f>
        <v/>
      </c>
      <c r="N659" s="20">
        <f>IF($Q659="","",INDEX(상세표[블록 22~06시],$Q659))</f>
        <v/>
      </c>
      <c r="O659">
        <f>IF($Q659="","",INDEX(상세표[주말·휴일 포함],$Q659)&amp;"")</f>
        <v/>
      </c>
      <c r="P659">
        <f>IF($Q659="","",INDEX(상세표[월 넘김 포함],$Q659)&amp;"")</f>
        <v/>
      </c>
      <c r="Q659" s="4">
        <f>IFERROR(MATCH(654,상세표[연속순번],0),"")</f>
        <v/>
      </c>
    </row>
    <row r="660">
      <c r="A660">
        <f>IF($Q660="","",INDEX(상세표[부서],$Q660)&amp;"")</f>
        <v/>
      </c>
      <c r="B660">
        <f>IF($Q660="","",INDEX(상세표[사번],$Q660)&amp;"")</f>
        <v/>
      </c>
      <c r="C660">
        <f>IF($Q660="","",INDEX(상세표[성명],$Q660)&amp;"")</f>
        <v/>
      </c>
      <c r="D660">
        <f>IF($Q660="","",INDEX(상세표[직위],$Q660)&amp;"")</f>
        <v/>
      </c>
      <c r="E660">
        <f>IF($Q660="","",IF(ISNUMBER(INDEX(상세표[근무일자],$Q660)),TEXT(INDEX(상세표[근무일자],$Q660),"yyyy-mm-dd"),INDEX(상세표[근무일자],$Q660)&amp;""))</f>
        <v/>
      </c>
      <c r="F660">
        <f>IF($Q660="","",IF(ISNUMBER(INDEX(상세표[시작],$Q660)),TEXT(INDEX(상세표[시작],$Q660),"yyyy-mm-dd hh:mm"),INDEX(상세표[시작],$Q660)&amp;""))</f>
        <v/>
      </c>
      <c r="G660">
        <f>IF($Q660="","",IF(ISNUMBER(INDEX(상세표[블록종료],$Q660)),TEXT(INDEX(상세표[블록종료],$Q660),"yyyy-mm-dd hh:mm"),INDEX(상세표[블록종료],$Q660)&amp;""))</f>
        <v/>
      </c>
      <c r="H660">
        <f>IF($Q660="","",CHOOSE(WEEKDAY(INDEX(상세표[시작],$Q660)),"일","월","화","수","목","금","토"))</f>
        <v/>
      </c>
      <c r="I660" s="20">
        <f>IF($Q660="","",INDEX(상세표[연속 시간],$Q660))</f>
        <v/>
      </c>
      <c r="J660">
        <f>IF($Q660="","",INDEX(상세표[기록 수],$Q660))</f>
        <v/>
      </c>
      <c r="K660" s="20">
        <f>IF($Q660="","",INDEX(상세표[블록 06~07시],$Q660))</f>
        <v/>
      </c>
      <c r="L660" s="20">
        <f>IF($Q660="","",INDEX(상세표[블록 07~18시],$Q660))</f>
        <v/>
      </c>
      <c r="M660" s="20">
        <f>IF($Q660="","",INDEX(상세표[블록 18~22시],$Q660))</f>
        <v/>
      </c>
      <c r="N660" s="20">
        <f>IF($Q660="","",INDEX(상세표[블록 22~06시],$Q660))</f>
        <v/>
      </c>
      <c r="O660">
        <f>IF($Q660="","",INDEX(상세표[주말·휴일 포함],$Q660)&amp;"")</f>
        <v/>
      </c>
      <c r="P660">
        <f>IF($Q660="","",INDEX(상세표[월 넘김 포함],$Q660)&amp;"")</f>
        <v/>
      </c>
      <c r="Q660" s="4">
        <f>IFERROR(MATCH(655,상세표[연속순번],0),"")</f>
        <v/>
      </c>
    </row>
    <row r="661">
      <c r="A661">
        <f>IF($Q661="","",INDEX(상세표[부서],$Q661)&amp;"")</f>
        <v/>
      </c>
      <c r="B661">
        <f>IF($Q661="","",INDEX(상세표[사번],$Q661)&amp;"")</f>
        <v/>
      </c>
      <c r="C661">
        <f>IF($Q661="","",INDEX(상세표[성명],$Q661)&amp;"")</f>
        <v/>
      </c>
      <c r="D661">
        <f>IF($Q661="","",INDEX(상세표[직위],$Q661)&amp;"")</f>
        <v/>
      </c>
      <c r="E661">
        <f>IF($Q661="","",IF(ISNUMBER(INDEX(상세표[근무일자],$Q661)),TEXT(INDEX(상세표[근무일자],$Q661),"yyyy-mm-dd"),INDEX(상세표[근무일자],$Q661)&amp;""))</f>
        <v/>
      </c>
      <c r="F661">
        <f>IF($Q661="","",IF(ISNUMBER(INDEX(상세표[시작],$Q661)),TEXT(INDEX(상세표[시작],$Q661),"yyyy-mm-dd hh:mm"),INDEX(상세표[시작],$Q661)&amp;""))</f>
        <v/>
      </c>
      <c r="G661">
        <f>IF($Q661="","",IF(ISNUMBER(INDEX(상세표[블록종료],$Q661)),TEXT(INDEX(상세표[블록종료],$Q661),"yyyy-mm-dd hh:mm"),INDEX(상세표[블록종료],$Q661)&amp;""))</f>
        <v/>
      </c>
      <c r="H661">
        <f>IF($Q661="","",CHOOSE(WEEKDAY(INDEX(상세표[시작],$Q661)),"일","월","화","수","목","금","토"))</f>
        <v/>
      </c>
      <c r="I661" s="20">
        <f>IF($Q661="","",INDEX(상세표[연속 시간],$Q661))</f>
        <v/>
      </c>
      <c r="J661">
        <f>IF($Q661="","",INDEX(상세표[기록 수],$Q661))</f>
        <v/>
      </c>
      <c r="K661" s="20">
        <f>IF($Q661="","",INDEX(상세표[블록 06~07시],$Q661))</f>
        <v/>
      </c>
      <c r="L661" s="20">
        <f>IF($Q661="","",INDEX(상세표[블록 07~18시],$Q661))</f>
        <v/>
      </c>
      <c r="M661" s="20">
        <f>IF($Q661="","",INDEX(상세표[블록 18~22시],$Q661))</f>
        <v/>
      </c>
      <c r="N661" s="20">
        <f>IF($Q661="","",INDEX(상세표[블록 22~06시],$Q661))</f>
        <v/>
      </c>
      <c r="O661">
        <f>IF($Q661="","",INDEX(상세표[주말·휴일 포함],$Q661)&amp;"")</f>
        <v/>
      </c>
      <c r="P661">
        <f>IF($Q661="","",INDEX(상세표[월 넘김 포함],$Q661)&amp;"")</f>
        <v/>
      </c>
      <c r="Q661" s="4">
        <f>IFERROR(MATCH(656,상세표[연속순번],0),"")</f>
        <v/>
      </c>
    </row>
    <row r="662">
      <c r="A662">
        <f>IF($Q662="","",INDEX(상세표[부서],$Q662)&amp;"")</f>
        <v/>
      </c>
      <c r="B662">
        <f>IF($Q662="","",INDEX(상세표[사번],$Q662)&amp;"")</f>
        <v/>
      </c>
      <c r="C662">
        <f>IF($Q662="","",INDEX(상세표[성명],$Q662)&amp;"")</f>
        <v/>
      </c>
      <c r="D662">
        <f>IF($Q662="","",INDEX(상세표[직위],$Q662)&amp;"")</f>
        <v/>
      </c>
      <c r="E662">
        <f>IF($Q662="","",IF(ISNUMBER(INDEX(상세표[근무일자],$Q662)),TEXT(INDEX(상세표[근무일자],$Q662),"yyyy-mm-dd"),INDEX(상세표[근무일자],$Q662)&amp;""))</f>
        <v/>
      </c>
      <c r="F662">
        <f>IF($Q662="","",IF(ISNUMBER(INDEX(상세표[시작],$Q662)),TEXT(INDEX(상세표[시작],$Q662),"yyyy-mm-dd hh:mm"),INDEX(상세표[시작],$Q662)&amp;""))</f>
        <v/>
      </c>
      <c r="G662">
        <f>IF($Q662="","",IF(ISNUMBER(INDEX(상세표[블록종료],$Q662)),TEXT(INDEX(상세표[블록종료],$Q662),"yyyy-mm-dd hh:mm"),INDEX(상세표[블록종료],$Q662)&amp;""))</f>
        <v/>
      </c>
      <c r="H662">
        <f>IF($Q662="","",CHOOSE(WEEKDAY(INDEX(상세표[시작],$Q662)),"일","월","화","수","목","금","토"))</f>
        <v/>
      </c>
      <c r="I662" s="20">
        <f>IF($Q662="","",INDEX(상세표[연속 시간],$Q662))</f>
        <v/>
      </c>
      <c r="J662">
        <f>IF($Q662="","",INDEX(상세표[기록 수],$Q662))</f>
        <v/>
      </c>
      <c r="K662" s="20">
        <f>IF($Q662="","",INDEX(상세표[블록 06~07시],$Q662))</f>
        <v/>
      </c>
      <c r="L662" s="20">
        <f>IF($Q662="","",INDEX(상세표[블록 07~18시],$Q662))</f>
        <v/>
      </c>
      <c r="M662" s="20">
        <f>IF($Q662="","",INDEX(상세표[블록 18~22시],$Q662))</f>
        <v/>
      </c>
      <c r="N662" s="20">
        <f>IF($Q662="","",INDEX(상세표[블록 22~06시],$Q662))</f>
        <v/>
      </c>
      <c r="O662">
        <f>IF($Q662="","",INDEX(상세표[주말·휴일 포함],$Q662)&amp;"")</f>
        <v/>
      </c>
      <c r="P662">
        <f>IF($Q662="","",INDEX(상세표[월 넘김 포함],$Q662)&amp;"")</f>
        <v/>
      </c>
      <c r="Q662" s="4">
        <f>IFERROR(MATCH(657,상세표[연속순번],0),"")</f>
        <v/>
      </c>
    </row>
    <row r="663">
      <c r="A663">
        <f>IF($Q663="","",INDEX(상세표[부서],$Q663)&amp;"")</f>
        <v/>
      </c>
      <c r="B663">
        <f>IF($Q663="","",INDEX(상세표[사번],$Q663)&amp;"")</f>
        <v/>
      </c>
      <c r="C663">
        <f>IF($Q663="","",INDEX(상세표[성명],$Q663)&amp;"")</f>
        <v/>
      </c>
      <c r="D663">
        <f>IF($Q663="","",INDEX(상세표[직위],$Q663)&amp;"")</f>
        <v/>
      </c>
      <c r="E663">
        <f>IF($Q663="","",IF(ISNUMBER(INDEX(상세표[근무일자],$Q663)),TEXT(INDEX(상세표[근무일자],$Q663),"yyyy-mm-dd"),INDEX(상세표[근무일자],$Q663)&amp;""))</f>
        <v/>
      </c>
      <c r="F663">
        <f>IF($Q663="","",IF(ISNUMBER(INDEX(상세표[시작],$Q663)),TEXT(INDEX(상세표[시작],$Q663),"yyyy-mm-dd hh:mm"),INDEX(상세표[시작],$Q663)&amp;""))</f>
        <v/>
      </c>
      <c r="G663">
        <f>IF($Q663="","",IF(ISNUMBER(INDEX(상세표[블록종료],$Q663)),TEXT(INDEX(상세표[블록종료],$Q663),"yyyy-mm-dd hh:mm"),INDEX(상세표[블록종료],$Q663)&amp;""))</f>
        <v/>
      </c>
      <c r="H663">
        <f>IF($Q663="","",CHOOSE(WEEKDAY(INDEX(상세표[시작],$Q663)),"일","월","화","수","목","금","토"))</f>
        <v/>
      </c>
      <c r="I663" s="20">
        <f>IF($Q663="","",INDEX(상세표[연속 시간],$Q663))</f>
        <v/>
      </c>
      <c r="J663">
        <f>IF($Q663="","",INDEX(상세표[기록 수],$Q663))</f>
        <v/>
      </c>
      <c r="K663" s="20">
        <f>IF($Q663="","",INDEX(상세표[블록 06~07시],$Q663))</f>
        <v/>
      </c>
      <c r="L663" s="20">
        <f>IF($Q663="","",INDEX(상세표[블록 07~18시],$Q663))</f>
        <v/>
      </c>
      <c r="M663" s="20">
        <f>IF($Q663="","",INDEX(상세표[블록 18~22시],$Q663))</f>
        <v/>
      </c>
      <c r="N663" s="20">
        <f>IF($Q663="","",INDEX(상세표[블록 22~06시],$Q663))</f>
        <v/>
      </c>
      <c r="O663">
        <f>IF($Q663="","",INDEX(상세표[주말·휴일 포함],$Q663)&amp;"")</f>
        <v/>
      </c>
      <c r="P663">
        <f>IF($Q663="","",INDEX(상세표[월 넘김 포함],$Q663)&amp;"")</f>
        <v/>
      </c>
      <c r="Q663" s="4">
        <f>IFERROR(MATCH(658,상세표[연속순번],0),"")</f>
        <v/>
      </c>
    </row>
    <row r="664">
      <c r="A664">
        <f>IF($Q664="","",INDEX(상세표[부서],$Q664)&amp;"")</f>
        <v/>
      </c>
      <c r="B664">
        <f>IF($Q664="","",INDEX(상세표[사번],$Q664)&amp;"")</f>
        <v/>
      </c>
      <c r="C664">
        <f>IF($Q664="","",INDEX(상세표[성명],$Q664)&amp;"")</f>
        <v/>
      </c>
      <c r="D664">
        <f>IF($Q664="","",INDEX(상세표[직위],$Q664)&amp;"")</f>
        <v/>
      </c>
      <c r="E664">
        <f>IF($Q664="","",IF(ISNUMBER(INDEX(상세표[근무일자],$Q664)),TEXT(INDEX(상세표[근무일자],$Q664),"yyyy-mm-dd"),INDEX(상세표[근무일자],$Q664)&amp;""))</f>
        <v/>
      </c>
      <c r="F664">
        <f>IF($Q664="","",IF(ISNUMBER(INDEX(상세표[시작],$Q664)),TEXT(INDEX(상세표[시작],$Q664),"yyyy-mm-dd hh:mm"),INDEX(상세표[시작],$Q664)&amp;""))</f>
        <v/>
      </c>
      <c r="G664">
        <f>IF($Q664="","",IF(ISNUMBER(INDEX(상세표[블록종료],$Q664)),TEXT(INDEX(상세표[블록종료],$Q664),"yyyy-mm-dd hh:mm"),INDEX(상세표[블록종료],$Q664)&amp;""))</f>
        <v/>
      </c>
      <c r="H664">
        <f>IF($Q664="","",CHOOSE(WEEKDAY(INDEX(상세표[시작],$Q664)),"일","월","화","수","목","금","토"))</f>
        <v/>
      </c>
      <c r="I664" s="20">
        <f>IF($Q664="","",INDEX(상세표[연속 시간],$Q664))</f>
        <v/>
      </c>
      <c r="J664">
        <f>IF($Q664="","",INDEX(상세표[기록 수],$Q664))</f>
        <v/>
      </c>
      <c r="K664" s="20">
        <f>IF($Q664="","",INDEX(상세표[블록 06~07시],$Q664))</f>
        <v/>
      </c>
      <c r="L664" s="20">
        <f>IF($Q664="","",INDEX(상세표[블록 07~18시],$Q664))</f>
        <v/>
      </c>
      <c r="M664" s="20">
        <f>IF($Q664="","",INDEX(상세표[블록 18~22시],$Q664))</f>
        <v/>
      </c>
      <c r="N664" s="20">
        <f>IF($Q664="","",INDEX(상세표[블록 22~06시],$Q664))</f>
        <v/>
      </c>
      <c r="O664">
        <f>IF($Q664="","",INDEX(상세표[주말·휴일 포함],$Q664)&amp;"")</f>
        <v/>
      </c>
      <c r="P664">
        <f>IF($Q664="","",INDEX(상세표[월 넘김 포함],$Q664)&amp;"")</f>
        <v/>
      </c>
      <c r="Q664" s="4">
        <f>IFERROR(MATCH(659,상세표[연속순번],0),"")</f>
        <v/>
      </c>
    </row>
    <row r="665">
      <c r="A665">
        <f>IF($Q665="","",INDEX(상세표[부서],$Q665)&amp;"")</f>
        <v/>
      </c>
      <c r="B665">
        <f>IF($Q665="","",INDEX(상세표[사번],$Q665)&amp;"")</f>
        <v/>
      </c>
      <c r="C665">
        <f>IF($Q665="","",INDEX(상세표[성명],$Q665)&amp;"")</f>
        <v/>
      </c>
      <c r="D665">
        <f>IF($Q665="","",INDEX(상세표[직위],$Q665)&amp;"")</f>
        <v/>
      </c>
      <c r="E665">
        <f>IF($Q665="","",IF(ISNUMBER(INDEX(상세표[근무일자],$Q665)),TEXT(INDEX(상세표[근무일자],$Q665),"yyyy-mm-dd"),INDEX(상세표[근무일자],$Q665)&amp;""))</f>
        <v/>
      </c>
      <c r="F665">
        <f>IF($Q665="","",IF(ISNUMBER(INDEX(상세표[시작],$Q665)),TEXT(INDEX(상세표[시작],$Q665),"yyyy-mm-dd hh:mm"),INDEX(상세표[시작],$Q665)&amp;""))</f>
        <v/>
      </c>
      <c r="G665">
        <f>IF($Q665="","",IF(ISNUMBER(INDEX(상세표[블록종료],$Q665)),TEXT(INDEX(상세표[블록종료],$Q665),"yyyy-mm-dd hh:mm"),INDEX(상세표[블록종료],$Q665)&amp;""))</f>
        <v/>
      </c>
      <c r="H665">
        <f>IF($Q665="","",CHOOSE(WEEKDAY(INDEX(상세표[시작],$Q665)),"일","월","화","수","목","금","토"))</f>
        <v/>
      </c>
      <c r="I665" s="20">
        <f>IF($Q665="","",INDEX(상세표[연속 시간],$Q665))</f>
        <v/>
      </c>
      <c r="J665">
        <f>IF($Q665="","",INDEX(상세표[기록 수],$Q665))</f>
        <v/>
      </c>
      <c r="K665" s="20">
        <f>IF($Q665="","",INDEX(상세표[블록 06~07시],$Q665))</f>
        <v/>
      </c>
      <c r="L665" s="20">
        <f>IF($Q665="","",INDEX(상세표[블록 07~18시],$Q665))</f>
        <v/>
      </c>
      <c r="M665" s="20">
        <f>IF($Q665="","",INDEX(상세표[블록 18~22시],$Q665))</f>
        <v/>
      </c>
      <c r="N665" s="20">
        <f>IF($Q665="","",INDEX(상세표[블록 22~06시],$Q665))</f>
        <v/>
      </c>
      <c r="O665">
        <f>IF($Q665="","",INDEX(상세표[주말·휴일 포함],$Q665)&amp;"")</f>
        <v/>
      </c>
      <c r="P665">
        <f>IF($Q665="","",INDEX(상세표[월 넘김 포함],$Q665)&amp;"")</f>
        <v/>
      </c>
      <c r="Q665" s="4">
        <f>IFERROR(MATCH(660,상세표[연속순번],0),"")</f>
        <v/>
      </c>
    </row>
    <row r="666">
      <c r="A666">
        <f>IF($Q666="","",INDEX(상세표[부서],$Q666)&amp;"")</f>
        <v/>
      </c>
      <c r="B666">
        <f>IF($Q666="","",INDEX(상세표[사번],$Q666)&amp;"")</f>
        <v/>
      </c>
      <c r="C666">
        <f>IF($Q666="","",INDEX(상세표[성명],$Q666)&amp;"")</f>
        <v/>
      </c>
      <c r="D666">
        <f>IF($Q666="","",INDEX(상세표[직위],$Q666)&amp;"")</f>
        <v/>
      </c>
      <c r="E666">
        <f>IF($Q666="","",IF(ISNUMBER(INDEX(상세표[근무일자],$Q666)),TEXT(INDEX(상세표[근무일자],$Q666),"yyyy-mm-dd"),INDEX(상세표[근무일자],$Q666)&amp;""))</f>
        <v/>
      </c>
      <c r="F666">
        <f>IF($Q666="","",IF(ISNUMBER(INDEX(상세표[시작],$Q666)),TEXT(INDEX(상세표[시작],$Q666),"yyyy-mm-dd hh:mm"),INDEX(상세표[시작],$Q666)&amp;""))</f>
        <v/>
      </c>
      <c r="G666">
        <f>IF($Q666="","",IF(ISNUMBER(INDEX(상세표[블록종료],$Q666)),TEXT(INDEX(상세표[블록종료],$Q666),"yyyy-mm-dd hh:mm"),INDEX(상세표[블록종료],$Q666)&amp;""))</f>
        <v/>
      </c>
      <c r="H666">
        <f>IF($Q666="","",CHOOSE(WEEKDAY(INDEX(상세표[시작],$Q666)),"일","월","화","수","목","금","토"))</f>
        <v/>
      </c>
      <c r="I666" s="20">
        <f>IF($Q666="","",INDEX(상세표[연속 시간],$Q666))</f>
        <v/>
      </c>
      <c r="J666">
        <f>IF($Q666="","",INDEX(상세표[기록 수],$Q666))</f>
        <v/>
      </c>
      <c r="K666" s="20">
        <f>IF($Q666="","",INDEX(상세표[블록 06~07시],$Q666))</f>
        <v/>
      </c>
      <c r="L666" s="20">
        <f>IF($Q666="","",INDEX(상세표[블록 07~18시],$Q666))</f>
        <v/>
      </c>
      <c r="M666" s="20">
        <f>IF($Q666="","",INDEX(상세표[블록 18~22시],$Q666))</f>
        <v/>
      </c>
      <c r="N666" s="20">
        <f>IF($Q666="","",INDEX(상세표[블록 22~06시],$Q666))</f>
        <v/>
      </c>
      <c r="O666">
        <f>IF($Q666="","",INDEX(상세표[주말·휴일 포함],$Q666)&amp;"")</f>
        <v/>
      </c>
      <c r="P666">
        <f>IF($Q666="","",INDEX(상세표[월 넘김 포함],$Q666)&amp;"")</f>
        <v/>
      </c>
      <c r="Q666" s="4">
        <f>IFERROR(MATCH(661,상세표[연속순번],0),"")</f>
        <v/>
      </c>
    </row>
    <row r="667">
      <c r="A667">
        <f>IF($Q667="","",INDEX(상세표[부서],$Q667)&amp;"")</f>
        <v/>
      </c>
      <c r="B667">
        <f>IF($Q667="","",INDEX(상세표[사번],$Q667)&amp;"")</f>
        <v/>
      </c>
      <c r="C667">
        <f>IF($Q667="","",INDEX(상세표[성명],$Q667)&amp;"")</f>
        <v/>
      </c>
      <c r="D667">
        <f>IF($Q667="","",INDEX(상세표[직위],$Q667)&amp;"")</f>
        <v/>
      </c>
      <c r="E667">
        <f>IF($Q667="","",IF(ISNUMBER(INDEX(상세표[근무일자],$Q667)),TEXT(INDEX(상세표[근무일자],$Q667),"yyyy-mm-dd"),INDEX(상세표[근무일자],$Q667)&amp;""))</f>
        <v/>
      </c>
      <c r="F667">
        <f>IF($Q667="","",IF(ISNUMBER(INDEX(상세표[시작],$Q667)),TEXT(INDEX(상세표[시작],$Q667),"yyyy-mm-dd hh:mm"),INDEX(상세표[시작],$Q667)&amp;""))</f>
        <v/>
      </c>
      <c r="G667">
        <f>IF($Q667="","",IF(ISNUMBER(INDEX(상세표[블록종료],$Q667)),TEXT(INDEX(상세표[블록종료],$Q667),"yyyy-mm-dd hh:mm"),INDEX(상세표[블록종료],$Q667)&amp;""))</f>
        <v/>
      </c>
      <c r="H667">
        <f>IF($Q667="","",CHOOSE(WEEKDAY(INDEX(상세표[시작],$Q667)),"일","월","화","수","목","금","토"))</f>
        <v/>
      </c>
      <c r="I667" s="20">
        <f>IF($Q667="","",INDEX(상세표[연속 시간],$Q667))</f>
        <v/>
      </c>
      <c r="J667">
        <f>IF($Q667="","",INDEX(상세표[기록 수],$Q667))</f>
        <v/>
      </c>
      <c r="K667" s="20">
        <f>IF($Q667="","",INDEX(상세표[블록 06~07시],$Q667))</f>
        <v/>
      </c>
      <c r="L667" s="20">
        <f>IF($Q667="","",INDEX(상세표[블록 07~18시],$Q667))</f>
        <v/>
      </c>
      <c r="M667" s="20">
        <f>IF($Q667="","",INDEX(상세표[블록 18~22시],$Q667))</f>
        <v/>
      </c>
      <c r="N667" s="20">
        <f>IF($Q667="","",INDEX(상세표[블록 22~06시],$Q667))</f>
        <v/>
      </c>
      <c r="O667">
        <f>IF($Q667="","",INDEX(상세표[주말·휴일 포함],$Q667)&amp;"")</f>
        <v/>
      </c>
      <c r="P667">
        <f>IF($Q667="","",INDEX(상세표[월 넘김 포함],$Q667)&amp;"")</f>
        <v/>
      </c>
      <c r="Q667" s="4">
        <f>IFERROR(MATCH(662,상세표[연속순번],0),"")</f>
        <v/>
      </c>
    </row>
    <row r="668">
      <c r="A668">
        <f>IF($Q668="","",INDEX(상세표[부서],$Q668)&amp;"")</f>
        <v/>
      </c>
      <c r="B668">
        <f>IF($Q668="","",INDEX(상세표[사번],$Q668)&amp;"")</f>
        <v/>
      </c>
      <c r="C668">
        <f>IF($Q668="","",INDEX(상세표[성명],$Q668)&amp;"")</f>
        <v/>
      </c>
      <c r="D668">
        <f>IF($Q668="","",INDEX(상세표[직위],$Q668)&amp;"")</f>
        <v/>
      </c>
      <c r="E668">
        <f>IF($Q668="","",IF(ISNUMBER(INDEX(상세표[근무일자],$Q668)),TEXT(INDEX(상세표[근무일자],$Q668),"yyyy-mm-dd"),INDEX(상세표[근무일자],$Q668)&amp;""))</f>
        <v/>
      </c>
      <c r="F668">
        <f>IF($Q668="","",IF(ISNUMBER(INDEX(상세표[시작],$Q668)),TEXT(INDEX(상세표[시작],$Q668),"yyyy-mm-dd hh:mm"),INDEX(상세표[시작],$Q668)&amp;""))</f>
        <v/>
      </c>
      <c r="G668">
        <f>IF($Q668="","",IF(ISNUMBER(INDEX(상세표[블록종료],$Q668)),TEXT(INDEX(상세표[블록종료],$Q668),"yyyy-mm-dd hh:mm"),INDEX(상세표[블록종료],$Q668)&amp;""))</f>
        <v/>
      </c>
      <c r="H668">
        <f>IF($Q668="","",CHOOSE(WEEKDAY(INDEX(상세표[시작],$Q668)),"일","월","화","수","목","금","토"))</f>
        <v/>
      </c>
      <c r="I668" s="20">
        <f>IF($Q668="","",INDEX(상세표[연속 시간],$Q668))</f>
        <v/>
      </c>
      <c r="J668">
        <f>IF($Q668="","",INDEX(상세표[기록 수],$Q668))</f>
        <v/>
      </c>
      <c r="K668" s="20">
        <f>IF($Q668="","",INDEX(상세표[블록 06~07시],$Q668))</f>
        <v/>
      </c>
      <c r="L668" s="20">
        <f>IF($Q668="","",INDEX(상세표[블록 07~18시],$Q668))</f>
        <v/>
      </c>
      <c r="M668" s="20">
        <f>IF($Q668="","",INDEX(상세표[블록 18~22시],$Q668))</f>
        <v/>
      </c>
      <c r="N668" s="20">
        <f>IF($Q668="","",INDEX(상세표[블록 22~06시],$Q668))</f>
        <v/>
      </c>
      <c r="O668">
        <f>IF($Q668="","",INDEX(상세표[주말·휴일 포함],$Q668)&amp;"")</f>
        <v/>
      </c>
      <c r="P668">
        <f>IF($Q668="","",INDEX(상세표[월 넘김 포함],$Q668)&amp;"")</f>
        <v/>
      </c>
      <c r="Q668" s="4">
        <f>IFERROR(MATCH(663,상세표[연속순번],0),"")</f>
        <v/>
      </c>
    </row>
    <row r="669">
      <c r="A669">
        <f>IF($Q669="","",INDEX(상세표[부서],$Q669)&amp;"")</f>
        <v/>
      </c>
      <c r="B669">
        <f>IF($Q669="","",INDEX(상세표[사번],$Q669)&amp;"")</f>
        <v/>
      </c>
      <c r="C669">
        <f>IF($Q669="","",INDEX(상세표[성명],$Q669)&amp;"")</f>
        <v/>
      </c>
      <c r="D669">
        <f>IF($Q669="","",INDEX(상세표[직위],$Q669)&amp;"")</f>
        <v/>
      </c>
      <c r="E669">
        <f>IF($Q669="","",IF(ISNUMBER(INDEX(상세표[근무일자],$Q669)),TEXT(INDEX(상세표[근무일자],$Q669),"yyyy-mm-dd"),INDEX(상세표[근무일자],$Q669)&amp;""))</f>
        <v/>
      </c>
      <c r="F669">
        <f>IF($Q669="","",IF(ISNUMBER(INDEX(상세표[시작],$Q669)),TEXT(INDEX(상세표[시작],$Q669),"yyyy-mm-dd hh:mm"),INDEX(상세표[시작],$Q669)&amp;""))</f>
        <v/>
      </c>
      <c r="G669">
        <f>IF($Q669="","",IF(ISNUMBER(INDEX(상세표[블록종료],$Q669)),TEXT(INDEX(상세표[블록종료],$Q669),"yyyy-mm-dd hh:mm"),INDEX(상세표[블록종료],$Q669)&amp;""))</f>
        <v/>
      </c>
      <c r="H669">
        <f>IF($Q669="","",CHOOSE(WEEKDAY(INDEX(상세표[시작],$Q669)),"일","월","화","수","목","금","토"))</f>
        <v/>
      </c>
      <c r="I669" s="20">
        <f>IF($Q669="","",INDEX(상세표[연속 시간],$Q669))</f>
        <v/>
      </c>
      <c r="J669">
        <f>IF($Q669="","",INDEX(상세표[기록 수],$Q669))</f>
        <v/>
      </c>
      <c r="K669" s="20">
        <f>IF($Q669="","",INDEX(상세표[블록 06~07시],$Q669))</f>
        <v/>
      </c>
      <c r="L669" s="20">
        <f>IF($Q669="","",INDEX(상세표[블록 07~18시],$Q669))</f>
        <v/>
      </c>
      <c r="M669" s="20">
        <f>IF($Q669="","",INDEX(상세표[블록 18~22시],$Q669))</f>
        <v/>
      </c>
      <c r="N669" s="20">
        <f>IF($Q669="","",INDEX(상세표[블록 22~06시],$Q669))</f>
        <v/>
      </c>
      <c r="O669">
        <f>IF($Q669="","",INDEX(상세표[주말·휴일 포함],$Q669)&amp;"")</f>
        <v/>
      </c>
      <c r="P669">
        <f>IF($Q669="","",INDEX(상세표[월 넘김 포함],$Q669)&amp;"")</f>
        <v/>
      </c>
      <c r="Q669" s="4">
        <f>IFERROR(MATCH(664,상세표[연속순번],0),"")</f>
        <v/>
      </c>
    </row>
    <row r="670">
      <c r="A670">
        <f>IF($Q670="","",INDEX(상세표[부서],$Q670)&amp;"")</f>
        <v/>
      </c>
      <c r="B670">
        <f>IF($Q670="","",INDEX(상세표[사번],$Q670)&amp;"")</f>
        <v/>
      </c>
      <c r="C670">
        <f>IF($Q670="","",INDEX(상세표[성명],$Q670)&amp;"")</f>
        <v/>
      </c>
      <c r="D670">
        <f>IF($Q670="","",INDEX(상세표[직위],$Q670)&amp;"")</f>
        <v/>
      </c>
      <c r="E670">
        <f>IF($Q670="","",IF(ISNUMBER(INDEX(상세표[근무일자],$Q670)),TEXT(INDEX(상세표[근무일자],$Q670),"yyyy-mm-dd"),INDEX(상세표[근무일자],$Q670)&amp;""))</f>
        <v/>
      </c>
      <c r="F670">
        <f>IF($Q670="","",IF(ISNUMBER(INDEX(상세표[시작],$Q670)),TEXT(INDEX(상세표[시작],$Q670),"yyyy-mm-dd hh:mm"),INDEX(상세표[시작],$Q670)&amp;""))</f>
        <v/>
      </c>
      <c r="G670">
        <f>IF($Q670="","",IF(ISNUMBER(INDEX(상세표[블록종료],$Q670)),TEXT(INDEX(상세표[블록종료],$Q670),"yyyy-mm-dd hh:mm"),INDEX(상세표[블록종료],$Q670)&amp;""))</f>
        <v/>
      </c>
      <c r="H670">
        <f>IF($Q670="","",CHOOSE(WEEKDAY(INDEX(상세표[시작],$Q670)),"일","월","화","수","목","금","토"))</f>
        <v/>
      </c>
      <c r="I670" s="20">
        <f>IF($Q670="","",INDEX(상세표[연속 시간],$Q670))</f>
        <v/>
      </c>
      <c r="J670">
        <f>IF($Q670="","",INDEX(상세표[기록 수],$Q670))</f>
        <v/>
      </c>
      <c r="K670" s="20">
        <f>IF($Q670="","",INDEX(상세표[블록 06~07시],$Q670))</f>
        <v/>
      </c>
      <c r="L670" s="20">
        <f>IF($Q670="","",INDEX(상세표[블록 07~18시],$Q670))</f>
        <v/>
      </c>
      <c r="M670" s="20">
        <f>IF($Q670="","",INDEX(상세표[블록 18~22시],$Q670))</f>
        <v/>
      </c>
      <c r="N670" s="20">
        <f>IF($Q670="","",INDEX(상세표[블록 22~06시],$Q670))</f>
        <v/>
      </c>
      <c r="O670">
        <f>IF($Q670="","",INDEX(상세표[주말·휴일 포함],$Q670)&amp;"")</f>
        <v/>
      </c>
      <c r="P670">
        <f>IF($Q670="","",INDEX(상세표[월 넘김 포함],$Q670)&amp;"")</f>
        <v/>
      </c>
      <c r="Q670" s="4">
        <f>IFERROR(MATCH(665,상세표[연속순번],0),"")</f>
        <v/>
      </c>
    </row>
    <row r="671">
      <c r="A671">
        <f>IF($Q671="","",INDEX(상세표[부서],$Q671)&amp;"")</f>
        <v/>
      </c>
      <c r="B671">
        <f>IF($Q671="","",INDEX(상세표[사번],$Q671)&amp;"")</f>
        <v/>
      </c>
      <c r="C671">
        <f>IF($Q671="","",INDEX(상세표[성명],$Q671)&amp;"")</f>
        <v/>
      </c>
      <c r="D671">
        <f>IF($Q671="","",INDEX(상세표[직위],$Q671)&amp;"")</f>
        <v/>
      </c>
      <c r="E671">
        <f>IF($Q671="","",IF(ISNUMBER(INDEX(상세표[근무일자],$Q671)),TEXT(INDEX(상세표[근무일자],$Q671),"yyyy-mm-dd"),INDEX(상세표[근무일자],$Q671)&amp;""))</f>
        <v/>
      </c>
      <c r="F671">
        <f>IF($Q671="","",IF(ISNUMBER(INDEX(상세표[시작],$Q671)),TEXT(INDEX(상세표[시작],$Q671),"yyyy-mm-dd hh:mm"),INDEX(상세표[시작],$Q671)&amp;""))</f>
        <v/>
      </c>
      <c r="G671">
        <f>IF($Q671="","",IF(ISNUMBER(INDEX(상세표[블록종료],$Q671)),TEXT(INDEX(상세표[블록종료],$Q671),"yyyy-mm-dd hh:mm"),INDEX(상세표[블록종료],$Q671)&amp;""))</f>
        <v/>
      </c>
      <c r="H671">
        <f>IF($Q671="","",CHOOSE(WEEKDAY(INDEX(상세표[시작],$Q671)),"일","월","화","수","목","금","토"))</f>
        <v/>
      </c>
      <c r="I671" s="20">
        <f>IF($Q671="","",INDEX(상세표[연속 시간],$Q671))</f>
        <v/>
      </c>
      <c r="J671">
        <f>IF($Q671="","",INDEX(상세표[기록 수],$Q671))</f>
        <v/>
      </c>
      <c r="K671" s="20">
        <f>IF($Q671="","",INDEX(상세표[블록 06~07시],$Q671))</f>
        <v/>
      </c>
      <c r="L671" s="20">
        <f>IF($Q671="","",INDEX(상세표[블록 07~18시],$Q671))</f>
        <v/>
      </c>
      <c r="M671" s="20">
        <f>IF($Q671="","",INDEX(상세표[블록 18~22시],$Q671))</f>
        <v/>
      </c>
      <c r="N671" s="20">
        <f>IF($Q671="","",INDEX(상세표[블록 22~06시],$Q671))</f>
        <v/>
      </c>
      <c r="O671">
        <f>IF($Q671="","",INDEX(상세표[주말·휴일 포함],$Q671)&amp;"")</f>
        <v/>
      </c>
      <c r="P671">
        <f>IF($Q671="","",INDEX(상세표[월 넘김 포함],$Q671)&amp;"")</f>
        <v/>
      </c>
      <c r="Q671" s="4">
        <f>IFERROR(MATCH(666,상세표[연속순번],0),"")</f>
        <v/>
      </c>
    </row>
    <row r="672">
      <c r="A672">
        <f>IF($Q672="","",INDEX(상세표[부서],$Q672)&amp;"")</f>
        <v/>
      </c>
      <c r="B672">
        <f>IF($Q672="","",INDEX(상세표[사번],$Q672)&amp;"")</f>
        <v/>
      </c>
      <c r="C672">
        <f>IF($Q672="","",INDEX(상세표[성명],$Q672)&amp;"")</f>
        <v/>
      </c>
      <c r="D672">
        <f>IF($Q672="","",INDEX(상세표[직위],$Q672)&amp;"")</f>
        <v/>
      </c>
      <c r="E672">
        <f>IF($Q672="","",IF(ISNUMBER(INDEX(상세표[근무일자],$Q672)),TEXT(INDEX(상세표[근무일자],$Q672),"yyyy-mm-dd"),INDEX(상세표[근무일자],$Q672)&amp;""))</f>
        <v/>
      </c>
      <c r="F672">
        <f>IF($Q672="","",IF(ISNUMBER(INDEX(상세표[시작],$Q672)),TEXT(INDEX(상세표[시작],$Q672),"yyyy-mm-dd hh:mm"),INDEX(상세표[시작],$Q672)&amp;""))</f>
        <v/>
      </c>
      <c r="G672">
        <f>IF($Q672="","",IF(ISNUMBER(INDEX(상세표[블록종료],$Q672)),TEXT(INDEX(상세표[블록종료],$Q672),"yyyy-mm-dd hh:mm"),INDEX(상세표[블록종료],$Q672)&amp;""))</f>
        <v/>
      </c>
      <c r="H672">
        <f>IF($Q672="","",CHOOSE(WEEKDAY(INDEX(상세표[시작],$Q672)),"일","월","화","수","목","금","토"))</f>
        <v/>
      </c>
      <c r="I672" s="20">
        <f>IF($Q672="","",INDEX(상세표[연속 시간],$Q672))</f>
        <v/>
      </c>
      <c r="J672">
        <f>IF($Q672="","",INDEX(상세표[기록 수],$Q672))</f>
        <v/>
      </c>
      <c r="K672" s="20">
        <f>IF($Q672="","",INDEX(상세표[블록 06~07시],$Q672))</f>
        <v/>
      </c>
      <c r="L672" s="20">
        <f>IF($Q672="","",INDEX(상세표[블록 07~18시],$Q672))</f>
        <v/>
      </c>
      <c r="M672" s="20">
        <f>IF($Q672="","",INDEX(상세표[블록 18~22시],$Q672))</f>
        <v/>
      </c>
      <c r="N672" s="20">
        <f>IF($Q672="","",INDEX(상세표[블록 22~06시],$Q672))</f>
        <v/>
      </c>
      <c r="O672">
        <f>IF($Q672="","",INDEX(상세표[주말·휴일 포함],$Q672)&amp;"")</f>
        <v/>
      </c>
      <c r="P672">
        <f>IF($Q672="","",INDEX(상세표[월 넘김 포함],$Q672)&amp;"")</f>
        <v/>
      </c>
      <c r="Q672" s="4">
        <f>IFERROR(MATCH(667,상세표[연속순번],0),"")</f>
        <v/>
      </c>
    </row>
    <row r="673">
      <c r="A673">
        <f>IF($Q673="","",INDEX(상세표[부서],$Q673)&amp;"")</f>
        <v/>
      </c>
      <c r="B673">
        <f>IF($Q673="","",INDEX(상세표[사번],$Q673)&amp;"")</f>
        <v/>
      </c>
      <c r="C673">
        <f>IF($Q673="","",INDEX(상세표[성명],$Q673)&amp;"")</f>
        <v/>
      </c>
      <c r="D673">
        <f>IF($Q673="","",INDEX(상세표[직위],$Q673)&amp;"")</f>
        <v/>
      </c>
      <c r="E673">
        <f>IF($Q673="","",IF(ISNUMBER(INDEX(상세표[근무일자],$Q673)),TEXT(INDEX(상세표[근무일자],$Q673),"yyyy-mm-dd"),INDEX(상세표[근무일자],$Q673)&amp;""))</f>
        <v/>
      </c>
      <c r="F673">
        <f>IF($Q673="","",IF(ISNUMBER(INDEX(상세표[시작],$Q673)),TEXT(INDEX(상세표[시작],$Q673),"yyyy-mm-dd hh:mm"),INDEX(상세표[시작],$Q673)&amp;""))</f>
        <v/>
      </c>
      <c r="G673">
        <f>IF($Q673="","",IF(ISNUMBER(INDEX(상세표[블록종료],$Q673)),TEXT(INDEX(상세표[블록종료],$Q673),"yyyy-mm-dd hh:mm"),INDEX(상세표[블록종료],$Q673)&amp;""))</f>
        <v/>
      </c>
      <c r="H673">
        <f>IF($Q673="","",CHOOSE(WEEKDAY(INDEX(상세표[시작],$Q673)),"일","월","화","수","목","금","토"))</f>
        <v/>
      </c>
      <c r="I673" s="20">
        <f>IF($Q673="","",INDEX(상세표[연속 시간],$Q673))</f>
        <v/>
      </c>
      <c r="J673">
        <f>IF($Q673="","",INDEX(상세표[기록 수],$Q673))</f>
        <v/>
      </c>
      <c r="K673" s="20">
        <f>IF($Q673="","",INDEX(상세표[블록 06~07시],$Q673))</f>
        <v/>
      </c>
      <c r="L673" s="20">
        <f>IF($Q673="","",INDEX(상세표[블록 07~18시],$Q673))</f>
        <v/>
      </c>
      <c r="M673" s="20">
        <f>IF($Q673="","",INDEX(상세표[블록 18~22시],$Q673))</f>
        <v/>
      </c>
      <c r="N673" s="20">
        <f>IF($Q673="","",INDEX(상세표[블록 22~06시],$Q673))</f>
        <v/>
      </c>
      <c r="O673">
        <f>IF($Q673="","",INDEX(상세표[주말·휴일 포함],$Q673)&amp;"")</f>
        <v/>
      </c>
      <c r="P673">
        <f>IF($Q673="","",INDEX(상세표[월 넘김 포함],$Q673)&amp;"")</f>
        <v/>
      </c>
      <c r="Q673" s="4">
        <f>IFERROR(MATCH(668,상세표[연속순번],0),"")</f>
        <v/>
      </c>
    </row>
    <row r="674">
      <c r="A674">
        <f>IF($Q674="","",INDEX(상세표[부서],$Q674)&amp;"")</f>
        <v/>
      </c>
      <c r="B674">
        <f>IF($Q674="","",INDEX(상세표[사번],$Q674)&amp;"")</f>
        <v/>
      </c>
      <c r="C674">
        <f>IF($Q674="","",INDEX(상세표[성명],$Q674)&amp;"")</f>
        <v/>
      </c>
      <c r="D674">
        <f>IF($Q674="","",INDEX(상세표[직위],$Q674)&amp;"")</f>
        <v/>
      </c>
      <c r="E674">
        <f>IF($Q674="","",IF(ISNUMBER(INDEX(상세표[근무일자],$Q674)),TEXT(INDEX(상세표[근무일자],$Q674),"yyyy-mm-dd"),INDEX(상세표[근무일자],$Q674)&amp;""))</f>
        <v/>
      </c>
      <c r="F674">
        <f>IF($Q674="","",IF(ISNUMBER(INDEX(상세표[시작],$Q674)),TEXT(INDEX(상세표[시작],$Q674),"yyyy-mm-dd hh:mm"),INDEX(상세표[시작],$Q674)&amp;""))</f>
        <v/>
      </c>
      <c r="G674">
        <f>IF($Q674="","",IF(ISNUMBER(INDEX(상세표[블록종료],$Q674)),TEXT(INDEX(상세표[블록종료],$Q674),"yyyy-mm-dd hh:mm"),INDEX(상세표[블록종료],$Q674)&amp;""))</f>
        <v/>
      </c>
      <c r="H674">
        <f>IF($Q674="","",CHOOSE(WEEKDAY(INDEX(상세표[시작],$Q674)),"일","월","화","수","목","금","토"))</f>
        <v/>
      </c>
      <c r="I674" s="20">
        <f>IF($Q674="","",INDEX(상세표[연속 시간],$Q674))</f>
        <v/>
      </c>
      <c r="J674">
        <f>IF($Q674="","",INDEX(상세표[기록 수],$Q674))</f>
        <v/>
      </c>
      <c r="K674" s="20">
        <f>IF($Q674="","",INDEX(상세표[블록 06~07시],$Q674))</f>
        <v/>
      </c>
      <c r="L674" s="20">
        <f>IF($Q674="","",INDEX(상세표[블록 07~18시],$Q674))</f>
        <v/>
      </c>
      <c r="M674" s="20">
        <f>IF($Q674="","",INDEX(상세표[블록 18~22시],$Q674))</f>
        <v/>
      </c>
      <c r="N674" s="20">
        <f>IF($Q674="","",INDEX(상세표[블록 22~06시],$Q674))</f>
        <v/>
      </c>
      <c r="O674">
        <f>IF($Q674="","",INDEX(상세표[주말·휴일 포함],$Q674)&amp;"")</f>
        <v/>
      </c>
      <c r="P674">
        <f>IF($Q674="","",INDEX(상세표[월 넘김 포함],$Q674)&amp;"")</f>
        <v/>
      </c>
      <c r="Q674" s="4">
        <f>IFERROR(MATCH(669,상세표[연속순번],0),"")</f>
        <v/>
      </c>
    </row>
    <row r="675">
      <c r="A675">
        <f>IF($Q675="","",INDEX(상세표[부서],$Q675)&amp;"")</f>
        <v/>
      </c>
      <c r="B675">
        <f>IF($Q675="","",INDEX(상세표[사번],$Q675)&amp;"")</f>
        <v/>
      </c>
      <c r="C675">
        <f>IF($Q675="","",INDEX(상세표[성명],$Q675)&amp;"")</f>
        <v/>
      </c>
      <c r="D675">
        <f>IF($Q675="","",INDEX(상세표[직위],$Q675)&amp;"")</f>
        <v/>
      </c>
      <c r="E675">
        <f>IF($Q675="","",IF(ISNUMBER(INDEX(상세표[근무일자],$Q675)),TEXT(INDEX(상세표[근무일자],$Q675),"yyyy-mm-dd"),INDEX(상세표[근무일자],$Q675)&amp;""))</f>
        <v/>
      </c>
      <c r="F675">
        <f>IF($Q675="","",IF(ISNUMBER(INDEX(상세표[시작],$Q675)),TEXT(INDEX(상세표[시작],$Q675),"yyyy-mm-dd hh:mm"),INDEX(상세표[시작],$Q675)&amp;""))</f>
        <v/>
      </c>
      <c r="G675">
        <f>IF($Q675="","",IF(ISNUMBER(INDEX(상세표[블록종료],$Q675)),TEXT(INDEX(상세표[블록종료],$Q675),"yyyy-mm-dd hh:mm"),INDEX(상세표[블록종료],$Q675)&amp;""))</f>
        <v/>
      </c>
      <c r="H675">
        <f>IF($Q675="","",CHOOSE(WEEKDAY(INDEX(상세표[시작],$Q675)),"일","월","화","수","목","금","토"))</f>
        <v/>
      </c>
      <c r="I675" s="20">
        <f>IF($Q675="","",INDEX(상세표[연속 시간],$Q675))</f>
        <v/>
      </c>
      <c r="J675">
        <f>IF($Q675="","",INDEX(상세표[기록 수],$Q675))</f>
        <v/>
      </c>
      <c r="K675" s="20">
        <f>IF($Q675="","",INDEX(상세표[블록 06~07시],$Q675))</f>
        <v/>
      </c>
      <c r="L675" s="20">
        <f>IF($Q675="","",INDEX(상세표[블록 07~18시],$Q675))</f>
        <v/>
      </c>
      <c r="M675" s="20">
        <f>IF($Q675="","",INDEX(상세표[블록 18~22시],$Q675))</f>
        <v/>
      </c>
      <c r="N675" s="20">
        <f>IF($Q675="","",INDEX(상세표[블록 22~06시],$Q675))</f>
        <v/>
      </c>
      <c r="O675">
        <f>IF($Q675="","",INDEX(상세표[주말·휴일 포함],$Q675)&amp;"")</f>
        <v/>
      </c>
      <c r="P675">
        <f>IF($Q675="","",INDEX(상세표[월 넘김 포함],$Q675)&amp;"")</f>
        <v/>
      </c>
      <c r="Q675" s="4">
        <f>IFERROR(MATCH(670,상세표[연속순번],0),"")</f>
        <v/>
      </c>
    </row>
    <row r="676">
      <c r="A676">
        <f>IF($Q676="","",INDEX(상세표[부서],$Q676)&amp;"")</f>
        <v/>
      </c>
      <c r="B676">
        <f>IF($Q676="","",INDEX(상세표[사번],$Q676)&amp;"")</f>
        <v/>
      </c>
      <c r="C676">
        <f>IF($Q676="","",INDEX(상세표[성명],$Q676)&amp;"")</f>
        <v/>
      </c>
      <c r="D676">
        <f>IF($Q676="","",INDEX(상세표[직위],$Q676)&amp;"")</f>
        <v/>
      </c>
      <c r="E676">
        <f>IF($Q676="","",IF(ISNUMBER(INDEX(상세표[근무일자],$Q676)),TEXT(INDEX(상세표[근무일자],$Q676),"yyyy-mm-dd"),INDEX(상세표[근무일자],$Q676)&amp;""))</f>
        <v/>
      </c>
      <c r="F676">
        <f>IF($Q676="","",IF(ISNUMBER(INDEX(상세표[시작],$Q676)),TEXT(INDEX(상세표[시작],$Q676),"yyyy-mm-dd hh:mm"),INDEX(상세표[시작],$Q676)&amp;""))</f>
        <v/>
      </c>
      <c r="G676">
        <f>IF($Q676="","",IF(ISNUMBER(INDEX(상세표[블록종료],$Q676)),TEXT(INDEX(상세표[블록종료],$Q676),"yyyy-mm-dd hh:mm"),INDEX(상세표[블록종료],$Q676)&amp;""))</f>
        <v/>
      </c>
      <c r="H676">
        <f>IF($Q676="","",CHOOSE(WEEKDAY(INDEX(상세표[시작],$Q676)),"일","월","화","수","목","금","토"))</f>
        <v/>
      </c>
      <c r="I676" s="20">
        <f>IF($Q676="","",INDEX(상세표[연속 시간],$Q676))</f>
        <v/>
      </c>
      <c r="J676">
        <f>IF($Q676="","",INDEX(상세표[기록 수],$Q676))</f>
        <v/>
      </c>
      <c r="K676" s="20">
        <f>IF($Q676="","",INDEX(상세표[블록 06~07시],$Q676))</f>
        <v/>
      </c>
      <c r="L676" s="20">
        <f>IF($Q676="","",INDEX(상세표[블록 07~18시],$Q676))</f>
        <v/>
      </c>
      <c r="M676" s="20">
        <f>IF($Q676="","",INDEX(상세표[블록 18~22시],$Q676))</f>
        <v/>
      </c>
      <c r="N676" s="20">
        <f>IF($Q676="","",INDEX(상세표[블록 22~06시],$Q676))</f>
        <v/>
      </c>
      <c r="O676">
        <f>IF($Q676="","",INDEX(상세표[주말·휴일 포함],$Q676)&amp;"")</f>
        <v/>
      </c>
      <c r="P676">
        <f>IF($Q676="","",INDEX(상세표[월 넘김 포함],$Q676)&amp;"")</f>
        <v/>
      </c>
      <c r="Q676" s="4">
        <f>IFERROR(MATCH(671,상세표[연속순번],0),"")</f>
        <v/>
      </c>
    </row>
    <row r="677">
      <c r="A677">
        <f>IF($Q677="","",INDEX(상세표[부서],$Q677)&amp;"")</f>
        <v/>
      </c>
      <c r="B677">
        <f>IF($Q677="","",INDEX(상세표[사번],$Q677)&amp;"")</f>
        <v/>
      </c>
      <c r="C677">
        <f>IF($Q677="","",INDEX(상세표[성명],$Q677)&amp;"")</f>
        <v/>
      </c>
      <c r="D677">
        <f>IF($Q677="","",INDEX(상세표[직위],$Q677)&amp;"")</f>
        <v/>
      </c>
      <c r="E677">
        <f>IF($Q677="","",IF(ISNUMBER(INDEX(상세표[근무일자],$Q677)),TEXT(INDEX(상세표[근무일자],$Q677),"yyyy-mm-dd"),INDEX(상세표[근무일자],$Q677)&amp;""))</f>
        <v/>
      </c>
      <c r="F677">
        <f>IF($Q677="","",IF(ISNUMBER(INDEX(상세표[시작],$Q677)),TEXT(INDEX(상세표[시작],$Q677),"yyyy-mm-dd hh:mm"),INDEX(상세표[시작],$Q677)&amp;""))</f>
        <v/>
      </c>
      <c r="G677">
        <f>IF($Q677="","",IF(ISNUMBER(INDEX(상세표[블록종료],$Q677)),TEXT(INDEX(상세표[블록종료],$Q677),"yyyy-mm-dd hh:mm"),INDEX(상세표[블록종료],$Q677)&amp;""))</f>
        <v/>
      </c>
      <c r="H677">
        <f>IF($Q677="","",CHOOSE(WEEKDAY(INDEX(상세표[시작],$Q677)),"일","월","화","수","목","금","토"))</f>
        <v/>
      </c>
      <c r="I677" s="20">
        <f>IF($Q677="","",INDEX(상세표[연속 시간],$Q677))</f>
        <v/>
      </c>
      <c r="J677">
        <f>IF($Q677="","",INDEX(상세표[기록 수],$Q677))</f>
        <v/>
      </c>
      <c r="K677" s="20">
        <f>IF($Q677="","",INDEX(상세표[블록 06~07시],$Q677))</f>
        <v/>
      </c>
      <c r="L677" s="20">
        <f>IF($Q677="","",INDEX(상세표[블록 07~18시],$Q677))</f>
        <v/>
      </c>
      <c r="M677" s="20">
        <f>IF($Q677="","",INDEX(상세표[블록 18~22시],$Q677))</f>
        <v/>
      </c>
      <c r="N677" s="20">
        <f>IF($Q677="","",INDEX(상세표[블록 22~06시],$Q677))</f>
        <v/>
      </c>
      <c r="O677">
        <f>IF($Q677="","",INDEX(상세표[주말·휴일 포함],$Q677)&amp;"")</f>
        <v/>
      </c>
      <c r="P677">
        <f>IF($Q677="","",INDEX(상세표[월 넘김 포함],$Q677)&amp;"")</f>
        <v/>
      </c>
      <c r="Q677" s="4">
        <f>IFERROR(MATCH(672,상세표[연속순번],0),"")</f>
        <v/>
      </c>
    </row>
    <row r="678">
      <c r="A678">
        <f>IF($Q678="","",INDEX(상세표[부서],$Q678)&amp;"")</f>
        <v/>
      </c>
      <c r="B678">
        <f>IF($Q678="","",INDEX(상세표[사번],$Q678)&amp;"")</f>
        <v/>
      </c>
      <c r="C678">
        <f>IF($Q678="","",INDEX(상세표[성명],$Q678)&amp;"")</f>
        <v/>
      </c>
      <c r="D678">
        <f>IF($Q678="","",INDEX(상세표[직위],$Q678)&amp;"")</f>
        <v/>
      </c>
      <c r="E678">
        <f>IF($Q678="","",IF(ISNUMBER(INDEX(상세표[근무일자],$Q678)),TEXT(INDEX(상세표[근무일자],$Q678),"yyyy-mm-dd"),INDEX(상세표[근무일자],$Q678)&amp;""))</f>
        <v/>
      </c>
      <c r="F678">
        <f>IF($Q678="","",IF(ISNUMBER(INDEX(상세표[시작],$Q678)),TEXT(INDEX(상세표[시작],$Q678),"yyyy-mm-dd hh:mm"),INDEX(상세표[시작],$Q678)&amp;""))</f>
        <v/>
      </c>
      <c r="G678">
        <f>IF($Q678="","",IF(ISNUMBER(INDEX(상세표[블록종료],$Q678)),TEXT(INDEX(상세표[블록종료],$Q678),"yyyy-mm-dd hh:mm"),INDEX(상세표[블록종료],$Q678)&amp;""))</f>
        <v/>
      </c>
      <c r="H678">
        <f>IF($Q678="","",CHOOSE(WEEKDAY(INDEX(상세표[시작],$Q678)),"일","월","화","수","목","금","토"))</f>
        <v/>
      </c>
      <c r="I678" s="20">
        <f>IF($Q678="","",INDEX(상세표[연속 시간],$Q678))</f>
        <v/>
      </c>
      <c r="J678">
        <f>IF($Q678="","",INDEX(상세표[기록 수],$Q678))</f>
        <v/>
      </c>
      <c r="K678" s="20">
        <f>IF($Q678="","",INDEX(상세표[블록 06~07시],$Q678))</f>
        <v/>
      </c>
      <c r="L678" s="20">
        <f>IF($Q678="","",INDEX(상세표[블록 07~18시],$Q678))</f>
        <v/>
      </c>
      <c r="M678" s="20">
        <f>IF($Q678="","",INDEX(상세표[블록 18~22시],$Q678))</f>
        <v/>
      </c>
      <c r="N678" s="20">
        <f>IF($Q678="","",INDEX(상세표[블록 22~06시],$Q678))</f>
        <v/>
      </c>
      <c r="O678">
        <f>IF($Q678="","",INDEX(상세표[주말·휴일 포함],$Q678)&amp;"")</f>
        <v/>
      </c>
      <c r="P678">
        <f>IF($Q678="","",INDEX(상세표[월 넘김 포함],$Q678)&amp;"")</f>
        <v/>
      </c>
      <c r="Q678" s="4">
        <f>IFERROR(MATCH(673,상세표[연속순번],0),"")</f>
        <v/>
      </c>
    </row>
    <row r="679">
      <c r="A679">
        <f>IF($Q679="","",INDEX(상세표[부서],$Q679)&amp;"")</f>
        <v/>
      </c>
      <c r="B679">
        <f>IF($Q679="","",INDEX(상세표[사번],$Q679)&amp;"")</f>
        <v/>
      </c>
      <c r="C679">
        <f>IF($Q679="","",INDEX(상세표[성명],$Q679)&amp;"")</f>
        <v/>
      </c>
      <c r="D679">
        <f>IF($Q679="","",INDEX(상세표[직위],$Q679)&amp;"")</f>
        <v/>
      </c>
      <c r="E679">
        <f>IF($Q679="","",IF(ISNUMBER(INDEX(상세표[근무일자],$Q679)),TEXT(INDEX(상세표[근무일자],$Q679),"yyyy-mm-dd"),INDEX(상세표[근무일자],$Q679)&amp;""))</f>
        <v/>
      </c>
      <c r="F679">
        <f>IF($Q679="","",IF(ISNUMBER(INDEX(상세표[시작],$Q679)),TEXT(INDEX(상세표[시작],$Q679),"yyyy-mm-dd hh:mm"),INDEX(상세표[시작],$Q679)&amp;""))</f>
        <v/>
      </c>
      <c r="G679">
        <f>IF($Q679="","",IF(ISNUMBER(INDEX(상세표[블록종료],$Q679)),TEXT(INDEX(상세표[블록종료],$Q679),"yyyy-mm-dd hh:mm"),INDEX(상세표[블록종료],$Q679)&amp;""))</f>
        <v/>
      </c>
      <c r="H679">
        <f>IF($Q679="","",CHOOSE(WEEKDAY(INDEX(상세표[시작],$Q679)),"일","월","화","수","목","금","토"))</f>
        <v/>
      </c>
      <c r="I679" s="20">
        <f>IF($Q679="","",INDEX(상세표[연속 시간],$Q679))</f>
        <v/>
      </c>
      <c r="J679">
        <f>IF($Q679="","",INDEX(상세표[기록 수],$Q679))</f>
        <v/>
      </c>
      <c r="K679" s="20">
        <f>IF($Q679="","",INDEX(상세표[블록 06~07시],$Q679))</f>
        <v/>
      </c>
      <c r="L679" s="20">
        <f>IF($Q679="","",INDEX(상세표[블록 07~18시],$Q679))</f>
        <v/>
      </c>
      <c r="M679" s="20">
        <f>IF($Q679="","",INDEX(상세표[블록 18~22시],$Q679))</f>
        <v/>
      </c>
      <c r="N679" s="20">
        <f>IF($Q679="","",INDEX(상세표[블록 22~06시],$Q679))</f>
        <v/>
      </c>
      <c r="O679">
        <f>IF($Q679="","",INDEX(상세표[주말·휴일 포함],$Q679)&amp;"")</f>
        <v/>
      </c>
      <c r="P679">
        <f>IF($Q679="","",INDEX(상세표[월 넘김 포함],$Q679)&amp;"")</f>
        <v/>
      </c>
      <c r="Q679" s="4">
        <f>IFERROR(MATCH(674,상세표[연속순번],0),"")</f>
        <v/>
      </c>
    </row>
    <row r="680">
      <c r="A680">
        <f>IF($Q680="","",INDEX(상세표[부서],$Q680)&amp;"")</f>
        <v/>
      </c>
      <c r="B680">
        <f>IF($Q680="","",INDEX(상세표[사번],$Q680)&amp;"")</f>
        <v/>
      </c>
      <c r="C680">
        <f>IF($Q680="","",INDEX(상세표[성명],$Q680)&amp;"")</f>
        <v/>
      </c>
      <c r="D680">
        <f>IF($Q680="","",INDEX(상세표[직위],$Q680)&amp;"")</f>
        <v/>
      </c>
      <c r="E680">
        <f>IF($Q680="","",IF(ISNUMBER(INDEX(상세표[근무일자],$Q680)),TEXT(INDEX(상세표[근무일자],$Q680),"yyyy-mm-dd"),INDEX(상세표[근무일자],$Q680)&amp;""))</f>
        <v/>
      </c>
      <c r="F680">
        <f>IF($Q680="","",IF(ISNUMBER(INDEX(상세표[시작],$Q680)),TEXT(INDEX(상세표[시작],$Q680),"yyyy-mm-dd hh:mm"),INDEX(상세표[시작],$Q680)&amp;""))</f>
        <v/>
      </c>
      <c r="G680">
        <f>IF($Q680="","",IF(ISNUMBER(INDEX(상세표[블록종료],$Q680)),TEXT(INDEX(상세표[블록종료],$Q680),"yyyy-mm-dd hh:mm"),INDEX(상세표[블록종료],$Q680)&amp;""))</f>
        <v/>
      </c>
      <c r="H680">
        <f>IF($Q680="","",CHOOSE(WEEKDAY(INDEX(상세표[시작],$Q680)),"일","월","화","수","목","금","토"))</f>
        <v/>
      </c>
      <c r="I680" s="20">
        <f>IF($Q680="","",INDEX(상세표[연속 시간],$Q680))</f>
        <v/>
      </c>
      <c r="J680">
        <f>IF($Q680="","",INDEX(상세표[기록 수],$Q680))</f>
        <v/>
      </c>
      <c r="K680" s="20">
        <f>IF($Q680="","",INDEX(상세표[블록 06~07시],$Q680))</f>
        <v/>
      </c>
      <c r="L680" s="20">
        <f>IF($Q680="","",INDEX(상세표[블록 07~18시],$Q680))</f>
        <v/>
      </c>
      <c r="M680" s="20">
        <f>IF($Q680="","",INDEX(상세표[블록 18~22시],$Q680))</f>
        <v/>
      </c>
      <c r="N680" s="20">
        <f>IF($Q680="","",INDEX(상세표[블록 22~06시],$Q680))</f>
        <v/>
      </c>
      <c r="O680">
        <f>IF($Q680="","",INDEX(상세표[주말·휴일 포함],$Q680)&amp;"")</f>
        <v/>
      </c>
      <c r="P680">
        <f>IF($Q680="","",INDEX(상세표[월 넘김 포함],$Q680)&amp;"")</f>
        <v/>
      </c>
      <c r="Q680" s="4">
        <f>IFERROR(MATCH(675,상세표[연속순번],0),"")</f>
        <v/>
      </c>
    </row>
    <row r="681">
      <c r="A681">
        <f>IF($Q681="","",INDEX(상세표[부서],$Q681)&amp;"")</f>
        <v/>
      </c>
      <c r="B681">
        <f>IF($Q681="","",INDEX(상세표[사번],$Q681)&amp;"")</f>
        <v/>
      </c>
      <c r="C681">
        <f>IF($Q681="","",INDEX(상세표[성명],$Q681)&amp;"")</f>
        <v/>
      </c>
      <c r="D681">
        <f>IF($Q681="","",INDEX(상세표[직위],$Q681)&amp;"")</f>
        <v/>
      </c>
      <c r="E681">
        <f>IF($Q681="","",IF(ISNUMBER(INDEX(상세표[근무일자],$Q681)),TEXT(INDEX(상세표[근무일자],$Q681),"yyyy-mm-dd"),INDEX(상세표[근무일자],$Q681)&amp;""))</f>
        <v/>
      </c>
      <c r="F681">
        <f>IF($Q681="","",IF(ISNUMBER(INDEX(상세표[시작],$Q681)),TEXT(INDEX(상세표[시작],$Q681),"yyyy-mm-dd hh:mm"),INDEX(상세표[시작],$Q681)&amp;""))</f>
        <v/>
      </c>
      <c r="G681">
        <f>IF($Q681="","",IF(ISNUMBER(INDEX(상세표[블록종료],$Q681)),TEXT(INDEX(상세표[블록종료],$Q681),"yyyy-mm-dd hh:mm"),INDEX(상세표[블록종료],$Q681)&amp;""))</f>
        <v/>
      </c>
      <c r="H681">
        <f>IF($Q681="","",CHOOSE(WEEKDAY(INDEX(상세표[시작],$Q681)),"일","월","화","수","목","금","토"))</f>
        <v/>
      </c>
      <c r="I681" s="20">
        <f>IF($Q681="","",INDEX(상세표[연속 시간],$Q681))</f>
        <v/>
      </c>
      <c r="J681">
        <f>IF($Q681="","",INDEX(상세표[기록 수],$Q681))</f>
        <v/>
      </c>
      <c r="K681" s="20">
        <f>IF($Q681="","",INDEX(상세표[블록 06~07시],$Q681))</f>
        <v/>
      </c>
      <c r="L681" s="20">
        <f>IF($Q681="","",INDEX(상세표[블록 07~18시],$Q681))</f>
        <v/>
      </c>
      <c r="M681" s="20">
        <f>IF($Q681="","",INDEX(상세표[블록 18~22시],$Q681))</f>
        <v/>
      </c>
      <c r="N681" s="20">
        <f>IF($Q681="","",INDEX(상세표[블록 22~06시],$Q681))</f>
        <v/>
      </c>
      <c r="O681">
        <f>IF($Q681="","",INDEX(상세표[주말·휴일 포함],$Q681)&amp;"")</f>
        <v/>
      </c>
      <c r="P681">
        <f>IF($Q681="","",INDEX(상세표[월 넘김 포함],$Q681)&amp;"")</f>
        <v/>
      </c>
      <c r="Q681" s="4">
        <f>IFERROR(MATCH(676,상세표[연속순번],0),"")</f>
        <v/>
      </c>
    </row>
    <row r="682">
      <c r="A682">
        <f>IF($Q682="","",INDEX(상세표[부서],$Q682)&amp;"")</f>
        <v/>
      </c>
      <c r="B682">
        <f>IF($Q682="","",INDEX(상세표[사번],$Q682)&amp;"")</f>
        <v/>
      </c>
      <c r="C682">
        <f>IF($Q682="","",INDEX(상세표[성명],$Q682)&amp;"")</f>
        <v/>
      </c>
      <c r="D682">
        <f>IF($Q682="","",INDEX(상세표[직위],$Q682)&amp;"")</f>
        <v/>
      </c>
      <c r="E682">
        <f>IF($Q682="","",IF(ISNUMBER(INDEX(상세표[근무일자],$Q682)),TEXT(INDEX(상세표[근무일자],$Q682),"yyyy-mm-dd"),INDEX(상세표[근무일자],$Q682)&amp;""))</f>
        <v/>
      </c>
      <c r="F682">
        <f>IF($Q682="","",IF(ISNUMBER(INDEX(상세표[시작],$Q682)),TEXT(INDEX(상세표[시작],$Q682),"yyyy-mm-dd hh:mm"),INDEX(상세표[시작],$Q682)&amp;""))</f>
        <v/>
      </c>
      <c r="G682">
        <f>IF($Q682="","",IF(ISNUMBER(INDEX(상세표[블록종료],$Q682)),TEXT(INDEX(상세표[블록종료],$Q682),"yyyy-mm-dd hh:mm"),INDEX(상세표[블록종료],$Q682)&amp;""))</f>
        <v/>
      </c>
      <c r="H682">
        <f>IF($Q682="","",CHOOSE(WEEKDAY(INDEX(상세표[시작],$Q682)),"일","월","화","수","목","금","토"))</f>
        <v/>
      </c>
      <c r="I682" s="20">
        <f>IF($Q682="","",INDEX(상세표[연속 시간],$Q682))</f>
        <v/>
      </c>
      <c r="J682">
        <f>IF($Q682="","",INDEX(상세표[기록 수],$Q682))</f>
        <v/>
      </c>
      <c r="K682" s="20">
        <f>IF($Q682="","",INDEX(상세표[블록 06~07시],$Q682))</f>
        <v/>
      </c>
      <c r="L682" s="20">
        <f>IF($Q682="","",INDEX(상세표[블록 07~18시],$Q682))</f>
        <v/>
      </c>
      <c r="M682" s="20">
        <f>IF($Q682="","",INDEX(상세표[블록 18~22시],$Q682))</f>
        <v/>
      </c>
      <c r="N682" s="20">
        <f>IF($Q682="","",INDEX(상세표[블록 22~06시],$Q682))</f>
        <v/>
      </c>
      <c r="O682">
        <f>IF($Q682="","",INDEX(상세표[주말·휴일 포함],$Q682)&amp;"")</f>
        <v/>
      </c>
      <c r="P682">
        <f>IF($Q682="","",INDEX(상세표[월 넘김 포함],$Q682)&amp;"")</f>
        <v/>
      </c>
      <c r="Q682" s="4">
        <f>IFERROR(MATCH(677,상세표[연속순번],0),"")</f>
        <v/>
      </c>
    </row>
    <row r="683">
      <c r="A683">
        <f>IF($Q683="","",INDEX(상세표[부서],$Q683)&amp;"")</f>
        <v/>
      </c>
      <c r="B683">
        <f>IF($Q683="","",INDEX(상세표[사번],$Q683)&amp;"")</f>
        <v/>
      </c>
      <c r="C683">
        <f>IF($Q683="","",INDEX(상세표[성명],$Q683)&amp;"")</f>
        <v/>
      </c>
      <c r="D683">
        <f>IF($Q683="","",INDEX(상세표[직위],$Q683)&amp;"")</f>
        <v/>
      </c>
      <c r="E683">
        <f>IF($Q683="","",IF(ISNUMBER(INDEX(상세표[근무일자],$Q683)),TEXT(INDEX(상세표[근무일자],$Q683),"yyyy-mm-dd"),INDEX(상세표[근무일자],$Q683)&amp;""))</f>
        <v/>
      </c>
      <c r="F683">
        <f>IF($Q683="","",IF(ISNUMBER(INDEX(상세표[시작],$Q683)),TEXT(INDEX(상세표[시작],$Q683),"yyyy-mm-dd hh:mm"),INDEX(상세표[시작],$Q683)&amp;""))</f>
        <v/>
      </c>
      <c r="G683">
        <f>IF($Q683="","",IF(ISNUMBER(INDEX(상세표[블록종료],$Q683)),TEXT(INDEX(상세표[블록종료],$Q683),"yyyy-mm-dd hh:mm"),INDEX(상세표[블록종료],$Q683)&amp;""))</f>
        <v/>
      </c>
      <c r="H683">
        <f>IF($Q683="","",CHOOSE(WEEKDAY(INDEX(상세표[시작],$Q683)),"일","월","화","수","목","금","토"))</f>
        <v/>
      </c>
      <c r="I683" s="20">
        <f>IF($Q683="","",INDEX(상세표[연속 시간],$Q683))</f>
        <v/>
      </c>
      <c r="J683">
        <f>IF($Q683="","",INDEX(상세표[기록 수],$Q683))</f>
        <v/>
      </c>
      <c r="K683" s="20">
        <f>IF($Q683="","",INDEX(상세표[블록 06~07시],$Q683))</f>
        <v/>
      </c>
      <c r="L683" s="20">
        <f>IF($Q683="","",INDEX(상세표[블록 07~18시],$Q683))</f>
        <v/>
      </c>
      <c r="M683" s="20">
        <f>IF($Q683="","",INDEX(상세표[블록 18~22시],$Q683))</f>
        <v/>
      </c>
      <c r="N683" s="20">
        <f>IF($Q683="","",INDEX(상세표[블록 22~06시],$Q683))</f>
        <v/>
      </c>
      <c r="O683">
        <f>IF($Q683="","",INDEX(상세표[주말·휴일 포함],$Q683)&amp;"")</f>
        <v/>
      </c>
      <c r="P683">
        <f>IF($Q683="","",INDEX(상세표[월 넘김 포함],$Q683)&amp;"")</f>
        <v/>
      </c>
      <c r="Q683" s="4">
        <f>IFERROR(MATCH(678,상세표[연속순번],0),"")</f>
        <v/>
      </c>
    </row>
    <row r="684">
      <c r="A684">
        <f>IF($Q684="","",INDEX(상세표[부서],$Q684)&amp;"")</f>
        <v/>
      </c>
      <c r="B684">
        <f>IF($Q684="","",INDEX(상세표[사번],$Q684)&amp;"")</f>
        <v/>
      </c>
      <c r="C684">
        <f>IF($Q684="","",INDEX(상세표[성명],$Q684)&amp;"")</f>
        <v/>
      </c>
      <c r="D684">
        <f>IF($Q684="","",INDEX(상세표[직위],$Q684)&amp;"")</f>
        <v/>
      </c>
      <c r="E684">
        <f>IF($Q684="","",IF(ISNUMBER(INDEX(상세표[근무일자],$Q684)),TEXT(INDEX(상세표[근무일자],$Q684),"yyyy-mm-dd"),INDEX(상세표[근무일자],$Q684)&amp;""))</f>
        <v/>
      </c>
      <c r="F684">
        <f>IF($Q684="","",IF(ISNUMBER(INDEX(상세표[시작],$Q684)),TEXT(INDEX(상세표[시작],$Q684),"yyyy-mm-dd hh:mm"),INDEX(상세표[시작],$Q684)&amp;""))</f>
        <v/>
      </c>
      <c r="G684">
        <f>IF($Q684="","",IF(ISNUMBER(INDEX(상세표[블록종료],$Q684)),TEXT(INDEX(상세표[블록종료],$Q684),"yyyy-mm-dd hh:mm"),INDEX(상세표[블록종료],$Q684)&amp;""))</f>
        <v/>
      </c>
      <c r="H684">
        <f>IF($Q684="","",CHOOSE(WEEKDAY(INDEX(상세표[시작],$Q684)),"일","월","화","수","목","금","토"))</f>
        <v/>
      </c>
      <c r="I684" s="20">
        <f>IF($Q684="","",INDEX(상세표[연속 시간],$Q684))</f>
        <v/>
      </c>
      <c r="J684">
        <f>IF($Q684="","",INDEX(상세표[기록 수],$Q684))</f>
        <v/>
      </c>
      <c r="K684" s="20">
        <f>IF($Q684="","",INDEX(상세표[블록 06~07시],$Q684))</f>
        <v/>
      </c>
      <c r="L684" s="20">
        <f>IF($Q684="","",INDEX(상세표[블록 07~18시],$Q684))</f>
        <v/>
      </c>
      <c r="M684" s="20">
        <f>IF($Q684="","",INDEX(상세표[블록 18~22시],$Q684))</f>
        <v/>
      </c>
      <c r="N684" s="20">
        <f>IF($Q684="","",INDEX(상세표[블록 22~06시],$Q684))</f>
        <v/>
      </c>
      <c r="O684">
        <f>IF($Q684="","",INDEX(상세표[주말·휴일 포함],$Q684)&amp;"")</f>
        <v/>
      </c>
      <c r="P684">
        <f>IF($Q684="","",INDEX(상세표[월 넘김 포함],$Q684)&amp;"")</f>
        <v/>
      </c>
      <c r="Q684" s="4">
        <f>IFERROR(MATCH(679,상세표[연속순번],0),"")</f>
        <v/>
      </c>
    </row>
    <row r="685">
      <c r="A685">
        <f>IF($Q685="","",INDEX(상세표[부서],$Q685)&amp;"")</f>
        <v/>
      </c>
      <c r="B685">
        <f>IF($Q685="","",INDEX(상세표[사번],$Q685)&amp;"")</f>
        <v/>
      </c>
      <c r="C685">
        <f>IF($Q685="","",INDEX(상세표[성명],$Q685)&amp;"")</f>
        <v/>
      </c>
      <c r="D685">
        <f>IF($Q685="","",INDEX(상세표[직위],$Q685)&amp;"")</f>
        <v/>
      </c>
      <c r="E685">
        <f>IF($Q685="","",IF(ISNUMBER(INDEX(상세표[근무일자],$Q685)),TEXT(INDEX(상세표[근무일자],$Q685),"yyyy-mm-dd"),INDEX(상세표[근무일자],$Q685)&amp;""))</f>
        <v/>
      </c>
      <c r="F685">
        <f>IF($Q685="","",IF(ISNUMBER(INDEX(상세표[시작],$Q685)),TEXT(INDEX(상세표[시작],$Q685),"yyyy-mm-dd hh:mm"),INDEX(상세표[시작],$Q685)&amp;""))</f>
        <v/>
      </c>
      <c r="G685">
        <f>IF($Q685="","",IF(ISNUMBER(INDEX(상세표[블록종료],$Q685)),TEXT(INDEX(상세표[블록종료],$Q685),"yyyy-mm-dd hh:mm"),INDEX(상세표[블록종료],$Q685)&amp;""))</f>
        <v/>
      </c>
      <c r="H685">
        <f>IF($Q685="","",CHOOSE(WEEKDAY(INDEX(상세표[시작],$Q685)),"일","월","화","수","목","금","토"))</f>
        <v/>
      </c>
      <c r="I685" s="20">
        <f>IF($Q685="","",INDEX(상세표[연속 시간],$Q685))</f>
        <v/>
      </c>
      <c r="J685">
        <f>IF($Q685="","",INDEX(상세표[기록 수],$Q685))</f>
        <v/>
      </c>
      <c r="K685" s="20">
        <f>IF($Q685="","",INDEX(상세표[블록 06~07시],$Q685))</f>
        <v/>
      </c>
      <c r="L685" s="20">
        <f>IF($Q685="","",INDEX(상세표[블록 07~18시],$Q685))</f>
        <v/>
      </c>
      <c r="M685" s="20">
        <f>IF($Q685="","",INDEX(상세표[블록 18~22시],$Q685))</f>
        <v/>
      </c>
      <c r="N685" s="20">
        <f>IF($Q685="","",INDEX(상세표[블록 22~06시],$Q685))</f>
        <v/>
      </c>
      <c r="O685">
        <f>IF($Q685="","",INDEX(상세표[주말·휴일 포함],$Q685)&amp;"")</f>
        <v/>
      </c>
      <c r="P685">
        <f>IF($Q685="","",INDEX(상세표[월 넘김 포함],$Q685)&amp;"")</f>
        <v/>
      </c>
      <c r="Q685" s="4">
        <f>IFERROR(MATCH(680,상세표[연속순번],0),"")</f>
        <v/>
      </c>
    </row>
    <row r="686">
      <c r="A686">
        <f>IF($Q686="","",INDEX(상세표[부서],$Q686)&amp;"")</f>
        <v/>
      </c>
      <c r="B686">
        <f>IF($Q686="","",INDEX(상세표[사번],$Q686)&amp;"")</f>
        <v/>
      </c>
      <c r="C686">
        <f>IF($Q686="","",INDEX(상세표[성명],$Q686)&amp;"")</f>
        <v/>
      </c>
      <c r="D686">
        <f>IF($Q686="","",INDEX(상세표[직위],$Q686)&amp;"")</f>
        <v/>
      </c>
      <c r="E686">
        <f>IF($Q686="","",IF(ISNUMBER(INDEX(상세표[근무일자],$Q686)),TEXT(INDEX(상세표[근무일자],$Q686),"yyyy-mm-dd"),INDEX(상세표[근무일자],$Q686)&amp;""))</f>
        <v/>
      </c>
      <c r="F686">
        <f>IF($Q686="","",IF(ISNUMBER(INDEX(상세표[시작],$Q686)),TEXT(INDEX(상세표[시작],$Q686),"yyyy-mm-dd hh:mm"),INDEX(상세표[시작],$Q686)&amp;""))</f>
        <v/>
      </c>
      <c r="G686">
        <f>IF($Q686="","",IF(ISNUMBER(INDEX(상세표[블록종료],$Q686)),TEXT(INDEX(상세표[블록종료],$Q686),"yyyy-mm-dd hh:mm"),INDEX(상세표[블록종료],$Q686)&amp;""))</f>
        <v/>
      </c>
      <c r="H686">
        <f>IF($Q686="","",CHOOSE(WEEKDAY(INDEX(상세표[시작],$Q686)),"일","월","화","수","목","금","토"))</f>
        <v/>
      </c>
      <c r="I686" s="20">
        <f>IF($Q686="","",INDEX(상세표[연속 시간],$Q686))</f>
        <v/>
      </c>
      <c r="J686">
        <f>IF($Q686="","",INDEX(상세표[기록 수],$Q686))</f>
        <v/>
      </c>
      <c r="K686" s="20">
        <f>IF($Q686="","",INDEX(상세표[블록 06~07시],$Q686))</f>
        <v/>
      </c>
      <c r="L686" s="20">
        <f>IF($Q686="","",INDEX(상세표[블록 07~18시],$Q686))</f>
        <v/>
      </c>
      <c r="M686" s="20">
        <f>IF($Q686="","",INDEX(상세표[블록 18~22시],$Q686))</f>
        <v/>
      </c>
      <c r="N686" s="20">
        <f>IF($Q686="","",INDEX(상세표[블록 22~06시],$Q686))</f>
        <v/>
      </c>
      <c r="O686">
        <f>IF($Q686="","",INDEX(상세표[주말·휴일 포함],$Q686)&amp;"")</f>
        <v/>
      </c>
      <c r="P686">
        <f>IF($Q686="","",INDEX(상세표[월 넘김 포함],$Q686)&amp;"")</f>
        <v/>
      </c>
      <c r="Q686" s="4">
        <f>IFERROR(MATCH(681,상세표[연속순번],0),"")</f>
        <v/>
      </c>
    </row>
    <row r="687">
      <c r="A687">
        <f>IF($Q687="","",INDEX(상세표[부서],$Q687)&amp;"")</f>
        <v/>
      </c>
      <c r="B687">
        <f>IF($Q687="","",INDEX(상세표[사번],$Q687)&amp;"")</f>
        <v/>
      </c>
      <c r="C687">
        <f>IF($Q687="","",INDEX(상세표[성명],$Q687)&amp;"")</f>
        <v/>
      </c>
      <c r="D687">
        <f>IF($Q687="","",INDEX(상세표[직위],$Q687)&amp;"")</f>
        <v/>
      </c>
      <c r="E687">
        <f>IF($Q687="","",IF(ISNUMBER(INDEX(상세표[근무일자],$Q687)),TEXT(INDEX(상세표[근무일자],$Q687),"yyyy-mm-dd"),INDEX(상세표[근무일자],$Q687)&amp;""))</f>
        <v/>
      </c>
      <c r="F687">
        <f>IF($Q687="","",IF(ISNUMBER(INDEX(상세표[시작],$Q687)),TEXT(INDEX(상세표[시작],$Q687),"yyyy-mm-dd hh:mm"),INDEX(상세표[시작],$Q687)&amp;""))</f>
        <v/>
      </c>
      <c r="G687">
        <f>IF($Q687="","",IF(ISNUMBER(INDEX(상세표[블록종료],$Q687)),TEXT(INDEX(상세표[블록종료],$Q687),"yyyy-mm-dd hh:mm"),INDEX(상세표[블록종료],$Q687)&amp;""))</f>
        <v/>
      </c>
      <c r="H687">
        <f>IF($Q687="","",CHOOSE(WEEKDAY(INDEX(상세표[시작],$Q687)),"일","월","화","수","목","금","토"))</f>
        <v/>
      </c>
      <c r="I687" s="20">
        <f>IF($Q687="","",INDEX(상세표[연속 시간],$Q687))</f>
        <v/>
      </c>
      <c r="J687">
        <f>IF($Q687="","",INDEX(상세표[기록 수],$Q687))</f>
        <v/>
      </c>
      <c r="K687" s="20">
        <f>IF($Q687="","",INDEX(상세표[블록 06~07시],$Q687))</f>
        <v/>
      </c>
      <c r="L687" s="20">
        <f>IF($Q687="","",INDEX(상세표[블록 07~18시],$Q687))</f>
        <v/>
      </c>
      <c r="M687" s="20">
        <f>IF($Q687="","",INDEX(상세표[블록 18~22시],$Q687))</f>
        <v/>
      </c>
      <c r="N687" s="20">
        <f>IF($Q687="","",INDEX(상세표[블록 22~06시],$Q687))</f>
        <v/>
      </c>
      <c r="O687">
        <f>IF($Q687="","",INDEX(상세표[주말·휴일 포함],$Q687)&amp;"")</f>
        <v/>
      </c>
      <c r="P687">
        <f>IF($Q687="","",INDEX(상세표[월 넘김 포함],$Q687)&amp;"")</f>
        <v/>
      </c>
      <c r="Q687" s="4">
        <f>IFERROR(MATCH(682,상세표[연속순번],0),"")</f>
        <v/>
      </c>
    </row>
    <row r="688">
      <c r="A688">
        <f>IF($Q688="","",INDEX(상세표[부서],$Q688)&amp;"")</f>
        <v/>
      </c>
      <c r="B688">
        <f>IF($Q688="","",INDEX(상세표[사번],$Q688)&amp;"")</f>
        <v/>
      </c>
      <c r="C688">
        <f>IF($Q688="","",INDEX(상세표[성명],$Q688)&amp;"")</f>
        <v/>
      </c>
      <c r="D688">
        <f>IF($Q688="","",INDEX(상세표[직위],$Q688)&amp;"")</f>
        <v/>
      </c>
      <c r="E688">
        <f>IF($Q688="","",IF(ISNUMBER(INDEX(상세표[근무일자],$Q688)),TEXT(INDEX(상세표[근무일자],$Q688),"yyyy-mm-dd"),INDEX(상세표[근무일자],$Q688)&amp;""))</f>
        <v/>
      </c>
      <c r="F688">
        <f>IF($Q688="","",IF(ISNUMBER(INDEX(상세표[시작],$Q688)),TEXT(INDEX(상세표[시작],$Q688),"yyyy-mm-dd hh:mm"),INDEX(상세표[시작],$Q688)&amp;""))</f>
        <v/>
      </c>
      <c r="G688">
        <f>IF($Q688="","",IF(ISNUMBER(INDEX(상세표[블록종료],$Q688)),TEXT(INDEX(상세표[블록종료],$Q688),"yyyy-mm-dd hh:mm"),INDEX(상세표[블록종료],$Q688)&amp;""))</f>
        <v/>
      </c>
      <c r="H688">
        <f>IF($Q688="","",CHOOSE(WEEKDAY(INDEX(상세표[시작],$Q688)),"일","월","화","수","목","금","토"))</f>
        <v/>
      </c>
      <c r="I688" s="20">
        <f>IF($Q688="","",INDEX(상세표[연속 시간],$Q688))</f>
        <v/>
      </c>
      <c r="J688">
        <f>IF($Q688="","",INDEX(상세표[기록 수],$Q688))</f>
        <v/>
      </c>
      <c r="K688" s="20">
        <f>IF($Q688="","",INDEX(상세표[블록 06~07시],$Q688))</f>
        <v/>
      </c>
      <c r="L688" s="20">
        <f>IF($Q688="","",INDEX(상세표[블록 07~18시],$Q688))</f>
        <v/>
      </c>
      <c r="M688" s="20">
        <f>IF($Q688="","",INDEX(상세표[블록 18~22시],$Q688))</f>
        <v/>
      </c>
      <c r="N688" s="20">
        <f>IF($Q688="","",INDEX(상세표[블록 22~06시],$Q688))</f>
        <v/>
      </c>
      <c r="O688">
        <f>IF($Q688="","",INDEX(상세표[주말·휴일 포함],$Q688)&amp;"")</f>
        <v/>
      </c>
      <c r="P688">
        <f>IF($Q688="","",INDEX(상세표[월 넘김 포함],$Q688)&amp;"")</f>
        <v/>
      </c>
      <c r="Q688" s="4">
        <f>IFERROR(MATCH(683,상세표[연속순번],0),"")</f>
        <v/>
      </c>
    </row>
    <row r="689">
      <c r="A689">
        <f>IF($Q689="","",INDEX(상세표[부서],$Q689)&amp;"")</f>
        <v/>
      </c>
      <c r="B689">
        <f>IF($Q689="","",INDEX(상세표[사번],$Q689)&amp;"")</f>
        <v/>
      </c>
      <c r="C689">
        <f>IF($Q689="","",INDEX(상세표[성명],$Q689)&amp;"")</f>
        <v/>
      </c>
      <c r="D689">
        <f>IF($Q689="","",INDEX(상세표[직위],$Q689)&amp;"")</f>
        <v/>
      </c>
      <c r="E689">
        <f>IF($Q689="","",IF(ISNUMBER(INDEX(상세표[근무일자],$Q689)),TEXT(INDEX(상세표[근무일자],$Q689),"yyyy-mm-dd"),INDEX(상세표[근무일자],$Q689)&amp;""))</f>
        <v/>
      </c>
      <c r="F689">
        <f>IF($Q689="","",IF(ISNUMBER(INDEX(상세표[시작],$Q689)),TEXT(INDEX(상세표[시작],$Q689),"yyyy-mm-dd hh:mm"),INDEX(상세표[시작],$Q689)&amp;""))</f>
        <v/>
      </c>
      <c r="G689">
        <f>IF($Q689="","",IF(ISNUMBER(INDEX(상세표[블록종료],$Q689)),TEXT(INDEX(상세표[블록종료],$Q689),"yyyy-mm-dd hh:mm"),INDEX(상세표[블록종료],$Q689)&amp;""))</f>
        <v/>
      </c>
      <c r="H689">
        <f>IF($Q689="","",CHOOSE(WEEKDAY(INDEX(상세표[시작],$Q689)),"일","월","화","수","목","금","토"))</f>
        <v/>
      </c>
      <c r="I689" s="20">
        <f>IF($Q689="","",INDEX(상세표[연속 시간],$Q689))</f>
        <v/>
      </c>
      <c r="J689">
        <f>IF($Q689="","",INDEX(상세표[기록 수],$Q689))</f>
        <v/>
      </c>
      <c r="K689" s="20">
        <f>IF($Q689="","",INDEX(상세표[블록 06~07시],$Q689))</f>
        <v/>
      </c>
      <c r="L689" s="20">
        <f>IF($Q689="","",INDEX(상세표[블록 07~18시],$Q689))</f>
        <v/>
      </c>
      <c r="M689" s="20">
        <f>IF($Q689="","",INDEX(상세표[블록 18~22시],$Q689))</f>
        <v/>
      </c>
      <c r="N689" s="20">
        <f>IF($Q689="","",INDEX(상세표[블록 22~06시],$Q689))</f>
        <v/>
      </c>
      <c r="O689">
        <f>IF($Q689="","",INDEX(상세표[주말·휴일 포함],$Q689)&amp;"")</f>
        <v/>
      </c>
      <c r="P689">
        <f>IF($Q689="","",INDEX(상세표[월 넘김 포함],$Q689)&amp;"")</f>
        <v/>
      </c>
      <c r="Q689" s="4">
        <f>IFERROR(MATCH(684,상세표[연속순번],0),"")</f>
        <v/>
      </c>
    </row>
    <row r="690">
      <c r="A690">
        <f>IF($Q690="","",INDEX(상세표[부서],$Q690)&amp;"")</f>
        <v/>
      </c>
      <c r="B690">
        <f>IF($Q690="","",INDEX(상세표[사번],$Q690)&amp;"")</f>
        <v/>
      </c>
      <c r="C690">
        <f>IF($Q690="","",INDEX(상세표[성명],$Q690)&amp;"")</f>
        <v/>
      </c>
      <c r="D690">
        <f>IF($Q690="","",INDEX(상세표[직위],$Q690)&amp;"")</f>
        <v/>
      </c>
      <c r="E690">
        <f>IF($Q690="","",IF(ISNUMBER(INDEX(상세표[근무일자],$Q690)),TEXT(INDEX(상세표[근무일자],$Q690),"yyyy-mm-dd"),INDEX(상세표[근무일자],$Q690)&amp;""))</f>
        <v/>
      </c>
      <c r="F690">
        <f>IF($Q690="","",IF(ISNUMBER(INDEX(상세표[시작],$Q690)),TEXT(INDEX(상세표[시작],$Q690),"yyyy-mm-dd hh:mm"),INDEX(상세표[시작],$Q690)&amp;""))</f>
        <v/>
      </c>
      <c r="G690">
        <f>IF($Q690="","",IF(ISNUMBER(INDEX(상세표[블록종료],$Q690)),TEXT(INDEX(상세표[블록종료],$Q690),"yyyy-mm-dd hh:mm"),INDEX(상세표[블록종료],$Q690)&amp;""))</f>
        <v/>
      </c>
      <c r="H690">
        <f>IF($Q690="","",CHOOSE(WEEKDAY(INDEX(상세표[시작],$Q690)),"일","월","화","수","목","금","토"))</f>
        <v/>
      </c>
      <c r="I690" s="20">
        <f>IF($Q690="","",INDEX(상세표[연속 시간],$Q690))</f>
        <v/>
      </c>
      <c r="J690">
        <f>IF($Q690="","",INDEX(상세표[기록 수],$Q690))</f>
        <v/>
      </c>
      <c r="K690" s="20">
        <f>IF($Q690="","",INDEX(상세표[블록 06~07시],$Q690))</f>
        <v/>
      </c>
      <c r="L690" s="20">
        <f>IF($Q690="","",INDEX(상세표[블록 07~18시],$Q690))</f>
        <v/>
      </c>
      <c r="M690" s="20">
        <f>IF($Q690="","",INDEX(상세표[블록 18~22시],$Q690))</f>
        <v/>
      </c>
      <c r="N690" s="20">
        <f>IF($Q690="","",INDEX(상세표[블록 22~06시],$Q690))</f>
        <v/>
      </c>
      <c r="O690">
        <f>IF($Q690="","",INDEX(상세표[주말·휴일 포함],$Q690)&amp;"")</f>
        <v/>
      </c>
      <c r="P690">
        <f>IF($Q690="","",INDEX(상세표[월 넘김 포함],$Q690)&amp;"")</f>
        <v/>
      </c>
      <c r="Q690" s="4">
        <f>IFERROR(MATCH(685,상세표[연속순번],0),"")</f>
        <v/>
      </c>
    </row>
    <row r="691">
      <c r="A691">
        <f>IF($Q691="","",INDEX(상세표[부서],$Q691)&amp;"")</f>
        <v/>
      </c>
      <c r="B691">
        <f>IF($Q691="","",INDEX(상세표[사번],$Q691)&amp;"")</f>
        <v/>
      </c>
      <c r="C691">
        <f>IF($Q691="","",INDEX(상세표[성명],$Q691)&amp;"")</f>
        <v/>
      </c>
      <c r="D691">
        <f>IF($Q691="","",INDEX(상세표[직위],$Q691)&amp;"")</f>
        <v/>
      </c>
      <c r="E691">
        <f>IF($Q691="","",IF(ISNUMBER(INDEX(상세표[근무일자],$Q691)),TEXT(INDEX(상세표[근무일자],$Q691),"yyyy-mm-dd"),INDEX(상세표[근무일자],$Q691)&amp;""))</f>
        <v/>
      </c>
      <c r="F691">
        <f>IF($Q691="","",IF(ISNUMBER(INDEX(상세표[시작],$Q691)),TEXT(INDEX(상세표[시작],$Q691),"yyyy-mm-dd hh:mm"),INDEX(상세표[시작],$Q691)&amp;""))</f>
        <v/>
      </c>
      <c r="G691">
        <f>IF($Q691="","",IF(ISNUMBER(INDEX(상세표[블록종료],$Q691)),TEXT(INDEX(상세표[블록종료],$Q691),"yyyy-mm-dd hh:mm"),INDEX(상세표[블록종료],$Q691)&amp;""))</f>
        <v/>
      </c>
      <c r="H691">
        <f>IF($Q691="","",CHOOSE(WEEKDAY(INDEX(상세표[시작],$Q691)),"일","월","화","수","목","금","토"))</f>
        <v/>
      </c>
      <c r="I691" s="20">
        <f>IF($Q691="","",INDEX(상세표[연속 시간],$Q691))</f>
        <v/>
      </c>
      <c r="J691">
        <f>IF($Q691="","",INDEX(상세표[기록 수],$Q691))</f>
        <v/>
      </c>
      <c r="K691" s="20">
        <f>IF($Q691="","",INDEX(상세표[블록 06~07시],$Q691))</f>
        <v/>
      </c>
      <c r="L691" s="20">
        <f>IF($Q691="","",INDEX(상세표[블록 07~18시],$Q691))</f>
        <v/>
      </c>
      <c r="M691" s="20">
        <f>IF($Q691="","",INDEX(상세표[블록 18~22시],$Q691))</f>
        <v/>
      </c>
      <c r="N691" s="20">
        <f>IF($Q691="","",INDEX(상세표[블록 22~06시],$Q691))</f>
        <v/>
      </c>
      <c r="O691">
        <f>IF($Q691="","",INDEX(상세표[주말·휴일 포함],$Q691)&amp;"")</f>
        <v/>
      </c>
      <c r="P691">
        <f>IF($Q691="","",INDEX(상세표[월 넘김 포함],$Q691)&amp;"")</f>
        <v/>
      </c>
      <c r="Q691" s="4">
        <f>IFERROR(MATCH(686,상세표[연속순번],0),"")</f>
        <v/>
      </c>
    </row>
    <row r="692">
      <c r="A692">
        <f>IF($Q692="","",INDEX(상세표[부서],$Q692)&amp;"")</f>
        <v/>
      </c>
      <c r="B692">
        <f>IF($Q692="","",INDEX(상세표[사번],$Q692)&amp;"")</f>
        <v/>
      </c>
      <c r="C692">
        <f>IF($Q692="","",INDEX(상세표[성명],$Q692)&amp;"")</f>
        <v/>
      </c>
      <c r="D692">
        <f>IF($Q692="","",INDEX(상세표[직위],$Q692)&amp;"")</f>
        <v/>
      </c>
      <c r="E692">
        <f>IF($Q692="","",IF(ISNUMBER(INDEX(상세표[근무일자],$Q692)),TEXT(INDEX(상세표[근무일자],$Q692),"yyyy-mm-dd"),INDEX(상세표[근무일자],$Q692)&amp;""))</f>
        <v/>
      </c>
      <c r="F692">
        <f>IF($Q692="","",IF(ISNUMBER(INDEX(상세표[시작],$Q692)),TEXT(INDEX(상세표[시작],$Q692),"yyyy-mm-dd hh:mm"),INDEX(상세표[시작],$Q692)&amp;""))</f>
        <v/>
      </c>
      <c r="G692">
        <f>IF($Q692="","",IF(ISNUMBER(INDEX(상세표[블록종료],$Q692)),TEXT(INDEX(상세표[블록종료],$Q692),"yyyy-mm-dd hh:mm"),INDEX(상세표[블록종료],$Q692)&amp;""))</f>
        <v/>
      </c>
      <c r="H692">
        <f>IF($Q692="","",CHOOSE(WEEKDAY(INDEX(상세표[시작],$Q692)),"일","월","화","수","목","금","토"))</f>
        <v/>
      </c>
      <c r="I692" s="20">
        <f>IF($Q692="","",INDEX(상세표[연속 시간],$Q692))</f>
        <v/>
      </c>
      <c r="J692">
        <f>IF($Q692="","",INDEX(상세표[기록 수],$Q692))</f>
        <v/>
      </c>
      <c r="K692" s="20">
        <f>IF($Q692="","",INDEX(상세표[블록 06~07시],$Q692))</f>
        <v/>
      </c>
      <c r="L692" s="20">
        <f>IF($Q692="","",INDEX(상세표[블록 07~18시],$Q692))</f>
        <v/>
      </c>
      <c r="M692" s="20">
        <f>IF($Q692="","",INDEX(상세표[블록 18~22시],$Q692))</f>
        <v/>
      </c>
      <c r="N692" s="20">
        <f>IF($Q692="","",INDEX(상세표[블록 22~06시],$Q692))</f>
        <v/>
      </c>
      <c r="O692">
        <f>IF($Q692="","",INDEX(상세표[주말·휴일 포함],$Q692)&amp;"")</f>
        <v/>
      </c>
      <c r="P692">
        <f>IF($Q692="","",INDEX(상세표[월 넘김 포함],$Q692)&amp;"")</f>
        <v/>
      </c>
      <c r="Q692" s="4">
        <f>IFERROR(MATCH(687,상세표[연속순번],0),"")</f>
        <v/>
      </c>
    </row>
    <row r="693">
      <c r="A693">
        <f>IF($Q693="","",INDEX(상세표[부서],$Q693)&amp;"")</f>
        <v/>
      </c>
      <c r="B693">
        <f>IF($Q693="","",INDEX(상세표[사번],$Q693)&amp;"")</f>
        <v/>
      </c>
      <c r="C693">
        <f>IF($Q693="","",INDEX(상세표[성명],$Q693)&amp;"")</f>
        <v/>
      </c>
      <c r="D693">
        <f>IF($Q693="","",INDEX(상세표[직위],$Q693)&amp;"")</f>
        <v/>
      </c>
      <c r="E693">
        <f>IF($Q693="","",IF(ISNUMBER(INDEX(상세표[근무일자],$Q693)),TEXT(INDEX(상세표[근무일자],$Q693),"yyyy-mm-dd"),INDEX(상세표[근무일자],$Q693)&amp;""))</f>
        <v/>
      </c>
      <c r="F693">
        <f>IF($Q693="","",IF(ISNUMBER(INDEX(상세표[시작],$Q693)),TEXT(INDEX(상세표[시작],$Q693),"yyyy-mm-dd hh:mm"),INDEX(상세표[시작],$Q693)&amp;""))</f>
        <v/>
      </c>
      <c r="G693">
        <f>IF($Q693="","",IF(ISNUMBER(INDEX(상세표[블록종료],$Q693)),TEXT(INDEX(상세표[블록종료],$Q693),"yyyy-mm-dd hh:mm"),INDEX(상세표[블록종료],$Q693)&amp;""))</f>
        <v/>
      </c>
      <c r="H693">
        <f>IF($Q693="","",CHOOSE(WEEKDAY(INDEX(상세표[시작],$Q693)),"일","월","화","수","목","금","토"))</f>
        <v/>
      </c>
      <c r="I693" s="20">
        <f>IF($Q693="","",INDEX(상세표[연속 시간],$Q693))</f>
        <v/>
      </c>
      <c r="J693">
        <f>IF($Q693="","",INDEX(상세표[기록 수],$Q693))</f>
        <v/>
      </c>
      <c r="K693" s="20">
        <f>IF($Q693="","",INDEX(상세표[블록 06~07시],$Q693))</f>
        <v/>
      </c>
      <c r="L693" s="20">
        <f>IF($Q693="","",INDEX(상세표[블록 07~18시],$Q693))</f>
        <v/>
      </c>
      <c r="M693" s="20">
        <f>IF($Q693="","",INDEX(상세표[블록 18~22시],$Q693))</f>
        <v/>
      </c>
      <c r="N693" s="20">
        <f>IF($Q693="","",INDEX(상세표[블록 22~06시],$Q693))</f>
        <v/>
      </c>
      <c r="O693">
        <f>IF($Q693="","",INDEX(상세표[주말·휴일 포함],$Q693)&amp;"")</f>
        <v/>
      </c>
      <c r="P693">
        <f>IF($Q693="","",INDEX(상세표[월 넘김 포함],$Q693)&amp;"")</f>
        <v/>
      </c>
      <c r="Q693" s="4">
        <f>IFERROR(MATCH(688,상세표[연속순번],0),"")</f>
        <v/>
      </c>
    </row>
    <row r="694">
      <c r="A694">
        <f>IF($Q694="","",INDEX(상세표[부서],$Q694)&amp;"")</f>
        <v/>
      </c>
      <c r="B694">
        <f>IF($Q694="","",INDEX(상세표[사번],$Q694)&amp;"")</f>
        <v/>
      </c>
      <c r="C694">
        <f>IF($Q694="","",INDEX(상세표[성명],$Q694)&amp;"")</f>
        <v/>
      </c>
      <c r="D694">
        <f>IF($Q694="","",INDEX(상세표[직위],$Q694)&amp;"")</f>
        <v/>
      </c>
      <c r="E694">
        <f>IF($Q694="","",IF(ISNUMBER(INDEX(상세표[근무일자],$Q694)),TEXT(INDEX(상세표[근무일자],$Q694),"yyyy-mm-dd"),INDEX(상세표[근무일자],$Q694)&amp;""))</f>
        <v/>
      </c>
      <c r="F694">
        <f>IF($Q694="","",IF(ISNUMBER(INDEX(상세표[시작],$Q694)),TEXT(INDEX(상세표[시작],$Q694),"yyyy-mm-dd hh:mm"),INDEX(상세표[시작],$Q694)&amp;""))</f>
        <v/>
      </c>
      <c r="G694">
        <f>IF($Q694="","",IF(ISNUMBER(INDEX(상세표[블록종료],$Q694)),TEXT(INDEX(상세표[블록종료],$Q694),"yyyy-mm-dd hh:mm"),INDEX(상세표[블록종료],$Q694)&amp;""))</f>
        <v/>
      </c>
      <c r="H694">
        <f>IF($Q694="","",CHOOSE(WEEKDAY(INDEX(상세표[시작],$Q694)),"일","월","화","수","목","금","토"))</f>
        <v/>
      </c>
      <c r="I694" s="20">
        <f>IF($Q694="","",INDEX(상세표[연속 시간],$Q694))</f>
        <v/>
      </c>
      <c r="J694">
        <f>IF($Q694="","",INDEX(상세표[기록 수],$Q694))</f>
        <v/>
      </c>
      <c r="K694" s="20">
        <f>IF($Q694="","",INDEX(상세표[블록 06~07시],$Q694))</f>
        <v/>
      </c>
      <c r="L694" s="20">
        <f>IF($Q694="","",INDEX(상세표[블록 07~18시],$Q694))</f>
        <v/>
      </c>
      <c r="M694" s="20">
        <f>IF($Q694="","",INDEX(상세표[블록 18~22시],$Q694))</f>
        <v/>
      </c>
      <c r="N694" s="20">
        <f>IF($Q694="","",INDEX(상세표[블록 22~06시],$Q694))</f>
        <v/>
      </c>
      <c r="O694">
        <f>IF($Q694="","",INDEX(상세표[주말·휴일 포함],$Q694)&amp;"")</f>
        <v/>
      </c>
      <c r="P694">
        <f>IF($Q694="","",INDEX(상세표[월 넘김 포함],$Q694)&amp;"")</f>
        <v/>
      </c>
      <c r="Q694" s="4">
        <f>IFERROR(MATCH(689,상세표[연속순번],0),"")</f>
        <v/>
      </c>
    </row>
    <row r="695">
      <c r="A695">
        <f>IF($Q695="","",INDEX(상세표[부서],$Q695)&amp;"")</f>
        <v/>
      </c>
      <c r="B695">
        <f>IF($Q695="","",INDEX(상세표[사번],$Q695)&amp;"")</f>
        <v/>
      </c>
      <c r="C695">
        <f>IF($Q695="","",INDEX(상세표[성명],$Q695)&amp;"")</f>
        <v/>
      </c>
      <c r="D695">
        <f>IF($Q695="","",INDEX(상세표[직위],$Q695)&amp;"")</f>
        <v/>
      </c>
      <c r="E695">
        <f>IF($Q695="","",IF(ISNUMBER(INDEX(상세표[근무일자],$Q695)),TEXT(INDEX(상세표[근무일자],$Q695),"yyyy-mm-dd"),INDEX(상세표[근무일자],$Q695)&amp;""))</f>
        <v/>
      </c>
      <c r="F695">
        <f>IF($Q695="","",IF(ISNUMBER(INDEX(상세표[시작],$Q695)),TEXT(INDEX(상세표[시작],$Q695),"yyyy-mm-dd hh:mm"),INDEX(상세표[시작],$Q695)&amp;""))</f>
        <v/>
      </c>
      <c r="G695">
        <f>IF($Q695="","",IF(ISNUMBER(INDEX(상세표[블록종료],$Q695)),TEXT(INDEX(상세표[블록종료],$Q695),"yyyy-mm-dd hh:mm"),INDEX(상세표[블록종료],$Q695)&amp;""))</f>
        <v/>
      </c>
      <c r="H695">
        <f>IF($Q695="","",CHOOSE(WEEKDAY(INDEX(상세표[시작],$Q695)),"일","월","화","수","목","금","토"))</f>
        <v/>
      </c>
      <c r="I695" s="20">
        <f>IF($Q695="","",INDEX(상세표[연속 시간],$Q695))</f>
        <v/>
      </c>
      <c r="J695">
        <f>IF($Q695="","",INDEX(상세표[기록 수],$Q695))</f>
        <v/>
      </c>
      <c r="K695" s="20">
        <f>IF($Q695="","",INDEX(상세표[블록 06~07시],$Q695))</f>
        <v/>
      </c>
      <c r="L695" s="20">
        <f>IF($Q695="","",INDEX(상세표[블록 07~18시],$Q695))</f>
        <v/>
      </c>
      <c r="M695" s="20">
        <f>IF($Q695="","",INDEX(상세표[블록 18~22시],$Q695))</f>
        <v/>
      </c>
      <c r="N695" s="20">
        <f>IF($Q695="","",INDEX(상세표[블록 22~06시],$Q695))</f>
        <v/>
      </c>
      <c r="O695">
        <f>IF($Q695="","",INDEX(상세표[주말·휴일 포함],$Q695)&amp;"")</f>
        <v/>
      </c>
      <c r="P695">
        <f>IF($Q695="","",INDEX(상세표[월 넘김 포함],$Q695)&amp;"")</f>
        <v/>
      </c>
      <c r="Q695" s="4">
        <f>IFERROR(MATCH(690,상세표[연속순번],0),"")</f>
        <v/>
      </c>
    </row>
    <row r="696">
      <c r="A696">
        <f>IF($Q696="","",INDEX(상세표[부서],$Q696)&amp;"")</f>
        <v/>
      </c>
      <c r="B696">
        <f>IF($Q696="","",INDEX(상세표[사번],$Q696)&amp;"")</f>
        <v/>
      </c>
      <c r="C696">
        <f>IF($Q696="","",INDEX(상세표[성명],$Q696)&amp;"")</f>
        <v/>
      </c>
      <c r="D696">
        <f>IF($Q696="","",INDEX(상세표[직위],$Q696)&amp;"")</f>
        <v/>
      </c>
      <c r="E696">
        <f>IF($Q696="","",IF(ISNUMBER(INDEX(상세표[근무일자],$Q696)),TEXT(INDEX(상세표[근무일자],$Q696),"yyyy-mm-dd"),INDEX(상세표[근무일자],$Q696)&amp;""))</f>
        <v/>
      </c>
      <c r="F696">
        <f>IF($Q696="","",IF(ISNUMBER(INDEX(상세표[시작],$Q696)),TEXT(INDEX(상세표[시작],$Q696),"yyyy-mm-dd hh:mm"),INDEX(상세표[시작],$Q696)&amp;""))</f>
        <v/>
      </c>
      <c r="G696">
        <f>IF($Q696="","",IF(ISNUMBER(INDEX(상세표[블록종료],$Q696)),TEXT(INDEX(상세표[블록종료],$Q696),"yyyy-mm-dd hh:mm"),INDEX(상세표[블록종료],$Q696)&amp;""))</f>
        <v/>
      </c>
      <c r="H696">
        <f>IF($Q696="","",CHOOSE(WEEKDAY(INDEX(상세표[시작],$Q696)),"일","월","화","수","목","금","토"))</f>
        <v/>
      </c>
      <c r="I696" s="20">
        <f>IF($Q696="","",INDEX(상세표[연속 시간],$Q696))</f>
        <v/>
      </c>
      <c r="J696">
        <f>IF($Q696="","",INDEX(상세표[기록 수],$Q696))</f>
        <v/>
      </c>
      <c r="K696" s="20">
        <f>IF($Q696="","",INDEX(상세표[블록 06~07시],$Q696))</f>
        <v/>
      </c>
      <c r="L696" s="20">
        <f>IF($Q696="","",INDEX(상세표[블록 07~18시],$Q696))</f>
        <v/>
      </c>
      <c r="M696" s="20">
        <f>IF($Q696="","",INDEX(상세표[블록 18~22시],$Q696))</f>
        <v/>
      </c>
      <c r="N696" s="20">
        <f>IF($Q696="","",INDEX(상세표[블록 22~06시],$Q696))</f>
        <v/>
      </c>
      <c r="O696">
        <f>IF($Q696="","",INDEX(상세표[주말·휴일 포함],$Q696)&amp;"")</f>
        <v/>
      </c>
      <c r="P696">
        <f>IF($Q696="","",INDEX(상세표[월 넘김 포함],$Q696)&amp;"")</f>
        <v/>
      </c>
      <c r="Q696" s="4">
        <f>IFERROR(MATCH(691,상세표[연속순번],0),"")</f>
        <v/>
      </c>
    </row>
    <row r="697">
      <c r="A697">
        <f>IF($Q697="","",INDEX(상세표[부서],$Q697)&amp;"")</f>
        <v/>
      </c>
      <c r="B697">
        <f>IF($Q697="","",INDEX(상세표[사번],$Q697)&amp;"")</f>
        <v/>
      </c>
      <c r="C697">
        <f>IF($Q697="","",INDEX(상세표[성명],$Q697)&amp;"")</f>
        <v/>
      </c>
      <c r="D697">
        <f>IF($Q697="","",INDEX(상세표[직위],$Q697)&amp;"")</f>
        <v/>
      </c>
      <c r="E697">
        <f>IF($Q697="","",IF(ISNUMBER(INDEX(상세표[근무일자],$Q697)),TEXT(INDEX(상세표[근무일자],$Q697),"yyyy-mm-dd"),INDEX(상세표[근무일자],$Q697)&amp;""))</f>
        <v/>
      </c>
      <c r="F697">
        <f>IF($Q697="","",IF(ISNUMBER(INDEX(상세표[시작],$Q697)),TEXT(INDEX(상세표[시작],$Q697),"yyyy-mm-dd hh:mm"),INDEX(상세표[시작],$Q697)&amp;""))</f>
        <v/>
      </c>
      <c r="G697">
        <f>IF($Q697="","",IF(ISNUMBER(INDEX(상세표[블록종료],$Q697)),TEXT(INDEX(상세표[블록종료],$Q697),"yyyy-mm-dd hh:mm"),INDEX(상세표[블록종료],$Q697)&amp;""))</f>
        <v/>
      </c>
      <c r="H697">
        <f>IF($Q697="","",CHOOSE(WEEKDAY(INDEX(상세표[시작],$Q697)),"일","월","화","수","목","금","토"))</f>
        <v/>
      </c>
      <c r="I697" s="20">
        <f>IF($Q697="","",INDEX(상세표[연속 시간],$Q697))</f>
        <v/>
      </c>
      <c r="J697">
        <f>IF($Q697="","",INDEX(상세표[기록 수],$Q697))</f>
        <v/>
      </c>
      <c r="K697" s="20">
        <f>IF($Q697="","",INDEX(상세표[블록 06~07시],$Q697))</f>
        <v/>
      </c>
      <c r="L697" s="20">
        <f>IF($Q697="","",INDEX(상세표[블록 07~18시],$Q697))</f>
        <v/>
      </c>
      <c r="M697" s="20">
        <f>IF($Q697="","",INDEX(상세표[블록 18~22시],$Q697))</f>
        <v/>
      </c>
      <c r="N697" s="20">
        <f>IF($Q697="","",INDEX(상세표[블록 22~06시],$Q697))</f>
        <v/>
      </c>
      <c r="O697">
        <f>IF($Q697="","",INDEX(상세표[주말·휴일 포함],$Q697)&amp;"")</f>
        <v/>
      </c>
      <c r="P697">
        <f>IF($Q697="","",INDEX(상세표[월 넘김 포함],$Q697)&amp;"")</f>
        <v/>
      </c>
      <c r="Q697" s="4">
        <f>IFERROR(MATCH(692,상세표[연속순번],0),"")</f>
        <v/>
      </c>
    </row>
    <row r="698">
      <c r="A698">
        <f>IF($Q698="","",INDEX(상세표[부서],$Q698)&amp;"")</f>
        <v/>
      </c>
      <c r="B698">
        <f>IF($Q698="","",INDEX(상세표[사번],$Q698)&amp;"")</f>
        <v/>
      </c>
      <c r="C698">
        <f>IF($Q698="","",INDEX(상세표[성명],$Q698)&amp;"")</f>
        <v/>
      </c>
      <c r="D698">
        <f>IF($Q698="","",INDEX(상세표[직위],$Q698)&amp;"")</f>
        <v/>
      </c>
      <c r="E698">
        <f>IF($Q698="","",IF(ISNUMBER(INDEX(상세표[근무일자],$Q698)),TEXT(INDEX(상세표[근무일자],$Q698),"yyyy-mm-dd"),INDEX(상세표[근무일자],$Q698)&amp;""))</f>
        <v/>
      </c>
      <c r="F698">
        <f>IF($Q698="","",IF(ISNUMBER(INDEX(상세표[시작],$Q698)),TEXT(INDEX(상세표[시작],$Q698),"yyyy-mm-dd hh:mm"),INDEX(상세표[시작],$Q698)&amp;""))</f>
        <v/>
      </c>
      <c r="G698">
        <f>IF($Q698="","",IF(ISNUMBER(INDEX(상세표[블록종료],$Q698)),TEXT(INDEX(상세표[블록종료],$Q698),"yyyy-mm-dd hh:mm"),INDEX(상세표[블록종료],$Q698)&amp;""))</f>
        <v/>
      </c>
      <c r="H698">
        <f>IF($Q698="","",CHOOSE(WEEKDAY(INDEX(상세표[시작],$Q698)),"일","월","화","수","목","금","토"))</f>
        <v/>
      </c>
      <c r="I698" s="20">
        <f>IF($Q698="","",INDEX(상세표[연속 시간],$Q698))</f>
        <v/>
      </c>
      <c r="J698">
        <f>IF($Q698="","",INDEX(상세표[기록 수],$Q698))</f>
        <v/>
      </c>
      <c r="K698" s="20">
        <f>IF($Q698="","",INDEX(상세표[블록 06~07시],$Q698))</f>
        <v/>
      </c>
      <c r="L698" s="20">
        <f>IF($Q698="","",INDEX(상세표[블록 07~18시],$Q698))</f>
        <v/>
      </c>
      <c r="M698" s="20">
        <f>IF($Q698="","",INDEX(상세표[블록 18~22시],$Q698))</f>
        <v/>
      </c>
      <c r="N698" s="20">
        <f>IF($Q698="","",INDEX(상세표[블록 22~06시],$Q698))</f>
        <v/>
      </c>
      <c r="O698">
        <f>IF($Q698="","",INDEX(상세표[주말·휴일 포함],$Q698)&amp;"")</f>
        <v/>
      </c>
      <c r="P698">
        <f>IF($Q698="","",INDEX(상세표[월 넘김 포함],$Q698)&amp;"")</f>
        <v/>
      </c>
      <c r="Q698" s="4">
        <f>IFERROR(MATCH(693,상세표[연속순번],0),"")</f>
        <v/>
      </c>
    </row>
    <row r="699">
      <c r="A699">
        <f>IF($Q699="","",INDEX(상세표[부서],$Q699)&amp;"")</f>
        <v/>
      </c>
      <c r="B699">
        <f>IF($Q699="","",INDEX(상세표[사번],$Q699)&amp;"")</f>
        <v/>
      </c>
      <c r="C699">
        <f>IF($Q699="","",INDEX(상세표[성명],$Q699)&amp;"")</f>
        <v/>
      </c>
      <c r="D699">
        <f>IF($Q699="","",INDEX(상세표[직위],$Q699)&amp;"")</f>
        <v/>
      </c>
      <c r="E699">
        <f>IF($Q699="","",IF(ISNUMBER(INDEX(상세표[근무일자],$Q699)),TEXT(INDEX(상세표[근무일자],$Q699),"yyyy-mm-dd"),INDEX(상세표[근무일자],$Q699)&amp;""))</f>
        <v/>
      </c>
      <c r="F699">
        <f>IF($Q699="","",IF(ISNUMBER(INDEX(상세표[시작],$Q699)),TEXT(INDEX(상세표[시작],$Q699),"yyyy-mm-dd hh:mm"),INDEX(상세표[시작],$Q699)&amp;""))</f>
        <v/>
      </c>
      <c r="G699">
        <f>IF($Q699="","",IF(ISNUMBER(INDEX(상세표[블록종료],$Q699)),TEXT(INDEX(상세표[블록종료],$Q699),"yyyy-mm-dd hh:mm"),INDEX(상세표[블록종료],$Q699)&amp;""))</f>
        <v/>
      </c>
      <c r="H699">
        <f>IF($Q699="","",CHOOSE(WEEKDAY(INDEX(상세표[시작],$Q699)),"일","월","화","수","목","금","토"))</f>
        <v/>
      </c>
      <c r="I699" s="20">
        <f>IF($Q699="","",INDEX(상세표[연속 시간],$Q699))</f>
        <v/>
      </c>
      <c r="J699">
        <f>IF($Q699="","",INDEX(상세표[기록 수],$Q699))</f>
        <v/>
      </c>
      <c r="K699" s="20">
        <f>IF($Q699="","",INDEX(상세표[블록 06~07시],$Q699))</f>
        <v/>
      </c>
      <c r="L699" s="20">
        <f>IF($Q699="","",INDEX(상세표[블록 07~18시],$Q699))</f>
        <v/>
      </c>
      <c r="M699" s="20">
        <f>IF($Q699="","",INDEX(상세표[블록 18~22시],$Q699))</f>
        <v/>
      </c>
      <c r="N699" s="20">
        <f>IF($Q699="","",INDEX(상세표[블록 22~06시],$Q699))</f>
        <v/>
      </c>
      <c r="O699">
        <f>IF($Q699="","",INDEX(상세표[주말·휴일 포함],$Q699)&amp;"")</f>
        <v/>
      </c>
      <c r="P699">
        <f>IF($Q699="","",INDEX(상세표[월 넘김 포함],$Q699)&amp;"")</f>
        <v/>
      </c>
      <c r="Q699" s="4">
        <f>IFERROR(MATCH(694,상세표[연속순번],0),"")</f>
        <v/>
      </c>
    </row>
    <row r="700">
      <c r="A700">
        <f>IF($Q700="","",INDEX(상세표[부서],$Q700)&amp;"")</f>
        <v/>
      </c>
      <c r="B700">
        <f>IF($Q700="","",INDEX(상세표[사번],$Q700)&amp;"")</f>
        <v/>
      </c>
      <c r="C700">
        <f>IF($Q700="","",INDEX(상세표[성명],$Q700)&amp;"")</f>
        <v/>
      </c>
      <c r="D700">
        <f>IF($Q700="","",INDEX(상세표[직위],$Q700)&amp;"")</f>
        <v/>
      </c>
      <c r="E700">
        <f>IF($Q700="","",IF(ISNUMBER(INDEX(상세표[근무일자],$Q700)),TEXT(INDEX(상세표[근무일자],$Q700),"yyyy-mm-dd"),INDEX(상세표[근무일자],$Q700)&amp;""))</f>
        <v/>
      </c>
      <c r="F700">
        <f>IF($Q700="","",IF(ISNUMBER(INDEX(상세표[시작],$Q700)),TEXT(INDEX(상세표[시작],$Q700),"yyyy-mm-dd hh:mm"),INDEX(상세표[시작],$Q700)&amp;""))</f>
        <v/>
      </c>
      <c r="G700">
        <f>IF($Q700="","",IF(ISNUMBER(INDEX(상세표[블록종료],$Q700)),TEXT(INDEX(상세표[블록종료],$Q700),"yyyy-mm-dd hh:mm"),INDEX(상세표[블록종료],$Q700)&amp;""))</f>
        <v/>
      </c>
      <c r="H700">
        <f>IF($Q700="","",CHOOSE(WEEKDAY(INDEX(상세표[시작],$Q700)),"일","월","화","수","목","금","토"))</f>
        <v/>
      </c>
      <c r="I700" s="20">
        <f>IF($Q700="","",INDEX(상세표[연속 시간],$Q700))</f>
        <v/>
      </c>
      <c r="J700">
        <f>IF($Q700="","",INDEX(상세표[기록 수],$Q700))</f>
        <v/>
      </c>
      <c r="K700" s="20">
        <f>IF($Q700="","",INDEX(상세표[블록 06~07시],$Q700))</f>
        <v/>
      </c>
      <c r="L700" s="20">
        <f>IF($Q700="","",INDEX(상세표[블록 07~18시],$Q700))</f>
        <v/>
      </c>
      <c r="M700" s="20">
        <f>IF($Q700="","",INDEX(상세표[블록 18~22시],$Q700))</f>
        <v/>
      </c>
      <c r="N700" s="20">
        <f>IF($Q700="","",INDEX(상세표[블록 22~06시],$Q700))</f>
        <v/>
      </c>
      <c r="O700">
        <f>IF($Q700="","",INDEX(상세표[주말·휴일 포함],$Q700)&amp;"")</f>
        <v/>
      </c>
      <c r="P700">
        <f>IF($Q700="","",INDEX(상세표[월 넘김 포함],$Q700)&amp;"")</f>
        <v/>
      </c>
      <c r="Q700" s="4">
        <f>IFERROR(MATCH(695,상세표[연속순번],0),"")</f>
        <v/>
      </c>
    </row>
    <row r="701">
      <c r="A701">
        <f>IF($Q701="","",INDEX(상세표[부서],$Q701)&amp;"")</f>
        <v/>
      </c>
      <c r="B701">
        <f>IF($Q701="","",INDEX(상세표[사번],$Q701)&amp;"")</f>
        <v/>
      </c>
      <c r="C701">
        <f>IF($Q701="","",INDEX(상세표[성명],$Q701)&amp;"")</f>
        <v/>
      </c>
      <c r="D701">
        <f>IF($Q701="","",INDEX(상세표[직위],$Q701)&amp;"")</f>
        <v/>
      </c>
      <c r="E701">
        <f>IF($Q701="","",IF(ISNUMBER(INDEX(상세표[근무일자],$Q701)),TEXT(INDEX(상세표[근무일자],$Q701),"yyyy-mm-dd"),INDEX(상세표[근무일자],$Q701)&amp;""))</f>
        <v/>
      </c>
      <c r="F701">
        <f>IF($Q701="","",IF(ISNUMBER(INDEX(상세표[시작],$Q701)),TEXT(INDEX(상세표[시작],$Q701),"yyyy-mm-dd hh:mm"),INDEX(상세표[시작],$Q701)&amp;""))</f>
        <v/>
      </c>
      <c r="G701">
        <f>IF($Q701="","",IF(ISNUMBER(INDEX(상세표[블록종료],$Q701)),TEXT(INDEX(상세표[블록종료],$Q701),"yyyy-mm-dd hh:mm"),INDEX(상세표[블록종료],$Q701)&amp;""))</f>
        <v/>
      </c>
      <c r="H701">
        <f>IF($Q701="","",CHOOSE(WEEKDAY(INDEX(상세표[시작],$Q701)),"일","월","화","수","목","금","토"))</f>
        <v/>
      </c>
      <c r="I701" s="20">
        <f>IF($Q701="","",INDEX(상세표[연속 시간],$Q701))</f>
        <v/>
      </c>
      <c r="J701">
        <f>IF($Q701="","",INDEX(상세표[기록 수],$Q701))</f>
        <v/>
      </c>
      <c r="K701" s="20">
        <f>IF($Q701="","",INDEX(상세표[블록 06~07시],$Q701))</f>
        <v/>
      </c>
      <c r="L701" s="20">
        <f>IF($Q701="","",INDEX(상세표[블록 07~18시],$Q701))</f>
        <v/>
      </c>
      <c r="M701" s="20">
        <f>IF($Q701="","",INDEX(상세표[블록 18~22시],$Q701))</f>
        <v/>
      </c>
      <c r="N701" s="20">
        <f>IF($Q701="","",INDEX(상세표[블록 22~06시],$Q701))</f>
        <v/>
      </c>
      <c r="O701">
        <f>IF($Q701="","",INDEX(상세표[주말·휴일 포함],$Q701)&amp;"")</f>
        <v/>
      </c>
      <c r="P701">
        <f>IF($Q701="","",INDEX(상세표[월 넘김 포함],$Q701)&amp;"")</f>
        <v/>
      </c>
      <c r="Q701" s="4">
        <f>IFERROR(MATCH(696,상세표[연속순번],0),"")</f>
        <v/>
      </c>
    </row>
    <row r="702">
      <c r="A702">
        <f>IF($Q702="","",INDEX(상세표[부서],$Q702)&amp;"")</f>
        <v/>
      </c>
      <c r="B702">
        <f>IF($Q702="","",INDEX(상세표[사번],$Q702)&amp;"")</f>
        <v/>
      </c>
      <c r="C702">
        <f>IF($Q702="","",INDEX(상세표[성명],$Q702)&amp;"")</f>
        <v/>
      </c>
      <c r="D702">
        <f>IF($Q702="","",INDEX(상세표[직위],$Q702)&amp;"")</f>
        <v/>
      </c>
      <c r="E702">
        <f>IF($Q702="","",IF(ISNUMBER(INDEX(상세표[근무일자],$Q702)),TEXT(INDEX(상세표[근무일자],$Q702),"yyyy-mm-dd"),INDEX(상세표[근무일자],$Q702)&amp;""))</f>
        <v/>
      </c>
      <c r="F702">
        <f>IF($Q702="","",IF(ISNUMBER(INDEX(상세표[시작],$Q702)),TEXT(INDEX(상세표[시작],$Q702),"yyyy-mm-dd hh:mm"),INDEX(상세표[시작],$Q702)&amp;""))</f>
        <v/>
      </c>
      <c r="G702">
        <f>IF($Q702="","",IF(ISNUMBER(INDEX(상세표[블록종료],$Q702)),TEXT(INDEX(상세표[블록종료],$Q702),"yyyy-mm-dd hh:mm"),INDEX(상세표[블록종료],$Q702)&amp;""))</f>
        <v/>
      </c>
      <c r="H702">
        <f>IF($Q702="","",CHOOSE(WEEKDAY(INDEX(상세표[시작],$Q702)),"일","월","화","수","목","금","토"))</f>
        <v/>
      </c>
      <c r="I702" s="20">
        <f>IF($Q702="","",INDEX(상세표[연속 시간],$Q702))</f>
        <v/>
      </c>
      <c r="J702">
        <f>IF($Q702="","",INDEX(상세표[기록 수],$Q702))</f>
        <v/>
      </c>
      <c r="K702" s="20">
        <f>IF($Q702="","",INDEX(상세표[블록 06~07시],$Q702))</f>
        <v/>
      </c>
      <c r="L702" s="20">
        <f>IF($Q702="","",INDEX(상세표[블록 07~18시],$Q702))</f>
        <v/>
      </c>
      <c r="M702" s="20">
        <f>IF($Q702="","",INDEX(상세표[블록 18~22시],$Q702))</f>
        <v/>
      </c>
      <c r="N702" s="20">
        <f>IF($Q702="","",INDEX(상세표[블록 22~06시],$Q702))</f>
        <v/>
      </c>
      <c r="O702">
        <f>IF($Q702="","",INDEX(상세표[주말·휴일 포함],$Q702)&amp;"")</f>
        <v/>
      </c>
      <c r="P702">
        <f>IF($Q702="","",INDEX(상세표[월 넘김 포함],$Q702)&amp;"")</f>
        <v/>
      </c>
      <c r="Q702" s="4">
        <f>IFERROR(MATCH(697,상세표[연속순번],0),"")</f>
        <v/>
      </c>
    </row>
    <row r="703">
      <c r="A703">
        <f>IF($Q703="","",INDEX(상세표[부서],$Q703)&amp;"")</f>
        <v/>
      </c>
      <c r="B703">
        <f>IF($Q703="","",INDEX(상세표[사번],$Q703)&amp;"")</f>
        <v/>
      </c>
      <c r="C703">
        <f>IF($Q703="","",INDEX(상세표[성명],$Q703)&amp;"")</f>
        <v/>
      </c>
      <c r="D703">
        <f>IF($Q703="","",INDEX(상세표[직위],$Q703)&amp;"")</f>
        <v/>
      </c>
      <c r="E703">
        <f>IF($Q703="","",IF(ISNUMBER(INDEX(상세표[근무일자],$Q703)),TEXT(INDEX(상세표[근무일자],$Q703),"yyyy-mm-dd"),INDEX(상세표[근무일자],$Q703)&amp;""))</f>
        <v/>
      </c>
      <c r="F703">
        <f>IF($Q703="","",IF(ISNUMBER(INDEX(상세표[시작],$Q703)),TEXT(INDEX(상세표[시작],$Q703),"yyyy-mm-dd hh:mm"),INDEX(상세표[시작],$Q703)&amp;""))</f>
        <v/>
      </c>
      <c r="G703">
        <f>IF($Q703="","",IF(ISNUMBER(INDEX(상세표[블록종료],$Q703)),TEXT(INDEX(상세표[블록종료],$Q703),"yyyy-mm-dd hh:mm"),INDEX(상세표[블록종료],$Q703)&amp;""))</f>
        <v/>
      </c>
      <c r="H703">
        <f>IF($Q703="","",CHOOSE(WEEKDAY(INDEX(상세표[시작],$Q703)),"일","월","화","수","목","금","토"))</f>
        <v/>
      </c>
      <c r="I703" s="20">
        <f>IF($Q703="","",INDEX(상세표[연속 시간],$Q703))</f>
        <v/>
      </c>
      <c r="J703">
        <f>IF($Q703="","",INDEX(상세표[기록 수],$Q703))</f>
        <v/>
      </c>
      <c r="K703" s="20">
        <f>IF($Q703="","",INDEX(상세표[블록 06~07시],$Q703))</f>
        <v/>
      </c>
      <c r="L703" s="20">
        <f>IF($Q703="","",INDEX(상세표[블록 07~18시],$Q703))</f>
        <v/>
      </c>
      <c r="M703" s="20">
        <f>IF($Q703="","",INDEX(상세표[블록 18~22시],$Q703))</f>
        <v/>
      </c>
      <c r="N703" s="20">
        <f>IF($Q703="","",INDEX(상세표[블록 22~06시],$Q703))</f>
        <v/>
      </c>
      <c r="O703">
        <f>IF($Q703="","",INDEX(상세표[주말·휴일 포함],$Q703)&amp;"")</f>
        <v/>
      </c>
      <c r="P703">
        <f>IF($Q703="","",INDEX(상세표[월 넘김 포함],$Q703)&amp;"")</f>
        <v/>
      </c>
      <c r="Q703" s="4">
        <f>IFERROR(MATCH(698,상세표[연속순번],0),"")</f>
        <v/>
      </c>
    </row>
    <row r="704">
      <c r="A704">
        <f>IF($Q704="","",INDEX(상세표[부서],$Q704)&amp;"")</f>
        <v/>
      </c>
      <c r="B704">
        <f>IF($Q704="","",INDEX(상세표[사번],$Q704)&amp;"")</f>
        <v/>
      </c>
      <c r="C704">
        <f>IF($Q704="","",INDEX(상세표[성명],$Q704)&amp;"")</f>
        <v/>
      </c>
      <c r="D704">
        <f>IF($Q704="","",INDEX(상세표[직위],$Q704)&amp;"")</f>
        <v/>
      </c>
      <c r="E704">
        <f>IF($Q704="","",IF(ISNUMBER(INDEX(상세표[근무일자],$Q704)),TEXT(INDEX(상세표[근무일자],$Q704),"yyyy-mm-dd"),INDEX(상세표[근무일자],$Q704)&amp;""))</f>
        <v/>
      </c>
      <c r="F704">
        <f>IF($Q704="","",IF(ISNUMBER(INDEX(상세표[시작],$Q704)),TEXT(INDEX(상세표[시작],$Q704),"yyyy-mm-dd hh:mm"),INDEX(상세표[시작],$Q704)&amp;""))</f>
        <v/>
      </c>
      <c r="G704">
        <f>IF($Q704="","",IF(ISNUMBER(INDEX(상세표[블록종료],$Q704)),TEXT(INDEX(상세표[블록종료],$Q704),"yyyy-mm-dd hh:mm"),INDEX(상세표[블록종료],$Q704)&amp;""))</f>
        <v/>
      </c>
      <c r="H704">
        <f>IF($Q704="","",CHOOSE(WEEKDAY(INDEX(상세표[시작],$Q704)),"일","월","화","수","목","금","토"))</f>
        <v/>
      </c>
      <c r="I704" s="20">
        <f>IF($Q704="","",INDEX(상세표[연속 시간],$Q704))</f>
        <v/>
      </c>
      <c r="J704">
        <f>IF($Q704="","",INDEX(상세표[기록 수],$Q704))</f>
        <v/>
      </c>
      <c r="K704" s="20">
        <f>IF($Q704="","",INDEX(상세표[블록 06~07시],$Q704))</f>
        <v/>
      </c>
      <c r="L704" s="20">
        <f>IF($Q704="","",INDEX(상세표[블록 07~18시],$Q704))</f>
        <v/>
      </c>
      <c r="M704" s="20">
        <f>IF($Q704="","",INDEX(상세표[블록 18~22시],$Q704))</f>
        <v/>
      </c>
      <c r="N704" s="20">
        <f>IF($Q704="","",INDEX(상세표[블록 22~06시],$Q704))</f>
        <v/>
      </c>
      <c r="O704">
        <f>IF($Q704="","",INDEX(상세표[주말·휴일 포함],$Q704)&amp;"")</f>
        <v/>
      </c>
      <c r="P704">
        <f>IF($Q704="","",INDEX(상세표[월 넘김 포함],$Q704)&amp;"")</f>
        <v/>
      </c>
      <c r="Q704" s="4">
        <f>IFERROR(MATCH(699,상세표[연속순번],0),"")</f>
        <v/>
      </c>
    </row>
    <row r="705">
      <c r="A705">
        <f>IF($Q705="","",INDEX(상세표[부서],$Q705)&amp;"")</f>
        <v/>
      </c>
      <c r="B705">
        <f>IF($Q705="","",INDEX(상세표[사번],$Q705)&amp;"")</f>
        <v/>
      </c>
      <c r="C705">
        <f>IF($Q705="","",INDEX(상세표[성명],$Q705)&amp;"")</f>
        <v/>
      </c>
      <c r="D705">
        <f>IF($Q705="","",INDEX(상세표[직위],$Q705)&amp;"")</f>
        <v/>
      </c>
      <c r="E705">
        <f>IF($Q705="","",IF(ISNUMBER(INDEX(상세표[근무일자],$Q705)),TEXT(INDEX(상세표[근무일자],$Q705),"yyyy-mm-dd"),INDEX(상세표[근무일자],$Q705)&amp;""))</f>
        <v/>
      </c>
      <c r="F705">
        <f>IF($Q705="","",IF(ISNUMBER(INDEX(상세표[시작],$Q705)),TEXT(INDEX(상세표[시작],$Q705),"yyyy-mm-dd hh:mm"),INDEX(상세표[시작],$Q705)&amp;""))</f>
        <v/>
      </c>
      <c r="G705">
        <f>IF($Q705="","",IF(ISNUMBER(INDEX(상세표[블록종료],$Q705)),TEXT(INDEX(상세표[블록종료],$Q705),"yyyy-mm-dd hh:mm"),INDEX(상세표[블록종료],$Q705)&amp;""))</f>
        <v/>
      </c>
      <c r="H705">
        <f>IF($Q705="","",CHOOSE(WEEKDAY(INDEX(상세표[시작],$Q705)),"일","월","화","수","목","금","토"))</f>
        <v/>
      </c>
      <c r="I705" s="20">
        <f>IF($Q705="","",INDEX(상세표[연속 시간],$Q705))</f>
        <v/>
      </c>
      <c r="J705">
        <f>IF($Q705="","",INDEX(상세표[기록 수],$Q705))</f>
        <v/>
      </c>
      <c r="K705" s="20">
        <f>IF($Q705="","",INDEX(상세표[블록 06~07시],$Q705))</f>
        <v/>
      </c>
      <c r="L705" s="20">
        <f>IF($Q705="","",INDEX(상세표[블록 07~18시],$Q705))</f>
        <v/>
      </c>
      <c r="M705" s="20">
        <f>IF($Q705="","",INDEX(상세표[블록 18~22시],$Q705))</f>
        <v/>
      </c>
      <c r="N705" s="20">
        <f>IF($Q705="","",INDEX(상세표[블록 22~06시],$Q705))</f>
        <v/>
      </c>
      <c r="O705">
        <f>IF($Q705="","",INDEX(상세표[주말·휴일 포함],$Q705)&amp;"")</f>
        <v/>
      </c>
      <c r="P705">
        <f>IF($Q705="","",INDEX(상세표[월 넘김 포함],$Q705)&amp;"")</f>
        <v/>
      </c>
      <c r="Q705" s="4">
        <f>IFERROR(MATCH(700,상세표[연속순번],0),"")</f>
        <v/>
      </c>
    </row>
    <row r="706">
      <c r="A706">
        <f>IF($Q706="","",INDEX(상세표[부서],$Q706)&amp;"")</f>
        <v/>
      </c>
      <c r="B706">
        <f>IF($Q706="","",INDEX(상세표[사번],$Q706)&amp;"")</f>
        <v/>
      </c>
      <c r="C706">
        <f>IF($Q706="","",INDEX(상세표[성명],$Q706)&amp;"")</f>
        <v/>
      </c>
      <c r="D706">
        <f>IF($Q706="","",INDEX(상세표[직위],$Q706)&amp;"")</f>
        <v/>
      </c>
      <c r="E706">
        <f>IF($Q706="","",IF(ISNUMBER(INDEX(상세표[근무일자],$Q706)),TEXT(INDEX(상세표[근무일자],$Q706),"yyyy-mm-dd"),INDEX(상세표[근무일자],$Q706)&amp;""))</f>
        <v/>
      </c>
      <c r="F706">
        <f>IF($Q706="","",IF(ISNUMBER(INDEX(상세표[시작],$Q706)),TEXT(INDEX(상세표[시작],$Q706),"yyyy-mm-dd hh:mm"),INDEX(상세표[시작],$Q706)&amp;""))</f>
        <v/>
      </c>
      <c r="G706">
        <f>IF($Q706="","",IF(ISNUMBER(INDEX(상세표[블록종료],$Q706)),TEXT(INDEX(상세표[블록종료],$Q706),"yyyy-mm-dd hh:mm"),INDEX(상세표[블록종료],$Q706)&amp;""))</f>
        <v/>
      </c>
      <c r="H706">
        <f>IF($Q706="","",CHOOSE(WEEKDAY(INDEX(상세표[시작],$Q706)),"일","월","화","수","목","금","토"))</f>
        <v/>
      </c>
      <c r="I706" s="20">
        <f>IF($Q706="","",INDEX(상세표[연속 시간],$Q706))</f>
        <v/>
      </c>
      <c r="J706">
        <f>IF($Q706="","",INDEX(상세표[기록 수],$Q706))</f>
        <v/>
      </c>
      <c r="K706" s="20">
        <f>IF($Q706="","",INDEX(상세표[블록 06~07시],$Q706))</f>
        <v/>
      </c>
      <c r="L706" s="20">
        <f>IF($Q706="","",INDEX(상세표[블록 07~18시],$Q706))</f>
        <v/>
      </c>
      <c r="M706" s="20">
        <f>IF($Q706="","",INDEX(상세표[블록 18~22시],$Q706))</f>
        <v/>
      </c>
      <c r="N706" s="20">
        <f>IF($Q706="","",INDEX(상세표[블록 22~06시],$Q706))</f>
        <v/>
      </c>
      <c r="O706">
        <f>IF($Q706="","",INDEX(상세표[주말·휴일 포함],$Q706)&amp;"")</f>
        <v/>
      </c>
      <c r="P706">
        <f>IF($Q706="","",INDEX(상세표[월 넘김 포함],$Q706)&amp;"")</f>
        <v/>
      </c>
      <c r="Q706" s="4">
        <f>IFERROR(MATCH(701,상세표[연속순번],0),"")</f>
        <v/>
      </c>
    </row>
    <row r="707">
      <c r="A707">
        <f>IF($Q707="","",INDEX(상세표[부서],$Q707)&amp;"")</f>
        <v/>
      </c>
      <c r="B707">
        <f>IF($Q707="","",INDEX(상세표[사번],$Q707)&amp;"")</f>
        <v/>
      </c>
      <c r="C707">
        <f>IF($Q707="","",INDEX(상세표[성명],$Q707)&amp;"")</f>
        <v/>
      </c>
      <c r="D707">
        <f>IF($Q707="","",INDEX(상세표[직위],$Q707)&amp;"")</f>
        <v/>
      </c>
      <c r="E707">
        <f>IF($Q707="","",IF(ISNUMBER(INDEX(상세표[근무일자],$Q707)),TEXT(INDEX(상세표[근무일자],$Q707),"yyyy-mm-dd"),INDEX(상세표[근무일자],$Q707)&amp;""))</f>
        <v/>
      </c>
      <c r="F707">
        <f>IF($Q707="","",IF(ISNUMBER(INDEX(상세표[시작],$Q707)),TEXT(INDEX(상세표[시작],$Q707),"yyyy-mm-dd hh:mm"),INDEX(상세표[시작],$Q707)&amp;""))</f>
        <v/>
      </c>
      <c r="G707">
        <f>IF($Q707="","",IF(ISNUMBER(INDEX(상세표[블록종료],$Q707)),TEXT(INDEX(상세표[블록종료],$Q707),"yyyy-mm-dd hh:mm"),INDEX(상세표[블록종료],$Q707)&amp;""))</f>
        <v/>
      </c>
      <c r="H707">
        <f>IF($Q707="","",CHOOSE(WEEKDAY(INDEX(상세표[시작],$Q707)),"일","월","화","수","목","금","토"))</f>
        <v/>
      </c>
      <c r="I707" s="20">
        <f>IF($Q707="","",INDEX(상세표[연속 시간],$Q707))</f>
        <v/>
      </c>
      <c r="J707">
        <f>IF($Q707="","",INDEX(상세표[기록 수],$Q707))</f>
        <v/>
      </c>
      <c r="K707" s="20">
        <f>IF($Q707="","",INDEX(상세표[블록 06~07시],$Q707))</f>
        <v/>
      </c>
      <c r="L707" s="20">
        <f>IF($Q707="","",INDEX(상세표[블록 07~18시],$Q707))</f>
        <v/>
      </c>
      <c r="M707" s="20">
        <f>IF($Q707="","",INDEX(상세표[블록 18~22시],$Q707))</f>
        <v/>
      </c>
      <c r="N707" s="20">
        <f>IF($Q707="","",INDEX(상세표[블록 22~06시],$Q707))</f>
        <v/>
      </c>
      <c r="O707">
        <f>IF($Q707="","",INDEX(상세표[주말·휴일 포함],$Q707)&amp;"")</f>
        <v/>
      </c>
      <c r="P707">
        <f>IF($Q707="","",INDEX(상세표[월 넘김 포함],$Q707)&amp;"")</f>
        <v/>
      </c>
      <c r="Q707" s="4">
        <f>IFERROR(MATCH(702,상세표[연속순번],0),"")</f>
        <v/>
      </c>
    </row>
    <row r="708">
      <c r="A708">
        <f>IF($Q708="","",INDEX(상세표[부서],$Q708)&amp;"")</f>
        <v/>
      </c>
      <c r="B708">
        <f>IF($Q708="","",INDEX(상세표[사번],$Q708)&amp;"")</f>
        <v/>
      </c>
      <c r="C708">
        <f>IF($Q708="","",INDEX(상세표[성명],$Q708)&amp;"")</f>
        <v/>
      </c>
      <c r="D708">
        <f>IF($Q708="","",INDEX(상세표[직위],$Q708)&amp;"")</f>
        <v/>
      </c>
      <c r="E708">
        <f>IF($Q708="","",IF(ISNUMBER(INDEX(상세표[근무일자],$Q708)),TEXT(INDEX(상세표[근무일자],$Q708),"yyyy-mm-dd"),INDEX(상세표[근무일자],$Q708)&amp;""))</f>
        <v/>
      </c>
      <c r="F708">
        <f>IF($Q708="","",IF(ISNUMBER(INDEX(상세표[시작],$Q708)),TEXT(INDEX(상세표[시작],$Q708),"yyyy-mm-dd hh:mm"),INDEX(상세표[시작],$Q708)&amp;""))</f>
        <v/>
      </c>
      <c r="G708">
        <f>IF($Q708="","",IF(ISNUMBER(INDEX(상세표[블록종료],$Q708)),TEXT(INDEX(상세표[블록종료],$Q708),"yyyy-mm-dd hh:mm"),INDEX(상세표[블록종료],$Q708)&amp;""))</f>
        <v/>
      </c>
      <c r="H708">
        <f>IF($Q708="","",CHOOSE(WEEKDAY(INDEX(상세표[시작],$Q708)),"일","월","화","수","목","금","토"))</f>
        <v/>
      </c>
      <c r="I708" s="20">
        <f>IF($Q708="","",INDEX(상세표[연속 시간],$Q708))</f>
        <v/>
      </c>
      <c r="J708">
        <f>IF($Q708="","",INDEX(상세표[기록 수],$Q708))</f>
        <v/>
      </c>
      <c r="K708" s="20">
        <f>IF($Q708="","",INDEX(상세표[블록 06~07시],$Q708))</f>
        <v/>
      </c>
      <c r="L708" s="20">
        <f>IF($Q708="","",INDEX(상세표[블록 07~18시],$Q708))</f>
        <v/>
      </c>
      <c r="M708" s="20">
        <f>IF($Q708="","",INDEX(상세표[블록 18~22시],$Q708))</f>
        <v/>
      </c>
      <c r="N708" s="20">
        <f>IF($Q708="","",INDEX(상세표[블록 22~06시],$Q708))</f>
        <v/>
      </c>
      <c r="O708">
        <f>IF($Q708="","",INDEX(상세표[주말·휴일 포함],$Q708)&amp;"")</f>
        <v/>
      </c>
      <c r="P708">
        <f>IF($Q708="","",INDEX(상세표[월 넘김 포함],$Q708)&amp;"")</f>
        <v/>
      </c>
      <c r="Q708" s="4">
        <f>IFERROR(MATCH(703,상세표[연속순번],0),"")</f>
        <v/>
      </c>
    </row>
    <row r="709">
      <c r="A709">
        <f>IF($Q709="","",INDEX(상세표[부서],$Q709)&amp;"")</f>
        <v/>
      </c>
      <c r="B709">
        <f>IF($Q709="","",INDEX(상세표[사번],$Q709)&amp;"")</f>
        <v/>
      </c>
      <c r="C709">
        <f>IF($Q709="","",INDEX(상세표[성명],$Q709)&amp;"")</f>
        <v/>
      </c>
      <c r="D709">
        <f>IF($Q709="","",INDEX(상세표[직위],$Q709)&amp;"")</f>
        <v/>
      </c>
      <c r="E709">
        <f>IF($Q709="","",IF(ISNUMBER(INDEX(상세표[근무일자],$Q709)),TEXT(INDEX(상세표[근무일자],$Q709),"yyyy-mm-dd"),INDEX(상세표[근무일자],$Q709)&amp;""))</f>
        <v/>
      </c>
      <c r="F709">
        <f>IF($Q709="","",IF(ISNUMBER(INDEX(상세표[시작],$Q709)),TEXT(INDEX(상세표[시작],$Q709),"yyyy-mm-dd hh:mm"),INDEX(상세표[시작],$Q709)&amp;""))</f>
        <v/>
      </c>
      <c r="G709">
        <f>IF($Q709="","",IF(ISNUMBER(INDEX(상세표[블록종료],$Q709)),TEXT(INDEX(상세표[블록종료],$Q709),"yyyy-mm-dd hh:mm"),INDEX(상세표[블록종료],$Q709)&amp;""))</f>
        <v/>
      </c>
      <c r="H709">
        <f>IF($Q709="","",CHOOSE(WEEKDAY(INDEX(상세표[시작],$Q709)),"일","월","화","수","목","금","토"))</f>
        <v/>
      </c>
      <c r="I709" s="20">
        <f>IF($Q709="","",INDEX(상세표[연속 시간],$Q709))</f>
        <v/>
      </c>
      <c r="J709">
        <f>IF($Q709="","",INDEX(상세표[기록 수],$Q709))</f>
        <v/>
      </c>
      <c r="K709" s="20">
        <f>IF($Q709="","",INDEX(상세표[블록 06~07시],$Q709))</f>
        <v/>
      </c>
      <c r="L709" s="20">
        <f>IF($Q709="","",INDEX(상세표[블록 07~18시],$Q709))</f>
        <v/>
      </c>
      <c r="M709" s="20">
        <f>IF($Q709="","",INDEX(상세표[블록 18~22시],$Q709))</f>
        <v/>
      </c>
      <c r="N709" s="20">
        <f>IF($Q709="","",INDEX(상세표[블록 22~06시],$Q709))</f>
        <v/>
      </c>
      <c r="O709">
        <f>IF($Q709="","",INDEX(상세표[주말·휴일 포함],$Q709)&amp;"")</f>
        <v/>
      </c>
      <c r="P709">
        <f>IF($Q709="","",INDEX(상세표[월 넘김 포함],$Q709)&amp;"")</f>
        <v/>
      </c>
      <c r="Q709" s="4">
        <f>IFERROR(MATCH(704,상세표[연속순번],0),"")</f>
        <v/>
      </c>
    </row>
    <row r="710">
      <c r="A710">
        <f>IF($Q710="","",INDEX(상세표[부서],$Q710)&amp;"")</f>
        <v/>
      </c>
      <c r="B710">
        <f>IF($Q710="","",INDEX(상세표[사번],$Q710)&amp;"")</f>
        <v/>
      </c>
      <c r="C710">
        <f>IF($Q710="","",INDEX(상세표[성명],$Q710)&amp;"")</f>
        <v/>
      </c>
      <c r="D710">
        <f>IF($Q710="","",INDEX(상세표[직위],$Q710)&amp;"")</f>
        <v/>
      </c>
      <c r="E710">
        <f>IF($Q710="","",IF(ISNUMBER(INDEX(상세표[근무일자],$Q710)),TEXT(INDEX(상세표[근무일자],$Q710),"yyyy-mm-dd"),INDEX(상세표[근무일자],$Q710)&amp;""))</f>
        <v/>
      </c>
      <c r="F710">
        <f>IF($Q710="","",IF(ISNUMBER(INDEX(상세표[시작],$Q710)),TEXT(INDEX(상세표[시작],$Q710),"yyyy-mm-dd hh:mm"),INDEX(상세표[시작],$Q710)&amp;""))</f>
        <v/>
      </c>
      <c r="G710">
        <f>IF($Q710="","",IF(ISNUMBER(INDEX(상세표[블록종료],$Q710)),TEXT(INDEX(상세표[블록종료],$Q710),"yyyy-mm-dd hh:mm"),INDEX(상세표[블록종료],$Q710)&amp;""))</f>
        <v/>
      </c>
      <c r="H710">
        <f>IF($Q710="","",CHOOSE(WEEKDAY(INDEX(상세표[시작],$Q710)),"일","월","화","수","목","금","토"))</f>
        <v/>
      </c>
      <c r="I710" s="20">
        <f>IF($Q710="","",INDEX(상세표[연속 시간],$Q710))</f>
        <v/>
      </c>
      <c r="J710">
        <f>IF($Q710="","",INDEX(상세표[기록 수],$Q710))</f>
        <v/>
      </c>
      <c r="K710" s="20">
        <f>IF($Q710="","",INDEX(상세표[블록 06~07시],$Q710))</f>
        <v/>
      </c>
      <c r="L710" s="20">
        <f>IF($Q710="","",INDEX(상세표[블록 07~18시],$Q710))</f>
        <v/>
      </c>
      <c r="M710" s="20">
        <f>IF($Q710="","",INDEX(상세표[블록 18~22시],$Q710))</f>
        <v/>
      </c>
      <c r="N710" s="20">
        <f>IF($Q710="","",INDEX(상세표[블록 22~06시],$Q710))</f>
        <v/>
      </c>
      <c r="O710">
        <f>IF($Q710="","",INDEX(상세표[주말·휴일 포함],$Q710)&amp;"")</f>
        <v/>
      </c>
      <c r="P710">
        <f>IF($Q710="","",INDEX(상세표[월 넘김 포함],$Q710)&amp;"")</f>
        <v/>
      </c>
      <c r="Q710" s="4">
        <f>IFERROR(MATCH(705,상세표[연속순번],0),"")</f>
        <v/>
      </c>
    </row>
    <row r="711">
      <c r="A711">
        <f>IF($Q711="","",INDEX(상세표[부서],$Q711)&amp;"")</f>
        <v/>
      </c>
      <c r="B711">
        <f>IF($Q711="","",INDEX(상세표[사번],$Q711)&amp;"")</f>
        <v/>
      </c>
      <c r="C711">
        <f>IF($Q711="","",INDEX(상세표[성명],$Q711)&amp;"")</f>
        <v/>
      </c>
      <c r="D711">
        <f>IF($Q711="","",INDEX(상세표[직위],$Q711)&amp;"")</f>
        <v/>
      </c>
      <c r="E711">
        <f>IF($Q711="","",IF(ISNUMBER(INDEX(상세표[근무일자],$Q711)),TEXT(INDEX(상세표[근무일자],$Q711),"yyyy-mm-dd"),INDEX(상세표[근무일자],$Q711)&amp;""))</f>
        <v/>
      </c>
      <c r="F711">
        <f>IF($Q711="","",IF(ISNUMBER(INDEX(상세표[시작],$Q711)),TEXT(INDEX(상세표[시작],$Q711),"yyyy-mm-dd hh:mm"),INDEX(상세표[시작],$Q711)&amp;""))</f>
        <v/>
      </c>
      <c r="G711">
        <f>IF($Q711="","",IF(ISNUMBER(INDEX(상세표[블록종료],$Q711)),TEXT(INDEX(상세표[블록종료],$Q711),"yyyy-mm-dd hh:mm"),INDEX(상세표[블록종료],$Q711)&amp;""))</f>
        <v/>
      </c>
      <c r="H711">
        <f>IF($Q711="","",CHOOSE(WEEKDAY(INDEX(상세표[시작],$Q711)),"일","월","화","수","목","금","토"))</f>
        <v/>
      </c>
      <c r="I711" s="20">
        <f>IF($Q711="","",INDEX(상세표[연속 시간],$Q711))</f>
        <v/>
      </c>
      <c r="J711">
        <f>IF($Q711="","",INDEX(상세표[기록 수],$Q711))</f>
        <v/>
      </c>
      <c r="K711" s="20">
        <f>IF($Q711="","",INDEX(상세표[블록 06~07시],$Q711))</f>
        <v/>
      </c>
      <c r="L711" s="20">
        <f>IF($Q711="","",INDEX(상세표[블록 07~18시],$Q711))</f>
        <v/>
      </c>
      <c r="M711" s="20">
        <f>IF($Q711="","",INDEX(상세표[블록 18~22시],$Q711))</f>
        <v/>
      </c>
      <c r="N711" s="20">
        <f>IF($Q711="","",INDEX(상세표[블록 22~06시],$Q711))</f>
        <v/>
      </c>
      <c r="O711">
        <f>IF($Q711="","",INDEX(상세표[주말·휴일 포함],$Q711)&amp;"")</f>
        <v/>
      </c>
      <c r="P711">
        <f>IF($Q711="","",INDEX(상세표[월 넘김 포함],$Q711)&amp;"")</f>
        <v/>
      </c>
      <c r="Q711" s="4">
        <f>IFERROR(MATCH(706,상세표[연속순번],0),"")</f>
        <v/>
      </c>
    </row>
    <row r="712">
      <c r="A712">
        <f>IF($Q712="","",INDEX(상세표[부서],$Q712)&amp;"")</f>
        <v/>
      </c>
      <c r="B712">
        <f>IF($Q712="","",INDEX(상세표[사번],$Q712)&amp;"")</f>
        <v/>
      </c>
      <c r="C712">
        <f>IF($Q712="","",INDEX(상세표[성명],$Q712)&amp;"")</f>
        <v/>
      </c>
      <c r="D712">
        <f>IF($Q712="","",INDEX(상세표[직위],$Q712)&amp;"")</f>
        <v/>
      </c>
      <c r="E712">
        <f>IF($Q712="","",IF(ISNUMBER(INDEX(상세표[근무일자],$Q712)),TEXT(INDEX(상세표[근무일자],$Q712),"yyyy-mm-dd"),INDEX(상세표[근무일자],$Q712)&amp;""))</f>
        <v/>
      </c>
      <c r="F712">
        <f>IF($Q712="","",IF(ISNUMBER(INDEX(상세표[시작],$Q712)),TEXT(INDEX(상세표[시작],$Q712),"yyyy-mm-dd hh:mm"),INDEX(상세표[시작],$Q712)&amp;""))</f>
        <v/>
      </c>
      <c r="G712">
        <f>IF($Q712="","",IF(ISNUMBER(INDEX(상세표[블록종료],$Q712)),TEXT(INDEX(상세표[블록종료],$Q712),"yyyy-mm-dd hh:mm"),INDEX(상세표[블록종료],$Q712)&amp;""))</f>
        <v/>
      </c>
      <c r="H712">
        <f>IF($Q712="","",CHOOSE(WEEKDAY(INDEX(상세표[시작],$Q712)),"일","월","화","수","목","금","토"))</f>
        <v/>
      </c>
      <c r="I712" s="20">
        <f>IF($Q712="","",INDEX(상세표[연속 시간],$Q712))</f>
        <v/>
      </c>
      <c r="J712">
        <f>IF($Q712="","",INDEX(상세표[기록 수],$Q712))</f>
        <v/>
      </c>
      <c r="K712" s="20">
        <f>IF($Q712="","",INDEX(상세표[블록 06~07시],$Q712))</f>
        <v/>
      </c>
      <c r="L712" s="20">
        <f>IF($Q712="","",INDEX(상세표[블록 07~18시],$Q712))</f>
        <v/>
      </c>
      <c r="M712" s="20">
        <f>IF($Q712="","",INDEX(상세표[블록 18~22시],$Q712))</f>
        <v/>
      </c>
      <c r="N712" s="20">
        <f>IF($Q712="","",INDEX(상세표[블록 22~06시],$Q712))</f>
        <v/>
      </c>
      <c r="O712">
        <f>IF($Q712="","",INDEX(상세표[주말·휴일 포함],$Q712)&amp;"")</f>
        <v/>
      </c>
      <c r="P712">
        <f>IF($Q712="","",INDEX(상세표[월 넘김 포함],$Q712)&amp;"")</f>
        <v/>
      </c>
      <c r="Q712" s="4">
        <f>IFERROR(MATCH(707,상세표[연속순번],0),"")</f>
        <v/>
      </c>
    </row>
    <row r="713">
      <c r="A713">
        <f>IF($Q713="","",INDEX(상세표[부서],$Q713)&amp;"")</f>
        <v/>
      </c>
      <c r="B713">
        <f>IF($Q713="","",INDEX(상세표[사번],$Q713)&amp;"")</f>
        <v/>
      </c>
      <c r="C713">
        <f>IF($Q713="","",INDEX(상세표[성명],$Q713)&amp;"")</f>
        <v/>
      </c>
      <c r="D713">
        <f>IF($Q713="","",INDEX(상세표[직위],$Q713)&amp;"")</f>
        <v/>
      </c>
      <c r="E713">
        <f>IF($Q713="","",IF(ISNUMBER(INDEX(상세표[근무일자],$Q713)),TEXT(INDEX(상세표[근무일자],$Q713),"yyyy-mm-dd"),INDEX(상세표[근무일자],$Q713)&amp;""))</f>
        <v/>
      </c>
      <c r="F713">
        <f>IF($Q713="","",IF(ISNUMBER(INDEX(상세표[시작],$Q713)),TEXT(INDEX(상세표[시작],$Q713),"yyyy-mm-dd hh:mm"),INDEX(상세표[시작],$Q713)&amp;""))</f>
        <v/>
      </c>
      <c r="G713">
        <f>IF($Q713="","",IF(ISNUMBER(INDEX(상세표[블록종료],$Q713)),TEXT(INDEX(상세표[블록종료],$Q713),"yyyy-mm-dd hh:mm"),INDEX(상세표[블록종료],$Q713)&amp;""))</f>
        <v/>
      </c>
      <c r="H713">
        <f>IF($Q713="","",CHOOSE(WEEKDAY(INDEX(상세표[시작],$Q713)),"일","월","화","수","목","금","토"))</f>
        <v/>
      </c>
      <c r="I713" s="20">
        <f>IF($Q713="","",INDEX(상세표[연속 시간],$Q713))</f>
        <v/>
      </c>
      <c r="J713">
        <f>IF($Q713="","",INDEX(상세표[기록 수],$Q713))</f>
        <v/>
      </c>
      <c r="K713" s="20">
        <f>IF($Q713="","",INDEX(상세표[블록 06~07시],$Q713))</f>
        <v/>
      </c>
      <c r="L713" s="20">
        <f>IF($Q713="","",INDEX(상세표[블록 07~18시],$Q713))</f>
        <v/>
      </c>
      <c r="M713" s="20">
        <f>IF($Q713="","",INDEX(상세표[블록 18~22시],$Q713))</f>
        <v/>
      </c>
      <c r="N713" s="20">
        <f>IF($Q713="","",INDEX(상세표[블록 22~06시],$Q713))</f>
        <v/>
      </c>
      <c r="O713">
        <f>IF($Q713="","",INDEX(상세표[주말·휴일 포함],$Q713)&amp;"")</f>
        <v/>
      </c>
      <c r="P713">
        <f>IF($Q713="","",INDEX(상세표[월 넘김 포함],$Q713)&amp;"")</f>
        <v/>
      </c>
      <c r="Q713" s="4">
        <f>IFERROR(MATCH(708,상세표[연속순번],0),"")</f>
        <v/>
      </c>
    </row>
    <row r="714">
      <c r="A714">
        <f>IF($Q714="","",INDEX(상세표[부서],$Q714)&amp;"")</f>
        <v/>
      </c>
      <c r="B714">
        <f>IF($Q714="","",INDEX(상세표[사번],$Q714)&amp;"")</f>
        <v/>
      </c>
      <c r="C714">
        <f>IF($Q714="","",INDEX(상세표[성명],$Q714)&amp;"")</f>
        <v/>
      </c>
      <c r="D714">
        <f>IF($Q714="","",INDEX(상세표[직위],$Q714)&amp;"")</f>
        <v/>
      </c>
      <c r="E714">
        <f>IF($Q714="","",IF(ISNUMBER(INDEX(상세표[근무일자],$Q714)),TEXT(INDEX(상세표[근무일자],$Q714),"yyyy-mm-dd"),INDEX(상세표[근무일자],$Q714)&amp;""))</f>
        <v/>
      </c>
      <c r="F714">
        <f>IF($Q714="","",IF(ISNUMBER(INDEX(상세표[시작],$Q714)),TEXT(INDEX(상세표[시작],$Q714),"yyyy-mm-dd hh:mm"),INDEX(상세표[시작],$Q714)&amp;""))</f>
        <v/>
      </c>
      <c r="G714">
        <f>IF($Q714="","",IF(ISNUMBER(INDEX(상세표[블록종료],$Q714)),TEXT(INDEX(상세표[블록종료],$Q714),"yyyy-mm-dd hh:mm"),INDEX(상세표[블록종료],$Q714)&amp;""))</f>
        <v/>
      </c>
      <c r="H714">
        <f>IF($Q714="","",CHOOSE(WEEKDAY(INDEX(상세표[시작],$Q714)),"일","월","화","수","목","금","토"))</f>
        <v/>
      </c>
      <c r="I714" s="20">
        <f>IF($Q714="","",INDEX(상세표[연속 시간],$Q714))</f>
        <v/>
      </c>
      <c r="J714">
        <f>IF($Q714="","",INDEX(상세표[기록 수],$Q714))</f>
        <v/>
      </c>
      <c r="K714" s="20">
        <f>IF($Q714="","",INDEX(상세표[블록 06~07시],$Q714))</f>
        <v/>
      </c>
      <c r="L714" s="20">
        <f>IF($Q714="","",INDEX(상세표[블록 07~18시],$Q714))</f>
        <v/>
      </c>
      <c r="M714" s="20">
        <f>IF($Q714="","",INDEX(상세표[블록 18~22시],$Q714))</f>
        <v/>
      </c>
      <c r="N714" s="20">
        <f>IF($Q714="","",INDEX(상세표[블록 22~06시],$Q714))</f>
        <v/>
      </c>
      <c r="O714">
        <f>IF($Q714="","",INDEX(상세표[주말·휴일 포함],$Q714)&amp;"")</f>
        <v/>
      </c>
      <c r="P714">
        <f>IF($Q714="","",INDEX(상세표[월 넘김 포함],$Q714)&amp;"")</f>
        <v/>
      </c>
      <c r="Q714" s="4">
        <f>IFERROR(MATCH(709,상세표[연속순번],0),"")</f>
        <v/>
      </c>
    </row>
    <row r="715">
      <c r="A715">
        <f>IF($Q715="","",INDEX(상세표[부서],$Q715)&amp;"")</f>
        <v/>
      </c>
      <c r="B715">
        <f>IF($Q715="","",INDEX(상세표[사번],$Q715)&amp;"")</f>
        <v/>
      </c>
      <c r="C715">
        <f>IF($Q715="","",INDEX(상세표[성명],$Q715)&amp;"")</f>
        <v/>
      </c>
      <c r="D715">
        <f>IF($Q715="","",INDEX(상세표[직위],$Q715)&amp;"")</f>
        <v/>
      </c>
      <c r="E715">
        <f>IF($Q715="","",IF(ISNUMBER(INDEX(상세표[근무일자],$Q715)),TEXT(INDEX(상세표[근무일자],$Q715),"yyyy-mm-dd"),INDEX(상세표[근무일자],$Q715)&amp;""))</f>
        <v/>
      </c>
      <c r="F715">
        <f>IF($Q715="","",IF(ISNUMBER(INDEX(상세표[시작],$Q715)),TEXT(INDEX(상세표[시작],$Q715),"yyyy-mm-dd hh:mm"),INDEX(상세표[시작],$Q715)&amp;""))</f>
        <v/>
      </c>
      <c r="G715">
        <f>IF($Q715="","",IF(ISNUMBER(INDEX(상세표[블록종료],$Q715)),TEXT(INDEX(상세표[블록종료],$Q715),"yyyy-mm-dd hh:mm"),INDEX(상세표[블록종료],$Q715)&amp;""))</f>
        <v/>
      </c>
      <c r="H715">
        <f>IF($Q715="","",CHOOSE(WEEKDAY(INDEX(상세표[시작],$Q715)),"일","월","화","수","목","금","토"))</f>
        <v/>
      </c>
      <c r="I715" s="20">
        <f>IF($Q715="","",INDEX(상세표[연속 시간],$Q715))</f>
        <v/>
      </c>
      <c r="J715">
        <f>IF($Q715="","",INDEX(상세표[기록 수],$Q715))</f>
        <v/>
      </c>
      <c r="K715" s="20">
        <f>IF($Q715="","",INDEX(상세표[블록 06~07시],$Q715))</f>
        <v/>
      </c>
      <c r="L715" s="20">
        <f>IF($Q715="","",INDEX(상세표[블록 07~18시],$Q715))</f>
        <v/>
      </c>
      <c r="M715" s="20">
        <f>IF($Q715="","",INDEX(상세표[블록 18~22시],$Q715))</f>
        <v/>
      </c>
      <c r="N715" s="20">
        <f>IF($Q715="","",INDEX(상세표[블록 22~06시],$Q715))</f>
        <v/>
      </c>
      <c r="O715">
        <f>IF($Q715="","",INDEX(상세표[주말·휴일 포함],$Q715)&amp;"")</f>
        <v/>
      </c>
      <c r="P715">
        <f>IF($Q715="","",INDEX(상세표[월 넘김 포함],$Q715)&amp;"")</f>
        <v/>
      </c>
      <c r="Q715" s="4">
        <f>IFERROR(MATCH(710,상세표[연속순번],0),"")</f>
        <v/>
      </c>
    </row>
    <row r="716">
      <c r="A716">
        <f>IF($Q716="","",INDEX(상세표[부서],$Q716)&amp;"")</f>
        <v/>
      </c>
      <c r="B716">
        <f>IF($Q716="","",INDEX(상세표[사번],$Q716)&amp;"")</f>
        <v/>
      </c>
      <c r="C716">
        <f>IF($Q716="","",INDEX(상세표[성명],$Q716)&amp;"")</f>
        <v/>
      </c>
      <c r="D716">
        <f>IF($Q716="","",INDEX(상세표[직위],$Q716)&amp;"")</f>
        <v/>
      </c>
      <c r="E716">
        <f>IF($Q716="","",IF(ISNUMBER(INDEX(상세표[근무일자],$Q716)),TEXT(INDEX(상세표[근무일자],$Q716),"yyyy-mm-dd"),INDEX(상세표[근무일자],$Q716)&amp;""))</f>
        <v/>
      </c>
      <c r="F716">
        <f>IF($Q716="","",IF(ISNUMBER(INDEX(상세표[시작],$Q716)),TEXT(INDEX(상세표[시작],$Q716),"yyyy-mm-dd hh:mm"),INDEX(상세표[시작],$Q716)&amp;""))</f>
        <v/>
      </c>
      <c r="G716">
        <f>IF($Q716="","",IF(ISNUMBER(INDEX(상세표[블록종료],$Q716)),TEXT(INDEX(상세표[블록종료],$Q716),"yyyy-mm-dd hh:mm"),INDEX(상세표[블록종료],$Q716)&amp;""))</f>
        <v/>
      </c>
      <c r="H716">
        <f>IF($Q716="","",CHOOSE(WEEKDAY(INDEX(상세표[시작],$Q716)),"일","월","화","수","목","금","토"))</f>
        <v/>
      </c>
      <c r="I716" s="20">
        <f>IF($Q716="","",INDEX(상세표[연속 시간],$Q716))</f>
        <v/>
      </c>
      <c r="J716">
        <f>IF($Q716="","",INDEX(상세표[기록 수],$Q716))</f>
        <v/>
      </c>
      <c r="K716" s="20">
        <f>IF($Q716="","",INDEX(상세표[블록 06~07시],$Q716))</f>
        <v/>
      </c>
      <c r="L716" s="20">
        <f>IF($Q716="","",INDEX(상세표[블록 07~18시],$Q716))</f>
        <v/>
      </c>
      <c r="M716" s="20">
        <f>IF($Q716="","",INDEX(상세표[블록 18~22시],$Q716))</f>
        <v/>
      </c>
      <c r="N716" s="20">
        <f>IF($Q716="","",INDEX(상세표[블록 22~06시],$Q716))</f>
        <v/>
      </c>
      <c r="O716">
        <f>IF($Q716="","",INDEX(상세표[주말·휴일 포함],$Q716)&amp;"")</f>
        <v/>
      </c>
      <c r="P716">
        <f>IF($Q716="","",INDEX(상세표[월 넘김 포함],$Q716)&amp;"")</f>
        <v/>
      </c>
      <c r="Q716" s="4">
        <f>IFERROR(MATCH(711,상세표[연속순번],0),"")</f>
        <v/>
      </c>
    </row>
    <row r="717">
      <c r="A717">
        <f>IF($Q717="","",INDEX(상세표[부서],$Q717)&amp;"")</f>
        <v/>
      </c>
      <c r="B717">
        <f>IF($Q717="","",INDEX(상세표[사번],$Q717)&amp;"")</f>
        <v/>
      </c>
      <c r="C717">
        <f>IF($Q717="","",INDEX(상세표[성명],$Q717)&amp;"")</f>
        <v/>
      </c>
      <c r="D717">
        <f>IF($Q717="","",INDEX(상세표[직위],$Q717)&amp;"")</f>
        <v/>
      </c>
      <c r="E717">
        <f>IF($Q717="","",IF(ISNUMBER(INDEX(상세표[근무일자],$Q717)),TEXT(INDEX(상세표[근무일자],$Q717),"yyyy-mm-dd"),INDEX(상세표[근무일자],$Q717)&amp;""))</f>
        <v/>
      </c>
      <c r="F717">
        <f>IF($Q717="","",IF(ISNUMBER(INDEX(상세표[시작],$Q717)),TEXT(INDEX(상세표[시작],$Q717),"yyyy-mm-dd hh:mm"),INDEX(상세표[시작],$Q717)&amp;""))</f>
        <v/>
      </c>
      <c r="G717">
        <f>IF($Q717="","",IF(ISNUMBER(INDEX(상세표[블록종료],$Q717)),TEXT(INDEX(상세표[블록종료],$Q717),"yyyy-mm-dd hh:mm"),INDEX(상세표[블록종료],$Q717)&amp;""))</f>
        <v/>
      </c>
      <c r="H717">
        <f>IF($Q717="","",CHOOSE(WEEKDAY(INDEX(상세표[시작],$Q717)),"일","월","화","수","목","금","토"))</f>
        <v/>
      </c>
      <c r="I717" s="20">
        <f>IF($Q717="","",INDEX(상세표[연속 시간],$Q717))</f>
        <v/>
      </c>
      <c r="J717">
        <f>IF($Q717="","",INDEX(상세표[기록 수],$Q717))</f>
        <v/>
      </c>
      <c r="K717" s="20">
        <f>IF($Q717="","",INDEX(상세표[블록 06~07시],$Q717))</f>
        <v/>
      </c>
      <c r="L717" s="20">
        <f>IF($Q717="","",INDEX(상세표[블록 07~18시],$Q717))</f>
        <v/>
      </c>
      <c r="M717" s="20">
        <f>IF($Q717="","",INDEX(상세표[블록 18~22시],$Q717))</f>
        <v/>
      </c>
      <c r="N717" s="20">
        <f>IF($Q717="","",INDEX(상세표[블록 22~06시],$Q717))</f>
        <v/>
      </c>
      <c r="O717">
        <f>IF($Q717="","",INDEX(상세표[주말·휴일 포함],$Q717)&amp;"")</f>
        <v/>
      </c>
      <c r="P717">
        <f>IF($Q717="","",INDEX(상세표[월 넘김 포함],$Q717)&amp;"")</f>
        <v/>
      </c>
      <c r="Q717" s="4">
        <f>IFERROR(MATCH(712,상세표[연속순번],0),"")</f>
        <v/>
      </c>
    </row>
    <row r="718">
      <c r="A718">
        <f>IF($Q718="","",INDEX(상세표[부서],$Q718)&amp;"")</f>
        <v/>
      </c>
      <c r="B718">
        <f>IF($Q718="","",INDEX(상세표[사번],$Q718)&amp;"")</f>
        <v/>
      </c>
      <c r="C718">
        <f>IF($Q718="","",INDEX(상세표[성명],$Q718)&amp;"")</f>
        <v/>
      </c>
      <c r="D718">
        <f>IF($Q718="","",INDEX(상세표[직위],$Q718)&amp;"")</f>
        <v/>
      </c>
      <c r="E718">
        <f>IF($Q718="","",IF(ISNUMBER(INDEX(상세표[근무일자],$Q718)),TEXT(INDEX(상세표[근무일자],$Q718),"yyyy-mm-dd"),INDEX(상세표[근무일자],$Q718)&amp;""))</f>
        <v/>
      </c>
      <c r="F718">
        <f>IF($Q718="","",IF(ISNUMBER(INDEX(상세표[시작],$Q718)),TEXT(INDEX(상세표[시작],$Q718),"yyyy-mm-dd hh:mm"),INDEX(상세표[시작],$Q718)&amp;""))</f>
        <v/>
      </c>
      <c r="G718">
        <f>IF($Q718="","",IF(ISNUMBER(INDEX(상세표[블록종료],$Q718)),TEXT(INDEX(상세표[블록종료],$Q718),"yyyy-mm-dd hh:mm"),INDEX(상세표[블록종료],$Q718)&amp;""))</f>
        <v/>
      </c>
      <c r="H718">
        <f>IF($Q718="","",CHOOSE(WEEKDAY(INDEX(상세표[시작],$Q718)),"일","월","화","수","목","금","토"))</f>
        <v/>
      </c>
      <c r="I718" s="20">
        <f>IF($Q718="","",INDEX(상세표[연속 시간],$Q718))</f>
        <v/>
      </c>
      <c r="J718">
        <f>IF($Q718="","",INDEX(상세표[기록 수],$Q718))</f>
        <v/>
      </c>
      <c r="K718" s="20">
        <f>IF($Q718="","",INDEX(상세표[블록 06~07시],$Q718))</f>
        <v/>
      </c>
      <c r="L718" s="20">
        <f>IF($Q718="","",INDEX(상세표[블록 07~18시],$Q718))</f>
        <v/>
      </c>
      <c r="M718" s="20">
        <f>IF($Q718="","",INDEX(상세표[블록 18~22시],$Q718))</f>
        <v/>
      </c>
      <c r="N718" s="20">
        <f>IF($Q718="","",INDEX(상세표[블록 22~06시],$Q718))</f>
        <v/>
      </c>
      <c r="O718">
        <f>IF($Q718="","",INDEX(상세표[주말·휴일 포함],$Q718)&amp;"")</f>
        <v/>
      </c>
      <c r="P718">
        <f>IF($Q718="","",INDEX(상세표[월 넘김 포함],$Q718)&amp;"")</f>
        <v/>
      </c>
      <c r="Q718" s="4">
        <f>IFERROR(MATCH(713,상세표[연속순번],0),"")</f>
        <v/>
      </c>
    </row>
    <row r="719">
      <c r="A719">
        <f>IF($Q719="","",INDEX(상세표[부서],$Q719)&amp;"")</f>
        <v/>
      </c>
      <c r="B719">
        <f>IF($Q719="","",INDEX(상세표[사번],$Q719)&amp;"")</f>
        <v/>
      </c>
      <c r="C719">
        <f>IF($Q719="","",INDEX(상세표[성명],$Q719)&amp;"")</f>
        <v/>
      </c>
      <c r="D719">
        <f>IF($Q719="","",INDEX(상세표[직위],$Q719)&amp;"")</f>
        <v/>
      </c>
      <c r="E719">
        <f>IF($Q719="","",IF(ISNUMBER(INDEX(상세표[근무일자],$Q719)),TEXT(INDEX(상세표[근무일자],$Q719),"yyyy-mm-dd"),INDEX(상세표[근무일자],$Q719)&amp;""))</f>
        <v/>
      </c>
      <c r="F719">
        <f>IF($Q719="","",IF(ISNUMBER(INDEX(상세표[시작],$Q719)),TEXT(INDEX(상세표[시작],$Q719),"yyyy-mm-dd hh:mm"),INDEX(상세표[시작],$Q719)&amp;""))</f>
        <v/>
      </c>
      <c r="G719">
        <f>IF($Q719="","",IF(ISNUMBER(INDEX(상세표[블록종료],$Q719)),TEXT(INDEX(상세표[블록종료],$Q719),"yyyy-mm-dd hh:mm"),INDEX(상세표[블록종료],$Q719)&amp;""))</f>
        <v/>
      </c>
      <c r="H719">
        <f>IF($Q719="","",CHOOSE(WEEKDAY(INDEX(상세표[시작],$Q719)),"일","월","화","수","목","금","토"))</f>
        <v/>
      </c>
      <c r="I719" s="20">
        <f>IF($Q719="","",INDEX(상세표[연속 시간],$Q719))</f>
        <v/>
      </c>
      <c r="J719">
        <f>IF($Q719="","",INDEX(상세표[기록 수],$Q719))</f>
        <v/>
      </c>
      <c r="K719" s="20">
        <f>IF($Q719="","",INDEX(상세표[블록 06~07시],$Q719))</f>
        <v/>
      </c>
      <c r="L719" s="20">
        <f>IF($Q719="","",INDEX(상세표[블록 07~18시],$Q719))</f>
        <v/>
      </c>
      <c r="M719" s="20">
        <f>IF($Q719="","",INDEX(상세표[블록 18~22시],$Q719))</f>
        <v/>
      </c>
      <c r="N719" s="20">
        <f>IF($Q719="","",INDEX(상세표[블록 22~06시],$Q719))</f>
        <v/>
      </c>
      <c r="O719">
        <f>IF($Q719="","",INDEX(상세표[주말·휴일 포함],$Q719)&amp;"")</f>
        <v/>
      </c>
      <c r="P719">
        <f>IF($Q719="","",INDEX(상세표[월 넘김 포함],$Q719)&amp;"")</f>
        <v/>
      </c>
      <c r="Q719" s="4">
        <f>IFERROR(MATCH(714,상세표[연속순번],0),"")</f>
        <v/>
      </c>
    </row>
    <row r="720">
      <c r="A720">
        <f>IF($Q720="","",INDEX(상세표[부서],$Q720)&amp;"")</f>
        <v/>
      </c>
      <c r="B720">
        <f>IF($Q720="","",INDEX(상세표[사번],$Q720)&amp;"")</f>
        <v/>
      </c>
      <c r="C720">
        <f>IF($Q720="","",INDEX(상세표[성명],$Q720)&amp;"")</f>
        <v/>
      </c>
      <c r="D720">
        <f>IF($Q720="","",INDEX(상세표[직위],$Q720)&amp;"")</f>
        <v/>
      </c>
      <c r="E720">
        <f>IF($Q720="","",IF(ISNUMBER(INDEX(상세표[근무일자],$Q720)),TEXT(INDEX(상세표[근무일자],$Q720),"yyyy-mm-dd"),INDEX(상세표[근무일자],$Q720)&amp;""))</f>
        <v/>
      </c>
      <c r="F720">
        <f>IF($Q720="","",IF(ISNUMBER(INDEX(상세표[시작],$Q720)),TEXT(INDEX(상세표[시작],$Q720),"yyyy-mm-dd hh:mm"),INDEX(상세표[시작],$Q720)&amp;""))</f>
        <v/>
      </c>
      <c r="G720">
        <f>IF($Q720="","",IF(ISNUMBER(INDEX(상세표[블록종료],$Q720)),TEXT(INDEX(상세표[블록종료],$Q720),"yyyy-mm-dd hh:mm"),INDEX(상세표[블록종료],$Q720)&amp;""))</f>
        <v/>
      </c>
      <c r="H720">
        <f>IF($Q720="","",CHOOSE(WEEKDAY(INDEX(상세표[시작],$Q720)),"일","월","화","수","목","금","토"))</f>
        <v/>
      </c>
      <c r="I720" s="20">
        <f>IF($Q720="","",INDEX(상세표[연속 시간],$Q720))</f>
        <v/>
      </c>
      <c r="J720">
        <f>IF($Q720="","",INDEX(상세표[기록 수],$Q720))</f>
        <v/>
      </c>
      <c r="K720" s="20">
        <f>IF($Q720="","",INDEX(상세표[블록 06~07시],$Q720))</f>
        <v/>
      </c>
      <c r="L720" s="20">
        <f>IF($Q720="","",INDEX(상세표[블록 07~18시],$Q720))</f>
        <v/>
      </c>
      <c r="M720" s="20">
        <f>IF($Q720="","",INDEX(상세표[블록 18~22시],$Q720))</f>
        <v/>
      </c>
      <c r="N720" s="20">
        <f>IF($Q720="","",INDEX(상세표[블록 22~06시],$Q720))</f>
        <v/>
      </c>
      <c r="O720">
        <f>IF($Q720="","",INDEX(상세표[주말·휴일 포함],$Q720)&amp;"")</f>
        <v/>
      </c>
      <c r="P720">
        <f>IF($Q720="","",INDEX(상세표[월 넘김 포함],$Q720)&amp;"")</f>
        <v/>
      </c>
      <c r="Q720" s="4">
        <f>IFERROR(MATCH(715,상세표[연속순번],0),"")</f>
        <v/>
      </c>
    </row>
    <row r="721">
      <c r="A721">
        <f>IF($Q721="","",INDEX(상세표[부서],$Q721)&amp;"")</f>
        <v/>
      </c>
      <c r="B721">
        <f>IF($Q721="","",INDEX(상세표[사번],$Q721)&amp;"")</f>
        <v/>
      </c>
      <c r="C721">
        <f>IF($Q721="","",INDEX(상세표[성명],$Q721)&amp;"")</f>
        <v/>
      </c>
      <c r="D721">
        <f>IF($Q721="","",INDEX(상세표[직위],$Q721)&amp;"")</f>
        <v/>
      </c>
      <c r="E721">
        <f>IF($Q721="","",IF(ISNUMBER(INDEX(상세표[근무일자],$Q721)),TEXT(INDEX(상세표[근무일자],$Q721),"yyyy-mm-dd"),INDEX(상세표[근무일자],$Q721)&amp;""))</f>
        <v/>
      </c>
      <c r="F721">
        <f>IF($Q721="","",IF(ISNUMBER(INDEX(상세표[시작],$Q721)),TEXT(INDEX(상세표[시작],$Q721),"yyyy-mm-dd hh:mm"),INDEX(상세표[시작],$Q721)&amp;""))</f>
        <v/>
      </c>
      <c r="G721">
        <f>IF($Q721="","",IF(ISNUMBER(INDEX(상세표[블록종료],$Q721)),TEXT(INDEX(상세표[블록종료],$Q721),"yyyy-mm-dd hh:mm"),INDEX(상세표[블록종료],$Q721)&amp;""))</f>
        <v/>
      </c>
      <c r="H721">
        <f>IF($Q721="","",CHOOSE(WEEKDAY(INDEX(상세표[시작],$Q721)),"일","월","화","수","목","금","토"))</f>
        <v/>
      </c>
      <c r="I721" s="20">
        <f>IF($Q721="","",INDEX(상세표[연속 시간],$Q721))</f>
        <v/>
      </c>
      <c r="J721">
        <f>IF($Q721="","",INDEX(상세표[기록 수],$Q721))</f>
        <v/>
      </c>
      <c r="K721" s="20">
        <f>IF($Q721="","",INDEX(상세표[블록 06~07시],$Q721))</f>
        <v/>
      </c>
      <c r="L721" s="20">
        <f>IF($Q721="","",INDEX(상세표[블록 07~18시],$Q721))</f>
        <v/>
      </c>
      <c r="M721" s="20">
        <f>IF($Q721="","",INDEX(상세표[블록 18~22시],$Q721))</f>
        <v/>
      </c>
      <c r="N721" s="20">
        <f>IF($Q721="","",INDEX(상세표[블록 22~06시],$Q721))</f>
        <v/>
      </c>
      <c r="O721">
        <f>IF($Q721="","",INDEX(상세표[주말·휴일 포함],$Q721)&amp;"")</f>
        <v/>
      </c>
      <c r="P721">
        <f>IF($Q721="","",INDEX(상세표[월 넘김 포함],$Q721)&amp;"")</f>
        <v/>
      </c>
      <c r="Q721" s="4">
        <f>IFERROR(MATCH(716,상세표[연속순번],0),"")</f>
        <v/>
      </c>
    </row>
    <row r="722">
      <c r="A722">
        <f>IF($Q722="","",INDEX(상세표[부서],$Q722)&amp;"")</f>
        <v/>
      </c>
      <c r="B722">
        <f>IF($Q722="","",INDEX(상세표[사번],$Q722)&amp;"")</f>
        <v/>
      </c>
      <c r="C722">
        <f>IF($Q722="","",INDEX(상세표[성명],$Q722)&amp;"")</f>
        <v/>
      </c>
      <c r="D722">
        <f>IF($Q722="","",INDEX(상세표[직위],$Q722)&amp;"")</f>
        <v/>
      </c>
      <c r="E722">
        <f>IF($Q722="","",IF(ISNUMBER(INDEX(상세표[근무일자],$Q722)),TEXT(INDEX(상세표[근무일자],$Q722),"yyyy-mm-dd"),INDEX(상세표[근무일자],$Q722)&amp;""))</f>
        <v/>
      </c>
      <c r="F722">
        <f>IF($Q722="","",IF(ISNUMBER(INDEX(상세표[시작],$Q722)),TEXT(INDEX(상세표[시작],$Q722),"yyyy-mm-dd hh:mm"),INDEX(상세표[시작],$Q722)&amp;""))</f>
        <v/>
      </c>
      <c r="G722">
        <f>IF($Q722="","",IF(ISNUMBER(INDEX(상세표[블록종료],$Q722)),TEXT(INDEX(상세표[블록종료],$Q722),"yyyy-mm-dd hh:mm"),INDEX(상세표[블록종료],$Q722)&amp;""))</f>
        <v/>
      </c>
      <c r="H722">
        <f>IF($Q722="","",CHOOSE(WEEKDAY(INDEX(상세표[시작],$Q722)),"일","월","화","수","목","금","토"))</f>
        <v/>
      </c>
      <c r="I722" s="20">
        <f>IF($Q722="","",INDEX(상세표[연속 시간],$Q722))</f>
        <v/>
      </c>
      <c r="J722">
        <f>IF($Q722="","",INDEX(상세표[기록 수],$Q722))</f>
        <v/>
      </c>
      <c r="K722" s="20">
        <f>IF($Q722="","",INDEX(상세표[블록 06~07시],$Q722))</f>
        <v/>
      </c>
      <c r="L722" s="20">
        <f>IF($Q722="","",INDEX(상세표[블록 07~18시],$Q722))</f>
        <v/>
      </c>
      <c r="M722" s="20">
        <f>IF($Q722="","",INDEX(상세표[블록 18~22시],$Q722))</f>
        <v/>
      </c>
      <c r="N722" s="20">
        <f>IF($Q722="","",INDEX(상세표[블록 22~06시],$Q722))</f>
        <v/>
      </c>
      <c r="O722">
        <f>IF($Q722="","",INDEX(상세표[주말·휴일 포함],$Q722)&amp;"")</f>
        <v/>
      </c>
      <c r="P722">
        <f>IF($Q722="","",INDEX(상세표[월 넘김 포함],$Q722)&amp;"")</f>
        <v/>
      </c>
      <c r="Q722" s="4">
        <f>IFERROR(MATCH(717,상세표[연속순번],0),"")</f>
        <v/>
      </c>
    </row>
    <row r="723">
      <c r="A723">
        <f>IF($Q723="","",INDEX(상세표[부서],$Q723)&amp;"")</f>
        <v/>
      </c>
      <c r="B723">
        <f>IF($Q723="","",INDEX(상세표[사번],$Q723)&amp;"")</f>
        <v/>
      </c>
      <c r="C723">
        <f>IF($Q723="","",INDEX(상세표[성명],$Q723)&amp;"")</f>
        <v/>
      </c>
      <c r="D723">
        <f>IF($Q723="","",INDEX(상세표[직위],$Q723)&amp;"")</f>
        <v/>
      </c>
      <c r="E723">
        <f>IF($Q723="","",IF(ISNUMBER(INDEX(상세표[근무일자],$Q723)),TEXT(INDEX(상세표[근무일자],$Q723),"yyyy-mm-dd"),INDEX(상세표[근무일자],$Q723)&amp;""))</f>
        <v/>
      </c>
      <c r="F723">
        <f>IF($Q723="","",IF(ISNUMBER(INDEX(상세표[시작],$Q723)),TEXT(INDEX(상세표[시작],$Q723),"yyyy-mm-dd hh:mm"),INDEX(상세표[시작],$Q723)&amp;""))</f>
        <v/>
      </c>
      <c r="G723">
        <f>IF($Q723="","",IF(ISNUMBER(INDEX(상세표[블록종료],$Q723)),TEXT(INDEX(상세표[블록종료],$Q723),"yyyy-mm-dd hh:mm"),INDEX(상세표[블록종료],$Q723)&amp;""))</f>
        <v/>
      </c>
      <c r="H723">
        <f>IF($Q723="","",CHOOSE(WEEKDAY(INDEX(상세표[시작],$Q723)),"일","월","화","수","목","금","토"))</f>
        <v/>
      </c>
      <c r="I723" s="20">
        <f>IF($Q723="","",INDEX(상세표[연속 시간],$Q723))</f>
        <v/>
      </c>
      <c r="J723">
        <f>IF($Q723="","",INDEX(상세표[기록 수],$Q723))</f>
        <v/>
      </c>
      <c r="K723" s="20">
        <f>IF($Q723="","",INDEX(상세표[블록 06~07시],$Q723))</f>
        <v/>
      </c>
      <c r="L723" s="20">
        <f>IF($Q723="","",INDEX(상세표[블록 07~18시],$Q723))</f>
        <v/>
      </c>
      <c r="M723" s="20">
        <f>IF($Q723="","",INDEX(상세표[블록 18~22시],$Q723))</f>
        <v/>
      </c>
      <c r="N723" s="20">
        <f>IF($Q723="","",INDEX(상세표[블록 22~06시],$Q723))</f>
        <v/>
      </c>
      <c r="O723">
        <f>IF($Q723="","",INDEX(상세표[주말·휴일 포함],$Q723)&amp;"")</f>
        <v/>
      </c>
      <c r="P723">
        <f>IF($Q723="","",INDEX(상세표[월 넘김 포함],$Q723)&amp;"")</f>
        <v/>
      </c>
      <c r="Q723" s="4">
        <f>IFERROR(MATCH(718,상세표[연속순번],0),"")</f>
        <v/>
      </c>
    </row>
    <row r="724">
      <c r="A724">
        <f>IF($Q724="","",INDEX(상세표[부서],$Q724)&amp;"")</f>
        <v/>
      </c>
      <c r="B724">
        <f>IF($Q724="","",INDEX(상세표[사번],$Q724)&amp;"")</f>
        <v/>
      </c>
      <c r="C724">
        <f>IF($Q724="","",INDEX(상세표[성명],$Q724)&amp;"")</f>
        <v/>
      </c>
      <c r="D724">
        <f>IF($Q724="","",INDEX(상세표[직위],$Q724)&amp;"")</f>
        <v/>
      </c>
      <c r="E724">
        <f>IF($Q724="","",IF(ISNUMBER(INDEX(상세표[근무일자],$Q724)),TEXT(INDEX(상세표[근무일자],$Q724),"yyyy-mm-dd"),INDEX(상세표[근무일자],$Q724)&amp;""))</f>
        <v/>
      </c>
      <c r="F724">
        <f>IF($Q724="","",IF(ISNUMBER(INDEX(상세표[시작],$Q724)),TEXT(INDEX(상세표[시작],$Q724),"yyyy-mm-dd hh:mm"),INDEX(상세표[시작],$Q724)&amp;""))</f>
        <v/>
      </c>
      <c r="G724">
        <f>IF($Q724="","",IF(ISNUMBER(INDEX(상세표[블록종료],$Q724)),TEXT(INDEX(상세표[블록종료],$Q724),"yyyy-mm-dd hh:mm"),INDEX(상세표[블록종료],$Q724)&amp;""))</f>
        <v/>
      </c>
      <c r="H724">
        <f>IF($Q724="","",CHOOSE(WEEKDAY(INDEX(상세표[시작],$Q724)),"일","월","화","수","목","금","토"))</f>
        <v/>
      </c>
      <c r="I724" s="20">
        <f>IF($Q724="","",INDEX(상세표[연속 시간],$Q724))</f>
        <v/>
      </c>
      <c r="J724">
        <f>IF($Q724="","",INDEX(상세표[기록 수],$Q724))</f>
        <v/>
      </c>
      <c r="K724" s="20">
        <f>IF($Q724="","",INDEX(상세표[블록 06~07시],$Q724))</f>
        <v/>
      </c>
      <c r="L724" s="20">
        <f>IF($Q724="","",INDEX(상세표[블록 07~18시],$Q724))</f>
        <v/>
      </c>
      <c r="M724" s="20">
        <f>IF($Q724="","",INDEX(상세표[블록 18~22시],$Q724))</f>
        <v/>
      </c>
      <c r="N724" s="20">
        <f>IF($Q724="","",INDEX(상세표[블록 22~06시],$Q724))</f>
        <v/>
      </c>
      <c r="O724">
        <f>IF($Q724="","",INDEX(상세표[주말·휴일 포함],$Q724)&amp;"")</f>
        <v/>
      </c>
      <c r="P724">
        <f>IF($Q724="","",INDEX(상세표[월 넘김 포함],$Q724)&amp;"")</f>
        <v/>
      </c>
      <c r="Q724" s="4">
        <f>IFERROR(MATCH(719,상세표[연속순번],0),"")</f>
        <v/>
      </c>
    </row>
    <row r="725">
      <c r="A725">
        <f>IF($Q725="","",INDEX(상세표[부서],$Q725)&amp;"")</f>
        <v/>
      </c>
      <c r="B725">
        <f>IF($Q725="","",INDEX(상세표[사번],$Q725)&amp;"")</f>
        <v/>
      </c>
      <c r="C725">
        <f>IF($Q725="","",INDEX(상세표[성명],$Q725)&amp;"")</f>
        <v/>
      </c>
      <c r="D725">
        <f>IF($Q725="","",INDEX(상세표[직위],$Q725)&amp;"")</f>
        <v/>
      </c>
      <c r="E725">
        <f>IF($Q725="","",IF(ISNUMBER(INDEX(상세표[근무일자],$Q725)),TEXT(INDEX(상세표[근무일자],$Q725),"yyyy-mm-dd"),INDEX(상세표[근무일자],$Q725)&amp;""))</f>
        <v/>
      </c>
      <c r="F725">
        <f>IF($Q725="","",IF(ISNUMBER(INDEX(상세표[시작],$Q725)),TEXT(INDEX(상세표[시작],$Q725),"yyyy-mm-dd hh:mm"),INDEX(상세표[시작],$Q725)&amp;""))</f>
        <v/>
      </c>
      <c r="G725">
        <f>IF($Q725="","",IF(ISNUMBER(INDEX(상세표[블록종료],$Q725)),TEXT(INDEX(상세표[블록종료],$Q725),"yyyy-mm-dd hh:mm"),INDEX(상세표[블록종료],$Q725)&amp;""))</f>
        <v/>
      </c>
      <c r="H725">
        <f>IF($Q725="","",CHOOSE(WEEKDAY(INDEX(상세표[시작],$Q725)),"일","월","화","수","목","금","토"))</f>
        <v/>
      </c>
      <c r="I725" s="20">
        <f>IF($Q725="","",INDEX(상세표[연속 시간],$Q725))</f>
        <v/>
      </c>
      <c r="J725">
        <f>IF($Q725="","",INDEX(상세표[기록 수],$Q725))</f>
        <v/>
      </c>
      <c r="K725" s="20">
        <f>IF($Q725="","",INDEX(상세표[블록 06~07시],$Q725))</f>
        <v/>
      </c>
      <c r="L725" s="20">
        <f>IF($Q725="","",INDEX(상세표[블록 07~18시],$Q725))</f>
        <v/>
      </c>
      <c r="M725" s="20">
        <f>IF($Q725="","",INDEX(상세표[블록 18~22시],$Q725))</f>
        <v/>
      </c>
      <c r="N725" s="20">
        <f>IF($Q725="","",INDEX(상세표[블록 22~06시],$Q725))</f>
        <v/>
      </c>
      <c r="O725">
        <f>IF($Q725="","",INDEX(상세표[주말·휴일 포함],$Q725)&amp;"")</f>
        <v/>
      </c>
      <c r="P725">
        <f>IF($Q725="","",INDEX(상세표[월 넘김 포함],$Q725)&amp;"")</f>
        <v/>
      </c>
      <c r="Q725" s="4">
        <f>IFERROR(MATCH(720,상세표[연속순번],0),"")</f>
        <v/>
      </c>
    </row>
    <row r="726">
      <c r="A726">
        <f>IF($Q726="","",INDEX(상세표[부서],$Q726)&amp;"")</f>
        <v/>
      </c>
      <c r="B726">
        <f>IF($Q726="","",INDEX(상세표[사번],$Q726)&amp;"")</f>
        <v/>
      </c>
      <c r="C726">
        <f>IF($Q726="","",INDEX(상세표[성명],$Q726)&amp;"")</f>
        <v/>
      </c>
      <c r="D726">
        <f>IF($Q726="","",INDEX(상세표[직위],$Q726)&amp;"")</f>
        <v/>
      </c>
      <c r="E726">
        <f>IF($Q726="","",IF(ISNUMBER(INDEX(상세표[근무일자],$Q726)),TEXT(INDEX(상세표[근무일자],$Q726),"yyyy-mm-dd"),INDEX(상세표[근무일자],$Q726)&amp;""))</f>
        <v/>
      </c>
      <c r="F726">
        <f>IF($Q726="","",IF(ISNUMBER(INDEX(상세표[시작],$Q726)),TEXT(INDEX(상세표[시작],$Q726),"yyyy-mm-dd hh:mm"),INDEX(상세표[시작],$Q726)&amp;""))</f>
        <v/>
      </c>
      <c r="G726">
        <f>IF($Q726="","",IF(ISNUMBER(INDEX(상세표[블록종료],$Q726)),TEXT(INDEX(상세표[블록종료],$Q726),"yyyy-mm-dd hh:mm"),INDEX(상세표[블록종료],$Q726)&amp;""))</f>
        <v/>
      </c>
      <c r="H726">
        <f>IF($Q726="","",CHOOSE(WEEKDAY(INDEX(상세표[시작],$Q726)),"일","월","화","수","목","금","토"))</f>
        <v/>
      </c>
      <c r="I726" s="20">
        <f>IF($Q726="","",INDEX(상세표[연속 시간],$Q726))</f>
        <v/>
      </c>
      <c r="J726">
        <f>IF($Q726="","",INDEX(상세표[기록 수],$Q726))</f>
        <v/>
      </c>
      <c r="K726" s="20">
        <f>IF($Q726="","",INDEX(상세표[블록 06~07시],$Q726))</f>
        <v/>
      </c>
      <c r="L726" s="20">
        <f>IF($Q726="","",INDEX(상세표[블록 07~18시],$Q726))</f>
        <v/>
      </c>
      <c r="M726" s="20">
        <f>IF($Q726="","",INDEX(상세표[블록 18~22시],$Q726))</f>
        <v/>
      </c>
      <c r="N726" s="20">
        <f>IF($Q726="","",INDEX(상세표[블록 22~06시],$Q726))</f>
        <v/>
      </c>
      <c r="O726">
        <f>IF($Q726="","",INDEX(상세표[주말·휴일 포함],$Q726)&amp;"")</f>
        <v/>
      </c>
      <c r="P726">
        <f>IF($Q726="","",INDEX(상세표[월 넘김 포함],$Q726)&amp;"")</f>
        <v/>
      </c>
      <c r="Q726" s="4">
        <f>IFERROR(MATCH(721,상세표[연속순번],0),"")</f>
        <v/>
      </c>
    </row>
    <row r="727">
      <c r="A727">
        <f>IF($Q727="","",INDEX(상세표[부서],$Q727)&amp;"")</f>
        <v/>
      </c>
      <c r="B727">
        <f>IF($Q727="","",INDEX(상세표[사번],$Q727)&amp;"")</f>
        <v/>
      </c>
      <c r="C727">
        <f>IF($Q727="","",INDEX(상세표[성명],$Q727)&amp;"")</f>
        <v/>
      </c>
      <c r="D727">
        <f>IF($Q727="","",INDEX(상세표[직위],$Q727)&amp;"")</f>
        <v/>
      </c>
      <c r="E727">
        <f>IF($Q727="","",IF(ISNUMBER(INDEX(상세표[근무일자],$Q727)),TEXT(INDEX(상세표[근무일자],$Q727),"yyyy-mm-dd"),INDEX(상세표[근무일자],$Q727)&amp;""))</f>
        <v/>
      </c>
      <c r="F727">
        <f>IF($Q727="","",IF(ISNUMBER(INDEX(상세표[시작],$Q727)),TEXT(INDEX(상세표[시작],$Q727),"yyyy-mm-dd hh:mm"),INDEX(상세표[시작],$Q727)&amp;""))</f>
        <v/>
      </c>
      <c r="G727">
        <f>IF($Q727="","",IF(ISNUMBER(INDEX(상세표[블록종료],$Q727)),TEXT(INDEX(상세표[블록종료],$Q727),"yyyy-mm-dd hh:mm"),INDEX(상세표[블록종료],$Q727)&amp;""))</f>
        <v/>
      </c>
      <c r="H727">
        <f>IF($Q727="","",CHOOSE(WEEKDAY(INDEX(상세표[시작],$Q727)),"일","월","화","수","목","금","토"))</f>
        <v/>
      </c>
      <c r="I727" s="20">
        <f>IF($Q727="","",INDEX(상세표[연속 시간],$Q727))</f>
        <v/>
      </c>
      <c r="J727">
        <f>IF($Q727="","",INDEX(상세표[기록 수],$Q727))</f>
        <v/>
      </c>
      <c r="K727" s="20">
        <f>IF($Q727="","",INDEX(상세표[블록 06~07시],$Q727))</f>
        <v/>
      </c>
      <c r="L727" s="20">
        <f>IF($Q727="","",INDEX(상세표[블록 07~18시],$Q727))</f>
        <v/>
      </c>
      <c r="M727" s="20">
        <f>IF($Q727="","",INDEX(상세표[블록 18~22시],$Q727))</f>
        <v/>
      </c>
      <c r="N727" s="20">
        <f>IF($Q727="","",INDEX(상세표[블록 22~06시],$Q727))</f>
        <v/>
      </c>
      <c r="O727">
        <f>IF($Q727="","",INDEX(상세표[주말·휴일 포함],$Q727)&amp;"")</f>
        <v/>
      </c>
      <c r="P727">
        <f>IF($Q727="","",INDEX(상세표[월 넘김 포함],$Q727)&amp;"")</f>
        <v/>
      </c>
      <c r="Q727" s="4">
        <f>IFERROR(MATCH(722,상세표[연속순번],0),"")</f>
        <v/>
      </c>
    </row>
    <row r="728">
      <c r="A728">
        <f>IF($Q728="","",INDEX(상세표[부서],$Q728)&amp;"")</f>
        <v/>
      </c>
      <c r="B728">
        <f>IF($Q728="","",INDEX(상세표[사번],$Q728)&amp;"")</f>
        <v/>
      </c>
      <c r="C728">
        <f>IF($Q728="","",INDEX(상세표[성명],$Q728)&amp;"")</f>
        <v/>
      </c>
      <c r="D728">
        <f>IF($Q728="","",INDEX(상세표[직위],$Q728)&amp;"")</f>
        <v/>
      </c>
      <c r="E728">
        <f>IF($Q728="","",IF(ISNUMBER(INDEX(상세표[근무일자],$Q728)),TEXT(INDEX(상세표[근무일자],$Q728),"yyyy-mm-dd"),INDEX(상세표[근무일자],$Q728)&amp;""))</f>
        <v/>
      </c>
      <c r="F728">
        <f>IF($Q728="","",IF(ISNUMBER(INDEX(상세표[시작],$Q728)),TEXT(INDEX(상세표[시작],$Q728),"yyyy-mm-dd hh:mm"),INDEX(상세표[시작],$Q728)&amp;""))</f>
        <v/>
      </c>
      <c r="G728">
        <f>IF($Q728="","",IF(ISNUMBER(INDEX(상세표[블록종료],$Q728)),TEXT(INDEX(상세표[블록종료],$Q728),"yyyy-mm-dd hh:mm"),INDEX(상세표[블록종료],$Q728)&amp;""))</f>
        <v/>
      </c>
      <c r="H728">
        <f>IF($Q728="","",CHOOSE(WEEKDAY(INDEX(상세표[시작],$Q728)),"일","월","화","수","목","금","토"))</f>
        <v/>
      </c>
      <c r="I728" s="20">
        <f>IF($Q728="","",INDEX(상세표[연속 시간],$Q728))</f>
        <v/>
      </c>
      <c r="J728">
        <f>IF($Q728="","",INDEX(상세표[기록 수],$Q728))</f>
        <v/>
      </c>
      <c r="K728" s="20">
        <f>IF($Q728="","",INDEX(상세표[블록 06~07시],$Q728))</f>
        <v/>
      </c>
      <c r="L728" s="20">
        <f>IF($Q728="","",INDEX(상세표[블록 07~18시],$Q728))</f>
        <v/>
      </c>
      <c r="M728" s="20">
        <f>IF($Q728="","",INDEX(상세표[블록 18~22시],$Q728))</f>
        <v/>
      </c>
      <c r="N728" s="20">
        <f>IF($Q728="","",INDEX(상세표[블록 22~06시],$Q728))</f>
        <v/>
      </c>
      <c r="O728">
        <f>IF($Q728="","",INDEX(상세표[주말·휴일 포함],$Q728)&amp;"")</f>
        <v/>
      </c>
      <c r="P728">
        <f>IF($Q728="","",INDEX(상세표[월 넘김 포함],$Q728)&amp;"")</f>
        <v/>
      </c>
      <c r="Q728" s="4">
        <f>IFERROR(MATCH(723,상세표[연속순번],0),"")</f>
        <v/>
      </c>
    </row>
    <row r="729">
      <c r="A729">
        <f>IF($Q729="","",INDEX(상세표[부서],$Q729)&amp;"")</f>
        <v/>
      </c>
      <c r="B729">
        <f>IF($Q729="","",INDEX(상세표[사번],$Q729)&amp;"")</f>
        <v/>
      </c>
      <c r="C729">
        <f>IF($Q729="","",INDEX(상세표[성명],$Q729)&amp;"")</f>
        <v/>
      </c>
      <c r="D729">
        <f>IF($Q729="","",INDEX(상세표[직위],$Q729)&amp;"")</f>
        <v/>
      </c>
      <c r="E729">
        <f>IF($Q729="","",IF(ISNUMBER(INDEX(상세표[근무일자],$Q729)),TEXT(INDEX(상세표[근무일자],$Q729),"yyyy-mm-dd"),INDEX(상세표[근무일자],$Q729)&amp;""))</f>
        <v/>
      </c>
      <c r="F729">
        <f>IF($Q729="","",IF(ISNUMBER(INDEX(상세표[시작],$Q729)),TEXT(INDEX(상세표[시작],$Q729),"yyyy-mm-dd hh:mm"),INDEX(상세표[시작],$Q729)&amp;""))</f>
        <v/>
      </c>
      <c r="G729">
        <f>IF($Q729="","",IF(ISNUMBER(INDEX(상세표[블록종료],$Q729)),TEXT(INDEX(상세표[블록종료],$Q729),"yyyy-mm-dd hh:mm"),INDEX(상세표[블록종료],$Q729)&amp;""))</f>
        <v/>
      </c>
      <c r="H729">
        <f>IF($Q729="","",CHOOSE(WEEKDAY(INDEX(상세표[시작],$Q729)),"일","월","화","수","목","금","토"))</f>
        <v/>
      </c>
      <c r="I729" s="20">
        <f>IF($Q729="","",INDEX(상세표[연속 시간],$Q729))</f>
        <v/>
      </c>
      <c r="J729">
        <f>IF($Q729="","",INDEX(상세표[기록 수],$Q729))</f>
        <v/>
      </c>
      <c r="K729" s="20">
        <f>IF($Q729="","",INDEX(상세표[블록 06~07시],$Q729))</f>
        <v/>
      </c>
      <c r="L729" s="20">
        <f>IF($Q729="","",INDEX(상세표[블록 07~18시],$Q729))</f>
        <v/>
      </c>
      <c r="M729" s="20">
        <f>IF($Q729="","",INDEX(상세표[블록 18~22시],$Q729))</f>
        <v/>
      </c>
      <c r="N729" s="20">
        <f>IF($Q729="","",INDEX(상세표[블록 22~06시],$Q729))</f>
        <v/>
      </c>
      <c r="O729">
        <f>IF($Q729="","",INDEX(상세표[주말·휴일 포함],$Q729)&amp;"")</f>
        <v/>
      </c>
      <c r="P729">
        <f>IF($Q729="","",INDEX(상세표[월 넘김 포함],$Q729)&amp;"")</f>
        <v/>
      </c>
      <c r="Q729" s="4">
        <f>IFERROR(MATCH(724,상세표[연속순번],0),"")</f>
        <v/>
      </c>
    </row>
    <row r="730">
      <c r="A730">
        <f>IF($Q730="","",INDEX(상세표[부서],$Q730)&amp;"")</f>
        <v/>
      </c>
      <c r="B730">
        <f>IF($Q730="","",INDEX(상세표[사번],$Q730)&amp;"")</f>
        <v/>
      </c>
      <c r="C730">
        <f>IF($Q730="","",INDEX(상세표[성명],$Q730)&amp;"")</f>
        <v/>
      </c>
      <c r="D730">
        <f>IF($Q730="","",INDEX(상세표[직위],$Q730)&amp;"")</f>
        <v/>
      </c>
      <c r="E730">
        <f>IF($Q730="","",IF(ISNUMBER(INDEX(상세표[근무일자],$Q730)),TEXT(INDEX(상세표[근무일자],$Q730),"yyyy-mm-dd"),INDEX(상세표[근무일자],$Q730)&amp;""))</f>
        <v/>
      </c>
      <c r="F730">
        <f>IF($Q730="","",IF(ISNUMBER(INDEX(상세표[시작],$Q730)),TEXT(INDEX(상세표[시작],$Q730),"yyyy-mm-dd hh:mm"),INDEX(상세표[시작],$Q730)&amp;""))</f>
        <v/>
      </c>
      <c r="G730">
        <f>IF($Q730="","",IF(ISNUMBER(INDEX(상세표[블록종료],$Q730)),TEXT(INDEX(상세표[블록종료],$Q730),"yyyy-mm-dd hh:mm"),INDEX(상세표[블록종료],$Q730)&amp;""))</f>
        <v/>
      </c>
      <c r="H730">
        <f>IF($Q730="","",CHOOSE(WEEKDAY(INDEX(상세표[시작],$Q730)),"일","월","화","수","목","금","토"))</f>
        <v/>
      </c>
      <c r="I730" s="20">
        <f>IF($Q730="","",INDEX(상세표[연속 시간],$Q730))</f>
        <v/>
      </c>
      <c r="J730">
        <f>IF($Q730="","",INDEX(상세표[기록 수],$Q730))</f>
        <v/>
      </c>
      <c r="K730" s="20">
        <f>IF($Q730="","",INDEX(상세표[블록 06~07시],$Q730))</f>
        <v/>
      </c>
      <c r="L730" s="20">
        <f>IF($Q730="","",INDEX(상세표[블록 07~18시],$Q730))</f>
        <v/>
      </c>
      <c r="M730" s="20">
        <f>IF($Q730="","",INDEX(상세표[블록 18~22시],$Q730))</f>
        <v/>
      </c>
      <c r="N730" s="20">
        <f>IF($Q730="","",INDEX(상세표[블록 22~06시],$Q730))</f>
        <v/>
      </c>
      <c r="O730">
        <f>IF($Q730="","",INDEX(상세표[주말·휴일 포함],$Q730)&amp;"")</f>
        <v/>
      </c>
      <c r="P730">
        <f>IF($Q730="","",INDEX(상세표[월 넘김 포함],$Q730)&amp;"")</f>
        <v/>
      </c>
      <c r="Q730" s="4">
        <f>IFERROR(MATCH(725,상세표[연속순번],0),"")</f>
        <v/>
      </c>
    </row>
    <row r="731">
      <c r="A731">
        <f>IF($Q731="","",INDEX(상세표[부서],$Q731)&amp;"")</f>
        <v/>
      </c>
      <c r="B731">
        <f>IF($Q731="","",INDEX(상세표[사번],$Q731)&amp;"")</f>
        <v/>
      </c>
      <c r="C731">
        <f>IF($Q731="","",INDEX(상세표[성명],$Q731)&amp;"")</f>
        <v/>
      </c>
      <c r="D731">
        <f>IF($Q731="","",INDEX(상세표[직위],$Q731)&amp;"")</f>
        <v/>
      </c>
      <c r="E731">
        <f>IF($Q731="","",IF(ISNUMBER(INDEX(상세표[근무일자],$Q731)),TEXT(INDEX(상세표[근무일자],$Q731),"yyyy-mm-dd"),INDEX(상세표[근무일자],$Q731)&amp;""))</f>
        <v/>
      </c>
      <c r="F731">
        <f>IF($Q731="","",IF(ISNUMBER(INDEX(상세표[시작],$Q731)),TEXT(INDEX(상세표[시작],$Q731),"yyyy-mm-dd hh:mm"),INDEX(상세표[시작],$Q731)&amp;""))</f>
        <v/>
      </c>
      <c r="G731">
        <f>IF($Q731="","",IF(ISNUMBER(INDEX(상세표[블록종료],$Q731)),TEXT(INDEX(상세표[블록종료],$Q731),"yyyy-mm-dd hh:mm"),INDEX(상세표[블록종료],$Q731)&amp;""))</f>
        <v/>
      </c>
      <c r="H731">
        <f>IF($Q731="","",CHOOSE(WEEKDAY(INDEX(상세표[시작],$Q731)),"일","월","화","수","목","금","토"))</f>
        <v/>
      </c>
      <c r="I731" s="20">
        <f>IF($Q731="","",INDEX(상세표[연속 시간],$Q731))</f>
        <v/>
      </c>
      <c r="J731">
        <f>IF($Q731="","",INDEX(상세표[기록 수],$Q731))</f>
        <v/>
      </c>
      <c r="K731" s="20">
        <f>IF($Q731="","",INDEX(상세표[블록 06~07시],$Q731))</f>
        <v/>
      </c>
      <c r="L731" s="20">
        <f>IF($Q731="","",INDEX(상세표[블록 07~18시],$Q731))</f>
        <v/>
      </c>
      <c r="M731" s="20">
        <f>IF($Q731="","",INDEX(상세표[블록 18~22시],$Q731))</f>
        <v/>
      </c>
      <c r="N731" s="20">
        <f>IF($Q731="","",INDEX(상세표[블록 22~06시],$Q731))</f>
        <v/>
      </c>
      <c r="O731">
        <f>IF($Q731="","",INDEX(상세표[주말·휴일 포함],$Q731)&amp;"")</f>
        <v/>
      </c>
      <c r="P731">
        <f>IF($Q731="","",INDEX(상세표[월 넘김 포함],$Q731)&amp;"")</f>
        <v/>
      </c>
      <c r="Q731" s="4">
        <f>IFERROR(MATCH(726,상세표[연속순번],0),"")</f>
        <v/>
      </c>
    </row>
    <row r="732">
      <c r="A732">
        <f>IF($Q732="","",INDEX(상세표[부서],$Q732)&amp;"")</f>
        <v/>
      </c>
      <c r="B732">
        <f>IF($Q732="","",INDEX(상세표[사번],$Q732)&amp;"")</f>
        <v/>
      </c>
      <c r="C732">
        <f>IF($Q732="","",INDEX(상세표[성명],$Q732)&amp;"")</f>
        <v/>
      </c>
      <c r="D732">
        <f>IF($Q732="","",INDEX(상세표[직위],$Q732)&amp;"")</f>
        <v/>
      </c>
      <c r="E732">
        <f>IF($Q732="","",IF(ISNUMBER(INDEX(상세표[근무일자],$Q732)),TEXT(INDEX(상세표[근무일자],$Q732),"yyyy-mm-dd"),INDEX(상세표[근무일자],$Q732)&amp;""))</f>
        <v/>
      </c>
      <c r="F732">
        <f>IF($Q732="","",IF(ISNUMBER(INDEX(상세표[시작],$Q732)),TEXT(INDEX(상세표[시작],$Q732),"yyyy-mm-dd hh:mm"),INDEX(상세표[시작],$Q732)&amp;""))</f>
        <v/>
      </c>
      <c r="G732">
        <f>IF($Q732="","",IF(ISNUMBER(INDEX(상세표[블록종료],$Q732)),TEXT(INDEX(상세표[블록종료],$Q732),"yyyy-mm-dd hh:mm"),INDEX(상세표[블록종료],$Q732)&amp;""))</f>
        <v/>
      </c>
      <c r="H732">
        <f>IF($Q732="","",CHOOSE(WEEKDAY(INDEX(상세표[시작],$Q732)),"일","월","화","수","목","금","토"))</f>
        <v/>
      </c>
      <c r="I732" s="20">
        <f>IF($Q732="","",INDEX(상세표[연속 시간],$Q732))</f>
        <v/>
      </c>
      <c r="J732">
        <f>IF($Q732="","",INDEX(상세표[기록 수],$Q732))</f>
        <v/>
      </c>
      <c r="K732" s="20">
        <f>IF($Q732="","",INDEX(상세표[블록 06~07시],$Q732))</f>
        <v/>
      </c>
      <c r="L732" s="20">
        <f>IF($Q732="","",INDEX(상세표[블록 07~18시],$Q732))</f>
        <v/>
      </c>
      <c r="M732" s="20">
        <f>IF($Q732="","",INDEX(상세표[블록 18~22시],$Q732))</f>
        <v/>
      </c>
      <c r="N732" s="20">
        <f>IF($Q732="","",INDEX(상세표[블록 22~06시],$Q732))</f>
        <v/>
      </c>
      <c r="O732">
        <f>IF($Q732="","",INDEX(상세표[주말·휴일 포함],$Q732)&amp;"")</f>
        <v/>
      </c>
      <c r="P732">
        <f>IF($Q732="","",INDEX(상세표[월 넘김 포함],$Q732)&amp;"")</f>
        <v/>
      </c>
      <c r="Q732" s="4">
        <f>IFERROR(MATCH(727,상세표[연속순번],0),"")</f>
        <v/>
      </c>
    </row>
    <row r="733">
      <c r="A733">
        <f>IF($Q733="","",INDEX(상세표[부서],$Q733)&amp;"")</f>
        <v/>
      </c>
      <c r="B733">
        <f>IF($Q733="","",INDEX(상세표[사번],$Q733)&amp;"")</f>
        <v/>
      </c>
      <c r="C733">
        <f>IF($Q733="","",INDEX(상세표[성명],$Q733)&amp;"")</f>
        <v/>
      </c>
      <c r="D733">
        <f>IF($Q733="","",INDEX(상세표[직위],$Q733)&amp;"")</f>
        <v/>
      </c>
      <c r="E733">
        <f>IF($Q733="","",IF(ISNUMBER(INDEX(상세표[근무일자],$Q733)),TEXT(INDEX(상세표[근무일자],$Q733),"yyyy-mm-dd"),INDEX(상세표[근무일자],$Q733)&amp;""))</f>
        <v/>
      </c>
      <c r="F733">
        <f>IF($Q733="","",IF(ISNUMBER(INDEX(상세표[시작],$Q733)),TEXT(INDEX(상세표[시작],$Q733),"yyyy-mm-dd hh:mm"),INDEX(상세표[시작],$Q733)&amp;""))</f>
        <v/>
      </c>
      <c r="G733">
        <f>IF($Q733="","",IF(ISNUMBER(INDEX(상세표[블록종료],$Q733)),TEXT(INDEX(상세표[블록종료],$Q733),"yyyy-mm-dd hh:mm"),INDEX(상세표[블록종료],$Q733)&amp;""))</f>
        <v/>
      </c>
      <c r="H733">
        <f>IF($Q733="","",CHOOSE(WEEKDAY(INDEX(상세표[시작],$Q733)),"일","월","화","수","목","금","토"))</f>
        <v/>
      </c>
      <c r="I733" s="20">
        <f>IF($Q733="","",INDEX(상세표[연속 시간],$Q733))</f>
        <v/>
      </c>
      <c r="J733">
        <f>IF($Q733="","",INDEX(상세표[기록 수],$Q733))</f>
        <v/>
      </c>
      <c r="K733" s="20">
        <f>IF($Q733="","",INDEX(상세표[블록 06~07시],$Q733))</f>
        <v/>
      </c>
      <c r="L733" s="20">
        <f>IF($Q733="","",INDEX(상세표[블록 07~18시],$Q733))</f>
        <v/>
      </c>
      <c r="M733" s="20">
        <f>IF($Q733="","",INDEX(상세표[블록 18~22시],$Q733))</f>
        <v/>
      </c>
      <c r="N733" s="20">
        <f>IF($Q733="","",INDEX(상세표[블록 22~06시],$Q733))</f>
        <v/>
      </c>
      <c r="O733">
        <f>IF($Q733="","",INDEX(상세표[주말·휴일 포함],$Q733)&amp;"")</f>
        <v/>
      </c>
      <c r="P733">
        <f>IF($Q733="","",INDEX(상세표[월 넘김 포함],$Q733)&amp;"")</f>
        <v/>
      </c>
      <c r="Q733" s="4">
        <f>IFERROR(MATCH(728,상세표[연속순번],0),"")</f>
        <v/>
      </c>
    </row>
    <row r="734">
      <c r="A734">
        <f>IF($Q734="","",INDEX(상세표[부서],$Q734)&amp;"")</f>
        <v/>
      </c>
      <c r="B734">
        <f>IF($Q734="","",INDEX(상세표[사번],$Q734)&amp;"")</f>
        <v/>
      </c>
      <c r="C734">
        <f>IF($Q734="","",INDEX(상세표[성명],$Q734)&amp;"")</f>
        <v/>
      </c>
      <c r="D734">
        <f>IF($Q734="","",INDEX(상세표[직위],$Q734)&amp;"")</f>
        <v/>
      </c>
      <c r="E734">
        <f>IF($Q734="","",IF(ISNUMBER(INDEX(상세표[근무일자],$Q734)),TEXT(INDEX(상세표[근무일자],$Q734),"yyyy-mm-dd"),INDEX(상세표[근무일자],$Q734)&amp;""))</f>
        <v/>
      </c>
      <c r="F734">
        <f>IF($Q734="","",IF(ISNUMBER(INDEX(상세표[시작],$Q734)),TEXT(INDEX(상세표[시작],$Q734),"yyyy-mm-dd hh:mm"),INDEX(상세표[시작],$Q734)&amp;""))</f>
        <v/>
      </c>
      <c r="G734">
        <f>IF($Q734="","",IF(ISNUMBER(INDEX(상세표[블록종료],$Q734)),TEXT(INDEX(상세표[블록종료],$Q734),"yyyy-mm-dd hh:mm"),INDEX(상세표[블록종료],$Q734)&amp;""))</f>
        <v/>
      </c>
      <c r="H734">
        <f>IF($Q734="","",CHOOSE(WEEKDAY(INDEX(상세표[시작],$Q734)),"일","월","화","수","목","금","토"))</f>
        <v/>
      </c>
      <c r="I734" s="20">
        <f>IF($Q734="","",INDEX(상세표[연속 시간],$Q734))</f>
        <v/>
      </c>
      <c r="J734">
        <f>IF($Q734="","",INDEX(상세표[기록 수],$Q734))</f>
        <v/>
      </c>
      <c r="K734" s="20">
        <f>IF($Q734="","",INDEX(상세표[블록 06~07시],$Q734))</f>
        <v/>
      </c>
      <c r="L734" s="20">
        <f>IF($Q734="","",INDEX(상세표[블록 07~18시],$Q734))</f>
        <v/>
      </c>
      <c r="M734" s="20">
        <f>IF($Q734="","",INDEX(상세표[블록 18~22시],$Q734))</f>
        <v/>
      </c>
      <c r="N734" s="20">
        <f>IF($Q734="","",INDEX(상세표[블록 22~06시],$Q734))</f>
        <v/>
      </c>
      <c r="O734">
        <f>IF($Q734="","",INDEX(상세표[주말·휴일 포함],$Q734)&amp;"")</f>
        <v/>
      </c>
      <c r="P734">
        <f>IF($Q734="","",INDEX(상세표[월 넘김 포함],$Q734)&amp;"")</f>
        <v/>
      </c>
      <c r="Q734" s="4">
        <f>IFERROR(MATCH(729,상세표[연속순번],0),"")</f>
        <v/>
      </c>
    </row>
    <row r="735">
      <c r="A735">
        <f>IF($Q735="","",INDEX(상세표[부서],$Q735)&amp;"")</f>
        <v/>
      </c>
      <c r="B735">
        <f>IF($Q735="","",INDEX(상세표[사번],$Q735)&amp;"")</f>
        <v/>
      </c>
      <c r="C735">
        <f>IF($Q735="","",INDEX(상세표[성명],$Q735)&amp;"")</f>
        <v/>
      </c>
      <c r="D735">
        <f>IF($Q735="","",INDEX(상세표[직위],$Q735)&amp;"")</f>
        <v/>
      </c>
      <c r="E735">
        <f>IF($Q735="","",IF(ISNUMBER(INDEX(상세표[근무일자],$Q735)),TEXT(INDEX(상세표[근무일자],$Q735),"yyyy-mm-dd"),INDEX(상세표[근무일자],$Q735)&amp;""))</f>
        <v/>
      </c>
      <c r="F735">
        <f>IF($Q735="","",IF(ISNUMBER(INDEX(상세표[시작],$Q735)),TEXT(INDEX(상세표[시작],$Q735),"yyyy-mm-dd hh:mm"),INDEX(상세표[시작],$Q735)&amp;""))</f>
        <v/>
      </c>
      <c r="G735">
        <f>IF($Q735="","",IF(ISNUMBER(INDEX(상세표[블록종료],$Q735)),TEXT(INDEX(상세표[블록종료],$Q735),"yyyy-mm-dd hh:mm"),INDEX(상세표[블록종료],$Q735)&amp;""))</f>
        <v/>
      </c>
      <c r="H735">
        <f>IF($Q735="","",CHOOSE(WEEKDAY(INDEX(상세표[시작],$Q735)),"일","월","화","수","목","금","토"))</f>
        <v/>
      </c>
      <c r="I735" s="20">
        <f>IF($Q735="","",INDEX(상세표[연속 시간],$Q735))</f>
        <v/>
      </c>
      <c r="J735">
        <f>IF($Q735="","",INDEX(상세표[기록 수],$Q735))</f>
        <v/>
      </c>
      <c r="K735" s="20">
        <f>IF($Q735="","",INDEX(상세표[블록 06~07시],$Q735))</f>
        <v/>
      </c>
      <c r="L735" s="20">
        <f>IF($Q735="","",INDEX(상세표[블록 07~18시],$Q735))</f>
        <v/>
      </c>
      <c r="M735" s="20">
        <f>IF($Q735="","",INDEX(상세표[블록 18~22시],$Q735))</f>
        <v/>
      </c>
      <c r="N735" s="20">
        <f>IF($Q735="","",INDEX(상세표[블록 22~06시],$Q735))</f>
        <v/>
      </c>
      <c r="O735">
        <f>IF($Q735="","",INDEX(상세표[주말·휴일 포함],$Q735)&amp;"")</f>
        <v/>
      </c>
      <c r="P735">
        <f>IF($Q735="","",INDEX(상세표[월 넘김 포함],$Q735)&amp;"")</f>
        <v/>
      </c>
      <c r="Q735" s="4">
        <f>IFERROR(MATCH(730,상세표[연속순번],0),"")</f>
        <v/>
      </c>
    </row>
    <row r="736">
      <c r="A736">
        <f>IF($Q736="","",INDEX(상세표[부서],$Q736)&amp;"")</f>
        <v/>
      </c>
      <c r="B736">
        <f>IF($Q736="","",INDEX(상세표[사번],$Q736)&amp;"")</f>
        <v/>
      </c>
      <c r="C736">
        <f>IF($Q736="","",INDEX(상세표[성명],$Q736)&amp;"")</f>
        <v/>
      </c>
      <c r="D736">
        <f>IF($Q736="","",INDEX(상세표[직위],$Q736)&amp;"")</f>
        <v/>
      </c>
      <c r="E736">
        <f>IF($Q736="","",IF(ISNUMBER(INDEX(상세표[근무일자],$Q736)),TEXT(INDEX(상세표[근무일자],$Q736),"yyyy-mm-dd"),INDEX(상세표[근무일자],$Q736)&amp;""))</f>
        <v/>
      </c>
      <c r="F736">
        <f>IF($Q736="","",IF(ISNUMBER(INDEX(상세표[시작],$Q736)),TEXT(INDEX(상세표[시작],$Q736),"yyyy-mm-dd hh:mm"),INDEX(상세표[시작],$Q736)&amp;""))</f>
        <v/>
      </c>
      <c r="G736">
        <f>IF($Q736="","",IF(ISNUMBER(INDEX(상세표[블록종료],$Q736)),TEXT(INDEX(상세표[블록종료],$Q736),"yyyy-mm-dd hh:mm"),INDEX(상세표[블록종료],$Q736)&amp;""))</f>
        <v/>
      </c>
      <c r="H736">
        <f>IF($Q736="","",CHOOSE(WEEKDAY(INDEX(상세표[시작],$Q736)),"일","월","화","수","목","금","토"))</f>
        <v/>
      </c>
      <c r="I736" s="20">
        <f>IF($Q736="","",INDEX(상세표[연속 시간],$Q736))</f>
        <v/>
      </c>
      <c r="J736">
        <f>IF($Q736="","",INDEX(상세표[기록 수],$Q736))</f>
        <v/>
      </c>
      <c r="K736" s="20">
        <f>IF($Q736="","",INDEX(상세표[블록 06~07시],$Q736))</f>
        <v/>
      </c>
      <c r="L736" s="20">
        <f>IF($Q736="","",INDEX(상세표[블록 07~18시],$Q736))</f>
        <v/>
      </c>
      <c r="M736" s="20">
        <f>IF($Q736="","",INDEX(상세표[블록 18~22시],$Q736))</f>
        <v/>
      </c>
      <c r="N736" s="20">
        <f>IF($Q736="","",INDEX(상세표[블록 22~06시],$Q736))</f>
        <v/>
      </c>
      <c r="O736">
        <f>IF($Q736="","",INDEX(상세표[주말·휴일 포함],$Q736)&amp;"")</f>
        <v/>
      </c>
      <c r="P736">
        <f>IF($Q736="","",INDEX(상세표[월 넘김 포함],$Q736)&amp;"")</f>
        <v/>
      </c>
      <c r="Q736" s="4">
        <f>IFERROR(MATCH(731,상세표[연속순번],0),"")</f>
        <v/>
      </c>
    </row>
    <row r="737">
      <c r="A737">
        <f>IF($Q737="","",INDEX(상세표[부서],$Q737)&amp;"")</f>
        <v/>
      </c>
      <c r="B737">
        <f>IF($Q737="","",INDEX(상세표[사번],$Q737)&amp;"")</f>
        <v/>
      </c>
      <c r="C737">
        <f>IF($Q737="","",INDEX(상세표[성명],$Q737)&amp;"")</f>
        <v/>
      </c>
      <c r="D737">
        <f>IF($Q737="","",INDEX(상세표[직위],$Q737)&amp;"")</f>
        <v/>
      </c>
      <c r="E737">
        <f>IF($Q737="","",IF(ISNUMBER(INDEX(상세표[근무일자],$Q737)),TEXT(INDEX(상세표[근무일자],$Q737),"yyyy-mm-dd"),INDEX(상세표[근무일자],$Q737)&amp;""))</f>
        <v/>
      </c>
      <c r="F737">
        <f>IF($Q737="","",IF(ISNUMBER(INDEX(상세표[시작],$Q737)),TEXT(INDEX(상세표[시작],$Q737),"yyyy-mm-dd hh:mm"),INDEX(상세표[시작],$Q737)&amp;""))</f>
        <v/>
      </c>
      <c r="G737">
        <f>IF($Q737="","",IF(ISNUMBER(INDEX(상세표[블록종료],$Q737)),TEXT(INDEX(상세표[블록종료],$Q737),"yyyy-mm-dd hh:mm"),INDEX(상세표[블록종료],$Q737)&amp;""))</f>
        <v/>
      </c>
      <c r="H737">
        <f>IF($Q737="","",CHOOSE(WEEKDAY(INDEX(상세표[시작],$Q737)),"일","월","화","수","목","금","토"))</f>
        <v/>
      </c>
      <c r="I737" s="20">
        <f>IF($Q737="","",INDEX(상세표[연속 시간],$Q737))</f>
        <v/>
      </c>
      <c r="J737">
        <f>IF($Q737="","",INDEX(상세표[기록 수],$Q737))</f>
        <v/>
      </c>
      <c r="K737" s="20">
        <f>IF($Q737="","",INDEX(상세표[블록 06~07시],$Q737))</f>
        <v/>
      </c>
      <c r="L737" s="20">
        <f>IF($Q737="","",INDEX(상세표[블록 07~18시],$Q737))</f>
        <v/>
      </c>
      <c r="M737" s="20">
        <f>IF($Q737="","",INDEX(상세표[블록 18~22시],$Q737))</f>
        <v/>
      </c>
      <c r="N737" s="20">
        <f>IF($Q737="","",INDEX(상세표[블록 22~06시],$Q737))</f>
        <v/>
      </c>
      <c r="O737">
        <f>IF($Q737="","",INDEX(상세표[주말·휴일 포함],$Q737)&amp;"")</f>
        <v/>
      </c>
      <c r="P737">
        <f>IF($Q737="","",INDEX(상세표[월 넘김 포함],$Q737)&amp;"")</f>
        <v/>
      </c>
      <c r="Q737" s="4">
        <f>IFERROR(MATCH(732,상세표[연속순번],0),"")</f>
        <v/>
      </c>
    </row>
    <row r="738">
      <c r="A738">
        <f>IF($Q738="","",INDEX(상세표[부서],$Q738)&amp;"")</f>
        <v/>
      </c>
      <c r="B738">
        <f>IF($Q738="","",INDEX(상세표[사번],$Q738)&amp;"")</f>
        <v/>
      </c>
      <c r="C738">
        <f>IF($Q738="","",INDEX(상세표[성명],$Q738)&amp;"")</f>
        <v/>
      </c>
      <c r="D738">
        <f>IF($Q738="","",INDEX(상세표[직위],$Q738)&amp;"")</f>
        <v/>
      </c>
      <c r="E738">
        <f>IF($Q738="","",IF(ISNUMBER(INDEX(상세표[근무일자],$Q738)),TEXT(INDEX(상세표[근무일자],$Q738),"yyyy-mm-dd"),INDEX(상세표[근무일자],$Q738)&amp;""))</f>
        <v/>
      </c>
      <c r="F738">
        <f>IF($Q738="","",IF(ISNUMBER(INDEX(상세표[시작],$Q738)),TEXT(INDEX(상세표[시작],$Q738),"yyyy-mm-dd hh:mm"),INDEX(상세표[시작],$Q738)&amp;""))</f>
        <v/>
      </c>
      <c r="G738">
        <f>IF($Q738="","",IF(ISNUMBER(INDEX(상세표[블록종료],$Q738)),TEXT(INDEX(상세표[블록종료],$Q738),"yyyy-mm-dd hh:mm"),INDEX(상세표[블록종료],$Q738)&amp;""))</f>
        <v/>
      </c>
      <c r="H738">
        <f>IF($Q738="","",CHOOSE(WEEKDAY(INDEX(상세표[시작],$Q738)),"일","월","화","수","목","금","토"))</f>
        <v/>
      </c>
      <c r="I738" s="20">
        <f>IF($Q738="","",INDEX(상세표[연속 시간],$Q738))</f>
        <v/>
      </c>
      <c r="J738">
        <f>IF($Q738="","",INDEX(상세표[기록 수],$Q738))</f>
        <v/>
      </c>
      <c r="K738" s="20">
        <f>IF($Q738="","",INDEX(상세표[블록 06~07시],$Q738))</f>
        <v/>
      </c>
      <c r="L738" s="20">
        <f>IF($Q738="","",INDEX(상세표[블록 07~18시],$Q738))</f>
        <v/>
      </c>
      <c r="M738" s="20">
        <f>IF($Q738="","",INDEX(상세표[블록 18~22시],$Q738))</f>
        <v/>
      </c>
      <c r="N738" s="20">
        <f>IF($Q738="","",INDEX(상세표[블록 22~06시],$Q738))</f>
        <v/>
      </c>
      <c r="O738">
        <f>IF($Q738="","",INDEX(상세표[주말·휴일 포함],$Q738)&amp;"")</f>
        <v/>
      </c>
      <c r="P738">
        <f>IF($Q738="","",INDEX(상세표[월 넘김 포함],$Q738)&amp;"")</f>
        <v/>
      </c>
      <c r="Q738" s="4">
        <f>IFERROR(MATCH(733,상세표[연속순번],0),"")</f>
        <v/>
      </c>
    </row>
    <row r="739">
      <c r="A739">
        <f>IF($Q739="","",INDEX(상세표[부서],$Q739)&amp;"")</f>
        <v/>
      </c>
      <c r="B739">
        <f>IF($Q739="","",INDEX(상세표[사번],$Q739)&amp;"")</f>
        <v/>
      </c>
      <c r="C739">
        <f>IF($Q739="","",INDEX(상세표[성명],$Q739)&amp;"")</f>
        <v/>
      </c>
      <c r="D739">
        <f>IF($Q739="","",INDEX(상세표[직위],$Q739)&amp;"")</f>
        <v/>
      </c>
      <c r="E739">
        <f>IF($Q739="","",IF(ISNUMBER(INDEX(상세표[근무일자],$Q739)),TEXT(INDEX(상세표[근무일자],$Q739),"yyyy-mm-dd"),INDEX(상세표[근무일자],$Q739)&amp;""))</f>
        <v/>
      </c>
      <c r="F739">
        <f>IF($Q739="","",IF(ISNUMBER(INDEX(상세표[시작],$Q739)),TEXT(INDEX(상세표[시작],$Q739),"yyyy-mm-dd hh:mm"),INDEX(상세표[시작],$Q739)&amp;""))</f>
        <v/>
      </c>
      <c r="G739">
        <f>IF($Q739="","",IF(ISNUMBER(INDEX(상세표[블록종료],$Q739)),TEXT(INDEX(상세표[블록종료],$Q739),"yyyy-mm-dd hh:mm"),INDEX(상세표[블록종료],$Q739)&amp;""))</f>
        <v/>
      </c>
      <c r="H739">
        <f>IF($Q739="","",CHOOSE(WEEKDAY(INDEX(상세표[시작],$Q739)),"일","월","화","수","목","금","토"))</f>
        <v/>
      </c>
      <c r="I739" s="20">
        <f>IF($Q739="","",INDEX(상세표[연속 시간],$Q739))</f>
        <v/>
      </c>
      <c r="J739">
        <f>IF($Q739="","",INDEX(상세표[기록 수],$Q739))</f>
        <v/>
      </c>
      <c r="K739" s="20">
        <f>IF($Q739="","",INDEX(상세표[블록 06~07시],$Q739))</f>
        <v/>
      </c>
      <c r="L739" s="20">
        <f>IF($Q739="","",INDEX(상세표[블록 07~18시],$Q739))</f>
        <v/>
      </c>
      <c r="M739" s="20">
        <f>IF($Q739="","",INDEX(상세표[블록 18~22시],$Q739))</f>
        <v/>
      </c>
      <c r="N739" s="20">
        <f>IF($Q739="","",INDEX(상세표[블록 22~06시],$Q739))</f>
        <v/>
      </c>
      <c r="O739">
        <f>IF($Q739="","",INDEX(상세표[주말·휴일 포함],$Q739)&amp;"")</f>
        <v/>
      </c>
      <c r="P739">
        <f>IF($Q739="","",INDEX(상세표[월 넘김 포함],$Q739)&amp;"")</f>
        <v/>
      </c>
      <c r="Q739" s="4">
        <f>IFERROR(MATCH(734,상세표[연속순번],0),"")</f>
        <v/>
      </c>
    </row>
    <row r="740">
      <c r="A740">
        <f>IF($Q740="","",INDEX(상세표[부서],$Q740)&amp;"")</f>
        <v/>
      </c>
      <c r="B740">
        <f>IF($Q740="","",INDEX(상세표[사번],$Q740)&amp;"")</f>
        <v/>
      </c>
      <c r="C740">
        <f>IF($Q740="","",INDEX(상세표[성명],$Q740)&amp;"")</f>
        <v/>
      </c>
      <c r="D740">
        <f>IF($Q740="","",INDEX(상세표[직위],$Q740)&amp;"")</f>
        <v/>
      </c>
      <c r="E740">
        <f>IF($Q740="","",IF(ISNUMBER(INDEX(상세표[근무일자],$Q740)),TEXT(INDEX(상세표[근무일자],$Q740),"yyyy-mm-dd"),INDEX(상세표[근무일자],$Q740)&amp;""))</f>
        <v/>
      </c>
      <c r="F740">
        <f>IF($Q740="","",IF(ISNUMBER(INDEX(상세표[시작],$Q740)),TEXT(INDEX(상세표[시작],$Q740),"yyyy-mm-dd hh:mm"),INDEX(상세표[시작],$Q740)&amp;""))</f>
        <v/>
      </c>
      <c r="G740">
        <f>IF($Q740="","",IF(ISNUMBER(INDEX(상세표[블록종료],$Q740)),TEXT(INDEX(상세표[블록종료],$Q740),"yyyy-mm-dd hh:mm"),INDEX(상세표[블록종료],$Q740)&amp;""))</f>
        <v/>
      </c>
      <c r="H740">
        <f>IF($Q740="","",CHOOSE(WEEKDAY(INDEX(상세표[시작],$Q740)),"일","월","화","수","목","금","토"))</f>
        <v/>
      </c>
      <c r="I740" s="20">
        <f>IF($Q740="","",INDEX(상세표[연속 시간],$Q740))</f>
        <v/>
      </c>
      <c r="J740">
        <f>IF($Q740="","",INDEX(상세표[기록 수],$Q740))</f>
        <v/>
      </c>
      <c r="K740" s="20">
        <f>IF($Q740="","",INDEX(상세표[블록 06~07시],$Q740))</f>
        <v/>
      </c>
      <c r="L740" s="20">
        <f>IF($Q740="","",INDEX(상세표[블록 07~18시],$Q740))</f>
        <v/>
      </c>
      <c r="M740" s="20">
        <f>IF($Q740="","",INDEX(상세표[블록 18~22시],$Q740))</f>
        <v/>
      </c>
      <c r="N740" s="20">
        <f>IF($Q740="","",INDEX(상세표[블록 22~06시],$Q740))</f>
        <v/>
      </c>
      <c r="O740">
        <f>IF($Q740="","",INDEX(상세표[주말·휴일 포함],$Q740)&amp;"")</f>
        <v/>
      </c>
      <c r="P740">
        <f>IF($Q740="","",INDEX(상세표[월 넘김 포함],$Q740)&amp;"")</f>
        <v/>
      </c>
      <c r="Q740" s="4">
        <f>IFERROR(MATCH(735,상세표[연속순번],0),"")</f>
        <v/>
      </c>
    </row>
    <row r="741">
      <c r="A741">
        <f>IF($Q741="","",INDEX(상세표[부서],$Q741)&amp;"")</f>
        <v/>
      </c>
      <c r="B741">
        <f>IF($Q741="","",INDEX(상세표[사번],$Q741)&amp;"")</f>
        <v/>
      </c>
      <c r="C741">
        <f>IF($Q741="","",INDEX(상세표[성명],$Q741)&amp;"")</f>
        <v/>
      </c>
      <c r="D741">
        <f>IF($Q741="","",INDEX(상세표[직위],$Q741)&amp;"")</f>
        <v/>
      </c>
      <c r="E741">
        <f>IF($Q741="","",IF(ISNUMBER(INDEX(상세표[근무일자],$Q741)),TEXT(INDEX(상세표[근무일자],$Q741),"yyyy-mm-dd"),INDEX(상세표[근무일자],$Q741)&amp;""))</f>
        <v/>
      </c>
      <c r="F741">
        <f>IF($Q741="","",IF(ISNUMBER(INDEX(상세표[시작],$Q741)),TEXT(INDEX(상세표[시작],$Q741),"yyyy-mm-dd hh:mm"),INDEX(상세표[시작],$Q741)&amp;""))</f>
        <v/>
      </c>
      <c r="G741">
        <f>IF($Q741="","",IF(ISNUMBER(INDEX(상세표[블록종료],$Q741)),TEXT(INDEX(상세표[블록종료],$Q741),"yyyy-mm-dd hh:mm"),INDEX(상세표[블록종료],$Q741)&amp;""))</f>
        <v/>
      </c>
      <c r="H741">
        <f>IF($Q741="","",CHOOSE(WEEKDAY(INDEX(상세표[시작],$Q741)),"일","월","화","수","목","금","토"))</f>
        <v/>
      </c>
      <c r="I741" s="20">
        <f>IF($Q741="","",INDEX(상세표[연속 시간],$Q741))</f>
        <v/>
      </c>
      <c r="J741">
        <f>IF($Q741="","",INDEX(상세표[기록 수],$Q741))</f>
        <v/>
      </c>
      <c r="K741" s="20">
        <f>IF($Q741="","",INDEX(상세표[블록 06~07시],$Q741))</f>
        <v/>
      </c>
      <c r="L741" s="20">
        <f>IF($Q741="","",INDEX(상세표[블록 07~18시],$Q741))</f>
        <v/>
      </c>
      <c r="M741" s="20">
        <f>IF($Q741="","",INDEX(상세표[블록 18~22시],$Q741))</f>
        <v/>
      </c>
      <c r="N741" s="20">
        <f>IF($Q741="","",INDEX(상세표[블록 22~06시],$Q741))</f>
        <v/>
      </c>
      <c r="O741">
        <f>IF($Q741="","",INDEX(상세표[주말·휴일 포함],$Q741)&amp;"")</f>
        <v/>
      </c>
      <c r="P741">
        <f>IF($Q741="","",INDEX(상세표[월 넘김 포함],$Q741)&amp;"")</f>
        <v/>
      </c>
      <c r="Q741" s="4">
        <f>IFERROR(MATCH(736,상세표[연속순번],0),"")</f>
        <v/>
      </c>
    </row>
    <row r="742">
      <c r="A742">
        <f>IF($Q742="","",INDEX(상세표[부서],$Q742)&amp;"")</f>
        <v/>
      </c>
      <c r="B742">
        <f>IF($Q742="","",INDEX(상세표[사번],$Q742)&amp;"")</f>
        <v/>
      </c>
      <c r="C742">
        <f>IF($Q742="","",INDEX(상세표[성명],$Q742)&amp;"")</f>
        <v/>
      </c>
      <c r="D742">
        <f>IF($Q742="","",INDEX(상세표[직위],$Q742)&amp;"")</f>
        <v/>
      </c>
      <c r="E742">
        <f>IF($Q742="","",IF(ISNUMBER(INDEX(상세표[근무일자],$Q742)),TEXT(INDEX(상세표[근무일자],$Q742),"yyyy-mm-dd"),INDEX(상세표[근무일자],$Q742)&amp;""))</f>
        <v/>
      </c>
      <c r="F742">
        <f>IF($Q742="","",IF(ISNUMBER(INDEX(상세표[시작],$Q742)),TEXT(INDEX(상세표[시작],$Q742),"yyyy-mm-dd hh:mm"),INDEX(상세표[시작],$Q742)&amp;""))</f>
        <v/>
      </c>
      <c r="G742">
        <f>IF($Q742="","",IF(ISNUMBER(INDEX(상세표[블록종료],$Q742)),TEXT(INDEX(상세표[블록종료],$Q742),"yyyy-mm-dd hh:mm"),INDEX(상세표[블록종료],$Q742)&amp;""))</f>
        <v/>
      </c>
      <c r="H742">
        <f>IF($Q742="","",CHOOSE(WEEKDAY(INDEX(상세표[시작],$Q742)),"일","월","화","수","목","금","토"))</f>
        <v/>
      </c>
      <c r="I742" s="20">
        <f>IF($Q742="","",INDEX(상세표[연속 시간],$Q742))</f>
        <v/>
      </c>
      <c r="J742">
        <f>IF($Q742="","",INDEX(상세표[기록 수],$Q742))</f>
        <v/>
      </c>
      <c r="K742" s="20">
        <f>IF($Q742="","",INDEX(상세표[블록 06~07시],$Q742))</f>
        <v/>
      </c>
      <c r="L742" s="20">
        <f>IF($Q742="","",INDEX(상세표[블록 07~18시],$Q742))</f>
        <v/>
      </c>
      <c r="M742" s="20">
        <f>IF($Q742="","",INDEX(상세표[블록 18~22시],$Q742))</f>
        <v/>
      </c>
      <c r="N742" s="20">
        <f>IF($Q742="","",INDEX(상세표[블록 22~06시],$Q742))</f>
        <v/>
      </c>
      <c r="O742">
        <f>IF($Q742="","",INDEX(상세표[주말·휴일 포함],$Q742)&amp;"")</f>
        <v/>
      </c>
      <c r="P742">
        <f>IF($Q742="","",INDEX(상세표[월 넘김 포함],$Q742)&amp;"")</f>
        <v/>
      </c>
      <c r="Q742" s="4">
        <f>IFERROR(MATCH(737,상세표[연속순번],0),"")</f>
        <v/>
      </c>
    </row>
    <row r="743">
      <c r="A743">
        <f>IF($Q743="","",INDEX(상세표[부서],$Q743)&amp;"")</f>
        <v/>
      </c>
      <c r="B743">
        <f>IF($Q743="","",INDEX(상세표[사번],$Q743)&amp;"")</f>
        <v/>
      </c>
      <c r="C743">
        <f>IF($Q743="","",INDEX(상세표[성명],$Q743)&amp;"")</f>
        <v/>
      </c>
      <c r="D743">
        <f>IF($Q743="","",INDEX(상세표[직위],$Q743)&amp;"")</f>
        <v/>
      </c>
      <c r="E743">
        <f>IF($Q743="","",IF(ISNUMBER(INDEX(상세표[근무일자],$Q743)),TEXT(INDEX(상세표[근무일자],$Q743),"yyyy-mm-dd"),INDEX(상세표[근무일자],$Q743)&amp;""))</f>
        <v/>
      </c>
      <c r="F743">
        <f>IF($Q743="","",IF(ISNUMBER(INDEX(상세표[시작],$Q743)),TEXT(INDEX(상세표[시작],$Q743),"yyyy-mm-dd hh:mm"),INDEX(상세표[시작],$Q743)&amp;""))</f>
        <v/>
      </c>
      <c r="G743">
        <f>IF($Q743="","",IF(ISNUMBER(INDEX(상세표[블록종료],$Q743)),TEXT(INDEX(상세표[블록종료],$Q743),"yyyy-mm-dd hh:mm"),INDEX(상세표[블록종료],$Q743)&amp;""))</f>
        <v/>
      </c>
      <c r="H743">
        <f>IF($Q743="","",CHOOSE(WEEKDAY(INDEX(상세표[시작],$Q743)),"일","월","화","수","목","금","토"))</f>
        <v/>
      </c>
      <c r="I743" s="20">
        <f>IF($Q743="","",INDEX(상세표[연속 시간],$Q743))</f>
        <v/>
      </c>
      <c r="J743">
        <f>IF($Q743="","",INDEX(상세표[기록 수],$Q743))</f>
        <v/>
      </c>
      <c r="K743" s="20">
        <f>IF($Q743="","",INDEX(상세표[블록 06~07시],$Q743))</f>
        <v/>
      </c>
      <c r="L743" s="20">
        <f>IF($Q743="","",INDEX(상세표[블록 07~18시],$Q743))</f>
        <v/>
      </c>
      <c r="M743" s="20">
        <f>IF($Q743="","",INDEX(상세표[블록 18~22시],$Q743))</f>
        <v/>
      </c>
      <c r="N743" s="20">
        <f>IF($Q743="","",INDEX(상세표[블록 22~06시],$Q743))</f>
        <v/>
      </c>
      <c r="O743">
        <f>IF($Q743="","",INDEX(상세표[주말·휴일 포함],$Q743)&amp;"")</f>
        <v/>
      </c>
      <c r="P743">
        <f>IF($Q743="","",INDEX(상세표[월 넘김 포함],$Q743)&amp;"")</f>
        <v/>
      </c>
      <c r="Q743" s="4">
        <f>IFERROR(MATCH(738,상세표[연속순번],0),"")</f>
        <v/>
      </c>
    </row>
    <row r="744">
      <c r="A744">
        <f>IF($Q744="","",INDEX(상세표[부서],$Q744)&amp;"")</f>
        <v/>
      </c>
      <c r="B744">
        <f>IF($Q744="","",INDEX(상세표[사번],$Q744)&amp;"")</f>
        <v/>
      </c>
      <c r="C744">
        <f>IF($Q744="","",INDEX(상세표[성명],$Q744)&amp;"")</f>
        <v/>
      </c>
      <c r="D744">
        <f>IF($Q744="","",INDEX(상세표[직위],$Q744)&amp;"")</f>
        <v/>
      </c>
      <c r="E744">
        <f>IF($Q744="","",IF(ISNUMBER(INDEX(상세표[근무일자],$Q744)),TEXT(INDEX(상세표[근무일자],$Q744),"yyyy-mm-dd"),INDEX(상세표[근무일자],$Q744)&amp;""))</f>
        <v/>
      </c>
      <c r="F744">
        <f>IF($Q744="","",IF(ISNUMBER(INDEX(상세표[시작],$Q744)),TEXT(INDEX(상세표[시작],$Q744),"yyyy-mm-dd hh:mm"),INDEX(상세표[시작],$Q744)&amp;""))</f>
        <v/>
      </c>
      <c r="G744">
        <f>IF($Q744="","",IF(ISNUMBER(INDEX(상세표[블록종료],$Q744)),TEXT(INDEX(상세표[블록종료],$Q744),"yyyy-mm-dd hh:mm"),INDEX(상세표[블록종료],$Q744)&amp;""))</f>
        <v/>
      </c>
      <c r="H744">
        <f>IF($Q744="","",CHOOSE(WEEKDAY(INDEX(상세표[시작],$Q744)),"일","월","화","수","목","금","토"))</f>
        <v/>
      </c>
      <c r="I744" s="20">
        <f>IF($Q744="","",INDEX(상세표[연속 시간],$Q744))</f>
        <v/>
      </c>
      <c r="J744">
        <f>IF($Q744="","",INDEX(상세표[기록 수],$Q744))</f>
        <v/>
      </c>
      <c r="K744" s="20">
        <f>IF($Q744="","",INDEX(상세표[블록 06~07시],$Q744))</f>
        <v/>
      </c>
      <c r="L744" s="20">
        <f>IF($Q744="","",INDEX(상세표[블록 07~18시],$Q744))</f>
        <v/>
      </c>
      <c r="M744" s="20">
        <f>IF($Q744="","",INDEX(상세표[블록 18~22시],$Q744))</f>
        <v/>
      </c>
      <c r="N744" s="20">
        <f>IF($Q744="","",INDEX(상세표[블록 22~06시],$Q744))</f>
        <v/>
      </c>
      <c r="O744">
        <f>IF($Q744="","",INDEX(상세표[주말·휴일 포함],$Q744)&amp;"")</f>
        <v/>
      </c>
      <c r="P744">
        <f>IF($Q744="","",INDEX(상세표[월 넘김 포함],$Q744)&amp;"")</f>
        <v/>
      </c>
      <c r="Q744" s="4">
        <f>IFERROR(MATCH(739,상세표[연속순번],0),"")</f>
        <v/>
      </c>
    </row>
    <row r="745">
      <c r="A745">
        <f>IF($Q745="","",INDEX(상세표[부서],$Q745)&amp;"")</f>
        <v/>
      </c>
      <c r="B745">
        <f>IF($Q745="","",INDEX(상세표[사번],$Q745)&amp;"")</f>
        <v/>
      </c>
      <c r="C745">
        <f>IF($Q745="","",INDEX(상세표[성명],$Q745)&amp;"")</f>
        <v/>
      </c>
      <c r="D745">
        <f>IF($Q745="","",INDEX(상세표[직위],$Q745)&amp;"")</f>
        <v/>
      </c>
      <c r="E745">
        <f>IF($Q745="","",IF(ISNUMBER(INDEX(상세표[근무일자],$Q745)),TEXT(INDEX(상세표[근무일자],$Q745),"yyyy-mm-dd"),INDEX(상세표[근무일자],$Q745)&amp;""))</f>
        <v/>
      </c>
      <c r="F745">
        <f>IF($Q745="","",IF(ISNUMBER(INDEX(상세표[시작],$Q745)),TEXT(INDEX(상세표[시작],$Q745),"yyyy-mm-dd hh:mm"),INDEX(상세표[시작],$Q745)&amp;""))</f>
        <v/>
      </c>
      <c r="G745">
        <f>IF($Q745="","",IF(ISNUMBER(INDEX(상세표[블록종료],$Q745)),TEXT(INDEX(상세표[블록종료],$Q745),"yyyy-mm-dd hh:mm"),INDEX(상세표[블록종료],$Q745)&amp;""))</f>
        <v/>
      </c>
      <c r="H745">
        <f>IF($Q745="","",CHOOSE(WEEKDAY(INDEX(상세표[시작],$Q745)),"일","월","화","수","목","금","토"))</f>
        <v/>
      </c>
      <c r="I745" s="20">
        <f>IF($Q745="","",INDEX(상세표[연속 시간],$Q745))</f>
        <v/>
      </c>
      <c r="J745">
        <f>IF($Q745="","",INDEX(상세표[기록 수],$Q745))</f>
        <v/>
      </c>
      <c r="K745" s="20">
        <f>IF($Q745="","",INDEX(상세표[블록 06~07시],$Q745))</f>
        <v/>
      </c>
      <c r="L745" s="20">
        <f>IF($Q745="","",INDEX(상세표[블록 07~18시],$Q745))</f>
        <v/>
      </c>
      <c r="M745" s="20">
        <f>IF($Q745="","",INDEX(상세표[블록 18~22시],$Q745))</f>
        <v/>
      </c>
      <c r="N745" s="20">
        <f>IF($Q745="","",INDEX(상세표[블록 22~06시],$Q745))</f>
        <v/>
      </c>
      <c r="O745">
        <f>IF($Q745="","",INDEX(상세표[주말·휴일 포함],$Q745)&amp;"")</f>
        <v/>
      </c>
      <c r="P745">
        <f>IF($Q745="","",INDEX(상세표[월 넘김 포함],$Q745)&amp;"")</f>
        <v/>
      </c>
      <c r="Q745" s="4">
        <f>IFERROR(MATCH(740,상세표[연속순번],0),"")</f>
        <v/>
      </c>
    </row>
    <row r="746">
      <c r="A746">
        <f>IF($Q746="","",INDEX(상세표[부서],$Q746)&amp;"")</f>
        <v/>
      </c>
      <c r="B746">
        <f>IF($Q746="","",INDEX(상세표[사번],$Q746)&amp;"")</f>
        <v/>
      </c>
      <c r="C746">
        <f>IF($Q746="","",INDEX(상세표[성명],$Q746)&amp;"")</f>
        <v/>
      </c>
      <c r="D746">
        <f>IF($Q746="","",INDEX(상세표[직위],$Q746)&amp;"")</f>
        <v/>
      </c>
      <c r="E746">
        <f>IF($Q746="","",IF(ISNUMBER(INDEX(상세표[근무일자],$Q746)),TEXT(INDEX(상세표[근무일자],$Q746),"yyyy-mm-dd"),INDEX(상세표[근무일자],$Q746)&amp;""))</f>
        <v/>
      </c>
      <c r="F746">
        <f>IF($Q746="","",IF(ISNUMBER(INDEX(상세표[시작],$Q746)),TEXT(INDEX(상세표[시작],$Q746),"yyyy-mm-dd hh:mm"),INDEX(상세표[시작],$Q746)&amp;""))</f>
        <v/>
      </c>
      <c r="G746">
        <f>IF($Q746="","",IF(ISNUMBER(INDEX(상세표[블록종료],$Q746)),TEXT(INDEX(상세표[블록종료],$Q746),"yyyy-mm-dd hh:mm"),INDEX(상세표[블록종료],$Q746)&amp;""))</f>
        <v/>
      </c>
      <c r="H746">
        <f>IF($Q746="","",CHOOSE(WEEKDAY(INDEX(상세표[시작],$Q746)),"일","월","화","수","목","금","토"))</f>
        <v/>
      </c>
      <c r="I746" s="20">
        <f>IF($Q746="","",INDEX(상세표[연속 시간],$Q746))</f>
        <v/>
      </c>
      <c r="J746">
        <f>IF($Q746="","",INDEX(상세표[기록 수],$Q746))</f>
        <v/>
      </c>
      <c r="K746" s="20">
        <f>IF($Q746="","",INDEX(상세표[블록 06~07시],$Q746))</f>
        <v/>
      </c>
      <c r="L746" s="20">
        <f>IF($Q746="","",INDEX(상세표[블록 07~18시],$Q746))</f>
        <v/>
      </c>
      <c r="M746" s="20">
        <f>IF($Q746="","",INDEX(상세표[블록 18~22시],$Q746))</f>
        <v/>
      </c>
      <c r="N746" s="20">
        <f>IF($Q746="","",INDEX(상세표[블록 22~06시],$Q746))</f>
        <v/>
      </c>
      <c r="O746">
        <f>IF($Q746="","",INDEX(상세표[주말·휴일 포함],$Q746)&amp;"")</f>
        <v/>
      </c>
      <c r="P746">
        <f>IF($Q746="","",INDEX(상세표[월 넘김 포함],$Q746)&amp;"")</f>
        <v/>
      </c>
      <c r="Q746" s="4">
        <f>IFERROR(MATCH(741,상세표[연속순번],0),"")</f>
        <v/>
      </c>
    </row>
    <row r="747">
      <c r="A747">
        <f>IF($Q747="","",INDEX(상세표[부서],$Q747)&amp;"")</f>
        <v/>
      </c>
      <c r="B747">
        <f>IF($Q747="","",INDEX(상세표[사번],$Q747)&amp;"")</f>
        <v/>
      </c>
      <c r="C747">
        <f>IF($Q747="","",INDEX(상세표[성명],$Q747)&amp;"")</f>
        <v/>
      </c>
      <c r="D747">
        <f>IF($Q747="","",INDEX(상세표[직위],$Q747)&amp;"")</f>
        <v/>
      </c>
      <c r="E747">
        <f>IF($Q747="","",IF(ISNUMBER(INDEX(상세표[근무일자],$Q747)),TEXT(INDEX(상세표[근무일자],$Q747),"yyyy-mm-dd"),INDEX(상세표[근무일자],$Q747)&amp;""))</f>
        <v/>
      </c>
      <c r="F747">
        <f>IF($Q747="","",IF(ISNUMBER(INDEX(상세표[시작],$Q747)),TEXT(INDEX(상세표[시작],$Q747),"yyyy-mm-dd hh:mm"),INDEX(상세표[시작],$Q747)&amp;""))</f>
        <v/>
      </c>
      <c r="G747">
        <f>IF($Q747="","",IF(ISNUMBER(INDEX(상세표[블록종료],$Q747)),TEXT(INDEX(상세표[블록종료],$Q747),"yyyy-mm-dd hh:mm"),INDEX(상세표[블록종료],$Q747)&amp;""))</f>
        <v/>
      </c>
      <c r="H747">
        <f>IF($Q747="","",CHOOSE(WEEKDAY(INDEX(상세표[시작],$Q747)),"일","월","화","수","목","금","토"))</f>
        <v/>
      </c>
      <c r="I747" s="20">
        <f>IF($Q747="","",INDEX(상세표[연속 시간],$Q747))</f>
        <v/>
      </c>
      <c r="J747">
        <f>IF($Q747="","",INDEX(상세표[기록 수],$Q747))</f>
        <v/>
      </c>
      <c r="K747" s="20">
        <f>IF($Q747="","",INDEX(상세표[블록 06~07시],$Q747))</f>
        <v/>
      </c>
      <c r="L747" s="20">
        <f>IF($Q747="","",INDEX(상세표[블록 07~18시],$Q747))</f>
        <v/>
      </c>
      <c r="M747" s="20">
        <f>IF($Q747="","",INDEX(상세표[블록 18~22시],$Q747))</f>
        <v/>
      </c>
      <c r="N747" s="20">
        <f>IF($Q747="","",INDEX(상세표[블록 22~06시],$Q747))</f>
        <v/>
      </c>
      <c r="O747">
        <f>IF($Q747="","",INDEX(상세표[주말·휴일 포함],$Q747)&amp;"")</f>
        <v/>
      </c>
      <c r="P747">
        <f>IF($Q747="","",INDEX(상세표[월 넘김 포함],$Q747)&amp;"")</f>
        <v/>
      </c>
      <c r="Q747" s="4">
        <f>IFERROR(MATCH(742,상세표[연속순번],0),"")</f>
        <v/>
      </c>
    </row>
    <row r="748">
      <c r="A748">
        <f>IF($Q748="","",INDEX(상세표[부서],$Q748)&amp;"")</f>
        <v/>
      </c>
      <c r="B748">
        <f>IF($Q748="","",INDEX(상세표[사번],$Q748)&amp;"")</f>
        <v/>
      </c>
      <c r="C748">
        <f>IF($Q748="","",INDEX(상세표[성명],$Q748)&amp;"")</f>
        <v/>
      </c>
      <c r="D748">
        <f>IF($Q748="","",INDEX(상세표[직위],$Q748)&amp;"")</f>
        <v/>
      </c>
      <c r="E748">
        <f>IF($Q748="","",IF(ISNUMBER(INDEX(상세표[근무일자],$Q748)),TEXT(INDEX(상세표[근무일자],$Q748),"yyyy-mm-dd"),INDEX(상세표[근무일자],$Q748)&amp;""))</f>
        <v/>
      </c>
      <c r="F748">
        <f>IF($Q748="","",IF(ISNUMBER(INDEX(상세표[시작],$Q748)),TEXT(INDEX(상세표[시작],$Q748),"yyyy-mm-dd hh:mm"),INDEX(상세표[시작],$Q748)&amp;""))</f>
        <v/>
      </c>
      <c r="G748">
        <f>IF($Q748="","",IF(ISNUMBER(INDEX(상세표[블록종료],$Q748)),TEXT(INDEX(상세표[블록종료],$Q748),"yyyy-mm-dd hh:mm"),INDEX(상세표[블록종료],$Q748)&amp;""))</f>
        <v/>
      </c>
      <c r="H748">
        <f>IF($Q748="","",CHOOSE(WEEKDAY(INDEX(상세표[시작],$Q748)),"일","월","화","수","목","금","토"))</f>
        <v/>
      </c>
      <c r="I748" s="20">
        <f>IF($Q748="","",INDEX(상세표[연속 시간],$Q748))</f>
        <v/>
      </c>
      <c r="J748">
        <f>IF($Q748="","",INDEX(상세표[기록 수],$Q748))</f>
        <v/>
      </c>
      <c r="K748" s="20">
        <f>IF($Q748="","",INDEX(상세표[블록 06~07시],$Q748))</f>
        <v/>
      </c>
      <c r="L748" s="20">
        <f>IF($Q748="","",INDEX(상세표[블록 07~18시],$Q748))</f>
        <v/>
      </c>
      <c r="M748" s="20">
        <f>IF($Q748="","",INDEX(상세표[블록 18~22시],$Q748))</f>
        <v/>
      </c>
      <c r="N748" s="20">
        <f>IF($Q748="","",INDEX(상세표[블록 22~06시],$Q748))</f>
        <v/>
      </c>
      <c r="O748">
        <f>IF($Q748="","",INDEX(상세표[주말·휴일 포함],$Q748)&amp;"")</f>
        <v/>
      </c>
      <c r="P748">
        <f>IF($Q748="","",INDEX(상세표[월 넘김 포함],$Q748)&amp;"")</f>
        <v/>
      </c>
      <c r="Q748" s="4">
        <f>IFERROR(MATCH(743,상세표[연속순번],0),"")</f>
        <v/>
      </c>
    </row>
    <row r="749">
      <c r="A749">
        <f>IF($Q749="","",INDEX(상세표[부서],$Q749)&amp;"")</f>
        <v/>
      </c>
      <c r="B749">
        <f>IF($Q749="","",INDEX(상세표[사번],$Q749)&amp;"")</f>
        <v/>
      </c>
      <c r="C749">
        <f>IF($Q749="","",INDEX(상세표[성명],$Q749)&amp;"")</f>
        <v/>
      </c>
      <c r="D749">
        <f>IF($Q749="","",INDEX(상세표[직위],$Q749)&amp;"")</f>
        <v/>
      </c>
      <c r="E749">
        <f>IF($Q749="","",IF(ISNUMBER(INDEX(상세표[근무일자],$Q749)),TEXT(INDEX(상세표[근무일자],$Q749),"yyyy-mm-dd"),INDEX(상세표[근무일자],$Q749)&amp;""))</f>
        <v/>
      </c>
      <c r="F749">
        <f>IF($Q749="","",IF(ISNUMBER(INDEX(상세표[시작],$Q749)),TEXT(INDEX(상세표[시작],$Q749),"yyyy-mm-dd hh:mm"),INDEX(상세표[시작],$Q749)&amp;""))</f>
        <v/>
      </c>
      <c r="G749">
        <f>IF($Q749="","",IF(ISNUMBER(INDEX(상세표[블록종료],$Q749)),TEXT(INDEX(상세표[블록종료],$Q749),"yyyy-mm-dd hh:mm"),INDEX(상세표[블록종료],$Q749)&amp;""))</f>
        <v/>
      </c>
      <c r="H749">
        <f>IF($Q749="","",CHOOSE(WEEKDAY(INDEX(상세표[시작],$Q749)),"일","월","화","수","목","금","토"))</f>
        <v/>
      </c>
      <c r="I749" s="20">
        <f>IF($Q749="","",INDEX(상세표[연속 시간],$Q749))</f>
        <v/>
      </c>
      <c r="J749">
        <f>IF($Q749="","",INDEX(상세표[기록 수],$Q749))</f>
        <v/>
      </c>
      <c r="K749" s="20">
        <f>IF($Q749="","",INDEX(상세표[블록 06~07시],$Q749))</f>
        <v/>
      </c>
      <c r="L749" s="20">
        <f>IF($Q749="","",INDEX(상세표[블록 07~18시],$Q749))</f>
        <v/>
      </c>
      <c r="M749" s="20">
        <f>IF($Q749="","",INDEX(상세표[블록 18~22시],$Q749))</f>
        <v/>
      </c>
      <c r="N749" s="20">
        <f>IF($Q749="","",INDEX(상세표[블록 22~06시],$Q749))</f>
        <v/>
      </c>
      <c r="O749">
        <f>IF($Q749="","",INDEX(상세표[주말·휴일 포함],$Q749)&amp;"")</f>
        <v/>
      </c>
      <c r="P749">
        <f>IF($Q749="","",INDEX(상세표[월 넘김 포함],$Q749)&amp;"")</f>
        <v/>
      </c>
      <c r="Q749" s="4">
        <f>IFERROR(MATCH(744,상세표[연속순번],0),"")</f>
        <v/>
      </c>
    </row>
    <row r="750">
      <c r="A750">
        <f>IF($Q750="","",INDEX(상세표[부서],$Q750)&amp;"")</f>
        <v/>
      </c>
      <c r="B750">
        <f>IF($Q750="","",INDEX(상세표[사번],$Q750)&amp;"")</f>
        <v/>
      </c>
      <c r="C750">
        <f>IF($Q750="","",INDEX(상세표[성명],$Q750)&amp;"")</f>
        <v/>
      </c>
      <c r="D750">
        <f>IF($Q750="","",INDEX(상세표[직위],$Q750)&amp;"")</f>
        <v/>
      </c>
      <c r="E750">
        <f>IF($Q750="","",IF(ISNUMBER(INDEX(상세표[근무일자],$Q750)),TEXT(INDEX(상세표[근무일자],$Q750),"yyyy-mm-dd"),INDEX(상세표[근무일자],$Q750)&amp;""))</f>
        <v/>
      </c>
      <c r="F750">
        <f>IF($Q750="","",IF(ISNUMBER(INDEX(상세표[시작],$Q750)),TEXT(INDEX(상세표[시작],$Q750),"yyyy-mm-dd hh:mm"),INDEX(상세표[시작],$Q750)&amp;""))</f>
        <v/>
      </c>
      <c r="G750">
        <f>IF($Q750="","",IF(ISNUMBER(INDEX(상세표[블록종료],$Q750)),TEXT(INDEX(상세표[블록종료],$Q750),"yyyy-mm-dd hh:mm"),INDEX(상세표[블록종료],$Q750)&amp;""))</f>
        <v/>
      </c>
      <c r="H750">
        <f>IF($Q750="","",CHOOSE(WEEKDAY(INDEX(상세표[시작],$Q750)),"일","월","화","수","목","금","토"))</f>
        <v/>
      </c>
      <c r="I750" s="20">
        <f>IF($Q750="","",INDEX(상세표[연속 시간],$Q750))</f>
        <v/>
      </c>
      <c r="J750">
        <f>IF($Q750="","",INDEX(상세표[기록 수],$Q750))</f>
        <v/>
      </c>
      <c r="K750" s="20">
        <f>IF($Q750="","",INDEX(상세표[블록 06~07시],$Q750))</f>
        <v/>
      </c>
      <c r="L750" s="20">
        <f>IF($Q750="","",INDEX(상세표[블록 07~18시],$Q750))</f>
        <v/>
      </c>
      <c r="M750" s="20">
        <f>IF($Q750="","",INDEX(상세표[블록 18~22시],$Q750))</f>
        <v/>
      </c>
      <c r="N750" s="20">
        <f>IF($Q750="","",INDEX(상세표[블록 22~06시],$Q750))</f>
        <v/>
      </c>
      <c r="O750">
        <f>IF($Q750="","",INDEX(상세표[주말·휴일 포함],$Q750)&amp;"")</f>
        <v/>
      </c>
      <c r="P750">
        <f>IF($Q750="","",INDEX(상세표[월 넘김 포함],$Q750)&amp;"")</f>
        <v/>
      </c>
      <c r="Q750" s="4">
        <f>IFERROR(MATCH(745,상세표[연속순번],0),"")</f>
        <v/>
      </c>
    </row>
    <row r="751">
      <c r="A751">
        <f>IF($Q751="","",INDEX(상세표[부서],$Q751)&amp;"")</f>
        <v/>
      </c>
      <c r="B751">
        <f>IF($Q751="","",INDEX(상세표[사번],$Q751)&amp;"")</f>
        <v/>
      </c>
      <c r="C751">
        <f>IF($Q751="","",INDEX(상세표[성명],$Q751)&amp;"")</f>
        <v/>
      </c>
      <c r="D751">
        <f>IF($Q751="","",INDEX(상세표[직위],$Q751)&amp;"")</f>
        <v/>
      </c>
      <c r="E751">
        <f>IF($Q751="","",IF(ISNUMBER(INDEX(상세표[근무일자],$Q751)),TEXT(INDEX(상세표[근무일자],$Q751),"yyyy-mm-dd"),INDEX(상세표[근무일자],$Q751)&amp;""))</f>
        <v/>
      </c>
      <c r="F751">
        <f>IF($Q751="","",IF(ISNUMBER(INDEX(상세표[시작],$Q751)),TEXT(INDEX(상세표[시작],$Q751),"yyyy-mm-dd hh:mm"),INDEX(상세표[시작],$Q751)&amp;""))</f>
        <v/>
      </c>
      <c r="G751">
        <f>IF($Q751="","",IF(ISNUMBER(INDEX(상세표[블록종료],$Q751)),TEXT(INDEX(상세표[블록종료],$Q751),"yyyy-mm-dd hh:mm"),INDEX(상세표[블록종료],$Q751)&amp;""))</f>
        <v/>
      </c>
      <c r="H751">
        <f>IF($Q751="","",CHOOSE(WEEKDAY(INDEX(상세표[시작],$Q751)),"일","월","화","수","목","금","토"))</f>
        <v/>
      </c>
      <c r="I751" s="20">
        <f>IF($Q751="","",INDEX(상세표[연속 시간],$Q751))</f>
        <v/>
      </c>
      <c r="J751">
        <f>IF($Q751="","",INDEX(상세표[기록 수],$Q751))</f>
        <v/>
      </c>
      <c r="K751" s="20">
        <f>IF($Q751="","",INDEX(상세표[블록 06~07시],$Q751))</f>
        <v/>
      </c>
      <c r="L751" s="20">
        <f>IF($Q751="","",INDEX(상세표[블록 07~18시],$Q751))</f>
        <v/>
      </c>
      <c r="M751" s="20">
        <f>IF($Q751="","",INDEX(상세표[블록 18~22시],$Q751))</f>
        <v/>
      </c>
      <c r="N751" s="20">
        <f>IF($Q751="","",INDEX(상세표[블록 22~06시],$Q751))</f>
        <v/>
      </c>
      <c r="O751">
        <f>IF($Q751="","",INDEX(상세표[주말·휴일 포함],$Q751)&amp;"")</f>
        <v/>
      </c>
      <c r="P751">
        <f>IF($Q751="","",INDEX(상세표[월 넘김 포함],$Q751)&amp;"")</f>
        <v/>
      </c>
      <c r="Q751" s="4">
        <f>IFERROR(MATCH(746,상세표[연속순번],0),"")</f>
        <v/>
      </c>
    </row>
    <row r="752">
      <c r="A752">
        <f>IF($Q752="","",INDEX(상세표[부서],$Q752)&amp;"")</f>
        <v/>
      </c>
      <c r="B752">
        <f>IF($Q752="","",INDEX(상세표[사번],$Q752)&amp;"")</f>
        <v/>
      </c>
      <c r="C752">
        <f>IF($Q752="","",INDEX(상세표[성명],$Q752)&amp;"")</f>
        <v/>
      </c>
      <c r="D752">
        <f>IF($Q752="","",INDEX(상세표[직위],$Q752)&amp;"")</f>
        <v/>
      </c>
      <c r="E752">
        <f>IF($Q752="","",IF(ISNUMBER(INDEX(상세표[근무일자],$Q752)),TEXT(INDEX(상세표[근무일자],$Q752),"yyyy-mm-dd"),INDEX(상세표[근무일자],$Q752)&amp;""))</f>
        <v/>
      </c>
      <c r="F752">
        <f>IF($Q752="","",IF(ISNUMBER(INDEX(상세표[시작],$Q752)),TEXT(INDEX(상세표[시작],$Q752),"yyyy-mm-dd hh:mm"),INDEX(상세표[시작],$Q752)&amp;""))</f>
        <v/>
      </c>
      <c r="G752">
        <f>IF($Q752="","",IF(ISNUMBER(INDEX(상세표[블록종료],$Q752)),TEXT(INDEX(상세표[블록종료],$Q752),"yyyy-mm-dd hh:mm"),INDEX(상세표[블록종료],$Q752)&amp;""))</f>
        <v/>
      </c>
      <c r="H752">
        <f>IF($Q752="","",CHOOSE(WEEKDAY(INDEX(상세표[시작],$Q752)),"일","월","화","수","목","금","토"))</f>
        <v/>
      </c>
      <c r="I752" s="20">
        <f>IF($Q752="","",INDEX(상세표[연속 시간],$Q752))</f>
        <v/>
      </c>
      <c r="J752">
        <f>IF($Q752="","",INDEX(상세표[기록 수],$Q752))</f>
        <v/>
      </c>
      <c r="K752" s="20">
        <f>IF($Q752="","",INDEX(상세표[블록 06~07시],$Q752))</f>
        <v/>
      </c>
      <c r="L752" s="20">
        <f>IF($Q752="","",INDEX(상세표[블록 07~18시],$Q752))</f>
        <v/>
      </c>
      <c r="M752" s="20">
        <f>IF($Q752="","",INDEX(상세표[블록 18~22시],$Q752))</f>
        <v/>
      </c>
      <c r="N752" s="20">
        <f>IF($Q752="","",INDEX(상세표[블록 22~06시],$Q752))</f>
        <v/>
      </c>
      <c r="O752">
        <f>IF($Q752="","",INDEX(상세표[주말·휴일 포함],$Q752)&amp;"")</f>
        <v/>
      </c>
      <c r="P752">
        <f>IF($Q752="","",INDEX(상세표[월 넘김 포함],$Q752)&amp;"")</f>
        <v/>
      </c>
      <c r="Q752" s="4">
        <f>IFERROR(MATCH(747,상세표[연속순번],0),"")</f>
        <v/>
      </c>
    </row>
    <row r="753">
      <c r="A753">
        <f>IF($Q753="","",INDEX(상세표[부서],$Q753)&amp;"")</f>
        <v/>
      </c>
      <c r="B753">
        <f>IF($Q753="","",INDEX(상세표[사번],$Q753)&amp;"")</f>
        <v/>
      </c>
      <c r="C753">
        <f>IF($Q753="","",INDEX(상세표[성명],$Q753)&amp;"")</f>
        <v/>
      </c>
      <c r="D753">
        <f>IF($Q753="","",INDEX(상세표[직위],$Q753)&amp;"")</f>
        <v/>
      </c>
      <c r="E753">
        <f>IF($Q753="","",IF(ISNUMBER(INDEX(상세표[근무일자],$Q753)),TEXT(INDEX(상세표[근무일자],$Q753),"yyyy-mm-dd"),INDEX(상세표[근무일자],$Q753)&amp;""))</f>
        <v/>
      </c>
      <c r="F753">
        <f>IF($Q753="","",IF(ISNUMBER(INDEX(상세표[시작],$Q753)),TEXT(INDEX(상세표[시작],$Q753),"yyyy-mm-dd hh:mm"),INDEX(상세표[시작],$Q753)&amp;""))</f>
        <v/>
      </c>
      <c r="G753">
        <f>IF($Q753="","",IF(ISNUMBER(INDEX(상세표[블록종료],$Q753)),TEXT(INDEX(상세표[블록종료],$Q753),"yyyy-mm-dd hh:mm"),INDEX(상세표[블록종료],$Q753)&amp;""))</f>
        <v/>
      </c>
      <c r="H753">
        <f>IF($Q753="","",CHOOSE(WEEKDAY(INDEX(상세표[시작],$Q753)),"일","월","화","수","목","금","토"))</f>
        <v/>
      </c>
      <c r="I753" s="20">
        <f>IF($Q753="","",INDEX(상세표[연속 시간],$Q753))</f>
        <v/>
      </c>
      <c r="J753">
        <f>IF($Q753="","",INDEX(상세표[기록 수],$Q753))</f>
        <v/>
      </c>
      <c r="K753" s="20">
        <f>IF($Q753="","",INDEX(상세표[블록 06~07시],$Q753))</f>
        <v/>
      </c>
      <c r="L753" s="20">
        <f>IF($Q753="","",INDEX(상세표[블록 07~18시],$Q753))</f>
        <v/>
      </c>
      <c r="M753" s="20">
        <f>IF($Q753="","",INDEX(상세표[블록 18~22시],$Q753))</f>
        <v/>
      </c>
      <c r="N753" s="20">
        <f>IF($Q753="","",INDEX(상세표[블록 22~06시],$Q753))</f>
        <v/>
      </c>
      <c r="O753">
        <f>IF($Q753="","",INDEX(상세표[주말·휴일 포함],$Q753)&amp;"")</f>
        <v/>
      </c>
      <c r="P753">
        <f>IF($Q753="","",INDEX(상세표[월 넘김 포함],$Q753)&amp;"")</f>
        <v/>
      </c>
      <c r="Q753" s="4">
        <f>IFERROR(MATCH(748,상세표[연속순번],0),"")</f>
        <v/>
      </c>
    </row>
    <row r="754">
      <c r="A754">
        <f>IF($Q754="","",INDEX(상세표[부서],$Q754)&amp;"")</f>
        <v/>
      </c>
      <c r="B754">
        <f>IF($Q754="","",INDEX(상세표[사번],$Q754)&amp;"")</f>
        <v/>
      </c>
      <c r="C754">
        <f>IF($Q754="","",INDEX(상세표[성명],$Q754)&amp;"")</f>
        <v/>
      </c>
      <c r="D754">
        <f>IF($Q754="","",INDEX(상세표[직위],$Q754)&amp;"")</f>
        <v/>
      </c>
      <c r="E754">
        <f>IF($Q754="","",IF(ISNUMBER(INDEX(상세표[근무일자],$Q754)),TEXT(INDEX(상세표[근무일자],$Q754),"yyyy-mm-dd"),INDEX(상세표[근무일자],$Q754)&amp;""))</f>
        <v/>
      </c>
      <c r="F754">
        <f>IF($Q754="","",IF(ISNUMBER(INDEX(상세표[시작],$Q754)),TEXT(INDEX(상세표[시작],$Q754),"yyyy-mm-dd hh:mm"),INDEX(상세표[시작],$Q754)&amp;""))</f>
        <v/>
      </c>
      <c r="G754">
        <f>IF($Q754="","",IF(ISNUMBER(INDEX(상세표[블록종료],$Q754)),TEXT(INDEX(상세표[블록종료],$Q754),"yyyy-mm-dd hh:mm"),INDEX(상세표[블록종료],$Q754)&amp;""))</f>
        <v/>
      </c>
      <c r="H754">
        <f>IF($Q754="","",CHOOSE(WEEKDAY(INDEX(상세표[시작],$Q754)),"일","월","화","수","목","금","토"))</f>
        <v/>
      </c>
      <c r="I754" s="20">
        <f>IF($Q754="","",INDEX(상세표[연속 시간],$Q754))</f>
        <v/>
      </c>
      <c r="J754">
        <f>IF($Q754="","",INDEX(상세표[기록 수],$Q754))</f>
        <v/>
      </c>
      <c r="K754" s="20">
        <f>IF($Q754="","",INDEX(상세표[블록 06~07시],$Q754))</f>
        <v/>
      </c>
      <c r="L754" s="20">
        <f>IF($Q754="","",INDEX(상세표[블록 07~18시],$Q754))</f>
        <v/>
      </c>
      <c r="M754" s="20">
        <f>IF($Q754="","",INDEX(상세표[블록 18~22시],$Q754))</f>
        <v/>
      </c>
      <c r="N754" s="20">
        <f>IF($Q754="","",INDEX(상세표[블록 22~06시],$Q754))</f>
        <v/>
      </c>
      <c r="O754">
        <f>IF($Q754="","",INDEX(상세표[주말·휴일 포함],$Q754)&amp;"")</f>
        <v/>
      </c>
      <c r="P754">
        <f>IF($Q754="","",INDEX(상세표[월 넘김 포함],$Q754)&amp;"")</f>
        <v/>
      </c>
      <c r="Q754" s="4">
        <f>IFERROR(MATCH(749,상세표[연속순번],0),"")</f>
        <v/>
      </c>
    </row>
    <row r="755">
      <c r="A755">
        <f>IF($Q755="","",INDEX(상세표[부서],$Q755)&amp;"")</f>
        <v/>
      </c>
      <c r="B755">
        <f>IF($Q755="","",INDEX(상세표[사번],$Q755)&amp;"")</f>
        <v/>
      </c>
      <c r="C755">
        <f>IF($Q755="","",INDEX(상세표[성명],$Q755)&amp;"")</f>
        <v/>
      </c>
      <c r="D755">
        <f>IF($Q755="","",INDEX(상세표[직위],$Q755)&amp;"")</f>
        <v/>
      </c>
      <c r="E755">
        <f>IF($Q755="","",IF(ISNUMBER(INDEX(상세표[근무일자],$Q755)),TEXT(INDEX(상세표[근무일자],$Q755),"yyyy-mm-dd"),INDEX(상세표[근무일자],$Q755)&amp;""))</f>
        <v/>
      </c>
      <c r="F755">
        <f>IF($Q755="","",IF(ISNUMBER(INDEX(상세표[시작],$Q755)),TEXT(INDEX(상세표[시작],$Q755),"yyyy-mm-dd hh:mm"),INDEX(상세표[시작],$Q755)&amp;""))</f>
        <v/>
      </c>
      <c r="G755">
        <f>IF($Q755="","",IF(ISNUMBER(INDEX(상세표[블록종료],$Q755)),TEXT(INDEX(상세표[블록종료],$Q755),"yyyy-mm-dd hh:mm"),INDEX(상세표[블록종료],$Q755)&amp;""))</f>
        <v/>
      </c>
      <c r="H755">
        <f>IF($Q755="","",CHOOSE(WEEKDAY(INDEX(상세표[시작],$Q755)),"일","월","화","수","목","금","토"))</f>
        <v/>
      </c>
      <c r="I755" s="20">
        <f>IF($Q755="","",INDEX(상세표[연속 시간],$Q755))</f>
        <v/>
      </c>
      <c r="J755">
        <f>IF($Q755="","",INDEX(상세표[기록 수],$Q755))</f>
        <v/>
      </c>
      <c r="K755" s="20">
        <f>IF($Q755="","",INDEX(상세표[블록 06~07시],$Q755))</f>
        <v/>
      </c>
      <c r="L755" s="20">
        <f>IF($Q755="","",INDEX(상세표[블록 07~18시],$Q755))</f>
        <v/>
      </c>
      <c r="M755" s="20">
        <f>IF($Q755="","",INDEX(상세표[블록 18~22시],$Q755))</f>
        <v/>
      </c>
      <c r="N755" s="20">
        <f>IF($Q755="","",INDEX(상세표[블록 22~06시],$Q755))</f>
        <v/>
      </c>
      <c r="O755">
        <f>IF($Q755="","",INDEX(상세표[주말·휴일 포함],$Q755)&amp;"")</f>
        <v/>
      </c>
      <c r="P755">
        <f>IF($Q755="","",INDEX(상세표[월 넘김 포함],$Q755)&amp;"")</f>
        <v/>
      </c>
      <c r="Q755" s="4">
        <f>IFERROR(MATCH(750,상세표[연속순번],0),"")</f>
        <v/>
      </c>
    </row>
    <row r="756">
      <c r="A756">
        <f>IF($Q756="","",INDEX(상세표[부서],$Q756)&amp;"")</f>
        <v/>
      </c>
      <c r="B756">
        <f>IF($Q756="","",INDEX(상세표[사번],$Q756)&amp;"")</f>
        <v/>
      </c>
      <c r="C756">
        <f>IF($Q756="","",INDEX(상세표[성명],$Q756)&amp;"")</f>
        <v/>
      </c>
      <c r="D756">
        <f>IF($Q756="","",INDEX(상세표[직위],$Q756)&amp;"")</f>
        <v/>
      </c>
      <c r="E756">
        <f>IF($Q756="","",IF(ISNUMBER(INDEX(상세표[근무일자],$Q756)),TEXT(INDEX(상세표[근무일자],$Q756),"yyyy-mm-dd"),INDEX(상세표[근무일자],$Q756)&amp;""))</f>
        <v/>
      </c>
      <c r="F756">
        <f>IF($Q756="","",IF(ISNUMBER(INDEX(상세표[시작],$Q756)),TEXT(INDEX(상세표[시작],$Q756),"yyyy-mm-dd hh:mm"),INDEX(상세표[시작],$Q756)&amp;""))</f>
        <v/>
      </c>
      <c r="G756">
        <f>IF($Q756="","",IF(ISNUMBER(INDEX(상세표[블록종료],$Q756)),TEXT(INDEX(상세표[블록종료],$Q756),"yyyy-mm-dd hh:mm"),INDEX(상세표[블록종료],$Q756)&amp;""))</f>
        <v/>
      </c>
      <c r="H756">
        <f>IF($Q756="","",CHOOSE(WEEKDAY(INDEX(상세표[시작],$Q756)),"일","월","화","수","목","금","토"))</f>
        <v/>
      </c>
      <c r="I756" s="20">
        <f>IF($Q756="","",INDEX(상세표[연속 시간],$Q756))</f>
        <v/>
      </c>
      <c r="J756">
        <f>IF($Q756="","",INDEX(상세표[기록 수],$Q756))</f>
        <v/>
      </c>
      <c r="K756" s="20">
        <f>IF($Q756="","",INDEX(상세표[블록 06~07시],$Q756))</f>
        <v/>
      </c>
      <c r="L756" s="20">
        <f>IF($Q756="","",INDEX(상세표[블록 07~18시],$Q756))</f>
        <v/>
      </c>
      <c r="M756" s="20">
        <f>IF($Q756="","",INDEX(상세표[블록 18~22시],$Q756))</f>
        <v/>
      </c>
      <c r="N756" s="20">
        <f>IF($Q756="","",INDEX(상세표[블록 22~06시],$Q756))</f>
        <v/>
      </c>
      <c r="O756">
        <f>IF($Q756="","",INDEX(상세표[주말·휴일 포함],$Q756)&amp;"")</f>
        <v/>
      </c>
      <c r="P756">
        <f>IF($Q756="","",INDEX(상세표[월 넘김 포함],$Q756)&amp;"")</f>
        <v/>
      </c>
      <c r="Q756" s="4">
        <f>IFERROR(MATCH(751,상세표[연속순번],0),"")</f>
        <v/>
      </c>
    </row>
    <row r="757">
      <c r="A757">
        <f>IF($Q757="","",INDEX(상세표[부서],$Q757)&amp;"")</f>
        <v/>
      </c>
      <c r="B757">
        <f>IF($Q757="","",INDEX(상세표[사번],$Q757)&amp;"")</f>
        <v/>
      </c>
      <c r="C757">
        <f>IF($Q757="","",INDEX(상세표[성명],$Q757)&amp;"")</f>
        <v/>
      </c>
      <c r="D757">
        <f>IF($Q757="","",INDEX(상세표[직위],$Q757)&amp;"")</f>
        <v/>
      </c>
      <c r="E757">
        <f>IF($Q757="","",IF(ISNUMBER(INDEX(상세표[근무일자],$Q757)),TEXT(INDEX(상세표[근무일자],$Q757),"yyyy-mm-dd"),INDEX(상세표[근무일자],$Q757)&amp;""))</f>
        <v/>
      </c>
      <c r="F757">
        <f>IF($Q757="","",IF(ISNUMBER(INDEX(상세표[시작],$Q757)),TEXT(INDEX(상세표[시작],$Q757),"yyyy-mm-dd hh:mm"),INDEX(상세표[시작],$Q757)&amp;""))</f>
        <v/>
      </c>
      <c r="G757">
        <f>IF($Q757="","",IF(ISNUMBER(INDEX(상세표[블록종료],$Q757)),TEXT(INDEX(상세표[블록종료],$Q757),"yyyy-mm-dd hh:mm"),INDEX(상세표[블록종료],$Q757)&amp;""))</f>
        <v/>
      </c>
      <c r="H757">
        <f>IF($Q757="","",CHOOSE(WEEKDAY(INDEX(상세표[시작],$Q757)),"일","월","화","수","목","금","토"))</f>
        <v/>
      </c>
      <c r="I757" s="20">
        <f>IF($Q757="","",INDEX(상세표[연속 시간],$Q757))</f>
        <v/>
      </c>
      <c r="J757">
        <f>IF($Q757="","",INDEX(상세표[기록 수],$Q757))</f>
        <v/>
      </c>
      <c r="K757" s="20">
        <f>IF($Q757="","",INDEX(상세표[블록 06~07시],$Q757))</f>
        <v/>
      </c>
      <c r="L757" s="20">
        <f>IF($Q757="","",INDEX(상세표[블록 07~18시],$Q757))</f>
        <v/>
      </c>
      <c r="M757" s="20">
        <f>IF($Q757="","",INDEX(상세표[블록 18~22시],$Q757))</f>
        <v/>
      </c>
      <c r="N757" s="20">
        <f>IF($Q757="","",INDEX(상세표[블록 22~06시],$Q757))</f>
        <v/>
      </c>
      <c r="O757">
        <f>IF($Q757="","",INDEX(상세표[주말·휴일 포함],$Q757)&amp;"")</f>
        <v/>
      </c>
      <c r="P757">
        <f>IF($Q757="","",INDEX(상세표[월 넘김 포함],$Q757)&amp;"")</f>
        <v/>
      </c>
      <c r="Q757" s="4">
        <f>IFERROR(MATCH(752,상세표[연속순번],0),"")</f>
        <v/>
      </c>
    </row>
    <row r="758">
      <c r="A758">
        <f>IF($Q758="","",INDEX(상세표[부서],$Q758)&amp;"")</f>
        <v/>
      </c>
      <c r="B758">
        <f>IF($Q758="","",INDEX(상세표[사번],$Q758)&amp;"")</f>
        <v/>
      </c>
      <c r="C758">
        <f>IF($Q758="","",INDEX(상세표[성명],$Q758)&amp;"")</f>
        <v/>
      </c>
      <c r="D758">
        <f>IF($Q758="","",INDEX(상세표[직위],$Q758)&amp;"")</f>
        <v/>
      </c>
      <c r="E758">
        <f>IF($Q758="","",IF(ISNUMBER(INDEX(상세표[근무일자],$Q758)),TEXT(INDEX(상세표[근무일자],$Q758),"yyyy-mm-dd"),INDEX(상세표[근무일자],$Q758)&amp;""))</f>
        <v/>
      </c>
      <c r="F758">
        <f>IF($Q758="","",IF(ISNUMBER(INDEX(상세표[시작],$Q758)),TEXT(INDEX(상세표[시작],$Q758),"yyyy-mm-dd hh:mm"),INDEX(상세표[시작],$Q758)&amp;""))</f>
        <v/>
      </c>
      <c r="G758">
        <f>IF($Q758="","",IF(ISNUMBER(INDEX(상세표[블록종료],$Q758)),TEXT(INDEX(상세표[블록종료],$Q758),"yyyy-mm-dd hh:mm"),INDEX(상세표[블록종료],$Q758)&amp;""))</f>
        <v/>
      </c>
      <c r="H758">
        <f>IF($Q758="","",CHOOSE(WEEKDAY(INDEX(상세표[시작],$Q758)),"일","월","화","수","목","금","토"))</f>
        <v/>
      </c>
      <c r="I758" s="20">
        <f>IF($Q758="","",INDEX(상세표[연속 시간],$Q758))</f>
        <v/>
      </c>
      <c r="J758">
        <f>IF($Q758="","",INDEX(상세표[기록 수],$Q758))</f>
        <v/>
      </c>
      <c r="K758" s="20">
        <f>IF($Q758="","",INDEX(상세표[블록 06~07시],$Q758))</f>
        <v/>
      </c>
      <c r="L758" s="20">
        <f>IF($Q758="","",INDEX(상세표[블록 07~18시],$Q758))</f>
        <v/>
      </c>
      <c r="M758" s="20">
        <f>IF($Q758="","",INDEX(상세표[블록 18~22시],$Q758))</f>
        <v/>
      </c>
      <c r="N758" s="20">
        <f>IF($Q758="","",INDEX(상세표[블록 22~06시],$Q758))</f>
        <v/>
      </c>
      <c r="O758">
        <f>IF($Q758="","",INDEX(상세표[주말·휴일 포함],$Q758)&amp;"")</f>
        <v/>
      </c>
      <c r="P758">
        <f>IF($Q758="","",INDEX(상세표[월 넘김 포함],$Q758)&amp;"")</f>
        <v/>
      </c>
      <c r="Q758" s="4">
        <f>IFERROR(MATCH(753,상세표[연속순번],0),"")</f>
        <v/>
      </c>
    </row>
    <row r="759">
      <c r="A759">
        <f>IF($Q759="","",INDEX(상세표[부서],$Q759)&amp;"")</f>
        <v/>
      </c>
      <c r="B759">
        <f>IF($Q759="","",INDEX(상세표[사번],$Q759)&amp;"")</f>
        <v/>
      </c>
      <c r="C759">
        <f>IF($Q759="","",INDEX(상세표[성명],$Q759)&amp;"")</f>
        <v/>
      </c>
      <c r="D759">
        <f>IF($Q759="","",INDEX(상세표[직위],$Q759)&amp;"")</f>
        <v/>
      </c>
      <c r="E759">
        <f>IF($Q759="","",IF(ISNUMBER(INDEX(상세표[근무일자],$Q759)),TEXT(INDEX(상세표[근무일자],$Q759),"yyyy-mm-dd"),INDEX(상세표[근무일자],$Q759)&amp;""))</f>
        <v/>
      </c>
      <c r="F759">
        <f>IF($Q759="","",IF(ISNUMBER(INDEX(상세표[시작],$Q759)),TEXT(INDEX(상세표[시작],$Q759),"yyyy-mm-dd hh:mm"),INDEX(상세표[시작],$Q759)&amp;""))</f>
        <v/>
      </c>
      <c r="G759">
        <f>IF($Q759="","",IF(ISNUMBER(INDEX(상세표[블록종료],$Q759)),TEXT(INDEX(상세표[블록종료],$Q759),"yyyy-mm-dd hh:mm"),INDEX(상세표[블록종료],$Q759)&amp;""))</f>
        <v/>
      </c>
      <c r="H759">
        <f>IF($Q759="","",CHOOSE(WEEKDAY(INDEX(상세표[시작],$Q759)),"일","월","화","수","목","금","토"))</f>
        <v/>
      </c>
      <c r="I759" s="20">
        <f>IF($Q759="","",INDEX(상세표[연속 시간],$Q759))</f>
        <v/>
      </c>
      <c r="J759">
        <f>IF($Q759="","",INDEX(상세표[기록 수],$Q759))</f>
        <v/>
      </c>
      <c r="K759" s="20">
        <f>IF($Q759="","",INDEX(상세표[블록 06~07시],$Q759))</f>
        <v/>
      </c>
      <c r="L759" s="20">
        <f>IF($Q759="","",INDEX(상세표[블록 07~18시],$Q759))</f>
        <v/>
      </c>
      <c r="M759" s="20">
        <f>IF($Q759="","",INDEX(상세표[블록 18~22시],$Q759))</f>
        <v/>
      </c>
      <c r="N759" s="20">
        <f>IF($Q759="","",INDEX(상세표[블록 22~06시],$Q759))</f>
        <v/>
      </c>
      <c r="O759">
        <f>IF($Q759="","",INDEX(상세표[주말·휴일 포함],$Q759)&amp;"")</f>
        <v/>
      </c>
      <c r="P759">
        <f>IF($Q759="","",INDEX(상세표[월 넘김 포함],$Q759)&amp;"")</f>
        <v/>
      </c>
      <c r="Q759" s="4">
        <f>IFERROR(MATCH(754,상세표[연속순번],0),"")</f>
        <v/>
      </c>
    </row>
    <row r="760">
      <c r="A760">
        <f>IF($Q760="","",INDEX(상세표[부서],$Q760)&amp;"")</f>
        <v/>
      </c>
      <c r="B760">
        <f>IF($Q760="","",INDEX(상세표[사번],$Q760)&amp;"")</f>
        <v/>
      </c>
      <c r="C760">
        <f>IF($Q760="","",INDEX(상세표[성명],$Q760)&amp;"")</f>
        <v/>
      </c>
      <c r="D760">
        <f>IF($Q760="","",INDEX(상세표[직위],$Q760)&amp;"")</f>
        <v/>
      </c>
      <c r="E760">
        <f>IF($Q760="","",IF(ISNUMBER(INDEX(상세표[근무일자],$Q760)),TEXT(INDEX(상세표[근무일자],$Q760),"yyyy-mm-dd"),INDEX(상세표[근무일자],$Q760)&amp;""))</f>
        <v/>
      </c>
      <c r="F760">
        <f>IF($Q760="","",IF(ISNUMBER(INDEX(상세표[시작],$Q760)),TEXT(INDEX(상세표[시작],$Q760),"yyyy-mm-dd hh:mm"),INDEX(상세표[시작],$Q760)&amp;""))</f>
        <v/>
      </c>
      <c r="G760">
        <f>IF($Q760="","",IF(ISNUMBER(INDEX(상세표[블록종료],$Q760)),TEXT(INDEX(상세표[블록종료],$Q760),"yyyy-mm-dd hh:mm"),INDEX(상세표[블록종료],$Q760)&amp;""))</f>
        <v/>
      </c>
      <c r="H760">
        <f>IF($Q760="","",CHOOSE(WEEKDAY(INDEX(상세표[시작],$Q760)),"일","월","화","수","목","금","토"))</f>
        <v/>
      </c>
      <c r="I760" s="20">
        <f>IF($Q760="","",INDEX(상세표[연속 시간],$Q760))</f>
        <v/>
      </c>
      <c r="J760">
        <f>IF($Q760="","",INDEX(상세표[기록 수],$Q760))</f>
        <v/>
      </c>
      <c r="K760" s="20">
        <f>IF($Q760="","",INDEX(상세표[블록 06~07시],$Q760))</f>
        <v/>
      </c>
      <c r="L760" s="20">
        <f>IF($Q760="","",INDEX(상세표[블록 07~18시],$Q760))</f>
        <v/>
      </c>
      <c r="M760" s="20">
        <f>IF($Q760="","",INDEX(상세표[블록 18~22시],$Q760))</f>
        <v/>
      </c>
      <c r="N760" s="20">
        <f>IF($Q760="","",INDEX(상세표[블록 22~06시],$Q760))</f>
        <v/>
      </c>
      <c r="O760">
        <f>IF($Q760="","",INDEX(상세표[주말·휴일 포함],$Q760)&amp;"")</f>
        <v/>
      </c>
      <c r="P760">
        <f>IF($Q760="","",INDEX(상세표[월 넘김 포함],$Q760)&amp;"")</f>
        <v/>
      </c>
      <c r="Q760" s="4">
        <f>IFERROR(MATCH(755,상세표[연속순번],0),"")</f>
        <v/>
      </c>
    </row>
    <row r="761">
      <c r="A761">
        <f>IF($Q761="","",INDEX(상세표[부서],$Q761)&amp;"")</f>
        <v/>
      </c>
      <c r="B761">
        <f>IF($Q761="","",INDEX(상세표[사번],$Q761)&amp;"")</f>
        <v/>
      </c>
      <c r="C761">
        <f>IF($Q761="","",INDEX(상세표[성명],$Q761)&amp;"")</f>
        <v/>
      </c>
      <c r="D761">
        <f>IF($Q761="","",INDEX(상세표[직위],$Q761)&amp;"")</f>
        <v/>
      </c>
      <c r="E761">
        <f>IF($Q761="","",IF(ISNUMBER(INDEX(상세표[근무일자],$Q761)),TEXT(INDEX(상세표[근무일자],$Q761),"yyyy-mm-dd"),INDEX(상세표[근무일자],$Q761)&amp;""))</f>
        <v/>
      </c>
      <c r="F761">
        <f>IF($Q761="","",IF(ISNUMBER(INDEX(상세표[시작],$Q761)),TEXT(INDEX(상세표[시작],$Q761),"yyyy-mm-dd hh:mm"),INDEX(상세표[시작],$Q761)&amp;""))</f>
        <v/>
      </c>
      <c r="G761">
        <f>IF($Q761="","",IF(ISNUMBER(INDEX(상세표[블록종료],$Q761)),TEXT(INDEX(상세표[블록종료],$Q761),"yyyy-mm-dd hh:mm"),INDEX(상세표[블록종료],$Q761)&amp;""))</f>
        <v/>
      </c>
      <c r="H761">
        <f>IF($Q761="","",CHOOSE(WEEKDAY(INDEX(상세표[시작],$Q761)),"일","월","화","수","목","금","토"))</f>
        <v/>
      </c>
      <c r="I761" s="20">
        <f>IF($Q761="","",INDEX(상세표[연속 시간],$Q761))</f>
        <v/>
      </c>
      <c r="J761">
        <f>IF($Q761="","",INDEX(상세표[기록 수],$Q761))</f>
        <v/>
      </c>
      <c r="K761" s="20">
        <f>IF($Q761="","",INDEX(상세표[블록 06~07시],$Q761))</f>
        <v/>
      </c>
      <c r="L761" s="20">
        <f>IF($Q761="","",INDEX(상세표[블록 07~18시],$Q761))</f>
        <v/>
      </c>
      <c r="M761" s="20">
        <f>IF($Q761="","",INDEX(상세표[블록 18~22시],$Q761))</f>
        <v/>
      </c>
      <c r="N761" s="20">
        <f>IF($Q761="","",INDEX(상세표[블록 22~06시],$Q761))</f>
        <v/>
      </c>
      <c r="O761">
        <f>IF($Q761="","",INDEX(상세표[주말·휴일 포함],$Q761)&amp;"")</f>
        <v/>
      </c>
      <c r="P761">
        <f>IF($Q761="","",INDEX(상세표[월 넘김 포함],$Q761)&amp;"")</f>
        <v/>
      </c>
      <c r="Q761" s="4">
        <f>IFERROR(MATCH(756,상세표[연속순번],0),"")</f>
        <v/>
      </c>
    </row>
    <row r="762">
      <c r="A762">
        <f>IF($Q762="","",INDEX(상세표[부서],$Q762)&amp;"")</f>
        <v/>
      </c>
      <c r="B762">
        <f>IF($Q762="","",INDEX(상세표[사번],$Q762)&amp;"")</f>
        <v/>
      </c>
      <c r="C762">
        <f>IF($Q762="","",INDEX(상세표[성명],$Q762)&amp;"")</f>
        <v/>
      </c>
      <c r="D762">
        <f>IF($Q762="","",INDEX(상세표[직위],$Q762)&amp;"")</f>
        <v/>
      </c>
      <c r="E762">
        <f>IF($Q762="","",IF(ISNUMBER(INDEX(상세표[근무일자],$Q762)),TEXT(INDEX(상세표[근무일자],$Q762),"yyyy-mm-dd"),INDEX(상세표[근무일자],$Q762)&amp;""))</f>
        <v/>
      </c>
      <c r="F762">
        <f>IF($Q762="","",IF(ISNUMBER(INDEX(상세표[시작],$Q762)),TEXT(INDEX(상세표[시작],$Q762),"yyyy-mm-dd hh:mm"),INDEX(상세표[시작],$Q762)&amp;""))</f>
        <v/>
      </c>
      <c r="G762">
        <f>IF($Q762="","",IF(ISNUMBER(INDEX(상세표[블록종료],$Q762)),TEXT(INDEX(상세표[블록종료],$Q762),"yyyy-mm-dd hh:mm"),INDEX(상세표[블록종료],$Q762)&amp;""))</f>
        <v/>
      </c>
      <c r="H762">
        <f>IF($Q762="","",CHOOSE(WEEKDAY(INDEX(상세표[시작],$Q762)),"일","월","화","수","목","금","토"))</f>
        <v/>
      </c>
      <c r="I762" s="20">
        <f>IF($Q762="","",INDEX(상세표[연속 시간],$Q762))</f>
        <v/>
      </c>
      <c r="J762">
        <f>IF($Q762="","",INDEX(상세표[기록 수],$Q762))</f>
        <v/>
      </c>
      <c r="K762" s="20">
        <f>IF($Q762="","",INDEX(상세표[블록 06~07시],$Q762))</f>
        <v/>
      </c>
      <c r="L762" s="20">
        <f>IF($Q762="","",INDEX(상세표[블록 07~18시],$Q762))</f>
        <v/>
      </c>
      <c r="M762" s="20">
        <f>IF($Q762="","",INDEX(상세표[블록 18~22시],$Q762))</f>
        <v/>
      </c>
      <c r="N762" s="20">
        <f>IF($Q762="","",INDEX(상세표[블록 22~06시],$Q762))</f>
        <v/>
      </c>
      <c r="O762">
        <f>IF($Q762="","",INDEX(상세표[주말·휴일 포함],$Q762)&amp;"")</f>
        <v/>
      </c>
      <c r="P762">
        <f>IF($Q762="","",INDEX(상세표[월 넘김 포함],$Q762)&amp;"")</f>
        <v/>
      </c>
      <c r="Q762" s="4">
        <f>IFERROR(MATCH(757,상세표[연속순번],0),"")</f>
        <v/>
      </c>
    </row>
    <row r="763">
      <c r="A763">
        <f>IF($Q763="","",INDEX(상세표[부서],$Q763)&amp;"")</f>
        <v/>
      </c>
      <c r="B763">
        <f>IF($Q763="","",INDEX(상세표[사번],$Q763)&amp;"")</f>
        <v/>
      </c>
      <c r="C763">
        <f>IF($Q763="","",INDEX(상세표[성명],$Q763)&amp;"")</f>
        <v/>
      </c>
      <c r="D763">
        <f>IF($Q763="","",INDEX(상세표[직위],$Q763)&amp;"")</f>
        <v/>
      </c>
      <c r="E763">
        <f>IF($Q763="","",IF(ISNUMBER(INDEX(상세표[근무일자],$Q763)),TEXT(INDEX(상세표[근무일자],$Q763),"yyyy-mm-dd"),INDEX(상세표[근무일자],$Q763)&amp;""))</f>
        <v/>
      </c>
      <c r="F763">
        <f>IF($Q763="","",IF(ISNUMBER(INDEX(상세표[시작],$Q763)),TEXT(INDEX(상세표[시작],$Q763),"yyyy-mm-dd hh:mm"),INDEX(상세표[시작],$Q763)&amp;""))</f>
        <v/>
      </c>
      <c r="G763">
        <f>IF($Q763="","",IF(ISNUMBER(INDEX(상세표[블록종료],$Q763)),TEXT(INDEX(상세표[블록종료],$Q763),"yyyy-mm-dd hh:mm"),INDEX(상세표[블록종료],$Q763)&amp;""))</f>
        <v/>
      </c>
      <c r="H763">
        <f>IF($Q763="","",CHOOSE(WEEKDAY(INDEX(상세표[시작],$Q763)),"일","월","화","수","목","금","토"))</f>
        <v/>
      </c>
      <c r="I763" s="20">
        <f>IF($Q763="","",INDEX(상세표[연속 시간],$Q763))</f>
        <v/>
      </c>
      <c r="J763">
        <f>IF($Q763="","",INDEX(상세표[기록 수],$Q763))</f>
        <v/>
      </c>
      <c r="K763" s="20">
        <f>IF($Q763="","",INDEX(상세표[블록 06~07시],$Q763))</f>
        <v/>
      </c>
      <c r="L763" s="20">
        <f>IF($Q763="","",INDEX(상세표[블록 07~18시],$Q763))</f>
        <v/>
      </c>
      <c r="M763" s="20">
        <f>IF($Q763="","",INDEX(상세표[블록 18~22시],$Q763))</f>
        <v/>
      </c>
      <c r="N763" s="20">
        <f>IF($Q763="","",INDEX(상세표[블록 22~06시],$Q763))</f>
        <v/>
      </c>
      <c r="O763">
        <f>IF($Q763="","",INDEX(상세표[주말·휴일 포함],$Q763)&amp;"")</f>
        <v/>
      </c>
      <c r="P763">
        <f>IF($Q763="","",INDEX(상세표[월 넘김 포함],$Q763)&amp;"")</f>
        <v/>
      </c>
      <c r="Q763" s="4">
        <f>IFERROR(MATCH(758,상세표[연속순번],0),"")</f>
        <v/>
      </c>
    </row>
    <row r="764">
      <c r="A764">
        <f>IF($Q764="","",INDEX(상세표[부서],$Q764)&amp;"")</f>
        <v/>
      </c>
      <c r="B764">
        <f>IF($Q764="","",INDEX(상세표[사번],$Q764)&amp;"")</f>
        <v/>
      </c>
      <c r="C764">
        <f>IF($Q764="","",INDEX(상세표[성명],$Q764)&amp;"")</f>
        <v/>
      </c>
      <c r="D764">
        <f>IF($Q764="","",INDEX(상세표[직위],$Q764)&amp;"")</f>
        <v/>
      </c>
      <c r="E764">
        <f>IF($Q764="","",IF(ISNUMBER(INDEX(상세표[근무일자],$Q764)),TEXT(INDEX(상세표[근무일자],$Q764),"yyyy-mm-dd"),INDEX(상세표[근무일자],$Q764)&amp;""))</f>
        <v/>
      </c>
      <c r="F764">
        <f>IF($Q764="","",IF(ISNUMBER(INDEX(상세표[시작],$Q764)),TEXT(INDEX(상세표[시작],$Q764),"yyyy-mm-dd hh:mm"),INDEX(상세표[시작],$Q764)&amp;""))</f>
        <v/>
      </c>
      <c r="G764">
        <f>IF($Q764="","",IF(ISNUMBER(INDEX(상세표[블록종료],$Q764)),TEXT(INDEX(상세표[블록종료],$Q764),"yyyy-mm-dd hh:mm"),INDEX(상세표[블록종료],$Q764)&amp;""))</f>
        <v/>
      </c>
      <c r="H764">
        <f>IF($Q764="","",CHOOSE(WEEKDAY(INDEX(상세표[시작],$Q764)),"일","월","화","수","목","금","토"))</f>
        <v/>
      </c>
      <c r="I764" s="20">
        <f>IF($Q764="","",INDEX(상세표[연속 시간],$Q764))</f>
        <v/>
      </c>
      <c r="J764">
        <f>IF($Q764="","",INDEX(상세표[기록 수],$Q764))</f>
        <v/>
      </c>
      <c r="K764" s="20">
        <f>IF($Q764="","",INDEX(상세표[블록 06~07시],$Q764))</f>
        <v/>
      </c>
      <c r="L764" s="20">
        <f>IF($Q764="","",INDEX(상세표[블록 07~18시],$Q764))</f>
        <v/>
      </c>
      <c r="M764" s="20">
        <f>IF($Q764="","",INDEX(상세표[블록 18~22시],$Q764))</f>
        <v/>
      </c>
      <c r="N764" s="20">
        <f>IF($Q764="","",INDEX(상세표[블록 22~06시],$Q764))</f>
        <v/>
      </c>
      <c r="O764">
        <f>IF($Q764="","",INDEX(상세표[주말·휴일 포함],$Q764)&amp;"")</f>
        <v/>
      </c>
      <c r="P764">
        <f>IF($Q764="","",INDEX(상세표[월 넘김 포함],$Q764)&amp;"")</f>
        <v/>
      </c>
      <c r="Q764" s="4">
        <f>IFERROR(MATCH(759,상세표[연속순번],0),"")</f>
        <v/>
      </c>
    </row>
    <row r="765">
      <c r="A765">
        <f>IF($Q765="","",INDEX(상세표[부서],$Q765)&amp;"")</f>
        <v/>
      </c>
      <c r="B765">
        <f>IF($Q765="","",INDEX(상세표[사번],$Q765)&amp;"")</f>
        <v/>
      </c>
      <c r="C765">
        <f>IF($Q765="","",INDEX(상세표[성명],$Q765)&amp;"")</f>
        <v/>
      </c>
      <c r="D765">
        <f>IF($Q765="","",INDEX(상세표[직위],$Q765)&amp;"")</f>
        <v/>
      </c>
      <c r="E765">
        <f>IF($Q765="","",IF(ISNUMBER(INDEX(상세표[근무일자],$Q765)),TEXT(INDEX(상세표[근무일자],$Q765),"yyyy-mm-dd"),INDEX(상세표[근무일자],$Q765)&amp;""))</f>
        <v/>
      </c>
      <c r="F765">
        <f>IF($Q765="","",IF(ISNUMBER(INDEX(상세표[시작],$Q765)),TEXT(INDEX(상세표[시작],$Q765),"yyyy-mm-dd hh:mm"),INDEX(상세표[시작],$Q765)&amp;""))</f>
        <v/>
      </c>
      <c r="G765">
        <f>IF($Q765="","",IF(ISNUMBER(INDEX(상세표[블록종료],$Q765)),TEXT(INDEX(상세표[블록종료],$Q765),"yyyy-mm-dd hh:mm"),INDEX(상세표[블록종료],$Q765)&amp;""))</f>
        <v/>
      </c>
      <c r="H765">
        <f>IF($Q765="","",CHOOSE(WEEKDAY(INDEX(상세표[시작],$Q765)),"일","월","화","수","목","금","토"))</f>
        <v/>
      </c>
      <c r="I765" s="20">
        <f>IF($Q765="","",INDEX(상세표[연속 시간],$Q765))</f>
        <v/>
      </c>
      <c r="J765">
        <f>IF($Q765="","",INDEX(상세표[기록 수],$Q765))</f>
        <v/>
      </c>
      <c r="K765" s="20">
        <f>IF($Q765="","",INDEX(상세표[블록 06~07시],$Q765))</f>
        <v/>
      </c>
      <c r="L765" s="20">
        <f>IF($Q765="","",INDEX(상세표[블록 07~18시],$Q765))</f>
        <v/>
      </c>
      <c r="M765" s="20">
        <f>IF($Q765="","",INDEX(상세표[블록 18~22시],$Q765))</f>
        <v/>
      </c>
      <c r="N765" s="20">
        <f>IF($Q765="","",INDEX(상세표[블록 22~06시],$Q765))</f>
        <v/>
      </c>
      <c r="O765">
        <f>IF($Q765="","",INDEX(상세표[주말·휴일 포함],$Q765)&amp;"")</f>
        <v/>
      </c>
      <c r="P765">
        <f>IF($Q765="","",INDEX(상세표[월 넘김 포함],$Q765)&amp;"")</f>
        <v/>
      </c>
      <c r="Q765" s="4">
        <f>IFERROR(MATCH(760,상세표[연속순번],0),"")</f>
        <v/>
      </c>
    </row>
    <row r="766">
      <c r="A766">
        <f>IF($Q766="","",INDEX(상세표[부서],$Q766)&amp;"")</f>
        <v/>
      </c>
      <c r="B766">
        <f>IF($Q766="","",INDEX(상세표[사번],$Q766)&amp;"")</f>
        <v/>
      </c>
      <c r="C766">
        <f>IF($Q766="","",INDEX(상세표[성명],$Q766)&amp;"")</f>
        <v/>
      </c>
      <c r="D766">
        <f>IF($Q766="","",INDEX(상세표[직위],$Q766)&amp;"")</f>
        <v/>
      </c>
      <c r="E766">
        <f>IF($Q766="","",IF(ISNUMBER(INDEX(상세표[근무일자],$Q766)),TEXT(INDEX(상세표[근무일자],$Q766),"yyyy-mm-dd"),INDEX(상세표[근무일자],$Q766)&amp;""))</f>
        <v/>
      </c>
      <c r="F766">
        <f>IF($Q766="","",IF(ISNUMBER(INDEX(상세표[시작],$Q766)),TEXT(INDEX(상세표[시작],$Q766),"yyyy-mm-dd hh:mm"),INDEX(상세표[시작],$Q766)&amp;""))</f>
        <v/>
      </c>
      <c r="G766">
        <f>IF($Q766="","",IF(ISNUMBER(INDEX(상세표[블록종료],$Q766)),TEXT(INDEX(상세표[블록종료],$Q766),"yyyy-mm-dd hh:mm"),INDEX(상세표[블록종료],$Q766)&amp;""))</f>
        <v/>
      </c>
      <c r="H766">
        <f>IF($Q766="","",CHOOSE(WEEKDAY(INDEX(상세표[시작],$Q766)),"일","월","화","수","목","금","토"))</f>
        <v/>
      </c>
      <c r="I766" s="20">
        <f>IF($Q766="","",INDEX(상세표[연속 시간],$Q766))</f>
        <v/>
      </c>
      <c r="J766">
        <f>IF($Q766="","",INDEX(상세표[기록 수],$Q766))</f>
        <v/>
      </c>
      <c r="K766" s="20">
        <f>IF($Q766="","",INDEX(상세표[블록 06~07시],$Q766))</f>
        <v/>
      </c>
      <c r="L766" s="20">
        <f>IF($Q766="","",INDEX(상세표[블록 07~18시],$Q766))</f>
        <v/>
      </c>
      <c r="M766" s="20">
        <f>IF($Q766="","",INDEX(상세표[블록 18~22시],$Q766))</f>
        <v/>
      </c>
      <c r="N766" s="20">
        <f>IF($Q766="","",INDEX(상세표[블록 22~06시],$Q766))</f>
        <v/>
      </c>
      <c r="O766">
        <f>IF($Q766="","",INDEX(상세표[주말·휴일 포함],$Q766)&amp;"")</f>
        <v/>
      </c>
      <c r="P766">
        <f>IF($Q766="","",INDEX(상세표[월 넘김 포함],$Q766)&amp;"")</f>
        <v/>
      </c>
      <c r="Q766" s="4">
        <f>IFERROR(MATCH(761,상세표[연속순번],0),"")</f>
        <v/>
      </c>
    </row>
    <row r="767">
      <c r="A767">
        <f>IF($Q767="","",INDEX(상세표[부서],$Q767)&amp;"")</f>
        <v/>
      </c>
      <c r="B767">
        <f>IF($Q767="","",INDEX(상세표[사번],$Q767)&amp;"")</f>
        <v/>
      </c>
      <c r="C767">
        <f>IF($Q767="","",INDEX(상세표[성명],$Q767)&amp;"")</f>
        <v/>
      </c>
      <c r="D767">
        <f>IF($Q767="","",INDEX(상세표[직위],$Q767)&amp;"")</f>
        <v/>
      </c>
      <c r="E767">
        <f>IF($Q767="","",IF(ISNUMBER(INDEX(상세표[근무일자],$Q767)),TEXT(INDEX(상세표[근무일자],$Q767),"yyyy-mm-dd"),INDEX(상세표[근무일자],$Q767)&amp;""))</f>
        <v/>
      </c>
      <c r="F767">
        <f>IF($Q767="","",IF(ISNUMBER(INDEX(상세표[시작],$Q767)),TEXT(INDEX(상세표[시작],$Q767),"yyyy-mm-dd hh:mm"),INDEX(상세표[시작],$Q767)&amp;""))</f>
        <v/>
      </c>
      <c r="G767">
        <f>IF($Q767="","",IF(ISNUMBER(INDEX(상세표[블록종료],$Q767)),TEXT(INDEX(상세표[블록종료],$Q767),"yyyy-mm-dd hh:mm"),INDEX(상세표[블록종료],$Q767)&amp;""))</f>
        <v/>
      </c>
      <c r="H767">
        <f>IF($Q767="","",CHOOSE(WEEKDAY(INDEX(상세표[시작],$Q767)),"일","월","화","수","목","금","토"))</f>
        <v/>
      </c>
      <c r="I767" s="20">
        <f>IF($Q767="","",INDEX(상세표[연속 시간],$Q767))</f>
        <v/>
      </c>
      <c r="J767">
        <f>IF($Q767="","",INDEX(상세표[기록 수],$Q767))</f>
        <v/>
      </c>
      <c r="K767" s="20">
        <f>IF($Q767="","",INDEX(상세표[블록 06~07시],$Q767))</f>
        <v/>
      </c>
      <c r="L767" s="20">
        <f>IF($Q767="","",INDEX(상세표[블록 07~18시],$Q767))</f>
        <v/>
      </c>
      <c r="M767" s="20">
        <f>IF($Q767="","",INDEX(상세표[블록 18~22시],$Q767))</f>
        <v/>
      </c>
      <c r="N767" s="20">
        <f>IF($Q767="","",INDEX(상세표[블록 22~06시],$Q767))</f>
        <v/>
      </c>
      <c r="O767">
        <f>IF($Q767="","",INDEX(상세표[주말·휴일 포함],$Q767)&amp;"")</f>
        <v/>
      </c>
      <c r="P767">
        <f>IF($Q767="","",INDEX(상세표[월 넘김 포함],$Q767)&amp;"")</f>
        <v/>
      </c>
      <c r="Q767" s="4">
        <f>IFERROR(MATCH(762,상세표[연속순번],0),"")</f>
        <v/>
      </c>
    </row>
    <row r="768">
      <c r="A768">
        <f>IF($Q768="","",INDEX(상세표[부서],$Q768)&amp;"")</f>
        <v/>
      </c>
      <c r="B768">
        <f>IF($Q768="","",INDEX(상세표[사번],$Q768)&amp;"")</f>
        <v/>
      </c>
      <c r="C768">
        <f>IF($Q768="","",INDEX(상세표[성명],$Q768)&amp;"")</f>
        <v/>
      </c>
      <c r="D768">
        <f>IF($Q768="","",INDEX(상세표[직위],$Q768)&amp;"")</f>
        <v/>
      </c>
      <c r="E768">
        <f>IF($Q768="","",IF(ISNUMBER(INDEX(상세표[근무일자],$Q768)),TEXT(INDEX(상세표[근무일자],$Q768),"yyyy-mm-dd"),INDEX(상세표[근무일자],$Q768)&amp;""))</f>
        <v/>
      </c>
      <c r="F768">
        <f>IF($Q768="","",IF(ISNUMBER(INDEX(상세표[시작],$Q768)),TEXT(INDEX(상세표[시작],$Q768),"yyyy-mm-dd hh:mm"),INDEX(상세표[시작],$Q768)&amp;""))</f>
        <v/>
      </c>
      <c r="G768">
        <f>IF($Q768="","",IF(ISNUMBER(INDEX(상세표[블록종료],$Q768)),TEXT(INDEX(상세표[블록종료],$Q768),"yyyy-mm-dd hh:mm"),INDEX(상세표[블록종료],$Q768)&amp;""))</f>
        <v/>
      </c>
      <c r="H768">
        <f>IF($Q768="","",CHOOSE(WEEKDAY(INDEX(상세표[시작],$Q768)),"일","월","화","수","목","금","토"))</f>
        <v/>
      </c>
      <c r="I768" s="20">
        <f>IF($Q768="","",INDEX(상세표[연속 시간],$Q768))</f>
        <v/>
      </c>
      <c r="J768">
        <f>IF($Q768="","",INDEX(상세표[기록 수],$Q768))</f>
        <v/>
      </c>
      <c r="K768" s="20">
        <f>IF($Q768="","",INDEX(상세표[블록 06~07시],$Q768))</f>
        <v/>
      </c>
      <c r="L768" s="20">
        <f>IF($Q768="","",INDEX(상세표[블록 07~18시],$Q768))</f>
        <v/>
      </c>
      <c r="M768" s="20">
        <f>IF($Q768="","",INDEX(상세표[블록 18~22시],$Q768))</f>
        <v/>
      </c>
      <c r="N768" s="20">
        <f>IF($Q768="","",INDEX(상세표[블록 22~06시],$Q768))</f>
        <v/>
      </c>
      <c r="O768">
        <f>IF($Q768="","",INDEX(상세표[주말·휴일 포함],$Q768)&amp;"")</f>
        <v/>
      </c>
      <c r="P768">
        <f>IF($Q768="","",INDEX(상세표[월 넘김 포함],$Q768)&amp;"")</f>
        <v/>
      </c>
      <c r="Q768" s="4">
        <f>IFERROR(MATCH(763,상세표[연속순번],0),"")</f>
        <v/>
      </c>
    </row>
    <row r="769">
      <c r="A769">
        <f>IF($Q769="","",INDEX(상세표[부서],$Q769)&amp;"")</f>
        <v/>
      </c>
      <c r="B769">
        <f>IF($Q769="","",INDEX(상세표[사번],$Q769)&amp;"")</f>
        <v/>
      </c>
      <c r="C769">
        <f>IF($Q769="","",INDEX(상세표[성명],$Q769)&amp;"")</f>
        <v/>
      </c>
      <c r="D769">
        <f>IF($Q769="","",INDEX(상세표[직위],$Q769)&amp;"")</f>
        <v/>
      </c>
      <c r="E769">
        <f>IF($Q769="","",IF(ISNUMBER(INDEX(상세표[근무일자],$Q769)),TEXT(INDEX(상세표[근무일자],$Q769),"yyyy-mm-dd"),INDEX(상세표[근무일자],$Q769)&amp;""))</f>
        <v/>
      </c>
      <c r="F769">
        <f>IF($Q769="","",IF(ISNUMBER(INDEX(상세표[시작],$Q769)),TEXT(INDEX(상세표[시작],$Q769),"yyyy-mm-dd hh:mm"),INDEX(상세표[시작],$Q769)&amp;""))</f>
        <v/>
      </c>
      <c r="G769">
        <f>IF($Q769="","",IF(ISNUMBER(INDEX(상세표[블록종료],$Q769)),TEXT(INDEX(상세표[블록종료],$Q769),"yyyy-mm-dd hh:mm"),INDEX(상세표[블록종료],$Q769)&amp;""))</f>
        <v/>
      </c>
      <c r="H769">
        <f>IF($Q769="","",CHOOSE(WEEKDAY(INDEX(상세표[시작],$Q769)),"일","월","화","수","목","금","토"))</f>
        <v/>
      </c>
      <c r="I769" s="20">
        <f>IF($Q769="","",INDEX(상세표[연속 시간],$Q769))</f>
        <v/>
      </c>
      <c r="J769">
        <f>IF($Q769="","",INDEX(상세표[기록 수],$Q769))</f>
        <v/>
      </c>
      <c r="K769" s="20">
        <f>IF($Q769="","",INDEX(상세표[블록 06~07시],$Q769))</f>
        <v/>
      </c>
      <c r="L769" s="20">
        <f>IF($Q769="","",INDEX(상세표[블록 07~18시],$Q769))</f>
        <v/>
      </c>
      <c r="M769" s="20">
        <f>IF($Q769="","",INDEX(상세표[블록 18~22시],$Q769))</f>
        <v/>
      </c>
      <c r="N769" s="20">
        <f>IF($Q769="","",INDEX(상세표[블록 22~06시],$Q769))</f>
        <v/>
      </c>
      <c r="O769">
        <f>IF($Q769="","",INDEX(상세표[주말·휴일 포함],$Q769)&amp;"")</f>
        <v/>
      </c>
      <c r="P769">
        <f>IF($Q769="","",INDEX(상세표[월 넘김 포함],$Q769)&amp;"")</f>
        <v/>
      </c>
      <c r="Q769" s="4">
        <f>IFERROR(MATCH(764,상세표[연속순번],0),"")</f>
        <v/>
      </c>
    </row>
    <row r="770">
      <c r="A770">
        <f>IF($Q770="","",INDEX(상세표[부서],$Q770)&amp;"")</f>
        <v/>
      </c>
      <c r="B770">
        <f>IF($Q770="","",INDEX(상세표[사번],$Q770)&amp;"")</f>
        <v/>
      </c>
      <c r="C770">
        <f>IF($Q770="","",INDEX(상세표[성명],$Q770)&amp;"")</f>
        <v/>
      </c>
      <c r="D770">
        <f>IF($Q770="","",INDEX(상세표[직위],$Q770)&amp;"")</f>
        <v/>
      </c>
      <c r="E770">
        <f>IF($Q770="","",IF(ISNUMBER(INDEX(상세표[근무일자],$Q770)),TEXT(INDEX(상세표[근무일자],$Q770),"yyyy-mm-dd"),INDEX(상세표[근무일자],$Q770)&amp;""))</f>
        <v/>
      </c>
      <c r="F770">
        <f>IF($Q770="","",IF(ISNUMBER(INDEX(상세표[시작],$Q770)),TEXT(INDEX(상세표[시작],$Q770),"yyyy-mm-dd hh:mm"),INDEX(상세표[시작],$Q770)&amp;""))</f>
        <v/>
      </c>
      <c r="G770">
        <f>IF($Q770="","",IF(ISNUMBER(INDEX(상세표[블록종료],$Q770)),TEXT(INDEX(상세표[블록종료],$Q770),"yyyy-mm-dd hh:mm"),INDEX(상세표[블록종료],$Q770)&amp;""))</f>
        <v/>
      </c>
      <c r="H770">
        <f>IF($Q770="","",CHOOSE(WEEKDAY(INDEX(상세표[시작],$Q770)),"일","월","화","수","목","금","토"))</f>
        <v/>
      </c>
      <c r="I770" s="20">
        <f>IF($Q770="","",INDEX(상세표[연속 시간],$Q770))</f>
        <v/>
      </c>
      <c r="J770">
        <f>IF($Q770="","",INDEX(상세표[기록 수],$Q770))</f>
        <v/>
      </c>
      <c r="K770" s="20">
        <f>IF($Q770="","",INDEX(상세표[블록 06~07시],$Q770))</f>
        <v/>
      </c>
      <c r="L770" s="20">
        <f>IF($Q770="","",INDEX(상세표[블록 07~18시],$Q770))</f>
        <v/>
      </c>
      <c r="M770" s="20">
        <f>IF($Q770="","",INDEX(상세표[블록 18~22시],$Q770))</f>
        <v/>
      </c>
      <c r="N770" s="20">
        <f>IF($Q770="","",INDEX(상세표[블록 22~06시],$Q770))</f>
        <v/>
      </c>
      <c r="O770">
        <f>IF($Q770="","",INDEX(상세표[주말·휴일 포함],$Q770)&amp;"")</f>
        <v/>
      </c>
      <c r="P770">
        <f>IF($Q770="","",INDEX(상세표[월 넘김 포함],$Q770)&amp;"")</f>
        <v/>
      </c>
      <c r="Q770" s="4">
        <f>IFERROR(MATCH(765,상세표[연속순번],0),"")</f>
        <v/>
      </c>
    </row>
    <row r="771">
      <c r="A771">
        <f>IF($Q771="","",INDEX(상세표[부서],$Q771)&amp;"")</f>
        <v/>
      </c>
      <c r="B771">
        <f>IF($Q771="","",INDEX(상세표[사번],$Q771)&amp;"")</f>
        <v/>
      </c>
      <c r="C771">
        <f>IF($Q771="","",INDEX(상세표[성명],$Q771)&amp;"")</f>
        <v/>
      </c>
      <c r="D771">
        <f>IF($Q771="","",INDEX(상세표[직위],$Q771)&amp;"")</f>
        <v/>
      </c>
      <c r="E771">
        <f>IF($Q771="","",IF(ISNUMBER(INDEX(상세표[근무일자],$Q771)),TEXT(INDEX(상세표[근무일자],$Q771),"yyyy-mm-dd"),INDEX(상세표[근무일자],$Q771)&amp;""))</f>
        <v/>
      </c>
      <c r="F771">
        <f>IF($Q771="","",IF(ISNUMBER(INDEX(상세표[시작],$Q771)),TEXT(INDEX(상세표[시작],$Q771),"yyyy-mm-dd hh:mm"),INDEX(상세표[시작],$Q771)&amp;""))</f>
        <v/>
      </c>
      <c r="G771">
        <f>IF($Q771="","",IF(ISNUMBER(INDEX(상세표[블록종료],$Q771)),TEXT(INDEX(상세표[블록종료],$Q771),"yyyy-mm-dd hh:mm"),INDEX(상세표[블록종료],$Q771)&amp;""))</f>
        <v/>
      </c>
      <c r="H771">
        <f>IF($Q771="","",CHOOSE(WEEKDAY(INDEX(상세표[시작],$Q771)),"일","월","화","수","목","금","토"))</f>
        <v/>
      </c>
      <c r="I771" s="20">
        <f>IF($Q771="","",INDEX(상세표[연속 시간],$Q771))</f>
        <v/>
      </c>
      <c r="J771">
        <f>IF($Q771="","",INDEX(상세표[기록 수],$Q771))</f>
        <v/>
      </c>
      <c r="K771" s="20">
        <f>IF($Q771="","",INDEX(상세표[블록 06~07시],$Q771))</f>
        <v/>
      </c>
      <c r="L771" s="20">
        <f>IF($Q771="","",INDEX(상세표[블록 07~18시],$Q771))</f>
        <v/>
      </c>
      <c r="M771" s="20">
        <f>IF($Q771="","",INDEX(상세표[블록 18~22시],$Q771))</f>
        <v/>
      </c>
      <c r="N771" s="20">
        <f>IF($Q771="","",INDEX(상세표[블록 22~06시],$Q771))</f>
        <v/>
      </c>
      <c r="O771">
        <f>IF($Q771="","",INDEX(상세표[주말·휴일 포함],$Q771)&amp;"")</f>
        <v/>
      </c>
      <c r="P771">
        <f>IF($Q771="","",INDEX(상세표[월 넘김 포함],$Q771)&amp;"")</f>
        <v/>
      </c>
      <c r="Q771" s="4">
        <f>IFERROR(MATCH(766,상세표[연속순번],0),"")</f>
        <v/>
      </c>
    </row>
    <row r="772">
      <c r="A772">
        <f>IF($Q772="","",INDEX(상세표[부서],$Q772)&amp;"")</f>
        <v/>
      </c>
      <c r="B772">
        <f>IF($Q772="","",INDEX(상세표[사번],$Q772)&amp;"")</f>
        <v/>
      </c>
      <c r="C772">
        <f>IF($Q772="","",INDEX(상세표[성명],$Q772)&amp;"")</f>
        <v/>
      </c>
      <c r="D772">
        <f>IF($Q772="","",INDEX(상세표[직위],$Q772)&amp;"")</f>
        <v/>
      </c>
      <c r="E772">
        <f>IF($Q772="","",IF(ISNUMBER(INDEX(상세표[근무일자],$Q772)),TEXT(INDEX(상세표[근무일자],$Q772),"yyyy-mm-dd"),INDEX(상세표[근무일자],$Q772)&amp;""))</f>
        <v/>
      </c>
      <c r="F772">
        <f>IF($Q772="","",IF(ISNUMBER(INDEX(상세표[시작],$Q772)),TEXT(INDEX(상세표[시작],$Q772),"yyyy-mm-dd hh:mm"),INDEX(상세표[시작],$Q772)&amp;""))</f>
        <v/>
      </c>
      <c r="G772">
        <f>IF($Q772="","",IF(ISNUMBER(INDEX(상세표[블록종료],$Q772)),TEXT(INDEX(상세표[블록종료],$Q772),"yyyy-mm-dd hh:mm"),INDEX(상세표[블록종료],$Q772)&amp;""))</f>
        <v/>
      </c>
      <c r="H772">
        <f>IF($Q772="","",CHOOSE(WEEKDAY(INDEX(상세표[시작],$Q772)),"일","월","화","수","목","금","토"))</f>
        <v/>
      </c>
      <c r="I772" s="20">
        <f>IF($Q772="","",INDEX(상세표[연속 시간],$Q772))</f>
        <v/>
      </c>
      <c r="J772">
        <f>IF($Q772="","",INDEX(상세표[기록 수],$Q772))</f>
        <v/>
      </c>
      <c r="K772" s="20">
        <f>IF($Q772="","",INDEX(상세표[블록 06~07시],$Q772))</f>
        <v/>
      </c>
      <c r="L772" s="20">
        <f>IF($Q772="","",INDEX(상세표[블록 07~18시],$Q772))</f>
        <v/>
      </c>
      <c r="M772" s="20">
        <f>IF($Q772="","",INDEX(상세표[블록 18~22시],$Q772))</f>
        <v/>
      </c>
      <c r="N772" s="20">
        <f>IF($Q772="","",INDEX(상세표[블록 22~06시],$Q772))</f>
        <v/>
      </c>
      <c r="O772">
        <f>IF($Q772="","",INDEX(상세표[주말·휴일 포함],$Q772)&amp;"")</f>
        <v/>
      </c>
      <c r="P772">
        <f>IF($Q772="","",INDEX(상세표[월 넘김 포함],$Q772)&amp;"")</f>
        <v/>
      </c>
      <c r="Q772" s="4">
        <f>IFERROR(MATCH(767,상세표[연속순번],0),"")</f>
        <v/>
      </c>
    </row>
    <row r="773">
      <c r="A773">
        <f>IF($Q773="","",INDEX(상세표[부서],$Q773)&amp;"")</f>
        <v/>
      </c>
      <c r="B773">
        <f>IF($Q773="","",INDEX(상세표[사번],$Q773)&amp;"")</f>
        <v/>
      </c>
      <c r="C773">
        <f>IF($Q773="","",INDEX(상세표[성명],$Q773)&amp;"")</f>
        <v/>
      </c>
      <c r="D773">
        <f>IF($Q773="","",INDEX(상세표[직위],$Q773)&amp;"")</f>
        <v/>
      </c>
      <c r="E773">
        <f>IF($Q773="","",IF(ISNUMBER(INDEX(상세표[근무일자],$Q773)),TEXT(INDEX(상세표[근무일자],$Q773),"yyyy-mm-dd"),INDEX(상세표[근무일자],$Q773)&amp;""))</f>
        <v/>
      </c>
      <c r="F773">
        <f>IF($Q773="","",IF(ISNUMBER(INDEX(상세표[시작],$Q773)),TEXT(INDEX(상세표[시작],$Q773),"yyyy-mm-dd hh:mm"),INDEX(상세표[시작],$Q773)&amp;""))</f>
        <v/>
      </c>
      <c r="G773">
        <f>IF($Q773="","",IF(ISNUMBER(INDEX(상세표[블록종료],$Q773)),TEXT(INDEX(상세표[블록종료],$Q773),"yyyy-mm-dd hh:mm"),INDEX(상세표[블록종료],$Q773)&amp;""))</f>
        <v/>
      </c>
      <c r="H773">
        <f>IF($Q773="","",CHOOSE(WEEKDAY(INDEX(상세표[시작],$Q773)),"일","월","화","수","목","금","토"))</f>
        <v/>
      </c>
      <c r="I773" s="20">
        <f>IF($Q773="","",INDEX(상세표[연속 시간],$Q773))</f>
        <v/>
      </c>
      <c r="J773">
        <f>IF($Q773="","",INDEX(상세표[기록 수],$Q773))</f>
        <v/>
      </c>
      <c r="K773" s="20">
        <f>IF($Q773="","",INDEX(상세표[블록 06~07시],$Q773))</f>
        <v/>
      </c>
      <c r="L773" s="20">
        <f>IF($Q773="","",INDEX(상세표[블록 07~18시],$Q773))</f>
        <v/>
      </c>
      <c r="M773" s="20">
        <f>IF($Q773="","",INDEX(상세표[블록 18~22시],$Q773))</f>
        <v/>
      </c>
      <c r="N773" s="20">
        <f>IF($Q773="","",INDEX(상세표[블록 22~06시],$Q773))</f>
        <v/>
      </c>
      <c r="O773">
        <f>IF($Q773="","",INDEX(상세표[주말·휴일 포함],$Q773)&amp;"")</f>
        <v/>
      </c>
      <c r="P773">
        <f>IF($Q773="","",INDEX(상세표[월 넘김 포함],$Q773)&amp;"")</f>
        <v/>
      </c>
      <c r="Q773" s="4">
        <f>IFERROR(MATCH(768,상세표[연속순번],0),"")</f>
        <v/>
      </c>
    </row>
    <row r="774">
      <c r="A774">
        <f>IF($Q774="","",INDEX(상세표[부서],$Q774)&amp;"")</f>
        <v/>
      </c>
      <c r="B774">
        <f>IF($Q774="","",INDEX(상세표[사번],$Q774)&amp;"")</f>
        <v/>
      </c>
      <c r="C774">
        <f>IF($Q774="","",INDEX(상세표[성명],$Q774)&amp;"")</f>
        <v/>
      </c>
      <c r="D774">
        <f>IF($Q774="","",INDEX(상세표[직위],$Q774)&amp;"")</f>
        <v/>
      </c>
      <c r="E774">
        <f>IF($Q774="","",IF(ISNUMBER(INDEX(상세표[근무일자],$Q774)),TEXT(INDEX(상세표[근무일자],$Q774),"yyyy-mm-dd"),INDEX(상세표[근무일자],$Q774)&amp;""))</f>
        <v/>
      </c>
      <c r="F774">
        <f>IF($Q774="","",IF(ISNUMBER(INDEX(상세표[시작],$Q774)),TEXT(INDEX(상세표[시작],$Q774),"yyyy-mm-dd hh:mm"),INDEX(상세표[시작],$Q774)&amp;""))</f>
        <v/>
      </c>
      <c r="G774">
        <f>IF($Q774="","",IF(ISNUMBER(INDEX(상세표[블록종료],$Q774)),TEXT(INDEX(상세표[블록종료],$Q774),"yyyy-mm-dd hh:mm"),INDEX(상세표[블록종료],$Q774)&amp;""))</f>
        <v/>
      </c>
      <c r="H774">
        <f>IF($Q774="","",CHOOSE(WEEKDAY(INDEX(상세표[시작],$Q774)),"일","월","화","수","목","금","토"))</f>
        <v/>
      </c>
      <c r="I774" s="20">
        <f>IF($Q774="","",INDEX(상세표[연속 시간],$Q774))</f>
        <v/>
      </c>
      <c r="J774">
        <f>IF($Q774="","",INDEX(상세표[기록 수],$Q774))</f>
        <v/>
      </c>
      <c r="K774" s="20">
        <f>IF($Q774="","",INDEX(상세표[블록 06~07시],$Q774))</f>
        <v/>
      </c>
      <c r="L774" s="20">
        <f>IF($Q774="","",INDEX(상세표[블록 07~18시],$Q774))</f>
        <v/>
      </c>
      <c r="M774" s="20">
        <f>IF($Q774="","",INDEX(상세표[블록 18~22시],$Q774))</f>
        <v/>
      </c>
      <c r="N774" s="20">
        <f>IF($Q774="","",INDEX(상세표[블록 22~06시],$Q774))</f>
        <v/>
      </c>
      <c r="O774">
        <f>IF($Q774="","",INDEX(상세표[주말·휴일 포함],$Q774)&amp;"")</f>
        <v/>
      </c>
      <c r="P774">
        <f>IF($Q774="","",INDEX(상세표[월 넘김 포함],$Q774)&amp;"")</f>
        <v/>
      </c>
      <c r="Q774" s="4">
        <f>IFERROR(MATCH(769,상세표[연속순번],0),"")</f>
        <v/>
      </c>
    </row>
    <row r="775">
      <c r="A775">
        <f>IF($Q775="","",INDEX(상세표[부서],$Q775)&amp;"")</f>
        <v/>
      </c>
      <c r="B775">
        <f>IF($Q775="","",INDEX(상세표[사번],$Q775)&amp;"")</f>
        <v/>
      </c>
      <c r="C775">
        <f>IF($Q775="","",INDEX(상세표[성명],$Q775)&amp;"")</f>
        <v/>
      </c>
      <c r="D775">
        <f>IF($Q775="","",INDEX(상세표[직위],$Q775)&amp;"")</f>
        <v/>
      </c>
      <c r="E775">
        <f>IF($Q775="","",IF(ISNUMBER(INDEX(상세표[근무일자],$Q775)),TEXT(INDEX(상세표[근무일자],$Q775),"yyyy-mm-dd"),INDEX(상세표[근무일자],$Q775)&amp;""))</f>
        <v/>
      </c>
      <c r="F775">
        <f>IF($Q775="","",IF(ISNUMBER(INDEX(상세표[시작],$Q775)),TEXT(INDEX(상세표[시작],$Q775),"yyyy-mm-dd hh:mm"),INDEX(상세표[시작],$Q775)&amp;""))</f>
        <v/>
      </c>
      <c r="G775">
        <f>IF($Q775="","",IF(ISNUMBER(INDEX(상세표[블록종료],$Q775)),TEXT(INDEX(상세표[블록종료],$Q775),"yyyy-mm-dd hh:mm"),INDEX(상세표[블록종료],$Q775)&amp;""))</f>
        <v/>
      </c>
      <c r="H775">
        <f>IF($Q775="","",CHOOSE(WEEKDAY(INDEX(상세표[시작],$Q775)),"일","월","화","수","목","금","토"))</f>
        <v/>
      </c>
      <c r="I775" s="20">
        <f>IF($Q775="","",INDEX(상세표[연속 시간],$Q775))</f>
        <v/>
      </c>
      <c r="J775">
        <f>IF($Q775="","",INDEX(상세표[기록 수],$Q775))</f>
        <v/>
      </c>
      <c r="K775" s="20">
        <f>IF($Q775="","",INDEX(상세표[블록 06~07시],$Q775))</f>
        <v/>
      </c>
      <c r="L775" s="20">
        <f>IF($Q775="","",INDEX(상세표[블록 07~18시],$Q775))</f>
        <v/>
      </c>
      <c r="M775" s="20">
        <f>IF($Q775="","",INDEX(상세표[블록 18~22시],$Q775))</f>
        <v/>
      </c>
      <c r="N775" s="20">
        <f>IF($Q775="","",INDEX(상세표[블록 22~06시],$Q775))</f>
        <v/>
      </c>
      <c r="O775">
        <f>IF($Q775="","",INDEX(상세표[주말·휴일 포함],$Q775)&amp;"")</f>
        <v/>
      </c>
      <c r="P775">
        <f>IF($Q775="","",INDEX(상세표[월 넘김 포함],$Q775)&amp;"")</f>
        <v/>
      </c>
      <c r="Q775" s="4">
        <f>IFERROR(MATCH(770,상세표[연속순번],0),"")</f>
        <v/>
      </c>
    </row>
    <row r="776">
      <c r="A776">
        <f>IF($Q776="","",INDEX(상세표[부서],$Q776)&amp;"")</f>
        <v/>
      </c>
      <c r="B776">
        <f>IF($Q776="","",INDEX(상세표[사번],$Q776)&amp;"")</f>
        <v/>
      </c>
      <c r="C776">
        <f>IF($Q776="","",INDEX(상세표[성명],$Q776)&amp;"")</f>
        <v/>
      </c>
      <c r="D776">
        <f>IF($Q776="","",INDEX(상세표[직위],$Q776)&amp;"")</f>
        <v/>
      </c>
      <c r="E776">
        <f>IF($Q776="","",IF(ISNUMBER(INDEX(상세표[근무일자],$Q776)),TEXT(INDEX(상세표[근무일자],$Q776),"yyyy-mm-dd"),INDEX(상세표[근무일자],$Q776)&amp;""))</f>
        <v/>
      </c>
      <c r="F776">
        <f>IF($Q776="","",IF(ISNUMBER(INDEX(상세표[시작],$Q776)),TEXT(INDEX(상세표[시작],$Q776),"yyyy-mm-dd hh:mm"),INDEX(상세표[시작],$Q776)&amp;""))</f>
        <v/>
      </c>
      <c r="G776">
        <f>IF($Q776="","",IF(ISNUMBER(INDEX(상세표[블록종료],$Q776)),TEXT(INDEX(상세표[블록종료],$Q776),"yyyy-mm-dd hh:mm"),INDEX(상세표[블록종료],$Q776)&amp;""))</f>
        <v/>
      </c>
      <c r="H776">
        <f>IF($Q776="","",CHOOSE(WEEKDAY(INDEX(상세표[시작],$Q776)),"일","월","화","수","목","금","토"))</f>
        <v/>
      </c>
      <c r="I776" s="20">
        <f>IF($Q776="","",INDEX(상세표[연속 시간],$Q776))</f>
        <v/>
      </c>
      <c r="J776">
        <f>IF($Q776="","",INDEX(상세표[기록 수],$Q776))</f>
        <v/>
      </c>
      <c r="K776" s="20">
        <f>IF($Q776="","",INDEX(상세표[블록 06~07시],$Q776))</f>
        <v/>
      </c>
      <c r="L776" s="20">
        <f>IF($Q776="","",INDEX(상세표[블록 07~18시],$Q776))</f>
        <v/>
      </c>
      <c r="M776" s="20">
        <f>IF($Q776="","",INDEX(상세표[블록 18~22시],$Q776))</f>
        <v/>
      </c>
      <c r="N776" s="20">
        <f>IF($Q776="","",INDEX(상세표[블록 22~06시],$Q776))</f>
        <v/>
      </c>
      <c r="O776">
        <f>IF($Q776="","",INDEX(상세표[주말·휴일 포함],$Q776)&amp;"")</f>
        <v/>
      </c>
      <c r="P776">
        <f>IF($Q776="","",INDEX(상세표[월 넘김 포함],$Q776)&amp;"")</f>
        <v/>
      </c>
      <c r="Q776" s="4">
        <f>IFERROR(MATCH(771,상세표[연속순번],0),"")</f>
        <v/>
      </c>
    </row>
    <row r="777">
      <c r="A777">
        <f>IF($Q777="","",INDEX(상세표[부서],$Q777)&amp;"")</f>
        <v/>
      </c>
      <c r="B777">
        <f>IF($Q777="","",INDEX(상세표[사번],$Q777)&amp;"")</f>
        <v/>
      </c>
      <c r="C777">
        <f>IF($Q777="","",INDEX(상세표[성명],$Q777)&amp;"")</f>
        <v/>
      </c>
      <c r="D777">
        <f>IF($Q777="","",INDEX(상세표[직위],$Q777)&amp;"")</f>
        <v/>
      </c>
      <c r="E777">
        <f>IF($Q777="","",IF(ISNUMBER(INDEX(상세표[근무일자],$Q777)),TEXT(INDEX(상세표[근무일자],$Q777),"yyyy-mm-dd"),INDEX(상세표[근무일자],$Q777)&amp;""))</f>
        <v/>
      </c>
      <c r="F777">
        <f>IF($Q777="","",IF(ISNUMBER(INDEX(상세표[시작],$Q777)),TEXT(INDEX(상세표[시작],$Q777),"yyyy-mm-dd hh:mm"),INDEX(상세표[시작],$Q777)&amp;""))</f>
        <v/>
      </c>
      <c r="G777">
        <f>IF($Q777="","",IF(ISNUMBER(INDEX(상세표[블록종료],$Q777)),TEXT(INDEX(상세표[블록종료],$Q777),"yyyy-mm-dd hh:mm"),INDEX(상세표[블록종료],$Q777)&amp;""))</f>
        <v/>
      </c>
      <c r="H777">
        <f>IF($Q777="","",CHOOSE(WEEKDAY(INDEX(상세표[시작],$Q777)),"일","월","화","수","목","금","토"))</f>
        <v/>
      </c>
      <c r="I777" s="20">
        <f>IF($Q777="","",INDEX(상세표[연속 시간],$Q777))</f>
        <v/>
      </c>
      <c r="J777">
        <f>IF($Q777="","",INDEX(상세표[기록 수],$Q777))</f>
        <v/>
      </c>
      <c r="K777" s="20">
        <f>IF($Q777="","",INDEX(상세표[블록 06~07시],$Q777))</f>
        <v/>
      </c>
      <c r="L777" s="20">
        <f>IF($Q777="","",INDEX(상세표[블록 07~18시],$Q777))</f>
        <v/>
      </c>
      <c r="M777" s="20">
        <f>IF($Q777="","",INDEX(상세표[블록 18~22시],$Q777))</f>
        <v/>
      </c>
      <c r="N777" s="20">
        <f>IF($Q777="","",INDEX(상세표[블록 22~06시],$Q777))</f>
        <v/>
      </c>
      <c r="O777">
        <f>IF($Q777="","",INDEX(상세표[주말·휴일 포함],$Q777)&amp;"")</f>
        <v/>
      </c>
      <c r="P777">
        <f>IF($Q777="","",INDEX(상세표[월 넘김 포함],$Q777)&amp;"")</f>
        <v/>
      </c>
      <c r="Q777" s="4">
        <f>IFERROR(MATCH(772,상세표[연속순번],0),"")</f>
        <v/>
      </c>
    </row>
    <row r="778">
      <c r="A778">
        <f>IF($Q778="","",INDEX(상세표[부서],$Q778)&amp;"")</f>
        <v/>
      </c>
      <c r="B778">
        <f>IF($Q778="","",INDEX(상세표[사번],$Q778)&amp;"")</f>
        <v/>
      </c>
      <c r="C778">
        <f>IF($Q778="","",INDEX(상세표[성명],$Q778)&amp;"")</f>
        <v/>
      </c>
      <c r="D778">
        <f>IF($Q778="","",INDEX(상세표[직위],$Q778)&amp;"")</f>
        <v/>
      </c>
      <c r="E778">
        <f>IF($Q778="","",IF(ISNUMBER(INDEX(상세표[근무일자],$Q778)),TEXT(INDEX(상세표[근무일자],$Q778),"yyyy-mm-dd"),INDEX(상세표[근무일자],$Q778)&amp;""))</f>
        <v/>
      </c>
      <c r="F778">
        <f>IF($Q778="","",IF(ISNUMBER(INDEX(상세표[시작],$Q778)),TEXT(INDEX(상세표[시작],$Q778),"yyyy-mm-dd hh:mm"),INDEX(상세표[시작],$Q778)&amp;""))</f>
        <v/>
      </c>
      <c r="G778">
        <f>IF($Q778="","",IF(ISNUMBER(INDEX(상세표[블록종료],$Q778)),TEXT(INDEX(상세표[블록종료],$Q778),"yyyy-mm-dd hh:mm"),INDEX(상세표[블록종료],$Q778)&amp;""))</f>
        <v/>
      </c>
      <c r="H778">
        <f>IF($Q778="","",CHOOSE(WEEKDAY(INDEX(상세표[시작],$Q778)),"일","월","화","수","목","금","토"))</f>
        <v/>
      </c>
      <c r="I778" s="20">
        <f>IF($Q778="","",INDEX(상세표[연속 시간],$Q778))</f>
        <v/>
      </c>
      <c r="J778">
        <f>IF($Q778="","",INDEX(상세표[기록 수],$Q778))</f>
        <v/>
      </c>
      <c r="K778" s="20">
        <f>IF($Q778="","",INDEX(상세표[블록 06~07시],$Q778))</f>
        <v/>
      </c>
      <c r="L778" s="20">
        <f>IF($Q778="","",INDEX(상세표[블록 07~18시],$Q778))</f>
        <v/>
      </c>
      <c r="M778" s="20">
        <f>IF($Q778="","",INDEX(상세표[블록 18~22시],$Q778))</f>
        <v/>
      </c>
      <c r="N778" s="20">
        <f>IF($Q778="","",INDEX(상세표[블록 22~06시],$Q778))</f>
        <v/>
      </c>
      <c r="O778">
        <f>IF($Q778="","",INDEX(상세표[주말·휴일 포함],$Q778)&amp;"")</f>
        <v/>
      </c>
      <c r="P778">
        <f>IF($Q778="","",INDEX(상세표[월 넘김 포함],$Q778)&amp;"")</f>
        <v/>
      </c>
      <c r="Q778" s="4">
        <f>IFERROR(MATCH(773,상세표[연속순번],0),"")</f>
        <v/>
      </c>
    </row>
    <row r="779">
      <c r="A779">
        <f>IF($Q779="","",INDEX(상세표[부서],$Q779)&amp;"")</f>
        <v/>
      </c>
      <c r="B779">
        <f>IF($Q779="","",INDEX(상세표[사번],$Q779)&amp;"")</f>
        <v/>
      </c>
      <c r="C779">
        <f>IF($Q779="","",INDEX(상세표[성명],$Q779)&amp;"")</f>
        <v/>
      </c>
      <c r="D779">
        <f>IF($Q779="","",INDEX(상세표[직위],$Q779)&amp;"")</f>
        <v/>
      </c>
      <c r="E779">
        <f>IF($Q779="","",IF(ISNUMBER(INDEX(상세표[근무일자],$Q779)),TEXT(INDEX(상세표[근무일자],$Q779),"yyyy-mm-dd"),INDEX(상세표[근무일자],$Q779)&amp;""))</f>
        <v/>
      </c>
      <c r="F779">
        <f>IF($Q779="","",IF(ISNUMBER(INDEX(상세표[시작],$Q779)),TEXT(INDEX(상세표[시작],$Q779),"yyyy-mm-dd hh:mm"),INDEX(상세표[시작],$Q779)&amp;""))</f>
        <v/>
      </c>
      <c r="G779">
        <f>IF($Q779="","",IF(ISNUMBER(INDEX(상세표[블록종료],$Q779)),TEXT(INDEX(상세표[블록종료],$Q779),"yyyy-mm-dd hh:mm"),INDEX(상세표[블록종료],$Q779)&amp;""))</f>
        <v/>
      </c>
      <c r="H779">
        <f>IF($Q779="","",CHOOSE(WEEKDAY(INDEX(상세표[시작],$Q779)),"일","월","화","수","목","금","토"))</f>
        <v/>
      </c>
      <c r="I779" s="20">
        <f>IF($Q779="","",INDEX(상세표[연속 시간],$Q779))</f>
        <v/>
      </c>
      <c r="J779">
        <f>IF($Q779="","",INDEX(상세표[기록 수],$Q779))</f>
        <v/>
      </c>
      <c r="K779" s="20">
        <f>IF($Q779="","",INDEX(상세표[블록 06~07시],$Q779))</f>
        <v/>
      </c>
      <c r="L779" s="20">
        <f>IF($Q779="","",INDEX(상세표[블록 07~18시],$Q779))</f>
        <v/>
      </c>
      <c r="M779" s="20">
        <f>IF($Q779="","",INDEX(상세표[블록 18~22시],$Q779))</f>
        <v/>
      </c>
      <c r="N779" s="20">
        <f>IF($Q779="","",INDEX(상세표[블록 22~06시],$Q779))</f>
        <v/>
      </c>
      <c r="O779">
        <f>IF($Q779="","",INDEX(상세표[주말·휴일 포함],$Q779)&amp;"")</f>
        <v/>
      </c>
      <c r="P779">
        <f>IF($Q779="","",INDEX(상세표[월 넘김 포함],$Q779)&amp;"")</f>
        <v/>
      </c>
      <c r="Q779" s="4">
        <f>IFERROR(MATCH(774,상세표[연속순번],0),"")</f>
        <v/>
      </c>
    </row>
    <row r="780">
      <c r="A780">
        <f>IF($Q780="","",INDEX(상세표[부서],$Q780)&amp;"")</f>
        <v/>
      </c>
      <c r="B780">
        <f>IF($Q780="","",INDEX(상세표[사번],$Q780)&amp;"")</f>
        <v/>
      </c>
      <c r="C780">
        <f>IF($Q780="","",INDEX(상세표[성명],$Q780)&amp;"")</f>
        <v/>
      </c>
      <c r="D780">
        <f>IF($Q780="","",INDEX(상세표[직위],$Q780)&amp;"")</f>
        <v/>
      </c>
      <c r="E780">
        <f>IF($Q780="","",IF(ISNUMBER(INDEX(상세표[근무일자],$Q780)),TEXT(INDEX(상세표[근무일자],$Q780),"yyyy-mm-dd"),INDEX(상세표[근무일자],$Q780)&amp;""))</f>
        <v/>
      </c>
      <c r="F780">
        <f>IF($Q780="","",IF(ISNUMBER(INDEX(상세표[시작],$Q780)),TEXT(INDEX(상세표[시작],$Q780),"yyyy-mm-dd hh:mm"),INDEX(상세표[시작],$Q780)&amp;""))</f>
        <v/>
      </c>
      <c r="G780">
        <f>IF($Q780="","",IF(ISNUMBER(INDEX(상세표[블록종료],$Q780)),TEXT(INDEX(상세표[블록종료],$Q780),"yyyy-mm-dd hh:mm"),INDEX(상세표[블록종료],$Q780)&amp;""))</f>
        <v/>
      </c>
      <c r="H780">
        <f>IF($Q780="","",CHOOSE(WEEKDAY(INDEX(상세표[시작],$Q780)),"일","월","화","수","목","금","토"))</f>
        <v/>
      </c>
      <c r="I780" s="20">
        <f>IF($Q780="","",INDEX(상세표[연속 시간],$Q780))</f>
        <v/>
      </c>
      <c r="J780">
        <f>IF($Q780="","",INDEX(상세표[기록 수],$Q780))</f>
        <v/>
      </c>
      <c r="K780" s="20">
        <f>IF($Q780="","",INDEX(상세표[블록 06~07시],$Q780))</f>
        <v/>
      </c>
      <c r="L780" s="20">
        <f>IF($Q780="","",INDEX(상세표[블록 07~18시],$Q780))</f>
        <v/>
      </c>
      <c r="M780" s="20">
        <f>IF($Q780="","",INDEX(상세표[블록 18~22시],$Q780))</f>
        <v/>
      </c>
      <c r="N780" s="20">
        <f>IF($Q780="","",INDEX(상세표[블록 22~06시],$Q780))</f>
        <v/>
      </c>
      <c r="O780">
        <f>IF($Q780="","",INDEX(상세표[주말·휴일 포함],$Q780)&amp;"")</f>
        <v/>
      </c>
      <c r="P780">
        <f>IF($Q780="","",INDEX(상세표[월 넘김 포함],$Q780)&amp;"")</f>
        <v/>
      </c>
      <c r="Q780" s="4">
        <f>IFERROR(MATCH(775,상세표[연속순번],0),"")</f>
        <v/>
      </c>
    </row>
    <row r="781">
      <c r="A781">
        <f>IF($Q781="","",INDEX(상세표[부서],$Q781)&amp;"")</f>
        <v/>
      </c>
      <c r="B781">
        <f>IF($Q781="","",INDEX(상세표[사번],$Q781)&amp;"")</f>
        <v/>
      </c>
      <c r="C781">
        <f>IF($Q781="","",INDEX(상세표[성명],$Q781)&amp;"")</f>
        <v/>
      </c>
      <c r="D781">
        <f>IF($Q781="","",INDEX(상세표[직위],$Q781)&amp;"")</f>
        <v/>
      </c>
      <c r="E781">
        <f>IF($Q781="","",IF(ISNUMBER(INDEX(상세표[근무일자],$Q781)),TEXT(INDEX(상세표[근무일자],$Q781),"yyyy-mm-dd"),INDEX(상세표[근무일자],$Q781)&amp;""))</f>
        <v/>
      </c>
      <c r="F781">
        <f>IF($Q781="","",IF(ISNUMBER(INDEX(상세표[시작],$Q781)),TEXT(INDEX(상세표[시작],$Q781),"yyyy-mm-dd hh:mm"),INDEX(상세표[시작],$Q781)&amp;""))</f>
        <v/>
      </c>
      <c r="G781">
        <f>IF($Q781="","",IF(ISNUMBER(INDEX(상세표[블록종료],$Q781)),TEXT(INDEX(상세표[블록종료],$Q781),"yyyy-mm-dd hh:mm"),INDEX(상세표[블록종료],$Q781)&amp;""))</f>
        <v/>
      </c>
      <c r="H781">
        <f>IF($Q781="","",CHOOSE(WEEKDAY(INDEX(상세표[시작],$Q781)),"일","월","화","수","목","금","토"))</f>
        <v/>
      </c>
      <c r="I781" s="20">
        <f>IF($Q781="","",INDEX(상세표[연속 시간],$Q781))</f>
        <v/>
      </c>
      <c r="J781">
        <f>IF($Q781="","",INDEX(상세표[기록 수],$Q781))</f>
        <v/>
      </c>
      <c r="K781" s="20">
        <f>IF($Q781="","",INDEX(상세표[블록 06~07시],$Q781))</f>
        <v/>
      </c>
      <c r="L781" s="20">
        <f>IF($Q781="","",INDEX(상세표[블록 07~18시],$Q781))</f>
        <v/>
      </c>
      <c r="M781" s="20">
        <f>IF($Q781="","",INDEX(상세표[블록 18~22시],$Q781))</f>
        <v/>
      </c>
      <c r="N781" s="20">
        <f>IF($Q781="","",INDEX(상세표[블록 22~06시],$Q781))</f>
        <v/>
      </c>
      <c r="O781">
        <f>IF($Q781="","",INDEX(상세표[주말·휴일 포함],$Q781)&amp;"")</f>
        <v/>
      </c>
      <c r="P781">
        <f>IF($Q781="","",INDEX(상세표[월 넘김 포함],$Q781)&amp;"")</f>
        <v/>
      </c>
      <c r="Q781" s="4">
        <f>IFERROR(MATCH(776,상세표[연속순번],0),"")</f>
        <v/>
      </c>
    </row>
    <row r="782">
      <c r="A782">
        <f>IF($Q782="","",INDEX(상세표[부서],$Q782)&amp;"")</f>
        <v/>
      </c>
      <c r="B782">
        <f>IF($Q782="","",INDEX(상세표[사번],$Q782)&amp;"")</f>
        <v/>
      </c>
      <c r="C782">
        <f>IF($Q782="","",INDEX(상세표[성명],$Q782)&amp;"")</f>
        <v/>
      </c>
      <c r="D782">
        <f>IF($Q782="","",INDEX(상세표[직위],$Q782)&amp;"")</f>
        <v/>
      </c>
      <c r="E782">
        <f>IF($Q782="","",IF(ISNUMBER(INDEX(상세표[근무일자],$Q782)),TEXT(INDEX(상세표[근무일자],$Q782),"yyyy-mm-dd"),INDEX(상세표[근무일자],$Q782)&amp;""))</f>
        <v/>
      </c>
      <c r="F782">
        <f>IF($Q782="","",IF(ISNUMBER(INDEX(상세표[시작],$Q782)),TEXT(INDEX(상세표[시작],$Q782),"yyyy-mm-dd hh:mm"),INDEX(상세표[시작],$Q782)&amp;""))</f>
        <v/>
      </c>
      <c r="G782">
        <f>IF($Q782="","",IF(ISNUMBER(INDEX(상세표[블록종료],$Q782)),TEXT(INDEX(상세표[블록종료],$Q782),"yyyy-mm-dd hh:mm"),INDEX(상세표[블록종료],$Q782)&amp;""))</f>
        <v/>
      </c>
      <c r="H782">
        <f>IF($Q782="","",CHOOSE(WEEKDAY(INDEX(상세표[시작],$Q782)),"일","월","화","수","목","금","토"))</f>
        <v/>
      </c>
      <c r="I782" s="20">
        <f>IF($Q782="","",INDEX(상세표[연속 시간],$Q782))</f>
        <v/>
      </c>
      <c r="J782">
        <f>IF($Q782="","",INDEX(상세표[기록 수],$Q782))</f>
        <v/>
      </c>
      <c r="K782" s="20">
        <f>IF($Q782="","",INDEX(상세표[블록 06~07시],$Q782))</f>
        <v/>
      </c>
      <c r="L782" s="20">
        <f>IF($Q782="","",INDEX(상세표[블록 07~18시],$Q782))</f>
        <v/>
      </c>
      <c r="M782" s="20">
        <f>IF($Q782="","",INDEX(상세표[블록 18~22시],$Q782))</f>
        <v/>
      </c>
      <c r="N782" s="20">
        <f>IF($Q782="","",INDEX(상세표[블록 22~06시],$Q782))</f>
        <v/>
      </c>
      <c r="O782">
        <f>IF($Q782="","",INDEX(상세표[주말·휴일 포함],$Q782)&amp;"")</f>
        <v/>
      </c>
      <c r="P782">
        <f>IF($Q782="","",INDEX(상세표[월 넘김 포함],$Q782)&amp;"")</f>
        <v/>
      </c>
      <c r="Q782" s="4">
        <f>IFERROR(MATCH(777,상세표[연속순번],0),"")</f>
        <v/>
      </c>
    </row>
    <row r="783">
      <c r="A783">
        <f>IF($Q783="","",INDEX(상세표[부서],$Q783)&amp;"")</f>
        <v/>
      </c>
      <c r="B783">
        <f>IF($Q783="","",INDEX(상세표[사번],$Q783)&amp;"")</f>
        <v/>
      </c>
      <c r="C783">
        <f>IF($Q783="","",INDEX(상세표[성명],$Q783)&amp;"")</f>
        <v/>
      </c>
      <c r="D783">
        <f>IF($Q783="","",INDEX(상세표[직위],$Q783)&amp;"")</f>
        <v/>
      </c>
      <c r="E783">
        <f>IF($Q783="","",IF(ISNUMBER(INDEX(상세표[근무일자],$Q783)),TEXT(INDEX(상세표[근무일자],$Q783),"yyyy-mm-dd"),INDEX(상세표[근무일자],$Q783)&amp;""))</f>
        <v/>
      </c>
      <c r="F783">
        <f>IF($Q783="","",IF(ISNUMBER(INDEX(상세표[시작],$Q783)),TEXT(INDEX(상세표[시작],$Q783),"yyyy-mm-dd hh:mm"),INDEX(상세표[시작],$Q783)&amp;""))</f>
        <v/>
      </c>
      <c r="G783">
        <f>IF($Q783="","",IF(ISNUMBER(INDEX(상세표[블록종료],$Q783)),TEXT(INDEX(상세표[블록종료],$Q783),"yyyy-mm-dd hh:mm"),INDEX(상세표[블록종료],$Q783)&amp;""))</f>
        <v/>
      </c>
      <c r="H783">
        <f>IF($Q783="","",CHOOSE(WEEKDAY(INDEX(상세표[시작],$Q783)),"일","월","화","수","목","금","토"))</f>
        <v/>
      </c>
      <c r="I783" s="20">
        <f>IF($Q783="","",INDEX(상세표[연속 시간],$Q783))</f>
        <v/>
      </c>
      <c r="J783">
        <f>IF($Q783="","",INDEX(상세표[기록 수],$Q783))</f>
        <v/>
      </c>
      <c r="K783" s="20">
        <f>IF($Q783="","",INDEX(상세표[블록 06~07시],$Q783))</f>
        <v/>
      </c>
      <c r="L783" s="20">
        <f>IF($Q783="","",INDEX(상세표[블록 07~18시],$Q783))</f>
        <v/>
      </c>
      <c r="M783" s="20">
        <f>IF($Q783="","",INDEX(상세표[블록 18~22시],$Q783))</f>
        <v/>
      </c>
      <c r="N783" s="20">
        <f>IF($Q783="","",INDEX(상세표[블록 22~06시],$Q783))</f>
        <v/>
      </c>
      <c r="O783">
        <f>IF($Q783="","",INDEX(상세표[주말·휴일 포함],$Q783)&amp;"")</f>
        <v/>
      </c>
      <c r="P783">
        <f>IF($Q783="","",INDEX(상세표[월 넘김 포함],$Q783)&amp;"")</f>
        <v/>
      </c>
      <c r="Q783" s="4">
        <f>IFERROR(MATCH(778,상세표[연속순번],0),"")</f>
        <v/>
      </c>
    </row>
    <row r="784">
      <c r="A784">
        <f>IF($Q784="","",INDEX(상세표[부서],$Q784)&amp;"")</f>
        <v/>
      </c>
      <c r="B784">
        <f>IF($Q784="","",INDEX(상세표[사번],$Q784)&amp;"")</f>
        <v/>
      </c>
      <c r="C784">
        <f>IF($Q784="","",INDEX(상세표[성명],$Q784)&amp;"")</f>
        <v/>
      </c>
      <c r="D784">
        <f>IF($Q784="","",INDEX(상세표[직위],$Q784)&amp;"")</f>
        <v/>
      </c>
      <c r="E784">
        <f>IF($Q784="","",IF(ISNUMBER(INDEX(상세표[근무일자],$Q784)),TEXT(INDEX(상세표[근무일자],$Q784),"yyyy-mm-dd"),INDEX(상세표[근무일자],$Q784)&amp;""))</f>
        <v/>
      </c>
      <c r="F784">
        <f>IF($Q784="","",IF(ISNUMBER(INDEX(상세표[시작],$Q784)),TEXT(INDEX(상세표[시작],$Q784),"yyyy-mm-dd hh:mm"),INDEX(상세표[시작],$Q784)&amp;""))</f>
        <v/>
      </c>
      <c r="G784">
        <f>IF($Q784="","",IF(ISNUMBER(INDEX(상세표[블록종료],$Q784)),TEXT(INDEX(상세표[블록종료],$Q784),"yyyy-mm-dd hh:mm"),INDEX(상세표[블록종료],$Q784)&amp;""))</f>
        <v/>
      </c>
      <c r="H784">
        <f>IF($Q784="","",CHOOSE(WEEKDAY(INDEX(상세표[시작],$Q784)),"일","월","화","수","목","금","토"))</f>
        <v/>
      </c>
      <c r="I784" s="20">
        <f>IF($Q784="","",INDEX(상세표[연속 시간],$Q784))</f>
        <v/>
      </c>
      <c r="J784">
        <f>IF($Q784="","",INDEX(상세표[기록 수],$Q784))</f>
        <v/>
      </c>
      <c r="K784" s="20">
        <f>IF($Q784="","",INDEX(상세표[블록 06~07시],$Q784))</f>
        <v/>
      </c>
      <c r="L784" s="20">
        <f>IF($Q784="","",INDEX(상세표[블록 07~18시],$Q784))</f>
        <v/>
      </c>
      <c r="M784" s="20">
        <f>IF($Q784="","",INDEX(상세표[블록 18~22시],$Q784))</f>
        <v/>
      </c>
      <c r="N784" s="20">
        <f>IF($Q784="","",INDEX(상세표[블록 22~06시],$Q784))</f>
        <v/>
      </c>
      <c r="O784">
        <f>IF($Q784="","",INDEX(상세표[주말·휴일 포함],$Q784)&amp;"")</f>
        <v/>
      </c>
      <c r="P784">
        <f>IF($Q784="","",INDEX(상세표[월 넘김 포함],$Q784)&amp;"")</f>
        <v/>
      </c>
      <c r="Q784" s="4">
        <f>IFERROR(MATCH(779,상세표[연속순번],0),"")</f>
        <v/>
      </c>
    </row>
    <row r="785">
      <c r="A785">
        <f>IF($Q785="","",INDEX(상세표[부서],$Q785)&amp;"")</f>
        <v/>
      </c>
      <c r="B785">
        <f>IF($Q785="","",INDEX(상세표[사번],$Q785)&amp;"")</f>
        <v/>
      </c>
      <c r="C785">
        <f>IF($Q785="","",INDEX(상세표[성명],$Q785)&amp;"")</f>
        <v/>
      </c>
      <c r="D785">
        <f>IF($Q785="","",INDEX(상세표[직위],$Q785)&amp;"")</f>
        <v/>
      </c>
      <c r="E785">
        <f>IF($Q785="","",IF(ISNUMBER(INDEX(상세표[근무일자],$Q785)),TEXT(INDEX(상세표[근무일자],$Q785),"yyyy-mm-dd"),INDEX(상세표[근무일자],$Q785)&amp;""))</f>
        <v/>
      </c>
      <c r="F785">
        <f>IF($Q785="","",IF(ISNUMBER(INDEX(상세표[시작],$Q785)),TEXT(INDEX(상세표[시작],$Q785),"yyyy-mm-dd hh:mm"),INDEX(상세표[시작],$Q785)&amp;""))</f>
        <v/>
      </c>
      <c r="G785">
        <f>IF($Q785="","",IF(ISNUMBER(INDEX(상세표[블록종료],$Q785)),TEXT(INDEX(상세표[블록종료],$Q785),"yyyy-mm-dd hh:mm"),INDEX(상세표[블록종료],$Q785)&amp;""))</f>
        <v/>
      </c>
      <c r="H785">
        <f>IF($Q785="","",CHOOSE(WEEKDAY(INDEX(상세표[시작],$Q785)),"일","월","화","수","목","금","토"))</f>
        <v/>
      </c>
      <c r="I785" s="20">
        <f>IF($Q785="","",INDEX(상세표[연속 시간],$Q785))</f>
        <v/>
      </c>
      <c r="J785">
        <f>IF($Q785="","",INDEX(상세표[기록 수],$Q785))</f>
        <v/>
      </c>
      <c r="K785" s="20">
        <f>IF($Q785="","",INDEX(상세표[블록 06~07시],$Q785))</f>
        <v/>
      </c>
      <c r="L785" s="20">
        <f>IF($Q785="","",INDEX(상세표[블록 07~18시],$Q785))</f>
        <v/>
      </c>
      <c r="M785" s="20">
        <f>IF($Q785="","",INDEX(상세표[블록 18~22시],$Q785))</f>
        <v/>
      </c>
      <c r="N785" s="20">
        <f>IF($Q785="","",INDEX(상세표[블록 22~06시],$Q785))</f>
        <v/>
      </c>
      <c r="O785">
        <f>IF($Q785="","",INDEX(상세표[주말·휴일 포함],$Q785)&amp;"")</f>
        <v/>
      </c>
      <c r="P785">
        <f>IF($Q785="","",INDEX(상세표[월 넘김 포함],$Q785)&amp;"")</f>
        <v/>
      </c>
      <c r="Q785" s="4">
        <f>IFERROR(MATCH(780,상세표[연속순번],0),"")</f>
        <v/>
      </c>
    </row>
    <row r="786">
      <c r="A786">
        <f>IF($Q786="","",INDEX(상세표[부서],$Q786)&amp;"")</f>
        <v/>
      </c>
      <c r="B786">
        <f>IF($Q786="","",INDEX(상세표[사번],$Q786)&amp;"")</f>
        <v/>
      </c>
      <c r="C786">
        <f>IF($Q786="","",INDEX(상세표[성명],$Q786)&amp;"")</f>
        <v/>
      </c>
      <c r="D786">
        <f>IF($Q786="","",INDEX(상세표[직위],$Q786)&amp;"")</f>
        <v/>
      </c>
      <c r="E786">
        <f>IF($Q786="","",IF(ISNUMBER(INDEX(상세표[근무일자],$Q786)),TEXT(INDEX(상세표[근무일자],$Q786),"yyyy-mm-dd"),INDEX(상세표[근무일자],$Q786)&amp;""))</f>
        <v/>
      </c>
      <c r="F786">
        <f>IF($Q786="","",IF(ISNUMBER(INDEX(상세표[시작],$Q786)),TEXT(INDEX(상세표[시작],$Q786),"yyyy-mm-dd hh:mm"),INDEX(상세표[시작],$Q786)&amp;""))</f>
        <v/>
      </c>
      <c r="G786">
        <f>IF($Q786="","",IF(ISNUMBER(INDEX(상세표[블록종료],$Q786)),TEXT(INDEX(상세표[블록종료],$Q786),"yyyy-mm-dd hh:mm"),INDEX(상세표[블록종료],$Q786)&amp;""))</f>
        <v/>
      </c>
      <c r="H786">
        <f>IF($Q786="","",CHOOSE(WEEKDAY(INDEX(상세표[시작],$Q786)),"일","월","화","수","목","금","토"))</f>
        <v/>
      </c>
      <c r="I786" s="20">
        <f>IF($Q786="","",INDEX(상세표[연속 시간],$Q786))</f>
        <v/>
      </c>
      <c r="J786">
        <f>IF($Q786="","",INDEX(상세표[기록 수],$Q786))</f>
        <v/>
      </c>
      <c r="K786" s="20">
        <f>IF($Q786="","",INDEX(상세표[블록 06~07시],$Q786))</f>
        <v/>
      </c>
      <c r="L786" s="20">
        <f>IF($Q786="","",INDEX(상세표[블록 07~18시],$Q786))</f>
        <v/>
      </c>
      <c r="M786" s="20">
        <f>IF($Q786="","",INDEX(상세표[블록 18~22시],$Q786))</f>
        <v/>
      </c>
      <c r="N786" s="20">
        <f>IF($Q786="","",INDEX(상세표[블록 22~06시],$Q786))</f>
        <v/>
      </c>
      <c r="O786">
        <f>IF($Q786="","",INDEX(상세표[주말·휴일 포함],$Q786)&amp;"")</f>
        <v/>
      </c>
      <c r="P786">
        <f>IF($Q786="","",INDEX(상세표[월 넘김 포함],$Q786)&amp;"")</f>
        <v/>
      </c>
      <c r="Q786" s="4">
        <f>IFERROR(MATCH(781,상세표[연속순번],0),"")</f>
        <v/>
      </c>
    </row>
    <row r="787">
      <c r="A787">
        <f>IF($Q787="","",INDEX(상세표[부서],$Q787)&amp;"")</f>
        <v/>
      </c>
      <c r="B787">
        <f>IF($Q787="","",INDEX(상세표[사번],$Q787)&amp;"")</f>
        <v/>
      </c>
      <c r="C787">
        <f>IF($Q787="","",INDEX(상세표[성명],$Q787)&amp;"")</f>
        <v/>
      </c>
      <c r="D787">
        <f>IF($Q787="","",INDEX(상세표[직위],$Q787)&amp;"")</f>
        <v/>
      </c>
      <c r="E787">
        <f>IF($Q787="","",IF(ISNUMBER(INDEX(상세표[근무일자],$Q787)),TEXT(INDEX(상세표[근무일자],$Q787),"yyyy-mm-dd"),INDEX(상세표[근무일자],$Q787)&amp;""))</f>
        <v/>
      </c>
      <c r="F787">
        <f>IF($Q787="","",IF(ISNUMBER(INDEX(상세표[시작],$Q787)),TEXT(INDEX(상세표[시작],$Q787),"yyyy-mm-dd hh:mm"),INDEX(상세표[시작],$Q787)&amp;""))</f>
        <v/>
      </c>
      <c r="G787">
        <f>IF($Q787="","",IF(ISNUMBER(INDEX(상세표[블록종료],$Q787)),TEXT(INDEX(상세표[블록종료],$Q787),"yyyy-mm-dd hh:mm"),INDEX(상세표[블록종료],$Q787)&amp;""))</f>
        <v/>
      </c>
      <c r="H787">
        <f>IF($Q787="","",CHOOSE(WEEKDAY(INDEX(상세표[시작],$Q787)),"일","월","화","수","목","금","토"))</f>
        <v/>
      </c>
      <c r="I787" s="20">
        <f>IF($Q787="","",INDEX(상세표[연속 시간],$Q787))</f>
        <v/>
      </c>
      <c r="J787">
        <f>IF($Q787="","",INDEX(상세표[기록 수],$Q787))</f>
        <v/>
      </c>
      <c r="K787" s="20">
        <f>IF($Q787="","",INDEX(상세표[블록 06~07시],$Q787))</f>
        <v/>
      </c>
      <c r="L787" s="20">
        <f>IF($Q787="","",INDEX(상세표[블록 07~18시],$Q787))</f>
        <v/>
      </c>
      <c r="M787" s="20">
        <f>IF($Q787="","",INDEX(상세표[블록 18~22시],$Q787))</f>
        <v/>
      </c>
      <c r="N787" s="20">
        <f>IF($Q787="","",INDEX(상세표[블록 22~06시],$Q787))</f>
        <v/>
      </c>
      <c r="O787">
        <f>IF($Q787="","",INDEX(상세표[주말·휴일 포함],$Q787)&amp;"")</f>
        <v/>
      </c>
      <c r="P787">
        <f>IF($Q787="","",INDEX(상세표[월 넘김 포함],$Q787)&amp;"")</f>
        <v/>
      </c>
      <c r="Q787" s="4">
        <f>IFERROR(MATCH(782,상세표[연속순번],0),"")</f>
        <v/>
      </c>
    </row>
    <row r="788">
      <c r="A788">
        <f>IF($Q788="","",INDEX(상세표[부서],$Q788)&amp;"")</f>
        <v/>
      </c>
      <c r="B788">
        <f>IF($Q788="","",INDEX(상세표[사번],$Q788)&amp;"")</f>
        <v/>
      </c>
      <c r="C788">
        <f>IF($Q788="","",INDEX(상세표[성명],$Q788)&amp;"")</f>
        <v/>
      </c>
      <c r="D788">
        <f>IF($Q788="","",INDEX(상세표[직위],$Q788)&amp;"")</f>
        <v/>
      </c>
      <c r="E788">
        <f>IF($Q788="","",IF(ISNUMBER(INDEX(상세표[근무일자],$Q788)),TEXT(INDEX(상세표[근무일자],$Q788),"yyyy-mm-dd"),INDEX(상세표[근무일자],$Q788)&amp;""))</f>
        <v/>
      </c>
      <c r="F788">
        <f>IF($Q788="","",IF(ISNUMBER(INDEX(상세표[시작],$Q788)),TEXT(INDEX(상세표[시작],$Q788),"yyyy-mm-dd hh:mm"),INDEX(상세표[시작],$Q788)&amp;""))</f>
        <v/>
      </c>
      <c r="G788">
        <f>IF($Q788="","",IF(ISNUMBER(INDEX(상세표[블록종료],$Q788)),TEXT(INDEX(상세표[블록종료],$Q788),"yyyy-mm-dd hh:mm"),INDEX(상세표[블록종료],$Q788)&amp;""))</f>
        <v/>
      </c>
      <c r="H788">
        <f>IF($Q788="","",CHOOSE(WEEKDAY(INDEX(상세표[시작],$Q788)),"일","월","화","수","목","금","토"))</f>
        <v/>
      </c>
      <c r="I788" s="20">
        <f>IF($Q788="","",INDEX(상세표[연속 시간],$Q788))</f>
        <v/>
      </c>
      <c r="J788">
        <f>IF($Q788="","",INDEX(상세표[기록 수],$Q788))</f>
        <v/>
      </c>
      <c r="K788" s="20">
        <f>IF($Q788="","",INDEX(상세표[블록 06~07시],$Q788))</f>
        <v/>
      </c>
      <c r="L788" s="20">
        <f>IF($Q788="","",INDEX(상세표[블록 07~18시],$Q788))</f>
        <v/>
      </c>
      <c r="M788" s="20">
        <f>IF($Q788="","",INDEX(상세표[블록 18~22시],$Q788))</f>
        <v/>
      </c>
      <c r="N788" s="20">
        <f>IF($Q788="","",INDEX(상세표[블록 22~06시],$Q788))</f>
        <v/>
      </c>
      <c r="O788">
        <f>IF($Q788="","",INDEX(상세표[주말·휴일 포함],$Q788)&amp;"")</f>
        <v/>
      </c>
      <c r="P788">
        <f>IF($Q788="","",INDEX(상세표[월 넘김 포함],$Q788)&amp;"")</f>
        <v/>
      </c>
      <c r="Q788" s="4">
        <f>IFERROR(MATCH(783,상세표[연속순번],0),"")</f>
        <v/>
      </c>
    </row>
    <row r="789">
      <c r="A789">
        <f>IF($Q789="","",INDEX(상세표[부서],$Q789)&amp;"")</f>
        <v/>
      </c>
      <c r="B789">
        <f>IF($Q789="","",INDEX(상세표[사번],$Q789)&amp;"")</f>
        <v/>
      </c>
      <c r="C789">
        <f>IF($Q789="","",INDEX(상세표[성명],$Q789)&amp;"")</f>
        <v/>
      </c>
      <c r="D789">
        <f>IF($Q789="","",INDEX(상세표[직위],$Q789)&amp;"")</f>
        <v/>
      </c>
      <c r="E789">
        <f>IF($Q789="","",IF(ISNUMBER(INDEX(상세표[근무일자],$Q789)),TEXT(INDEX(상세표[근무일자],$Q789),"yyyy-mm-dd"),INDEX(상세표[근무일자],$Q789)&amp;""))</f>
        <v/>
      </c>
      <c r="F789">
        <f>IF($Q789="","",IF(ISNUMBER(INDEX(상세표[시작],$Q789)),TEXT(INDEX(상세표[시작],$Q789),"yyyy-mm-dd hh:mm"),INDEX(상세표[시작],$Q789)&amp;""))</f>
        <v/>
      </c>
      <c r="G789">
        <f>IF($Q789="","",IF(ISNUMBER(INDEX(상세표[블록종료],$Q789)),TEXT(INDEX(상세표[블록종료],$Q789),"yyyy-mm-dd hh:mm"),INDEX(상세표[블록종료],$Q789)&amp;""))</f>
        <v/>
      </c>
      <c r="H789">
        <f>IF($Q789="","",CHOOSE(WEEKDAY(INDEX(상세표[시작],$Q789)),"일","월","화","수","목","금","토"))</f>
        <v/>
      </c>
      <c r="I789" s="20">
        <f>IF($Q789="","",INDEX(상세표[연속 시간],$Q789))</f>
        <v/>
      </c>
      <c r="J789">
        <f>IF($Q789="","",INDEX(상세표[기록 수],$Q789))</f>
        <v/>
      </c>
      <c r="K789" s="20">
        <f>IF($Q789="","",INDEX(상세표[블록 06~07시],$Q789))</f>
        <v/>
      </c>
      <c r="L789" s="20">
        <f>IF($Q789="","",INDEX(상세표[블록 07~18시],$Q789))</f>
        <v/>
      </c>
      <c r="M789" s="20">
        <f>IF($Q789="","",INDEX(상세표[블록 18~22시],$Q789))</f>
        <v/>
      </c>
      <c r="N789" s="20">
        <f>IF($Q789="","",INDEX(상세표[블록 22~06시],$Q789))</f>
        <v/>
      </c>
      <c r="O789">
        <f>IF($Q789="","",INDEX(상세표[주말·휴일 포함],$Q789)&amp;"")</f>
        <v/>
      </c>
      <c r="P789">
        <f>IF($Q789="","",INDEX(상세표[월 넘김 포함],$Q789)&amp;"")</f>
        <v/>
      </c>
      <c r="Q789" s="4">
        <f>IFERROR(MATCH(784,상세표[연속순번],0),"")</f>
        <v/>
      </c>
    </row>
    <row r="790">
      <c r="A790">
        <f>IF($Q790="","",INDEX(상세표[부서],$Q790)&amp;"")</f>
        <v/>
      </c>
      <c r="B790">
        <f>IF($Q790="","",INDEX(상세표[사번],$Q790)&amp;"")</f>
        <v/>
      </c>
      <c r="C790">
        <f>IF($Q790="","",INDEX(상세표[성명],$Q790)&amp;"")</f>
        <v/>
      </c>
      <c r="D790">
        <f>IF($Q790="","",INDEX(상세표[직위],$Q790)&amp;"")</f>
        <v/>
      </c>
      <c r="E790">
        <f>IF($Q790="","",IF(ISNUMBER(INDEX(상세표[근무일자],$Q790)),TEXT(INDEX(상세표[근무일자],$Q790),"yyyy-mm-dd"),INDEX(상세표[근무일자],$Q790)&amp;""))</f>
        <v/>
      </c>
      <c r="F790">
        <f>IF($Q790="","",IF(ISNUMBER(INDEX(상세표[시작],$Q790)),TEXT(INDEX(상세표[시작],$Q790),"yyyy-mm-dd hh:mm"),INDEX(상세표[시작],$Q790)&amp;""))</f>
        <v/>
      </c>
      <c r="G790">
        <f>IF($Q790="","",IF(ISNUMBER(INDEX(상세표[블록종료],$Q790)),TEXT(INDEX(상세표[블록종료],$Q790),"yyyy-mm-dd hh:mm"),INDEX(상세표[블록종료],$Q790)&amp;""))</f>
        <v/>
      </c>
      <c r="H790">
        <f>IF($Q790="","",CHOOSE(WEEKDAY(INDEX(상세표[시작],$Q790)),"일","월","화","수","목","금","토"))</f>
        <v/>
      </c>
      <c r="I790" s="20">
        <f>IF($Q790="","",INDEX(상세표[연속 시간],$Q790))</f>
        <v/>
      </c>
      <c r="J790">
        <f>IF($Q790="","",INDEX(상세표[기록 수],$Q790))</f>
        <v/>
      </c>
      <c r="K790" s="20">
        <f>IF($Q790="","",INDEX(상세표[블록 06~07시],$Q790))</f>
        <v/>
      </c>
      <c r="L790" s="20">
        <f>IF($Q790="","",INDEX(상세표[블록 07~18시],$Q790))</f>
        <v/>
      </c>
      <c r="M790" s="20">
        <f>IF($Q790="","",INDEX(상세표[블록 18~22시],$Q790))</f>
        <v/>
      </c>
      <c r="N790" s="20">
        <f>IF($Q790="","",INDEX(상세표[블록 22~06시],$Q790))</f>
        <v/>
      </c>
      <c r="O790">
        <f>IF($Q790="","",INDEX(상세표[주말·휴일 포함],$Q790)&amp;"")</f>
        <v/>
      </c>
      <c r="P790">
        <f>IF($Q790="","",INDEX(상세표[월 넘김 포함],$Q790)&amp;"")</f>
        <v/>
      </c>
      <c r="Q790" s="4">
        <f>IFERROR(MATCH(785,상세표[연속순번],0),"")</f>
        <v/>
      </c>
    </row>
    <row r="791">
      <c r="A791">
        <f>IF($Q791="","",INDEX(상세표[부서],$Q791)&amp;"")</f>
        <v/>
      </c>
      <c r="B791">
        <f>IF($Q791="","",INDEX(상세표[사번],$Q791)&amp;"")</f>
        <v/>
      </c>
      <c r="C791">
        <f>IF($Q791="","",INDEX(상세표[성명],$Q791)&amp;"")</f>
        <v/>
      </c>
      <c r="D791">
        <f>IF($Q791="","",INDEX(상세표[직위],$Q791)&amp;"")</f>
        <v/>
      </c>
      <c r="E791">
        <f>IF($Q791="","",IF(ISNUMBER(INDEX(상세표[근무일자],$Q791)),TEXT(INDEX(상세표[근무일자],$Q791),"yyyy-mm-dd"),INDEX(상세표[근무일자],$Q791)&amp;""))</f>
        <v/>
      </c>
      <c r="F791">
        <f>IF($Q791="","",IF(ISNUMBER(INDEX(상세표[시작],$Q791)),TEXT(INDEX(상세표[시작],$Q791),"yyyy-mm-dd hh:mm"),INDEX(상세표[시작],$Q791)&amp;""))</f>
        <v/>
      </c>
      <c r="G791">
        <f>IF($Q791="","",IF(ISNUMBER(INDEX(상세표[블록종료],$Q791)),TEXT(INDEX(상세표[블록종료],$Q791),"yyyy-mm-dd hh:mm"),INDEX(상세표[블록종료],$Q791)&amp;""))</f>
        <v/>
      </c>
      <c r="H791">
        <f>IF($Q791="","",CHOOSE(WEEKDAY(INDEX(상세표[시작],$Q791)),"일","월","화","수","목","금","토"))</f>
        <v/>
      </c>
      <c r="I791" s="20">
        <f>IF($Q791="","",INDEX(상세표[연속 시간],$Q791))</f>
        <v/>
      </c>
      <c r="J791">
        <f>IF($Q791="","",INDEX(상세표[기록 수],$Q791))</f>
        <v/>
      </c>
      <c r="K791" s="20">
        <f>IF($Q791="","",INDEX(상세표[블록 06~07시],$Q791))</f>
        <v/>
      </c>
      <c r="L791" s="20">
        <f>IF($Q791="","",INDEX(상세표[블록 07~18시],$Q791))</f>
        <v/>
      </c>
      <c r="M791" s="20">
        <f>IF($Q791="","",INDEX(상세표[블록 18~22시],$Q791))</f>
        <v/>
      </c>
      <c r="N791" s="20">
        <f>IF($Q791="","",INDEX(상세표[블록 22~06시],$Q791))</f>
        <v/>
      </c>
      <c r="O791">
        <f>IF($Q791="","",INDEX(상세표[주말·휴일 포함],$Q791)&amp;"")</f>
        <v/>
      </c>
      <c r="P791">
        <f>IF($Q791="","",INDEX(상세표[월 넘김 포함],$Q791)&amp;"")</f>
        <v/>
      </c>
      <c r="Q791" s="4">
        <f>IFERROR(MATCH(786,상세표[연속순번],0),"")</f>
        <v/>
      </c>
    </row>
    <row r="792">
      <c r="A792">
        <f>IF($Q792="","",INDEX(상세표[부서],$Q792)&amp;"")</f>
        <v/>
      </c>
      <c r="B792">
        <f>IF($Q792="","",INDEX(상세표[사번],$Q792)&amp;"")</f>
        <v/>
      </c>
      <c r="C792">
        <f>IF($Q792="","",INDEX(상세표[성명],$Q792)&amp;"")</f>
        <v/>
      </c>
      <c r="D792">
        <f>IF($Q792="","",INDEX(상세표[직위],$Q792)&amp;"")</f>
        <v/>
      </c>
      <c r="E792">
        <f>IF($Q792="","",IF(ISNUMBER(INDEX(상세표[근무일자],$Q792)),TEXT(INDEX(상세표[근무일자],$Q792),"yyyy-mm-dd"),INDEX(상세표[근무일자],$Q792)&amp;""))</f>
        <v/>
      </c>
      <c r="F792">
        <f>IF($Q792="","",IF(ISNUMBER(INDEX(상세표[시작],$Q792)),TEXT(INDEX(상세표[시작],$Q792),"yyyy-mm-dd hh:mm"),INDEX(상세표[시작],$Q792)&amp;""))</f>
        <v/>
      </c>
      <c r="G792">
        <f>IF($Q792="","",IF(ISNUMBER(INDEX(상세표[블록종료],$Q792)),TEXT(INDEX(상세표[블록종료],$Q792),"yyyy-mm-dd hh:mm"),INDEX(상세표[블록종료],$Q792)&amp;""))</f>
        <v/>
      </c>
      <c r="H792">
        <f>IF($Q792="","",CHOOSE(WEEKDAY(INDEX(상세표[시작],$Q792)),"일","월","화","수","목","금","토"))</f>
        <v/>
      </c>
      <c r="I792" s="20">
        <f>IF($Q792="","",INDEX(상세표[연속 시간],$Q792))</f>
        <v/>
      </c>
      <c r="J792">
        <f>IF($Q792="","",INDEX(상세표[기록 수],$Q792))</f>
        <v/>
      </c>
      <c r="K792" s="20">
        <f>IF($Q792="","",INDEX(상세표[블록 06~07시],$Q792))</f>
        <v/>
      </c>
      <c r="L792" s="20">
        <f>IF($Q792="","",INDEX(상세표[블록 07~18시],$Q792))</f>
        <v/>
      </c>
      <c r="M792" s="20">
        <f>IF($Q792="","",INDEX(상세표[블록 18~22시],$Q792))</f>
        <v/>
      </c>
      <c r="N792" s="20">
        <f>IF($Q792="","",INDEX(상세표[블록 22~06시],$Q792))</f>
        <v/>
      </c>
      <c r="O792">
        <f>IF($Q792="","",INDEX(상세표[주말·휴일 포함],$Q792)&amp;"")</f>
        <v/>
      </c>
      <c r="P792">
        <f>IF($Q792="","",INDEX(상세표[월 넘김 포함],$Q792)&amp;"")</f>
        <v/>
      </c>
      <c r="Q792" s="4">
        <f>IFERROR(MATCH(787,상세표[연속순번],0),"")</f>
        <v/>
      </c>
    </row>
    <row r="793">
      <c r="A793">
        <f>IF($Q793="","",INDEX(상세표[부서],$Q793)&amp;"")</f>
        <v/>
      </c>
      <c r="B793">
        <f>IF($Q793="","",INDEX(상세표[사번],$Q793)&amp;"")</f>
        <v/>
      </c>
      <c r="C793">
        <f>IF($Q793="","",INDEX(상세표[성명],$Q793)&amp;"")</f>
        <v/>
      </c>
      <c r="D793">
        <f>IF($Q793="","",INDEX(상세표[직위],$Q793)&amp;"")</f>
        <v/>
      </c>
      <c r="E793">
        <f>IF($Q793="","",IF(ISNUMBER(INDEX(상세표[근무일자],$Q793)),TEXT(INDEX(상세표[근무일자],$Q793),"yyyy-mm-dd"),INDEX(상세표[근무일자],$Q793)&amp;""))</f>
        <v/>
      </c>
      <c r="F793">
        <f>IF($Q793="","",IF(ISNUMBER(INDEX(상세표[시작],$Q793)),TEXT(INDEX(상세표[시작],$Q793),"yyyy-mm-dd hh:mm"),INDEX(상세표[시작],$Q793)&amp;""))</f>
        <v/>
      </c>
      <c r="G793">
        <f>IF($Q793="","",IF(ISNUMBER(INDEX(상세표[블록종료],$Q793)),TEXT(INDEX(상세표[블록종료],$Q793),"yyyy-mm-dd hh:mm"),INDEX(상세표[블록종료],$Q793)&amp;""))</f>
        <v/>
      </c>
      <c r="H793">
        <f>IF($Q793="","",CHOOSE(WEEKDAY(INDEX(상세표[시작],$Q793)),"일","월","화","수","목","금","토"))</f>
        <v/>
      </c>
      <c r="I793" s="20">
        <f>IF($Q793="","",INDEX(상세표[연속 시간],$Q793))</f>
        <v/>
      </c>
      <c r="J793">
        <f>IF($Q793="","",INDEX(상세표[기록 수],$Q793))</f>
        <v/>
      </c>
      <c r="K793" s="20">
        <f>IF($Q793="","",INDEX(상세표[블록 06~07시],$Q793))</f>
        <v/>
      </c>
      <c r="L793" s="20">
        <f>IF($Q793="","",INDEX(상세표[블록 07~18시],$Q793))</f>
        <v/>
      </c>
      <c r="M793" s="20">
        <f>IF($Q793="","",INDEX(상세표[블록 18~22시],$Q793))</f>
        <v/>
      </c>
      <c r="N793" s="20">
        <f>IF($Q793="","",INDEX(상세표[블록 22~06시],$Q793))</f>
        <v/>
      </c>
      <c r="O793">
        <f>IF($Q793="","",INDEX(상세표[주말·휴일 포함],$Q793)&amp;"")</f>
        <v/>
      </c>
      <c r="P793">
        <f>IF($Q793="","",INDEX(상세표[월 넘김 포함],$Q793)&amp;"")</f>
        <v/>
      </c>
      <c r="Q793" s="4">
        <f>IFERROR(MATCH(788,상세표[연속순번],0),"")</f>
        <v/>
      </c>
    </row>
    <row r="794">
      <c r="A794">
        <f>IF($Q794="","",INDEX(상세표[부서],$Q794)&amp;"")</f>
        <v/>
      </c>
      <c r="B794">
        <f>IF($Q794="","",INDEX(상세표[사번],$Q794)&amp;"")</f>
        <v/>
      </c>
      <c r="C794">
        <f>IF($Q794="","",INDEX(상세표[성명],$Q794)&amp;"")</f>
        <v/>
      </c>
      <c r="D794">
        <f>IF($Q794="","",INDEX(상세표[직위],$Q794)&amp;"")</f>
        <v/>
      </c>
      <c r="E794">
        <f>IF($Q794="","",IF(ISNUMBER(INDEX(상세표[근무일자],$Q794)),TEXT(INDEX(상세표[근무일자],$Q794),"yyyy-mm-dd"),INDEX(상세표[근무일자],$Q794)&amp;""))</f>
        <v/>
      </c>
      <c r="F794">
        <f>IF($Q794="","",IF(ISNUMBER(INDEX(상세표[시작],$Q794)),TEXT(INDEX(상세표[시작],$Q794),"yyyy-mm-dd hh:mm"),INDEX(상세표[시작],$Q794)&amp;""))</f>
        <v/>
      </c>
      <c r="G794">
        <f>IF($Q794="","",IF(ISNUMBER(INDEX(상세표[블록종료],$Q794)),TEXT(INDEX(상세표[블록종료],$Q794),"yyyy-mm-dd hh:mm"),INDEX(상세표[블록종료],$Q794)&amp;""))</f>
        <v/>
      </c>
      <c r="H794">
        <f>IF($Q794="","",CHOOSE(WEEKDAY(INDEX(상세표[시작],$Q794)),"일","월","화","수","목","금","토"))</f>
        <v/>
      </c>
      <c r="I794" s="20">
        <f>IF($Q794="","",INDEX(상세표[연속 시간],$Q794))</f>
        <v/>
      </c>
      <c r="J794">
        <f>IF($Q794="","",INDEX(상세표[기록 수],$Q794))</f>
        <v/>
      </c>
      <c r="K794" s="20">
        <f>IF($Q794="","",INDEX(상세표[블록 06~07시],$Q794))</f>
        <v/>
      </c>
      <c r="L794" s="20">
        <f>IF($Q794="","",INDEX(상세표[블록 07~18시],$Q794))</f>
        <v/>
      </c>
      <c r="M794" s="20">
        <f>IF($Q794="","",INDEX(상세표[블록 18~22시],$Q794))</f>
        <v/>
      </c>
      <c r="N794" s="20">
        <f>IF($Q794="","",INDEX(상세표[블록 22~06시],$Q794))</f>
        <v/>
      </c>
      <c r="O794">
        <f>IF($Q794="","",INDEX(상세표[주말·휴일 포함],$Q794)&amp;"")</f>
        <v/>
      </c>
      <c r="P794">
        <f>IF($Q794="","",INDEX(상세표[월 넘김 포함],$Q794)&amp;"")</f>
        <v/>
      </c>
      <c r="Q794" s="4">
        <f>IFERROR(MATCH(789,상세표[연속순번],0),"")</f>
        <v/>
      </c>
    </row>
    <row r="795">
      <c r="A795">
        <f>IF($Q795="","",INDEX(상세표[부서],$Q795)&amp;"")</f>
        <v/>
      </c>
      <c r="B795">
        <f>IF($Q795="","",INDEX(상세표[사번],$Q795)&amp;"")</f>
        <v/>
      </c>
      <c r="C795">
        <f>IF($Q795="","",INDEX(상세표[성명],$Q795)&amp;"")</f>
        <v/>
      </c>
      <c r="D795">
        <f>IF($Q795="","",INDEX(상세표[직위],$Q795)&amp;"")</f>
        <v/>
      </c>
      <c r="E795">
        <f>IF($Q795="","",IF(ISNUMBER(INDEX(상세표[근무일자],$Q795)),TEXT(INDEX(상세표[근무일자],$Q795),"yyyy-mm-dd"),INDEX(상세표[근무일자],$Q795)&amp;""))</f>
        <v/>
      </c>
      <c r="F795">
        <f>IF($Q795="","",IF(ISNUMBER(INDEX(상세표[시작],$Q795)),TEXT(INDEX(상세표[시작],$Q795),"yyyy-mm-dd hh:mm"),INDEX(상세표[시작],$Q795)&amp;""))</f>
        <v/>
      </c>
      <c r="G795">
        <f>IF($Q795="","",IF(ISNUMBER(INDEX(상세표[블록종료],$Q795)),TEXT(INDEX(상세표[블록종료],$Q795),"yyyy-mm-dd hh:mm"),INDEX(상세표[블록종료],$Q795)&amp;""))</f>
        <v/>
      </c>
      <c r="H795">
        <f>IF($Q795="","",CHOOSE(WEEKDAY(INDEX(상세표[시작],$Q795)),"일","월","화","수","목","금","토"))</f>
        <v/>
      </c>
      <c r="I795" s="20">
        <f>IF($Q795="","",INDEX(상세표[연속 시간],$Q795))</f>
        <v/>
      </c>
      <c r="J795">
        <f>IF($Q795="","",INDEX(상세표[기록 수],$Q795))</f>
        <v/>
      </c>
      <c r="K795" s="20">
        <f>IF($Q795="","",INDEX(상세표[블록 06~07시],$Q795))</f>
        <v/>
      </c>
      <c r="L795" s="20">
        <f>IF($Q795="","",INDEX(상세표[블록 07~18시],$Q795))</f>
        <v/>
      </c>
      <c r="M795" s="20">
        <f>IF($Q795="","",INDEX(상세표[블록 18~22시],$Q795))</f>
        <v/>
      </c>
      <c r="N795" s="20">
        <f>IF($Q795="","",INDEX(상세표[블록 22~06시],$Q795))</f>
        <v/>
      </c>
      <c r="O795">
        <f>IF($Q795="","",INDEX(상세표[주말·휴일 포함],$Q795)&amp;"")</f>
        <v/>
      </c>
      <c r="P795">
        <f>IF($Q795="","",INDEX(상세표[월 넘김 포함],$Q795)&amp;"")</f>
        <v/>
      </c>
      <c r="Q795" s="4">
        <f>IFERROR(MATCH(790,상세표[연속순번],0),"")</f>
        <v/>
      </c>
    </row>
    <row r="796">
      <c r="A796">
        <f>IF($Q796="","",INDEX(상세표[부서],$Q796)&amp;"")</f>
        <v/>
      </c>
      <c r="B796">
        <f>IF($Q796="","",INDEX(상세표[사번],$Q796)&amp;"")</f>
        <v/>
      </c>
      <c r="C796">
        <f>IF($Q796="","",INDEX(상세표[성명],$Q796)&amp;"")</f>
        <v/>
      </c>
      <c r="D796">
        <f>IF($Q796="","",INDEX(상세표[직위],$Q796)&amp;"")</f>
        <v/>
      </c>
      <c r="E796">
        <f>IF($Q796="","",IF(ISNUMBER(INDEX(상세표[근무일자],$Q796)),TEXT(INDEX(상세표[근무일자],$Q796),"yyyy-mm-dd"),INDEX(상세표[근무일자],$Q796)&amp;""))</f>
        <v/>
      </c>
      <c r="F796">
        <f>IF($Q796="","",IF(ISNUMBER(INDEX(상세표[시작],$Q796)),TEXT(INDEX(상세표[시작],$Q796),"yyyy-mm-dd hh:mm"),INDEX(상세표[시작],$Q796)&amp;""))</f>
        <v/>
      </c>
      <c r="G796">
        <f>IF($Q796="","",IF(ISNUMBER(INDEX(상세표[블록종료],$Q796)),TEXT(INDEX(상세표[블록종료],$Q796),"yyyy-mm-dd hh:mm"),INDEX(상세표[블록종료],$Q796)&amp;""))</f>
        <v/>
      </c>
      <c r="H796">
        <f>IF($Q796="","",CHOOSE(WEEKDAY(INDEX(상세표[시작],$Q796)),"일","월","화","수","목","금","토"))</f>
        <v/>
      </c>
      <c r="I796" s="20">
        <f>IF($Q796="","",INDEX(상세표[연속 시간],$Q796))</f>
        <v/>
      </c>
      <c r="J796">
        <f>IF($Q796="","",INDEX(상세표[기록 수],$Q796))</f>
        <v/>
      </c>
      <c r="K796" s="20">
        <f>IF($Q796="","",INDEX(상세표[블록 06~07시],$Q796))</f>
        <v/>
      </c>
      <c r="L796" s="20">
        <f>IF($Q796="","",INDEX(상세표[블록 07~18시],$Q796))</f>
        <v/>
      </c>
      <c r="M796" s="20">
        <f>IF($Q796="","",INDEX(상세표[블록 18~22시],$Q796))</f>
        <v/>
      </c>
      <c r="N796" s="20">
        <f>IF($Q796="","",INDEX(상세표[블록 22~06시],$Q796))</f>
        <v/>
      </c>
      <c r="O796">
        <f>IF($Q796="","",INDEX(상세표[주말·휴일 포함],$Q796)&amp;"")</f>
        <v/>
      </c>
      <c r="P796">
        <f>IF($Q796="","",INDEX(상세표[월 넘김 포함],$Q796)&amp;"")</f>
        <v/>
      </c>
      <c r="Q796" s="4">
        <f>IFERROR(MATCH(791,상세표[연속순번],0),"")</f>
        <v/>
      </c>
    </row>
    <row r="797">
      <c r="A797">
        <f>IF($Q797="","",INDEX(상세표[부서],$Q797)&amp;"")</f>
        <v/>
      </c>
      <c r="B797">
        <f>IF($Q797="","",INDEX(상세표[사번],$Q797)&amp;"")</f>
        <v/>
      </c>
      <c r="C797">
        <f>IF($Q797="","",INDEX(상세표[성명],$Q797)&amp;"")</f>
        <v/>
      </c>
      <c r="D797">
        <f>IF($Q797="","",INDEX(상세표[직위],$Q797)&amp;"")</f>
        <v/>
      </c>
      <c r="E797">
        <f>IF($Q797="","",IF(ISNUMBER(INDEX(상세표[근무일자],$Q797)),TEXT(INDEX(상세표[근무일자],$Q797),"yyyy-mm-dd"),INDEX(상세표[근무일자],$Q797)&amp;""))</f>
        <v/>
      </c>
      <c r="F797">
        <f>IF($Q797="","",IF(ISNUMBER(INDEX(상세표[시작],$Q797)),TEXT(INDEX(상세표[시작],$Q797),"yyyy-mm-dd hh:mm"),INDEX(상세표[시작],$Q797)&amp;""))</f>
        <v/>
      </c>
      <c r="G797">
        <f>IF($Q797="","",IF(ISNUMBER(INDEX(상세표[블록종료],$Q797)),TEXT(INDEX(상세표[블록종료],$Q797),"yyyy-mm-dd hh:mm"),INDEX(상세표[블록종료],$Q797)&amp;""))</f>
        <v/>
      </c>
      <c r="H797">
        <f>IF($Q797="","",CHOOSE(WEEKDAY(INDEX(상세표[시작],$Q797)),"일","월","화","수","목","금","토"))</f>
        <v/>
      </c>
      <c r="I797" s="20">
        <f>IF($Q797="","",INDEX(상세표[연속 시간],$Q797))</f>
        <v/>
      </c>
      <c r="J797">
        <f>IF($Q797="","",INDEX(상세표[기록 수],$Q797))</f>
        <v/>
      </c>
      <c r="K797" s="20">
        <f>IF($Q797="","",INDEX(상세표[블록 06~07시],$Q797))</f>
        <v/>
      </c>
      <c r="L797" s="20">
        <f>IF($Q797="","",INDEX(상세표[블록 07~18시],$Q797))</f>
        <v/>
      </c>
      <c r="M797" s="20">
        <f>IF($Q797="","",INDEX(상세표[블록 18~22시],$Q797))</f>
        <v/>
      </c>
      <c r="N797" s="20">
        <f>IF($Q797="","",INDEX(상세표[블록 22~06시],$Q797))</f>
        <v/>
      </c>
      <c r="O797">
        <f>IF($Q797="","",INDEX(상세표[주말·휴일 포함],$Q797)&amp;"")</f>
        <v/>
      </c>
      <c r="P797">
        <f>IF($Q797="","",INDEX(상세표[월 넘김 포함],$Q797)&amp;"")</f>
        <v/>
      </c>
      <c r="Q797" s="4">
        <f>IFERROR(MATCH(792,상세표[연속순번],0),"")</f>
        <v/>
      </c>
    </row>
    <row r="798">
      <c r="A798">
        <f>IF($Q798="","",INDEX(상세표[부서],$Q798)&amp;"")</f>
        <v/>
      </c>
      <c r="B798">
        <f>IF($Q798="","",INDEX(상세표[사번],$Q798)&amp;"")</f>
        <v/>
      </c>
      <c r="C798">
        <f>IF($Q798="","",INDEX(상세표[성명],$Q798)&amp;"")</f>
        <v/>
      </c>
      <c r="D798">
        <f>IF($Q798="","",INDEX(상세표[직위],$Q798)&amp;"")</f>
        <v/>
      </c>
      <c r="E798">
        <f>IF($Q798="","",IF(ISNUMBER(INDEX(상세표[근무일자],$Q798)),TEXT(INDEX(상세표[근무일자],$Q798),"yyyy-mm-dd"),INDEX(상세표[근무일자],$Q798)&amp;""))</f>
        <v/>
      </c>
      <c r="F798">
        <f>IF($Q798="","",IF(ISNUMBER(INDEX(상세표[시작],$Q798)),TEXT(INDEX(상세표[시작],$Q798),"yyyy-mm-dd hh:mm"),INDEX(상세표[시작],$Q798)&amp;""))</f>
        <v/>
      </c>
      <c r="G798">
        <f>IF($Q798="","",IF(ISNUMBER(INDEX(상세표[블록종료],$Q798)),TEXT(INDEX(상세표[블록종료],$Q798),"yyyy-mm-dd hh:mm"),INDEX(상세표[블록종료],$Q798)&amp;""))</f>
        <v/>
      </c>
      <c r="H798">
        <f>IF($Q798="","",CHOOSE(WEEKDAY(INDEX(상세표[시작],$Q798)),"일","월","화","수","목","금","토"))</f>
        <v/>
      </c>
      <c r="I798" s="20">
        <f>IF($Q798="","",INDEX(상세표[연속 시간],$Q798))</f>
        <v/>
      </c>
      <c r="J798">
        <f>IF($Q798="","",INDEX(상세표[기록 수],$Q798))</f>
        <v/>
      </c>
      <c r="K798" s="20">
        <f>IF($Q798="","",INDEX(상세표[블록 06~07시],$Q798))</f>
        <v/>
      </c>
      <c r="L798" s="20">
        <f>IF($Q798="","",INDEX(상세표[블록 07~18시],$Q798))</f>
        <v/>
      </c>
      <c r="M798" s="20">
        <f>IF($Q798="","",INDEX(상세표[블록 18~22시],$Q798))</f>
        <v/>
      </c>
      <c r="N798" s="20">
        <f>IF($Q798="","",INDEX(상세표[블록 22~06시],$Q798))</f>
        <v/>
      </c>
      <c r="O798">
        <f>IF($Q798="","",INDEX(상세표[주말·휴일 포함],$Q798)&amp;"")</f>
        <v/>
      </c>
      <c r="P798">
        <f>IF($Q798="","",INDEX(상세표[월 넘김 포함],$Q798)&amp;"")</f>
        <v/>
      </c>
      <c r="Q798" s="4">
        <f>IFERROR(MATCH(793,상세표[연속순번],0),"")</f>
        <v/>
      </c>
    </row>
    <row r="799">
      <c r="A799">
        <f>IF($Q799="","",INDEX(상세표[부서],$Q799)&amp;"")</f>
        <v/>
      </c>
      <c r="B799">
        <f>IF($Q799="","",INDEX(상세표[사번],$Q799)&amp;"")</f>
        <v/>
      </c>
      <c r="C799">
        <f>IF($Q799="","",INDEX(상세표[성명],$Q799)&amp;"")</f>
        <v/>
      </c>
      <c r="D799">
        <f>IF($Q799="","",INDEX(상세표[직위],$Q799)&amp;"")</f>
        <v/>
      </c>
      <c r="E799">
        <f>IF($Q799="","",IF(ISNUMBER(INDEX(상세표[근무일자],$Q799)),TEXT(INDEX(상세표[근무일자],$Q799),"yyyy-mm-dd"),INDEX(상세표[근무일자],$Q799)&amp;""))</f>
        <v/>
      </c>
      <c r="F799">
        <f>IF($Q799="","",IF(ISNUMBER(INDEX(상세표[시작],$Q799)),TEXT(INDEX(상세표[시작],$Q799),"yyyy-mm-dd hh:mm"),INDEX(상세표[시작],$Q799)&amp;""))</f>
        <v/>
      </c>
      <c r="G799">
        <f>IF($Q799="","",IF(ISNUMBER(INDEX(상세표[블록종료],$Q799)),TEXT(INDEX(상세표[블록종료],$Q799),"yyyy-mm-dd hh:mm"),INDEX(상세표[블록종료],$Q799)&amp;""))</f>
        <v/>
      </c>
      <c r="H799">
        <f>IF($Q799="","",CHOOSE(WEEKDAY(INDEX(상세표[시작],$Q799)),"일","월","화","수","목","금","토"))</f>
        <v/>
      </c>
      <c r="I799" s="20">
        <f>IF($Q799="","",INDEX(상세표[연속 시간],$Q799))</f>
        <v/>
      </c>
      <c r="J799">
        <f>IF($Q799="","",INDEX(상세표[기록 수],$Q799))</f>
        <v/>
      </c>
      <c r="K799" s="20">
        <f>IF($Q799="","",INDEX(상세표[블록 06~07시],$Q799))</f>
        <v/>
      </c>
      <c r="L799" s="20">
        <f>IF($Q799="","",INDEX(상세표[블록 07~18시],$Q799))</f>
        <v/>
      </c>
      <c r="M799" s="20">
        <f>IF($Q799="","",INDEX(상세표[블록 18~22시],$Q799))</f>
        <v/>
      </c>
      <c r="N799" s="20">
        <f>IF($Q799="","",INDEX(상세표[블록 22~06시],$Q799))</f>
        <v/>
      </c>
      <c r="O799">
        <f>IF($Q799="","",INDEX(상세표[주말·휴일 포함],$Q799)&amp;"")</f>
        <v/>
      </c>
      <c r="P799">
        <f>IF($Q799="","",INDEX(상세표[월 넘김 포함],$Q799)&amp;"")</f>
        <v/>
      </c>
      <c r="Q799" s="4">
        <f>IFERROR(MATCH(794,상세표[연속순번],0),"")</f>
        <v/>
      </c>
    </row>
    <row r="800">
      <c r="A800">
        <f>IF($Q800="","",INDEX(상세표[부서],$Q800)&amp;"")</f>
        <v/>
      </c>
      <c r="B800">
        <f>IF($Q800="","",INDEX(상세표[사번],$Q800)&amp;"")</f>
        <v/>
      </c>
      <c r="C800">
        <f>IF($Q800="","",INDEX(상세표[성명],$Q800)&amp;"")</f>
        <v/>
      </c>
      <c r="D800">
        <f>IF($Q800="","",INDEX(상세표[직위],$Q800)&amp;"")</f>
        <v/>
      </c>
      <c r="E800">
        <f>IF($Q800="","",IF(ISNUMBER(INDEX(상세표[근무일자],$Q800)),TEXT(INDEX(상세표[근무일자],$Q800),"yyyy-mm-dd"),INDEX(상세표[근무일자],$Q800)&amp;""))</f>
        <v/>
      </c>
      <c r="F800">
        <f>IF($Q800="","",IF(ISNUMBER(INDEX(상세표[시작],$Q800)),TEXT(INDEX(상세표[시작],$Q800),"yyyy-mm-dd hh:mm"),INDEX(상세표[시작],$Q800)&amp;""))</f>
        <v/>
      </c>
      <c r="G800">
        <f>IF($Q800="","",IF(ISNUMBER(INDEX(상세표[블록종료],$Q800)),TEXT(INDEX(상세표[블록종료],$Q800),"yyyy-mm-dd hh:mm"),INDEX(상세표[블록종료],$Q800)&amp;""))</f>
        <v/>
      </c>
      <c r="H800">
        <f>IF($Q800="","",CHOOSE(WEEKDAY(INDEX(상세표[시작],$Q800)),"일","월","화","수","목","금","토"))</f>
        <v/>
      </c>
      <c r="I800" s="20">
        <f>IF($Q800="","",INDEX(상세표[연속 시간],$Q800))</f>
        <v/>
      </c>
      <c r="J800">
        <f>IF($Q800="","",INDEX(상세표[기록 수],$Q800))</f>
        <v/>
      </c>
      <c r="K800" s="20">
        <f>IF($Q800="","",INDEX(상세표[블록 06~07시],$Q800))</f>
        <v/>
      </c>
      <c r="L800" s="20">
        <f>IF($Q800="","",INDEX(상세표[블록 07~18시],$Q800))</f>
        <v/>
      </c>
      <c r="M800" s="20">
        <f>IF($Q800="","",INDEX(상세표[블록 18~22시],$Q800))</f>
        <v/>
      </c>
      <c r="N800" s="20">
        <f>IF($Q800="","",INDEX(상세표[블록 22~06시],$Q800))</f>
        <v/>
      </c>
      <c r="O800">
        <f>IF($Q800="","",INDEX(상세표[주말·휴일 포함],$Q800)&amp;"")</f>
        <v/>
      </c>
      <c r="P800">
        <f>IF($Q800="","",INDEX(상세표[월 넘김 포함],$Q800)&amp;"")</f>
        <v/>
      </c>
      <c r="Q800" s="4">
        <f>IFERROR(MATCH(795,상세표[연속순번],0),"")</f>
        <v/>
      </c>
    </row>
    <row r="801">
      <c r="A801">
        <f>IF($Q801="","",INDEX(상세표[부서],$Q801)&amp;"")</f>
        <v/>
      </c>
      <c r="B801">
        <f>IF($Q801="","",INDEX(상세표[사번],$Q801)&amp;"")</f>
        <v/>
      </c>
      <c r="C801">
        <f>IF($Q801="","",INDEX(상세표[성명],$Q801)&amp;"")</f>
        <v/>
      </c>
      <c r="D801">
        <f>IF($Q801="","",INDEX(상세표[직위],$Q801)&amp;"")</f>
        <v/>
      </c>
      <c r="E801">
        <f>IF($Q801="","",IF(ISNUMBER(INDEX(상세표[근무일자],$Q801)),TEXT(INDEX(상세표[근무일자],$Q801),"yyyy-mm-dd"),INDEX(상세표[근무일자],$Q801)&amp;""))</f>
        <v/>
      </c>
      <c r="F801">
        <f>IF($Q801="","",IF(ISNUMBER(INDEX(상세표[시작],$Q801)),TEXT(INDEX(상세표[시작],$Q801),"yyyy-mm-dd hh:mm"),INDEX(상세표[시작],$Q801)&amp;""))</f>
        <v/>
      </c>
      <c r="G801">
        <f>IF($Q801="","",IF(ISNUMBER(INDEX(상세표[블록종료],$Q801)),TEXT(INDEX(상세표[블록종료],$Q801),"yyyy-mm-dd hh:mm"),INDEX(상세표[블록종료],$Q801)&amp;""))</f>
        <v/>
      </c>
      <c r="H801">
        <f>IF($Q801="","",CHOOSE(WEEKDAY(INDEX(상세표[시작],$Q801)),"일","월","화","수","목","금","토"))</f>
        <v/>
      </c>
      <c r="I801" s="20">
        <f>IF($Q801="","",INDEX(상세표[연속 시간],$Q801))</f>
        <v/>
      </c>
      <c r="J801">
        <f>IF($Q801="","",INDEX(상세표[기록 수],$Q801))</f>
        <v/>
      </c>
      <c r="K801" s="20">
        <f>IF($Q801="","",INDEX(상세표[블록 06~07시],$Q801))</f>
        <v/>
      </c>
      <c r="L801" s="20">
        <f>IF($Q801="","",INDEX(상세표[블록 07~18시],$Q801))</f>
        <v/>
      </c>
      <c r="M801" s="20">
        <f>IF($Q801="","",INDEX(상세표[블록 18~22시],$Q801))</f>
        <v/>
      </c>
      <c r="N801" s="20">
        <f>IF($Q801="","",INDEX(상세표[블록 22~06시],$Q801))</f>
        <v/>
      </c>
      <c r="O801">
        <f>IF($Q801="","",INDEX(상세표[주말·휴일 포함],$Q801)&amp;"")</f>
        <v/>
      </c>
      <c r="P801">
        <f>IF($Q801="","",INDEX(상세표[월 넘김 포함],$Q801)&amp;"")</f>
        <v/>
      </c>
      <c r="Q801" s="4">
        <f>IFERROR(MATCH(796,상세표[연속순번],0),"")</f>
        <v/>
      </c>
    </row>
    <row r="802">
      <c r="A802">
        <f>IF($Q802="","",INDEX(상세표[부서],$Q802)&amp;"")</f>
        <v/>
      </c>
      <c r="B802">
        <f>IF($Q802="","",INDEX(상세표[사번],$Q802)&amp;"")</f>
        <v/>
      </c>
      <c r="C802">
        <f>IF($Q802="","",INDEX(상세표[성명],$Q802)&amp;"")</f>
        <v/>
      </c>
      <c r="D802">
        <f>IF($Q802="","",INDEX(상세표[직위],$Q802)&amp;"")</f>
        <v/>
      </c>
      <c r="E802">
        <f>IF($Q802="","",IF(ISNUMBER(INDEX(상세표[근무일자],$Q802)),TEXT(INDEX(상세표[근무일자],$Q802),"yyyy-mm-dd"),INDEX(상세표[근무일자],$Q802)&amp;""))</f>
        <v/>
      </c>
      <c r="F802">
        <f>IF($Q802="","",IF(ISNUMBER(INDEX(상세표[시작],$Q802)),TEXT(INDEX(상세표[시작],$Q802),"yyyy-mm-dd hh:mm"),INDEX(상세표[시작],$Q802)&amp;""))</f>
        <v/>
      </c>
      <c r="G802">
        <f>IF($Q802="","",IF(ISNUMBER(INDEX(상세표[블록종료],$Q802)),TEXT(INDEX(상세표[블록종료],$Q802),"yyyy-mm-dd hh:mm"),INDEX(상세표[블록종료],$Q802)&amp;""))</f>
        <v/>
      </c>
      <c r="H802">
        <f>IF($Q802="","",CHOOSE(WEEKDAY(INDEX(상세표[시작],$Q802)),"일","월","화","수","목","금","토"))</f>
        <v/>
      </c>
      <c r="I802" s="20">
        <f>IF($Q802="","",INDEX(상세표[연속 시간],$Q802))</f>
        <v/>
      </c>
      <c r="J802">
        <f>IF($Q802="","",INDEX(상세표[기록 수],$Q802))</f>
        <v/>
      </c>
      <c r="K802" s="20">
        <f>IF($Q802="","",INDEX(상세표[블록 06~07시],$Q802))</f>
        <v/>
      </c>
      <c r="L802" s="20">
        <f>IF($Q802="","",INDEX(상세표[블록 07~18시],$Q802))</f>
        <v/>
      </c>
      <c r="M802" s="20">
        <f>IF($Q802="","",INDEX(상세표[블록 18~22시],$Q802))</f>
        <v/>
      </c>
      <c r="N802" s="20">
        <f>IF($Q802="","",INDEX(상세표[블록 22~06시],$Q802))</f>
        <v/>
      </c>
      <c r="O802">
        <f>IF($Q802="","",INDEX(상세표[주말·휴일 포함],$Q802)&amp;"")</f>
        <v/>
      </c>
      <c r="P802">
        <f>IF($Q802="","",INDEX(상세표[월 넘김 포함],$Q802)&amp;"")</f>
        <v/>
      </c>
      <c r="Q802" s="4">
        <f>IFERROR(MATCH(797,상세표[연속순번],0),"")</f>
        <v/>
      </c>
    </row>
    <row r="803">
      <c r="A803">
        <f>IF($Q803="","",INDEX(상세표[부서],$Q803)&amp;"")</f>
        <v/>
      </c>
      <c r="B803">
        <f>IF($Q803="","",INDEX(상세표[사번],$Q803)&amp;"")</f>
        <v/>
      </c>
      <c r="C803">
        <f>IF($Q803="","",INDEX(상세표[성명],$Q803)&amp;"")</f>
        <v/>
      </c>
      <c r="D803">
        <f>IF($Q803="","",INDEX(상세표[직위],$Q803)&amp;"")</f>
        <v/>
      </c>
      <c r="E803">
        <f>IF($Q803="","",IF(ISNUMBER(INDEX(상세표[근무일자],$Q803)),TEXT(INDEX(상세표[근무일자],$Q803),"yyyy-mm-dd"),INDEX(상세표[근무일자],$Q803)&amp;""))</f>
        <v/>
      </c>
      <c r="F803">
        <f>IF($Q803="","",IF(ISNUMBER(INDEX(상세표[시작],$Q803)),TEXT(INDEX(상세표[시작],$Q803),"yyyy-mm-dd hh:mm"),INDEX(상세표[시작],$Q803)&amp;""))</f>
        <v/>
      </c>
      <c r="G803">
        <f>IF($Q803="","",IF(ISNUMBER(INDEX(상세표[블록종료],$Q803)),TEXT(INDEX(상세표[블록종료],$Q803),"yyyy-mm-dd hh:mm"),INDEX(상세표[블록종료],$Q803)&amp;""))</f>
        <v/>
      </c>
      <c r="H803">
        <f>IF($Q803="","",CHOOSE(WEEKDAY(INDEX(상세표[시작],$Q803)),"일","월","화","수","목","금","토"))</f>
        <v/>
      </c>
      <c r="I803" s="20">
        <f>IF($Q803="","",INDEX(상세표[연속 시간],$Q803))</f>
        <v/>
      </c>
      <c r="J803">
        <f>IF($Q803="","",INDEX(상세표[기록 수],$Q803))</f>
        <v/>
      </c>
      <c r="K803" s="20">
        <f>IF($Q803="","",INDEX(상세표[블록 06~07시],$Q803))</f>
        <v/>
      </c>
      <c r="L803" s="20">
        <f>IF($Q803="","",INDEX(상세표[블록 07~18시],$Q803))</f>
        <v/>
      </c>
      <c r="M803" s="20">
        <f>IF($Q803="","",INDEX(상세표[블록 18~22시],$Q803))</f>
        <v/>
      </c>
      <c r="N803" s="20">
        <f>IF($Q803="","",INDEX(상세표[블록 22~06시],$Q803))</f>
        <v/>
      </c>
      <c r="O803">
        <f>IF($Q803="","",INDEX(상세표[주말·휴일 포함],$Q803)&amp;"")</f>
        <v/>
      </c>
      <c r="P803">
        <f>IF($Q803="","",INDEX(상세표[월 넘김 포함],$Q803)&amp;"")</f>
        <v/>
      </c>
      <c r="Q803" s="4">
        <f>IFERROR(MATCH(798,상세표[연속순번],0),"")</f>
        <v/>
      </c>
    </row>
    <row r="804">
      <c r="A804">
        <f>IF($Q804="","",INDEX(상세표[부서],$Q804)&amp;"")</f>
        <v/>
      </c>
      <c r="B804">
        <f>IF($Q804="","",INDEX(상세표[사번],$Q804)&amp;"")</f>
        <v/>
      </c>
      <c r="C804">
        <f>IF($Q804="","",INDEX(상세표[성명],$Q804)&amp;"")</f>
        <v/>
      </c>
      <c r="D804">
        <f>IF($Q804="","",INDEX(상세표[직위],$Q804)&amp;"")</f>
        <v/>
      </c>
      <c r="E804">
        <f>IF($Q804="","",IF(ISNUMBER(INDEX(상세표[근무일자],$Q804)),TEXT(INDEX(상세표[근무일자],$Q804),"yyyy-mm-dd"),INDEX(상세표[근무일자],$Q804)&amp;""))</f>
        <v/>
      </c>
      <c r="F804">
        <f>IF($Q804="","",IF(ISNUMBER(INDEX(상세표[시작],$Q804)),TEXT(INDEX(상세표[시작],$Q804),"yyyy-mm-dd hh:mm"),INDEX(상세표[시작],$Q804)&amp;""))</f>
        <v/>
      </c>
      <c r="G804">
        <f>IF($Q804="","",IF(ISNUMBER(INDEX(상세표[블록종료],$Q804)),TEXT(INDEX(상세표[블록종료],$Q804),"yyyy-mm-dd hh:mm"),INDEX(상세표[블록종료],$Q804)&amp;""))</f>
        <v/>
      </c>
      <c r="H804">
        <f>IF($Q804="","",CHOOSE(WEEKDAY(INDEX(상세표[시작],$Q804)),"일","월","화","수","목","금","토"))</f>
        <v/>
      </c>
      <c r="I804" s="20">
        <f>IF($Q804="","",INDEX(상세표[연속 시간],$Q804))</f>
        <v/>
      </c>
      <c r="J804">
        <f>IF($Q804="","",INDEX(상세표[기록 수],$Q804))</f>
        <v/>
      </c>
      <c r="K804" s="20">
        <f>IF($Q804="","",INDEX(상세표[블록 06~07시],$Q804))</f>
        <v/>
      </c>
      <c r="L804" s="20">
        <f>IF($Q804="","",INDEX(상세표[블록 07~18시],$Q804))</f>
        <v/>
      </c>
      <c r="M804" s="20">
        <f>IF($Q804="","",INDEX(상세표[블록 18~22시],$Q804))</f>
        <v/>
      </c>
      <c r="N804" s="20">
        <f>IF($Q804="","",INDEX(상세표[블록 22~06시],$Q804))</f>
        <v/>
      </c>
      <c r="O804">
        <f>IF($Q804="","",INDEX(상세표[주말·휴일 포함],$Q804)&amp;"")</f>
        <v/>
      </c>
      <c r="P804">
        <f>IF($Q804="","",INDEX(상세표[월 넘김 포함],$Q804)&amp;"")</f>
        <v/>
      </c>
      <c r="Q804" s="4">
        <f>IFERROR(MATCH(799,상세표[연속순번],0),"")</f>
        <v/>
      </c>
    </row>
    <row r="805">
      <c r="A805">
        <f>IF($Q805="","",INDEX(상세표[부서],$Q805)&amp;"")</f>
        <v/>
      </c>
      <c r="B805">
        <f>IF($Q805="","",INDEX(상세표[사번],$Q805)&amp;"")</f>
        <v/>
      </c>
      <c r="C805">
        <f>IF($Q805="","",INDEX(상세표[성명],$Q805)&amp;"")</f>
        <v/>
      </c>
      <c r="D805">
        <f>IF($Q805="","",INDEX(상세표[직위],$Q805)&amp;"")</f>
        <v/>
      </c>
      <c r="E805">
        <f>IF($Q805="","",IF(ISNUMBER(INDEX(상세표[근무일자],$Q805)),TEXT(INDEX(상세표[근무일자],$Q805),"yyyy-mm-dd"),INDEX(상세표[근무일자],$Q805)&amp;""))</f>
        <v/>
      </c>
      <c r="F805">
        <f>IF($Q805="","",IF(ISNUMBER(INDEX(상세표[시작],$Q805)),TEXT(INDEX(상세표[시작],$Q805),"yyyy-mm-dd hh:mm"),INDEX(상세표[시작],$Q805)&amp;""))</f>
        <v/>
      </c>
      <c r="G805">
        <f>IF($Q805="","",IF(ISNUMBER(INDEX(상세표[블록종료],$Q805)),TEXT(INDEX(상세표[블록종료],$Q805),"yyyy-mm-dd hh:mm"),INDEX(상세표[블록종료],$Q805)&amp;""))</f>
        <v/>
      </c>
      <c r="H805">
        <f>IF($Q805="","",CHOOSE(WEEKDAY(INDEX(상세표[시작],$Q805)),"일","월","화","수","목","금","토"))</f>
        <v/>
      </c>
      <c r="I805" s="20">
        <f>IF($Q805="","",INDEX(상세표[연속 시간],$Q805))</f>
        <v/>
      </c>
      <c r="J805">
        <f>IF($Q805="","",INDEX(상세표[기록 수],$Q805))</f>
        <v/>
      </c>
      <c r="K805" s="20">
        <f>IF($Q805="","",INDEX(상세표[블록 06~07시],$Q805))</f>
        <v/>
      </c>
      <c r="L805" s="20">
        <f>IF($Q805="","",INDEX(상세표[블록 07~18시],$Q805))</f>
        <v/>
      </c>
      <c r="M805" s="20">
        <f>IF($Q805="","",INDEX(상세표[블록 18~22시],$Q805))</f>
        <v/>
      </c>
      <c r="N805" s="20">
        <f>IF($Q805="","",INDEX(상세표[블록 22~06시],$Q805))</f>
        <v/>
      </c>
      <c r="O805">
        <f>IF($Q805="","",INDEX(상세표[주말·휴일 포함],$Q805)&amp;"")</f>
        <v/>
      </c>
      <c r="P805">
        <f>IF($Q805="","",INDEX(상세표[월 넘김 포함],$Q805)&amp;"")</f>
        <v/>
      </c>
      <c r="Q805" s="4">
        <f>IFERROR(MATCH(800,상세표[연속순번],0),"")</f>
        <v/>
      </c>
    </row>
    <row r="806">
      <c r="A806">
        <f>IF($Q806="","",INDEX(상세표[부서],$Q806)&amp;"")</f>
        <v/>
      </c>
      <c r="B806">
        <f>IF($Q806="","",INDEX(상세표[사번],$Q806)&amp;"")</f>
        <v/>
      </c>
      <c r="C806">
        <f>IF($Q806="","",INDEX(상세표[성명],$Q806)&amp;"")</f>
        <v/>
      </c>
      <c r="D806">
        <f>IF($Q806="","",INDEX(상세표[직위],$Q806)&amp;"")</f>
        <v/>
      </c>
      <c r="E806">
        <f>IF($Q806="","",IF(ISNUMBER(INDEX(상세표[근무일자],$Q806)),TEXT(INDEX(상세표[근무일자],$Q806),"yyyy-mm-dd"),INDEX(상세표[근무일자],$Q806)&amp;""))</f>
        <v/>
      </c>
      <c r="F806">
        <f>IF($Q806="","",IF(ISNUMBER(INDEX(상세표[시작],$Q806)),TEXT(INDEX(상세표[시작],$Q806),"yyyy-mm-dd hh:mm"),INDEX(상세표[시작],$Q806)&amp;""))</f>
        <v/>
      </c>
      <c r="G806">
        <f>IF($Q806="","",IF(ISNUMBER(INDEX(상세표[블록종료],$Q806)),TEXT(INDEX(상세표[블록종료],$Q806),"yyyy-mm-dd hh:mm"),INDEX(상세표[블록종료],$Q806)&amp;""))</f>
        <v/>
      </c>
      <c r="H806">
        <f>IF($Q806="","",CHOOSE(WEEKDAY(INDEX(상세표[시작],$Q806)),"일","월","화","수","목","금","토"))</f>
        <v/>
      </c>
      <c r="I806" s="20">
        <f>IF($Q806="","",INDEX(상세표[연속 시간],$Q806))</f>
        <v/>
      </c>
      <c r="J806">
        <f>IF($Q806="","",INDEX(상세표[기록 수],$Q806))</f>
        <v/>
      </c>
      <c r="K806" s="20">
        <f>IF($Q806="","",INDEX(상세표[블록 06~07시],$Q806))</f>
        <v/>
      </c>
      <c r="L806" s="20">
        <f>IF($Q806="","",INDEX(상세표[블록 07~18시],$Q806))</f>
        <v/>
      </c>
      <c r="M806" s="20">
        <f>IF($Q806="","",INDEX(상세표[블록 18~22시],$Q806))</f>
        <v/>
      </c>
      <c r="N806" s="20">
        <f>IF($Q806="","",INDEX(상세표[블록 22~06시],$Q806))</f>
        <v/>
      </c>
      <c r="O806">
        <f>IF($Q806="","",INDEX(상세표[주말·휴일 포함],$Q806)&amp;"")</f>
        <v/>
      </c>
      <c r="P806">
        <f>IF($Q806="","",INDEX(상세표[월 넘김 포함],$Q806)&amp;"")</f>
        <v/>
      </c>
      <c r="Q806" s="4">
        <f>IFERROR(MATCH(801,상세표[연속순번],0),"")</f>
        <v/>
      </c>
    </row>
    <row r="807">
      <c r="A807">
        <f>IF($Q807="","",INDEX(상세표[부서],$Q807)&amp;"")</f>
        <v/>
      </c>
      <c r="B807">
        <f>IF($Q807="","",INDEX(상세표[사번],$Q807)&amp;"")</f>
        <v/>
      </c>
      <c r="C807">
        <f>IF($Q807="","",INDEX(상세표[성명],$Q807)&amp;"")</f>
        <v/>
      </c>
      <c r="D807">
        <f>IF($Q807="","",INDEX(상세표[직위],$Q807)&amp;"")</f>
        <v/>
      </c>
      <c r="E807">
        <f>IF($Q807="","",IF(ISNUMBER(INDEX(상세표[근무일자],$Q807)),TEXT(INDEX(상세표[근무일자],$Q807),"yyyy-mm-dd"),INDEX(상세표[근무일자],$Q807)&amp;""))</f>
        <v/>
      </c>
      <c r="F807">
        <f>IF($Q807="","",IF(ISNUMBER(INDEX(상세표[시작],$Q807)),TEXT(INDEX(상세표[시작],$Q807),"yyyy-mm-dd hh:mm"),INDEX(상세표[시작],$Q807)&amp;""))</f>
        <v/>
      </c>
      <c r="G807">
        <f>IF($Q807="","",IF(ISNUMBER(INDEX(상세표[블록종료],$Q807)),TEXT(INDEX(상세표[블록종료],$Q807),"yyyy-mm-dd hh:mm"),INDEX(상세표[블록종료],$Q807)&amp;""))</f>
        <v/>
      </c>
      <c r="H807">
        <f>IF($Q807="","",CHOOSE(WEEKDAY(INDEX(상세표[시작],$Q807)),"일","월","화","수","목","금","토"))</f>
        <v/>
      </c>
      <c r="I807" s="20">
        <f>IF($Q807="","",INDEX(상세표[연속 시간],$Q807))</f>
        <v/>
      </c>
      <c r="J807">
        <f>IF($Q807="","",INDEX(상세표[기록 수],$Q807))</f>
        <v/>
      </c>
      <c r="K807" s="20">
        <f>IF($Q807="","",INDEX(상세표[블록 06~07시],$Q807))</f>
        <v/>
      </c>
      <c r="L807" s="20">
        <f>IF($Q807="","",INDEX(상세표[블록 07~18시],$Q807))</f>
        <v/>
      </c>
      <c r="M807" s="20">
        <f>IF($Q807="","",INDEX(상세표[블록 18~22시],$Q807))</f>
        <v/>
      </c>
      <c r="N807" s="20">
        <f>IF($Q807="","",INDEX(상세표[블록 22~06시],$Q807))</f>
        <v/>
      </c>
      <c r="O807">
        <f>IF($Q807="","",INDEX(상세표[주말·휴일 포함],$Q807)&amp;"")</f>
        <v/>
      </c>
      <c r="P807">
        <f>IF($Q807="","",INDEX(상세표[월 넘김 포함],$Q807)&amp;"")</f>
        <v/>
      </c>
      <c r="Q807" s="4">
        <f>IFERROR(MATCH(802,상세표[연속순번],0),"")</f>
        <v/>
      </c>
    </row>
    <row r="808">
      <c r="A808">
        <f>IF($Q808="","",INDEX(상세표[부서],$Q808)&amp;"")</f>
        <v/>
      </c>
      <c r="B808">
        <f>IF($Q808="","",INDEX(상세표[사번],$Q808)&amp;"")</f>
        <v/>
      </c>
      <c r="C808">
        <f>IF($Q808="","",INDEX(상세표[성명],$Q808)&amp;"")</f>
        <v/>
      </c>
      <c r="D808">
        <f>IF($Q808="","",INDEX(상세표[직위],$Q808)&amp;"")</f>
        <v/>
      </c>
      <c r="E808">
        <f>IF($Q808="","",IF(ISNUMBER(INDEX(상세표[근무일자],$Q808)),TEXT(INDEX(상세표[근무일자],$Q808),"yyyy-mm-dd"),INDEX(상세표[근무일자],$Q808)&amp;""))</f>
        <v/>
      </c>
      <c r="F808">
        <f>IF($Q808="","",IF(ISNUMBER(INDEX(상세표[시작],$Q808)),TEXT(INDEX(상세표[시작],$Q808),"yyyy-mm-dd hh:mm"),INDEX(상세표[시작],$Q808)&amp;""))</f>
        <v/>
      </c>
      <c r="G808">
        <f>IF($Q808="","",IF(ISNUMBER(INDEX(상세표[블록종료],$Q808)),TEXT(INDEX(상세표[블록종료],$Q808),"yyyy-mm-dd hh:mm"),INDEX(상세표[블록종료],$Q808)&amp;""))</f>
        <v/>
      </c>
      <c r="H808">
        <f>IF($Q808="","",CHOOSE(WEEKDAY(INDEX(상세표[시작],$Q808)),"일","월","화","수","목","금","토"))</f>
        <v/>
      </c>
      <c r="I808" s="20">
        <f>IF($Q808="","",INDEX(상세표[연속 시간],$Q808))</f>
        <v/>
      </c>
      <c r="J808">
        <f>IF($Q808="","",INDEX(상세표[기록 수],$Q808))</f>
        <v/>
      </c>
      <c r="K808" s="20">
        <f>IF($Q808="","",INDEX(상세표[블록 06~07시],$Q808))</f>
        <v/>
      </c>
      <c r="L808" s="20">
        <f>IF($Q808="","",INDEX(상세표[블록 07~18시],$Q808))</f>
        <v/>
      </c>
      <c r="M808" s="20">
        <f>IF($Q808="","",INDEX(상세표[블록 18~22시],$Q808))</f>
        <v/>
      </c>
      <c r="N808" s="20">
        <f>IF($Q808="","",INDEX(상세표[블록 22~06시],$Q808))</f>
        <v/>
      </c>
      <c r="O808">
        <f>IF($Q808="","",INDEX(상세표[주말·휴일 포함],$Q808)&amp;"")</f>
        <v/>
      </c>
      <c r="P808">
        <f>IF($Q808="","",INDEX(상세표[월 넘김 포함],$Q808)&amp;"")</f>
        <v/>
      </c>
      <c r="Q808" s="4">
        <f>IFERROR(MATCH(803,상세표[연속순번],0),"")</f>
        <v/>
      </c>
    </row>
    <row r="809">
      <c r="A809">
        <f>IF($Q809="","",INDEX(상세표[부서],$Q809)&amp;"")</f>
        <v/>
      </c>
      <c r="B809">
        <f>IF($Q809="","",INDEX(상세표[사번],$Q809)&amp;"")</f>
        <v/>
      </c>
      <c r="C809">
        <f>IF($Q809="","",INDEX(상세표[성명],$Q809)&amp;"")</f>
        <v/>
      </c>
      <c r="D809">
        <f>IF($Q809="","",INDEX(상세표[직위],$Q809)&amp;"")</f>
        <v/>
      </c>
      <c r="E809">
        <f>IF($Q809="","",IF(ISNUMBER(INDEX(상세표[근무일자],$Q809)),TEXT(INDEX(상세표[근무일자],$Q809),"yyyy-mm-dd"),INDEX(상세표[근무일자],$Q809)&amp;""))</f>
        <v/>
      </c>
      <c r="F809">
        <f>IF($Q809="","",IF(ISNUMBER(INDEX(상세표[시작],$Q809)),TEXT(INDEX(상세표[시작],$Q809),"yyyy-mm-dd hh:mm"),INDEX(상세표[시작],$Q809)&amp;""))</f>
        <v/>
      </c>
      <c r="G809">
        <f>IF($Q809="","",IF(ISNUMBER(INDEX(상세표[블록종료],$Q809)),TEXT(INDEX(상세표[블록종료],$Q809),"yyyy-mm-dd hh:mm"),INDEX(상세표[블록종료],$Q809)&amp;""))</f>
        <v/>
      </c>
      <c r="H809">
        <f>IF($Q809="","",CHOOSE(WEEKDAY(INDEX(상세표[시작],$Q809)),"일","월","화","수","목","금","토"))</f>
        <v/>
      </c>
      <c r="I809" s="20">
        <f>IF($Q809="","",INDEX(상세표[연속 시간],$Q809))</f>
        <v/>
      </c>
      <c r="J809">
        <f>IF($Q809="","",INDEX(상세표[기록 수],$Q809))</f>
        <v/>
      </c>
      <c r="K809" s="20">
        <f>IF($Q809="","",INDEX(상세표[블록 06~07시],$Q809))</f>
        <v/>
      </c>
      <c r="L809" s="20">
        <f>IF($Q809="","",INDEX(상세표[블록 07~18시],$Q809))</f>
        <v/>
      </c>
      <c r="M809" s="20">
        <f>IF($Q809="","",INDEX(상세표[블록 18~22시],$Q809))</f>
        <v/>
      </c>
      <c r="N809" s="20">
        <f>IF($Q809="","",INDEX(상세표[블록 22~06시],$Q809))</f>
        <v/>
      </c>
      <c r="O809">
        <f>IF($Q809="","",INDEX(상세표[주말·휴일 포함],$Q809)&amp;"")</f>
        <v/>
      </c>
      <c r="P809">
        <f>IF($Q809="","",INDEX(상세표[월 넘김 포함],$Q809)&amp;"")</f>
        <v/>
      </c>
      <c r="Q809" s="4">
        <f>IFERROR(MATCH(804,상세표[연속순번],0),"")</f>
        <v/>
      </c>
    </row>
    <row r="810">
      <c r="A810">
        <f>IF($Q810="","",INDEX(상세표[부서],$Q810)&amp;"")</f>
        <v/>
      </c>
      <c r="B810">
        <f>IF($Q810="","",INDEX(상세표[사번],$Q810)&amp;"")</f>
        <v/>
      </c>
      <c r="C810">
        <f>IF($Q810="","",INDEX(상세표[성명],$Q810)&amp;"")</f>
        <v/>
      </c>
      <c r="D810">
        <f>IF($Q810="","",INDEX(상세표[직위],$Q810)&amp;"")</f>
        <v/>
      </c>
      <c r="E810">
        <f>IF($Q810="","",IF(ISNUMBER(INDEX(상세표[근무일자],$Q810)),TEXT(INDEX(상세표[근무일자],$Q810),"yyyy-mm-dd"),INDEX(상세표[근무일자],$Q810)&amp;""))</f>
        <v/>
      </c>
      <c r="F810">
        <f>IF($Q810="","",IF(ISNUMBER(INDEX(상세표[시작],$Q810)),TEXT(INDEX(상세표[시작],$Q810),"yyyy-mm-dd hh:mm"),INDEX(상세표[시작],$Q810)&amp;""))</f>
        <v/>
      </c>
      <c r="G810">
        <f>IF($Q810="","",IF(ISNUMBER(INDEX(상세표[블록종료],$Q810)),TEXT(INDEX(상세표[블록종료],$Q810),"yyyy-mm-dd hh:mm"),INDEX(상세표[블록종료],$Q810)&amp;""))</f>
        <v/>
      </c>
      <c r="H810">
        <f>IF($Q810="","",CHOOSE(WEEKDAY(INDEX(상세표[시작],$Q810)),"일","월","화","수","목","금","토"))</f>
        <v/>
      </c>
      <c r="I810" s="20">
        <f>IF($Q810="","",INDEX(상세표[연속 시간],$Q810))</f>
        <v/>
      </c>
      <c r="J810">
        <f>IF($Q810="","",INDEX(상세표[기록 수],$Q810))</f>
        <v/>
      </c>
      <c r="K810" s="20">
        <f>IF($Q810="","",INDEX(상세표[블록 06~07시],$Q810))</f>
        <v/>
      </c>
      <c r="L810" s="20">
        <f>IF($Q810="","",INDEX(상세표[블록 07~18시],$Q810))</f>
        <v/>
      </c>
      <c r="M810" s="20">
        <f>IF($Q810="","",INDEX(상세표[블록 18~22시],$Q810))</f>
        <v/>
      </c>
      <c r="N810" s="20">
        <f>IF($Q810="","",INDEX(상세표[블록 22~06시],$Q810))</f>
        <v/>
      </c>
      <c r="O810">
        <f>IF($Q810="","",INDEX(상세표[주말·휴일 포함],$Q810)&amp;"")</f>
        <v/>
      </c>
      <c r="P810">
        <f>IF($Q810="","",INDEX(상세표[월 넘김 포함],$Q810)&amp;"")</f>
        <v/>
      </c>
      <c r="Q810" s="4">
        <f>IFERROR(MATCH(805,상세표[연속순번],0),"")</f>
        <v/>
      </c>
    </row>
    <row r="811">
      <c r="A811">
        <f>IF($Q811="","",INDEX(상세표[부서],$Q811)&amp;"")</f>
        <v/>
      </c>
      <c r="B811">
        <f>IF($Q811="","",INDEX(상세표[사번],$Q811)&amp;"")</f>
        <v/>
      </c>
      <c r="C811">
        <f>IF($Q811="","",INDEX(상세표[성명],$Q811)&amp;"")</f>
        <v/>
      </c>
      <c r="D811">
        <f>IF($Q811="","",INDEX(상세표[직위],$Q811)&amp;"")</f>
        <v/>
      </c>
      <c r="E811">
        <f>IF($Q811="","",IF(ISNUMBER(INDEX(상세표[근무일자],$Q811)),TEXT(INDEX(상세표[근무일자],$Q811),"yyyy-mm-dd"),INDEX(상세표[근무일자],$Q811)&amp;""))</f>
        <v/>
      </c>
      <c r="F811">
        <f>IF($Q811="","",IF(ISNUMBER(INDEX(상세표[시작],$Q811)),TEXT(INDEX(상세표[시작],$Q811),"yyyy-mm-dd hh:mm"),INDEX(상세표[시작],$Q811)&amp;""))</f>
        <v/>
      </c>
      <c r="G811">
        <f>IF($Q811="","",IF(ISNUMBER(INDEX(상세표[블록종료],$Q811)),TEXT(INDEX(상세표[블록종료],$Q811),"yyyy-mm-dd hh:mm"),INDEX(상세표[블록종료],$Q811)&amp;""))</f>
        <v/>
      </c>
      <c r="H811">
        <f>IF($Q811="","",CHOOSE(WEEKDAY(INDEX(상세표[시작],$Q811)),"일","월","화","수","목","금","토"))</f>
        <v/>
      </c>
      <c r="I811" s="20">
        <f>IF($Q811="","",INDEX(상세표[연속 시간],$Q811))</f>
        <v/>
      </c>
      <c r="J811">
        <f>IF($Q811="","",INDEX(상세표[기록 수],$Q811))</f>
        <v/>
      </c>
      <c r="K811" s="20">
        <f>IF($Q811="","",INDEX(상세표[블록 06~07시],$Q811))</f>
        <v/>
      </c>
      <c r="L811" s="20">
        <f>IF($Q811="","",INDEX(상세표[블록 07~18시],$Q811))</f>
        <v/>
      </c>
      <c r="M811" s="20">
        <f>IF($Q811="","",INDEX(상세표[블록 18~22시],$Q811))</f>
        <v/>
      </c>
      <c r="N811" s="20">
        <f>IF($Q811="","",INDEX(상세표[블록 22~06시],$Q811))</f>
        <v/>
      </c>
      <c r="O811">
        <f>IF($Q811="","",INDEX(상세표[주말·휴일 포함],$Q811)&amp;"")</f>
        <v/>
      </c>
      <c r="P811">
        <f>IF($Q811="","",INDEX(상세표[월 넘김 포함],$Q811)&amp;"")</f>
        <v/>
      </c>
      <c r="Q811" s="4">
        <f>IFERROR(MATCH(806,상세표[연속순번],0),"")</f>
        <v/>
      </c>
    </row>
    <row r="812">
      <c r="A812">
        <f>IF($Q812="","",INDEX(상세표[부서],$Q812)&amp;"")</f>
        <v/>
      </c>
      <c r="B812">
        <f>IF($Q812="","",INDEX(상세표[사번],$Q812)&amp;"")</f>
        <v/>
      </c>
      <c r="C812">
        <f>IF($Q812="","",INDEX(상세표[성명],$Q812)&amp;"")</f>
        <v/>
      </c>
      <c r="D812">
        <f>IF($Q812="","",INDEX(상세표[직위],$Q812)&amp;"")</f>
        <v/>
      </c>
      <c r="E812">
        <f>IF($Q812="","",IF(ISNUMBER(INDEX(상세표[근무일자],$Q812)),TEXT(INDEX(상세표[근무일자],$Q812),"yyyy-mm-dd"),INDEX(상세표[근무일자],$Q812)&amp;""))</f>
        <v/>
      </c>
      <c r="F812">
        <f>IF($Q812="","",IF(ISNUMBER(INDEX(상세표[시작],$Q812)),TEXT(INDEX(상세표[시작],$Q812),"yyyy-mm-dd hh:mm"),INDEX(상세표[시작],$Q812)&amp;""))</f>
        <v/>
      </c>
      <c r="G812">
        <f>IF($Q812="","",IF(ISNUMBER(INDEX(상세표[블록종료],$Q812)),TEXT(INDEX(상세표[블록종료],$Q812),"yyyy-mm-dd hh:mm"),INDEX(상세표[블록종료],$Q812)&amp;""))</f>
        <v/>
      </c>
      <c r="H812">
        <f>IF($Q812="","",CHOOSE(WEEKDAY(INDEX(상세표[시작],$Q812)),"일","월","화","수","목","금","토"))</f>
        <v/>
      </c>
      <c r="I812" s="20">
        <f>IF($Q812="","",INDEX(상세표[연속 시간],$Q812))</f>
        <v/>
      </c>
      <c r="J812">
        <f>IF($Q812="","",INDEX(상세표[기록 수],$Q812))</f>
        <v/>
      </c>
      <c r="K812" s="20">
        <f>IF($Q812="","",INDEX(상세표[블록 06~07시],$Q812))</f>
        <v/>
      </c>
      <c r="L812" s="20">
        <f>IF($Q812="","",INDEX(상세표[블록 07~18시],$Q812))</f>
        <v/>
      </c>
      <c r="M812" s="20">
        <f>IF($Q812="","",INDEX(상세표[블록 18~22시],$Q812))</f>
        <v/>
      </c>
      <c r="N812" s="20">
        <f>IF($Q812="","",INDEX(상세표[블록 22~06시],$Q812))</f>
        <v/>
      </c>
      <c r="O812">
        <f>IF($Q812="","",INDEX(상세표[주말·휴일 포함],$Q812)&amp;"")</f>
        <v/>
      </c>
      <c r="P812">
        <f>IF($Q812="","",INDEX(상세표[월 넘김 포함],$Q812)&amp;"")</f>
        <v/>
      </c>
      <c r="Q812" s="4">
        <f>IFERROR(MATCH(807,상세표[연속순번],0),"")</f>
        <v/>
      </c>
    </row>
    <row r="813">
      <c r="A813">
        <f>IF($Q813="","",INDEX(상세표[부서],$Q813)&amp;"")</f>
        <v/>
      </c>
      <c r="B813">
        <f>IF($Q813="","",INDEX(상세표[사번],$Q813)&amp;"")</f>
        <v/>
      </c>
      <c r="C813">
        <f>IF($Q813="","",INDEX(상세표[성명],$Q813)&amp;"")</f>
        <v/>
      </c>
      <c r="D813">
        <f>IF($Q813="","",INDEX(상세표[직위],$Q813)&amp;"")</f>
        <v/>
      </c>
      <c r="E813">
        <f>IF($Q813="","",IF(ISNUMBER(INDEX(상세표[근무일자],$Q813)),TEXT(INDEX(상세표[근무일자],$Q813),"yyyy-mm-dd"),INDEX(상세표[근무일자],$Q813)&amp;""))</f>
        <v/>
      </c>
      <c r="F813">
        <f>IF($Q813="","",IF(ISNUMBER(INDEX(상세표[시작],$Q813)),TEXT(INDEX(상세표[시작],$Q813),"yyyy-mm-dd hh:mm"),INDEX(상세표[시작],$Q813)&amp;""))</f>
        <v/>
      </c>
      <c r="G813">
        <f>IF($Q813="","",IF(ISNUMBER(INDEX(상세표[블록종료],$Q813)),TEXT(INDEX(상세표[블록종료],$Q813),"yyyy-mm-dd hh:mm"),INDEX(상세표[블록종료],$Q813)&amp;""))</f>
        <v/>
      </c>
      <c r="H813">
        <f>IF($Q813="","",CHOOSE(WEEKDAY(INDEX(상세표[시작],$Q813)),"일","월","화","수","목","금","토"))</f>
        <v/>
      </c>
      <c r="I813" s="20">
        <f>IF($Q813="","",INDEX(상세표[연속 시간],$Q813))</f>
        <v/>
      </c>
      <c r="J813">
        <f>IF($Q813="","",INDEX(상세표[기록 수],$Q813))</f>
        <v/>
      </c>
      <c r="K813" s="20">
        <f>IF($Q813="","",INDEX(상세표[블록 06~07시],$Q813))</f>
        <v/>
      </c>
      <c r="L813" s="20">
        <f>IF($Q813="","",INDEX(상세표[블록 07~18시],$Q813))</f>
        <v/>
      </c>
      <c r="M813" s="20">
        <f>IF($Q813="","",INDEX(상세표[블록 18~22시],$Q813))</f>
        <v/>
      </c>
      <c r="N813" s="20">
        <f>IF($Q813="","",INDEX(상세표[블록 22~06시],$Q813))</f>
        <v/>
      </c>
      <c r="O813">
        <f>IF($Q813="","",INDEX(상세표[주말·휴일 포함],$Q813)&amp;"")</f>
        <v/>
      </c>
      <c r="P813">
        <f>IF($Q813="","",INDEX(상세표[월 넘김 포함],$Q813)&amp;"")</f>
        <v/>
      </c>
      <c r="Q813" s="4">
        <f>IFERROR(MATCH(808,상세표[연속순번],0),"")</f>
        <v/>
      </c>
    </row>
    <row r="814">
      <c r="A814">
        <f>IF($Q814="","",INDEX(상세표[부서],$Q814)&amp;"")</f>
        <v/>
      </c>
      <c r="B814">
        <f>IF($Q814="","",INDEX(상세표[사번],$Q814)&amp;"")</f>
        <v/>
      </c>
      <c r="C814">
        <f>IF($Q814="","",INDEX(상세표[성명],$Q814)&amp;"")</f>
        <v/>
      </c>
      <c r="D814">
        <f>IF($Q814="","",INDEX(상세표[직위],$Q814)&amp;"")</f>
        <v/>
      </c>
      <c r="E814">
        <f>IF($Q814="","",IF(ISNUMBER(INDEX(상세표[근무일자],$Q814)),TEXT(INDEX(상세표[근무일자],$Q814),"yyyy-mm-dd"),INDEX(상세표[근무일자],$Q814)&amp;""))</f>
        <v/>
      </c>
      <c r="F814">
        <f>IF($Q814="","",IF(ISNUMBER(INDEX(상세표[시작],$Q814)),TEXT(INDEX(상세표[시작],$Q814),"yyyy-mm-dd hh:mm"),INDEX(상세표[시작],$Q814)&amp;""))</f>
        <v/>
      </c>
      <c r="G814">
        <f>IF($Q814="","",IF(ISNUMBER(INDEX(상세표[블록종료],$Q814)),TEXT(INDEX(상세표[블록종료],$Q814),"yyyy-mm-dd hh:mm"),INDEX(상세표[블록종료],$Q814)&amp;""))</f>
        <v/>
      </c>
      <c r="H814">
        <f>IF($Q814="","",CHOOSE(WEEKDAY(INDEX(상세표[시작],$Q814)),"일","월","화","수","목","금","토"))</f>
        <v/>
      </c>
      <c r="I814" s="20">
        <f>IF($Q814="","",INDEX(상세표[연속 시간],$Q814))</f>
        <v/>
      </c>
      <c r="J814">
        <f>IF($Q814="","",INDEX(상세표[기록 수],$Q814))</f>
        <v/>
      </c>
      <c r="K814" s="20">
        <f>IF($Q814="","",INDEX(상세표[블록 06~07시],$Q814))</f>
        <v/>
      </c>
      <c r="L814" s="20">
        <f>IF($Q814="","",INDEX(상세표[블록 07~18시],$Q814))</f>
        <v/>
      </c>
      <c r="M814" s="20">
        <f>IF($Q814="","",INDEX(상세표[블록 18~22시],$Q814))</f>
        <v/>
      </c>
      <c r="N814" s="20">
        <f>IF($Q814="","",INDEX(상세표[블록 22~06시],$Q814))</f>
        <v/>
      </c>
      <c r="O814">
        <f>IF($Q814="","",INDEX(상세표[주말·휴일 포함],$Q814)&amp;"")</f>
        <v/>
      </c>
      <c r="P814">
        <f>IF($Q814="","",INDEX(상세표[월 넘김 포함],$Q814)&amp;"")</f>
        <v/>
      </c>
      <c r="Q814" s="4">
        <f>IFERROR(MATCH(809,상세표[연속순번],0),"")</f>
        <v/>
      </c>
    </row>
    <row r="815">
      <c r="A815">
        <f>IF($Q815="","",INDEX(상세표[부서],$Q815)&amp;"")</f>
        <v/>
      </c>
      <c r="B815">
        <f>IF($Q815="","",INDEX(상세표[사번],$Q815)&amp;"")</f>
        <v/>
      </c>
      <c r="C815">
        <f>IF($Q815="","",INDEX(상세표[성명],$Q815)&amp;"")</f>
        <v/>
      </c>
      <c r="D815">
        <f>IF($Q815="","",INDEX(상세표[직위],$Q815)&amp;"")</f>
        <v/>
      </c>
      <c r="E815">
        <f>IF($Q815="","",IF(ISNUMBER(INDEX(상세표[근무일자],$Q815)),TEXT(INDEX(상세표[근무일자],$Q815),"yyyy-mm-dd"),INDEX(상세표[근무일자],$Q815)&amp;""))</f>
        <v/>
      </c>
      <c r="F815">
        <f>IF($Q815="","",IF(ISNUMBER(INDEX(상세표[시작],$Q815)),TEXT(INDEX(상세표[시작],$Q815),"yyyy-mm-dd hh:mm"),INDEX(상세표[시작],$Q815)&amp;""))</f>
        <v/>
      </c>
      <c r="G815">
        <f>IF($Q815="","",IF(ISNUMBER(INDEX(상세표[블록종료],$Q815)),TEXT(INDEX(상세표[블록종료],$Q815),"yyyy-mm-dd hh:mm"),INDEX(상세표[블록종료],$Q815)&amp;""))</f>
        <v/>
      </c>
      <c r="H815">
        <f>IF($Q815="","",CHOOSE(WEEKDAY(INDEX(상세표[시작],$Q815)),"일","월","화","수","목","금","토"))</f>
        <v/>
      </c>
      <c r="I815" s="20">
        <f>IF($Q815="","",INDEX(상세표[연속 시간],$Q815))</f>
        <v/>
      </c>
      <c r="J815">
        <f>IF($Q815="","",INDEX(상세표[기록 수],$Q815))</f>
        <v/>
      </c>
      <c r="K815" s="20">
        <f>IF($Q815="","",INDEX(상세표[블록 06~07시],$Q815))</f>
        <v/>
      </c>
      <c r="L815" s="20">
        <f>IF($Q815="","",INDEX(상세표[블록 07~18시],$Q815))</f>
        <v/>
      </c>
      <c r="M815" s="20">
        <f>IF($Q815="","",INDEX(상세표[블록 18~22시],$Q815))</f>
        <v/>
      </c>
      <c r="N815" s="20">
        <f>IF($Q815="","",INDEX(상세표[블록 22~06시],$Q815))</f>
        <v/>
      </c>
      <c r="O815">
        <f>IF($Q815="","",INDEX(상세표[주말·휴일 포함],$Q815)&amp;"")</f>
        <v/>
      </c>
      <c r="P815">
        <f>IF($Q815="","",INDEX(상세표[월 넘김 포함],$Q815)&amp;"")</f>
        <v/>
      </c>
      <c r="Q815" s="4">
        <f>IFERROR(MATCH(810,상세표[연속순번],0),"")</f>
        <v/>
      </c>
    </row>
    <row r="816">
      <c r="A816">
        <f>IF($Q816="","",INDEX(상세표[부서],$Q816)&amp;"")</f>
        <v/>
      </c>
      <c r="B816">
        <f>IF($Q816="","",INDEX(상세표[사번],$Q816)&amp;"")</f>
        <v/>
      </c>
      <c r="C816">
        <f>IF($Q816="","",INDEX(상세표[성명],$Q816)&amp;"")</f>
        <v/>
      </c>
      <c r="D816">
        <f>IF($Q816="","",INDEX(상세표[직위],$Q816)&amp;"")</f>
        <v/>
      </c>
      <c r="E816">
        <f>IF($Q816="","",IF(ISNUMBER(INDEX(상세표[근무일자],$Q816)),TEXT(INDEX(상세표[근무일자],$Q816),"yyyy-mm-dd"),INDEX(상세표[근무일자],$Q816)&amp;""))</f>
        <v/>
      </c>
      <c r="F816">
        <f>IF($Q816="","",IF(ISNUMBER(INDEX(상세표[시작],$Q816)),TEXT(INDEX(상세표[시작],$Q816),"yyyy-mm-dd hh:mm"),INDEX(상세표[시작],$Q816)&amp;""))</f>
        <v/>
      </c>
      <c r="G816">
        <f>IF($Q816="","",IF(ISNUMBER(INDEX(상세표[블록종료],$Q816)),TEXT(INDEX(상세표[블록종료],$Q816),"yyyy-mm-dd hh:mm"),INDEX(상세표[블록종료],$Q816)&amp;""))</f>
        <v/>
      </c>
      <c r="H816">
        <f>IF($Q816="","",CHOOSE(WEEKDAY(INDEX(상세표[시작],$Q816)),"일","월","화","수","목","금","토"))</f>
        <v/>
      </c>
      <c r="I816" s="20">
        <f>IF($Q816="","",INDEX(상세표[연속 시간],$Q816))</f>
        <v/>
      </c>
      <c r="J816">
        <f>IF($Q816="","",INDEX(상세표[기록 수],$Q816))</f>
        <v/>
      </c>
      <c r="K816" s="20">
        <f>IF($Q816="","",INDEX(상세표[블록 06~07시],$Q816))</f>
        <v/>
      </c>
      <c r="L816" s="20">
        <f>IF($Q816="","",INDEX(상세표[블록 07~18시],$Q816))</f>
        <v/>
      </c>
      <c r="M816" s="20">
        <f>IF($Q816="","",INDEX(상세표[블록 18~22시],$Q816))</f>
        <v/>
      </c>
      <c r="N816" s="20">
        <f>IF($Q816="","",INDEX(상세표[블록 22~06시],$Q816))</f>
        <v/>
      </c>
      <c r="O816">
        <f>IF($Q816="","",INDEX(상세표[주말·휴일 포함],$Q816)&amp;"")</f>
        <v/>
      </c>
      <c r="P816">
        <f>IF($Q816="","",INDEX(상세표[월 넘김 포함],$Q816)&amp;"")</f>
        <v/>
      </c>
      <c r="Q816" s="4">
        <f>IFERROR(MATCH(811,상세표[연속순번],0),"")</f>
        <v/>
      </c>
    </row>
    <row r="817">
      <c r="A817">
        <f>IF($Q817="","",INDEX(상세표[부서],$Q817)&amp;"")</f>
        <v/>
      </c>
      <c r="B817">
        <f>IF($Q817="","",INDEX(상세표[사번],$Q817)&amp;"")</f>
        <v/>
      </c>
      <c r="C817">
        <f>IF($Q817="","",INDEX(상세표[성명],$Q817)&amp;"")</f>
        <v/>
      </c>
      <c r="D817">
        <f>IF($Q817="","",INDEX(상세표[직위],$Q817)&amp;"")</f>
        <v/>
      </c>
      <c r="E817">
        <f>IF($Q817="","",IF(ISNUMBER(INDEX(상세표[근무일자],$Q817)),TEXT(INDEX(상세표[근무일자],$Q817),"yyyy-mm-dd"),INDEX(상세표[근무일자],$Q817)&amp;""))</f>
        <v/>
      </c>
      <c r="F817">
        <f>IF($Q817="","",IF(ISNUMBER(INDEX(상세표[시작],$Q817)),TEXT(INDEX(상세표[시작],$Q817),"yyyy-mm-dd hh:mm"),INDEX(상세표[시작],$Q817)&amp;""))</f>
        <v/>
      </c>
      <c r="G817">
        <f>IF($Q817="","",IF(ISNUMBER(INDEX(상세표[블록종료],$Q817)),TEXT(INDEX(상세표[블록종료],$Q817),"yyyy-mm-dd hh:mm"),INDEX(상세표[블록종료],$Q817)&amp;""))</f>
        <v/>
      </c>
      <c r="H817">
        <f>IF($Q817="","",CHOOSE(WEEKDAY(INDEX(상세표[시작],$Q817)),"일","월","화","수","목","금","토"))</f>
        <v/>
      </c>
      <c r="I817" s="20">
        <f>IF($Q817="","",INDEX(상세표[연속 시간],$Q817))</f>
        <v/>
      </c>
      <c r="J817">
        <f>IF($Q817="","",INDEX(상세표[기록 수],$Q817))</f>
        <v/>
      </c>
      <c r="K817" s="20">
        <f>IF($Q817="","",INDEX(상세표[블록 06~07시],$Q817))</f>
        <v/>
      </c>
      <c r="L817" s="20">
        <f>IF($Q817="","",INDEX(상세표[블록 07~18시],$Q817))</f>
        <v/>
      </c>
      <c r="M817" s="20">
        <f>IF($Q817="","",INDEX(상세표[블록 18~22시],$Q817))</f>
        <v/>
      </c>
      <c r="N817" s="20">
        <f>IF($Q817="","",INDEX(상세표[블록 22~06시],$Q817))</f>
        <v/>
      </c>
      <c r="O817">
        <f>IF($Q817="","",INDEX(상세표[주말·휴일 포함],$Q817)&amp;"")</f>
        <v/>
      </c>
      <c r="P817">
        <f>IF($Q817="","",INDEX(상세표[월 넘김 포함],$Q817)&amp;"")</f>
        <v/>
      </c>
      <c r="Q817" s="4">
        <f>IFERROR(MATCH(812,상세표[연속순번],0),"")</f>
        <v/>
      </c>
    </row>
    <row r="818">
      <c r="A818">
        <f>IF($Q818="","",INDEX(상세표[부서],$Q818)&amp;"")</f>
        <v/>
      </c>
      <c r="B818">
        <f>IF($Q818="","",INDEX(상세표[사번],$Q818)&amp;"")</f>
        <v/>
      </c>
      <c r="C818">
        <f>IF($Q818="","",INDEX(상세표[성명],$Q818)&amp;"")</f>
        <v/>
      </c>
      <c r="D818">
        <f>IF($Q818="","",INDEX(상세표[직위],$Q818)&amp;"")</f>
        <v/>
      </c>
      <c r="E818">
        <f>IF($Q818="","",IF(ISNUMBER(INDEX(상세표[근무일자],$Q818)),TEXT(INDEX(상세표[근무일자],$Q818),"yyyy-mm-dd"),INDEX(상세표[근무일자],$Q818)&amp;""))</f>
        <v/>
      </c>
      <c r="F818">
        <f>IF($Q818="","",IF(ISNUMBER(INDEX(상세표[시작],$Q818)),TEXT(INDEX(상세표[시작],$Q818),"yyyy-mm-dd hh:mm"),INDEX(상세표[시작],$Q818)&amp;""))</f>
        <v/>
      </c>
      <c r="G818">
        <f>IF($Q818="","",IF(ISNUMBER(INDEX(상세표[블록종료],$Q818)),TEXT(INDEX(상세표[블록종료],$Q818),"yyyy-mm-dd hh:mm"),INDEX(상세표[블록종료],$Q818)&amp;""))</f>
        <v/>
      </c>
      <c r="H818">
        <f>IF($Q818="","",CHOOSE(WEEKDAY(INDEX(상세표[시작],$Q818)),"일","월","화","수","목","금","토"))</f>
        <v/>
      </c>
      <c r="I818" s="20">
        <f>IF($Q818="","",INDEX(상세표[연속 시간],$Q818))</f>
        <v/>
      </c>
      <c r="J818">
        <f>IF($Q818="","",INDEX(상세표[기록 수],$Q818))</f>
        <v/>
      </c>
      <c r="K818" s="20">
        <f>IF($Q818="","",INDEX(상세표[블록 06~07시],$Q818))</f>
        <v/>
      </c>
      <c r="L818" s="20">
        <f>IF($Q818="","",INDEX(상세표[블록 07~18시],$Q818))</f>
        <v/>
      </c>
      <c r="M818" s="20">
        <f>IF($Q818="","",INDEX(상세표[블록 18~22시],$Q818))</f>
        <v/>
      </c>
      <c r="N818" s="20">
        <f>IF($Q818="","",INDEX(상세표[블록 22~06시],$Q818))</f>
        <v/>
      </c>
      <c r="O818">
        <f>IF($Q818="","",INDEX(상세표[주말·휴일 포함],$Q818)&amp;"")</f>
        <v/>
      </c>
      <c r="P818">
        <f>IF($Q818="","",INDEX(상세표[월 넘김 포함],$Q818)&amp;"")</f>
        <v/>
      </c>
      <c r="Q818" s="4">
        <f>IFERROR(MATCH(813,상세표[연속순번],0),"")</f>
        <v/>
      </c>
    </row>
    <row r="819">
      <c r="A819">
        <f>IF($Q819="","",INDEX(상세표[부서],$Q819)&amp;"")</f>
        <v/>
      </c>
      <c r="B819">
        <f>IF($Q819="","",INDEX(상세표[사번],$Q819)&amp;"")</f>
        <v/>
      </c>
      <c r="C819">
        <f>IF($Q819="","",INDEX(상세표[성명],$Q819)&amp;"")</f>
        <v/>
      </c>
      <c r="D819">
        <f>IF($Q819="","",INDEX(상세표[직위],$Q819)&amp;"")</f>
        <v/>
      </c>
      <c r="E819">
        <f>IF($Q819="","",IF(ISNUMBER(INDEX(상세표[근무일자],$Q819)),TEXT(INDEX(상세표[근무일자],$Q819),"yyyy-mm-dd"),INDEX(상세표[근무일자],$Q819)&amp;""))</f>
        <v/>
      </c>
      <c r="F819">
        <f>IF($Q819="","",IF(ISNUMBER(INDEX(상세표[시작],$Q819)),TEXT(INDEX(상세표[시작],$Q819),"yyyy-mm-dd hh:mm"),INDEX(상세표[시작],$Q819)&amp;""))</f>
        <v/>
      </c>
      <c r="G819">
        <f>IF($Q819="","",IF(ISNUMBER(INDEX(상세표[블록종료],$Q819)),TEXT(INDEX(상세표[블록종료],$Q819),"yyyy-mm-dd hh:mm"),INDEX(상세표[블록종료],$Q819)&amp;""))</f>
        <v/>
      </c>
      <c r="H819">
        <f>IF($Q819="","",CHOOSE(WEEKDAY(INDEX(상세표[시작],$Q819)),"일","월","화","수","목","금","토"))</f>
        <v/>
      </c>
      <c r="I819" s="20">
        <f>IF($Q819="","",INDEX(상세표[연속 시간],$Q819))</f>
        <v/>
      </c>
      <c r="J819">
        <f>IF($Q819="","",INDEX(상세표[기록 수],$Q819))</f>
        <v/>
      </c>
      <c r="K819" s="20">
        <f>IF($Q819="","",INDEX(상세표[블록 06~07시],$Q819))</f>
        <v/>
      </c>
      <c r="L819" s="20">
        <f>IF($Q819="","",INDEX(상세표[블록 07~18시],$Q819))</f>
        <v/>
      </c>
      <c r="M819" s="20">
        <f>IF($Q819="","",INDEX(상세표[블록 18~22시],$Q819))</f>
        <v/>
      </c>
      <c r="N819" s="20">
        <f>IF($Q819="","",INDEX(상세표[블록 22~06시],$Q819))</f>
        <v/>
      </c>
      <c r="O819">
        <f>IF($Q819="","",INDEX(상세표[주말·휴일 포함],$Q819)&amp;"")</f>
        <v/>
      </c>
      <c r="P819">
        <f>IF($Q819="","",INDEX(상세표[월 넘김 포함],$Q819)&amp;"")</f>
        <v/>
      </c>
      <c r="Q819" s="4">
        <f>IFERROR(MATCH(814,상세표[연속순번],0),"")</f>
        <v/>
      </c>
    </row>
    <row r="820">
      <c r="A820">
        <f>IF($Q820="","",INDEX(상세표[부서],$Q820)&amp;"")</f>
        <v/>
      </c>
      <c r="B820">
        <f>IF($Q820="","",INDEX(상세표[사번],$Q820)&amp;"")</f>
        <v/>
      </c>
      <c r="C820">
        <f>IF($Q820="","",INDEX(상세표[성명],$Q820)&amp;"")</f>
        <v/>
      </c>
      <c r="D820">
        <f>IF($Q820="","",INDEX(상세표[직위],$Q820)&amp;"")</f>
        <v/>
      </c>
      <c r="E820">
        <f>IF($Q820="","",IF(ISNUMBER(INDEX(상세표[근무일자],$Q820)),TEXT(INDEX(상세표[근무일자],$Q820),"yyyy-mm-dd"),INDEX(상세표[근무일자],$Q820)&amp;""))</f>
        <v/>
      </c>
      <c r="F820">
        <f>IF($Q820="","",IF(ISNUMBER(INDEX(상세표[시작],$Q820)),TEXT(INDEX(상세표[시작],$Q820),"yyyy-mm-dd hh:mm"),INDEX(상세표[시작],$Q820)&amp;""))</f>
        <v/>
      </c>
      <c r="G820">
        <f>IF($Q820="","",IF(ISNUMBER(INDEX(상세표[블록종료],$Q820)),TEXT(INDEX(상세표[블록종료],$Q820),"yyyy-mm-dd hh:mm"),INDEX(상세표[블록종료],$Q820)&amp;""))</f>
        <v/>
      </c>
      <c r="H820">
        <f>IF($Q820="","",CHOOSE(WEEKDAY(INDEX(상세표[시작],$Q820)),"일","월","화","수","목","금","토"))</f>
        <v/>
      </c>
      <c r="I820" s="20">
        <f>IF($Q820="","",INDEX(상세표[연속 시간],$Q820))</f>
        <v/>
      </c>
      <c r="J820">
        <f>IF($Q820="","",INDEX(상세표[기록 수],$Q820))</f>
        <v/>
      </c>
      <c r="K820" s="20">
        <f>IF($Q820="","",INDEX(상세표[블록 06~07시],$Q820))</f>
        <v/>
      </c>
      <c r="L820" s="20">
        <f>IF($Q820="","",INDEX(상세표[블록 07~18시],$Q820))</f>
        <v/>
      </c>
      <c r="M820" s="20">
        <f>IF($Q820="","",INDEX(상세표[블록 18~22시],$Q820))</f>
        <v/>
      </c>
      <c r="N820" s="20">
        <f>IF($Q820="","",INDEX(상세표[블록 22~06시],$Q820))</f>
        <v/>
      </c>
      <c r="O820">
        <f>IF($Q820="","",INDEX(상세표[주말·휴일 포함],$Q820)&amp;"")</f>
        <v/>
      </c>
      <c r="P820">
        <f>IF($Q820="","",INDEX(상세표[월 넘김 포함],$Q820)&amp;"")</f>
        <v/>
      </c>
      <c r="Q820" s="4">
        <f>IFERROR(MATCH(815,상세표[연속순번],0),"")</f>
        <v/>
      </c>
    </row>
    <row r="821">
      <c r="A821">
        <f>IF($Q821="","",INDEX(상세표[부서],$Q821)&amp;"")</f>
        <v/>
      </c>
      <c r="B821">
        <f>IF($Q821="","",INDEX(상세표[사번],$Q821)&amp;"")</f>
        <v/>
      </c>
      <c r="C821">
        <f>IF($Q821="","",INDEX(상세표[성명],$Q821)&amp;"")</f>
        <v/>
      </c>
      <c r="D821">
        <f>IF($Q821="","",INDEX(상세표[직위],$Q821)&amp;"")</f>
        <v/>
      </c>
      <c r="E821">
        <f>IF($Q821="","",IF(ISNUMBER(INDEX(상세표[근무일자],$Q821)),TEXT(INDEX(상세표[근무일자],$Q821),"yyyy-mm-dd"),INDEX(상세표[근무일자],$Q821)&amp;""))</f>
        <v/>
      </c>
      <c r="F821">
        <f>IF($Q821="","",IF(ISNUMBER(INDEX(상세표[시작],$Q821)),TEXT(INDEX(상세표[시작],$Q821),"yyyy-mm-dd hh:mm"),INDEX(상세표[시작],$Q821)&amp;""))</f>
        <v/>
      </c>
      <c r="G821">
        <f>IF($Q821="","",IF(ISNUMBER(INDEX(상세표[블록종료],$Q821)),TEXT(INDEX(상세표[블록종료],$Q821),"yyyy-mm-dd hh:mm"),INDEX(상세표[블록종료],$Q821)&amp;""))</f>
        <v/>
      </c>
      <c r="H821">
        <f>IF($Q821="","",CHOOSE(WEEKDAY(INDEX(상세표[시작],$Q821)),"일","월","화","수","목","금","토"))</f>
        <v/>
      </c>
      <c r="I821" s="20">
        <f>IF($Q821="","",INDEX(상세표[연속 시간],$Q821))</f>
        <v/>
      </c>
      <c r="J821">
        <f>IF($Q821="","",INDEX(상세표[기록 수],$Q821))</f>
        <v/>
      </c>
      <c r="K821" s="20">
        <f>IF($Q821="","",INDEX(상세표[블록 06~07시],$Q821))</f>
        <v/>
      </c>
      <c r="L821" s="20">
        <f>IF($Q821="","",INDEX(상세표[블록 07~18시],$Q821))</f>
        <v/>
      </c>
      <c r="M821" s="20">
        <f>IF($Q821="","",INDEX(상세표[블록 18~22시],$Q821))</f>
        <v/>
      </c>
      <c r="N821" s="20">
        <f>IF($Q821="","",INDEX(상세표[블록 22~06시],$Q821))</f>
        <v/>
      </c>
      <c r="O821">
        <f>IF($Q821="","",INDEX(상세표[주말·휴일 포함],$Q821)&amp;"")</f>
        <v/>
      </c>
      <c r="P821">
        <f>IF($Q821="","",INDEX(상세표[월 넘김 포함],$Q821)&amp;"")</f>
        <v/>
      </c>
      <c r="Q821" s="4">
        <f>IFERROR(MATCH(816,상세표[연속순번],0),"")</f>
        <v/>
      </c>
    </row>
    <row r="822">
      <c r="A822">
        <f>IF($Q822="","",INDEX(상세표[부서],$Q822)&amp;"")</f>
        <v/>
      </c>
      <c r="B822">
        <f>IF($Q822="","",INDEX(상세표[사번],$Q822)&amp;"")</f>
        <v/>
      </c>
      <c r="C822">
        <f>IF($Q822="","",INDEX(상세표[성명],$Q822)&amp;"")</f>
        <v/>
      </c>
      <c r="D822">
        <f>IF($Q822="","",INDEX(상세표[직위],$Q822)&amp;"")</f>
        <v/>
      </c>
      <c r="E822">
        <f>IF($Q822="","",IF(ISNUMBER(INDEX(상세표[근무일자],$Q822)),TEXT(INDEX(상세표[근무일자],$Q822),"yyyy-mm-dd"),INDEX(상세표[근무일자],$Q822)&amp;""))</f>
        <v/>
      </c>
      <c r="F822">
        <f>IF($Q822="","",IF(ISNUMBER(INDEX(상세표[시작],$Q822)),TEXT(INDEX(상세표[시작],$Q822),"yyyy-mm-dd hh:mm"),INDEX(상세표[시작],$Q822)&amp;""))</f>
        <v/>
      </c>
      <c r="G822">
        <f>IF($Q822="","",IF(ISNUMBER(INDEX(상세표[블록종료],$Q822)),TEXT(INDEX(상세표[블록종료],$Q822),"yyyy-mm-dd hh:mm"),INDEX(상세표[블록종료],$Q822)&amp;""))</f>
        <v/>
      </c>
      <c r="H822">
        <f>IF($Q822="","",CHOOSE(WEEKDAY(INDEX(상세표[시작],$Q822)),"일","월","화","수","목","금","토"))</f>
        <v/>
      </c>
      <c r="I822" s="20">
        <f>IF($Q822="","",INDEX(상세표[연속 시간],$Q822))</f>
        <v/>
      </c>
      <c r="J822">
        <f>IF($Q822="","",INDEX(상세표[기록 수],$Q822))</f>
        <v/>
      </c>
      <c r="K822" s="20">
        <f>IF($Q822="","",INDEX(상세표[블록 06~07시],$Q822))</f>
        <v/>
      </c>
      <c r="L822" s="20">
        <f>IF($Q822="","",INDEX(상세표[블록 07~18시],$Q822))</f>
        <v/>
      </c>
      <c r="M822" s="20">
        <f>IF($Q822="","",INDEX(상세표[블록 18~22시],$Q822))</f>
        <v/>
      </c>
      <c r="N822" s="20">
        <f>IF($Q822="","",INDEX(상세표[블록 22~06시],$Q822))</f>
        <v/>
      </c>
      <c r="O822">
        <f>IF($Q822="","",INDEX(상세표[주말·휴일 포함],$Q822)&amp;"")</f>
        <v/>
      </c>
      <c r="P822">
        <f>IF($Q822="","",INDEX(상세표[월 넘김 포함],$Q822)&amp;"")</f>
        <v/>
      </c>
      <c r="Q822" s="4">
        <f>IFERROR(MATCH(817,상세표[연속순번],0),"")</f>
        <v/>
      </c>
    </row>
    <row r="823">
      <c r="A823">
        <f>IF($Q823="","",INDEX(상세표[부서],$Q823)&amp;"")</f>
        <v/>
      </c>
      <c r="B823">
        <f>IF($Q823="","",INDEX(상세표[사번],$Q823)&amp;"")</f>
        <v/>
      </c>
      <c r="C823">
        <f>IF($Q823="","",INDEX(상세표[성명],$Q823)&amp;"")</f>
        <v/>
      </c>
      <c r="D823">
        <f>IF($Q823="","",INDEX(상세표[직위],$Q823)&amp;"")</f>
        <v/>
      </c>
      <c r="E823">
        <f>IF($Q823="","",IF(ISNUMBER(INDEX(상세표[근무일자],$Q823)),TEXT(INDEX(상세표[근무일자],$Q823),"yyyy-mm-dd"),INDEX(상세표[근무일자],$Q823)&amp;""))</f>
        <v/>
      </c>
      <c r="F823">
        <f>IF($Q823="","",IF(ISNUMBER(INDEX(상세표[시작],$Q823)),TEXT(INDEX(상세표[시작],$Q823),"yyyy-mm-dd hh:mm"),INDEX(상세표[시작],$Q823)&amp;""))</f>
        <v/>
      </c>
      <c r="G823">
        <f>IF($Q823="","",IF(ISNUMBER(INDEX(상세표[블록종료],$Q823)),TEXT(INDEX(상세표[블록종료],$Q823),"yyyy-mm-dd hh:mm"),INDEX(상세표[블록종료],$Q823)&amp;""))</f>
        <v/>
      </c>
      <c r="H823">
        <f>IF($Q823="","",CHOOSE(WEEKDAY(INDEX(상세표[시작],$Q823)),"일","월","화","수","목","금","토"))</f>
        <v/>
      </c>
      <c r="I823" s="20">
        <f>IF($Q823="","",INDEX(상세표[연속 시간],$Q823))</f>
        <v/>
      </c>
      <c r="J823">
        <f>IF($Q823="","",INDEX(상세표[기록 수],$Q823))</f>
        <v/>
      </c>
      <c r="K823" s="20">
        <f>IF($Q823="","",INDEX(상세표[블록 06~07시],$Q823))</f>
        <v/>
      </c>
      <c r="L823" s="20">
        <f>IF($Q823="","",INDEX(상세표[블록 07~18시],$Q823))</f>
        <v/>
      </c>
      <c r="M823" s="20">
        <f>IF($Q823="","",INDEX(상세표[블록 18~22시],$Q823))</f>
        <v/>
      </c>
      <c r="N823" s="20">
        <f>IF($Q823="","",INDEX(상세표[블록 22~06시],$Q823))</f>
        <v/>
      </c>
      <c r="O823">
        <f>IF($Q823="","",INDEX(상세표[주말·휴일 포함],$Q823)&amp;"")</f>
        <v/>
      </c>
      <c r="P823">
        <f>IF($Q823="","",INDEX(상세표[월 넘김 포함],$Q823)&amp;"")</f>
        <v/>
      </c>
      <c r="Q823" s="4">
        <f>IFERROR(MATCH(818,상세표[연속순번],0),"")</f>
        <v/>
      </c>
    </row>
    <row r="824">
      <c r="A824">
        <f>IF($Q824="","",INDEX(상세표[부서],$Q824)&amp;"")</f>
        <v/>
      </c>
      <c r="B824">
        <f>IF($Q824="","",INDEX(상세표[사번],$Q824)&amp;"")</f>
        <v/>
      </c>
      <c r="C824">
        <f>IF($Q824="","",INDEX(상세표[성명],$Q824)&amp;"")</f>
        <v/>
      </c>
      <c r="D824">
        <f>IF($Q824="","",INDEX(상세표[직위],$Q824)&amp;"")</f>
        <v/>
      </c>
      <c r="E824">
        <f>IF($Q824="","",IF(ISNUMBER(INDEX(상세표[근무일자],$Q824)),TEXT(INDEX(상세표[근무일자],$Q824),"yyyy-mm-dd"),INDEX(상세표[근무일자],$Q824)&amp;""))</f>
        <v/>
      </c>
      <c r="F824">
        <f>IF($Q824="","",IF(ISNUMBER(INDEX(상세표[시작],$Q824)),TEXT(INDEX(상세표[시작],$Q824),"yyyy-mm-dd hh:mm"),INDEX(상세표[시작],$Q824)&amp;""))</f>
        <v/>
      </c>
      <c r="G824">
        <f>IF($Q824="","",IF(ISNUMBER(INDEX(상세표[블록종료],$Q824)),TEXT(INDEX(상세표[블록종료],$Q824),"yyyy-mm-dd hh:mm"),INDEX(상세표[블록종료],$Q824)&amp;""))</f>
        <v/>
      </c>
      <c r="H824">
        <f>IF($Q824="","",CHOOSE(WEEKDAY(INDEX(상세표[시작],$Q824)),"일","월","화","수","목","금","토"))</f>
        <v/>
      </c>
      <c r="I824" s="20">
        <f>IF($Q824="","",INDEX(상세표[연속 시간],$Q824))</f>
        <v/>
      </c>
      <c r="J824">
        <f>IF($Q824="","",INDEX(상세표[기록 수],$Q824))</f>
        <v/>
      </c>
      <c r="K824" s="20">
        <f>IF($Q824="","",INDEX(상세표[블록 06~07시],$Q824))</f>
        <v/>
      </c>
      <c r="L824" s="20">
        <f>IF($Q824="","",INDEX(상세표[블록 07~18시],$Q824))</f>
        <v/>
      </c>
      <c r="M824" s="20">
        <f>IF($Q824="","",INDEX(상세표[블록 18~22시],$Q824))</f>
        <v/>
      </c>
      <c r="N824" s="20">
        <f>IF($Q824="","",INDEX(상세표[블록 22~06시],$Q824))</f>
        <v/>
      </c>
      <c r="O824">
        <f>IF($Q824="","",INDEX(상세표[주말·휴일 포함],$Q824)&amp;"")</f>
        <v/>
      </c>
      <c r="P824">
        <f>IF($Q824="","",INDEX(상세표[월 넘김 포함],$Q824)&amp;"")</f>
        <v/>
      </c>
      <c r="Q824" s="4">
        <f>IFERROR(MATCH(819,상세표[연속순번],0),"")</f>
        <v/>
      </c>
    </row>
    <row r="825">
      <c r="A825">
        <f>IF($Q825="","",INDEX(상세표[부서],$Q825)&amp;"")</f>
        <v/>
      </c>
      <c r="B825">
        <f>IF($Q825="","",INDEX(상세표[사번],$Q825)&amp;"")</f>
        <v/>
      </c>
      <c r="C825">
        <f>IF($Q825="","",INDEX(상세표[성명],$Q825)&amp;"")</f>
        <v/>
      </c>
      <c r="D825">
        <f>IF($Q825="","",INDEX(상세표[직위],$Q825)&amp;"")</f>
        <v/>
      </c>
      <c r="E825">
        <f>IF($Q825="","",IF(ISNUMBER(INDEX(상세표[근무일자],$Q825)),TEXT(INDEX(상세표[근무일자],$Q825),"yyyy-mm-dd"),INDEX(상세표[근무일자],$Q825)&amp;""))</f>
        <v/>
      </c>
      <c r="F825">
        <f>IF($Q825="","",IF(ISNUMBER(INDEX(상세표[시작],$Q825)),TEXT(INDEX(상세표[시작],$Q825),"yyyy-mm-dd hh:mm"),INDEX(상세표[시작],$Q825)&amp;""))</f>
        <v/>
      </c>
      <c r="G825">
        <f>IF($Q825="","",IF(ISNUMBER(INDEX(상세표[블록종료],$Q825)),TEXT(INDEX(상세표[블록종료],$Q825),"yyyy-mm-dd hh:mm"),INDEX(상세표[블록종료],$Q825)&amp;""))</f>
        <v/>
      </c>
      <c r="H825">
        <f>IF($Q825="","",CHOOSE(WEEKDAY(INDEX(상세표[시작],$Q825)),"일","월","화","수","목","금","토"))</f>
        <v/>
      </c>
      <c r="I825" s="20">
        <f>IF($Q825="","",INDEX(상세표[연속 시간],$Q825))</f>
        <v/>
      </c>
      <c r="J825">
        <f>IF($Q825="","",INDEX(상세표[기록 수],$Q825))</f>
        <v/>
      </c>
      <c r="K825" s="20">
        <f>IF($Q825="","",INDEX(상세표[블록 06~07시],$Q825))</f>
        <v/>
      </c>
      <c r="L825" s="20">
        <f>IF($Q825="","",INDEX(상세표[블록 07~18시],$Q825))</f>
        <v/>
      </c>
      <c r="M825" s="20">
        <f>IF($Q825="","",INDEX(상세표[블록 18~22시],$Q825))</f>
        <v/>
      </c>
      <c r="N825" s="20">
        <f>IF($Q825="","",INDEX(상세표[블록 22~06시],$Q825))</f>
        <v/>
      </c>
      <c r="O825">
        <f>IF($Q825="","",INDEX(상세표[주말·휴일 포함],$Q825)&amp;"")</f>
        <v/>
      </c>
      <c r="P825">
        <f>IF($Q825="","",INDEX(상세표[월 넘김 포함],$Q825)&amp;"")</f>
        <v/>
      </c>
      <c r="Q825" s="4">
        <f>IFERROR(MATCH(820,상세표[연속순번],0),"")</f>
        <v/>
      </c>
    </row>
    <row r="826">
      <c r="A826">
        <f>IF($Q826="","",INDEX(상세표[부서],$Q826)&amp;"")</f>
        <v/>
      </c>
      <c r="B826">
        <f>IF($Q826="","",INDEX(상세표[사번],$Q826)&amp;"")</f>
        <v/>
      </c>
      <c r="C826">
        <f>IF($Q826="","",INDEX(상세표[성명],$Q826)&amp;"")</f>
        <v/>
      </c>
      <c r="D826">
        <f>IF($Q826="","",INDEX(상세표[직위],$Q826)&amp;"")</f>
        <v/>
      </c>
      <c r="E826">
        <f>IF($Q826="","",IF(ISNUMBER(INDEX(상세표[근무일자],$Q826)),TEXT(INDEX(상세표[근무일자],$Q826),"yyyy-mm-dd"),INDEX(상세표[근무일자],$Q826)&amp;""))</f>
        <v/>
      </c>
      <c r="F826">
        <f>IF($Q826="","",IF(ISNUMBER(INDEX(상세표[시작],$Q826)),TEXT(INDEX(상세표[시작],$Q826),"yyyy-mm-dd hh:mm"),INDEX(상세표[시작],$Q826)&amp;""))</f>
        <v/>
      </c>
      <c r="G826">
        <f>IF($Q826="","",IF(ISNUMBER(INDEX(상세표[블록종료],$Q826)),TEXT(INDEX(상세표[블록종료],$Q826),"yyyy-mm-dd hh:mm"),INDEX(상세표[블록종료],$Q826)&amp;""))</f>
        <v/>
      </c>
      <c r="H826">
        <f>IF($Q826="","",CHOOSE(WEEKDAY(INDEX(상세표[시작],$Q826)),"일","월","화","수","목","금","토"))</f>
        <v/>
      </c>
      <c r="I826" s="20">
        <f>IF($Q826="","",INDEX(상세표[연속 시간],$Q826))</f>
        <v/>
      </c>
      <c r="J826">
        <f>IF($Q826="","",INDEX(상세표[기록 수],$Q826))</f>
        <v/>
      </c>
      <c r="K826" s="20">
        <f>IF($Q826="","",INDEX(상세표[블록 06~07시],$Q826))</f>
        <v/>
      </c>
      <c r="L826" s="20">
        <f>IF($Q826="","",INDEX(상세표[블록 07~18시],$Q826))</f>
        <v/>
      </c>
      <c r="M826" s="20">
        <f>IF($Q826="","",INDEX(상세표[블록 18~22시],$Q826))</f>
        <v/>
      </c>
      <c r="N826" s="20">
        <f>IF($Q826="","",INDEX(상세표[블록 22~06시],$Q826))</f>
        <v/>
      </c>
      <c r="O826">
        <f>IF($Q826="","",INDEX(상세표[주말·휴일 포함],$Q826)&amp;"")</f>
        <v/>
      </c>
      <c r="P826">
        <f>IF($Q826="","",INDEX(상세표[월 넘김 포함],$Q826)&amp;"")</f>
        <v/>
      </c>
      <c r="Q826" s="4">
        <f>IFERROR(MATCH(821,상세표[연속순번],0),"")</f>
        <v/>
      </c>
    </row>
    <row r="827">
      <c r="A827">
        <f>IF($Q827="","",INDEX(상세표[부서],$Q827)&amp;"")</f>
        <v/>
      </c>
      <c r="B827">
        <f>IF($Q827="","",INDEX(상세표[사번],$Q827)&amp;"")</f>
        <v/>
      </c>
      <c r="C827">
        <f>IF($Q827="","",INDEX(상세표[성명],$Q827)&amp;"")</f>
        <v/>
      </c>
      <c r="D827">
        <f>IF($Q827="","",INDEX(상세표[직위],$Q827)&amp;"")</f>
        <v/>
      </c>
      <c r="E827">
        <f>IF($Q827="","",IF(ISNUMBER(INDEX(상세표[근무일자],$Q827)),TEXT(INDEX(상세표[근무일자],$Q827),"yyyy-mm-dd"),INDEX(상세표[근무일자],$Q827)&amp;""))</f>
        <v/>
      </c>
      <c r="F827">
        <f>IF($Q827="","",IF(ISNUMBER(INDEX(상세표[시작],$Q827)),TEXT(INDEX(상세표[시작],$Q827),"yyyy-mm-dd hh:mm"),INDEX(상세표[시작],$Q827)&amp;""))</f>
        <v/>
      </c>
      <c r="G827">
        <f>IF($Q827="","",IF(ISNUMBER(INDEX(상세표[블록종료],$Q827)),TEXT(INDEX(상세표[블록종료],$Q827),"yyyy-mm-dd hh:mm"),INDEX(상세표[블록종료],$Q827)&amp;""))</f>
        <v/>
      </c>
      <c r="H827">
        <f>IF($Q827="","",CHOOSE(WEEKDAY(INDEX(상세표[시작],$Q827)),"일","월","화","수","목","금","토"))</f>
        <v/>
      </c>
      <c r="I827" s="20">
        <f>IF($Q827="","",INDEX(상세표[연속 시간],$Q827))</f>
        <v/>
      </c>
      <c r="J827">
        <f>IF($Q827="","",INDEX(상세표[기록 수],$Q827))</f>
        <v/>
      </c>
      <c r="K827" s="20">
        <f>IF($Q827="","",INDEX(상세표[블록 06~07시],$Q827))</f>
        <v/>
      </c>
      <c r="L827" s="20">
        <f>IF($Q827="","",INDEX(상세표[블록 07~18시],$Q827))</f>
        <v/>
      </c>
      <c r="M827" s="20">
        <f>IF($Q827="","",INDEX(상세표[블록 18~22시],$Q827))</f>
        <v/>
      </c>
      <c r="N827" s="20">
        <f>IF($Q827="","",INDEX(상세표[블록 22~06시],$Q827))</f>
        <v/>
      </c>
      <c r="O827">
        <f>IF($Q827="","",INDEX(상세표[주말·휴일 포함],$Q827)&amp;"")</f>
        <v/>
      </c>
      <c r="P827">
        <f>IF($Q827="","",INDEX(상세표[월 넘김 포함],$Q827)&amp;"")</f>
        <v/>
      </c>
      <c r="Q827" s="4">
        <f>IFERROR(MATCH(822,상세표[연속순번],0),"")</f>
        <v/>
      </c>
    </row>
    <row r="828">
      <c r="A828">
        <f>IF($Q828="","",INDEX(상세표[부서],$Q828)&amp;"")</f>
        <v/>
      </c>
      <c r="B828">
        <f>IF($Q828="","",INDEX(상세표[사번],$Q828)&amp;"")</f>
        <v/>
      </c>
      <c r="C828">
        <f>IF($Q828="","",INDEX(상세표[성명],$Q828)&amp;"")</f>
        <v/>
      </c>
      <c r="D828">
        <f>IF($Q828="","",INDEX(상세표[직위],$Q828)&amp;"")</f>
        <v/>
      </c>
      <c r="E828">
        <f>IF($Q828="","",IF(ISNUMBER(INDEX(상세표[근무일자],$Q828)),TEXT(INDEX(상세표[근무일자],$Q828),"yyyy-mm-dd"),INDEX(상세표[근무일자],$Q828)&amp;""))</f>
        <v/>
      </c>
      <c r="F828">
        <f>IF($Q828="","",IF(ISNUMBER(INDEX(상세표[시작],$Q828)),TEXT(INDEX(상세표[시작],$Q828),"yyyy-mm-dd hh:mm"),INDEX(상세표[시작],$Q828)&amp;""))</f>
        <v/>
      </c>
      <c r="G828">
        <f>IF($Q828="","",IF(ISNUMBER(INDEX(상세표[블록종료],$Q828)),TEXT(INDEX(상세표[블록종료],$Q828),"yyyy-mm-dd hh:mm"),INDEX(상세표[블록종료],$Q828)&amp;""))</f>
        <v/>
      </c>
      <c r="H828">
        <f>IF($Q828="","",CHOOSE(WEEKDAY(INDEX(상세표[시작],$Q828)),"일","월","화","수","목","금","토"))</f>
        <v/>
      </c>
      <c r="I828" s="20">
        <f>IF($Q828="","",INDEX(상세표[연속 시간],$Q828))</f>
        <v/>
      </c>
      <c r="J828">
        <f>IF($Q828="","",INDEX(상세표[기록 수],$Q828))</f>
        <v/>
      </c>
      <c r="K828" s="20">
        <f>IF($Q828="","",INDEX(상세표[블록 06~07시],$Q828))</f>
        <v/>
      </c>
      <c r="L828" s="20">
        <f>IF($Q828="","",INDEX(상세표[블록 07~18시],$Q828))</f>
        <v/>
      </c>
      <c r="M828" s="20">
        <f>IF($Q828="","",INDEX(상세표[블록 18~22시],$Q828))</f>
        <v/>
      </c>
      <c r="N828" s="20">
        <f>IF($Q828="","",INDEX(상세표[블록 22~06시],$Q828))</f>
        <v/>
      </c>
      <c r="O828">
        <f>IF($Q828="","",INDEX(상세표[주말·휴일 포함],$Q828)&amp;"")</f>
        <v/>
      </c>
      <c r="P828">
        <f>IF($Q828="","",INDEX(상세표[월 넘김 포함],$Q828)&amp;"")</f>
        <v/>
      </c>
      <c r="Q828" s="4">
        <f>IFERROR(MATCH(823,상세표[연속순번],0),"")</f>
        <v/>
      </c>
    </row>
    <row r="829">
      <c r="A829">
        <f>IF($Q829="","",INDEX(상세표[부서],$Q829)&amp;"")</f>
        <v/>
      </c>
      <c r="B829">
        <f>IF($Q829="","",INDEX(상세표[사번],$Q829)&amp;"")</f>
        <v/>
      </c>
      <c r="C829">
        <f>IF($Q829="","",INDEX(상세표[성명],$Q829)&amp;"")</f>
        <v/>
      </c>
      <c r="D829">
        <f>IF($Q829="","",INDEX(상세표[직위],$Q829)&amp;"")</f>
        <v/>
      </c>
      <c r="E829">
        <f>IF($Q829="","",IF(ISNUMBER(INDEX(상세표[근무일자],$Q829)),TEXT(INDEX(상세표[근무일자],$Q829),"yyyy-mm-dd"),INDEX(상세표[근무일자],$Q829)&amp;""))</f>
        <v/>
      </c>
      <c r="F829">
        <f>IF($Q829="","",IF(ISNUMBER(INDEX(상세표[시작],$Q829)),TEXT(INDEX(상세표[시작],$Q829),"yyyy-mm-dd hh:mm"),INDEX(상세표[시작],$Q829)&amp;""))</f>
        <v/>
      </c>
      <c r="G829">
        <f>IF($Q829="","",IF(ISNUMBER(INDEX(상세표[블록종료],$Q829)),TEXT(INDEX(상세표[블록종료],$Q829),"yyyy-mm-dd hh:mm"),INDEX(상세표[블록종료],$Q829)&amp;""))</f>
        <v/>
      </c>
      <c r="H829">
        <f>IF($Q829="","",CHOOSE(WEEKDAY(INDEX(상세표[시작],$Q829)),"일","월","화","수","목","금","토"))</f>
        <v/>
      </c>
      <c r="I829" s="20">
        <f>IF($Q829="","",INDEX(상세표[연속 시간],$Q829))</f>
        <v/>
      </c>
      <c r="J829">
        <f>IF($Q829="","",INDEX(상세표[기록 수],$Q829))</f>
        <v/>
      </c>
      <c r="K829" s="20">
        <f>IF($Q829="","",INDEX(상세표[블록 06~07시],$Q829))</f>
        <v/>
      </c>
      <c r="L829" s="20">
        <f>IF($Q829="","",INDEX(상세표[블록 07~18시],$Q829))</f>
        <v/>
      </c>
      <c r="M829" s="20">
        <f>IF($Q829="","",INDEX(상세표[블록 18~22시],$Q829))</f>
        <v/>
      </c>
      <c r="N829" s="20">
        <f>IF($Q829="","",INDEX(상세표[블록 22~06시],$Q829))</f>
        <v/>
      </c>
      <c r="O829">
        <f>IF($Q829="","",INDEX(상세표[주말·휴일 포함],$Q829)&amp;"")</f>
        <v/>
      </c>
      <c r="P829">
        <f>IF($Q829="","",INDEX(상세표[월 넘김 포함],$Q829)&amp;"")</f>
        <v/>
      </c>
      <c r="Q829" s="4">
        <f>IFERROR(MATCH(824,상세표[연속순번],0),"")</f>
        <v/>
      </c>
    </row>
    <row r="830">
      <c r="A830">
        <f>IF($Q830="","",INDEX(상세표[부서],$Q830)&amp;"")</f>
        <v/>
      </c>
      <c r="B830">
        <f>IF($Q830="","",INDEX(상세표[사번],$Q830)&amp;"")</f>
        <v/>
      </c>
      <c r="C830">
        <f>IF($Q830="","",INDEX(상세표[성명],$Q830)&amp;"")</f>
        <v/>
      </c>
      <c r="D830">
        <f>IF($Q830="","",INDEX(상세표[직위],$Q830)&amp;"")</f>
        <v/>
      </c>
      <c r="E830">
        <f>IF($Q830="","",IF(ISNUMBER(INDEX(상세표[근무일자],$Q830)),TEXT(INDEX(상세표[근무일자],$Q830),"yyyy-mm-dd"),INDEX(상세표[근무일자],$Q830)&amp;""))</f>
        <v/>
      </c>
      <c r="F830">
        <f>IF($Q830="","",IF(ISNUMBER(INDEX(상세표[시작],$Q830)),TEXT(INDEX(상세표[시작],$Q830),"yyyy-mm-dd hh:mm"),INDEX(상세표[시작],$Q830)&amp;""))</f>
        <v/>
      </c>
      <c r="G830">
        <f>IF($Q830="","",IF(ISNUMBER(INDEX(상세표[블록종료],$Q830)),TEXT(INDEX(상세표[블록종료],$Q830),"yyyy-mm-dd hh:mm"),INDEX(상세표[블록종료],$Q830)&amp;""))</f>
        <v/>
      </c>
      <c r="H830">
        <f>IF($Q830="","",CHOOSE(WEEKDAY(INDEX(상세표[시작],$Q830)),"일","월","화","수","목","금","토"))</f>
        <v/>
      </c>
      <c r="I830" s="20">
        <f>IF($Q830="","",INDEX(상세표[연속 시간],$Q830))</f>
        <v/>
      </c>
      <c r="J830">
        <f>IF($Q830="","",INDEX(상세표[기록 수],$Q830))</f>
        <v/>
      </c>
      <c r="K830" s="20">
        <f>IF($Q830="","",INDEX(상세표[블록 06~07시],$Q830))</f>
        <v/>
      </c>
      <c r="L830" s="20">
        <f>IF($Q830="","",INDEX(상세표[블록 07~18시],$Q830))</f>
        <v/>
      </c>
      <c r="M830" s="20">
        <f>IF($Q830="","",INDEX(상세표[블록 18~22시],$Q830))</f>
        <v/>
      </c>
      <c r="N830" s="20">
        <f>IF($Q830="","",INDEX(상세표[블록 22~06시],$Q830))</f>
        <v/>
      </c>
      <c r="O830">
        <f>IF($Q830="","",INDEX(상세표[주말·휴일 포함],$Q830)&amp;"")</f>
        <v/>
      </c>
      <c r="P830">
        <f>IF($Q830="","",INDEX(상세표[월 넘김 포함],$Q830)&amp;"")</f>
        <v/>
      </c>
      <c r="Q830" s="4">
        <f>IFERROR(MATCH(825,상세표[연속순번],0),"")</f>
        <v/>
      </c>
    </row>
    <row r="831">
      <c r="A831">
        <f>IF($Q831="","",INDEX(상세표[부서],$Q831)&amp;"")</f>
        <v/>
      </c>
      <c r="B831">
        <f>IF($Q831="","",INDEX(상세표[사번],$Q831)&amp;"")</f>
        <v/>
      </c>
      <c r="C831">
        <f>IF($Q831="","",INDEX(상세표[성명],$Q831)&amp;"")</f>
        <v/>
      </c>
      <c r="D831">
        <f>IF($Q831="","",INDEX(상세표[직위],$Q831)&amp;"")</f>
        <v/>
      </c>
      <c r="E831">
        <f>IF($Q831="","",IF(ISNUMBER(INDEX(상세표[근무일자],$Q831)),TEXT(INDEX(상세표[근무일자],$Q831),"yyyy-mm-dd"),INDEX(상세표[근무일자],$Q831)&amp;""))</f>
        <v/>
      </c>
      <c r="F831">
        <f>IF($Q831="","",IF(ISNUMBER(INDEX(상세표[시작],$Q831)),TEXT(INDEX(상세표[시작],$Q831),"yyyy-mm-dd hh:mm"),INDEX(상세표[시작],$Q831)&amp;""))</f>
        <v/>
      </c>
      <c r="G831">
        <f>IF($Q831="","",IF(ISNUMBER(INDEX(상세표[블록종료],$Q831)),TEXT(INDEX(상세표[블록종료],$Q831),"yyyy-mm-dd hh:mm"),INDEX(상세표[블록종료],$Q831)&amp;""))</f>
        <v/>
      </c>
      <c r="H831">
        <f>IF($Q831="","",CHOOSE(WEEKDAY(INDEX(상세표[시작],$Q831)),"일","월","화","수","목","금","토"))</f>
        <v/>
      </c>
      <c r="I831" s="20">
        <f>IF($Q831="","",INDEX(상세표[연속 시간],$Q831))</f>
        <v/>
      </c>
      <c r="J831">
        <f>IF($Q831="","",INDEX(상세표[기록 수],$Q831))</f>
        <v/>
      </c>
      <c r="K831" s="20">
        <f>IF($Q831="","",INDEX(상세표[블록 06~07시],$Q831))</f>
        <v/>
      </c>
      <c r="L831" s="20">
        <f>IF($Q831="","",INDEX(상세표[블록 07~18시],$Q831))</f>
        <v/>
      </c>
      <c r="M831" s="20">
        <f>IF($Q831="","",INDEX(상세표[블록 18~22시],$Q831))</f>
        <v/>
      </c>
      <c r="N831" s="20">
        <f>IF($Q831="","",INDEX(상세표[블록 22~06시],$Q831))</f>
        <v/>
      </c>
      <c r="O831">
        <f>IF($Q831="","",INDEX(상세표[주말·휴일 포함],$Q831)&amp;"")</f>
        <v/>
      </c>
      <c r="P831">
        <f>IF($Q831="","",INDEX(상세표[월 넘김 포함],$Q831)&amp;"")</f>
        <v/>
      </c>
      <c r="Q831" s="4">
        <f>IFERROR(MATCH(826,상세표[연속순번],0),"")</f>
        <v/>
      </c>
    </row>
    <row r="832">
      <c r="A832">
        <f>IF($Q832="","",INDEX(상세표[부서],$Q832)&amp;"")</f>
        <v/>
      </c>
      <c r="B832">
        <f>IF($Q832="","",INDEX(상세표[사번],$Q832)&amp;"")</f>
        <v/>
      </c>
      <c r="C832">
        <f>IF($Q832="","",INDEX(상세표[성명],$Q832)&amp;"")</f>
        <v/>
      </c>
      <c r="D832">
        <f>IF($Q832="","",INDEX(상세표[직위],$Q832)&amp;"")</f>
        <v/>
      </c>
      <c r="E832">
        <f>IF($Q832="","",IF(ISNUMBER(INDEX(상세표[근무일자],$Q832)),TEXT(INDEX(상세표[근무일자],$Q832),"yyyy-mm-dd"),INDEX(상세표[근무일자],$Q832)&amp;""))</f>
        <v/>
      </c>
      <c r="F832">
        <f>IF($Q832="","",IF(ISNUMBER(INDEX(상세표[시작],$Q832)),TEXT(INDEX(상세표[시작],$Q832),"yyyy-mm-dd hh:mm"),INDEX(상세표[시작],$Q832)&amp;""))</f>
        <v/>
      </c>
      <c r="G832">
        <f>IF($Q832="","",IF(ISNUMBER(INDEX(상세표[블록종료],$Q832)),TEXT(INDEX(상세표[블록종료],$Q832),"yyyy-mm-dd hh:mm"),INDEX(상세표[블록종료],$Q832)&amp;""))</f>
        <v/>
      </c>
      <c r="H832">
        <f>IF($Q832="","",CHOOSE(WEEKDAY(INDEX(상세표[시작],$Q832)),"일","월","화","수","목","금","토"))</f>
        <v/>
      </c>
      <c r="I832" s="20">
        <f>IF($Q832="","",INDEX(상세표[연속 시간],$Q832))</f>
        <v/>
      </c>
      <c r="J832">
        <f>IF($Q832="","",INDEX(상세표[기록 수],$Q832))</f>
        <v/>
      </c>
      <c r="K832" s="20">
        <f>IF($Q832="","",INDEX(상세표[블록 06~07시],$Q832))</f>
        <v/>
      </c>
      <c r="L832" s="20">
        <f>IF($Q832="","",INDEX(상세표[블록 07~18시],$Q832))</f>
        <v/>
      </c>
      <c r="M832" s="20">
        <f>IF($Q832="","",INDEX(상세표[블록 18~22시],$Q832))</f>
        <v/>
      </c>
      <c r="N832" s="20">
        <f>IF($Q832="","",INDEX(상세표[블록 22~06시],$Q832))</f>
        <v/>
      </c>
      <c r="O832">
        <f>IF($Q832="","",INDEX(상세표[주말·휴일 포함],$Q832)&amp;"")</f>
        <v/>
      </c>
      <c r="P832">
        <f>IF($Q832="","",INDEX(상세표[월 넘김 포함],$Q832)&amp;"")</f>
        <v/>
      </c>
      <c r="Q832" s="4">
        <f>IFERROR(MATCH(827,상세표[연속순번],0),"")</f>
        <v/>
      </c>
    </row>
    <row r="833">
      <c r="A833">
        <f>IF($Q833="","",INDEX(상세표[부서],$Q833)&amp;"")</f>
        <v/>
      </c>
      <c r="B833">
        <f>IF($Q833="","",INDEX(상세표[사번],$Q833)&amp;"")</f>
        <v/>
      </c>
      <c r="C833">
        <f>IF($Q833="","",INDEX(상세표[성명],$Q833)&amp;"")</f>
        <v/>
      </c>
      <c r="D833">
        <f>IF($Q833="","",INDEX(상세표[직위],$Q833)&amp;"")</f>
        <v/>
      </c>
      <c r="E833">
        <f>IF($Q833="","",IF(ISNUMBER(INDEX(상세표[근무일자],$Q833)),TEXT(INDEX(상세표[근무일자],$Q833),"yyyy-mm-dd"),INDEX(상세표[근무일자],$Q833)&amp;""))</f>
        <v/>
      </c>
      <c r="F833">
        <f>IF($Q833="","",IF(ISNUMBER(INDEX(상세표[시작],$Q833)),TEXT(INDEX(상세표[시작],$Q833),"yyyy-mm-dd hh:mm"),INDEX(상세표[시작],$Q833)&amp;""))</f>
        <v/>
      </c>
      <c r="G833">
        <f>IF($Q833="","",IF(ISNUMBER(INDEX(상세표[블록종료],$Q833)),TEXT(INDEX(상세표[블록종료],$Q833),"yyyy-mm-dd hh:mm"),INDEX(상세표[블록종료],$Q833)&amp;""))</f>
        <v/>
      </c>
      <c r="H833">
        <f>IF($Q833="","",CHOOSE(WEEKDAY(INDEX(상세표[시작],$Q833)),"일","월","화","수","목","금","토"))</f>
        <v/>
      </c>
      <c r="I833" s="20">
        <f>IF($Q833="","",INDEX(상세표[연속 시간],$Q833))</f>
        <v/>
      </c>
      <c r="J833">
        <f>IF($Q833="","",INDEX(상세표[기록 수],$Q833))</f>
        <v/>
      </c>
      <c r="K833" s="20">
        <f>IF($Q833="","",INDEX(상세표[블록 06~07시],$Q833))</f>
        <v/>
      </c>
      <c r="L833" s="20">
        <f>IF($Q833="","",INDEX(상세표[블록 07~18시],$Q833))</f>
        <v/>
      </c>
      <c r="M833" s="20">
        <f>IF($Q833="","",INDEX(상세표[블록 18~22시],$Q833))</f>
        <v/>
      </c>
      <c r="N833" s="20">
        <f>IF($Q833="","",INDEX(상세표[블록 22~06시],$Q833))</f>
        <v/>
      </c>
      <c r="O833">
        <f>IF($Q833="","",INDEX(상세표[주말·휴일 포함],$Q833)&amp;"")</f>
        <v/>
      </c>
      <c r="P833">
        <f>IF($Q833="","",INDEX(상세표[월 넘김 포함],$Q833)&amp;"")</f>
        <v/>
      </c>
      <c r="Q833" s="4">
        <f>IFERROR(MATCH(828,상세표[연속순번],0),"")</f>
        <v/>
      </c>
    </row>
    <row r="834">
      <c r="A834">
        <f>IF($Q834="","",INDEX(상세표[부서],$Q834)&amp;"")</f>
        <v/>
      </c>
      <c r="B834">
        <f>IF($Q834="","",INDEX(상세표[사번],$Q834)&amp;"")</f>
        <v/>
      </c>
      <c r="C834">
        <f>IF($Q834="","",INDEX(상세표[성명],$Q834)&amp;"")</f>
        <v/>
      </c>
      <c r="D834">
        <f>IF($Q834="","",INDEX(상세표[직위],$Q834)&amp;"")</f>
        <v/>
      </c>
      <c r="E834">
        <f>IF($Q834="","",IF(ISNUMBER(INDEX(상세표[근무일자],$Q834)),TEXT(INDEX(상세표[근무일자],$Q834),"yyyy-mm-dd"),INDEX(상세표[근무일자],$Q834)&amp;""))</f>
        <v/>
      </c>
      <c r="F834">
        <f>IF($Q834="","",IF(ISNUMBER(INDEX(상세표[시작],$Q834)),TEXT(INDEX(상세표[시작],$Q834),"yyyy-mm-dd hh:mm"),INDEX(상세표[시작],$Q834)&amp;""))</f>
        <v/>
      </c>
      <c r="G834">
        <f>IF($Q834="","",IF(ISNUMBER(INDEX(상세표[블록종료],$Q834)),TEXT(INDEX(상세표[블록종료],$Q834),"yyyy-mm-dd hh:mm"),INDEX(상세표[블록종료],$Q834)&amp;""))</f>
        <v/>
      </c>
      <c r="H834">
        <f>IF($Q834="","",CHOOSE(WEEKDAY(INDEX(상세표[시작],$Q834)),"일","월","화","수","목","금","토"))</f>
        <v/>
      </c>
      <c r="I834" s="20">
        <f>IF($Q834="","",INDEX(상세표[연속 시간],$Q834))</f>
        <v/>
      </c>
      <c r="J834">
        <f>IF($Q834="","",INDEX(상세표[기록 수],$Q834))</f>
        <v/>
      </c>
      <c r="K834" s="20">
        <f>IF($Q834="","",INDEX(상세표[블록 06~07시],$Q834))</f>
        <v/>
      </c>
      <c r="L834" s="20">
        <f>IF($Q834="","",INDEX(상세표[블록 07~18시],$Q834))</f>
        <v/>
      </c>
      <c r="M834" s="20">
        <f>IF($Q834="","",INDEX(상세표[블록 18~22시],$Q834))</f>
        <v/>
      </c>
      <c r="N834" s="20">
        <f>IF($Q834="","",INDEX(상세표[블록 22~06시],$Q834))</f>
        <v/>
      </c>
      <c r="O834">
        <f>IF($Q834="","",INDEX(상세표[주말·휴일 포함],$Q834)&amp;"")</f>
        <v/>
      </c>
      <c r="P834">
        <f>IF($Q834="","",INDEX(상세표[월 넘김 포함],$Q834)&amp;"")</f>
        <v/>
      </c>
      <c r="Q834" s="4">
        <f>IFERROR(MATCH(829,상세표[연속순번],0),"")</f>
        <v/>
      </c>
    </row>
    <row r="835">
      <c r="A835">
        <f>IF($Q835="","",INDEX(상세표[부서],$Q835)&amp;"")</f>
        <v/>
      </c>
      <c r="B835">
        <f>IF($Q835="","",INDEX(상세표[사번],$Q835)&amp;"")</f>
        <v/>
      </c>
      <c r="C835">
        <f>IF($Q835="","",INDEX(상세표[성명],$Q835)&amp;"")</f>
        <v/>
      </c>
      <c r="D835">
        <f>IF($Q835="","",INDEX(상세표[직위],$Q835)&amp;"")</f>
        <v/>
      </c>
      <c r="E835">
        <f>IF($Q835="","",IF(ISNUMBER(INDEX(상세표[근무일자],$Q835)),TEXT(INDEX(상세표[근무일자],$Q835),"yyyy-mm-dd"),INDEX(상세표[근무일자],$Q835)&amp;""))</f>
        <v/>
      </c>
      <c r="F835">
        <f>IF($Q835="","",IF(ISNUMBER(INDEX(상세표[시작],$Q835)),TEXT(INDEX(상세표[시작],$Q835),"yyyy-mm-dd hh:mm"),INDEX(상세표[시작],$Q835)&amp;""))</f>
        <v/>
      </c>
      <c r="G835">
        <f>IF($Q835="","",IF(ISNUMBER(INDEX(상세표[블록종료],$Q835)),TEXT(INDEX(상세표[블록종료],$Q835),"yyyy-mm-dd hh:mm"),INDEX(상세표[블록종료],$Q835)&amp;""))</f>
        <v/>
      </c>
      <c r="H835">
        <f>IF($Q835="","",CHOOSE(WEEKDAY(INDEX(상세표[시작],$Q835)),"일","월","화","수","목","금","토"))</f>
        <v/>
      </c>
      <c r="I835" s="20">
        <f>IF($Q835="","",INDEX(상세표[연속 시간],$Q835))</f>
        <v/>
      </c>
      <c r="J835">
        <f>IF($Q835="","",INDEX(상세표[기록 수],$Q835))</f>
        <v/>
      </c>
      <c r="K835" s="20">
        <f>IF($Q835="","",INDEX(상세표[블록 06~07시],$Q835))</f>
        <v/>
      </c>
      <c r="L835" s="20">
        <f>IF($Q835="","",INDEX(상세표[블록 07~18시],$Q835))</f>
        <v/>
      </c>
      <c r="M835" s="20">
        <f>IF($Q835="","",INDEX(상세표[블록 18~22시],$Q835))</f>
        <v/>
      </c>
      <c r="N835" s="20">
        <f>IF($Q835="","",INDEX(상세표[블록 22~06시],$Q835))</f>
        <v/>
      </c>
      <c r="O835">
        <f>IF($Q835="","",INDEX(상세표[주말·휴일 포함],$Q835)&amp;"")</f>
        <v/>
      </c>
      <c r="P835">
        <f>IF($Q835="","",INDEX(상세표[월 넘김 포함],$Q835)&amp;"")</f>
        <v/>
      </c>
      <c r="Q835" s="4">
        <f>IFERROR(MATCH(830,상세표[연속순번],0),"")</f>
        <v/>
      </c>
    </row>
    <row r="836">
      <c r="A836">
        <f>IF($Q836="","",INDEX(상세표[부서],$Q836)&amp;"")</f>
        <v/>
      </c>
      <c r="B836">
        <f>IF($Q836="","",INDEX(상세표[사번],$Q836)&amp;"")</f>
        <v/>
      </c>
      <c r="C836">
        <f>IF($Q836="","",INDEX(상세표[성명],$Q836)&amp;"")</f>
        <v/>
      </c>
      <c r="D836">
        <f>IF($Q836="","",INDEX(상세표[직위],$Q836)&amp;"")</f>
        <v/>
      </c>
      <c r="E836">
        <f>IF($Q836="","",IF(ISNUMBER(INDEX(상세표[근무일자],$Q836)),TEXT(INDEX(상세표[근무일자],$Q836),"yyyy-mm-dd"),INDEX(상세표[근무일자],$Q836)&amp;""))</f>
        <v/>
      </c>
      <c r="F836">
        <f>IF($Q836="","",IF(ISNUMBER(INDEX(상세표[시작],$Q836)),TEXT(INDEX(상세표[시작],$Q836),"yyyy-mm-dd hh:mm"),INDEX(상세표[시작],$Q836)&amp;""))</f>
        <v/>
      </c>
      <c r="G836">
        <f>IF($Q836="","",IF(ISNUMBER(INDEX(상세표[블록종료],$Q836)),TEXT(INDEX(상세표[블록종료],$Q836),"yyyy-mm-dd hh:mm"),INDEX(상세표[블록종료],$Q836)&amp;""))</f>
        <v/>
      </c>
      <c r="H836">
        <f>IF($Q836="","",CHOOSE(WEEKDAY(INDEX(상세표[시작],$Q836)),"일","월","화","수","목","금","토"))</f>
        <v/>
      </c>
      <c r="I836" s="20">
        <f>IF($Q836="","",INDEX(상세표[연속 시간],$Q836))</f>
        <v/>
      </c>
      <c r="J836">
        <f>IF($Q836="","",INDEX(상세표[기록 수],$Q836))</f>
        <v/>
      </c>
      <c r="K836" s="20">
        <f>IF($Q836="","",INDEX(상세표[블록 06~07시],$Q836))</f>
        <v/>
      </c>
      <c r="L836" s="20">
        <f>IF($Q836="","",INDEX(상세표[블록 07~18시],$Q836))</f>
        <v/>
      </c>
      <c r="M836" s="20">
        <f>IF($Q836="","",INDEX(상세표[블록 18~22시],$Q836))</f>
        <v/>
      </c>
      <c r="N836" s="20">
        <f>IF($Q836="","",INDEX(상세표[블록 22~06시],$Q836))</f>
        <v/>
      </c>
      <c r="O836">
        <f>IF($Q836="","",INDEX(상세표[주말·휴일 포함],$Q836)&amp;"")</f>
        <v/>
      </c>
      <c r="P836">
        <f>IF($Q836="","",INDEX(상세표[월 넘김 포함],$Q836)&amp;"")</f>
        <v/>
      </c>
      <c r="Q836" s="4">
        <f>IFERROR(MATCH(831,상세표[연속순번],0),"")</f>
        <v/>
      </c>
    </row>
    <row r="837">
      <c r="A837">
        <f>IF($Q837="","",INDEX(상세표[부서],$Q837)&amp;"")</f>
        <v/>
      </c>
      <c r="B837">
        <f>IF($Q837="","",INDEX(상세표[사번],$Q837)&amp;"")</f>
        <v/>
      </c>
      <c r="C837">
        <f>IF($Q837="","",INDEX(상세표[성명],$Q837)&amp;"")</f>
        <v/>
      </c>
      <c r="D837">
        <f>IF($Q837="","",INDEX(상세표[직위],$Q837)&amp;"")</f>
        <v/>
      </c>
      <c r="E837">
        <f>IF($Q837="","",IF(ISNUMBER(INDEX(상세표[근무일자],$Q837)),TEXT(INDEX(상세표[근무일자],$Q837),"yyyy-mm-dd"),INDEX(상세표[근무일자],$Q837)&amp;""))</f>
        <v/>
      </c>
      <c r="F837">
        <f>IF($Q837="","",IF(ISNUMBER(INDEX(상세표[시작],$Q837)),TEXT(INDEX(상세표[시작],$Q837),"yyyy-mm-dd hh:mm"),INDEX(상세표[시작],$Q837)&amp;""))</f>
        <v/>
      </c>
      <c r="G837">
        <f>IF($Q837="","",IF(ISNUMBER(INDEX(상세표[블록종료],$Q837)),TEXT(INDEX(상세표[블록종료],$Q837),"yyyy-mm-dd hh:mm"),INDEX(상세표[블록종료],$Q837)&amp;""))</f>
        <v/>
      </c>
      <c r="H837">
        <f>IF($Q837="","",CHOOSE(WEEKDAY(INDEX(상세표[시작],$Q837)),"일","월","화","수","목","금","토"))</f>
        <v/>
      </c>
      <c r="I837" s="20">
        <f>IF($Q837="","",INDEX(상세표[연속 시간],$Q837))</f>
        <v/>
      </c>
      <c r="J837">
        <f>IF($Q837="","",INDEX(상세표[기록 수],$Q837))</f>
        <v/>
      </c>
      <c r="K837" s="20">
        <f>IF($Q837="","",INDEX(상세표[블록 06~07시],$Q837))</f>
        <v/>
      </c>
      <c r="L837" s="20">
        <f>IF($Q837="","",INDEX(상세표[블록 07~18시],$Q837))</f>
        <v/>
      </c>
      <c r="M837" s="20">
        <f>IF($Q837="","",INDEX(상세표[블록 18~22시],$Q837))</f>
        <v/>
      </c>
      <c r="N837" s="20">
        <f>IF($Q837="","",INDEX(상세표[블록 22~06시],$Q837))</f>
        <v/>
      </c>
      <c r="O837">
        <f>IF($Q837="","",INDEX(상세표[주말·휴일 포함],$Q837)&amp;"")</f>
        <v/>
      </c>
      <c r="P837">
        <f>IF($Q837="","",INDEX(상세표[월 넘김 포함],$Q837)&amp;"")</f>
        <v/>
      </c>
      <c r="Q837" s="4">
        <f>IFERROR(MATCH(832,상세표[연속순번],0),"")</f>
        <v/>
      </c>
    </row>
    <row r="838">
      <c r="A838">
        <f>IF($Q838="","",INDEX(상세표[부서],$Q838)&amp;"")</f>
        <v/>
      </c>
      <c r="B838">
        <f>IF($Q838="","",INDEX(상세표[사번],$Q838)&amp;"")</f>
        <v/>
      </c>
      <c r="C838">
        <f>IF($Q838="","",INDEX(상세표[성명],$Q838)&amp;"")</f>
        <v/>
      </c>
      <c r="D838">
        <f>IF($Q838="","",INDEX(상세표[직위],$Q838)&amp;"")</f>
        <v/>
      </c>
      <c r="E838">
        <f>IF($Q838="","",IF(ISNUMBER(INDEX(상세표[근무일자],$Q838)),TEXT(INDEX(상세표[근무일자],$Q838),"yyyy-mm-dd"),INDEX(상세표[근무일자],$Q838)&amp;""))</f>
        <v/>
      </c>
      <c r="F838">
        <f>IF($Q838="","",IF(ISNUMBER(INDEX(상세표[시작],$Q838)),TEXT(INDEX(상세표[시작],$Q838),"yyyy-mm-dd hh:mm"),INDEX(상세표[시작],$Q838)&amp;""))</f>
        <v/>
      </c>
      <c r="G838">
        <f>IF($Q838="","",IF(ISNUMBER(INDEX(상세표[블록종료],$Q838)),TEXT(INDEX(상세표[블록종료],$Q838),"yyyy-mm-dd hh:mm"),INDEX(상세표[블록종료],$Q838)&amp;""))</f>
        <v/>
      </c>
      <c r="H838">
        <f>IF($Q838="","",CHOOSE(WEEKDAY(INDEX(상세표[시작],$Q838)),"일","월","화","수","목","금","토"))</f>
        <v/>
      </c>
      <c r="I838" s="20">
        <f>IF($Q838="","",INDEX(상세표[연속 시간],$Q838))</f>
        <v/>
      </c>
      <c r="J838">
        <f>IF($Q838="","",INDEX(상세표[기록 수],$Q838))</f>
        <v/>
      </c>
      <c r="K838" s="20">
        <f>IF($Q838="","",INDEX(상세표[블록 06~07시],$Q838))</f>
        <v/>
      </c>
      <c r="L838" s="20">
        <f>IF($Q838="","",INDEX(상세표[블록 07~18시],$Q838))</f>
        <v/>
      </c>
      <c r="M838" s="20">
        <f>IF($Q838="","",INDEX(상세표[블록 18~22시],$Q838))</f>
        <v/>
      </c>
      <c r="N838" s="20">
        <f>IF($Q838="","",INDEX(상세표[블록 22~06시],$Q838))</f>
        <v/>
      </c>
      <c r="O838">
        <f>IF($Q838="","",INDEX(상세표[주말·휴일 포함],$Q838)&amp;"")</f>
        <v/>
      </c>
      <c r="P838">
        <f>IF($Q838="","",INDEX(상세표[월 넘김 포함],$Q838)&amp;"")</f>
        <v/>
      </c>
      <c r="Q838" s="4">
        <f>IFERROR(MATCH(833,상세표[연속순번],0),"")</f>
        <v/>
      </c>
    </row>
    <row r="839">
      <c r="A839">
        <f>IF($Q839="","",INDEX(상세표[부서],$Q839)&amp;"")</f>
        <v/>
      </c>
      <c r="B839">
        <f>IF($Q839="","",INDEX(상세표[사번],$Q839)&amp;"")</f>
        <v/>
      </c>
      <c r="C839">
        <f>IF($Q839="","",INDEX(상세표[성명],$Q839)&amp;"")</f>
        <v/>
      </c>
      <c r="D839">
        <f>IF($Q839="","",INDEX(상세표[직위],$Q839)&amp;"")</f>
        <v/>
      </c>
      <c r="E839">
        <f>IF($Q839="","",IF(ISNUMBER(INDEX(상세표[근무일자],$Q839)),TEXT(INDEX(상세표[근무일자],$Q839),"yyyy-mm-dd"),INDEX(상세표[근무일자],$Q839)&amp;""))</f>
        <v/>
      </c>
      <c r="F839">
        <f>IF($Q839="","",IF(ISNUMBER(INDEX(상세표[시작],$Q839)),TEXT(INDEX(상세표[시작],$Q839),"yyyy-mm-dd hh:mm"),INDEX(상세표[시작],$Q839)&amp;""))</f>
        <v/>
      </c>
      <c r="G839">
        <f>IF($Q839="","",IF(ISNUMBER(INDEX(상세표[블록종료],$Q839)),TEXT(INDEX(상세표[블록종료],$Q839),"yyyy-mm-dd hh:mm"),INDEX(상세표[블록종료],$Q839)&amp;""))</f>
        <v/>
      </c>
      <c r="H839">
        <f>IF($Q839="","",CHOOSE(WEEKDAY(INDEX(상세표[시작],$Q839)),"일","월","화","수","목","금","토"))</f>
        <v/>
      </c>
      <c r="I839" s="20">
        <f>IF($Q839="","",INDEX(상세표[연속 시간],$Q839))</f>
        <v/>
      </c>
      <c r="J839">
        <f>IF($Q839="","",INDEX(상세표[기록 수],$Q839))</f>
        <v/>
      </c>
      <c r="K839" s="20">
        <f>IF($Q839="","",INDEX(상세표[블록 06~07시],$Q839))</f>
        <v/>
      </c>
      <c r="L839" s="20">
        <f>IF($Q839="","",INDEX(상세표[블록 07~18시],$Q839))</f>
        <v/>
      </c>
      <c r="M839" s="20">
        <f>IF($Q839="","",INDEX(상세표[블록 18~22시],$Q839))</f>
        <v/>
      </c>
      <c r="N839" s="20">
        <f>IF($Q839="","",INDEX(상세표[블록 22~06시],$Q839))</f>
        <v/>
      </c>
      <c r="O839">
        <f>IF($Q839="","",INDEX(상세표[주말·휴일 포함],$Q839)&amp;"")</f>
        <v/>
      </c>
      <c r="P839">
        <f>IF($Q839="","",INDEX(상세표[월 넘김 포함],$Q839)&amp;"")</f>
        <v/>
      </c>
      <c r="Q839" s="4">
        <f>IFERROR(MATCH(834,상세표[연속순번],0),"")</f>
        <v/>
      </c>
    </row>
    <row r="840">
      <c r="A840">
        <f>IF($Q840="","",INDEX(상세표[부서],$Q840)&amp;"")</f>
        <v/>
      </c>
      <c r="B840">
        <f>IF($Q840="","",INDEX(상세표[사번],$Q840)&amp;"")</f>
        <v/>
      </c>
      <c r="C840">
        <f>IF($Q840="","",INDEX(상세표[성명],$Q840)&amp;"")</f>
        <v/>
      </c>
      <c r="D840">
        <f>IF($Q840="","",INDEX(상세표[직위],$Q840)&amp;"")</f>
        <v/>
      </c>
      <c r="E840">
        <f>IF($Q840="","",IF(ISNUMBER(INDEX(상세표[근무일자],$Q840)),TEXT(INDEX(상세표[근무일자],$Q840),"yyyy-mm-dd"),INDEX(상세표[근무일자],$Q840)&amp;""))</f>
        <v/>
      </c>
      <c r="F840">
        <f>IF($Q840="","",IF(ISNUMBER(INDEX(상세표[시작],$Q840)),TEXT(INDEX(상세표[시작],$Q840),"yyyy-mm-dd hh:mm"),INDEX(상세표[시작],$Q840)&amp;""))</f>
        <v/>
      </c>
      <c r="G840">
        <f>IF($Q840="","",IF(ISNUMBER(INDEX(상세표[블록종료],$Q840)),TEXT(INDEX(상세표[블록종료],$Q840),"yyyy-mm-dd hh:mm"),INDEX(상세표[블록종료],$Q840)&amp;""))</f>
        <v/>
      </c>
      <c r="H840">
        <f>IF($Q840="","",CHOOSE(WEEKDAY(INDEX(상세표[시작],$Q840)),"일","월","화","수","목","금","토"))</f>
        <v/>
      </c>
      <c r="I840" s="20">
        <f>IF($Q840="","",INDEX(상세표[연속 시간],$Q840))</f>
        <v/>
      </c>
      <c r="J840">
        <f>IF($Q840="","",INDEX(상세표[기록 수],$Q840))</f>
        <v/>
      </c>
      <c r="K840" s="20">
        <f>IF($Q840="","",INDEX(상세표[블록 06~07시],$Q840))</f>
        <v/>
      </c>
      <c r="L840" s="20">
        <f>IF($Q840="","",INDEX(상세표[블록 07~18시],$Q840))</f>
        <v/>
      </c>
      <c r="M840" s="20">
        <f>IF($Q840="","",INDEX(상세표[블록 18~22시],$Q840))</f>
        <v/>
      </c>
      <c r="N840" s="20">
        <f>IF($Q840="","",INDEX(상세표[블록 22~06시],$Q840))</f>
        <v/>
      </c>
      <c r="O840">
        <f>IF($Q840="","",INDEX(상세표[주말·휴일 포함],$Q840)&amp;"")</f>
        <v/>
      </c>
      <c r="P840">
        <f>IF($Q840="","",INDEX(상세표[월 넘김 포함],$Q840)&amp;"")</f>
        <v/>
      </c>
      <c r="Q840" s="4">
        <f>IFERROR(MATCH(835,상세표[연속순번],0),"")</f>
        <v/>
      </c>
    </row>
    <row r="841">
      <c r="A841">
        <f>IF($Q841="","",INDEX(상세표[부서],$Q841)&amp;"")</f>
        <v/>
      </c>
      <c r="B841">
        <f>IF($Q841="","",INDEX(상세표[사번],$Q841)&amp;"")</f>
        <v/>
      </c>
      <c r="C841">
        <f>IF($Q841="","",INDEX(상세표[성명],$Q841)&amp;"")</f>
        <v/>
      </c>
      <c r="D841">
        <f>IF($Q841="","",INDEX(상세표[직위],$Q841)&amp;"")</f>
        <v/>
      </c>
      <c r="E841">
        <f>IF($Q841="","",IF(ISNUMBER(INDEX(상세표[근무일자],$Q841)),TEXT(INDEX(상세표[근무일자],$Q841),"yyyy-mm-dd"),INDEX(상세표[근무일자],$Q841)&amp;""))</f>
        <v/>
      </c>
      <c r="F841">
        <f>IF($Q841="","",IF(ISNUMBER(INDEX(상세표[시작],$Q841)),TEXT(INDEX(상세표[시작],$Q841),"yyyy-mm-dd hh:mm"),INDEX(상세표[시작],$Q841)&amp;""))</f>
        <v/>
      </c>
      <c r="G841">
        <f>IF($Q841="","",IF(ISNUMBER(INDEX(상세표[블록종료],$Q841)),TEXT(INDEX(상세표[블록종료],$Q841),"yyyy-mm-dd hh:mm"),INDEX(상세표[블록종료],$Q841)&amp;""))</f>
        <v/>
      </c>
      <c r="H841">
        <f>IF($Q841="","",CHOOSE(WEEKDAY(INDEX(상세표[시작],$Q841)),"일","월","화","수","목","금","토"))</f>
        <v/>
      </c>
      <c r="I841" s="20">
        <f>IF($Q841="","",INDEX(상세표[연속 시간],$Q841))</f>
        <v/>
      </c>
      <c r="J841">
        <f>IF($Q841="","",INDEX(상세표[기록 수],$Q841))</f>
        <v/>
      </c>
      <c r="K841" s="20">
        <f>IF($Q841="","",INDEX(상세표[블록 06~07시],$Q841))</f>
        <v/>
      </c>
      <c r="L841" s="20">
        <f>IF($Q841="","",INDEX(상세표[블록 07~18시],$Q841))</f>
        <v/>
      </c>
      <c r="M841" s="20">
        <f>IF($Q841="","",INDEX(상세표[블록 18~22시],$Q841))</f>
        <v/>
      </c>
      <c r="N841" s="20">
        <f>IF($Q841="","",INDEX(상세표[블록 22~06시],$Q841))</f>
        <v/>
      </c>
      <c r="O841">
        <f>IF($Q841="","",INDEX(상세표[주말·휴일 포함],$Q841)&amp;"")</f>
        <v/>
      </c>
      <c r="P841">
        <f>IF($Q841="","",INDEX(상세표[월 넘김 포함],$Q841)&amp;"")</f>
        <v/>
      </c>
      <c r="Q841" s="4">
        <f>IFERROR(MATCH(836,상세표[연속순번],0),"")</f>
        <v/>
      </c>
    </row>
    <row r="842">
      <c r="A842">
        <f>IF($Q842="","",INDEX(상세표[부서],$Q842)&amp;"")</f>
        <v/>
      </c>
      <c r="B842">
        <f>IF($Q842="","",INDEX(상세표[사번],$Q842)&amp;"")</f>
        <v/>
      </c>
      <c r="C842">
        <f>IF($Q842="","",INDEX(상세표[성명],$Q842)&amp;"")</f>
        <v/>
      </c>
      <c r="D842">
        <f>IF($Q842="","",INDEX(상세표[직위],$Q842)&amp;"")</f>
        <v/>
      </c>
      <c r="E842">
        <f>IF($Q842="","",IF(ISNUMBER(INDEX(상세표[근무일자],$Q842)),TEXT(INDEX(상세표[근무일자],$Q842),"yyyy-mm-dd"),INDEX(상세표[근무일자],$Q842)&amp;""))</f>
        <v/>
      </c>
      <c r="F842">
        <f>IF($Q842="","",IF(ISNUMBER(INDEX(상세표[시작],$Q842)),TEXT(INDEX(상세표[시작],$Q842),"yyyy-mm-dd hh:mm"),INDEX(상세표[시작],$Q842)&amp;""))</f>
        <v/>
      </c>
      <c r="G842">
        <f>IF($Q842="","",IF(ISNUMBER(INDEX(상세표[블록종료],$Q842)),TEXT(INDEX(상세표[블록종료],$Q842),"yyyy-mm-dd hh:mm"),INDEX(상세표[블록종료],$Q842)&amp;""))</f>
        <v/>
      </c>
      <c r="H842">
        <f>IF($Q842="","",CHOOSE(WEEKDAY(INDEX(상세표[시작],$Q842)),"일","월","화","수","목","금","토"))</f>
        <v/>
      </c>
      <c r="I842" s="20">
        <f>IF($Q842="","",INDEX(상세표[연속 시간],$Q842))</f>
        <v/>
      </c>
      <c r="J842">
        <f>IF($Q842="","",INDEX(상세표[기록 수],$Q842))</f>
        <v/>
      </c>
      <c r="K842" s="20">
        <f>IF($Q842="","",INDEX(상세표[블록 06~07시],$Q842))</f>
        <v/>
      </c>
      <c r="L842" s="20">
        <f>IF($Q842="","",INDEX(상세표[블록 07~18시],$Q842))</f>
        <v/>
      </c>
      <c r="M842" s="20">
        <f>IF($Q842="","",INDEX(상세표[블록 18~22시],$Q842))</f>
        <v/>
      </c>
      <c r="N842" s="20">
        <f>IF($Q842="","",INDEX(상세표[블록 22~06시],$Q842))</f>
        <v/>
      </c>
      <c r="O842">
        <f>IF($Q842="","",INDEX(상세표[주말·휴일 포함],$Q842)&amp;"")</f>
        <v/>
      </c>
      <c r="P842">
        <f>IF($Q842="","",INDEX(상세표[월 넘김 포함],$Q842)&amp;"")</f>
        <v/>
      </c>
      <c r="Q842" s="4">
        <f>IFERROR(MATCH(837,상세표[연속순번],0),"")</f>
        <v/>
      </c>
    </row>
    <row r="843">
      <c r="A843">
        <f>IF($Q843="","",INDEX(상세표[부서],$Q843)&amp;"")</f>
        <v/>
      </c>
      <c r="B843">
        <f>IF($Q843="","",INDEX(상세표[사번],$Q843)&amp;"")</f>
        <v/>
      </c>
      <c r="C843">
        <f>IF($Q843="","",INDEX(상세표[성명],$Q843)&amp;"")</f>
        <v/>
      </c>
      <c r="D843">
        <f>IF($Q843="","",INDEX(상세표[직위],$Q843)&amp;"")</f>
        <v/>
      </c>
      <c r="E843">
        <f>IF($Q843="","",IF(ISNUMBER(INDEX(상세표[근무일자],$Q843)),TEXT(INDEX(상세표[근무일자],$Q843),"yyyy-mm-dd"),INDEX(상세표[근무일자],$Q843)&amp;""))</f>
        <v/>
      </c>
      <c r="F843">
        <f>IF($Q843="","",IF(ISNUMBER(INDEX(상세표[시작],$Q843)),TEXT(INDEX(상세표[시작],$Q843),"yyyy-mm-dd hh:mm"),INDEX(상세표[시작],$Q843)&amp;""))</f>
        <v/>
      </c>
      <c r="G843">
        <f>IF($Q843="","",IF(ISNUMBER(INDEX(상세표[블록종료],$Q843)),TEXT(INDEX(상세표[블록종료],$Q843),"yyyy-mm-dd hh:mm"),INDEX(상세표[블록종료],$Q843)&amp;""))</f>
        <v/>
      </c>
      <c r="H843">
        <f>IF($Q843="","",CHOOSE(WEEKDAY(INDEX(상세표[시작],$Q843)),"일","월","화","수","목","금","토"))</f>
        <v/>
      </c>
      <c r="I843" s="20">
        <f>IF($Q843="","",INDEX(상세표[연속 시간],$Q843))</f>
        <v/>
      </c>
      <c r="J843">
        <f>IF($Q843="","",INDEX(상세표[기록 수],$Q843))</f>
        <v/>
      </c>
      <c r="K843" s="20">
        <f>IF($Q843="","",INDEX(상세표[블록 06~07시],$Q843))</f>
        <v/>
      </c>
      <c r="L843" s="20">
        <f>IF($Q843="","",INDEX(상세표[블록 07~18시],$Q843))</f>
        <v/>
      </c>
      <c r="M843" s="20">
        <f>IF($Q843="","",INDEX(상세표[블록 18~22시],$Q843))</f>
        <v/>
      </c>
      <c r="N843" s="20">
        <f>IF($Q843="","",INDEX(상세표[블록 22~06시],$Q843))</f>
        <v/>
      </c>
      <c r="O843">
        <f>IF($Q843="","",INDEX(상세표[주말·휴일 포함],$Q843)&amp;"")</f>
        <v/>
      </c>
      <c r="P843">
        <f>IF($Q843="","",INDEX(상세표[월 넘김 포함],$Q843)&amp;"")</f>
        <v/>
      </c>
      <c r="Q843" s="4">
        <f>IFERROR(MATCH(838,상세표[연속순번],0),"")</f>
        <v/>
      </c>
    </row>
    <row r="844">
      <c r="A844">
        <f>IF($Q844="","",INDEX(상세표[부서],$Q844)&amp;"")</f>
        <v/>
      </c>
      <c r="B844">
        <f>IF($Q844="","",INDEX(상세표[사번],$Q844)&amp;"")</f>
        <v/>
      </c>
      <c r="C844">
        <f>IF($Q844="","",INDEX(상세표[성명],$Q844)&amp;"")</f>
        <v/>
      </c>
      <c r="D844">
        <f>IF($Q844="","",INDEX(상세표[직위],$Q844)&amp;"")</f>
        <v/>
      </c>
      <c r="E844">
        <f>IF($Q844="","",IF(ISNUMBER(INDEX(상세표[근무일자],$Q844)),TEXT(INDEX(상세표[근무일자],$Q844),"yyyy-mm-dd"),INDEX(상세표[근무일자],$Q844)&amp;""))</f>
        <v/>
      </c>
      <c r="F844">
        <f>IF($Q844="","",IF(ISNUMBER(INDEX(상세표[시작],$Q844)),TEXT(INDEX(상세표[시작],$Q844),"yyyy-mm-dd hh:mm"),INDEX(상세표[시작],$Q844)&amp;""))</f>
        <v/>
      </c>
      <c r="G844">
        <f>IF($Q844="","",IF(ISNUMBER(INDEX(상세표[블록종료],$Q844)),TEXT(INDEX(상세표[블록종료],$Q844),"yyyy-mm-dd hh:mm"),INDEX(상세표[블록종료],$Q844)&amp;""))</f>
        <v/>
      </c>
      <c r="H844">
        <f>IF($Q844="","",CHOOSE(WEEKDAY(INDEX(상세표[시작],$Q844)),"일","월","화","수","목","금","토"))</f>
        <v/>
      </c>
      <c r="I844" s="20">
        <f>IF($Q844="","",INDEX(상세표[연속 시간],$Q844))</f>
        <v/>
      </c>
      <c r="J844">
        <f>IF($Q844="","",INDEX(상세표[기록 수],$Q844))</f>
        <v/>
      </c>
      <c r="K844" s="20">
        <f>IF($Q844="","",INDEX(상세표[블록 06~07시],$Q844))</f>
        <v/>
      </c>
      <c r="L844" s="20">
        <f>IF($Q844="","",INDEX(상세표[블록 07~18시],$Q844))</f>
        <v/>
      </c>
      <c r="M844" s="20">
        <f>IF($Q844="","",INDEX(상세표[블록 18~22시],$Q844))</f>
        <v/>
      </c>
      <c r="N844" s="20">
        <f>IF($Q844="","",INDEX(상세표[블록 22~06시],$Q844))</f>
        <v/>
      </c>
      <c r="O844">
        <f>IF($Q844="","",INDEX(상세표[주말·휴일 포함],$Q844)&amp;"")</f>
        <v/>
      </c>
      <c r="P844">
        <f>IF($Q844="","",INDEX(상세표[월 넘김 포함],$Q844)&amp;"")</f>
        <v/>
      </c>
      <c r="Q844" s="4">
        <f>IFERROR(MATCH(839,상세표[연속순번],0),"")</f>
        <v/>
      </c>
    </row>
    <row r="845">
      <c r="A845">
        <f>IF($Q845="","",INDEX(상세표[부서],$Q845)&amp;"")</f>
        <v/>
      </c>
      <c r="B845">
        <f>IF($Q845="","",INDEX(상세표[사번],$Q845)&amp;"")</f>
        <v/>
      </c>
      <c r="C845">
        <f>IF($Q845="","",INDEX(상세표[성명],$Q845)&amp;"")</f>
        <v/>
      </c>
      <c r="D845">
        <f>IF($Q845="","",INDEX(상세표[직위],$Q845)&amp;"")</f>
        <v/>
      </c>
      <c r="E845">
        <f>IF($Q845="","",IF(ISNUMBER(INDEX(상세표[근무일자],$Q845)),TEXT(INDEX(상세표[근무일자],$Q845),"yyyy-mm-dd"),INDEX(상세표[근무일자],$Q845)&amp;""))</f>
        <v/>
      </c>
      <c r="F845">
        <f>IF($Q845="","",IF(ISNUMBER(INDEX(상세표[시작],$Q845)),TEXT(INDEX(상세표[시작],$Q845),"yyyy-mm-dd hh:mm"),INDEX(상세표[시작],$Q845)&amp;""))</f>
        <v/>
      </c>
      <c r="G845">
        <f>IF($Q845="","",IF(ISNUMBER(INDEX(상세표[블록종료],$Q845)),TEXT(INDEX(상세표[블록종료],$Q845),"yyyy-mm-dd hh:mm"),INDEX(상세표[블록종료],$Q845)&amp;""))</f>
        <v/>
      </c>
      <c r="H845">
        <f>IF($Q845="","",CHOOSE(WEEKDAY(INDEX(상세표[시작],$Q845)),"일","월","화","수","목","금","토"))</f>
        <v/>
      </c>
      <c r="I845" s="20">
        <f>IF($Q845="","",INDEX(상세표[연속 시간],$Q845))</f>
        <v/>
      </c>
      <c r="J845">
        <f>IF($Q845="","",INDEX(상세표[기록 수],$Q845))</f>
        <v/>
      </c>
      <c r="K845" s="20">
        <f>IF($Q845="","",INDEX(상세표[블록 06~07시],$Q845))</f>
        <v/>
      </c>
      <c r="L845" s="20">
        <f>IF($Q845="","",INDEX(상세표[블록 07~18시],$Q845))</f>
        <v/>
      </c>
      <c r="M845" s="20">
        <f>IF($Q845="","",INDEX(상세표[블록 18~22시],$Q845))</f>
        <v/>
      </c>
      <c r="N845" s="20">
        <f>IF($Q845="","",INDEX(상세표[블록 22~06시],$Q845))</f>
        <v/>
      </c>
      <c r="O845">
        <f>IF($Q845="","",INDEX(상세표[주말·휴일 포함],$Q845)&amp;"")</f>
        <v/>
      </c>
      <c r="P845">
        <f>IF($Q845="","",INDEX(상세표[월 넘김 포함],$Q845)&amp;"")</f>
        <v/>
      </c>
      <c r="Q845" s="4">
        <f>IFERROR(MATCH(840,상세표[연속순번],0),"")</f>
        <v/>
      </c>
    </row>
    <row r="846">
      <c r="A846">
        <f>IF($Q846="","",INDEX(상세표[부서],$Q846)&amp;"")</f>
        <v/>
      </c>
      <c r="B846">
        <f>IF($Q846="","",INDEX(상세표[사번],$Q846)&amp;"")</f>
        <v/>
      </c>
      <c r="C846">
        <f>IF($Q846="","",INDEX(상세표[성명],$Q846)&amp;"")</f>
        <v/>
      </c>
      <c r="D846">
        <f>IF($Q846="","",INDEX(상세표[직위],$Q846)&amp;"")</f>
        <v/>
      </c>
      <c r="E846">
        <f>IF($Q846="","",IF(ISNUMBER(INDEX(상세표[근무일자],$Q846)),TEXT(INDEX(상세표[근무일자],$Q846),"yyyy-mm-dd"),INDEX(상세표[근무일자],$Q846)&amp;""))</f>
        <v/>
      </c>
      <c r="F846">
        <f>IF($Q846="","",IF(ISNUMBER(INDEX(상세표[시작],$Q846)),TEXT(INDEX(상세표[시작],$Q846),"yyyy-mm-dd hh:mm"),INDEX(상세표[시작],$Q846)&amp;""))</f>
        <v/>
      </c>
      <c r="G846">
        <f>IF($Q846="","",IF(ISNUMBER(INDEX(상세표[블록종료],$Q846)),TEXT(INDEX(상세표[블록종료],$Q846),"yyyy-mm-dd hh:mm"),INDEX(상세표[블록종료],$Q846)&amp;""))</f>
        <v/>
      </c>
      <c r="H846">
        <f>IF($Q846="","",CHOOSE(WEEKDAY(INDEX(상세표[시작],$Q846)),"일","월","화","수","목","금","토"))</f>
        <v/>
      </c>
      <c r="I846" s="20">
        <f>IF($Q846="","",INDEX(상세표[연속 시간],$Q846))</f>
        <v/>
      </c>
      <c r="J846">
        <f>IF($Q846="","",INDEX(상세표[기록 수],$Q846))</f>
        <v/>
      </c>
      <c r="K846" s="20">
        <f>IF($Q846="","",INDEX(상세표[블록 06~07시],$Q846))</f>
        <v/>
      </c>
      <c r="L846" s="20">
        <f>IF($Q846="","",INDEX(상세표[블록 07~18시],$Q846))</f>
        <v/>
      </c>
      <c r="M846" s="20">
        <f>IF($Q846="","",INDEX(상세표[블록 18~22시],$Q846))</f>
        <v/>
      </c>
      <c r="N846" s="20">
        <f>IF($Q846="","",INDEX(상세표[블록 22~06시],$Q846))</f>
        <v/>
      </c>
      <c r="O846">
        <f>IF($Q846="","",INDEX(상세표[주말·휴일 포함],$Q846)&amp;"")</f>
        <v/>
      </c>
      <c r="P846">
        <f>IF($Q846="","",INDEX(상세표[월 넘김 포함],$Q846)&amp;"")</f>
        <v/>
      </c>
      <c r="Q846" s="4">
        <f>IFERROR(MATCH(841,상세표[연속순번],0),"")</f>
        <v/>
      </c>
    </row>
    <row r="847">
      <c r="A847">
        <f>IF($Q847="","",INDEX(상세표[부서],$Q847)&amp;"")</f>
        <v/>
      </c>
      <c r="B847">
        <f>IF($Q847="","",INDEX(상세표[사번],$Q847)&amp;"")</f>
        <v/>
      </c>
      <c r="C847">
        <f>IF($Q847="","",INDEX(상세표[성명],$Q847)&amp;"")</f>
        <v/>
      </c>
      <c r="D847">
        <f>IF($Q847="","",INDEX(상세표[직위],$Q847)&amp;"")</f>
        <v/>
      </c>
      <c r="E847">
        <f>IF($Q847="","",IF(ISNUMBER(INDEX(상세표[근무일자],$Q847)),TEXT(INDEX(상세표[근무일자],$Q847),"yyyy-mm-dd"),INDEX(상세표[근무일자],$Q847)&amp;""))</f>
        <v/>
      </c>
      <c r="F847">
        <f>IF($Q847="","",IF(ISNUMBER(INDEX(상세표[시작],$Q847)),TEXT(INDEX(상세표[시작],$Q847),"yyyy-mm-dd hh:mm"),INDEX(상세표[시작],$Q847)&amp;""))</f>
        <v/>
      </c>
      <c r="G847">
        <f>IF($Q847="","",IF(ISNUMBER(INDEX(상세표[블록종료],$Q847)),TEXT(INDEX(상세표[블록종료],$Q847),"yyyy-mm-dd hh:mm"),INDEX(상세표[블록종료],$Q847)&amp;""))</f>
        <v/>
      </c>
      <c r="H847">
        <f>IF($Q847="","",CHOOSE(WEEKDAY(INDEX(상세표[시작],$Q847)),"일","월","화","수","목","금","토"))</f>
        <v/>
      </c>
      <c r="I847" s="20">
        <f>IF($Q847="","",INDEX(상세표[연속 시간],$Q847))</f>
        <v/>
      </c>
      <c r="J847">
        <f>IF($Q847="","",INDEX(상세표[기록 수],$Q847))</f>
        <v/>
      </c>
      <c r="K847" s="20">
        <f>IF($Q847="","",INDEX(상세표[블록 06~07시],$Q847))</f>
        <v/>
      </c>
      <c r="L847" s="20">
        <f>IF($Q847="","",INDEX(상세표[블록 07~18시],$Q847))</f>
        <v/>
      </c>
      <c r="M847" s="20">
        <f>IF($Q847="","",INDEX(상세표[블록 18~22시],$Q847))</f>
        <v/>
      </c>
      <c r="N847" s="20">
        <f>IF($Q847="","",INDEX(상세표[블록 22~06시],$Q847))</f>
        <v/>
      </c>
      <c r="O847">
        <f>IF($Q847="","",INDEX(상세표[주말·휴일 포함],$Q847)&amp;"")</f>
        <v/>
      </c>
      <c r="P847">
        <f>IF($Q847="","",INDEX(상세표[월 넘김 포함],$Q847)&amp;"")</f>
        <v/>
      </c>
      <c r="Q847" s="4">
        <f>IFERROR(MATCH(842,상세표[연속순번],0),"")</f>
        <v/>
      </c>
    </row>
    <row r="848">
      <c r="A848">
        <f>IF($Q848="","",INDEX(상세표[부서],$Q848)&amp;"")</f>
        <v/>
      </c>
      <c r="B848">
        <f>IF($Q848="","",INDEX(상세표[사번],$Q848)&amp;"")</f>
        <v/>
      </c>
      <c r="C848">
        <f>IF($Q848="","",INDEX(상세표[성명],$Q848)&amp;"")</f>
        <v/>
      </c>
      <c r="D848">
        <f>IF($Q848="","",INDEX(상세표[직위],$Q848)&amp;"")</f>
        <v/>
      </c>
      <c r="E848">
        <f>IF($Q848="","",IF(ISNUMBER(INDEX(상세표[근무일자],$Q848)),TEXT(INDEX(상세표[근무일자],$Q848),"yyyy-mm-dd"),INDEX(상세표[근무일자],$Q848)&amp;""))</f>
        <v/>
      </c>
      <c r="F848">
        <f>IF($Q848="","",IF(ISNUMBER(INDEX(상세표[시작],$Q848)),TEXT(INDEX(상세표[시작],$Q848),"yyyy-mm-dd hh:mm"),INDEX(상세표[시작],$Q848)&amp;""))</f>
        <v/>
      </c>
      <c r="G848">
        <f>IF($Q848="","",IF(ISNUMBER(INDEX(상세표[블록종료],$Q848)),TEXT(INDEX(상세표[블록종료],$Q848),"yyyy-mm-dd hh:mm"),INDEX(상세표[블록종료],$Q848)&amp;""))</f>
        <v/>
      </c>
      <c r="H848">
        <f>IF($Q848="","",CHOOSE(WEEKDAY(INDEX(상세표[시작],$Q848)),"일","월","화","수","목","금","토"))</f>
        <v/>
      </c>
      <c r="I848" s="20">
        <f>IF($Q848="","",INDEX(상세표[연속 시간],$Q848))</f>
        <v/>
      </c>
      <c r="J848">
        <f>IF($Q848="","",INDEX(상세표[기록 수],$Q848))</f>
        <v/>
      </c>
      <c r="K848" s="20">
        <f>IF($Q848="","",INDEX(상세표[블록 06~07시],$Q848))</f>
        <v/>
      </c>
      <c r="L848" s="20">
        <f>IF($Q848="","",INDEX(상세표[블록 07~18시],$Q848))</f>
        <v/>
      </c>
      <c r="M848" s="20">
        <f>IF($Q848="","",INDEX(상세표[블록 18~22시],$Q848))</f>
        <v/>
      </c>
      <c r="N848" s="20">
        <f>IF($Q848="","",INDEX(상세표[블록 22~06시],$Q848))</f>
        <v/>
      </c>
      <c r="O848">
        <f>IF($Q848="","",INDEX(상세표[주말·휴일 포함],$Q848)&amp;"")</f>
        <v/>
      </c>
      <c r="P848">
        <f>IF($Q848="","",INDEX(상세표[월 넘김 포함],$Q848)&amp;"")</f>
        <v/>
      </c>
      <c r="Q848" s="4">
        <f>IFERROR(MATCH(843,상세표[연속순번],0),"")</f>
        <v/>
      </c>
    </row>
    <row r="849">
      <c r="A849">
        <f>IF($Q849="","",INDEX(상세표[부서],$Q849)&amp;"")</f>
        <v/>
      </c>
      <c r="B849">
        <f>IF($Q849="","",INDEX(상세표[사번],$Q849)&amp;"")</f>
        <v/>
      </c>
      <c r="C849">
        <f>IF($Q849="","",INDEX(상세표[성명],$Q849)&amp;"")</f>
        <v/>
      </c>
      <c r="D849">
        <f>IF($Q849="","",INDEX(상세표[직위],$Q849)&amp;"")</f>
        <v/>
      </c>
      <c r="E849">
        <f>IF($Q849="","",IF(ISNUMBER(INDEX(상세표[근무일자],$Q849)),TEXT(INDEX(상세표[근무일자],$Q849),"yyyy-mm-dd"),INDEX(상세표[근무일자],$Q849)&amp;""))</f>
        <v/>
      </c>
      <c r="F849">
        <f>IF($Q849="","",IF(ISNUMBER(INDEX(상세표[시작],$Q849)),TEXT(INDEX(상세표[시작],$Q849),"yyyy-mm-dd hh:mm"),INDEX(상세표[시작],$Q849)&amp;""))</f>
        <v/>
      </c>
      <c r="G849">
        <f>IF($Q849="","",IF(ISNUMBER(INDEX(상세표[블록종료],$Q849)),TEXT(INDEX(상세표[블록종료],$Q849),"yyyy-mm-dd hh:mm"),INDEX(상세표[블록종료],$Q849)&amp;""))</f>
        <v/>
      </c>
      <c r="H849">
        <f>IF($Q849="","",CHOOSE(WEEKDAY(INDEX(상세표[시작],$Q849)),"일","월","화","수","목","금","토"))</f>
        <v/>
      </c>
      <c r="I849" s="20">
        <f>IF($Q849="","",INDEX(상세표[연속 시간],$Q849))</f>
        <v/>
      </c>
      <c r="J849">
        <f>IF($Q849="","",INDEX(상세표[기록 수],$Q849))</f>
        <v/>
      </c>
      <c r="K849" s="20">
        <f>IF($Q849="","",INDEX(상세표[블록 06~07시],$Q849))</f>
        <v/>
      </c>
      <c r="L849" s="20">
        <f>IF($Q849="","",INDEX(상세표[블록 07~18시],$Q849))</f>
        <v/>
      </c>
      <c r="M849" s="20">
        <f>IF($Q849="","",INDEX(상세표[블록 18~22시],$Q849))</f>
        <v/>
      </c>
      <c r="N849" s="20">
        <f>IF($Q849="","",INDEX(상세표[블록 22~06시],$Q849))</f>
        <v/>
      </c>
      <c r="O849">
        <f>IF($Q849="","",INDEX(상세표[주말·휴일 포함],$Q849)&amp;"")</f>
        <v/>
      </c>
      <c r="P849">
        <f>IF($Q849="","",INDEX(상세표[월 넘김 포함],$Q849)&amp;"")</f>
        <v/>
      </c>
      <c r="Q849" s="4">
        <f>IFERROR(MATCH(844,상세표[연속순번],0),"")</f>
        <v/>
      </c>
    </row>
    <row r="850">
      <c r="A850">
        <f>IF($Q850="","",INDEX(상세표[부서],$Q850)&amp;"")</f>
        <v/>
      </c>
      <c r="B850">
        <f>IF($Q850="","",INDEX(상세표[사번],$Q850)&amp;"")</f>
        <v/>
      </c>
      <c r="C850">
        <f>IF($Q850="","",INDEX(상세표[성명],$Q850)&amp;"")</f>
        <v/>
      </c>
      <c r="D850">
        <f>IF($Q850="","",INDEX(상세표[직위],$Q850)&amp;"")</f>
        <v/>
      </c>
      <c r="E850">
        <f>IF($Q850="","",IF(ISNUMBER(INDEX(상세표[근무일자],$Q850)),TEXT(INDEX(상세표[근무일자],$Q850),"yyyy-mm-dd"),INDEX(상세표[근무일자],$Q850)&amp;""))</f>
        <v/>
      </c>
      <c r="F850">
        <f>IF($Q850="","",IF(ISNUMBER(INDEX(상세표[시작],$Q850)),TEXT(INDEX(상세표[시작],$Q850),"yyyy-mm-dd hh:mm"),INDEX(상세표[시작],$Q850)&amp;""))</f>
        <v/>
      </c>
      <c r="G850">
        <f>IF($Q850="","",IF(ISNUMBER(INDEX(상세표[블록종료],$Q850)),TEXT(INDEX(상세표[블록종료],$Q850),"yyyy-mm-dd hh:mm"),INDEX(상세표[블록종료],$Q850)&amp;""))</f>
        <v/>
      </c>
      <c r="H850">
        <f>IF($Q850="","",CHOOSE(WEEKDAY(INDEX(상세표[시작],$Q850)),"일","월","화","수","목","금","토"))</f>
        <v/>
      </c>
      <c r="I850" s="20">
        <f>IF($Q850="","",INDEX(상세표[연속 시간],$Q850))</f>
        <v/>
      </c>
      <c r="J850">
        <f>IF($Q850="","",INDEX(상세표[기록 수],$Q850))</f>
        <v/>
      </c>
      <c r="K850" s="20">
        <f>IF($Q850="","",INDEX(상세표[블록 06~07시],$Q850))</f>
        <v/>
      </c>
      <c r="L850" s="20">
        <f>IF($Q850="","",INDEX(상세표[블록 07~18시],$Q850))</f>
        <v/>
      </c>
      <c r="M850" s="20">
        <f>IF($Q850="","",INDEX(상세표[블록 18~22시],$Q850))</f>
        <v/>
      </c>
      <c r="N850" s="20">
        <f>IF($Q850="","",INDEX(상세표[블록 22~06시],$Q850))</f>
        <v/>
      </c>
      <c r="O850">
        <f>IF($Q850="","",INDEX(상세표[주말·휴일 포함],$Q850)&amp;"")</f>
        <v/>
      </c>
      <c r="P850">
        <f>IF($Q850="","",INDEX(상세표[월 넘김 포함],$Q850)&amp;"")</f>
        <v/>
      </c>
      <c r="Q850" s="4">
        <f>IFERROR(MATCH(845,상세표[연속순번],0),"")</f>
        <v/>
      </c>
    </row>
    <row r="851">
      <c r="A851">
        <f>IF($Q851="","",INDEX(상세표[부서],$Q851)&amp;"")</f>
        <v/>
      </c>
      <c r="B851">
        <f>IF($Q851="","",INDEX(상세표[사번],$Q851)&amp;"")</f>
        <v/>
      </c>
      <c r="C851">
        <f>IF($Q851="","",INDEX(상세표[성명],$Q851)&amp;"")</f>
        <v/>
      </c>
      <c r="D851">
        <f>IF($Q851="","",INDEX(상세표[직위],$Q851)&amp;"")</f>
        <v/>
      </c>
      <c r="E851">
        <f>IF($Q851="","",IF(ISNUMBER(INDEX(상세표[근무일자],$Q851)),TEXT(INDEX(상세표[근무일자],$Q851),"yyyy-mm-dd"),INDEX(상세표[근무일자],$Q851)&amp;""))</f>
        <v/>
      </c>
      <c r="F851">
        <f>IF($Q851="","",IF(ISNUMBER(INDEX(상세표[시작],$Q851)),TEXT(INDEX(상세표[시작],$Q851),"yyyy-mm-dd hh:mm"),INDEX(상세표[시작],$Q851)&amp;""))</f>
        <v/>
      </c>
      <c r="G851">
        <f>IF($Q851="","",IF(ISNUMBER(INDEX(상세표[블록종료],$Q851)),TEXT(INDEX(상세표[블록종료],$Q851),"yyyy-mm-dd hh:mm"),INDEX(상세표[블록종료],$Q851)&amp;""))</f>
        <v/>
      </c>
      <c r="H851">
        <f>IF($Q851="","",CHOOSE(WEEKDAY(INDEX(상세표[시작],$Q851)),"일","월","화","수","목","금","토"))</f>
        <v/>
      </c>
      <c r="I851" s="20">
        <f>IF($Q851="","",INDEX(상세표[연속 시간],$Q851))</f>
        <v/>
      </c>
      <c r="J851">
        <f>IF($Q851="","",INDEX(상세표[기록 수],$Q851))</f>
        <v/>
      </c>
      <c r="K851" s="20">
        <f>IF($Q851="","",INDEX(상세표[블록 06~07시],$Q851))</f>
        <v/>
      </c>
      <c r="L851" s="20">
        <f>IF($Q851="","",INDEX(상세표[블록 07~18시],$Q851))</f>
        <v/>
      </c>
      <c r="M851" s="20">
        <f>IF($Q851="","",INDEX(상세표[블록 18~22시],$Q851))</f>
        <v/>
      </c>
      <c r="N851" s="20">
        <f>IF($Q851="","",INDEX(상세표[블록 22~06시],$Q851))</f>
        <v/>
      </c>
      <c r="O851">
        <f>IF($Q851="","",INDEX(상세표[주말·휴일 포함],$Q851)&amp;"")</f>
        <v/>
      </c>
      <c r="P851">
        <f>IF($Q851="","",INDEX(상세표[월 넘김 포함],$Q851)&amp;"")</f>
        <v/>
      </c>
      <c r="Q851" s="4">
        <f>IFERROR(MATCH(846,상세표[연속순번],0),"")</f>
        <v/>
      </c>
    </row>
    <row r="852">
      <c r="A852">
        <f>IF($Q852="","",INDEX(상세표[부서],$Q852)&amp;"")</f>
        <v/>
      </c>
      <c r="B852">
        <f>IF($Q852="","",INDEX(상세표[사번],$Q852)&amp;"")</f>
        <v/>
      </c>
      <c r="C852">
        <f>IF($Q852="","",INDEX(상세표[성명],$Q852)&amp;"")</f>
        <v/>
      </c>
      <c r="D852">
        <f>IF($Q852="","",INDEX(상세표[직위],$Q852)&amp;"")</f>
        <v/>
      </c>
      <c r="E852">
        <f>IF($Q852="","",IF(ISNUMBER(INDEX(상세표[근무일자],$Q852)),TEXT(INDEX(상세표[근무일자],$Q852),"yyyy-mm-dd"),INDEX(상세표[근무일자],$Q852)&amp;""))</f>
        <v/>
      </c>
      <c r="F852">
        <f>IF($Q852="","",IF(ISNUMBER(INDEX(상세표[시작],$Q852)),TEXT(INDEX(상세표[시작],$Q852),"yyyy-mm-dd hh:mm"),INDEX(상세표[시작],$Q852)&amp;""))</f>
        <v/>
      </c>
      <c r="G852">
        <f>IF($Q852="","",IF(ISNUMBER(INDEX(상세표[블록종료],$Q852)),TEXT(INDEX(상세표[블록종료],$Q852),"yyyy-mm-dd hh:mm"),INDEX(상세표[블록종료],$Q852)&amp;""))</f>
        <v/>
      </c>
      <c r="H852">
        <f>IF($Q852="","",CHOOSE(WEEKDAY(INDEX(상세표[시작],$Q852)),"일","월","화","수","목","금","토"))</f>
        <v/>
      </c>
      <c r="I852" s="20">
        <f>IF($Q852="","",INDEX(상세표[연속 시간],$Q852))</f>
        <v/>
      </c>
      <c r="J852">
        <f>IF($Q852="","",INDEX(상세표[기록 수],$Q852))</f>
        <v/>
      </c>
      <c r="K852" s="20">
        <f>IF($Q852="","",INDEX(상세표[블록 06~07시],$Q852))</f>
        <v/>
      </c>
      <c r="L852" s="20">
        <f>IF($Q852="","",INDEX(상세표[블록 07~18시],$Q852))</f>
        <v/>
      </c>
      <c r="M852" s="20">
        <f>IF($Q852="","",INDEX(상세표[블록 18~22시],$Q852))</f>
        <v/>
      </c>
      <c r="N852" s="20">
        <f>IF($Q852="","",INDEX(상세표[블록 22~06시],$Q852))</f>
        <v/>
      </c>
      <c r="O852">
        <f>IF($Q852="","",INDEX(상세표[주말·휴일 포함],$Q852)&amp;"")</f>
        <v/>
      </c>
      <c r="P852">
        <f>IF($Q852="","",INDEX(상세표[월 넘김 포함],$Q852)&amp;"")</f>
        <v/>
      </c>
      <c r="Q852" s="4">
        <f>IFERROR(MATCH(847,상세표[연속순번],0),"")</f>
        <v/>
      </c>
    </row>
    <row r="853">
      <c r="A853">
        <f>IF($Q853="","",INDEX(상세표[부서],$Q853)&amp;"")</f>
        <v/>
      </c>
      <c r="B853">
        <f>IF($Q853="","",INDEX(상세표[사번],$Q853)&amp;"")</f>
        <v/>
      </c>
      <c r="C853">
        <f>IF($Q853="","",INDEX(상세표[성명],$Q853)&amp;"")</f>
        <v/>
      </c>
      <c r="D853">
        <f>IF($Q853="","",INDEX(상세표[직위],$Q853)&amp;"")</f>
        <v/>
      </c>
      <c r="E853">
        <f>IF($Q853="","",IF(ISNUMBER(INDEX(상세표[근무일자],$Q853)),TEXT(INDEX(상세표[근무일자],$Q853),"yyyy-mm-dd"),INDEX(상세표[근무일자],$Q853)&amp;""))</f>
        <v/>
      </c>
      <c r="F853">
        <f>IF($Q853="","",IF(ISNUMBER(INDEX(상세표[시작],$Q853)),TEXT(INDEX(상세표[시작],$Q853),"yyyy-mm-dd hh:mm"),INDEX(상세표[시작],$Q853)&amp;""))</f>
        <v/>
      </c>
      <c r="G853">
        <f>IF($Q853="","",IF(ISNUMBER(INDEX(상세표[블록종료],$Q853)),TEXT(INDEX(상세표[블록종료],$Q853),"yyyy-mm-dd hh:mm"),INDEX(상세표[블록종료],$Q853)&amp;""))</f>
        <v/>
      </c>
      <c r="H853">
        <f>IF($Q853="","",CHOOSE(WEEKDAY(INDEX(상세표[시작],$Q853)),"일","월","화","수","목","금","토"))</f>
        <v/>
      </c>
      <c r="I853" s="20">
        <f>IF($Q853="","",INDEX(상세표[연속 시간],$Q853))</f>
        <v/>
      </c>
      <c r="J853">
        <f>IF($Q853="","",INDEX(상세표[기록 수],$Q853))</f>
        <v/>
      </c>
      <c r="K853" s="20">
        <f>IF($Q853="","",INDEX(상세표[블록 06~07시],$Q853))</f>
        <v/>
      </c>
      <c r="L853" s="20">
        <f>IF($Q853="","",INDEX(상세표[블록 07~18시],$Q853))</f>
        <v/>
      </c>
      <c r="M853" s="20">
        <f>IF($Q853="","",INDEX(상세표[블록 18~22시],$Q853))</f>
        <v/>
      </c>
      <c r="N853" s="20">
        <f>IF($Q853="","",INDEX(상세표[블록 22~06시],$Q853))</f>
        <v/>
      </c>
      <c r="O853">
        <f>IF($Q853="","",INDEX(상세표[주말·휴일 포함],$Q853)&amp;"")</f>
        <v/>
      </c>
      <c r="P853">
        <f>IF($Q853="","",INDEX(상세표[월 넘김 포함],$Q853)&amp;"")</f>
        <v/>
      </c>
      <c r="Q853" s="4">
        <f>IFERROR(MATCH(848,상세표[연속순번],0),"")</f>
        <v/>
      </c>
    </row>
    <row r="854">
      <c r="A854">
        <f>IF($Q854="","",INDEX(상세표[부서],$Q854)&amp;"")</f>
        <v/>
      </c>
      <c r="B854">
        <f>IF($Q854="","",INDEX(상세표[사번],$Q854)&amp;"")</f>
        <v/>
      </c>
      <c r="C854">
        <f>IF($Q854="","",INDEX(상세표[성명],$Q854)&amp;"")</f>
        <v/>
      </c>
      <c r="D854">
        <f>IF($Q854="","",INDEX(상세표[직위],$Q854)&amp;"")</f>
        <v/>
      </c>
      <c r="E854">
        <f>IF($Q854="","",IF(ISNUMBER(INDEX(상세표[근무일자],$Q854)),TEXT(INDEX(상세표[근무일자],$Q854),"yyyy-mm-dd"),INDEX(상세표[근무일자],$Q854)&amp;""))</f>
        <v/>
      </c>
      <c r="F854">
        <f>IF($Q854="","",IF(ISNUMBER(INDEX(상세표[시작],$Q854)),TEXT(INDEX(상세표[시작],$Q854),"yyyy-mm-dd hh:mm"),INDEX(상세표[시작],$Q854)&amp;""))</f>
        <v/>
      </c>
      <c r="G854">
        <f>IF($Q854="","",IF(ISNUMBER(INDEX(상세표[블록종료],$Q854)),TEXT(INDEX(상세표[블록종료],$Q854),"yyyy-mm-dd hh:mm"),INDEX(상세표[블록종료],$Q854)&amp;""))</f>
        <v/>
      </c>
      <c r="H854">
        <f>IF($Q854="","",CHOOSE(WEEKDAY(INDEX(상세표[시작],$Q854)),"일","월","화","수","목","금","토"))</f>
        <v/>
      </c>
      <c r="I854" s="20">
        <f>IF($Q854="","",INDEX(상세표[연속 시간],$Q854))</f>
        <v/>
      </c>
      <c r="J854">
        <f>IF($Q854="","",INDEX(상세표[기록 수],$Q854))</f>
        <v/>
      </c>
      <c r="K854" s="20">
        <f>IF($Q854="","",INDEX(상세표[블록 06~07시],$Q854))</f>
        <v/>
      </c>
      <c r="L854" s="20">
        <f>IF($Q854="","",INDEX(상세표[블록 07~18시],$Q854))</f>
        <v/>
      </c>
      <c r="M854" s="20">
        <f>IF($Q854="","",INDEX(상세표[블록 18~22시],$Q854))</f>
        <v/>
      </c>
      <c r="N854" s="20">
        <f>IF($Q854="","",INDEX(상세표[블록 22~06시],$Q854))</f>
        <v/>
      </c>
      <c r="O854">
        <f>IF($Q854="","",INDEX(상세표[주말·휴일 포함],$Q854)&amp;"")</f>
        <v/>
      </c>
      <c r="P854">
        <f>IF($Q854="","",INDEX(상세표[월 넘김 포함],$Q854)&amp;"")</f>
        <v/>
      </c>
      <c r="Q854" s="4">
        <f>IFERROR(MATCH(849,상세표[연속순번],0),"")</f>
        <v/>
      </c>
    </row>
    <row r="855">
      <c r="A855">
        <f>IF($Q855="","",INDEX(상세표[부서],$Q855)&amp;"")</f>
        <v/>
      </c>
      <c r="B855">
        <f>IF($Q855="","",INDEX(상세표[사번],$Q855)&amp;"")</f>
        <v/>
      </c>
      <c r="C855">
        <f>IF($Q855="","",INDEX(상세표[성명],$Q855)&amp;"")</f>
        <v/>
      </c>
      <c r="D855">
        <f>IF($Q855="","",INDEX(상세표[직위],$Q855)&amp;"")</f>
        <v/>
      </c>
      <c r="E855">
        <f>IF($Q855="","",IF(ISNUMBER(INDEX(상세표[근무일자],$Q855)),TEXT(INDEX(상세표[근무일자],$Q855),"yyyy-mm-dd"),INDEX(상세표[근무일자],$Q855)&amp;""))</f>
        <v/>
      </c>
      <c r="F855">
        <f>IF($Q855="","",IF(ISNUMBER(INDEX(상세표[시작],$Q855)),TEXT(INDEX(상세표[시작],$Q855),"yyyy-mm-dd hh:mm"),INDEX(상세표[시작],$Q855)&amp;""))</f>
        <v/>
      </c>
      <c r="G855">
        <f>IF($Q855="","",IF(ISNUMBER(INDEX(상세표[블록종료],$Q855)),TEXT(INDEX(상세표[블록종료],$Q855),"yyyy-mm-dd hh:mm"),INDEX(상세표[블록종료],$Q855)&amp;""))</f>
        <v/>
      </c>
      <c r="H855">
        <f>IF($Q855="","",CHOOSE(WEEKDAY(INDEX(상세표[시작],$Q855)),"일","월","화","수","목","금","토"))</f>
        <v/>
      </c>
      <c r="I855" s="20">
        <f>IF($Q855="","",INDEX(상세표[연속 시간],$Q855))</f>
        <v/>
      </c>
      <c r="J855">
        <f>IF($Q855="","",INDEX(상세표[기록 수],$Q855))</f>
        <v/>
      </c>
      <c r="K855" s="20">
        <f>IF($Q855="","",INDEX(상세표[블록 06~07시],$Q855))</f>
        <v/>
      </c>
      <c r="L855" s="20">
        <f>IF($Q855="","",INDEX(상세표[블록 07~18시],$Q855))</f>
        <v/>
      </c>
      <c r="M855" s="20">
        <f>IF($Q855="","",INDEX(상세표[블록 18~22시],$Q855))</f>
        <v/>
      </c>
      <c r="N855" s="20">
        <f>IF($Q855="","",INDEX(상세표[블록 22~06시],$Q855))</f>
        <v/>
      </c>
      <c r="O855">
        <f>IF($Q855="","",INDEX(상세표[주말·휴일 포함],$Q855)&amp;"")</f>
        <v/>
      </c>
      <c r="P855">
        <f>IF($Q855="","",INDEX(상세표[월 넘김 포함],$Q855)&amp;"")</f>
        <v/>
      </c>
      <c r="Q855" s="4">
        <f>IFERROR(MATCH(850,상세표[연속순번],0),"")</f>
        <v/>
      </c>
    </row>
    <row r="856">
      <c r="A856">
        <f>IF($Q856="","",INDEX(상세표[부서],$Q856)&amp;"")</f>
        <v/>
      </c>
      <c r="B856">
        <f>IF($Q856="","",INDEX(상세표[사번],$Q856)&amp;"")</f>
        <v/>
      </c>
      <c r="C856">
        <f>IF($Q856="","",INDEX(상세표[성명],$Q856)&amp;"")</f>
        <v/>
      </c>
      <c r="D856">
        <f>IF($Q856="","",INDEX(상세표[직위],$Q856)&amp;"")</f>
        <v/>
      </c>
      <c r="E856">
        <f>IF($Q856="","",IF(ISNUMBER(INDEX(상세표[근무일자],$Q856)),TEXT(INDEX(상세표[근무일자],$Q856),"yyyy-mm-dd"),INDEX(상세표[근무일자],$Q856)&amp;""))</f>
        <v/>
      </c>
      <c r="F856">
        <f>IF($Q856="","",IF(ISNUMBER(INDEX(상세표[시작],$Q856)),TEXT(INDEX(상세표[시작],$Q856),"yyyy-mm-dd hh:mm"),INDEX(상세표[시작],$Q856)&amp;""))</f>
        <v/>
      </c>
      <c r="G856">
        <f>IF($Q856="","",IF(ISNUMBER(INDEX(상세표[블록종료],$Q856)),TEXT(INDEX(상세표[블록종료],$Q856),"yyyy-mm-dd hh:mm"),INDEX(상세표[블록종료],$Q856)&amp;""))</f>
        <v/>
      </c>
      <c r="H856">
        <f>IF($Q856="","",CHOOSE(WEEKDAY(INDEX(상세표[시작],$Q856)),"일","월","화","수","목","금","토"))</f>
        <v/>
      </c>
      <c r="I856" s="20">
        <f>IF($Q856="","",INDEX(상세표[연속 시간],$Q856))</f>
        <v/>
      </c>
      <c r="J856">
        <f>IF($Q856="","",INDEX(상세표[기록 수],$Q856))</f>
        <v/>
      </c>
      <c r="K856" s="20">
        <f>IF($Q856="","",INDEX(상세표[블록 06~07시],$Q856))</f>
        <v/>
      </c>
      <c r="L856" s="20">
        <f>IF($Q856="","",INDEX(상세표[블록 07~18시],$Q856))</f>
        <v/>
      </c>
      <c r="M856" s="20">
        <f>IF($Q856="","",INDEX(상세표[블록 18~22시],$Q856))</f>
        <v/>
      </c>
      <c r="N856" s="20">
        <f>IF($Q856="","",INDEX(상세표[블록 22~06시],$Q856))</f>
        <v/>
      </c>
      <c r="O856">
        <f>IF($Q856="","",INDEX(상세표[주말·휴일 포함],$Q856)&amp;"")</f>
        <v/>
      </c>
      <c r="P856">
        <f>IF($Q856="","",INDEX(상세표[월 넘김 포함],$Q856)&amp;"")</f>
        <v/>
      </c>
      <c r="Q856" s="4">
        <f>IFERROR(MATCH(851,상세표[연속순번],0),"")</f>
        <v/>
      </c>
    </row>
    <row r="857">
      <c r="A857">
        <f>IF($Q857="","",INDEX(상세표[부서],$Q857)&amp;"")</f>
        <v/>
      </c>
      <c r="B857">
        <f>IF($Q857="","",INDEX(상세표[사번],$Q857)&amp;"")</f>
        <v/>
      </c>
      <c r="C857">
        <f>IF($Q857="","",INDEX(상세표[성명],$Q857)&amp;"")</f>
        <v/>
      </c>
      <c r="D857">
        <f>IF($Q857="","",INDEX(상세표[직위],$Q857)&amp;"")</f>
        <v/>
      </c>
      <c r="E857">
        <f>IF($Q857="","",IF(ISNUMBER(INDEX(상세표[근무일자],$Q857)),TEXT(INDEX(상세표[근무일자],$Q857),"yyyy-mm-dd"),INDEX(상세표[근무일자],$Q857)&amp;""))</f>
        <v/>
      </c>
      <c r="F857">
        <f>IF($Q857="","",IF(ISNUMBER(INDEX(상세표[시작],$Q857)),TEXT(INDEX(상세표[시작],$Q857),"yyyy-mm-dd hh:mm"),INDEX(상세표[시작],$Q857)&amp;""))</f>
        <v/>
      </c>
      <c r="G857">
        <f>IF($Q857="","",IF(ISNUMBER(INDEX(상세표[블록종료],$Q857)),TEXT(INDEX(상세표[블록종료],$Q857),"yyyy-mm-dd hh:mm"),INDEX(상세표[블록종료],$Q857)&amp;""))</f>
        <v/>
      </c>
      <c r="H857">
        <f>IF($Q857="","",CHOOSE(WEEKDAY(INDEX(상세표[시작],$Q857)),"일","월","화","수","목","금","토"))</f>
        <v/>
      </c>
      <c r="I857" s="20">
        <f>IF($Q857="","",INDEX(상세표[연속 시간],$Q857))</f>
        <v/>
      </c>
      <c r="J857">
        <f>IF($Q857="","",INDEX(상세표[기록 수],$Q857))</f>
        <v/>
      </c>
      <c r="K857" s="20">
        <f>IF($Q857="","",INDEX(상세표[블록 06~07시],$Q857))</f>
        <v/>
      </c>
      <c r="L857" s="20">
        <f>IF($Q857="","",INDEX(상세표[블록 07~18시],$Q857))</f>
        <v/>
      </c>
      <c r="M857" s="20">
        <f>IF($Q857="","",INDEX(상세표[블록 18~22시],$Q857))</f>
        <v/>
      </c>
      <c r="N857" s="20">
        <f>IF($Q857="","",INDEX(상세표[블록 22~06시],$Q857))</f>
        <v/>
      </c>
      <c r="O857">
        <f>IF($Q857="","",INDEX(상세표[주말·휴일 포함],$Q857)&amp;"")</f>
        <v/>
      </c>
      <c r="P857">
        <f>IF($Q857="","",INDEX(상세표[월 넘김 포함],$Q857)&amp;"")</f>
        <v/>
      </c>
      <c r="Q857" s="4">
        <f>IFERROR(MATCH(852,상세표[연속순번],0),"")</f>
        <v/>
      </c>
    </row>
    <row r="858">
      <c r="A858">
        <f>IF($Q858="","",INDEX(상세표[부서],$Q858)&amp;"")</f>
        <v/>
      </c>
      <c r="B858">
        <f>IF($Q858="","",INDEX(상세표[사번],$Q858)&amp;"")</f>
        <v/>
      </c>
      <c r="C858">
        <f>IF($Q858="","",INDEX(상세표[성명],$Q858)&amp;"")</f>
        <v/>
      </c>
      <c r="D858">
        <f>IF($Q858="","",INDEX(상세표[직위],$Q858)&amp;"")</f>
        <v/>
      </c>
      <c r="E858">
        <f>IF($Q858="","",IF(ISNUMBER(INDEX(상세표[근무일자],$Q858)),TEXT(INDEX(상세표[근무일자],$Q858),"yyyy-mm-dd"),INDEX(상세표[근무일자],$Q858)&amp;""))</f>
        <v/>
      </c>
      <c r="F858">
        <f>IF($Q858="","",IF(ISNUMBER(INDEX(상세표[시작],$Q858)),TEXT(INDEX(상세표[시작],$Q858),"yyyy-mm-dd hh:mm"),INDEX(상세표[시작],$Q858)&amp;""))</f>
        <v/>
      </c>
      <c r="G858">
        <f>IF($Q858="","",IF(ISNUMBER(INDEX(상세표[블록종료],$Q858)),TEXT(INDEX(상세표[블록종료],$Q858),"yyyy-mm-dd hh:mm"),INDEX(상세표[블록종료],$Q858)&amp;""))</f>
        <v/>
      </c>
      <c r="H858">
        <f>IF($Q858="","",CHOOSE(WEEKDAY(INDEX(상세표[시작],$Q858)),"일","월","화","수","목","금","토"))</f>
        <v/>
      </c>
      <c r="I858" s="20">
        <f>IF($Q858="","",INDEX(상세표[연속 시간],$Q858))</f>
        <v/>
      </c>
      <c r="J858">
        <f>IF($Q858="","",INDEX(상세표[기록 수],$Q858))</f>
        <v/>
      </c>
      <c r="K858" s="20">
        <f>IF($Q858="","",INDEX(상세표[블록 06~07시],$Q858))</f>
        <v/>
      </c>
      <c r="L858" s="20">
        <f>IF($Q858="","",INDEX(상세표[블록 07~18시],$Q858))</f>
        <v/>
      </c>
      <c r="M858" s="20">
        <f>IF($Q858="","",INDEX(상세표[블록 18~22시],$Q858))</f>
        <v/>
      </c>
      <c r="N858" s="20">
        <f>IF($Q858="","",INDEX(상세표[블록 22~06시],$Q858))</f>
        <v/>
      </c>
      <c r="O858">
        <f>IF($Q858="","",INDEX(상세표[주말·휴일 포함],$Q858)&amp;"")</f>
        <v/>
      </c>
      <c r="P858">
        <f>IF($Q858="","",INDEX(상세표[월 넘김 포함],$Q858)&amp;"")</f>
        <v/>
      </c>
      <c r="Q858" s="4">
        <f>IFERROR(MATCH(853,상세표[연속순번],0),"")</f>
        <v/>
      </c>
    </row>
    <row r="859">
      <c r="A859">
        <f>IF($Q859="","",INDEX(상세표[부서],$Q859)&amp;"")</f>
        <v/>
      </c>
      <c r="B859">
        <f>IF($Q859="","",INDEX(상세표[사번],$Q859)&amp;"")</f>
        <v/>
      </c>
      <c r="C859">
        <f>IF($Q859="","",INDEX(상세표[성명],$Q859)&amp;"")</f>
        <v/>
      </c>
      <c r="D859">
        <f>IF($Q859="","",INDEX(상세표[직위],$Q859)&amp;"")</f>
        <v/>
      </c>
      <c r="E859">
        <f>IF($Q859="","",IF(ISNUMBER(INDEX(상세표[근무일자],$Q859)),TEXT(INDEX(상세표[근무일자],$Q859),"yyyy-mm-dd"),INDEX(상세표[근무일자],$Q859)&amp;""))</f>
        <v/>
      </c>
      <c r="F859">
        <f>IF($Q859="","",IF(ISNUMBER(INDEX(상세표[시작],$Q859)),TEXT(INDEX(상세표[시작],$Q859),"yyyy-mm-dd hh:mm"),INDEX(상세표[시작],$Q859)&amp;""))</f>
        <v/>
      </c>
      <c r="G859">
        <f>IF($Q859="","",IF(ISNUMBER(INDEX(상세표[블록종료],$Q859)),TEXT(INDEX(상세표[블록종료],$Q859),"yyyy-mm-dd hh:mm"),INDEX(상세표[블록종료],$Q859)&amp;""))</f>
        <v/>
      </c>
      <c r="H859">
        <f>IF($Q859="","",CHOOSE(WEEKDAY(INDEX(상세표[시작],$Q859)),"일","월","화","수","목","금","토"))</f>
        <v/>
      </c>
      <c r="I859" s="20">
        <f>IF($Q859="","",INDEX(상세표[연속 시간],$Q859))</f>
        <v/>
      </c>
      <c r="J859">
        <f>IF($Q859="","",INDEX(상세표[기록 수],$Q859))</f>
        <v/>
      </c>
      <c r="K859" s="20">
        <f>IF($Q859="","",INDEX(상세표[블록 06~07시],$Q859))</f>
        <v/>
      </c>
      <c r="L859" s="20">
        <f>IF($Q859="","",INDEX(상세표[블록 07~18시],$Q859))</f>
        <v/>
      </c>
      <c r="M859" s="20">
        <f>IF($Q859="","",INDEX(상세표[블록 18~22시],$Q859))</f>
        <v/>
      </c>
      <c r="N859" s="20">
        <f>IF($Q859="","",INDEX(상세표[블록 22~06시],$Q859))</f>
        <v/>
      </c>
      <c r="O859">
        <f>IF($Q859="","",INDEX(상세표[주말·휴일 포함],$Q859)&amp;"")</f>
        <v/>
      </c>
      <c r="P859">
        <f>IF($Q859="","",INDEX(상세표[월 넘김 포함],$Q859)&amp;"")</f>
        <v/>
      </c>
      <c r="Q859" s="4">
        <f>IFERROR(MATCH(854,상세표[연속순번],0),"")</f>
        <v/>
      </c>
    </row>
    <row r="860">
      <c r="A860">
        <f>IF($Q860="","",INDEX(상세표[부서],$Q860)&amp;"")</f>
        <v/>
      </c>
      <c r="B860">
        <f>IF($Q860="","",INDEX(상세표[사번],$Q860)&amp;"")</f>
        <v/>
      </c>
      <c r="C860">
        <f>IF($Q860="","",INDEX(상세표[성명],$Q860)&amp;"")</f>
        <v/>
      </c>
      <c r="D860">
        <f>IF($Q860="","",INDEX(상세표[직위],$Q860)&amp;"")</f>
        <v/>
      </c>
      <c r="E860">
        <f>IF($Q860="","",IF(ISNUMBER(INDEX(상세표[근무일자],$Q860)),TEXT(INDEX(상세표[근무일자],$Q860),"yyyy-mm-dd"),INDEX(상세표[근무일자],$Q860)&amp;""))</f>
        <v/>
      </c>
      <c r="F860">
        <f>IF($Q860="","",IF(ISNUMBER(INDEX(상세표[시작],$Q860)),TEXT(INDEX(상세표[시작],$Q860),"yyyy-mm-dd hh:mm"),INDEX(상세표[시작],$Q860)&amp;""))</f>
        <v/>
      </c>
      <c r="G860">
        <f>IF($Q860="","",IF(ISNUMBER(INDEX(상세표[블록종료],$Q860)),TEXT(INDEX(상세표[블록종료],$Q860),"yyyy-mm-dd hh:mm"),INDEX(상세표[블록종료],$Q860)&amp;""))</f>
        <v/>
      </c>
      <c r="H860">
        <f>IF($Q860="","",CHOOSE(WEEKDAY(INDEX(상세표[시작],$Q860)),"일","월","화","수","목","금","토"))</f>
        <v/>
      </c>
      <c r="I860" s="20">
        <f>IF($Q860="","",INDEX(상세표[연속 시간],$Q860))</f>
        <v/>
      </c>
      <c r="J860">
        <f>IF($Q860="","",INDEX(상세표[기록 수],$Q860))</f>
        <v/>
      </c>
      <c r="K860" s="20">
        <f>IF($Q860="","",INDEX(상세표[블록 06~07시],$Q860))</f>
        <v/>
      </c>
      <c r="L860" s="20">
        <f>IF($Q860="","",INDEX(상세표[블록 07~18시],$Q860))</f>
        <v/>
      </c>
      <c r="M860" s="20">
        <f>IF($Q860="","",INDEX(상세표[블록 18~22시],$Q860))</f>
        <v/>
      </c>
      <c r="N860" s="20">
        <f>IF($Q860="","",INDEX(상세표[블록 22~06시],$Q860))</f>
        <v/>
      </c>
      <c r="O860">
        <f>IF($Q860="","",INDEX(상세표[주말·휴일 포함],$Q860)&amp;"")</f>
        <v/>
      </c>
      <c r="P860">
        <f>IF($Q860="","",INDEX(상세표[월 넘김 포함],$Q860)&amp;"")</f>
        <v/>
      </c>
      <c r="Q860" s="4">
        <f>IFERROR(MATCH(855,상세표[연속순번],0),"")</f>
        <v/>
      </c>
    </row>
    <row r="861">
      <c r="A861">
        <f>IF($Q861="","",INDEX(상세표[부서],$Q861)&amp;"")</f>
        <v/>
      </c>
      <c r="B861">
        <f>IF($Q861="","",INDEX(상세표[사번],$Q861)&amp;"")</f>
        <v/>
      </c>
      <c r="C861">
        <f>IF($Q861="","",INDEX(상세표[성명],$Q861)&amp;"")</f>
        <v/>
      </c>
      <c r="D861">
        <f>IF($Q861="","",INDEX(상세표[직위],$Q861)&amp;"")</f>
        <v/>
      </c>
      <c r="E861">
        <f>IF($Q861="","",IF(ISNUMBER(INDEX(상세표[근무일자],$Q861)),TEXT(INDEX(상세표[근무일자],$Q861),"yyyy-mm-dd"),INDEX(상세표[근무일자],$Q861)&amp;""))</f>
        <v/>
      </c>
      <c r="F861">
        <f>IF($Q861="","",IF(ISNUMBER(INDEX(상세표[시작],$Q861)),TEXT(INDEX(상세표[시작],$Q861),"yyyy-mm-dd hh:mm"),INDEX(상세표[시작],$Q861)&amp;""))</f>
        <v/>
      </c>
      <c r="G861">
        <f>IF($Q861="","",IF(ISNUMBER(INDEX(상세표[블록종료],$Q861)),TEXT(INDEX(상세표[블록종료],$Q861),"yyyy-mm-dd hh:mm"),INDEX(상세표[블록종료],$Q861)&amp;""))</f>
        <v/>
      </c>
      <c r="H861">
        <f>IF($Q861="","",CHOOSE(WEEKDAY(INDEX(상세표[시작],$Q861)),"일","월","화","수","목","금","토"))</f>
        <v/>
      </c>
      <c r="I861" s="20">
        <f>IF($Q861="","",INDEX(상세표[연속 시간],$Q861))</f>
        <v/>
      </c>
      <c r="J861">
        <f>IF($Q861="","",INDEX(상세표[기록 수],$Q861))</f>
        <v/>
      </c>
      <c r="K861" s="20">
        <f>IF($Q861="","",INDEX(상세표[블록 06~07시],$Q861))</f>
        <v/>
      </c>
      <c r="L861" s="20">
        <f>IF($Q861="","",INDEX(상세표[블록 07~18시],$Q861))</f>
        <v/>
      </c>
      <c r="M861" s="20">
        <f>IF($Q861="","",INDEX(상세표[블록 18~22시],$Q861))</f>
        <v/>
      </c>
      <c r="N861" s="20">
        <f>IF($Q861="","",INDEX(상세표[블록 22~06시],$Q861))</f>
        <v/>
      </c>
      <c r="O861">
        <f>IF($Q861="","",INDEX(상세표[주말·휴일 포함],$Q861)&amp;"")</f>
        <v/>
      </c>
      <c r="P861">
        <f>IF($Q861="","",INDEX(상세표[월 넘김 포함],$Q861)&amp;"")</f>
        <v/>
      </c>
      <c r="Q861" s="4">
        <f>IFERROR(MATCH(856,상세표[연속순번],0),"")</f>
        <v/>
      </c>
    </row>
    <row r="862">
      <c r="A862">
        <f>IF($Q862="","",INDEX(상세표[부서],$Q862)&amp;"")</f>
        <v/>
      </c>
      <c r="B862">
        <f>IF($Q862="","",INDEX(상세표[사번],$Q862)&amp;"")</f>
        <v/>
      </c>
      <c r="C862">
        <f>IF($Q862="","",INDEX(상세표[성명],$Q862)&amp;"")</f>
        <v/>
      </c>
      <c r="D862">
        <f>IF($Q862="","",INDEX(상세표[직위],$Q862)&amp;"")</f>
        <v/>
      </c>
      <c r="E862">
        <f>IF($Q862="","",IF(ISNUMBER(INDEX(상세표[근무일자],$Q862)),TEXT(INDEX(상세표[근무일자],$Q862),"yyyy-mm-dd"),INDEX(상세표[근무일자],$Q862)&amp;""))</f>
        <v/>
      </c>
      <c r="F862">
        <f>IF($Q862="","",IF(ISNUMBER(INDEX(상세표[시작],$Q862)),TEXT(INDEX(상세표[시작],$Q862),"yyyy-mm-dd hh:mm"),INDEX(상세표[시작],$Q862)&amp;""))</f>
        <v/>
      </c>
      <c r="G862">
        <f>IF($Q862="","",IF(ISNUMBER(INDEX(상세표[블록종료],$Q862)),TEXT(INDEX(상세표[블록종료],$Q862),"yyyy-mm-dd hh:mm"),INDEX(상세표[블록종료],$Q862)&amp;""))</f>
        <v/>
      </c>
      <c r="H862">
        <f>IF($Q862="","",CHOOSE(WEEKDAY(INDEX(상세표[시작],$Q862)),"일","월","화","수","목","금","토"))</f>
        <v/>
      </c>
      <c r="I862" s="20">
        <f>IF($Q862="","",INDEX(상세표[연속 시간],$Q862))</f>
        <v/>
      </c>
      <c r="J862">
        <f>IF($Q862="","",INDEX(상세표[기록 수],$Q862))</f>
        <v/>
      </c>
      <c r="K862" s="20">
        <f>IF($Q862="","",INDEX(상세표[블록 06~07시],$Q862))</f>
        <v/>
      </c>
      <c r="L862" s="20">
        <f>IF($Q862="","",INDEX(상세표[블록 07~18시],$Q862))</f>
        <v/>
      </c>
      <c r="M862" s="20">
        <f>IF($Q862="","",INDEX(상세표[블록 18~22시],$Q862))</f>
        <v/>
      </c>
      <c r="N862" s="20">
        <f>IF($Q862="","",INDEX(상세표[블록 22~06시],$Q862))</f>
        <v/>
      </c>
      <c r="O862">
        <f>IF($Q862="","",INDEX(상세표[주말·휴일 포함],$Q862)&amp;"")</f>
        <v/>
      </c>
      <c r="P862">
        <f>IF($Q862="","",INDEX(상세표[월 넘김 포함],$Q862)&amp;"")</f>
        <v/>
      </c>
      <c r="Q862" s="4">
        <f>IFERROR(MATCH(857,상세표[연속순번],0),"")</f>
        <v/>
      </c>
    </row>
    <row r="863">
      <c r="A863">
        <f>IF($Q863="","",INDEX(상세표[부서],$Q863)&amp;"")</f>
        <v/>
      </c>
      <c r="B863">
        <f>IF($Q863="","",INDEX(상세표[사번],$Q863)&amp;"")</f>
        <v/>
      </c>
      <c r="C863">
        <f>IF($Q863="","",INDEX(상세표[성명],$Q863)&amp;"")</f>
        <v/>
      </c>
      <c r="D863">
        <f>IF($Q863="","",INDEX(상세표[직위],$Q863)&amp;"")</f>
        <v/>
      </c>
      <c r="E863">
        <f>IF($Q863="","",IF(ISNUMBER(INDEX(상세표[근무일자],$Q863)),TEXT(INDEX(상세표[근무일자],$Q863),"yyyy-mm-dd"),INDEX(상세표[근무일자],$Q863)&amp;""))</f>
        <v/>
      </c>
      <c r="F863">
        <f>IF($Q863="","",IF(ISNUMBER(INDEX(상세표[시작],$Q863)),TEXT(INDEX(상세표[시작],$Q863),"yyyy-mm-dd hh:mm"),INDEX(상세표[시작],$Q863)&amp;""))</f>
        <v/>
      </c>
      <c r="G863">
        <f>IF($Q863="","",IF(ISNUMBER(INDEX(상세표[블록종료],$Q863)),TEXT(INDEX(상세표[블록종료],$Q863),"yyyy-mm-dd hh:mm"),INDEX(상세표[블록종료],$Q863)&amp;""))</f>
        <v/>
      </c>
      <c r="H863">
        <f>IF($Q863="","",CHOOSE(WEEKDAY(INDEX(상세표[시작],$Q863)),"일","월","화","수","목","금","토"))</f>
        <v/>
      </c>
      <c r="I863" s="20">
        <f>IF($Q863="","",INDEX(상세표[연속 시간],$Q863))</f>
        <v/>
      </c>
      <c r="J863">
        <f>IF($Q863="","",INDEX(상세표[기록 수],$Q863))</f>
        <v/>
      </c>
      <c r="K863" s="20">
        <f>IF($Q863="","",INDEX(상세표[블록 06~07시],$Q863))</f>
        <v/>
      </c>
      <c r="L863" s="20">
        <f>IF($Q863="","",INDEX(상세표[블록 07~18시],$Q863))</f>
        <v/>
      </c>
      <c r="M863" s="20">
        <f>IF($Q863="","",INDEX(상세표[블록 18~22시],$Q863))</f>
        <v/>
      </c>
      <c r="N863" s="20">
        <f>IF($Q863="","",INDEX(상세표[블록 22~06시],$Q863))</f>
        <v/>
      </c>
      <c r="O863">
        <f>IF($Q863="","",INDEX(상세표[주말·휴일 포함],$Q863)&amp;"")</f>
        <v/>
      </c>
      <c r="P863">
        <f>IF($Q863="","",INDEX(상세표[월 넘김 포함],$Q863)&amp;"")</f>
        <v/>
      </c>
      <c r="Q863" s="4">
        <f>IFERROR(MATCH(858,상세표[연속순번],0),"")</f>
        <v/>
      </c>
    </row>
    <row r="864">
      <c r="A864">
        <f>IF($Q864="","",INDEX(상세표[부서],$Q864)&amp;"")</f>
        <v/>
      </c>
      <c r="B864">
        <f>IF($Q864="","",INDEX(상세표[사번],$Q864)&amp;"")</f>
        <v/>
      </c>
      <c r="C864">
        <f>IF($Q864="","",INDEX(상세표[성명],$Q864)&amp;"")</f>
        <v/>
      </c>
      <c r="D864">
        <f>IF($Q864="","",INDEX(상세표[직위],$Q864)&amp;"")</f>
        <v/>
      </c>
      <c r="E864">
        <f>IF($Q864="","",IF(ISNUMBER(INDEX(상세표[근무일자],$Q864)),TEXT(INDEX(상세표[근무일자],$Q864),"yyyy-mm-dd"),INDEX(상세표[근무일자],$Q864)&amp;""))</f>
        <v/>
      </c>
      <c r="F864">
        <f>IF($Q864="","",IF(ISNUMBER(INDEX(상세표[시작],$Q864)),TEXT(INDEX(상세표[시작],$Q864),"yyyy-mm-dd hh:mm"),INDEX(상세표[시작],$Q864)&amp;""))</f>
        <v/>
      </c>
      <c r="G864">
        <f>IF($Q864="","",IF(ISNUMBER(INDEX(상세표[블록종료],$Q864)),TEXT(INDEX(상세표[블록종료],$Q864),"yyyy-mm-dd hh:mm"),INDEX(상세표[블록종료],$Q864)&amp;""))</f>
        <v/>
      </c>
      <c r="H864">
        <f>IF($Q864="","",CHOOSE(WEEKDAY(INDEX(상세표[시작],$Q864)),"일","월","화","수","목","금","토"))</f>
        <v/>
      </c>
      <c r="I864" s="20">
        <f>IF($Q864="","",INDEX(상세표[연속 시간],$Q864))</f>
        <v/>
      </c>
      <c r="J864">
        <f>IF($Q864="","",INDEX(상세표[기록 수],$Q864))</f>
        <v/>
      </c>
      <c r="K864" s="20">
        <f>IF($Q864="","",INDEX(상세표[블록 06~07시],$Q864))</f>
        <v/>
      </c>
      <c r="L864" s="20">
        <f>IF($Q864="","",INDEX(상세표[블록 07~18시],$Q864))</f>
        <v/>
      </c>
      <c r="M864" s="20">
        <f>IF($Q864="","",INDEX(상세표[블록 18~22시],$Q864))</f>
        <v/>
      </c>
      <c r="N864" s="20">
        <f>IF($Q864="","",INDEX(상세표[블록 22~06시],$Q864))</f>
        <v/>
      </c>
      <c r="O864">
        <f>IF($Q864="","",INDEX(상세표[주말·휴일 포함],$Q864)&amp;"")</f>
        <v/>
      </c>
      <c r="P864">
        <f>IF($Q864="","",INDEX(상세표[월 넘김 포함],$Q864)&amp;"")</f>
        <v/>
      </c>
      <c r="Q864" s="4">
        <f>IFERROR(MATCH(859,상세표[연속순번],0),"")</f>
        <v/>
      </c>
    </row>
    <row r="865">
      <c r="A865">
        <f>IF($Q865="","",INDEX(상세표[부서],$Q865)&amp;"")</f>
        <v/>
      </c>
      <c r="B865">
        <f>IF($Q865="","",INDEX(상세표[사번],$Q865)&amp;"")</f>
        <v/>
      </c>
      <c r="C865">
        <f>IF($Q865="","",INDEX(상세표[성명],$Q865)&amp;"")</f>
        <v/>
      </c>
      <c r="D865">
        <f>IF($Q865="","",INDEX(상세표[직위],$Q865)&amp;"")</f>
        <v/>
      </c>
      <c r="E865">
        <f>IF($Q865="","",IF(ISNUMBER(INDEX(상세표[근무일자],$Q865)),TEXT(INDEX(상세표[근무일자],$Q865),"yyyy-mm-dd"),INDEX(상세표[근무일자],$Q865)&amp;""))</f>
        <v/>
      </c>
      <c r="F865">
        <f>IF($Q865="","",IF(ISNUMBER(INDEX(상세표[시작],$Q865)),TEXT(INDEX(상세표[시작],$Q865),"yyyy-mm-dd hh:mm"),INDEX(상세표[시작],$Q865)&amp;""))</f>
        <v/>
      </c>
      <c r="G865">
        <f>IF($Q865="","",IF(ISNUMBER(INDEX(상세표[블록종료],$Q865)),TEXT(INDEX(상세표[블록종료],$Q865),"yyyy-mm-dd hh:mm"),INDEX(상세표[블록종료],$Q865)&amp;""))</f>
        <v/>
      </c>
      <c r="H865">
        <f>IF($Q865="","",CHOOSE(WEEKDAY(INDEX(상세표[시작],$Q865)),"일","월","화","수","목","금","토"))</f>
        <v/>
      </c>
      <c r="I865" s="20">
        <f>IF($Q865="","",INDEX(상세표[연속 시간],$Q865))</f>
        <v/>
      </c>
      <c r="J865">
        <f>IF($Q865="","",INDEX(상세표[기록 수],$Q865))</f>
        <v/>
      </c>
      <c r="K865" s="20">
        <f>IF($Q865="","",INDEX(상세표[블록 06~07시],$Q865))</f>
        <v/>
      </c>
      <c r="L865" s="20">
        <f>IF($Q865="","",INDEX(상세표[블록 07~18시],$Q865))</f>
        <v/>
      </c>
      <c r="M865" s="20">
        <f>IF($Q865="","",INDEX(상세표[블록 18~22시],$Q865))</f>
        <v/>
      </c>
      <c r="N865" s="20">
        <f>IF($Q865="","",INDEX(상세표[블록 22~06시],$Q865))</f>
        <v/>
      </c>
      <c r="O865">
        <f>IF($Q865="","",INDEX(상세표[주말·휴일 포함],$Q865)&amp;"")</f>
        <v/>
      </c>
      <c r="P865">
        <f>IF($Q865="","",INDEX(상세표[월 넘김 포함],$Q865)&amp;"")</f>
        <v/>
      </c>
      <c r="Q865" s="4">
        <f>IFERROR(MATCH(860,상세표[연속순번],0),"")</f>
        <v/>
      </c>
    </row>
    <row r="866">
      <c r="A866">
        <f>IF($Q866="","",INDEX(상세표[부서],$Q866)&amp;"")</f>
        <v/>
      </c>
      <c r="B866">
        <f>IF($Q866="","",INDEX(상세표[사번],$Q866)&amp;"")</f>
        <v/>
      </c>
      <c r="C866">
        <f>IF($Q866="","",INDEX(상세표[성명],$Q866)&amp;"")</f>
        <v/>
      </c>
      <c r="D866">
        <f>IF($Q866="","",INDEX(상세표[직위],$Q866)&amp;"")</f>
        <v/>
      </c>
      <c r="E866">
        <f>IF($Q866="","",IF(ISNUMBER(INDEX(상세표[근무일자],$Q866)),TEXT(INDEX(상세표[근무일자],$Q866),"yyyy-mm-dd"),INDEX(상세표[근무일자],$Q866)&amp;""))</f>
        <v/>
      </c>
      <c r="F866">
        <f>IF($Q866="","",IF(ISNUMBER(INDEX(상세표[시작],$Q866)),TEXT(INDEX(상세표[시작],$Q866),"yyyy-mm-dd hh:mm"),INDEX(상세표[시작],$Q866)&amp;""))</f>
        <v/>
      </c>
      <c r="G866">
        <f>IF($Q866="","",IF(ISNUMBER(INDEX(상세표[블록종료],$Q866)),TEXT(INDEX(상세표[블록종료],$Q866),"yyyy-mm-dd hh:mm"),INDEX(상세표[블록종료],$Q866)&amp;""))</f>
        <v/>
      </c>
      <c r="H866">
        <f>IF($Q866="","",CHOOSE(WEEKDAY(INDEX(상세표[시작],$Q866)),"일","월","화","수","목","금","토"))</f>
        <v/>
      </c>
      <c r="I866" s="20">
        <f>IF($Q866="","",INDEX(상세표[연속 시간],$Q866))</f>
        <v/>
      </c>
      <c r="J866">
        <f>IF($Q866="","",INDEX(상세표[기록 수],$Q866))</f>
        <v/>
      </c>
      <c r="K866" s="20">
        <f>IF($Q866="","",INDEX(상세표[블록 06~07시],$Q866))</f>
        <v/>
      </c>
      <c r="L866" s="20">
        <f>IF($Q866="","",INDEX(상세표[블록 07~18시],$Q866))</f>
        <v/>
      </c>
      <c r="M866" s="20">
        <f>IF($Q866="","",INDEX(상세표[블록 18~22시],$Q866))</f>
        <v/>
      </c>
      <c r="N866" s="20">
        <f>IF($Q866="","",INDEX(상세표[블록 22~06시],$Q866))</f>
        <v/>
      </c>
      <c r="O866">
        <f>IF($Q866="","",INDEX(상세표[주말·휴일 포함],$Q866)&amp;"")</f>
        <v/>
      </c>
      <c r="P866">
        <f>IF($Q866="","",INDEX(상세표[월 넘김 포함],$Q866)&amp;"")</f>
        <v/>
      </c>
      <c r="Q866" s="4">
        <f>IFERROR(MATCH(861,상세표[연속순번],0),"")</f>
        <v/>
      </c>
    </row>
    <row r="867">
      <c r="A867">
        <f>IF($Q867="","",INDEX(상세표[부서],$Q867)&amp;"")</f>
        <v/>
      </c>
      <c r="B867">
        <f>IF($Q867="","",INDEX(상세표[사번],$Q867)&amp;"")</f>
        <v/>
      </c>
      <c r="C867">
        <f>IF($Q867="","",INDEX(상세표[성명],$Q867)&amp;"")</f>
        <v/>
      </c>
      <c r="D867">
        <f>IF($Q867="","",INDEX(상세표[직위],$Q867)&amp;"")</f>
        <v/>
      </c>
      <c r="E867">
        <f>IF($Q867="","",IF(ISNUMBER(INDEX(상세표[근무일자],$Q867)),TEXT(INDEX(상세표[근무일자],$Q867),"yyyy-mm-dd"),INDEX(상세표[근무일자],$Q867)&amp;""))</f>
        <v/>
      </c>
      <c r="F867">
        <f>IF($Q867="","",IF(ISNUMBER(INDEX(상세표[시작],$Q867)),TEXT(INDEX(상세표[시작],$Q867),"yyyy-mm-dd hh:mm"),INDEX(상세표[시작],$Q867)&amp;""))</f>
        <v/>
      </c>
      <c r="G867">
        <f>IF($Q867="","",IF(ISNUMBER(INDEX(상세표[블록종료],$Q867)),TEXT(INDEX(상세표[블록종료],$Q867),"yyyy-mm-dd hh:mm"),INDEX(상세표[블록종료],$Q867)&amp;""))</f>
        <v/>
      </c>
      <c r="H867">
        <f>IF($Q867="","",CHOOSE(WEEKDAY(INDEX(상세표[시작],$Q867)),"일","월","화","수","목","금","토"))</f>
        <v/>
      </c>
      <c r="I867" s="20">
        <f>IF($Q867="","",INDEX(상세표[연속 시간],$Q867))</f>
        <v/>
      </c>
      <c r="J867">
        <f>IF($Q867="","",INDEX(상세표[기록 수],$Q867))</f>
        <v/>
      </c>
      <c r="K867" s="20">
        <f>IF($Q867="","",INDEX(상세표[블록 06~07시],$Q867))</f>
        <v/>
      </c>
      <c r="L867" s="20">
        <f>IF($Q867="","",INDEX(상세표[블록 07~18시],$Q867))</f>
        <v/>
      </c>
      <c r="M867" s="20">
        <f>IF($Q867="","",INDEX(상세표[블록 18~22시],$Q867))</f>
        <v/>
      </c>
      <c r="N867" s="20">
        <f>IF($Q867="","",INDEX(상세표[블록 22~06시],$Q867))</f>
        <v/>
      </c>
      <c r="O867">
        <f>IF($Q867="","",INDEX(상세표[주말·휴일 포함],$Q867)&amp;"")</f>
        <v/>
      </c>
      <c r="P867">
        <f>IF($Q867="","",INDEX(상세표[월 넘김 포함],$Q867)&amp;"")</f>
        <v/>
      </c>
      <c r="Q867" s="4">
        <f>IFERROR(MATCH(862,상세표[연속순번],0),"")</f>
        <v/>
      </c>
    </row>
    <row r="868">
      <c r="A868">
        <f>IF($Q868="","",INDEX(상세표[부서],$Q868)&amp;"")</f>
        <v/>
      </c>
      <c r="B868">
        <f>IF($Q868="","",INDEX(상세표[사번],$Q868)&amp;"")</f>
        <v/>
      </c>
      <c r="C868">
        <f>IF($Q868="","",INDEX(상세표[성명],$Q868)&amp;"")</f>
        <v/>
      </c>
      <c r="D868">
        <f>IF($Q868="","",INDEX(상세표[직위],$Q868)&amp;"")</f>
        <v/>
      </c>
      <c r="E868">
        <f>IF($Q868="","",IF(ISNUMBER(INDEX(상세표[근무일자],$Q868)),TEXT(INDEX(상세표[근무일자],$Q868),"yyyy-mm-dd"),INDEX(상세표[근무일자],$Q868)&amp;""))</f>
        <v/>
      </c>
      <c r="F868">
        <f>IF($Q868="","",IF(ISNUMBER(INDEX(상세표[시작],$Q868)),TEXT(INDEX(상세표[시작],$Q868),"yyyy-mm-dd hh:mm"),INDEX(상세표[시작],$Q868)&amp;""))</f>
        <v/>
      </c>
      <c r="G868">
        <f>IF($Q868="","",IF(ISNUMBER(INDEX(상세표[블록종료],$Q868)),TEXT(INDEX(상세표[블록종료],$Q868),"yyyy-mm-dd hh:mm"),INDEX(상세표[블록종료],$Q868)&amp;""))</f>
        <v/>
      </c>
      <c r="H868">
        <f>IF($Q868="","",CHOOSE(WEEKDAY(INDEX(상세표[시작],$Q868)),"일","월","화","수","목","금","토"))</f>
        <v/>
      </c>
      <c r="I868" s="20">
        <f>IF($Q868="","",INDEX(상세표[연속 시간],$Q868))</f>
        <v/>
      </c>
      <c r="J868">
        <f>IF($Q868="","",INDEX(상세표[기록 수],$Q868))</f>
        <v/>
      </c>
      <c r="K868" s="20">
        <f>IF($Q868="","",INDEX(상세표[블록 06~07시],$Q868))</f>
        <v/>
      </c>
      <c r="L868" s="20">
        <f>IF($Q868="","",INDEX(상세표[블록 07~18시],$Q868))</f>
        <v/>
      </c>
      <c r="M868" s="20">
        <f>IF($Q868="","",INDEX(상세표[블록 18~22시],$Q868))</f>
        <v/>
      </c>
      <c r="N868" s="20">
        <f>IF($Q868="","",INDEX(상세표[블록 22~06시],$Q868))</f>
        <v/>
      </c>
      <c r="O868">
        <f>IF($Q868="","",INDEX(상세표[주말·휴일 포함],$Q868)&amp;"")</f>
        <v/>
      </c>
      <c r="P868">
        <f>IF($Q868="","",INDEX(상세표[월 넘김 포함],$Q868)&amp;"")</f>
        <v/>
      </c>
      <c r="Q868" s="4">
        <f>IFERROR(MATCH(863,상세표[연속순번],0),"")</f>
        <v/>
      </c>
    </row>
    <row r="869">
      <c r="A869">
        <f>IF($Q869="","",INDEX(상세표[부서],$Q869)&amp;"")</f>
        <v/>
      </c>
      <c r="B869">
        <f>IF($Q869="","",INDEX(상세표[사번],$Q869)&amp;"")</f>
        <v/>
      </c>
      <c r="C869">
        <f>IF($Q869="","",INDEX(상세표[성명],$Q869)&amp;"")</f>
        <v/>
      </c>
      <c r="D869">
        <f>IF($Q869="","",INDEX(상세표[직위],$Q869)&amp;"")</f>
        <v/>
      </c>
      <c r="E869">
        <f>IF($Q869="","",IF(ISNUMBER(INDEX(상세표[근무일자],$Q869)),TEXT(INDEX(상세표[근무일자],$Q869),"yyyy-mm-dd"),INDEX(상세표[근무일자],$Q869)&amp;""))</f>
        <v/>
      </c>
      <c r="F869">
        <f>IF($Q869="","",IF(ISNUMBER(INDEX(상세표[시작],$Q869)),TEXT(INDEX(상세표[시작],$Q869),"yyyy-mm-dd hh:mm"),INDEX(상세표[시작],$Q869)&amp;""))</f>
        <v/>
      </c>
      <c r="G869">
        <f>IF($Q869="","",IF(ISNUMBER(INDEX(상세표[블록종료],$Q869)),TEXT(INDEX(상세표[블록종료],$Q869),"yyyy-mm-dd hh:mm"),INDEX(상세표[블록종료],$Q869)&amp;""))</f>
        <v/>
      </c>
      <c r="H869">
        <f>IF($Q869="","",CHOOSE(WEEKDAY(INDEX(상세표[시작],$Q869)),"일","월","화","수","목","금","토"))</f>
        <v/>
      </c>
      <c r="I869" s="20">
        <f>IF($Q869="","",INDEX(상세표[연속 시간],$Q869))</f>
        <v/>
      </c>
      <c r="J869">
        <f>IF($Q869="","",INDEX(상세표[기록 수],$Q869))</f>
        <v/>
      </c>
      <c r="K869" s="20">
        <f>IF($Q869="","",INDEX(상세표[블록 06~07시],$Q869))</f>
        <v/>
      </c>
      <c r="L869" s="20">
        <f>IF($Q869="","",INDEX(상세표[블록 07~18시],$Q869))</f>
        <v/>
      </c>
      <c r="M869" s="20">
        <f>IF($Q869="","",INDEX(상세표[블록 18~22시],$Q869))</f>
        <v/>
      </c>
      <c r="N869" s="20">
        <f>IF($Q869="","",INDEX(상세표[블록 22~06시],$Q869))</f>
        <v/>
      </c>
      <c r="O869">
        <f>IF($Q869="","",INDEX(상세표[주말·휴일 포함],$Q869)&amp;"")</f>
        <v/>
      </c>
      <c r="P869">
        <f>IF($Q869="","",INDEX(상세표[월 넘김 포함],$Q869)&amp;"")</f>
        <v/>
      </c>
      <c r="Q869" s="4">
        <f>IFERROR(MATCH(864,상세표[연속순번],0),"")</f>
        <v/>
      </c>
    </row>
    <row r="870">
      <c r="A870">
        <f>IF($Q870="","",INDEX(상세표[부서],$Q870)&amp;"")</f>
        <v/>
      </c>
      <c r="B870">
        <f>IF($Q870="","",INDEX(상세표[사번],$Q870)&amp;"")</f>
        <v/>
      </c>
      <c r="C870">
        <f>IF($Q870="","",INDEX(상세표[성명],$Q870)&amp;"")</f>
        <v/>
      </c>
      <c r="D870">
        <f>IF($Q870="","",INDEX(상세표[직위],$Q870)&amp;"")</f>
        <v/>
      </c>
      <c r="E870">
        <f>IF($Q870="","",IF(ISNUMBER(INDEX(상세표[근무일자],$Q870)),TEXT(INDEX(상세표[근무일자],$Q870),"yyyy-mm-dd"),INDEX(상세표[근무일자],$Q870)&amp;""))</f>
        <v/>
      </c>
      <c r="F870">
        <f>IF($Q870="","",IF(ISNUMBER(INDEX(상세표[시작],$Q870)),TEXT(INDEX(상세표[시작],$Q870),"yyyy-mm-dd hh:mm"),INDEX(상세표[시작],$Q870)&amp;""))</f>
        <v/>
      </c>
      <c r="G870">
        <f>IF($Q870="","",IF(ISNUMBER(INDEX(상세표[블록종료],$Q870)),TEXT(INDEX(상세표[블록종료],$Q870),"yyyy-mm-dd hh:mm"),INDEX(상세표[블록종료],$Q870)&amp;""))</f>
        <v/>
      </c>
      <c r="H870">
        <f>IF($Q870="","",CHOOSE(WEEKDAY(INDEX(상세표[시작],$Q870)),"일","월","화","수","목","금","토"))</f>
        <v/>
      </c>
      <c r="I870" s="20">
        <f>IF($Q870="","",INDEX(상세표[연속 시간],$Q870))</f>
        <v/>
      </c>
      <c r="J870">
        <f>IF($Q870="","",INDEX(상세표[기록 수],$Q870))</f>
        <v/>
      </c>
      <c r="K870" s="20">
        <f>IF($Q870="","",INDEX(상세표[블록 06~07시],$Q870))</f>
        <v/>
      </c>
      <c r="L870" s="20">
        <f>IF($Q870="","",INDEX(상세표[블록 07~18시],$Q870))</f>
        <v/>
      </c>
      <c r="M870" s="20">
        <f>IF($Q870="","",INDEX(상세표[블록 18~22시],$Q870))</f>
        <v/>
      </c>
      <c r="N870" s="20">
        <f>IF($Q870="","",INDEX(상세표[블록 22~06시],$Q870))</f>
        <v/>
      </c>
      <c r="O870">
        <f>IF($Q870="","",INDEX(상세표[주말·휴일 포함],$Q870)&amp;"")</f>
        <v/>
      </c>
      <c r="P870">
        <f>IF($Q870="","",INDEX(상세표[월 넘김 포함],$Q870)&amp;"")</f>
        <v/>
      </c>
      <c r="Q870" s="4">
        <f>IFERROR(MATCH(865,상세표[연속순번],0),"")</f>
        <v/>
      </c>
    </row>
    <row r="871">
      <c r="A871">
        <f>IF($Q871="","",INDEX(상세표[부서],$Q871)&amp;"")</f>
        <v/>
      </c>
      <c r="B871">
        <f>IF($Q871="","",INDEX(상세표[사번],$Q871)&amp;"")</f>
        <v/>
      </c>
      <c r="C871">
        <f>IF($Q871="","",INDEX(상세표[성명],$Q871)&amp;"")</f>
        <v/>
      </c>
      <c r="D871">
        <f>IF($Q871="","",INDEX(상세표[직위],$Q871)&amp;"")</f>
        <v/>
      </c>
      <c r="E871">
        <f>IF($Q871="","",IF(ISNUMBER(INDEX(상세표[근무일자],$Q871)),TEXT(INDEX(상세표[근무일자],$Q871),"yyyy-mm-dd"),INDEX(상세표[근무일자],$Q871)&amp;""))</f>
        <v/>
      </c>
      <c r="F871">
        <f>IF($Q871="","",IF(ISNUMBER(INDEX(상세표[시작],$Q871)),TEXT(INDEX(상세표[시작],$Q871),"yyyy-mm-dd hh:mm"),INDEX(상세표[시작],$Q871)&amp;""))</f>
        <v/>
      </c>
      <c r="G871">
        <f>IF($Q871="","",IF(ISNUMBER(INDEX(상세표[블록종료],$Q871)),TEXT(INDEX(상세표[블록종료],$Q871),"yyyy-mm-dd hh:mm"),INDEX(상세표[블록종료],$Q871)&amp;""))</f>
        <v/>
      </c>
      <c r="H871">
        <f>IF($Q871="","",CHOOSE(WEEKDAY(INDEX(상세표[시작],$Q871)),"일","월","화","수","목","금","토"))</f>
        <v/>
      </c>
      <c r="I871" s="20">
        <f>IF($Q871="","",INDEX(상세표[연속 시간],$Q871))</f>
        <v/>
      </c>
      <c r="J871">
        <f>IF($Q871="","",INDEX(상세표[기록 수],$Q871))</f>
        <v/>
      </c>
      <c r="K871" s="20">
        <f>IF($Q871="","",INDEX(상세표[블록 06~07시],$Q871))</f>
        <v/>
      </c>
      <c r="L871" s="20">
        <f>IF($Q871="","",INDEX(상세표[블록 07~18시],$Q871))</f>
        <v/>
      </c>
      <c r="M871" s="20">
        <f>IF($Q871="","",INDEX(상세표[블록 18~22시],$Q871))</f>
        <v/>
      </c>
      <c r="N871" s="20">
        <f>IF($Q871="","",INDEX(상세표[블록 22~06시],$Q871))</f>
        <v/>
      </c>
      <c r="O871">
        <f>IF($Q871="","",INDEX(상세표[주말·휴일 포함],$Q871)&amp;"")</f>
        <v/>
      </c>
      <c r="P871">
        <f>IF($Q871="","",INDEX(상세표[월 넘김 포함],$Q871)&amp;"")</f>
        <v/>
      </c>
      <c r="Q871" s="4">
        <f>IFERROR(MATCH(866,상세표[연속순번],0),"")</f>
        <v/>
      </c>
    </row>
    <row r="872">
      <c r="A872">
        <f>IF($Q872="","",INDEX(상세표[부서],$Q872)&amp;"")</f>
        <v/>
      </c>
      <c r="B872">
        <f>IF($Q872="","",INDEX(상세표[사번],$Q872)&amp;"")</f>
        <v/>
      </c>
      <c r="C872">
        <f>IF($Q872="","",INDEX(상세표[성명],$Q872)&amp;"")</f>
        <v/>
      </c>
      <c r="D872">
        <f>IF($Q872="","",INDEX(상세표[직위],$Q872)&amp;"")</f>
        <v/>
      </c>
      <c r="E872">
        <f>IF($Q872="","",IF(ISNUMBER(INDEX(상세표[근무일자],$Q872)),TEXT(INDEX(상세표[근무일자],$Q872),"yyyy-mm-dd"),INDEX(상세표[근무일자],$Q872)&amp;""))</f>
        <v/>
      </c>
      <c r="F872">
        <f>IF($Q872="","",IF(ISNUMBER(INDEX(상세표[시작],$Q872)),TEXT(INDEX(상세표[시작],$Q872),"yyyy-mm-dd hh:mm"),INDEX(상세표[시작],$Q872)&amp;""))</f>
        <v/>
      </c>
      <c r="G872">
        <f>IF($Q872="","",IF(ISNUMBER(INDEX(상세표[블록종료],$Q872)),TEXT(INDEX(상세표[블록종료],$Q872),"yyyy-mm-dd hh:mm"),INDEX(상세표[블록종료],$Q872)&amp;""))</f>
        <v/>
      </c>
      <c r="H872">
        <f>IF($Q872="","",CHOOSE(WEEKDAY(INDEX(상세표[시작],$Q872)),"일","월","화","수","목","금","토"))</f>
        <v/>
      </c>
      <c r="I872" s="20">
        <f>IF($Q872="","",INDEX(상세표[연속 시간],$Q872))</f>
        <v/>
      </c>
      <c r="J872">
        <f>IF($Q872="","",INDEX(상세표[기록 수],$Q872))</f>
        <v/>
      </c>
      <c r="K872" s="20">
        <f>IF($Q872="","",INDEX(상세표[블록 06~07시],$Q872))</f>
        <v/>
      </c>
      <c r="L872" s="20">
        <f>IF($Q872="","",INDEX(상세표[블록 07~18시],$Q872))</f>
        <v/>
      </c>
      <c r="M872" s="20">
        <f>IF($Q872="","",INDEX(상세표[블록 18~22시],$Q872))</f>
        <v/>
      </c>
      <c r="N872" s="20">
        <f>IF($Q872="","",INDEX(상세표[블록 22~06시],$Q872))</f>
        <v/>
      </c>
      <c r="O872">
        <f>IF($Q872="","",INDEX(상세표[주말·휴일 포함],$Q872)&amp;"")</f>
        <v/>
      </c>
      <c r="P872">
        <f>IF($Q872="","",INDEX(상세표[월 넘김 포함],$Q872)&amp;"")</f>
        <v/>
      </c>
      <c r="Q872" s="4">
        <f>IFERROR(MATCH(867,상세표[연속순번],0),"")</f>
        <v/>
      </c>
    </row>
    <row r="873">
      <c r="A873">
        <f>IF($Q873="","",INDEX(상세표[부서],$Q873)&amp;"")</f>
        <v/>
      </c>
      <c r="B873">
        <f>IF($Q873="","",INDEX(상세표[사번],$Q873)&amp;"")</f>
        <v/>
      </c>
      <c r="C873">
        <f>IF($Q873="","",INDEX(상세표[성명],$Q873)&amp;"")</f>
        <v/>
      </c>
      <c r="D873">
        <f>IF($Q873="","",INDEX(상세표[직위],$Q873)&amp;"")</f>
        <v/>
      </c>
      <c r="E873">
        <f>IF($Q873="","",IF(ISNUMBER(INDEX(상세표[근무일자],$Q873)),TEXT(INDEX(상세표[근무일자],$Q873),"yyyy-mm-dd"),INDEX(상세표[근무일자],$Q873)&amp;""))</f>
        <v/>
      </c>
      <c r="F873">
        <f>IF($Q873="","",IF(ISNUMBER(INDEX(상세표[시작],$Q873)),TEXT(INDEX(상세표[시작],$Q873),"yyyy-mm-dd hh:mm"),INDEX(상세표[시작],$Q873)&amp;""))</f>
        <v/>
      </c>
      <c r="G873">
        <f>IF($Q873="","",IF(ISNUMBER(INDEX(상세표[블록종료],$Q873)),TEXT(INDEX(상세표[블록종료],$Q873),"yyyy-mm-dd hh:mm"),INDEX(상세표[블록종료],$Q873)&amp;""))</f>
        <v/>
      </c>
      <c r="H873">
        <f>IF($Q873="","",CHOOSE(WEEKDAY(INDEX(상세표[시작],$Q873)),"일","월","화","수","목","금","토"))</f>
        <v/>
      </c>
      <c r="I873" s="20">
        <f>IF($Q873="","",INDEX(상세표[연속 시간],$Q873))</f>
        <v/>
      </c>
      <c r="J873">
        <f>IF($Q873="","",INDEX(상세표[기록 수],$Q873))</f>
        <v/>
      </c>
      <c r="K873" s="20">
        <f>IF($Q873="","",INDEX(상세표[블록 06~07시],$Q873))</f>
        <v/>
      </c>
      <c r="L873" s="20">
        <f>IF($Q873="","",INDEX(상세표[블록 07~18시],$Q873))</f>
        <v/>
      </c>
      <c r="M873" s="20">
        <f>IF($Q873="","",INDEX(상세표[블록 18~22시],$Q873))</f>
        <v/>
      </c>
      <c r="N873" s="20">
        <f>IF($Q873="","",INDEX(상세표[블록 22~06시],$Q873))</f>
        <v/>
      </c>
      <c r="O873">
        <f>IF($Q873="","",INDEX(상세표[주말·휴일 포함],$Q873)&amp;"")</f>
        <v/>
      </c>
      <c r="P873">
        <f>IF($Q873="","",INDEX(상세표[월 넘김 포함],$Q873)&amp;"")</f>
        <v/>
      </c>
      <c r="Q873" s="4">
        <f>IFERROR(MATCH(868,상세표[연속순번],0),"")</f>
        <v/>
      </c>
    </row>
    <row r="874">
      <c r="A874">
        <f>IF($Q874="","",INDEX(상세표[부서],$Q874)&amp;"")</f>
        <v/>
      </c>
      <c r="B874">
        <f>IF($Q874="","",INDEX(상세표[사번],$Q874)&amp;"")</f>
        <v/>
      </c>
      <c r="C874">
        <f>IF($Q874="","",INDEX(상세표[성명],$Q874)&amp;"")</f>
        <v/>
      </c>
      <c r="D874">
        <f>IF($Q874="","",INDEX(상세표[직위],$Q874)&amp;"")</f>
        <v/>
      </c>
      <c r="E874">
        <f>IF($Q874="","",IF(ISNUMBER(INDEX(상세표[근무일자],$Q874)),TEXT(INDEX(상세표[근무일자],$Q874),"yyyy-mm-dd"),INDEX(상세표[근무일자],$Q874)&amp;""))</f>
        <v/>
      </c>
      <c r="F874">
        <f>IF($Q874="","",IF(ISNUMBER(INDEX(상세표[시작],$Q874)),TEXT(INDEX(상세표[시작],$Q874),"yyyy-mm-dd hh:mm"),INDEX(상세표[시작],$Q874)&amp;""))</f>
        <v/>
      </c>
      <c r="G874">
        <f>IF($Q874="","",IF(ISNUMBER(INDEX(상세표[블록종료],$Q874)),TEXT(INDEX(상세표[블록종료],$Q874),"yyyy-mm-dd hh:mm"),INDEX(상세표[블록종료],$Q874)&amp;""))</f>
        <v/>
      </c>
      <c r="H874">
        <f>IF($Q874="","",CHOOSE(WEEKDAY(INDEX(상세표[시작],$Q874)),"일","월","화","수","목","금","토"))</f>
        <v/>
      </c>
      <c r="I874" s="20">
        <f>IF($Q874="","",INDEX(상세표[연속 시간],$Q874))</f>
        <v/>
      </c>
      <c r="J874">
        <f>IF($Q874="","",INDEX(상세표[기록 수],$Q874))</f>
        <v/>
      </c>
      <c r="K874" s="20">
        <f>IF($Q874="","",INDEX(상세표[블록 06~07시],$Q874))</f>
        <v/>
      </c>
      <c r="L874" s="20">
        <f>IF($Q874="","",INDEX(상세표[블록 07~18시],$Q874))</f>
        <v/>
      </c>
      <c r="M874" s="20">
        <f>IF($Q874="","",INDEX(상세표[블록 18~22시],$Q874))</f>
        <v/>
      </c>
      <c r="N874" s="20">
        <f>IF($Q874="","",INDEX(상세표[블록 22~06시],$Q874))</f>
        <v/>
      </c>
      <c r="O874">
        <f>IF($Q874="","",INDEX(상세표[주말·휴일 포함],$Q874)&amp;"")</f>
        <v/>
      </c>
      <c r="P874">
        <f>IF($Q874="","",INDEX(상세표[월 넘김 포함],$Q874)&amp;"")</f>
        <v/>
      </c>
      <c r="Q874" s="4">
        <f>IFERROR(MATCH(869,상세표[연속순번],0),"")</f>
        <v/>
      </c>
    </row>
    <row r="875">
      <c r="A875">
        <f>IF($Q875="","",INDEX(상세표[부서],$Q875)&amp;"")</f>
        <v/>
      </c>
      <c r="B875">
        <f>IF($Q875="","",INDEX(상세표[사번],$Q875)&amp;"")</f>
        <v/>
      </c>
      <c r="C875">
        <f>IF($Q875="","",INDEX(상세표[성명],$Q875)&amp;"")</f>
        <v/>
      </c>
      <c r="D875">
        <f>IF($Q875="","",INDEX(상세표[직위],$Q875)&amp;"")</f>
        <v/>
      </c>
      <c r="E875">
        <f>IF($Q875="","",IF(ISNUMBER(INDEX(상세표[근무일자],$Q875)),TEXT(INDEX(상세표[근무일자],$Q875),"yyyy-mm-dd"),INDEX(상세표[근무일자],$Q875)&amp;""))</f>
        <v/>
      </c>
      <c r="F875">
        <f>IF($Q875="","",IF(ISNUMBER(INDEX(상세표[시작],$Q875)),TEXT(INDEX(상세표[시작],$Q875),"yyyy-mm-dd hh:mm"),INDEX(상세표[시작],$Q875)&amp;""))</f>
        <v/>
      </c>
      <c r="G875">
        <f>IF($Q875="","",IF(ISNUMBER(INDEX(상세표[블록종료],$Q875)),TEXT(INDEX(상세표[블록종료],$Q875),"yyyy-mm-dd hh:mm"),INDEX(상세표[블록종료],$Q875)&amp;""))</f>
        <v/>
      </c>
      <c r="H875">
        <f>IF($Q875="","",CHOOSE(WEEKDAY(INDEX(상세표[시작],$Q875)),"일","월","화","수","목","금","토"))</f>
        <v/>
      </c>
      <c r="I875" s="20">
        <f>IF($Q875="","",INDEX(상세표[연속 시간],$Q875))</f>
        <v/>
      </c>
      <c r="J875">
        <f>IF($Q875="","",INDEX(상세표[기록 수],$Q875))</f>
        <v/>
      </c>
      <c r="K875" s="20">
        <f>IF($Q875="","",INDEX(상세표[블록 06~07시],$Q875))</f>
        <v/>
      </c>
      <c r="L875" s="20">
        <f>IF($Q875="","",INDEX(상세표[블록 07~18시],$Q875))</f>
        <v/>
      </c>
      <c r="M875" s="20">
        <f>IF($Q875="","",INDEX(상세표[블록 18~22시],$Q875))</f>
        <v/>
      </c>
      <c r="N875" s="20">
        <f>IF($Q875="","",INDEX(상세표[블록 22~06시],$Q875))</f>
        <v/>
      </c>
      <c r="O875">
        <f>IF($Q875="","",INDEX(상세표[주말·휴일 포함],$Q875)&amp;"")</f>
        <v/>
      </c>
      <c r="P875">
        <f>IF($Q875="","",INDEX(상세표[월 넘김 포함],$Q875)&amp;"")</f>
        <v/>
      </c>
      <c r="Q875" s="4">
        <f>IFERROR(MATCH(870,상세표[연속순번],0),"")</f>
        <v/>
      </c>
    </row>
    <row r="876">
      <c r="A876">
        <f>IF($Q876="","",INDEX(상세표[부서],$Q876)&amp;"")</f>
        <v/>
      </c>
      <c r="B876">
        <f>IF($Q876="","",INDEX(상세표[사번],$Q876)&amp;"")</f>
        <v/>
      </c>
      <c r="C876">
        <f>IF($Q876="","",INDEX(상세표[성명],$Q876)&amp;"")</f>
        <v/>
      </c>
      <c r="D876">
        <f>IF($Q876="","",INDEX(상세표[직위],$Q876)&amp;"")</f>
        <v/>
      </c>
      <c r="E876">
        <f>IF($Q876="","",IF(ISNUMBER(INDEX(상세표[근무일자],$Q876)),TEXT(INDEX(상세표[근무일자],$Q876),"yyyy-mm-dd"),INDEX(상세표[근무일자],$Q876)&amp;""))</f>
        <v/>
      </c>
      <c r="F876">
        <f>IF($Q876="","",IF(ISNUMBER(INDEX(상세표[시작],$Q876)),TEXT(INDEX(상세표[시작],$Q876),"yyyy-mm-dd hh:mm"),INDEX(상세표[시작],$Q876)&amp;""))</f>
        <v/>
      </c>
      <c r="G876">
        <f>IF($Q876="","",IF(ISNUMBER(INDEX(상세표[블록종료],$Q876)),TEXT(INDEX(상세표[블록종료],$Q876),"yyyy-mm-dd hh:mm"),INDEX(상세표[블록종료],$Q876)&amp;""))</f>
        <v/>
      </c>
      <c r="H876">
        <f>IF($Q876="","",CHOOSE(WEEKDAY(INDEX(상세표[시작],$Q876)),"일","월","화","수","목","금","토"))</f>
        <v/>
      </c>
      <c r="I876" s="20">
        <f>IF($Q876="","",INDEX(상세표[연속 시간],$Q876))</f>
        <v/>
      </c>
      <c r="J876">
        <f>IF($Q876="","",INDEX(상세표[기록 수],$Q876))</f>
        <v/>
      </c>
      <c r="K876" s="20">
        <f>IF($Q876="","",INDEX(상세표[블록 06~07시],$Q876))</f>
        <v/>
      </c>
      <c r="L876" s="20">
        <f>IF($Q876="","",INDEX(상세표[블록 07~18시],$Q876))</f>
        <v/>
      </c>
      <c r="M876" s="20">
        <f>IF($Q876="","",INDEX(상세표[블록 18~22시],$Q876))</f>
        <v/>
      </c>
      <c r="N876" s="20">
        <f>IF($Q876="","",INDEX(상세표[블록 22~06시],$Q876))</f>
        <v/>
      </c>
      <c r="O876">
        <f>IF($Q876="","",INDEX(상세표[주말·휴일 포함],$Q876)&amp;"")</f>
        <v/>
      </c>
      <c r="P876">
        <f>IF($Q876="","",INDEX(상세표[월 넘김 포함],$Q876)&amp;"")</f>
        <v/>
      </c>
      <c r="Q876" s="4">
        <f>IFERROR(MATCH(871,상세표[연속순번],0),"")</f>
        <v/>
      </c>
    </row>
    <row r="877">
      <c r="A877">
        <f>IF($Q877="","",INDEX(상세표[부서],$Q877)&amp;"")</f>
        <v/>
      </c>
      <c r="B877">
        <f>IF($Q877="","",INDEX(상세표[사번],$Q877)&amp;"")</f>
        <v/>
      </c>
      <c r="C877">
        <f>IF($Q877="","",INDEX(상세표[성명],$Q877)&amp;"")</f>
        <v/>
      </c>
      <c r="D877">
        <f>IF($Q877="","",INDEX(상세표[직위],$Q877)&amp;"")</f>
        <v/>
      </c>
      <c r="E877">
        <f>IF($Q877="","",IF(ISNUMBER(INDEX(상세표[근무일자],$Q877)),TEXT(INDEX(상세표[근무일자],$Q877),"yyyy-mm-dd"),INDEX(상세표[근무일자],$Q877)&amp;""))</f>
        <v/>
      </c>
      <c r="F877">
        <f>IF($Q877="","",IF(ISNUMBER(INDEX(상세표[시작],$Q877)),TEXT(INDEX(상세표[시작],$Q877),"yyyy-mm-dd hh:mm"),INDEX(상세표[시작],$Q877)&amp;""))</f>
        <v/>
      </c>
      <c r="G877">
        <f>IF($Q877="","",IF(ISNUMBER(INDEX(상세표[블록종료],$Q877)),TEXT(INDEX(상세표[블록종료],$Q877),"yyyy-mm-dd hh:mm"),INDEX(상세표[블록종료],$Q877)&amp;""))</f>
        <v/>
      </c>
      <c r="H877">
        <f>IF($Q877="","",CHOOSE(WEEKDAY(INDEX(상세표[시작],$Q877)),"일","월","화","수","목","금","토"))</f>
        <v/>
      </c>
      <c r="I877" s="20">
        <f>IF($Q877="","",INDEX(상세표[연속 시간],$Q877))</f>
        <v/>
      </c>
      <c r="J877">
        <f>IF($Q877="","",INDEX(상세표[기록 수],$Q877))</f>
        <v/>
      </c>
      <c r="K877" s="20">
        <f>IF($Q877="","",INDEX(상세표[블록 06~07시],$Q877))</f>
        <v/>
      </c>
      <c r="L877" s="20">
        <f>IF($Q877="","",INDEX(상세표[블록 07~18시],$Q877))</f>
        <v/>
      </c>
      <c r="M877" s="20">
        <f>IF($Q877="","",INDEX(상세표[블록 18~22시],$Q877))</f>
        <v/>
      </c>
      <c r="N877" s="20">
        <f>IF($Q877="","",INDEX(상세표[블록 22~06시],$Q877))</f>
        <v/>
      </c>
      <c r="O877">
        <f>IF($Q877="","",INDEX(상세표[주말·휴일 포함],$Q877)&amp;"")</f>
        <v/>
      </c>
      <c r="P877">
        <f>IF($Q877="","",INDEX(상세표[월 넘김 포함],$Q877)&amp;"")</f>
        <v/>
      </c>
      <c r="Q877" s="4">
        <f>IFERROR(MATCH(872,상세표[연속순번],0),"")</f>
        <v/>
      </c>
    </row>
    <row r="878">
      <c r="A878">
        <f>IF($Q878="","",INDEX(상세표[부서],$Q878)&amp;"")</f>
        <v/>
      </c>
      <c r="B878">
        <f>IF($Q878="","",INDEX(상세표[사번],$Q878)&amp;"")</f>
        <v/>
      </c>
      <c r="C878">
        <f>IF($Q878="","",INDEX(상세표[성명],$Q878)&amp;"")</f>
        <v/>
      </c>
      <c r="D878">
        <f>IF($Q878="","",INDEX(상세표[직위],$Q878)&amp;"")</f>
        <v/>
      </c>
      <c r="E878">
        <f>IF($Q878="","",IF(ISNUMBER(INDEX(상세표[근무일자],$Q878)),TEXT(INDEX(상세표[근무일자],$Q878),"yyyy-mm-dd"),INDEX(상세표[근무일자],$Q878)&amp;""))</f>
        <v/>
      </c>
      <c r="F878">
        <f>IF($Q878="","",IF(ISNUMBER(INDEX(상세표[시작],$Q878)),TEXT(INDEX(상세표[시작],$Q878),"yyyy-mm-dd hh:mm"),INDEX(상세표[시작],$Q878)&amp;""))</f>
        <v/>
      </c>
      <c r="G878">
        <f>IF($Q878="","",IF(ISNUMBER(INDEX(상세표[블록종료],$Q878)),TEXT(INDEX(상세표[블록종료],$Q878),"yyyy-mm-dd hh:mm"),INDEX(상세표[블록종료],$Q878)&amp;""))</f>
        <v/>
      </c>
      <c r="H878">
        <f>IF($Q878="","",CHOOSE(WEEKDAY(INDEX(상세표[시작],$Q878)),"일","월","화","수","목","금","토"))</f>
        <v/>
      </c>
      <c r="I878" s="20">
        <f>IF($Q878="","",INDEX(상세표[연속 시간],$Q878))</f>
        <v/>
      </c>
      <c r="J878">
        <f>IF($Q878="","",INDEX(상세표[기록 수],$Q878))</f>
        <v/>
      </c>
      <c r="K878" s="20">
        <f>IF($Q878="","",INDEX(상세표[블록 06~07시],$Q878))</f>
        <v/>
      </c>
      <c r="L878" s="20">
        <f>IF($Q878="","",INDEX(상세표[블록 07~18시],$Q878))</f>
        <v/>
      </c>
      <c r="M878" s="20">
        <f>IF($Q878="","",INDEX(상세표[블록 18~22시],$Q878))</f>
        <v/>
      </c>
      <c r="N878" s="20">
        <f>IF($Q878="","",INDEX(상세표[블록 22~06시],$Q878))</f>
        <v/>
      </c>
      <c r="O878">
        <f>IF($Q878="","",INDEX(상세표[주말·휴일 포함],$Q878)&amp;"")</f>
        <v/>
      </c>
      <c r="P878">
        <f>IF($Q878="","",INDEX(상세표[월 넘김 포함],$Q878)&amp;"")</f>
        <v/>
      </c>
      <c r="Q878" s="4">
        <f>IFERROR(MATCH(873,상세표[연속순번],0),"")</f>
        <v/>
      </c>
    </row>
    <row r="879">
      <c r="A879">
        <f>IF($Q879="","",INDEX(상세표[부서],$Q879)&amp;"")</f>
        <v/>
      </c>
      <c r="B879">
        <f>IF($Q879="","",INDEX(상세표[사번],$Q879)&amp;"")</f>
        <v/>
      </c>
      <c r="C879">
        <f>IF($Q879="","",INDEX(상세표[성명],$Q879)&amp;"")</f>
        <v/>
      </c>
      <c r="D879">
        <f>IF($Q879="","",INDEX(상세표[직위],$Q879)&amp;"")</f>
        <v/>
      </c>
      <c r="E879">
        <f>IF($Q879="","",IF(ISNUMBER(INDEX(상세표[근무일자],$Q879)),TEXT(INDEX(상세표[근무일자],$Q879),"yyyy-mm-dd"),INDEX(상세표[근무일자],$Q879)&amp;""))</f>
        <v/>
      </c>
      <c r="F879">
        <f>IF($Q879="","",IF(ISNUMBER(INDEX(상세표[시작],$Q879)),TEXT(INDEX(상세표[시작],$Q879),"yyyy-mm-dd hh:mm"),INDEX(상세표[시작],$Q879)&amp;""))</f>
        <v/>
      </c>
      <c r="G879">
        <f>IF($Q879="","",IF(ISNUMBER(INDEX(상세표[블록종료],$Q879)),TEXT(INDEX(상세표[블록종료],$Q879),"yyyy-mm-dd hh:mm"),INDEX(상세표[블록종료],$Q879)&amp;""))</f>
        <v/>
      </c>
      <c r="H879">
        <f>IF($Q879="","",CHOOSE(WEEKDAY(INDEX(상세표[시작],$Q879)),"일","월","화","수","목","금","토"))</f>
        <v/>
      </c>
      <c r="I879" s="20">
        <f>IF($Q879="","",INDEX(상세표[연속 시간],$Q879))</f>
        <v/>
      </c>
      <c r="J879">
        <f>IF($Q879="","",INDEX(상세표[기록 수],$Q879))</f>
        <v/>
      </c>
      <c r="K879" s="20">
        <f>IF($Q879="","",INDEX(상세표[블록 06~07시],$Q879))</f>
        <v/>
      </c>
      <c r="L879" s="20">
        <f>IF($Q879="","",INDEX(상세표[블록 07~18시],$Q879))</f>
        <v/>
      </c>
      <c r="M879" s="20">
        <f>IF($Q879="","",INDEX(상세표[블록 18~22시],$Q879))</f>
        <v/>
      </c>
      <c r="N879" s="20">
        <f>IF($Q879="","",INDEX(상세표[블록 22~06시],$Q879))</f>
        <v/>
      </c>
      <c r="O879">
        <f>IF($Q879="","",INDEX(상세표[주말·휴일 포함],$Q879)&amp;"")</f>
        <v/>
      </c>
      <c r="P879">
        <f>IF($Q879="","",INDEX(상세표[월 넘김 포함],$Q879)&amp;"")</f>
        <v/>
      </c>
      <c r="Q879" s="4">
        <f>IFERROR(MATCH(874,상세표[연속순번],0),"")</f>
        <v/>
      </c>
    </row>
    <row r="880">
      <c r="A880">
        <f>IF($Q880="","",INDEX(상세표[부서],$Q880)&amp;"")</f>
        <v/>
      </c>
      <c r="B880">
        <f>IF($Q880="","",INDEX(상세표[사번],$Q880)&amp;"")</f>
        <v/>
      </c>
      <c r="C880">
        <f>IF($Q880="","",INDEX(상세표[성명],$Q880)&amp;"")</f>
        <v/>
      </c>
      <c r="D880">
        <f>IF($Q880="","",INDEX(상세표[직위],$Q880)&amp;"")</f>
        <v/>
      </c>
      <c r="E880">
        <f>IF($Q880="","",IF(ISNUMBER(INDEX(상세표[근무일자],$Q880)),TEXT(INDEX(상세표[근무일자],$Q880),"yyyy-mm-dd"),INDEX(상세표[근무일자],$Q880)&amp;""))</f>
        <v/>
      </c>
      <c r="F880">
        <f>IF($Q880="","",IF(ISNUMBER(INDEX(상세표[시작],$Q880)),TEXT(INDEX(상세표[시작],$Q880),"yyyy-mm-dd hh:mm"),INDEX(상세표[시작],$Q880)&amp;""))</f>
        <v/>
      </c>
      <c r="G880">
        <f>IF($Q880="","",IF(ISNUMBER(INDEX(상세표[블록종료],$Q880)),TEXT(INDEX(상세표[블록종료],$Q880),"yyyy-mm-dd hh:mm"),INDEX(상세표[블록종료],$Q880)&amp;""))</f>
        <v/>
      </c>
      <c r="H880">
        <f>IF($Q880="","",CHOOSE(WEEKDAY(INDEX(상세표[시작],$Q880)),"일","월","화","수","목","금","토"))</f>
        <v/>
      </c>
      <c r="I880" s="20">
        <f>IF($Q880="","",INDEX(상세표[연속 시간],$Q880))</f>
        <v/>
      </c>
      <c r="J880">
        <f>IF($Q880="","",INDEX(상세표[기록 수],$Q880))</f>
        <v/>
      </c>
      <c r="K880" s="20">
        <f>IF($Q880="","",INDEX(상세표[블록 06~07시],$Q880))</f>
        <v/>
      </c>
      <c r="L880" s="20">
        <f>IF($Q880="","",INDEX(상세표[블록 07~18시],$Q880))</f>
        <v/>
      </c>
      <c r="M880" s="20">
        <f>IF($Q880="","",INDEX(상세표[블록 18~22시],$Q880))</f>
        <v/>
      </c>
      <c r="N880" s="20">
        <f>IF($Q880="","",INDEX(상세표[블록 22~06시],$Q880))</f>
        <v/>
      </c>
      <c r="O880">
        <f>IF($Q880="","",INDEX(상세표[주말·휴일 포함],$Q880)&amp;"")</f>
        <v/>
      </c>
      <c r="P880">
        <f>IF($Q880="","",INDEX(상세표[월 넘김 포함],$Q880)&amp;"")</f>
        <v/>
      </c>
      <c r="Q880" s="4">
        <f>IFERROR(MATCH(875,상세표[연속순번],0),"")</f>
        <v/>
      </c>
    </row>
    <row r="881">
      <c r="A881">
        <f>IF($Q881="","",INDEX(상세표[부서],$Q881)&amp;"")</f>
        <v/>
      </c>
      <c r="B881">
        <f>IF($Q881="","",INDEX(상세표[사번],$Q881)&amp;"")</f>
        <v/>
      </c>
      <c r="C881">
        <f>IF($Q881="","",INDEX(상세표[성명],$Q881)&amp;"")</f>
        <v/>
      </c>
      <c r="D881">
        <f>IF($Q881="","",INDEX(상세표[직위],$Q881)&amp;"")</f>
        <v/>
      </c>
      <c r="E881">
        <f>IF($Q881="","",IF(ISNUMBER(INDEX(상세표[근무일자],$Q881)),TEXT(INDEX(상세표[근무일자],$Q881),"yyyy-mm-dd"),INDEX(상세표[근무일자],$Q881)&amp;""))</f>
        <v/>
      </c>
      <c r="F881">
        <f>IF($Q881="","",IF(ISNUMBER(INDEX(상세표[시작],$Q881)),TEXT(INDEX(상세표[시작],$Q881),"yyyy-mm-dd hh:mm"),INDEX(상세표[시작],$Q881)&amp;""))</f>
        <v/>
      </c>
      <c r="G881">
        <f>IF($Q881="","",IF(ISNUMBER(INDEX(상세표[블록종료],$Q881)),TEXT(INDEX(상세표[블록종료],$Q881),"yyyy-mm-dd hh:mm"),INDEX(상세표[블록종료],$Q881)&amp;""))</f>
        <v/>
      </c>
      <c r="H881">
        <f>IF($Q881="","",CHOOSE(WEEKDAY(INDEX(상세표[시작],$Q881)),"일","월","화","수","목","금","토"))</f>
        <v/>
      </c>
      <c r="I881" s="20">
        <f>IF($Q881="","",INDEX(상세표[연속 시간],$Q881))</f>
        <v/>
      </c>
      <c r="J881">
        <f>IF($Q881="","",INDEX(상세표[기록 수],$Q881))</f>
        <v/>
      </c>
      <c r="K881" s="20">
        <f>IF($Q881="","",INDEX(상세표[블록 06~07시],$Q881))</f>
        <v/>
      </c>
      <c r="L881" s="20">
        <f>IF($Q881="","",INDEX(상세표[블록 07~18시],$Q881))</f>
        <v/>
      </c>
      <c r="M881" s="20">
        <f>IF($Q881="","",INDEX(상세표[블록 18~22시],$Q881))</f>
        <v/>
      </c>
      <c r="N881" s="20">
        <f>IF($Q881="","",INDEX(상세표[블록 22~06시],$Q881))</f>
        <v/>
      </c>
      <c r="O881">
        <f>IF($Q881="","",INDEX(상세표[주말·휴일 포함],$Q881)&amp;"")</f>
        <v/>
      </c>
      <c r="P881">
        <f>IF($Q881="","",INDEX(상세표[월 넘김 포함],$Q881)&amp;"")</f>
        <v/>
      </c>
      <c r="Q881" s="4">
        <f>IFERROR(MATCH(876,상세표[연속순번],0),"")</f>
        <v/>
      </c>
    </row>
    <row r="882">
      <c r="A882">
        <f>IF($Q882="","",INDEX(상세표[부서],$Q882)&amp;"")</f>
        <v/>
      </c>
      <c r="B882">
        <f>IF($Q882="","",INDEX(상세표[사번],$Q882)&amp;"")</f>
        <v/>
      </c>
      <c r="C882">
        <f>IF($Q882="","",INDEX(상세표[성명],$Q882)&amp;"")</f>
        <v/>
      </c>
      <c r="D882">
        <f>IF($Q882="","",INDEX(상세표[직위],$Q882)&amp;"")</f>
        <v/>
      </c>
      <c r="E882">
        <f>IF($Q882="","",IF(ISNUMBER(INDEX(상세표[근무일자],$Q882)),TEXT(INDEX(상세표[근무일자],$Q882),"yyyy-mm-dd"),INDEX(상세표[근무일자],$Q882)&amp;""))</f>
        <v/>
      </c>
      <c r="F882">
        <f>IF($Q882="","",IF(ISNUMBER(INDEX(상세표[시작],$Q882)),TEXT(INDEX(상세표[시작],$Q882),"yyyy-mm-dd hh:mm"),INDEX(상세표[시작],$Q882)&amp;""))</f>
        <v/>
      </c>
      <c r="G882">
        <f>IF($Q882="","",IF(ISNUMBER(INDEX(상세표[블록종료],$Q882)),TEXT(INDEX(상세표[블록종료],$Q882),"yyyy-mm-dd hh:mm"),INDEX(상세표[블록종료],$Q882)&amp;""))</f>
        <v/>
      </c>
      <c r="H882">
        <f>IF($Q882="","",CHOOSE(WEEKDAY(INDEX(상세표[시작],$Q882)),"일","월","화","수","목","금","토"))</f>
        <v/>
      </c>
      <c r="I882" s="20">
        <f>IF($Q882="","",INDEX(상세표[연속 시간],$Q882))</f>
        <v/>
      </c>
      <c r="J882">
        <f>IF($Q882="","",INDEX(상세표[기록 수],$Q882))</f>
        <v/>
      </c>
      <c r="K882" s="20">
        <f>IF($Q882="","",INDEX(상세표[블록 06~07시],$Q882))</f>
        <v/>
      </c>
      <c r="L882" s="20">
        <f>IF($Q882="","",INDEX(상세표[블록 07~18시],$Q882))</f>
        <v/>
      </c>
      <c r="M882" s="20">
        <f>IF($Q882="","",INDEX(상세표[블록 18~22시],$Q882))</f>
        <v/>
      </c>
      <c r="N882" s="20">
        <f>IF($Q882="","",INDEX(상세표[블록 22~06시],$Q882))</f>
        <v/>
      </c>
      <c r="O882">
        <f>IF($Q882="","",INDEX(상세표[주말·휴일 포함],$Q882)&amp;"")</f>
        <v/>
      </c>
      <c r="P882">
        <f>IF($Q882="","",INDEX(상세표[월 넘김 포함],$Q882)&amp;"")</f>
        <v/>
      </c>
      <c r="Q882" s="4">
        <f>IFERROR(MATCH(877,상세표[연속순번],0),"")</f>
        <v/>
      </c>
    </row>
    <row r="883">
      <c r="A883">
        <f>IF($Q883="","",INDEX(상세표[부서],$Q883)&amp;"")</f>
        <v/>
      </c>
      <c r="B883">
        <f>IF($Q883="","",INDEX(상세표[사번],$Q883)&amp;"")</f>
        <v/>
      </c>
      <c r="C883">
        <f>IF($Q883="","",INDEX(상세표[성명],$Q883)&amp;"")</f>
        <v/>
      </c>
      <c r="D883">
        <f>IF($Q883="","",INDEX(상세표[직위],$Q883)&amp;"")</f>
        <v/>
      </c>
      <c r="E883">
        <f>IF($Q883="","",IF(ISNUMBER(INDEX(상세표[근무일자],$Q883)),TEXT(INDEX(상세표[근무일자],$Q883),"yyyy-mm-dd"),INDEX(상세표[근무일자],$Q883)&amp;""))</f>
        <v/>
      </c>
      <c r="F883">
        <f>IF($Q883="","",IF(ISNUMBER(INDEX(상세표[시작],$Q883)),TEXT(INDEX(상세표[시작],$Q883),"yyyy-mm-dd hh:mm"),INDEX(상세표[시작],$Q883)&amp;""))</f>
        <v/>
      </c>
      <c r="G883">
        <f>IF($Q883="","",IF(ISNUMBER(INDEX(상세표[블록종료],$Q883)),TEXT(INDEX(상세표[블록종료],$Q883),"yyyy-mm-dd hh:mm"),INDEX(상세표[블록종료],$Q883)&amp;""))</f>
        <v/>
      </c>
      <c r="H883">
        <f>IF($Q883="","",CHOOSE(WEEKDAY(INDEX(상세표[시작],$Q883)),"일","월","화","수","목","금","토"))</f>
        <v/>
      </c>
      <c r="I883" s="20">
        <f>IF($Q883="","",INDEX(상세표[연속 시간],$Q883))</f>
        <v/>
      </c>
      <c r="J883">
        <f>IF($Q883="","",INDEX(상세표[기록 수],$Q883))</f>
        <v/>
      </c>
      <c r="K883" s="20">
        <f>IF($Q883="","",INDEX(상세표[블록 06~07시],$Q883))</f>
        <v/>
      </c>
      <c r="L883" s="20">
        <f>IF($Q883="","",INDEX(상세표[블록 07~18시],$Q883))</f>
        <v/>
      </c>
      <c r="M883" s="20">
        <f>IF($Q883="","",INDEX(상세표[블록 18~22시],$Q883))</f>
        <v/>
      </c>
      <c r="N883" s="20">
        <f>IF($Q883="","",INDEX(상세표[블록 22~06시],$Q883))</f>
        <v/>
      </c>
      <c r="O883">
        <f>IF($Q883="","",INDEX(상세표[주말·휴일 포함],$Q883)&amp;"")</f>
        <v/>
      </c>
      <c r="P883">
        <f>IF($Q883="","",INDEX(상세표[월 넘김 포함],$Q883)&amp;"")</f>
        <v/>
      </c>
      <c r="Q883" s="4">
        <f>IFERROR(MATCH(878,상세표[연속순번],0),"")</f>
        <v/>
      </c>
    </row>
    <row r="884">
      <c r="A884">
        <f>IF($Q884="","",INDEX(상세표[부서],$Q884)&amp;"")</f>
        <v/>
      </c>
      <c r="B884">
        <f>IF($Q884="","",INDEX(상세표[사번],$Q884)&amp;"")</f>
        <v/>
      </c>
      <c r="C884">
        <f>IF($Q884="","",INDEX(상세표[성명],$Q884)&amp;"")</f>
        <v/>
      </c>
      <c r="D884">
        <f>IF($Q884="","",INDEX(상세표[직위],$Q884)&amp;"")</f>
        <v/>
      </c>
      <c r="E884">
        <f>IF($Q884="","",IF(ISNUMBER(INDEX(상세표[근무일자],$Q884)),TEXT(INDEX(상세표[근무일자],$Q884),"yyyy-mm-dd"),INDEX(상세표[근무일자],$Q884)&amp;""))</f>
        <v/>
      </c>
      <c r="F884">
        <f>IF($Q884="","",IF(ISNUMBER(INDEX(상세표[시작],$Q884)),TEXT(INDEX(상세표[시작],$Q884),"yyyy-mm-dd hh:mm"),INDEX(상세표[시작],$Q884)&amp;""))</f>
        <v/>
      </c>
      <c r="G884">
        <f>IF($Q884="","",IF(ISNUMBER(INDEX(상세표[블록종료],$Q884)),TEXT(INDEX(상세표[블록종료],$Q884),"yyyy-mm-dd hh:mm"),INDEX(상세표[블록종료],$Q884)&amp;""))</f>
        <v/>
      </c>
      <c r="H884">
        <f>IF($Q884="","",CHOOSE(WEEKDAY(INDEX(상세표[시작],$Q884)),"일","월","화","수","목","금","토"))</f>
        <v/>
      </c>
      <c r="I884" s="20">
        <f>IF($Q884="","",INDEX(상세표[연속 시간],$Q884))</f>
        <v/>
      </c>
      <c r="J884">
        <f>IF($Q884="","",INDEX(상세표[기록 수],$Q884))</f>
        <v/>
      </c>
      <c r="K884" s="20">
        <f>IF($Q884="","",INDEX(상세표[블록 06~07시],$Q884))</f>
        <v/>
      </c>
      <c r="L884" s="20">
        <f>IF($Q884="","",INDEX(상세표[블록 07~18시],$Q884))</f>
        <v/>
      </c>
      <c r="M884" s="20">
        <f>IF($Q884="","",INDEX(상세표[블록 18~22시],$Q884))</f>
        <v/>
      </c>
      <c r="N884" s="20">
        <f>IF($Q884="","",INDEX(상세표[블록 22~06시],$Q884))</f>
        <v/>
      </c>
      <c r="O884">
        <f>IF($Q884="","",INDEX(상세표[주말·휴일 포함],$Q884)&amp;"")</f>
        <v/>
      </c>
      <c r="P884">
        <f>IF($Q884="","",INDEX(상세표[월 넘김 포함],$Q884)&amp;"")</f>
        <v/>
      </c>
      <c r="Q884" s="4">
        <f>IFERROR(MATCH(879,상세표[연속순번],0),"")</f>
        <v/>
      </c>
    </row>
    <row r="885">
      <c r="A885">
        <f>IF($Q885="","",INDEX(상세표[부서],$Q885)&amp;"")</f>
        <v/>
      </c>
      <c r="B885">
        <f>IF($Q885="","",INDEX(상세표[사번],$Q885)&amp;"")</f>
        <v/>
      </c>
      <c r="C885">
        <f>IF($Q885="","",INDEX(상세표[성명],$Q885)&amp;"")</f>
        <v/>
      </c>
      <c r="D885">
        <f>IF($Q885="","",INDEX(상세표[직위],$Q885)&amp;"")</f>
        <v/>
      </c>
      <c r="E885">
        <f>IF($Q885="","",IF(ISNUMBER(INDEX(상세표[근무일자],$Q885)),TEXT(INDEX(상세표[근무일자],$Q885),"yyyy-mm-dd"),INDEX(상세표[근무일자],$Q885)&amp;""))</f>
        <v/>
      </c>
      <c r="F885">
        <f>IF($Q885="","",IF(ISNUMBER(INDEX(상세표[시작],$Q885)),TEXT(INDEX(상세표[시작],$Q885),"yyyy-mm-dd hh:mm"),INDEX(상세표[시작],$Q885)&amp;""))</f>
        <v/>
      </c>
      <c r="G885">
        <f>IF($Q885="","",IF(ISNUMBER(INDEX(상세표[블록종료],$Q885)),TEXT(INDEX(상세표[블록종료],$Q885),"yyyy-mm-dd hh:mm"),INDEX(상세표[블록종료],$Q885)&amp;""))</f>
        <v/>
      </c>
      <c r="H885">
        <f>IF($Q885="","",CHOOSE(WEEKDAY(INDEX(상세표[시작],$Q885)),"일","월","화","수","목","금","토"))</f>
        <v/>
      </c>
      <c r="I885" s="20">
        <f>IF($Q885="","",INDEX(상세표[연속 시간],$Q885))</f>
        <v/>
      </c>
      <c r="J885">
        <f>IF($Q885="","",INDEX(상세표[기록 수],$Q885))</f>
        <v/>
      </c>
      <c r="K885" s="20">
        <f>IF($Q885="","",INDEX(상세표[블록 06~07시],$Q885))</f>
        <v/>
      </c>
      <c r="L885" s="20">
        <f>IF($Q885="","",INDEX(상세표[블록 07~18시],$Q885))</f>
        <v/>
      </c>
      <c r="M885" s="20">
        <f>IF($Q885="","",INDEX(상세표[블록 18~22시],$Q885))</f>
        <v/>
      </c>
      <c r="N885" s="20">
        <f>IF($Q885="","",INDEX(상세표[블록 22~06시],$Q885))</f>
        <v/>
      </c>
      <c r="O885">
        <f>IF($Q885="","",INDEX(상세표[주말·휴일 포함],$Q885)&amp;"")</f>
        <v/>
      </c>
      <c r="P885">
        <f>IF($Q885="","",INDEX(상세표[월 넘김 포함],$Q885)&amp;"")</f>
        <v/>
      </c>
      <c r="Q885" s="4">
        <f>IFERROR(MATCH(880,상세표[연속순번],0),"")</f>
        <v/>
      </c>
    </row>
    <row r="886">
      <c r="A886">
        <f>IF($Q886="","",INDEX(상세표[부서],$Q886)&amp;"")</f>
        <v/>
      </c>
      <c r="B886">
        <f>IF($Q886="","",INDEX(상세표[사번],$Q886)&amp;"")</f>
        <v/>
      </c>
      <c r="C886">
        <f>IF($Q886="","",INDEX(상세표[성명],$Q886)&amp;"")</f>
        <v/>
      </c>
      <c r="D886">
        <f>IF($Q886="","",INDEX(상세표[직위],$Q886)&amp;"")</f>
        <v/>
      </c>
      <c r="E886">
        <f>IF($Q886="","",IF(ISNUMBER(INDEX(상세표[근무일자],$Q886)),TEXT(INDEX(상세표[근무일자],$Q886),"yyyy-mm-dd"),INDEX(상세표[근무일자],$Q886)&amp;""))</f>
        <v/>
      </c>
      <c r="F886">
        <f>IF($Q886="","",IF(ISNUMBER(INDEX(상세표[시작],$Q886)),TEXT(INDEX(상세표[시작],$Q886),"yyyy-mm-dd hh:mm"),INDEX(상세표[시작],$Q886)&amp;""))</f>
        <v/>
      </c>
      <c r="G886">
        <f>IF($Q886="","",IF(ISNUMBER(INDEX(상세표[블록종료],$Q886)),TEXT(INDEX(상세표[블록종료],$Q886),"yyyy-mm-dd hh:mm"),INDEX(상세표[블록종료],$Q886)&amp;""))</f>
        <v/>
      </c>
      <c r="H886">
        <f>IF($Q886="","",CHOOSE(WEEKDAY(INDEX(상세표[시작],$Q886)),"일","월","화","수","목","금","토"))</f>
        <v/>
      </c>
      <c r="I886" s="20">
        <f>IF($Q886="","",INDEX(상세표[연속 시간],$Q886))</f>
        <v/>
      </c>
      <c r="J886">
        <f>IF($Q886="","",INDEX(상세표[기록 수],$Q886))</f>
        <v/>
      </c>
      <c r="K886" s="20">
        <f>IF($Q886="","",INDEX(상세표[블록 06~07시],$Q886))</f>
        <v/>
      </c>
      <c r="L886" s="20">
        <f>IF($Q886="","",INDEX(상세표[블록 07~18시],$Q886))</f>
        <v/>
      </c>
      <c r="M886" s="20">
        <f>IF($Q886="","",INDEX(상세표[블록 18~22시],$Q886))</f>
        <v/>
      </c>
      <c r="N886" s="20">
        <f>IF($Q886="","",INDEX(상세표[블록 22~06시],$Q886))</f>
        <v/>
      </c>
      <c r="O886">
        <f>IF($Q886="","",INDEX(상세표[주말·휴일 포함],$Q886)&amp;"")</f>
        <v/>
      </c>
      <c r="P886">
        <f>IF($Q886="","",INDEX(상세표[월 넘김 포함],$Q886)&amp;"")</f>
        <v/>
      </c>
      <c r="Q886" s="4">
        <f>IFERROR(MATCH(881,상세표[연속순번],0),"")</f>
        <v/>
      </c>
    </row>
    <row r="887">
      <c r="A887">
        <f>IF($Q887="","",INDEX(상세표[부서],$Q887)&amp;"")</f>
        <v/>
      </c>
      <c r="B887">
        <f>IF($Q887="","",INDEX(상세표[사번],$Q887)&amp;"")</f>
        <v/>
      </c>
      <c r="C887">
        <f>IF($Q887="","",INDEX(상세표[성명],$Q887)&amp;"")</f>
        <v/>
      </c>
      <c r="D887">
        <f>IF($Q887="","",INDEX(상세표[직위],$Q887)&amp;"")</f>
        <v/>
      </c>
      <c r="E887">
        <f>IF($Q887="","",IF(ISNUMBER(INDEX(상세표[근무일자],$Q887)),TEXT(INDEX(상세표[근무일자],$Q887),"yyyy-mm-dd"),INDEX(상세표[근무일자],$Q887)&amp;""))</f>
        <v/>
      </c>
      <c r="F887">
        <f>IF($Q887="","",IF(ISNUMBER(INDEX(상세표[시작],$Q887)),TEXT(INDEX(상세표[시작],$Q887),"yyyy-mm-dd hh:mm"),INDEX(상세표[시작],$Q887)&amp;""))</f>
        <v/>
      </c>
      <c r="G887">
        <f>IF($Q887="","",IF(ISNUMBER(INDEX(상세표[블록종료],$Q887)),TEXT(INDEX(상세표[블록종료],$Q887),"yyyy-mm-dd hh:mm"),INDEX(상세표[블록종료],$Q887)&amp;""))</f>
        <v/>
      </c>
      <c r="H887">
        <f>IF($Q887="","",CHOOSE(WEEKDAY(INDEX(상세표[시작],$Q887)),"일","월","화","수","목","금","토"))</f>
        <v/>
      </c>
      <c r="I887" s="20">
        <f>IF($Q887="","",INDEX(상세표[연속 시간],$Q887))</f>
        <v/>
      </c>
      <c r="J887">
        <f>IF($Q887="","",INDEX(상세표[기록 수],$Q887))</f>
        <v/>
      </c>
      <c r="K887" s="20">
        <f>IF($Q887="","",INDEX(상세표[블록 06~07시],$Q887))</f>
        <v/>
      </c>
      <c r="L887" s="20">
        <f>IF($Q887="","",INDEX(상세표[블록 07~18시],$Q887))</f>
        <v/>
      </c>
      <c r="M887" s="20">
        <f>IF($Q887="","",INDEX(상세표[블록 18~22시],$Q887))</f>
        <v/>
      </c>
      <c r="N887" s="20">
        <f>IF($Q887="","",INDEX(상세표[블록 22~06시],$Q887))</f>
        <v/>
      </c>
      <c r="O887">
        <f>IF($Q887="","",INDEX(상세표[주말·휴일 포함],$Q887)&amp;"")</f>
        <v/>
      </c>
      <c r="P887">
        <f>IF($Q887="","",INDEX(상세표[월 넘김 포함],$Q887)&amp;"")</f>
        <v/>
      </c>
      <c r="Q887" s="4">
        <f>IFERROR(MATCH(882,상세표[연속순번],0),"")</f>
        <v/>
      </c>
    </row>
    <row r="888">
      <c r="A888">
        <f>IF($Q888="","",INDEX(상세표[부서],$Q888)&amp;"")</f>
        <v/>
      </c>
      <c r="B888">
        <f>IF($Q888="","",INDEX(상세표[사번],$Q888)&amp;"")</f>
        <v/>
      </c>
      <c r="C888">
        <f>IF($Q888="","",INDEX(상세표[성명],$Q888)&amp;"")</f>
        <v/>
      </c>
      <c r="D888">
        <f>IF($Q888="","",INDEX(상세표[직위],$Q888)&amp;"")</f>
        <v/>
      </c>
      <c r="E888">
        <f>IF($Q888="","",IF(ISNUMBER(INDEX(상세표[근무일자],$Q888)),TEXT(INDEX(상세표[근무일자],$Q888),"yyyy-mm-dd"),INDEX(상세표[근무일자],$Q888)&amp;""))</f>
        <v/>
      </c>
      <c r="F888">
        <f>IF($Q888="","",IF(ISNUMBER(INDEX(상세표[시작],$Q888)),TEXT(INDEX(상세표[시작],$Q888),"yyyy-mm-dd hh:mm"),INDEX(상세표[시작],$Q888)&amp;""))</f>
        <v/>
      </c>
      <c r="G888">
        <f>IF($Q888="","",IF(ISNUMBER(INDEX(상세표[블록종료],$Q888)),TEXT(INDEX(상세표[블록종료],$Q888),"yyyy-mm-dd hh:mm"),INDEX(상세표[블록종료],$Q888)&amp;""))</f>
        <v/>
      </c>
      <c r="H888">
        <f>IF($Q888="","",CHOOSE(WEEKDAY(INDEX(상세표[시작],$Q888)),"일","월","화","수","목","금","토"))</f>
        <v/>
      </c>
      <c r="I888" s="20">
        <f>IF($Q888="","",INDEX(상세표[연속 시간],$Q888))</f>
        <v/>
      </c>
      <c r="J888">
        <f>IF($Q888="","",INDEX(상세표[기록 수],$Q888))</f>
        <v/>
      </c>
      <c r="K888" s="20">
        <f>IF($Q888="","",INDEX(상세표[블록 06~07시],$Q888))</f>
        <v/>
      </c>
      <c r="L888" s="20">
        <f>IF($Q888="","",INDEX(상세표[블록 07~18시],$Q888))</f>
        <v/>
      </c>
      <c r="M888" s="20">
        <f>IF($Q888="","",INDEX(상세표[블록 18~22시],$Q888))</f>
        <v/>
      </c>
      <c r="N888" s="20">
        <f>IF($Q888="","",INDEX(상세표[블록 22~06시],$Q888))</f>
        <v/>
      </c>
      <c r="O888">
        <f>IF($Q888="","",INDEX(상세표[주말·휴일 포함],$Q888)&amp;"")</f>
        <v/>
      </c>
      <c r="P888">
        <f>IF($Q888="","",INDEX(상세표[월 넘김 포함],$Q888)&amp;"")</f>
        <v/>
      </c>
      <c r="Q888" s="4">
        <f>IFERROR(MATCH(883,상세표[연속순번],0),"")</f>
        <v/>
      </c>
    </row>
    <row r="889">
      <c r="A889">
        <f>IF($Q889="","",INDEX(상세표[부서],$Q889)&amp;"")</f>
        <v/>
      </c>
      <c r="B889">
        <f>IF($Q889="","",INDEX(상세표[사번],$Q889)&amp;"")</f>
        <v/>
      </c>
      <c r="C889">
        <f>IF($Q889="","",INDEX(상세표[성명],$Q889)&amp;"")</f>
        <v/>
      </c>
      <c r="D889">
        <f>IF($Q889="","",INDEX(상세표[직위],$Q889)&amp;"")</f>
        <v/>
      </c>
      <c r="E889">
        <f>IF($Q889="","",IF(ISNUMBER(INDEX(상세표[근무일자],$Q889)),TEXT(INDEX(상세표[근무일자],$Q889),"yyyy-mm-dd"),INDEX(상세표[근무일자],$Q889)&amp;""))</f>
        <v/>
      </c>
      <c r="F889">
        <f>IF($Q889="","",IF(ISNUMBER(INDEX(상세표[시작],$Q889)),TEXT(INDEX(상세표[시작],$Q889),"yyyy-mm-dd hh:mm"),INDEX(상세표[시작],$Q889)&amp;""))</f>
        <v/>
      </c>
      <c r="G889">
        <f>IF($Q889="","",IF(ISNUMBER(INDEX(상세표[블록종료],$Q889)),TEXT(INDEX(상세표[블록종료],$Q889),"yyyy-mm-dd hh:mm"),INDEX(상세표[블록종료],$Q889)&amp;""))</f>
        <v/>
      </c>
      <c r="H889">
        <f>IF($Q889="","",CHOOSE(WEEKDAY(INDEX(상세표[시작],$Q889)),"일","월","화","수","목","금","토"))</f>
        <v/>
      </c>
      <c r="I889" s="20">
        <f>IF($Q889="","",INDEX(상세표[연속 시간],$Q889))</f>
        <v/>
      </c>
      <c r="J889">
        <f>IF($Q889="","",INDEX(상세표[기록 수],$Q889))</f>
        <v/>
      </c>
      <c r="K889" s="20">
        <f>IF($Q889="","",INDEX(상세표[블록 06~07시],$Q889))</f>
        <v/>
      </c>
      <c r="L889" s="20">
        <f>IF($Q889="","",INDEX(상세표[블록 07~18시],$Q889))</f>
        <v/>
      </c>
      <c r="M889" s="20">
        <f>IF($Q889="","",INDEX(상세표[블록 18~22시],$Q889))</f>
        <v/>
      </c>
      <c r="N889" s="20">
        <f>IF($Q889="","",INDEX(상세표[블록 22~06시],$Q889))</f>
        <v/>
      </c>
      <c r="O889">
        <f>IF($Q889="","",INDEX(상세표[주말·휴일 포함],$Q889)&amp;"")</f>
        <v/>
      </c>
      <c r="P889">
        <f>IF($Q889="","",INDEX(상세표[월 넘김 포함],$Q889)&amp;"")</f>
        <v/>
      </c>
      <c r="Q889" s="4">
        <f>IFERROR(MATCH(884,상세표[연속순번],0),"")</f>
        <v/>
      </c>
    </row>
    <row r="890">
      <c r="A890">
        <f>IF($Q890="","",INDEX(상세표[부서],$Q890)&amp;"")</f>
        <v/>
      </c>
      <c r="B890">
        <f>IF($Q890="","",INDEX(상세표[사번],$Q890)&amp;"")</f>
        <v/>
      </c>
      <c r="C890">
        <f>IF($Q890="","",INDEX(상세표[성명],$Q890)&amp;"")</f>
        <v/>
      </c>
      <c r="D890">
        <f>IF($Q890="","",INDEX(상세표[직위],$Q890)&amp;"")</f>
        <v/>
      </c>
      <c r="E890">
        <f>IF($Q890="","",IF(ISNUMBER(INDEX(상세표[근무일자],$Q890)),TEXT(INDEX(상세표[근무일자],$Q890),"yyyy-mm-dd"),INDEX(상세표[근무일자],$Q890)&amp;""))</f>
        <v/>
      </c>
      <c r="F890">
        <f>IF($Q890="","",IF(ISNUMBER(INDEX(상세표[시작],$Q890)),TEXT(INDEX(상세표[시작],$Q890),"yyyy-mm-dd hh:mm"),INDEX(상세표[시작],$Q890)&amp;""))</f>
        <v/>
      </c>
      <c r="G890">
        <f>IF($Q890="","",IF(ISNUMBER(INDEX(상세표[블록종료],$Q890)),TEXT(INDEX(상세표[블록종료],$Q890),"yyyy-mm-dd hh:mm"),INDEX(상세표[블록종료],$Q890)&amp;""))</f>
        <v/>
      </c>
      <c r="H890">
        <f>IF($Q890="","",CHOOSE(WEEKDAY(INDEX(상세표[시작],$Q890)),"일","월","화","수","목","금","토"))</f>
        <v/>
      </c>
      <c r="I890" s="20">
        <f>IF($Q890="","",INDEX(상세표[연속 시간],$Q890))</f>
        <v/>
      </c>
      <c r="J890">
        <f>IF($Q890="","",INDEX(상세표[기록 수],$Q890))</f>
        <v/>
      </c>
      <c r="K890" s="20">
        <f>IF($Q890="","",INDEX(상세표[블록 06~07시],$Q890))</f>
        <v/>
      </c>
      <c r="L890" s="20">
        <f>IF($Q890="","",INDEX(상세표[블록 07~18시],$Q890))</f>
        <v/>
      </c>
      <c r="M890" s="20">
        <f>IF($Q890="","",INDEX(상세표[블록 18~22시],$Q890))</f>
        <v/>
      </c>
      <c r="N890" s="20">
        <f>IF($Q890="","",INDEX(상세표[블록 22~06시],$Q890))</f>
        <v/>
      </c>
      <c r="O890">
        <f>IF($Q890="","",INDEX(상세표[주말·휴일 포함],$Q890)&amp;"")</f>
        <v/>
      </c>
      <c r="P890">
        <f>IF($Q890="","",INDEX(상세표[월 넘김 포함],$Q890)&amp;"")</f>
        <v/>
      </c>
      <c r="Q890" s="4">
        <f>IFERROR(MATCH(885,상세표[연속순번],0),"")</f>
        <v/>
      </c>
    </row>
    <row r="891">
      <c r="A891">
        <f>IF($Q891="","",INDEX(상세표[부서],$Q891)&amp;"")</f>
        <v/>
      </c>
      <c r="B891">
        <f>IF($Q891="","",INDEX(상세표[사번],$Q891)&amp;"")</f>
        <v/>
      </c>
      <c r="C891">
        <f>IF($Q891="","",INDEX(상세표[성명],$Q891)&amp;"")</f>
        <v/>
      </c>
      <c r="D891">
        <f>IF($Q891="","",INDEX(상세표[직위],$Q891)&amp;"")</f>
        <v/>
      </c>
      <c r="E891">
        <f>IF($Q891="","",IF(ISNUMBER(INDEX(상세표[근무일자],$Q891)),TEXT(INDEX(상세표[근무일자],$Q891),"yyyy-mm-dd"),INDEX(상세표[근무일자],$Q891)&amp;""))</f>
        <v/>
      </c>
      <c r="F891">
        <f>IF($Q891="","",IF(ISNUMBER(INDEX(상세표[시작],$Q891)),TEXT(INDEX(상세표[시작],$Q891),"yyyy-mm-dd hh:mm"),INDEX(상세표[시작],$Q891)&amp;""))</f>
        <v/>
      </c>
      <c r="G891">
        <f>IF($Q891="","",IF(ISNUMBER(INDEX(상세표[블록종료],$Q891)),TEXT(INDEX(상세표[블록종료],$Q891),"yyyy-mm-dd hh:mm"),INDEX(상세표[블록종료],$Q891)&amp;""))</f>
        <v/>
      </c>
      <c r="H891">
        <f>IF($Q891="","",CHOOSE(WEEKDAY(INDEX(상세표[시작],$Q891)),"일","월","화","수","목","금","토"))</f>
        <v/>
      </c>
      <c r="I891" s="20">
        <f>IF($Q891="","",INDEX(상세표[연속 시간],$Q891))</f>
        <v/>
      </c>
      <c r="J891">
        <f>IF($Q891="","",INDEX(상세표[기록 수],$Q891))</f>
        <v/>
      </c>
      <c r="K891" s="20">
        <f>IF($Q891="","",INDEX(상세표[블록 06~07시],$Q891))</f>
        <v/>
      </c>
      <c r="L891" s="20">
        <f>IF($Q891="","",INDEX(상세표[블록 07~18시],$Q891))</f>
        <v/>
      </c>
      <c r="M891" s="20">
        <f>IF($Q891="","",INDEX(상세표[블록 18~22시],$Q891))</f>
        <v/>
      </c>
      <c r="N891" s="20">
        <f>IF($Q891="","",INDEX(상세표[블록 22~06시],$Q891))</f>
        <v/>
      </c>
      <c r="O891">
        <f>IF($Q891="","",INDEX(상세표[주말·휴일 포함],$Q891)&amp;"")</f>
        <v/>
      </c>
      <c r="P891">
        <f>IF($Q891="","",INDEX(상세표[월 넘김 포함],$Q891)&amp;"")</f>
        <v/>
      </c>
      <c r="Q891" s="4">
        <f>IFERROR(MATCH(886,상세표[연속순번],0),"")</f>
        <v/>
      </c>
    </row>
    <row r="892">
      <c r="A892">
        <f>IF($Q892="","",INDEX(상세표[부서],$Q892)&amp;"")</f>
        <v/>
      </c>
      <c r="B892">
        <f>IF($Q892="","",INDEX(상세표[사번],$Q892)&amp;"")</f>
        <v/>
      </c>
      <c r="C892">
        <f>IF($Q892="","",INDEX(상세표[성명],$Q892)&amp;"")</f>
        <v/>
      </c>
      <c r="D892">
        <f>IF($Q892="","",INDEX(상세표[직위],$Q892)&amp;"")</f>
        <v/>
      </c>
      <c r="E892">
        <f>IF($Q892="","",IF(ISNUMBER(INDEX(상세표[근무일자],$Q892)),TEXT(INDEX(상세표[근무일자],$Q892),"yyyy-mm-dd"),INDEX(상세표[근무일자],$Q892)&amp;""))</f>
        <v/>
      </c>
      <c r="F892">
        <f>IF($Q892="","",IF(ISNUMBER(INDEX(상세표[시작],$Q892)),TEXT(INDEX(상세표[시작],$Q892),"yyyy-mm-dd hh:mm"),INDEX(상세표[시작],$Q892)&amp;""))</f>
        <v/>
      </c>
      <c r="G892">
        <f>IF($Q892="","",IF(ISNUMBER(INDEX(상세표[블록종료],$Q892)),TEXT(INDEX(상세표[블록종료],$Q892),"yyyy-mm-dd hh:mm"),INDEX(상세표[블록종료],$Q892)&amp;""))</f>
        <v/>
      </c>
      <c r="H892">
        <f>IF($Q892="","",CHOOSE(WEEKDAY(INDEX(상세표[시작],$Q892)),"일","월","화","수","목","금","토"))</f>
        <v/>
      </c>
      <c r="I892" s="20">
        <f>IF($Q892="","",INDEX(상세표[연속 시간],$Q892))</f>
        <v/>
      </c>
      <c r="J892">
        <f>IF($Q892="","",INDEX(상세표[기록 수],$Q892))</f>
        <v/>
      </c>
      <c r="K892" s="20">
        <f>IF($Q892="","",INDEX(상세표[블록 06~07시],$Q892))</f>
        <v/>
      </c>
      <c r="L892" s="20">
        <f>IF($Q892="","",INDEX(상세표[블록 07~18시],$Q892))</f>
        <v/>
      </c>
      <c r="M892" s="20">
        <f>IF($Q892="","",INDEX(상세표[블록 18~22시],$Q892))</f>
        <v/>
      </c>
      <c r="N892" s="20">
        <f>IF($Q892="","",INDEX(상세표[블록 22~06시],$Q892))</f>
        <v/>
      </c>
      <c r="O892">
        <f>IF($Q892="","",INDEX(상세표[주말·휴일 포함],$Q892)&amp;"")</f>
        <v/>
      </c>
      <c r="P892">
        <f>IF($Q892="","",INDEX(상세표[월 넘김 포함],$Q892)&amp;"")</f>
        <v/>
      </c>
      <c r="Q892" s="4">
        <f>IFERROR(MATCH(887,상세표[연속순번],0),"")</f>
        <v/>
      </c>
    </row>
    <row r="893">
      <c r="A893">
        <f>IF($Q893="","",INDEX(상세표[부서],$Q893)&amp;"")</f>
        <v/>
      </c>
      <c r="B893">
        <f>IF($Q893="","",INDEX(상세표[사번],$Q893)&amp;"")</f>
        <v/>
      </c>
      <c r="C893">
        <f>IF($Q893="","",INDEX(상세표[성명],$Q893)&amp;"")</f>
        <v/>
      </c>
      <c r="D893">
        <f>IF($Q893="","",INDEX(상세표[직위],$Q893)&amp;"")</f>
        <v/>
      </c>
      <c r="E893">
        <f>IF($Q893="","",IF(ISNUMBER(INDEX(상세표[근무일자],$Q893)),TEXT(INDEX(상세표[근무일자],$Q893),"yyyy-mm-dd"),INDEX(상세표[근무일자],$Q893)&amp;""))</f>
        <v/>
      </c>
      <c r="F893">
        <f>IF($Q893="","",IF(ISNUMBER(INDEX(상세표[시작],$Q893)),TEXT(INDEX(상세표[시작],$Q893),"yyyy-mm-dd hh:mm"),INDEX(상세표[시작],$Q893)&amp;""))</f>
        <v/>
      </c>
      <c r="G893">
        <f>IF($Q893="","",IF(ISNUMBER(INDEX(상세표[블록종료],$Q893)),TEXT(INDEX(상세표[블록종료],$Q893),"yyyy-mm-dd hh:mm"),INDEX(상세표[블록종료],$Q893)&amp;""))</f>
        <v/>
      </c>
      <c r="H893">
        <f>IF($Q893="","",CHOOSE(WEEKDAY(INDEX(상세표[시작],$Q893)),"일","월","화","수","목","금","토"))</f>
        <v/>
      </c>
      <c r="I893" s="20">
        <f>IF($Q893="","",INDEX(상세표[연속 시간],$Q893))</f>
        <v/>
      </c>
      <c r="J893">
        <f>IF($Q893="","",INDEX(상세표[기록 수],$Q893))</f>
        <v/>
      </c>
      <c r="K893" s="20">
        <f>IF($Q893="","",INDEX(상세표[블록 06~07시],$Q893))</f>
        <v/>
      </c>
      <c r="L893" s="20">
        <f>IF($Q893="","",INDEX(상세표[블록 07~18시],$Q893))</f>
        <v/>
      </c>
      <c r="M893" s="20">
        <f>IF($Q893="","",INDEX(상세표[블록 18~22시],$Q893))</f>
        <v/>
      </c>
      <c r="N893" s="20">
        <f>IF($Q893="","",INDEX(상세표[블록 22~06시],$Q893))</f>
        <v/>
      </c>
      <c r="O893">
        <f>IF($Q893="","",INDEX(상세표[주말·휴일 포함],$Q893)&amp;"")</f>
        <v/>
      </c>
      <c r="P893">
        <f>IF($Q893="","",INDEX(상세표[월 넘김 포함],$Q893)&amp;"")</f>
        <v/>
      </c>
      <c r="Q893" s="4">
        <f>IFERROR(MATCH(888,상세표[연속순번],0),"")</f>
        <v/>
      </c>
    </row>
    <row r="894">
      <c r="A894">
        <f>IF($Q894="","",INDEX(상세표[부서],$Q894)&amp;"")</f>
        <v/>
      </c>
      <c r="B894">
        <f>IF($Q894="","",INDEX(상세표[사번],$Q894)&amp;"")</f>
        <v/>
      </c>
      <c r="C894">
        <f>IF($Q894="","",INDEX(상세표[성명],$Q894)&amp;"")</f>
        <v/>
      </c>
      <c r="D894">
        <f>IF($Q894="","",INDEX(상세표[직위],$Q894)&amp;"")</f>
        <v/>
      </c>
      <c r="E894">
        <f>IF($Q894="","",IF(ISNUMBER(INDEX(상세표[근무일자],$Q894)),TEXT(INDEX(상세표[근무일자],$Q894),"yyyy-mm-dd"),INDEX(상세표[근무일자],$Q894)&amp;""))</f>
        <v/>
      </c>
      <c r="F894">
        <f>IF($Q894="","",IF(ISNUMBER(INDEX(상세표[시작],$Q894)),TEXT(INDEX(상세표[시작],$Q894),"yyyy-mm-dd hh:mm"),INDEX(상세표[시작],$Q894)&amp;""))</f>
        <v/>
      </c>
      <c r="G894">
        <f>IF($Q894="","",IF(ISNUMBER(INDEX(상세표[블록종료],$Q894)),TEXT(INDEX(상세표[블록종료],$Q894),"yyyy-mm-dd hh:mm"),INDEX(상세표[블록종료],$Q894)&amp;""))</f>
        <v/>
      </c>
      <c r="H894">
        <f>IF($Q894="","",CHOOSE(WEEKDAY(INDEX(상세표[시작],$Q894)),"일","월","화","수","목","금","토"))</f>
        <v/>
      </c>
      <c r="I894" s="20">
        <f>IF($Q894="","",INDEX(상세표[연속 시간],$Q894))</f>
        <v/>
      </c>
      <c r="J894">
        <f>IF($Q894="","",INDEX(상세표[기록 수],$Q894))</f>
        <v/>
      </c>
      <c r="K894" s="20">
        <f>IF($Q894="","",INDEX(상세표[블록 06~07시],$Q894))</f>
        <v/>
      </c>
      <c r="L894" s="20">
        <f>IF($Q894="","",INDEX(상세표[블록 07~18시],$Q894))</f>
        <v/>
      </c>
      <c r="M894" s="20">
        <f>IF($Q894="","",INDEX(상세표[블록 18~22시],$Q894))</f>
        <v/>
      </c>
      <c r="N894" s="20">
        <f>IF($Q894="","",INDEX(상세표[블록 22~06시],$Q894))</f>
        <v/>
      </c>
      <c r="O894">
        <f>IF($Q894="","",INDEX(상세표[주말·휴일 포함],$Q894)&amp;"")</f>
        <v/>
      </c>
      <c r="P894">
        <f>IF($Q894="","",INDEX(상세표[월 넘김 포함],$Q894)&amp;"")</f>
        <v/>
      </c>
      <c r="Q894" s="4">
        <f>IFERROR(MATCH(889,상세표[연속순번],0),"")</f>
        <v/>
      </c>
    </row>
    <row r="895">
      <c r="A895">
        <f>IF($Q895="","",INDEX(상세표[부서],$Q895)&amp;"")</f>
        <v/>
      </c>
      <c r="B895">
        <f>IF($Q895="","",INDEX(상세표[사번],$Q895)&amp;"")</f>
        <v/>
      </c>
      <c r="C895">
        <f>IF($Q895="","",INDEX(상세표[성명],$Q895)&amp;"")</f>
        <v/>
      </c>
      <c r="D895">
        <f>IF($Q895="","",INDEX(상세표[직위],$Q895)&amp;"")</f>
        <v/>
      </c>
      <c r="E895">
        <f>IF($Q895="","",IF(ISNUMBER(INDEX(상세표[근무일자],$Q895)),TEXT(INDEX(상세표[근무일자],$Q895),"yyyy-mm-dd"),INDEX(상세표[근무일자],$Q895)&amp;""))</f>
        <v/>
      </c>
      <c r="F895">
        <f>IF($Q895="","",IF(ISNUMBER(INDEX(상세표[시작],$Q895)),TEXT(INDEX(상세표[시작],$Q895),"yyyy-mm-dd hh:mm"),INDEX(상세표[시작],$Q895)&amp;""))</f>
        <v/>
      </c>
      <c r="G895">
        <f>IF($Q895="","",IF(ISNUMBER(INDEX(상세표[블록종료],$Q895)),TEXT(INDEX(상세표[블록종료],$Q895),"yyyy-mm-dd hh:mm"),INDEX(상세표[블록종료],$Q895)&amp;""))</f>
        <v/>
      </c>
      <c r="H895">
        <f>IF($Q895="","",CHOOSE(WEEKDAY(INDEX(상세표[시작],$Q895)),"일","월","화","수","목","금","토"))</f>
        <v/>
      </c>
      <c r="I895" s="20">
        <f>IF($Q895="","",INDEX(상세표[연속 시간],$Q895))</f>
        <v/>
      </c>
      <c r="J895">
        <f>IF($Q895="","",INDEX(상세표[기록 수],$Q895))</f>
        <v/>
      </c>
      <c r="K895" s="20">
        <f>IF($Q895="","",INDEX(상세표[블록 06~07시],$Q895))</f>
        <v/>
      </c>
      <c r="L895" s="20">
        <f>IF($Q895="","",INDEX(상세표[블록 07~18시],$Q895))</f>
        <v/>
      </c>
      <c r="M895" s="20">
        <f>IF($Q895="","",INDEX(상세표[블록 18~22시],$Q895))</f>
        <v/>
      </c>
      <c r="N895" s="20">
        <f>IF($Q895="","",INDEX(상세표[블록 22~06시],$Q895))</f>
        <v/>
      </c>
      <c r="O895">
        <f>IF($Q895="","",INDEX(상세표[주말·휴일 포함],$Q895)&amp;"")</f>
        <v/>
      </c>
      <c r="P895">
        <f>IF($Q895="","",INDEX(상세표[월 넘김 포함],$Q895)&amp;"")</f>
        <v/>
      </c>
      <c r="Q895" s="4">
        <f>IFERROR(MATCH(890,상세표[연속순번],0),"")</f>
        <v/>
      </c>
    </row>
    <row r="896">
      <c r="A896">
        <f>IF($Q896="","",INDEX(상세표[부서],$Q896)&amp;"")</f>
        <v/>
      </c>
      <c r="B896">
        <f>IF($Q896="","",INDEX(상세표[사번],$Q896)&amp;"")</f>
        <v/>
      </c>
      <c r="C896">
        <f>IF($Q896="","",INDEX(상세표[성명],$Q896)&amp;"")</f>
        <v/>
      </c>
      <c r="D896">
        <f>IF($Q896="","",INDEX(상세표[직위],$Q896)&amp;"")</f>
        <v/>
      </c>
      <c r="E896">
        <f>IF($Q896="","",IF(ISNUMBER(INDEX(상세표[근무일자],$Q896)),TEXT(INDEX(상세표[근무일자],$Q896),"yyyy-mm-dd"),INDEX(상세표[근무일자],$Q896)&amp;""))</f>
        <v/>
      </c>
      <c r="F896">
        <f>IF($Q896="","",IF(ISNUMBER(INDEX(상세표[시작],$Q896)),TEXT(INDEX(상세표[시작],$Q896),"yyyy-mm-dd hh:mm"),INDEX(상세표[시작],$Q896)&amp;""))</f>
        <v/>
      </c>
      <c r="G896">
        <f>IF($Q896="","",IF(ISNUMBER(INDEX(상세표[블록종료],$Q896)),TEXT(INDEX(상세표[블록종료],$Q896),"yyyy-mm-dd hh:mm"),INDEX(상세표[블록종료],$Q896)&amp;""))</f>
        <v/>
      </c>
      <c r="H896">
        <f>IF($Q896="","",CHOOSE(WEEKDAY(INDEX(상세표[시작],$Q896)),"일","월","화","수","목","금","토"))</f>
        <v/>
      </c>
      <c r="I896" s="20">
        <f>IF($Q896="","",INDEX(상세표[연속 시간],$Q896))</f>
        <v/>
      </c>
      <c r="J896">
        <f>IF($Q896="","",INDEX(상세표[기록 수],$Q896))</f>
        <v/>
      </c>
      <c r="K896" s="20">
        <f>IF($Q896="","",INDEX(상세표[블록 06~07시],$Q896))</f>
        <v/>
      </c>
      <c r="L896" s="20">
        <f>IF($Q896="","",INDEX(상세표[블록 07~18시],$Q896))</f>
        <v/>
      </c>
      <c r="M896" s="20">
        <f>IF($Q896="","",INDEX(상세표[블록 18~22시],$Q896))</f>
        <v/>
      </c>
      <c r="N896" s="20">
        <f>IF($Q896="","",INDEX(상세표[블록 22~06시],$Q896))</f>
        <v/>
      </c>
      <c r="O896">
        <f>IF($Q896="","",INDEX(상세표[주말·휴일 포함],$Q896)&amp;"")</f>
        <v/>
      </c>
      <c r="P896">
        <f>IF($Q896="","",INDEX(상세표[월 넘김 포함],$Q896)&amp;"")</f>
        <v/>
      </c>
      <c r="Q896" s="4">
        <f>IFERROR(MATCH(891,상세표[연속순번],0),"")</f>
        <v/>
      </c>
    </row>
    <row r="897">
      <c r="A897">
        <f>IF($Q897="","",INDEX(상세표[부서],$Q897)&amp;"")</f>
        <v/>
      </c>
      <c r="B897">
        <f>IF($Q897="","",INDEX(상세표[사번],$Q897)&amp;"")</f>
        <v/>
      </c>
      <c r="C897">
        <f>IF($Q897="","",INDEX(상세표[성명],$Q897)&amp;"")</f>
        <v/>
      </c>
      <c r="D897">
        <f>IF($Q897="","",INDEX(상세표[직위],$Q897)&amp;"")</f>
        <v/>
      </c>
      <c r="E897">
        <f>IF($Q897="","",IF(ISNUMBER(INDEX(상세표[근무일자],$Q897)),TEXT(INDEX(상세표[근무일자],$Q897),"yyyy-mm-dd"),INDEX(상세표[근무일자],$Q897)&amp;""))</f>
        <v/>
      </c>
      <c r="F897">
        <f>IF($Q897="","",IF(ISNUMBER(INDEX(상세표[시작],$Q897)),TEXT(INDEX(상세표[시작],$Q897),"yyyy-mm-dd hh:mm"),INDEX(상세표[시작],$Q897)&amp;""))</f>
        <v/>
      </c>
      <c r="G897">
        <f>IF($Q897="","",IF(ISNUMBER(INDEX(상세표[블록종료],$Q897)),TEXT(INDEX(상세표[블록종료],$Q897),"yyyy-mm-dd hh:mm"),INDEX(상세표[블록종료],$Q897)&amp;""))</f>
        <v/>
      </c>
      <c r="H897">
        <f>IF($Q897="","",CHOOSE(WEEKDAY(INDEX(상세표[시작],$Q897)),"일","월","화","수","목","금","토"))</f>
        <v/>
      </c>
      <c r="I897" s="20">
        <f>IF($Q897="","",INDEX(상세표[연속 시간],$Q897))</f>
        <v/>
      </c>
      <c r="J897">
        <f>IF($Q897="","",INDEX(상세표[기록 수],$Q897))</f>
        <v/>
      </c>
      <c r="K897" s="20">
        <f>IF($Q897="","",INDEX(상세표[블록 06~07시],$Q897))</f>
        <v/>
      </c>
      <c r="L897" s="20">
        <f>IF($Q897="","",INDEX(상세표[블록 07~18시],$Q897))</f>
        <v/>
      </c>
      <c r="M897" s="20">
        <f>IF($Q897="","",INDEX(상세표[블록 18~22시],$Q897))</f>
        <v/>
      </c>
      <c r="N897" s="20">
        <f>IF($Q897="","",INDEX(상세표[블록 22~06시],$Q897))</f>
        <v/>
      </c>
      <c r="O897">
        <f>IF($Q897="","",INDEX(상세표[주말·휴일 포함],$Q897)&amp;"")</f>
        <v/>
      </c>
      <c r="P897">
        <f>IF($Q897="","",INDEX(상세표[월 넘김 포함],$Q897)&amp;"")</f>
        <v/>
      </c>
      <c r="Q897" s="4">
        <f>IFERROR(MATCH(892,상세표[연속순번],0),"")</f>
        <v/>
      </c>
    </row>
    <row r="898">
      <c r="A898">
        <f>IF($Q898="","",INDEX(상세표[부서],$Q898)&amp;"")</f>
        <v/>
      </c>
      <c r="B898">
        <f>IF($Q898="","",INDEX(상세표[사번],$Q898)&amp;"")</f>
        <v/>
      </c>
      <c r="C898">
        <f>IF($Q898="","",INDEX(상세표[성명],$Q898)&amp;"")</f>
        <v/>
      </c>
      <c r="D898">
        <f>IF($Q898="","",INDEX(상세표[직위],$Q898)&amp;"")</f>
        <v/>
      </c>
      <c r="E898">
        <f>IF($Q898="","",IF(ISNUMBER(INDEX(상세표[근무일자],$Q898)),TEXT(INDEX(상세표[근무일자],$Q898),"yyyy-mm-dd"),INDEX(상세표[근무일자],$Q898)&amp;""))</f>
        <v/>
      </c>
      <c r="F898">
        <f>IF($Q898="","",IF(ISNUMBER(INDEX(상세표[시작],$Q898)),TEXT(INDEX(상세표[시작],$Q898),"yyyy-mm-dd hh:mm"),INDEX(상세표[시작],$Q898)&amp;""))</f>
        <v/>
      </c>
      <c r="G898">
        <f>IF($Q898="","",IF(ISNUMBER(INDEX(상세표[블록종료],$Q898)),TEXT(INDEX(상세표[블록종료],$Q898),"yyyy-mm-dd hh:mm"),INDEX(상세표[블록종료],$Q898)&amp;""))</f>
        <v/>
      </c>
      <c r="H898">
        <f>IF($Q898="","",CHOOSE(WEEKDAY(INDEX(상세표[시작],$Q898)),"일","월","화","수","목","금","토"))</f>
        <v/>
      </c>
      <c r="I898" s="20">
        <f>IF($Q898="","",INDEX(상세표[연속 시간],$Q898))</f>
        <v/>
      </c>
      <c r="J898">
        <f>IF($Q898="","",INDEX(상세표[기록 수],$Q898))</f>
        <v/>
      </c>
      <c r="K898" s="20">
        <f>IF($Q898="","",INDEX(상세표[블록 06~07시],$Q898))</f>
        <v/>
      </c>
      <c r="L898" s="20">
        <f>IF($Q898="","",INDEX(상세표[블록 07~18시],$Q898))</f>
        <v/>
      </c>
      <c r="M898" s="20">
        <f>IF($Q898="","",INDEX(상세표[블록 18~22시],$Q898))</f>
        <v/>
      </c>
      <c r="N898" s="20">
        <f>IF($Q898="","",INDEX(상세표[블록 22~06시],$Q898))</f>
        <v/>
      </c>
      <c r="O898">
        <f>IF($Q898="","",INDEX(상세표[주말·휴일 포함],$Q898)&amp;"")</f>
        <v/>
      </c>
      <c r="P898">
        <f>IF($Q898="","",INDEX(상세표[월 넘김 포함],$Q898)&amp;"")</f>
        <v/>
      </c>
      <c r="Q898" s="4">
        <f>IFERROR(MATCH(893,상세표[연속순번],0),"")</f>
        <v/>
      </c>
    </row>
    <row r="899">
      <c r="A899">
        <f>IF($Q899="","",INDEX(상세표[부서],$Q899)&amp;"")</f>
        <v/>
      </c>
      <c r="B899">
        <f>IF($Q899="","",INDEX(상세표[사번],$Q899)&amp;"")</f>
        <v/>
      </c>
      <c r="C899">
        <f>IF($Q899="","",INDEX(상세표[성명],$Q899)&amp;"")</f>
        <v/>
      </c>
      <c r="D899">
        <f>IF($Q899="","",INDEX(상세표[직위],$Q899)&amp;"")</f>
        <v/>
      </c>
      <c r="E899">
        <f>IF($Q899="","",IF(ISNUMBER(INDEX(상세표[근무일자],$Q899)),TEXT(INDEX(상세표[근무일자],$Q899),"yyyy-mm-dd"),INDEX(상세표[근무일자],$Q899)&amp;""))</f>
        <v/>
      </c>
      <c r="F899">
        <f>IF($Q899="","",IF(ISNUMBER(INDEX(상세표[시작],$Q899)),TEXT(INDEX(상세표[시작],$Q899),"yyyy-mm-dd hh:mm"),INDEX(상세표[시작],$Q899)&amp;""))</f>
        <v/>
      </c>
      <c r="G899">
        <f>IF($Q899="","",IF(ISNUMBER(INDEX(상세표[블록종료],$Q899)),TEXT(INDEX(상세표[블록종료],$Q899),"yyyy-mm-dd hh:mm"),INDEX(상세표[블록종료],$Q899)&amp;""))</f>
        <v/>
      </c>
      <c r="H899">
        <f>IF($Q899="","",CHOOSE(WEEKDAY(INDEX(상세표[시작],$Q899)),"일","월","화","수","목","금","토"))</f>
        <v/>
      </c>
      <c r="I899" s="20">
        <f>IF($Q899="","",INDEX(상세표[연속 시간],$Q899))</f>
        <v/>
      </c>
      <c r="J899">
        <f>IF($Q899="","",INDEX(상세표[기록 수],$Q899))</f>
        <v/>
      </c>
      <c r="K899" s="20">
        <f>IF($Q899="","",INDEX(상세표[블록 06~07시],$Q899))</f>
        <v/>
      </c>
      <c r="L899" s="20">
        <f>IF($Q899="","",INDEX(상세표[블록 07~18시],$Q899))</f>
        <v/>
      </c>
      <c r="M899" s="20">
        <f>IF($Q899="","",INDEX(상세표[블록 18~22시],$Q899))</f>
        <v/>
      </c>
      <c r="N899" s="20">
        <f>IF($Q899="","",INDEX(상세표[블록 22~06시],$Q899))</f>
        <v/>
      </c>
      <c r="O899">
        <f>IF($Q899="","",INDEX(상세표[주말·휴일 포함],$Q899)&amp;"")</f>
        <v/>
      </c>
      <c r="P899">
        <f>IF($Q899="","",INDEX(상세표[월 넘김 포함],$Q899)&amp;"")</f>
        <v/>
      </c>
      <c r="Q899" s="4">
        <f>IFERROR(MATCH(894,상세표[연속순번],0),"")</f>
        <v/>
      </c>
    </row>
    <row r="900">
      <c r="A900">
        <f>IF($Q900="","",INDEX(상세표[부서],$Q900)&amp;"")</f>
        <v/>
      </c>
      <c r="B900">
        <f>IF($Q900="","",INDEX(상세표[사번],$Q900)&amp;"")</f>
        <v/>
      </c>
      <c r="C900">
        <f>IF($Q900="","",INDEX(상세표[성명],$Q900)&amp;"")</f>
        <v/>
      </c>
      <c r="D900">
        <f>IF($Q900="","",INDEX(상세표[직위],$Q900)&amp;"")</f>
        <v/>
      </c>
      <c r="E900">
        <f>IF($Q900="","",IF(ISNUMBER(INDEX(상세표[근무일자],$Q900)),TEXT(INDEX(상세표[근무일자],$Q900),"yyyy-mm-dd"),INDEX(상세표[근무일자],$Q900)&amp;""))</f>
        <v/>
      </c>
      <c r="F900">
        <f>IF($Q900="","",IF(ISNUMBER(INDEX(상세표[시작],$Q900)),TEXT(INDEX(상세표[시작],$Q900),"yyyy-mm-dd hh:mm"),INDEX(상세표[시작],$Q900)&amp;""))</f>
        <v/>
      </c>
      <c r="G900">
        <f>IF($Q900="","",IF(ISNUMBER(INDEX(상세표[블록종료],$Q900)),TEXT(INDEX(상세표[블록종료],$Q900),"yyyy-mm-dd hh:mm"),INDEX(상세표[블록종료],$Q900)&amp;""))</f>
        <v/>
      </c>
      <c r="H900">
        <f>IF($Q900="","",CHOOSE(WEEKDAY(INDEX(상세표[시작],$Q900)),"일","월","화","수","목","금","토"))</f>
        <v/>
      </c>
      <c r="I900" s="20">
        <f>IF($Q900="","",INDEX(상세표[연속 시간],$Q900))</f>
        <v/>
      </c>
      <c r="J900">
        <f>IF($Q900="","",INDEX(상세표[기록 수],$Q900))</f>
        <v/>
      </c>
      <c r="K900" s="20">
        <f>IF($Q900="","",INDEX(상세표[블록 06~07시],$Q900))</f>
        <v/>
      </c>
      <c r="L900" s="20">
        <f>IF($Q900="","",INDEX(상세표[블록 07~18시],$Q900))</f>
        <v/>
      </c>
      <c r="M900" s="20">
        <f>IF($Q900="","",INDEX(상세표[블록 18~22시],$Q900))</f>
        <v/>
      </c>
      <c r="N900" s="20">
        <f>IF($Q900="","",INDEX(상세표[블록 22~06시],$Q900))</f>
        <v/>
      </c>
      <c r="O900">
        <f>IF($Q900="","",INDEX(상세표[주말·휴일 포함],$Q900)&amp;"")</f>
        <v/>
      </c>
      <c r="P900">
        <f>IF($Q900="","",INDEX(상세표[월 넘김 포함],$Q900)&amp;"")</f>
        <v/>
      </c>
      <c r="Q900" s="4">
        <f>IFERROR(MATCH(895,상세표[연속순번],0),"")</f>
        <v/>
      </c>
    </row>
    <row r="901">
      <c r="A901">
        <f>IF($Q901="","",INDEX(상세표[부서],$Q901)&amp;"")</f>
        <v/>
      </c>
      <c r="B901">
        <f>IF($Q901="","",INDEX(상세표[사번],$Q901)&amp;"")</f>
        <v/>
      </c>
      <c r="C901">
        <f>IF($Q901="","",INDEX(상세표[성명],$Q901)&amp;"")</f>
        <v/>
      </c>
      <c r="D901">
        <f>IF($Q901="","",INDEX(상세표[직위],$Q901)&amp;"")</f>
        <v/>
      </c>
      <c r="E901">
        <f>IF($Q901="","",IF(ISNUMBER(INDEX(상세표[근무일자],$Q901)),TEXT(INDEX(상세표[근무일자],$Q901),"yyyy-mm-dd"),INDEX(상세표[근무일자],$Q901)&amp;""))</f>
        <v/>
      </c>
      <c r="F901">
        <f>IF($Q901="","",IF(ISNUMBER(INDEX(상세표[시작],$Q901)),TEXT(INDEX(상세표[시작],$Q901),"yyyy-mm-dd hh:mm"),INDEX(상세표[시작],$Q901)&amp;""))</f>
        <v/>
      </c>
      <c r="G901">
        <f>IF($Q901="","",IF(ISNUMBER(INDEX(상세표[블록종료],$Q901)),TEXT(INDEX(상세표[블록종료],$Q901),"yyyy-mm-dd hh:mm"),INDEX(상세표[블록종료],$Q901)&amp;""))</f>
        <v/>
      </c>
      <c r="H901">
        <f>IF($Q901="","",CHOOSE(WEEKDAY(INDEX(상세표[시작],$Q901)),"일","월","화","수","목","금","토"))</f>
        <v/>
      </c>
      <c r="I901" s="20">
        <f>IF($Q901="","",INDEX(상세표[연속 시간],$Q901))</f>
        <v/>
      </c>
      <c r="J901">
        <f>IF($Q901="","",INDEX(상세표[기록 수],$Q901))</f>
        <v/>
      </c>
      <c r="K901" s="20">
        <f>IF($Q901="","",INDEX(상세표[블록 06~07시],$Q901))</f>
        <v/>
      </c>
      <c r="L901" s="20">
        <f>IF($Q901="","",INDEX(상세표[블록 07~18시],$Q901))</f>
        <v/>
      </c>
      <c r="M901" s="20">
        <f>IF($Q901="","",INDEX(상세표[블록 18~22시],$Q901))</f>
        <v/>
      </c>
      <c r="N901" s="20">
        <f>IF($Q901="","",INDEX(상세표[블록 22~06시],$Q901))</f>
        <v/>
      </c>
      <c r="O901">
        <f>IF($Q901="","",INDEX(상세표[주말·휴일 포함],$Q901)&amp;"")</f>
        <v/>
      </c>
      <c r="P901">
        <f>IF($Q901="","",INDEX(상세표[월 넘김 포함],$Q901)&amp;"")</f>
        <v/>
      </c>
      <c r="Q901" s="4">
        <f>IFERROR(MATCH(896,상세표[연속순번],0),"")</f>
        <v/>
      </c>
    </row>
    <row r="902">
      <c r="A902">
        <f>IF($Q902="","",INDEX(상세표[부서],$Q902)&amp;"")</f>
        <v/>
      </c>
      <c r="B902">
        <f>IF($Q902="","",INDEX(상세표[사번],$Q902)&amp;"")</f>
        <v/>
      </c>
      <c r="C902">
        <f>IF($Q902="","",INDEX(상세표[성명],$Q902)&amp;"")</f>
        <v/>
      </c>
      <c r="D902">
        <f>IF($Q902="","",INDEX(상세표[직위],$Q902)&amp;"")</f>
        <v/>
      </c>
      <c r="E902">
        <f>IF($Q902="","",IF(ISNUMBER(INDEX(상세표[근무일자],$Q902)),TEXT(INDEX(상세표[근무일자],$Q902),"yyyy-mm-dd"),INDEX(상세표[근무일자],$Q902)&amp;""))</f>
        <v/>
      </c>
      <c r="F902">
        <f>IF($Q902="","",IF(ISNUMBER(INDEX(상세표[시작],$Q902)),TEXT(INDEX(상세표[시작],$Q902),"yyyy-mm-dd hh:mm"),INDEX(상세표[시작],$Q902)&amp;""))</f>
        <v/>
      </c>
      <c r="G902">
        <f>IF($Q902="","",IF(ISNUMBER(INDEX(상세표[블록종료],$Q902)),TEXT(INDEX(상세표[블록종료],$Q902),"yyyy-mm-dd hh:mm"),INDEX(상세표[블록종료],$Q902)&amp;""))</f>
        <v/>
      </c>
      <c r="H902">
        <f>IF($Q902="","",CHOOSE(WEEKDAY(INDEX(상세표[시작],$Q902)),"일","월","화","수","목","금","토"))</f>
        <v/>
      </c>
      <c r="I902" s="20">
        <f>IF($Q902="","",INDEX(상세표[연속 시간],$Q902))</f>
        <v/>
      </c>
      <c r="J902">
        <f>IF($Q902="","",INDEX(상세표[기록 수],$Q902))</f>
        <v/>
      </c>
      <c r="K902" s="20">
        <f>IF($Q902="","",INDEX(상세표[블록 06~07시],$Q902))</f>
        <v/>
      </c>
      <c r="L902" s="20">
        <f>IF($Q902="","",INDEX(상세표[블록 07~18시],$Q902))</f>
        <v/>
      </c>
      <c r="M902" s="20">
        <f>IF($Q902="","",INDEX(상세표[블록 18~22시],$Q902))</f>
        <v/>
      </c>
      <c r="N902" s="20">
        <f>IF($Q902="","",INDEX(상세표[블록 22~06시],$Q902))</f>
        <v/>
      </c>
      <c r="O902">
        <f>IF($Q902="","",INDEX(상세표[주말·휴일 포함],$Q902)&amp;"")</f>
        <v/>
      </c>
      <c r="P902">
        <f>IF($Q902="","",INDEX(상세표[월 넘김 포함],$Q902)&amp;"")</f>
        <v/>
      </c>
      <c r="Q902" s="4">
        <f>IFERROR(MATCH(897,상세표[연속순번],0),"")</f>
        <v/>
      </c>
    </row>
    <row r="903">
      <c r="A903">
        <f>IF($Q903="","",INDEX(상세표[부서],$Q903)&amp;"")</f>
        <v/>
      </c>
      <c r="B903">
        <f>IF($Q903="","",INDEX(상세표[사번],$Q903)&amp;"")</f>
        <v/>
      </c>
      <c r="C903">
        <f>IF($Q903="","",INDEX(상세표[성명],$Q903)&amp;"")</f>
        <v/>
      </c>
      <c r="D903">
        <f>IF($Q903="","",INDEX(상세표[직위],$Q903)&amp;"")</f>
        <v/>
      </c>
      <c r="E903">
        <f>IF($Q903="","",IF(ISNUMBER(INDEX(상세표[근무일자],$Q903)),TEXT(INDEX(상세표[근무일자],$Q903),"yyyy-mm-dd"),INDEX(상세표[근무일자],$Q903)&amp;""))</f>
        <v/>
      </c>
      <c r="F903">
        <f>IF($Q903="","",IF(ISNUMBER(INDEX(상세표[시작],$Q903)),TEXT(INDEX(상세표[시작],$Q903),"yyyy-mm-dd hh:mm"),INDEX(상세표[시작],$Q903)&amp;""))</f>
        <v/>
      </c>
      <c r="G903">
        <f>IF($Q903="","",IF(ISNUMBER(INDEX(상세표[블록종료],$Q903)),TEXT(INDEX(상세표[블록종료],$Q903),"yyyy-mm-dd hh:mm"),INDEX(상세표[블록종료],$Q903)&amp;""))</f>
        <v/>
      </c>
      <c r="H903">
        <f>IF($Q903="","",CHOOSE(WEEKDAY(INDEX(상세표[시작],$Q903)),"일","월","화","수","목","금","토"))</f>
        <v/>
      </c>
      <c r="I903" s="20">
        <f>IF($Q903="","",INDEX(상세표[연속 시간],$Q903))</f>
        <v/>
      </c>
      <c r="J903">
        <f>IF($Q903="","",INDEX(상세표[기록 수],$Q903))</f>
        <v/>
      </c>
      <c r="K903" s="20">
        <f>IF($Q903="","",INDEX(상세표[블록 06~07시],$Q903))</f>
        <v/>
      </c>
      <c r="L903" s="20">
        <f>IF($Q903="","",INDEX(상세표[블록 07~18시],$Q903))</f>
        <v/>
      </c>
      <c r="M903" s="20">
        <f>IF($Q903="","",INDEX(상세표[블록 18~22시],$Q903))</f>
        <v/>
      </c>
      <c r="N903" s="20">
        <f>IF($Q903="","",INDEX(상세표[블록 22~06시],$Q903))</f>
        <v/>
      </c>
      <c r="O903">
        <f>IF($Q903="","",INDEX(상세표[주말·휴일 포함],$Q903)&amp;"")</f>
        <v/>
      </c>
      <c r="P903">
        <f>IF($Q903="","",INDEX(상세표[월 넘김 포함],$Q903)&amp;"")</f>
        <v/>
      </c>
      <c r="Q903" s="4">
        <f>IFERROR(MATCH(898,상세표[연속순번],0),"")</f>
        <v/>
      </c>
    </row>
    <row r="904">
      <c r="A904">
        <f>IF($Q904="","",INDEX(상세표[부서],$Q904)&amp;"")</f>
        <v/>
      </c>
      <c r="B904">
        <f>IF($Q904="","",INDEX(상세표[사번],$Q904)&amp;"")</f>
        <v/>
      </c>
      <c r="C904">
        <f>IF($Q904="","",INDEX(상세표[성명],$Q904)&amp;"")</f>
        <v/>
      </c>
      <c r="D904">
        <f>IF($Q904="","",INDEX(상세표[직위],$Q904)&amp;"")</f>
        <v/>
      </c>
      <c r="E904">
        <f>IF($Q904="","",IF(ISNUMBER(INDEX(상세표[근무일자],$Q904)),TEXT(INDEX(상세표[근무일자],$Q904),"yyyy-mm-dd"),INDEX(상세표[근무일자],$Q904)&amp;""))</f>
        <v/>
      </c>
      <c r="F904">
        <f>IF($Q904="","",IF(ISNUMBER(INDEX(상세표[시작],$Q904)),TEXT(INDEX(상세표[시작],$Q904),"yyyy-mm-dd hh:mm"),INDEX(상세표[시작],$Q904)&amp;""))</f>
        <v/>
      </c>
      <c r="G904">
        <f>IF($Q904="","",IF(ISNUMBER(INDEX(상세표[블록종료],$Q904)),TEXT(INDEX(상세표[블록종료],$Q904),"yyyy-mm-dd hh:mm"),INDEX(상세표[블록종료],$Q904)&amp;""))</f>
        <v/>
      </c>
      <c r="H904">
        <f>IF($Q904="","",CHOOSE(WEEKDAY(INDEX(상세표[시작],$Q904)),"일","월","화","수","목","금","토"))</f>
        <v/>
      </c>
      <c r="I904" s="20">
        <f>IF($Q904="","",INDEX(상세표[연속 시간],$Q904))</f>
        <v/>
      </c>
      <c r="J904">
        <f>IF($Q904="","",INDEX(상세표[기록 수],$Q904))</f>
        <v/>
      </c>
      <c r="K904" s="20">
        <f>IF($Q904="","",INDEX(상세표[블록 06~07시],$Q904))</f>
        <v/>
      </c>
      <c r="L904" s="20">
        <f>IF($Q904="","",INDEX(상세표[블록 07~18시],$Q904))</f>
        <v/>
      </c>
      <c r="M904" s="20">
        <f>IF($Q904="","",INDEX(상세표[블록 18~22시],$Q904))</f>
        <v/>
      </c>
      <c r="N904" s="20">
        <f>IF($Q904="","",INDEX(상세표[블록 22~06시],$Q904))</f>
        <v/>
      </c>
      <c r="O904">
        <f>IF($Q904="","",INDEX(상세표[주말·휴일 포함],$Q904)&amp;"")</f>
        <v/>
      </c>
      <c r="P904">
        <f>IF($Q904="","",INDEX(상세표[월 넘김 포함],$Q904)&amp;"")</f>
        <v/>
      </c>
      <c r="Q904" s="4">
        <f>IFERROR(MATCH(899,상세표[연속순번],0),"")</f>
        <v/>
      </c>
    </row>
    <row r="905">
      <c r="A905">
        <f>IF($Q905="","",INDEX(상세표[부서],$Q905)&amp;"")</f>
        <v/>
      </c>
      <c r="B905">
        <f>IF($Q905="","",INDEX(상세표[사번],$Q905)&amp;"")</f>
        <v/>
      </c>
      <c r="C905">
        <f>IF($Q905="","",INDEX(상세표[성명],$Q905)&amp;"")</f>
        <v/>
      </c>
      <c r="D905">
        <f>IF($Q905="","",INDEX(상세표[직위],$Q905)&amp;"")</f>
        <v/>
      </c>
      <c r="E905">
        <f>IF($Q905="","",IF(ISNUMBER(INDEX(상세표[근무일자],$Q905)),TEXT(INDEX(상세표[근무일자],$Q905),"yyyy-mm-dd"),INDEX(상세표[근무일자],$Q905)&amp;""))</f>
        <v/>
      </c>
      <c r="F905">
        <f>IF($Q905="","",IF(ISNUMBER(INDEX(상세표[시작],$Q905)),TEXT(INDEX(상세표[시작],$Q905),"yyyy-mm-dd hh:mm"),INDEX(상세표[시작],$Q905)&amp;""))</f>
        <v/>
      </c>
      <c r="G905">
        <f>IF($Q905="","",IF(ISNUMBER(INDEX(상세표[블록종료],$Q905)),TEXT(INDEX(상세표[블록종료],$Q905),"yyyy-mm-dd hh:mm"),INDEX(상세표[블록종료],$Q905)&amp;""))</f>
        <v/>
      </c>
      <c r="H905">
        <f>IF($Q905="","",CHOOSE(WEEKDAY(INDEX(상세표[시작],$Q905)),"일","월","화","수","목","금","토"))</f>
        <v/>
      </c>
      <c r="I905" s="20">
        <f>IF($Q905="","",INDEX(상세표[연속 시간],$Q905))</f>
        <v/>
      </c>
      <c r="J905">
        <f>IF($Q905="","",INDEX(상세표[기록 수],$Q905))</f>
        <v/>
      </c>
      <c r="K905" s="20">
        <f>IF($Q905="","",INDEX(상세표[블록 06~07시],$Q905))</f>
        <v/>
      </c>
      <c r="L905" s="20">
        <f>IF($Q905="","",INDEX(상세표[블록 07~18시],$Q905))</f>
        <v/>
      </c>
      <c r="M905" s="20">
        <f>IF($Q905="","",INDEX(상세표[블록 18~22시],$Q905))</f>
        <v/>
      </c>
      <c r="N905" s="20">
        <f>IF($Q905="","",INDEX(상세표[블록 22~06시],$Q905))</f>
        <v/>
      </c>
      <c r="O905">
        <f>IF($Q905="","",INDEX(상세표[주말·휴일 포함],$Q905)&amp;"")</f>
        <v/>
      </c>
      <c r="P905">
        <f>IF($Q905="","",INDEX(상세표[월 넘김 포함],$Q905)&amp;"")</f>
        <v/>
      </c>
      <c r="Q905" s="4">
        <f>IFERROR(MATCH(900,상세표[연속순번],0),"")</f>
        <v/>
      </c>
    </row>
    <row r="906">
      <c r="A906">
        <f>IF($Q906="","",INDEX(상세표[부서],$Q906)&amp;"")</f>
        <v/>
      </c>
      <c r="B906">
        <f>IF($Q906="","",INDEX(상세표[사번],$Q906)&amp;"")</f>
        <v/>
      </c>
      <c r="C906">
        <f>IF($Q906="","",INDEX(상세표[성명],$Q906)&amp;"")</f>
        <v/>
      </c>
      <c r="D906">
        <f>IF($Q906="","",INDEX(상세표[직위],$Q906)&amp;"")</f>
        <v/>
      </c>
      <c r="E906">
        <f>IF($Q906="","",IF(ISNUMBER(INDEX(상세표[근무일자],$Q906)),TEXT(INDEX(상세표[근무일자],$Q906),"yyyy-mm-dd"),INDEX(상세표[근무일자],$Q906)&amp;""))</f>
        <v/>
      </c>
      <c r="F906">
        <f>IF($Q906="","",IF(ISNUMBER(INDEX(상세표[시작],$Q906)),TEXT(INDEX(상세표[시작],$Q906),"yyyy-mm-dd hh:mm"),INDEX(상세표[시작],$Q906)&amp;""))</f>
        <v/>
      </c>
      <c r="G906">
        <f>IF($Q906="","",IF(ISNUMBER(INDEX(상세표[블록종료],$Q906)),TEXT(INDEX(상세표[블록종료],$Q906),"yyyy-mm-dd hh:mm"),INDEX(상세표[블록종료],$Q906)&amp;""))</f>
        <v/>
      </c>
      <c r="H906">
        <f>IF($Q906="","",CHOOSE(WEEKDAY(INDEX(상세표[시작],$Q906)),"일","월","화","수","목","금","토"))</f>
        <v/>
      </c>
      <c r="I906" s="20">
        <f>IF($Q906="","",INDEX(상세표[연속 시간],$Q906))</f>
        <v/>
      </c>
      <c r="J906">
        <f>IF($Q906="","",INDEX(상세표[기록 수],$Q906))</f>
        <v/>
      </c>
      <c r="K906" s="20">
        <f>IF($Q906="","",INDEX(상세표[블록 06~07시],$Q906))</f>
        <v/>
      </c>
      <c r="L906" s="20">
        <f>IF($Q906="","",INDEX(상세표[블록 07~18시],$Q906))</f>
        <v/>
      </c>
      <c r="M906" s="20">
        <f>IF($Q906="","",INDEX(상세표[블록 18~22시],$Q906))</f>
        <v/>
      </c>
      <c r="N906" s="20">
        <f>IF($Q906="","",INDEX(상세표[블록 22~06시],$Q906))</f>
        <v/>
      </c>
      <c r="O906">
        <f>IF($Q906="","",INDEX(상세표[주말·휴일 포함],$Q906)&amp;"")</f>
        <v/>
      </c>
      <c r="P906">
        <f>IF($Q906="","",INDEX(상세표[월 넘김 포함],$Q906)&amp;"")</f>
        <v/>
      </c>
      <c r="Q906" s="4">
        <f>IFERROR(MATCH(901,상세표[연속순번],0),"")</f>
        <v/>
      </c>
    </row>
    <row r="907">
      <c r="A907">
        <f>IF($Q907="","",INDEX(상세표[부서],$Q907)&amp;"")</f>
        <v/>
      </c>
      <c r="B907">
        <f>IF($Q907="","",INDEX(상세표[사번],$Q907)&amp;"")</f>
        <v/>
      </c>
      <c r="C907">
        <f>IF($Q907="","",INDEX(상세표[성명],$Q907)&amp;"")</f>
        <v/>
      </c>
      <c r="D907">
        <f>IF($Q907="","",INDEX(상세표[직위],$Q907)&amp;"")</f>
        <v/>
      </c>
      <c r="E907">
        <f>IF($Q907="","",IF(ISNUMBER(INDEX(상세표[근무일자],$Q907)),TEXT(INDEX(상세표[근무일자],$Q907),"yyyy-mm-dd"),INDEX(상세표[근무일자],$Q907)&amp;""))</f>
        <v/>
      </c>
      <c r="F907">
        <f>IF($Q907="","",IF(ISNUMBER(INDEX(상세표[시작],$Q907)),TEXT(INDEX(상세표[시작],$Q907),"yyyy-mm-dd hh:mm"),INDEX(상세표[시작],$Q907)&amp;""))</f>
        <v/>
      </c>
      <c r="G907">
        <f>IF($Q907="","",IF(ISNUMBER(INDEX(상세표[블록종료],$Q907)),TEXT(INDEX(상세표[블록종료],$Q907),"yyyy-mm-dd hh:mm"),INDEX(상세표[블록종료],$Q907)&amp;""))</f>
        <v/>
      </c>
      <c r="H907">
        <f>IF($Q907="","",CHOOSE(WEEKDAY(INDEX(상세표[시작],$Q907)),"일","월","화","수","목","금","토"))</f>
        <v/>
      </c>
      <c r="I907" s="20">
        <f>IF($Q907="","",INDEX(상세표[연속 시간],$Q907))</f>
        <v/>
      </c>
      <c r="J907">
        <f>IF($Q907="","",INDEX(상세표[기록 수],$Q907))</f>
        <v/>
      </c>
      <c r="K907" s="20">
        <f>IF($Q907="","",INDEX(상세표[블록 06~07시],$Q907))</f>
        <v/>
      </c>
      <c r="L907" s="20">
        <f>IF($Q907="","",INDEX(상세표[블록 07~18시],$Q907))</f>
        <v/>
      </c>
      <c r="M907" s="20">
        <f>IF($Q907="","",INDEX(상세표[블록 18~22시],$Q907))</f>
        <v/>
      </c>
      <c r="N907" s="20">
        <f>IF($Q907="","",INDEX(상세표[블록 22~06시],$Q907))</f>
        <v/>
      </c>
      <c r="O907">
        <f>IF($Q907="","",INDEX(상세표[주말·휴일 포함],$Q907)&amp;"")</f>
        <v/>
      </c>
      <c r="P907">
        <f>IF($Q907="","",INDEX(상세표[월 넘김 포함],$Q907)&amp;"")</f>
        <v/>
      </c>
      <c r="Q907" s="4">
        <f>IFERROR(MATCH(902,상세표[연속순번],0),"")</f>
        <v/>
      </c>
    </row>
    <row r="908">
      <c r="A908">
        <f>IF($Q908="","",INDEX(상세표[부서],$Q908)&amp;"")</f>
        <v/>
      </c>
      <c r="B908">
        <f>IF($Q908="","",INDEX(상세표[사번],$Q908)&amp;"")</f>
        <v/>
      </c>
      <c r="C908">
        <f>IF($Q908="","",INDEX(상세표[성명],$Q908)&amp;"")</f>
        <v/>
      </c>
      <c r="D908">
        <f>IF($Q908="","",INDEX(상세표[직위],$Q908)&amp;"")</f>
        <v/>
      </c>
      <c r="E908">
        <f>IF($Q908="","",IF(ISNUMBER(INDEX(상세표[근무일자],$Q908)),TEXT(INDEX(상세표[근무일자],$Q908),"yyyy-mm-dd"),INDEX(상세표[근무일자],$Q908)&amp;""))</f>
        <v/>
      </c>
      <c r="F908">
        <f>IF($Q908="","",IF(ISNUMBER(INDEX(상세표[시작],$Q908)),TEXT(INDEX(상세표[시작],$Q908),"yyyy-mm-dd hh:mm"),INDEX(상세표[시작],$Q908)&amp;""))</f>
        <v/>
      </c>
      <c r="G908">
        <f>IF($Q908="","",IF(ISNUMBER(INDEX(상세표[블록종료],$Q908)),TEXT(INDEX(상세표[블록종료],$Q908),"yyyy-mm-dd hh:mm"),INDEX(상세표[블록종료],$Q908)&amp;""))</f>
        <v/>
      </c>
      <c r="H908">
        <f>IF($Q908="","",CHOOSE(WEEKDAY(INDEX(상세표[시작],$Q908)),"일","월","화","수","목","금","토"))</f>
        <v/>
      </c>
      <c r="I908" s="20">
        <f>IF($Q908="","",INDEX(상세표[연속 시간],$Q908))</f>
        <v/>
      </c>
      <c r="J908">
        <f>IF($Q908="","",INDEX(상세표[기록 수],$Q908))</f>
        <v/>
      </c>
      <c r="K908" s="20">
        <f>IF($Q908="","",INDEX(상세표[블록 06~07시],$Q908))</f>
        <v/>
      </c>
      <c r="L908" s="20">
        <f>IF($Q908="","",INDEX(상세표[블록 07~18시],$Q908))</f>
        <v/>
      </c>
      <c r="M908" s="20">
        <f>IF($Q908="","",INDEX(상세표[블록 18~22시],$Q908))</f>
        <v/>
      </c>
      <c r="N908" s="20">
        <f>IF($Q908="","",INDEX(상세표[블록 22~06시],$Q908))</f>
        <v/>
      </c>
      <c r="O908">
        <f>IF($Q908="","",INDEX(상세표[주말·휴일 포함],$Q908)&amp;"")</f>
        <v/>
      </c>
      <c r="P908">
        <f>IF($Q908="","",INDEX(상세표[월 넘김 포함],$Q908)&amp;"")</f>
        <v/>
      </c>
      <c r="Q908" s="4">
        <f>IFERROR(MATCH(903,상세표[연속순번],0),"")</f>
        <v/>
      </c>
    </row>
    <row r="909">
      <c r="A909">
        <f>IF($Q909="","",INDEX(상세표[부서],$Q909)&amp;"")</f>
        <v/>
      </c>
      <c r="B909">
        <f>IF($Q909="","",INDEX(상세표[사번],$Q909)&amp;"")</f>
        <v/>
      </c>
      <c r="C909">
        <f>IF($Q909="","",INDEX(상세표[성명],$Q909)&amp;"")</f>
        <v/>
      </c>
      <c r="D909">
        <f>IF($Q909="","",INDEX(상세표[직위],$Q909)&amp;"")</f>
        <v/>
      </c>
      <c r="E909">
        <f>IF($Q909="","",IF(ISNUMBER(INDEX(상세표[근무일자],$Q909)),TEXT(INDEX(상세표[근무일자],$Q909),"yyyy-mm-dd"),INDEX(상세표[근무일자],$Q909)&amp;""))</f>
        <v/>
      </c>
      <c r="F909">
        <f>IF($Q909="","",IF(ISNUMBER(INDEX(상세표[시작],$Q909)),TEXT(INDEX(상세표[시작],$Q909),"yyyy-mm-dd hh:mm"),INDEX(상세표[시작],$Q909)&amp;""))</f>
        <v/>
      </c>
      <c r="G909">
        <f>IF($Q909="","",IF(ISNUMBER(INDEX(상세표[블록종료],$Q909)),TEXT(INDEX(상세표[블록종료],$Q909),"yyyy-mm-dd hh:mm"),INDEX(상세표[블록종료],$Q909)&amp;""))</f>
        <v/>
      </c>
      <c r="H909">
        <f>IF($Q909="","",CHOOSE(WEEKDAY(INDEX(상세표[시작],$Q909)),"일","월","화","수","목","금","토"))</f>
        <v/>
      </c>
      <c r="I909" s="20">
        <f>IF($Q909="","",INDEX(상세표[연속 시간],$Q909))</f>
        <v/>
      </c>
      <c r="J909">
        <f>IF($Q909="","",INDEX(상세표[기록 수],$Q909))</f>
        <v/>
      </c>
      <c r="K909" s="20">
        <f>IF($Q909="","",INDEX(상세표[블록 06~07시],$Q909))</f>
        <v/>
      </c>
      <c r="L909" s="20">
        <f>IF($Q909="","",INDEX(상세표[블록 07~18시],$Q909))</f>
        <v/>
      </c>
      <c r="M909" s="20">
        <f>IF($Q909="","",INDEX(상세표[블록 18~22시],$Q909))</f>
        <v/>
      </c>
      <c r="N909" s="20">
        <f>IF($Q909="","",INDEX(상세표[블록 22~06시],$Q909))</f>
        <v/>
      </c>
      <c r="O909">
        <f>IF($Q909="","",INDEX(상세표[주말·휴일 포함],$Q909)&amp;"")</f>
        <v/>
      </c>
      <c r="P909">
        <f>IF($Q909="","",INDEX(상세표[월 넘김 포함],$Q909)&amp;"")</f>
        <v/>
      </c>
      <c r="Q909" s="4">
        <f>IFERROR(MATCH(904,상세표[연속순번],0),"")</f>
        <v/>
      </c>
    </row>
    <row r="910">
      <c r="A910">
        <f>IF($Q910="","",INDEX(상세표[부서],$Q910)&amp;"")</f>
        <v/>
      </c>
      <c r="B910">
        <f>IF($Q910="","",INDEX(상세표[사번],$Q910)&amp;"")</f>
        <v/>
      </c>
      <c r="C910">
        <f>IF($Q910="","",INDEX(상세표[성명],$Q910)&amp;"")</f>
        <v/>
      </c>
      <c r="D910">
        <f>IF($Q910="","",INDEX(상세표[직위],$Q910)&amp;"")</f>
        <v/>
      </c>
      <c r="E910">
        <f>IF($Q910="","",IF(ISNUMBER(INDEX(상세표[근무일자],$Q910)),TEXT(INDEX(상세표[근무일자],$Q910),"yyyy-mm-dd"),INDEX(상세표[근무일자],$Q910)&amp;""))</f>
        <v/>
      </c>
      <c r="F910">
        <f>IF($Q910="","",IF(ISNUMBER(INDEX(상세표[시작],$Q910)),TEXT(INDEX(상세표[시작],$Q910),"yyyy-mm-dd hh:mm"),INDEX(상세표[시작],$Q910)&amp;""))</f>
        <v/>
      </c>
      <c r="G910">
        <f>IF($Q910="","",IF(ISNUMBER(INDEX(상세표[블록종료],$Q910)),TEXT(INDEX(상세표[블록종료],$Q910),"yyyy-mm-dd hh:mm"),INDEX(상세표[블록종료],$Q910)&amp;""))</f>
        <v/>
      </c>
      <c r="H910">
        <f>IF($Q910="","",CHOOSE(WEEKDAY(INDEX(상세표[시작],$Q910)),"일","월","화","수","목","금","토"))</f>
        <v/>
      </c>
      <c r="I910" s="20">
        <f>IF($Q910="","",INDEX(상세표[연속 시간],$Q910))</f>
        <v/>
      </c>
      <c r="J910">
        <f>IF($Q910="","",INDEX(상세표[기록 수],$Q910))</f>
        <v/>
      </c>
      <c r="K910" s="20">
        <f>IF($Q910="","",INDEX(상세표[블록 06~07시],$Q910))</f>
        <v/>
      </c>
      <c r="L910" s="20">
        <f>IF($Q910="","",INDEX(상세표[블록 07~18시],$Q910))</f>
        <v/>
      </c>
      <c r="M910" s="20">
        <f>IF($Q910="","",INDEX(상세표[블록 18~22시],$Q910))</f>
        <v/>
      </c>
      <c r="N910" s="20">
        <f>IF($Q910="","",INDEX(상세표[블록 22~06시],$Q910))</f>
        <v/>
      </c>
      <c r="O910">
        <f>IF($Q910="","",INDEX(상세표[주말·휴일 포함],$Q910)&amp;"")</f>
        <v/>
      </c>
      <c r="P910">
        <f>IF($Q910="","",INDEX(상세표[월 넘김 포함],$Q910)&amp;"")</f>
        <v/>
      </c>
      <c r="Q910" s="4">
        <f>IFERROR(MATCH(905,상세표[연속순번],0),"")</f>
        <v/>
      </c>
    </row>
    <row r="911">
      <c r="A911">
        <f>IF($Q911="","",INDEX(상세표[부서],$Q911)&amp;"")</f>
        <v/>
      </c>
      <c r="B911">
        <f>IF($Q911="","",INDEX(상세표[사번],$Q911)&amp;"")</f>
        <v/>
      </c>
      <c r="C911">
        <f>IF($Q911="","",INDEX(상세표[성명],$Q911)&amp;"")</f>
        <v/>
      </c>
      <c r="D911">
        <f>IF($Q911="","",INDEX(상세표[직위],$Q911)&amp;"")</f>
        <v/>
      </c>
      <c r="E911">
        <f>IF($Q911="","",IF(ISNUMBER(INDEX(상세표[근무일자],$Q911)),TEXT(INDEX(상세표[근무일자],$Q911),"yyyy-mm-dd"),INDEX(상세표[근무일자],$Q911)&amp;""))</f>
        <v/>
      </c>
      <c r="F911">
        <f>IF($Q911="","",IF(ISNUMBER(INDEX(상세표[시작],$Q911)),TEXT(INDEX(상세표[시작],$Q911),"yyyy-mm-dd hh:mm"),INDEX(상세표[시작],$Q911)&amp;""))</f>
        <v/>
      </c>
      <c r="G911">
        <f>IF($Q911="","",IF(ISNUMBER(INDEX(상세표[블록종료],$Q911)),TEXT(INDEX(상세표[블록종료],$Q911),"yyyy-mm-dd hh:mm"),INDEX(상세표[블록종료],$Q911)&amp;""))</f>
        <v/>
      </c>
      <c r="H911">
        <f>IF($Q911="","",CHOOSE(WEEKDAY(INDEX(상세표[시작],$Q911)),"일","월","화","수","목","금","토"))</f>
        <v/>
      </c>
      <c r="I911" s="20">
        <f>IF($Q911="","",INDEX(상세표[연속 시간],$Q911))</f>
        <v/>
      </c>
      <c r="J911">
        <f>IF($Q911="","",INDEX(상세표[기록 수],$Q911))</f>
        <v/>
      </c>
      <c r="K911" s="20">
        <f>IF($Q911="","",INDEX(상세표[블록 06~07시],$Q911))</f>
        <v/>
      </c>
      <c r="L911" s="20">
        <f>IF($Q911="","",INDEX(상세표[블록 07~18시],$Q911))</f>
        <v/>
      </c>
      <c r="M911" s="20">
        <f>IF($Q911="","",INDEX(상세표[블록 18~22시],$Q911))</f>
        <v/>
      </c>
      <c r="N911" s="20">
        <f>IF($Q911="","",INDEX(상세표[블록 22~06시],$Q911))</f>
        <v/>
      </c>
      <c r="O911">
        <f>IF($Q911="","",INDEX(상세표[주말·휴일 포함],$Q911)&amp;"")</f>
        <v/>
      </c>
      <c r="P911">
        <f>IF($Q911="","",INDEX(상세표[월 넘김 포함],$Q911)&amp;"")</f>
        <v/>
      </c>
      <c r="Q911" s="4">
        <f>IFERROR(MATCH(906,상세표[연속순번],0),"")</f>
        <v/>
      </c>
    </row>
    <row r="912">
      <c r="A912">
        <f>IF($Q912="","",INDEX(상세표[부서],$Q912)&amp;"")</f>
        <v/>
      </c>
      <c r="B912">
        <f>IF($Q912="","",INDEX(상세표[사번],$Q912)&amp;"")</f>
        <v/>
      </c>
      <c r="C912">
        <f>IF($Q912="","",INDEX(상세표[성명],$Q912)&amp;"")</f>
        <v/>
      </c>
      <c r="D912">
        <f>IF($Q912="","",INDEX(상세표[직위],$Q912)&amp;"")</f>
        <v/>
      </c>
      <c r="E912">
        <f>IF($Q912="","",IF(ISNUMBER(INDEX(상세표[근무일자],$Q912)),TEXT(INDEX(상세표[근무일자],$Q912),"yyyy-mm-dd"),INDEX(상세표[근무일자],$Q912)&amp;""))</f>
        <v/>
      </c>
      <c r="F912">
        <f>IF($Q912="","",IF(ISNUMBER(INDEX(상세표[시작],$Q912)),TEXT(INDEX(상세표[시작],$Q912),"yyyy-mm-dd hh:mm"),INDEX(상세표[시작],$Q912)&amp;""))</f>
        <v/>
      </c>
      <c r="G912">
        <f>IF($Q912="","",IF(ISNUMBER(INDEX(상세표[블록종료],$Q912)),TEXT(INDEX(상세표[블록종료],$Q912),"yyyy-mm-dd hh:mm"),INDEX(상세표[블록종료],$Q912)&amp;""))</f>
        <v/>
      </c>
      <c r="H912">
        <f>IF($Q912="","",CHOOSE(WEEKDAY(INDEX(상세표[시작],$Q912)),"일","월","화","수","목","금","토"))</f>
        <v/>
      </c>
      <c r="I912" s="20">
        <f>IF($Q912="","",INDEX(상세표[연속 시간],$Q912))</f>
        <v/>
      </c>
      <c r="J912">
        <f>IF($Q912="","",INDEX(상세표[기록 수],$Q912))</f>
        <v/>
      </c>
      <c r="K912" s="20">
        <f>IF($Q912="","",INDEX(상세표[블록 06~07시],$Q912))</f>
        <v/>
      </c>
      <c r="L912" s="20">
        <f>IF($Q912="","",INDEX(상세표[블록 07~18시],$Q912))</f>
        <v/>
      </c>
      <c r="M912" s="20">
        <f>IF($Q912="","",INDEX(상세표[블록 18~22시],$Q912))</f>
        <v/>
      </c>
      <c r="N912" s="20">
        <f>IF($Q912="","",INDEX(상세표[블록 22~06시],$Q912))</f>
        <v/>
      </c>
      <c r="O912">
        <f>IF($Q912="","",INDEX(상세표[주말·휴일 포함],$Q912)&amp;"")</f>
        <v/>
      </c>
      <c r="P912">
        <f>IF($Q912="","",INDEX(상세표[월 넘김 포함],$Q912)&amp;"")</f>
        <v/>
      </c>
      <c r="Q912" s="4">
        <f>IFERROR(MATCH(907,상세표[연속순번],0),"")</f>
        <v/>
      </c>
    </row>
    <row r="913">
      <c r="A913">
        <f>IF($Q913="","",INDEX(상세표[부서],$Q913)&amp;"")</f>
        <v/>
      </c>
      <c r="B913">
        <f>IF($Q913="","",INDEX(상세표[사번],$Q913)&amp;"")</f>
        <v/>
      </c>
      <c r="C913">
        <f>IF($Q913="","",INDEX(상세표[성명],$Q913)&amp;"")</f>
        <v/>
      </c>
      <c r="D913">
        <f>IF($Q913="","",INDEX(상세표[직위],$Q913)&amp;"")</f>
        <v/>
      </c>
      <c r="E913">
        <f>IF($Q913="","",IF(ISNUMBER(INDEX(상세표[근무일자],$Q913)),TEXT(INDEX(상세표[근무일자],$Q913),"yyyy-mm-dd"),INDEX(상세표[근무일자],$Q913)&amp;""))</f>
        <v/>
      </c>
      <c r="F913">
        <f>IF($Q913="","",IF(ISNUMBER(INDEX(상세표[시작],$Q913)),TEXT(INDEX(상세표[시작],$Q913),"yyyy-mm-dd hh:mm"),INDEX(상세표[시작],$Q913)&amp;""))</f>
        <v/>
      </c>
      <c r="G913">
        <f>IF($Q913="","",IF(ISNUMBER(INDEX(상세표[블록종료],$Q913)),TEXT(INDEX(상세표[블록종료],$Q913),"yyyy-mm-dd hh:mm"),INDEX(상세표[블록종료],$Q913)&amp;""))</f>
        <v/>
      </c>
      <c r="H913">
        <f>IF($Q913="","",CHOOSE(WEEKDAY(INDEX(상세표[시작],$Q913)),"일","월","화","수","목","금","토"))</f>
        <v/>
      </c>
      <c r="I913" s="20">
        <f>IF($Q913="","",INDEX(상세표[연속 시간],$Q913))</f>
        <v/>
      </c>
      <c r="J913">
        <f>IF($Q913="","",INDEX(상세표[기록 수],$Q913))</f>
        <v/>
      </c>
      <c r="K913" s="20">
        <f>IF($Q913="","",INDEX(상세표[블록 06~07시],$Q913))</f>
        <v/>
      </c>
      <c r="L913" s="20">
        <f>IF($Q913="","",INDEX(상세표[블록 07~18시],$Q913))</f>
        <v/>
      </c>
      <c r="M913" s="20">
        <f>IF($Q913="","",INDEX(상세표[블록 18~22시],$Q913))</f>
        <v/>
      </c>
      <c r="N913" s="20">
        <f>IF($Q913="","",INDEX(상세표[블록 22~06시],$Q913))</f>
        <v/>
      </c>
      <c r="O913">
        <f>IF($Q913="","",INDEX(상세표[주말·휴일 포함],$Q913)&amp;"")</f>
        <v/>
      </c>
      <c r="P913">
        <f>IF($Q913="","",INDEX(상세표[월 넘김 포함],$Q913)&amp;"")</f>
        <v/>
      </c>
      <c r="Q913" s="4">
        <f>IFERROR(MATCH(908,상세표[연속순번],0),"")</f>
        <v/>
      </c>
    </row>
    <row r="914">
      <c r="A914">
        <f>IF($Q914="","",INDEX(상세표[부서],$Q914)&amp;"")</f>
        <v/>
      </c>
      <c r="B914">
        <f>IF($Q914="","",INDEX(상세표[사번],$Q914)&amp;"")</f>
        <v/>
      </c>
      <c r="C914">
        <f>IF($Q914="","",INDEX(상세표[성명],$Q914)&amp;"")</f>
        <v/>
      </c>
      <c r="D914">
        <f>IF($Q914="","",INDEX(상세표[직위],$Q914)&amp;"")</f>
        <v/>
      </c>
      <c r="E914">
        <f>IF($Q914="","",IF(ISNUMBER(INDEX(상세표[근무일자],$Q914)),TEXT(INDEX(상세표[근무일자],$Q914),"yyyy-mm-dd"),INDEX(상세표[근무일자],$Q914)&amp;""))</f>
        <v/>
      </c>
      <c r="F914">
        <f>IF($Q914="","",IF(ISNUMBER(INDEX(상세표[시작],$Q914)),TEXT(INDEX(상세표[시작],$Q914),"yyyy-mm-dd hh:mm"),INDEX(상세표[시작],$Q914)&amp;""))</f>
        <v/>
      </c>
      <c r="G914">
        <f>IF($Q914="","",IF(ISNUMBER(INDEX(상세표[블록종료],$Q914)),TEXT(INDEX(상세표[블록종료],$Q914),"yyyy-mm-dd hh:mm"),INDEX(상세표[블록종료],$Q914)&amp;""))</f>
        <v/>
      </c>
      <c r="H914">
        <f>IF($Q914="","",CHOOSE(WEEKDAY(INDEX(상세표[시작],$Q914)),"일","월","화","수","목","금","토"))</f>
        <v/>
      </c>
      <c r="I914" s="20">
        <f>IF($Q914="","",INDEX(상세표[연속 시간],$Q914))</f>
        <v/>
      </c>
      <c r="J914">
        <f>IF($Q914="","",INDEX(상세표[기록 수],$Q914))</f>
        <v/>
      </c>
      <c r="K914" s="20">
        <f>IF($Q914="","",INDEX(상세표[블록 06~07시],$Q914))</f>
        <v/>
      </c>
      <c r="L914" s="20">
        <f>IF($Q914="","",INDEX(상세표[블록 07~18시],$Q914))</f>
        <v/>
      </c>
      <c r="M914" s="20">
        <f>IF($Q914="","",INDEX(상세표[블록 18~22시],$Q914))</f>
        <v/>
      </c>
      <c r="N914" s="20">
        <f>IF($Q914="","",INDEX(상세표[블록 22~06시],$Q914))</f>
        <v/>
      </c>
      <c r="O914">
        <f>IF($Q914="","",INDEX(상세표[주말·휴일 포함],$Q914)&amp;"")</f>
        <v/>
      </c>
      <c r="P914">
        <f>IF($Q914="","",INDEX(상세표[월 넘김 포함],$Q914)&amp;"")</f>
        <v/>
      </c>
      <c r="Q914" s="4">
        <f>IFERROR(MATCH(909,상세표[연속순번],0),"")</f>
        <v/>
      </c>
    </row>
    <row r="915">
      <c r="A915">
        <f>IF($Q915="","",INDEX(상세표[부서],$Q915)&amp;"")</f>
        <v/>
      </c>
      <c r="B915">
        <f>IF($Q915="","",INDEX(상세표[사번],$Q915)&amp;"")</f>
        <v/>
      </c>
      <c r="C915">
        <f>IF($Q915="","",INDEX(상세표[성명],$Q915)&amp;"")</f>
        <v/>
      </c>
      <c r="D915">
        <f>IF($Q915="","",INDEX(상세표[직위],$Q915)&amp;"")</f>
        <v/>
      </c>
      <c r="E915">
        <f>IF($Q915="","",IF(ISNUMBER(INDEX(상세표[근무일자],$Q915)),TEXT(INDEX(상세표[근무일자],$Q915),"yyyy-mm-dd"),INDEX(상세표[근무일자],$Q915)&amp;""))</f>
        <v/>
      </c>
      <c r="F915">
        <f>IF($Q915="","",IF(ISNUMBER(INDEX(상세표[시작],$Q915)),TEXT(INDEX(상세표[시작],$Q915),"yyyy-mm-dd hh:mm"),INDEX(상세표[시작],$Q915)&amp;""))</f>
        <v/>
      </c>
      <c r="G915">
        <f>IF($Q915="","",IF(ISNUMBER(INDEX(상세표[블록종료],$Q915)),TEXT(INDEX(상세표[블록종료],$Q915),"yyyy-mm-dd hh:mm"),INDEX(상세표[블록종료],$Q915)&amp;""))</f>
        <v/>
      </c>
      <c r="H915">
        <f>IF($Q915="","",CHOOSE(WEEKDAY(INDEX(상세표[시작],$Q915)),"일","월","화","수","목","금","토"))</f>
        <v/>
      </c>
      <c r="I915" s="20">
        <f>IF($Q915="","",INDEX(상세표[연속 시간],$Q915))</f>
        <v/>
      </c>
      <c r="J915">
        <f>IF($Q915="","",INDEX(상세표[기록 수],$Q915))</f>
        <v/>
      </c>
      <c r="K915" s="20">
        <f>IF($Q915="","",INDEX(상세표[블록 06~07시],$Q915))</f>
        <v/>
      </c>
      <c r="L915" s="20">
        <f>IF($Q915="","",INDEX(상세표[블록 07~18시],$Q915))</f>
        <v/>
      </c>
      <c r="M915" s="20">
        <f>IF($Q915="","",INDEX(상세표[블록 18~22시],$Q915))</f>
        <v/>
      </c>
      <c r="N915" s="20">
        <f>IF($Q915="","",INDEX(상세표[블록 22~06시],$Q915))</f>
        <v/>
      </c>
      <c r="O915">
        <f>IF($Q915="","",INDEX(상세표[주말·휴일 포함],$Q915)&amp;"")</f>
        <v/>
      </c>
      <c r="P915">
        <f>IF($Q915="","",INDEX(상세표[월 넘김 포함],$Q915)&amp;"")</f>
        <v/>
      </c>
      <c r="Q915" s="4">
        <f>IFERROR(MATCH(910,상세표[연속순번],0),"")</f>
        <v/>
      </c>
    </row>
    <row r="916">
      <c r="A916">
        <f>IF($Q916="","",INDEX(상세표[부서],$Q916)&amp;"")</f>
        <v/>
      </c>
      <c r="B916">
        <f>IF($Q916="","",INDEX(상세표[사번],$Q916)&amp;"")</f>
        <v/>
      </c>
      <c r="C916">
        <f>IF($Q916="","",INDEX(상세표[성명],$Q916)&amp;"")</f>
        <v/>
      </c>
      <c r="D916">
        <f>IF($Q916="","",INDEX(상세표[직위],$Q916)&amp;"")</f>
        <v/>
      </c>
      <c r="E916">
        <f>IF($Q916="","",IF(ISNUMBER(INDEX(상세표[근무일자],$Q916)),TEXT(INDEX(상세표[근무일자],$Q916),"yyyy-mm-dd"),INDEX(상세표[근무일자],$Q916)&amp;""))</f>
        <v/>
      </c>
      <c r="F916">
        <f>IF($Q916="","",IF(ISNUMBER(INDEX(상세표[시작],$Q916)),TEXT(INDEX(상세표[시작],$Q916),"yyyy-mm-dd hh:mm"),INDEX(상세표[시작],$Q916)&amp;""))</f>
        <v/>
      </c>
      <c r="G916">
        <f>IF($Q916="","",IF(ISNUMBER(INDEX(상세표[블록종료],$Q916)),TEXT(INDEX(상세표[블록종료],$Q916),"yyyy-mm-dd hh:mm"),INDEX(상세표[블록종료],$Q916)&amp;""))</f>
        <v/>
      </c>
      <c r="H916">
        <f>IF($Q916="","",CHOOSE(WEEKDAY(INDEX(상세표[시작],$Q916)),"일","월","화","수","목","금","토"))</f>
        <v/>
      </c>
      <c r="I916" s="20">
        <f>IF($Q916="","",INDEX(상세표[연속 시간],$Q916))</f>
        <v/>
      </c>
      <c r="J916">
        <f>IF($Q916="","",INDEX(상세표[기록 수],$Q916))</f>
        <v/>
      </c>
      <c r="K916" s="20">
        <f>IF($Q916="","",INDEX(상세표[블록 06~07시],$Q916))</f>
        <v/>
      </c>
      <c r="L916" s="20">
        <f>IF($Q916="","",INDEX(상세표[블록 07~18시],$Q916))</f>
        <v/>
      </c>
      <c r="M916" s="20">
        <f>IF($Q916="","",INDEX(상세표[블록 18~22시],$Q916))</f>
        <v/>
      </c>
      <c r="N916" s="20">
        <f>IF($Q916="","",INDEX(상세표[블록 22~06시],$Q916))</f>
        <v/>
      </c>
      <c r="O916">
        <f>IF($Q916="","",INDEX(상세표[주말·휴일 포함],$Q916)&amp;"")</f>
        <v/>
      </c>
      <c r="P916">
        <f>IF($Q916="","",INDEX(상세표[월 넘김 포함],$Q916)&amp;"")</f>
        <v/>
      </c>
      <c r="Q916" s="4">
        <f>IFERROR(MATCH(911,상세표[연속순번],0),"")</f>
        <v/>
      </c>
    </row>
    <row r="917">
      <c r="A917">
        <f>IF($Q917="","",INDEX(상세표[부서],$Q917)&amp;"")</f>
        <v/>
      </c>
      <c r="B917">
        <f>IF($Q917="","",INDEX(상세표[사번],$Q917)&amp;"")</f>
        <v/>
      </c>
      <c r="C917">
        <f>IF($Q917="","",INDEX(상세표[성명],$Q917)&amp;"")</f>
        <v/>
      </c>
      <c r="D917">
        <f>IF($Q917="","",INDEX(상세표[직위],$Q917)&amp;"")</f>
        <v/>
      </c>
      <c r="E917">
        <f>IF($Q917="","",IF(ISNUMBER(INDEX(상세표[근무일자],$Q917)),TEXT(INDEX(상세표[근무일자],$Q917),"yyyy-mm-dd"),INDEX(상세표[근무일자],$Q917)&amp;""))</f>
        <v/>
      </c>
      <c r="F917">
        <f>IF($Q917="","",IF(ISNUMBER(INDEX(상세표[시작],$Q917)),TEXT(INDEX(상세표[시작],$Q917),"yyyy-mm-dd hh:mm"),INDEX(상세표[시작],$Q917)&amp;""))</f>
        <v/>
      </c>
      <c r="G917">
        <f>IF($Q917="","",IF(ISNUMBER(INDEX(상세표[블록종료],$Q917)),TEXT(INDEX(상세표[블록종료],$Q917),"yyyy-mm-dd hh:mm"),INDEX(상세표[블록종료],$Q917)&amp;""))</f>
        <v/>
      </c>
      <c r="H917">
        <f>IF($Q917="","",CHOOSE(WEEKDAY(INDEX(상세표[시작],$Q917)),"일","월","화","수","목","금","토"))</f>
        <v/>
      </c>
      <c r="I917" s="20">
        <f>IF($Q917="","",INDEX(상세표[연속 시간],$Q917))</f>
        <v/>
      </c>
      <c r="J917">
        <f>IF($Q917="","",INDEX(상세표[기록 수],$Q917))</f>
        <v/>
      </c>
      <c r="K917" s="20">
        <f>IF($Q917="","",INDEX(상세표[블록 06~07시],$Q917))</f>
        <v/>
      </c>
      <c r="L917" s="20">
        <f>IF($Q917="","",INDEX(상세표[블록 07~18시],$Q917))</f>
        <v/>
      </c>
      <c r="M917" s="20">
        <f>IF($Q917="","",INDEX(상세표[블록 18~22시],$Q917))</f>
        <v/>
      </c>
      <c r="N917" s="20">
        <f>IF($Q917="","",INDEX(상세표[블록 22~06시],$Q917))</f>
        <v/>
      </c>
      <c r="O917">
        <f>IF($Q917="","",INDEX(상세표[주말·휴일 포함],$Q917)&amp;"")</f>
        <v/>
      </c>
      <c r="P917">
        <f>IF($Q917="","",INDEX(상세표[월 넘김 포함],$Q917)&amp;"")</f>
        <v/>
      </c>
      <c r="Q917" s="4">
        <f>IFERROR(MATCH(912,상세표[연속순번],0),"")</f>
        <v/>
      </c>
    </row>
    <row r="918">
      <c r="A918">
        <f>IF($Q918="","",INDEX(상세표[부서],$Q918)&amp;"")</f>
        <v/>
      </c>
      <c r="B918">
        <f>IF($Q918="","",INDEX(상세표[사번],$Q918)&amp;"")</f>
        <v/>
      </c>
      <c r="C918">
        <f>IF($Q918="","",INDEX(상세표[성명],$Q918)&amp;"")</f>
        <v/>
      </c>
      <c r="D918">
        <f>IF($Q918="","",INDEX(상세표[직위],$Q918)&amp;"")</f>
        <v/>
      </c>
      <c r="E918">
        <f>IF($Q918="","",IF(ISNUMBER(INDEX(상세표[근무일자],$Q918)),TEXT(INDEX(상세표[근무일자],$Q918),"yyyy-mm-dd"),INDEX(상세표[근무일자],$Q918)&amp;""))</f>
        <v/>
      </c>
      <c r="F918">
        <f>IF($Q918="","",IF(ISNUMBER(INDEX(상세표[시작],$Q918)),TEXT(INDEX(상세표[시작],$Q918),"yyyy-mm-dd hh:mm"),INDEX(상세표[시작],$Q918)&amp;""))</f>
        <v/>
      </c>
      <c r="G918">
        <f>IF($Q918="","",IF(ISNUMBER(INDEX(상세표[블록종료],$Q918)),TEXT(INDEX(상세표[블록종료],$Q918),"yyyy-mm-dd hh:mm"),INDEX(상세표[블록종료],$Q918)&amp;""))</f>
        <v/>
      </c>
      <c r="H918">
        <f>IF($Q918="","",CHOOSE(WEEKDAY(INDEX(상세표[시작],$Q918)),"일","월","화","수","목","금","토"))</f>
        <v/>
      </c>
      <c r="I918" s="20">
        <f>IF($Q918="","",INDEX(상세표[연속 시간],$Q918))</f>
        <v/>
      </c>
      <c r="J918">
        <f>IF($Q918="","",INDEX(상세표[기록 수],$Q918))</f>
        <v/>
      </c>
      <c r="K918" s="20">
        <f>IF($Q918="","",INDEX(상세표[블록 06~07시],$Q918))</f>
        <v/>
      </c>
      <c r="L918" s="20">
        <f>IF($Q918="","",INDEX(상세표[블록 07~18시],$Q918))</f>
        <v/>
      </c>
      <c r="M918" s="20">
        <f>IF($Q918="","",INDEX(상세표[블록 18~22시],$Q918))</f>
        <v/>
      </c>
      <c r="N918" s="20">
        <f>IF($Q918="","",INDEX(상세표[블록 22~06시],$Q918))</f>
        <v/>
      </c>
      <c r="O918">
        <f>IF($Q918="","",INDEX(상세표[주말·휴일 포함],$Q918)&amp;"")</f>
        <v/>
      </c>
      <c r="P918">
        <f>IF($Q918="","",INDEX(상세표[월 넘김 포함],$Q918)&amp;"")</f>
        <v/>
      </c>
      <c r="Q918" s="4">
        <f>IFERROR(MATCH(913,상세표[연속순번],0),"")</f>
        <v/>
      </c>
    </row>
    <row r="919">
      <c r="A919">
        <f>IF($Q919="","",INDEX(상세표[부서],$Q919)&amp;"")</f>
        <v/>
      </c>
      <c r="B919">
        <f>IF($Q919="","",INDEX(상세표[사번],$Q919)&amp;"")</f>
        <v/>
      </c>
      <c r="C919">
        <f>IF($Q919="","",INDEX(상세표[성명],$Q919)&amp;"")</f>
        <v/>
      </c>
      <c r="D919">
        <f>IF($Q919="","",INDEX(상세표[직위],$Q919)&amp;"")</f>
        <v/>
      </c>
      <c r="E919">
        <f>IF($Q919="","",IF(ISNUMBER(INDEX(상세표[근무일자],$Q919)),TEXT(INDEX(상세표[근무일자],$Q919),"yyyy-mm-dd"),INDEX(상세표[근무일자],$Q919)&amp;""))</f>
        <v/>
      </c>
      <c r="F919">
        <f>IF($Q919="","",IF(ISNUMBER(INDEX(상세표[시작],$Q919)),TEXT(INDEX(상세표[시작],$Q919),"yyyy-mm-dd hh:mm"),INDEX(상세표[시작],$Q919)&amp;""))</f>
        <v/>
      </c>
      <c r="G919">
        <f>IF($Q919="","",IF(ISNUMBER(INDEX(상세표[블록종료],$Q919)),TEXT(INDEX(상세표[블록종료],$Q919),"yyyy-mm-dd hh:mm"),INDEX(상세표[블록종료],$Q919)&amp;""))</f>
        <v/>
      </c>
      <c r="H919">
        <f>IF($Q919="","",CHOOSE(WEEKDAY(INDEX(상세표[시작],$Q919)),"일","월","화","수","목","금","토"))</f>
        <v/>
      </c>
      <c r="I919" s="20">
        <f>IF($Q919="","",INDEX(상세표[연속 시간],$Q919))</f>
        <v/>
      </c>
      <c r="J919">
        <f>IF($Q919="","",INDEX(상세표[기록 수],$Q919))</f>
        <v/>
      </c>
      <c r="K919" s="20">
        <f>IF($Q919="","",INDEX(상세표[블록 06~07시],$Q919))</f>
        <v/>
      </c>
      <c r="L919" s="20">
        <f>IF($Q919="","",INDEX(상세표[블록 07~18시],$Q919))</f>
        <v/>
      </c>
      <c r="M919" s="20">
        <f>IF($Q919="","",INDEX(상세표[블록 18~22시],$Q919))</f>
        <v/>
      </c>
      <c r="N919" s="20">
        <f>IF($Q919="","",INDEX(상세표[블록 22~06시],$Q919))</f>
        <v/>
      </c>
      <c r="O919">
        <f>IF($Q919="","",INDEX(상세표[주말·휴일 포함],$Q919)&amp;"")</f>
        <v/>
      </c>
      <c r="P919">
        <f>IF($Q919="","",INDEX(상세표[월 넘김 포함],$Q919)&amp;"")</f>
        <v/>
      </c>
      <c r="Q919" s="4">
        <f>IFERROR(MATCH(914,상세표[연속순번],0),"")</f>
        <v/>
      </c>
    </row>
    <row r="920">
      <c r="A920">
        <f>IF($Q920="","",INDEX(상세표[부서],$Q920)&amp;"")</f>
        <v/>
      </c>
      <c r="B920">
        <f>IF($Q920="","",INDEX(상세표[사번],$Q920)&amp;"")</f>
        <v/>
      </c>
      <c r="C920">
        <f>IF($Q920="","",INDEX(상세표[성명],$Q920)&amp;"")</f>
        <v/>
      </c>
      <c r="D920">
        <f>IF($Q920="","",INDEX(상세표[직위],$Q920)&amp;"")</f>
        <v/>
      </c>
      <c r="E920">
        <f>IF($Q920="","",IF(ISNUMBER(INDEX(상세표[근무일자],$Q920)),TEXT(INDEX(상세표[근무일자],$Q920),"yyyy-mm-dd"),INDEX(상세표[근무일자],$Q920)&amp;""))</f>
        <v/>
      </c>
      <c r="F920">
        <f>IF($Q920="","",IF(ISNUMBER(INDEX(상세표[시작],$Q920)),TEXT(INDEX(상세표[시작],$Q920),"yyyy-mm-dd hh:mm"),INDEX(상세표[시작],$Q920)&amp;""))</f>
        <v/>
      </c>
      <c r="G920">
        <f>IF($Q920="","",IF(ISNUMBER(INDEX(상세표[블록종료],$Q920)),TEXT(INDEX(상세표[블록종료],$Q920),"yyyy-mm-dd hh:mm"),INDEX(상세표[블록종료],$Q920)&amp;""))</f>
        <v/>
      </c>
      <c r="H920">
        <f>IF($Q920="","",CHOOSE(WEEKDAY(INDEX(상세표[시작],$Q920)),"일","월","화","수","목","금","토"))</f>
        <v/>
      </c>
      <c r="I920" s="20">
        <f>IF($Q920="","",INDEX(상세표[연속 시간],$Q920))</f>
        <v/>
      </c>
      <c r="J920">
        <f>IF($Q920="","",INDEX(상세표[기록 수],$Q920))</f>
        <v/>
      </c>
      <c r="K920" s="20">
        <f>IF($Q920="","",INDEX(상세표[블록 06~07시],$Q920))</f>
        <v/>
      </c>
      <c r="L920" s="20">
        <f>IF($Q920="","",INDEX(상세표[블록 07~18시],$Q920))</f>
        <v/>
      </c>
      <c r="M920" s="20">
        <f>IF($Q920="","",INDEX(상세표[블록 18~22시],$Q920))</f>
        <v/>
      </c>
      <c r="N920" s="20">
        <f>IF($Q920="","",INDEX(상세표[블록 22~06시],$Q920))</f>
        <v/>
      </c>
      <c r="O920">
        <f>IF($Q920="","",INDEX(상세표[주말·휴일 포함],$Q920)&amp;"")</f>
        <v/>
      </c>
      <c r="P920">
        <f>IF($Q920="","",INDEX(상세표[월 넘김 포함],$Q920)&amp;"")</f>
        <v/>
      </c>
      <c r="Q920" s="4">
        <f>IFERROR(MATCH(915,상세표[연속순번],0),"")</f>
        <v/>
      </c>
    </row>
    <row r="921">
      <c r="A921">
        <f>IF($Q921="","",INDEX(상세표[부서],$Q921)&amp;"")</f>
        <v/>
      </c>
      <c r="B921">
        <f>IF($Q921="","",INDEX(상세표[사번],$Q921)&amp;"")</f>
        <v/>
      </c>
      <c r="C921">
        <f>IF($Q921="","",INDEX(상세표[성명],$Q921)&amp;"")</f>
        <v/>
      </c>
      <c r="D921">
        <f>IF($Q921="","",INDEX(상세표[직위],$Q921)&amp;"")</f>
        <v/>
      </c>
      <c r="E921">
        <f>IF($Q921="","",IF(ISNUMBER(INDEX(상세표[근무일자],$Q921)),TEXT(INDEX(상세표[근무일자],$Q921),"yyyy-mm-dd"),INDEX(상세표[근무일자],$Q921)&amp;""))</f>
        <v/>
      </c>
      <c r="F921">
        <f>IF($Q921="","",IF(ISNUMBER(INDEX(상세표[시작],$Q921)),TEXT(INDEX(상세표[시작],$Q921),"yyyy-mm-dd hh:mm"),INDEX(상세표[시작],$Q921)&amp;""))</f>
        <v/>
      </c>
      <c r="G921">
        <f>IF($Q921="","",IF(ISNUMBER(INDEX(상세표[블록종료],$Q921)),TEXT(INDEX(상세표[블록종료],$Q921),"yyyy-mm-dd hh:mm"),INDEX(상세표[블록종료],$Q921)&amp;""))</f>
        <v/>
      </c>
      <c r="H921">
        <f>IF($Q921="","",CHOOSE(WEEKDAY(INDEX(상세표[시작],$Q921)),"일","월","화","수","목","금","토"))</f>
        <v/>
      </c>
      <c r="I921" s="20">
        <f>IF($Q921="","",INDEX(상세표[연속 시간],$Q921))</f>
        <v/>
      </c>
      <c r="J921">
        <f>IF($Q921="","",INDEX(상세표[기록 수],$Q921))</f>
        <v/>
      </c>
      <c r="K921" s="20">
        <f>IF($Q921="","",INDEX(상세표[블록 06~07시],$Q921))</f>
        <v/>
      </c>
      <c r="L921" s="20">
        <f>IF($Q921="","",INDEX(상세표[블록 07~18시],$Q921))</f>
        <v/>
      </c>
      <c r="M921" s="20">
        <f>IF($Q921="","",INDEX(상세표[블록 18~22시],$Q921))</f>
        <v/>
      </c>
      <c r="N921" s="20">
        <f>IF($Q921="","",INDEX(상세표[블록 22~06시],$Q921))</f>
        <v/>
      </c>
      <c r="O921">
        <f>IF($Q921="","",INDEX(상세표[주말·휴일 포함],$Q921)&amp;"")</f>
        <v/>
      </c>
      <c r="P921">
        <f>IF($Q921="","",INDEX(상세표[월 넘김 포함],$Q921)&amp;"")</f>
        <v/>
      </c>
      <c r="Q921" s="4">
        <f>IFERROR(MATCH(916,상세표[연속순번],0),"")</f>
        <v/>
      </c>
    </row>
    <row r="922">
      <c r="A922">
        <f>IF($Q922="","",INDEX(상세표[부서],$Q922)&amp;"")</f>
        <v/>
      </c>
      <c r="B922">
        <f>IF($Q922="","",INDEX(상세표[사번],$Q922)&amp;"")</f>
        <v/>
      </c>
      <c r="C922">
        <f>IF($Q922="","",INDEX(상세표[성명],$Q922)&amp;"")</f>
        <v/>
      </c>
      <c r="D922">
        <f>IF($Q922="","",INDEX(상세표[직위],$Q922)&amp;"")</f>
        <v/>
      </c>
      <c r="E922">
        <f>IF($Q922="","",IF(ISNUMBER(INDEX(상세표[근무일자],$Q922)),TEXT(INDEX(상세표[근무일자],$Q922),"yyyy-mm-dd"),INDEX(상세표[근무일자],$Q922)&amp;""))</f>
        <v/>
      </c>
      <c r="F922">
        <f>IF($Q922="","",IF(ISNUMBER(INDEX(상세표[시작],$Q922)),TEXT(INDEX(상세표[시작],$Q922),"yyyy-mm-dd hh:mm"),INDEX(상세표[시작],$Q922)&amp;""))</f>
        <v/>
      </c>
      <c r="G922">
        <f>IF($Q922="","",IF(ISNUMBER(INDEX(상세표[블록종료],$Q922)),TEXT(INDEX(상세표[블록종료],$Q922),"yyyy-mm-dd hh:mm"),INDEX(상세표[블록종료],$Q922)&amp;""))</f>
        <v/>
      </c>
      <c r="H922">
        <f>IF($Q922="","",CHOOSE(WEEKDAY(INDEX(상세표[시작],$Q922)),"일","월","화","수","목","금","토"))</f>
        <v/>
      </c>
      <c r="I922" s="20">
        <f>IF($Q922="","",INDEX(상세표[연속 시간],$Q922))</f>
        <v/>
      </c>
      <c r="J922">
        <f>IF($Q922="","",INDEX(상세표[기록 수],$Q922))</f>
        <v/>
      </c>
      <c r="K922" s="20">
        <f>IF($Q922="","",INDEX(상세표[블록 06~07시],$Q922))</f>
        <v/>
      </c>
      <c r="L922" s="20">
        <f>IF($Q922="","",INDEX(상세표[블록 07~18시],$Q922))</f>
        <v/>
      </c>
      <c r="M922" s="20">
        <f>IF($Q922="","",INDEX(상세표[블록 18~22시],$Q922))</f>
        <v/>
      </c>
      <c r="N922" s="20">
        <f>IF($Q922="","",INDEX(상세표[블록 22~06시],$Q922))</f>
        <v/>
      </c>
      <c r="O922">
        <f>IF($Q922="","",INDEX(상세표[주말·휴일 포함],$Q922)&amp;"")</f>
        <v/>
      </c>
      <c r="P922">
        <f>IF($Q922="","",INDEX(상세표[월 넘김 포함],$Q922)&amp;"")</f>
        <v/>
      </c>
      <c r="Q922" s="4">
        <f>IFERROR(MATCH(917,상세표[연속순번],0),"")</f>
        <v/>
      </c>
    </row>
    <row r="923">
      <c r="A923">
        <f>IF($Q923="","",INDEX(상세표[부서],$Q923)&amp;"")</f>
        <v/>
      </c>
      <c r="B923">
        <f>IF($Q923="","",INDEX(상세표[사번],$Q923)&amp;"")</f>
        <v/>
      </c>
      <c r="C923">
        <f>IF($Q923="","",INDEX(상세표[성명],$Q923)&amp;"")</f>
        <v/>
      </c>
      <c r="D923">
        <f>IF($Q923="","",INDEX(상세표[직위],$Q923)&amp;"")</f>
        <v/>
      </c>
      <c r="E923">
        <f>IF($Q923="","",IF(ISNUMBER(INDEX(상세표[근무일자],$Q923)),TEXT(INDEX(상세표[근무일자],$Q923),"yyyy-mm-dd"),INDEX(상세표[근무일자],$Q923)&amp;""))</f>
        <v/>
      </c>
      <c r="F923">
        <f>IF($Q923="","",IF(ISNUMBER(INDEX(상세표[시작],$Q923)),TEXT(INDEX(상세표[시작],$Q923),"yyyy-mm-dd hh:mm"),INDEX(상세표[시작],$Q923)&amp;""))</f>
        <v/>
      </c>
      <c r="G923">
        <f>IF($Q923="","",IF(ISNUMBER(INDEX(상세표[블록종료],$Q923)),TEXT(INDEX(상세표[블록종료],$Q923),"yyyy-mm-dd hh:mm"),INDEX(상세표[블록종료],$Q923)&amp;""))</f>
        <v/>
      </c>
      <c r="H923">
        <f>IF($Q923="","",CHOOSE(WEEKDAY(INDEX(상세표[시작],$Q923)),"일","월","화","수","목","금","토"))</f>
        <v/>
      </c>
      <c r="I923" s="20">
        <f>IF($Q923="","",INDEX(상세표[연속 시간],$Q923))</f>
        <v/>
      </c>
      <c r="J923">
        <f>IF($Q923="","",INDEX(상세표[기록 수],$Q923))</f>
        <v/>
      </c>
      <c r="K923" s="20">
        <f>IF($Q923="","",INDEX(상세표[블록 06~07시],$Q923))</f>
        <v/>
      </c>
      <c r="L923" s="20">
        <f>IF($Q923="","",INDEX(상세표[블록 07~18시],$Q923))</f>
        <v/>
      </c>
      <c r="M923" s="20">
        <f>IF($Q923="","",INDEX(상세표[블록 18~22시],$Q923))</f>
        <v/>
      </c>
      <c r="N923" s="20">
        <f>IF($Q923="","",INDEX(상세표[블록 22~06시],$Q923))</f>
        <v/>
      </c>
      <c r="O923">
        <f>IF($Q923="","",INDEX(상세표[주말·휴일 포함],$Q923)&amp;"")</f>
        <v/>
      </c>
      <c r="P923">
        <f>IF($Q923="","",INDEX(상세표[월 넘김 포함],$Q923)&amp;"")</f>
        <v/>
      </c>
      <c r="Q923" s="4">
        <f>IFERROR(MATCH(918,상세표[연속순번],0),"")</f>
        <v/>
      </c>
    </row>
    <row r="924">
      <c r="A924">
        <f>IF($Q924="","",INDEX(상세표[부서],$Q924)&amp;"")</f>
        <v/>
      </c>
      <c r="B924">
        <f>IF($Q924="","",INDEX(상세표[사번],$Q924)&amp;"")</f>
        <v/>
      </c>
      <c r="C924">
        <f>IF($Q924="","",INDEX(상세표[성명],$Q924)&amp;"")</f>
        <v/>
      </c>
      <c r="D924">
        <f>IF($Q924="","",INDEX(상세표[직위],$Q924)&amp;"")</f>
        <v/>
      </c>
      <c r="E924">
        <f>IF($Q924="","",IF(ISNUMBER(INDEX(상세표[근무일자],$Q924)),TEXT(INDEX(상세표[근무일자],$Q924),"yyyy-mm-dd"),INDEX(상세표[근무일자],$Q924)&amp;""))</f>
        <v/>
      </c>
      <c r="F924">
        <f>IF($Q924="","",IF(ISNUMBER(INDEX(상세표[시작],$Q924)),TEXT(INDEX(상세표[시작],$Q924),"yyyy-mm-dd hh:mm"),INDEX(상세표[시작],$Q924)&amp;""))</f>
        <v/>
      </c>
      <c r="G924">
        <f>IF($Q924="","",IF(ISNUMBER(INDEX(상세표[블록종료],$Q924)),TEXT(INDEX(상세표[블록종료],$Q924),"yyyy-mm-dd hh:mm"),INDEX(상세표[블록종료],$Q924)&amp;""))</f>
        <v/>
      </c>
      <c r="H924">
        <f>IF($Q924="","",CHOOSE(WEEKDAY(INDEX(상세표[시작],$Q924)),"일","월","화","수","목","금","토"))</f>
        <v/>
      </c>
      <c r="I924" s="20">
        <f>IF($Q924="","",INDEX(상세표[연속 시간],$Q924))</f>
        <v/>
      </c>
      <c r="J924">
        <f>IF($Q924="","",INDEX(상세표[기록 수],$Q924))</f>
        <v/>
      </c>
      <c r="K924" s="20">
        <f>IF($Q924="","",INDEX(상세표[블록 06~07시],$Q924))</f>
        <v/>
      </c>
      <c r="L924" s="20">
        <f>IF($Q924="","",INDEX(상세표[블록 07~18시],$Q924))</f>
        <v/>
      </c>
      <c r="M924" s="20">
        <f>IF($Q924="","",INDEX(상세표[블록 18~22시],$Q924))</f>
        <v/>
      </c>
      <c r="N924" s="20">
        <f>IF($Q924="","",INDEX(상세표[블록 22~06시],$Q924))</f>
        <v/>
      </c>
      <c r="O924">
        <f>IF($Q924="","",INDEX(상세표[주말·휴일 포함],$Q924)&amp;"")</f>
        <v/>
      </c>
      <c r="P924">
        <f>IF($Q924="","",INDEX(상세표[월 넘김 포함],$Q924)&amp;"")</f>
        <v/>
      </c>
      <c r="Q924" s="4">
        <f>IFERROR(MATCH(919,상세표[연속순번],0),"")</f>
        <v/>
      </c>
    </row>
    <row r="925">
      <c r="A925">
        <f>IF($Q925="","",INDEX(상세표[부서],$Q925)&amp;"")</f>
        <v/>
      </c>
      <c r="B925">
        <f>IF($Q925="","",INDEX(상세표[사번],$Q925)&amp;"")</f>
        <v/>
      </c>
      <c r="C925">
        <f>IF($Q925="","",INDEX(상세표[성명],$Q925)&amp;"")</f>
        <v/>
      </c>
      <c r="D925">
        <f>IF($Q925="","",INDEX(상세표[직위],$Q925)&amp;"")</f>
        <v/>
      </c>
      <c r="E925">
        <f>IF($Q925="","",IF(ISNUMBER(INDEX(상세표[근무일자],$Q925)),TEXT(INDEX(상세표[근무일자],$Q925),"yyyy-mm-dd"),INDEX(상세표[근무일자],$Q925)&amp;""))</f>
        <v/>
      </c>
      <c r="F925">
        <f>IF($Q925="","",IF(ISNUMBER(INDEX(상세표[시작],$Q925)),TEXT(INDEX(상세표[시작],$Q925),"yyyy-mm-dd hh:mm"),INDEX(상세표[시작],$Q925)&amp;""))</f>
        <v/>
      </c>
      <c r="G925">
        <f>IF($Q925="","",IF(ISNUMBER(INDEX(상세표[블록종료],$Q925)),TEXT(INDEX(상세표[블록종료],$Q925),"yyyy-mm-dd hh:mm"),INDEX(상세표[블록종료],$Q925)&amp;""))</f>
        <v/>
      </c>
      <c r="H925">
        <f>IF($Q925="","",CHOOSE(WEEKDAY(INDEX(상세표[시작],$Q925)),"일","월","화","수","목","금","토"))</f>
        <v/>
      </c>
      <c r="I925" s="20">
        <f>IF($Q925="","",INDEX(상세표[연속 시간],$Q925))</f>
        <v/>
      </c>
      <c r="J925">
        <f>IF($Q925="","",INDEX(상세표[기록 수],$Q925))</f>
        <v/>
      </c>
      <c r="K925" s="20">
        <f>IF($Q925="","",INDEX(상세표[블록 06~07시],$Q925))</f>
        <v/>
      </c>
      <c r="L925" s="20">
        <f>IF($Q925="","",INDEX(상세표[블록 07~18시],$Q925))</f>
        <v/>
      </c>
      <c r="M925" s="20">
        <f>IF($Q925="","",INDEX(상세표[블록 18~22시],$Q925))</f>
        <v/>
      </c>
      <c r="N925" s="20">
        <f>IF($Q925="","",INDEX(상세표[블록 22~06시],$Q925))</f>
        <v/>
      </c>
      <c r="O925">
        <f>IF($Q925="","",INDEX(상세표[주말·휴일 포함],$Q925)&amp;"")</f>
        <v/>
      </c>
      <c r="P925">
        <f>IF($Q925="","",INDEX(상세표[월 넘김 포함],$Q925)&amp;"")</f>
        <v/>
      </c>
      <c r="Q925" s="4">
        <f>IFERROR(MATCH(920,상세표[연속순번],0),"")</f>
        <v/>
      </c>
    </row>
    <row r="926">
      <c r="A926">
        <f>IF($Q926="","",INDEX(상세표[부서],$Q926)&amp;"")</f>
        <v/>
      </c>
      <c r="B926">
        <f>IF($Q926="","",INDEX(상세표[사번],$Q926)&amp;"")</f>
        <v/>
      </c>
      <c r="C926">
        <f>IF($Q926="","",INDEX(상세표[성명],$Q926)&amp;"")</f>
        <v/>
      </c>
      <c r="D926">
        <f>IF($Q926="","",INDEX(상세표[직위],$Q926)&amp;"")</f>
        <v/>
      </c>
      <c r="E926">
        <f>IF($Q926="","",IF(ISNUMBER(INDEX(상세표[근무일자],$Q926)),TEXT(INDEX(상세표[근무일자],$Q926),"yyyy-mm-dd"),INDEX(상세표[근무일자],$Q926)&amp;""))</f>
        <v/>
      </c>
      <c r="F926">
        <f>IF($Q926="","",IF(ISNUMBER(INDEX(상세표[시작],$Q926)),TEXT(INDEX(상세표[시작],$Q926),"yyyy-mm-dd hh:mm"),INDEX(상세표[시작],$Q926)&amp;""))</f>
        <v/>
      </c>
      <c r="G926">
        <f>IF($Q926="","",IF(ISNUMBER(INDEX(상세표[블록종료],$Q926)),TEXT(INDEX(상세표[블록종료],$Q926),"yyyy-mm-dd hh:mm"),INDEX(상세표[블록종료],$Q926)&amp;""))</f>
        <v/>
      </c>
      <c r="H926">
        <f>IF($Q926="","",CHOOSE(WEEKDAY(INDEX(상세표[시작],$Q926)),"일","월","화","수","목","금","토"))</f>
        <v/>
      </c>
      <c r="I926" s="20">
        <f>IF($Q926="","",INDEX(상세표[연속 시간],$Q926))</f>
        <v/>
      </c>
      <c r="J926">
        <f>IF($Q926="","",INDEX(상세표[기록 수],$Q926))</f>
        <v/>
      </c>
      <c r="K926" s="20">
        <f>IF($Q926="","",INDEX(상세표[블록 06~07시],$Q926))</f>
        <v/>
      </c>
      <c r="L926" s="20">
        <f>IF($Q926="","",INDEX(상세표[블록 07~18시],$Q926))</f>
        <v/>
      </c>
      <c r="M926" s="20">
        <f>IF($Q926="","",INDEX(상세표[블록 18~22시],$Q926))</f>
        <v/>
      </c>
      <c r="N926" s="20">
        <f>IF($Q926="","",INDEX(상세표[블록 22~06시],$Q926))</f>
        <v/>
      </c>
      <c r="O926">
        <f>IF($Q926="","",INDEX(상세표[주말·휴일 포함],$Q926)&amp;"")</f>
        <v/>
      </c>
      <c r="P926">
        <f>IF($Q926="","",INDEX(상세표[월 넘김 포함],$Q926)&amp;"")</f>
        <v/>
      </c>
      <c r="Q926" s="4">
        <f>IFERROR(MATCH(921,상세표[연속순번],0),"")</f>
        <v/>
      </c>
    </row>
    <row r="927">
      <c r="A927">
        <f>IF($Q927="","",INDEX(상세표[부서],$Q927)&amp;"")</f>
        <v/>
      </c>
      <c r="B927">
        <f>IF($Q927="","",INDEX(상세표[사번],$Q927)&amp;"")</f>
        <v/>
      </c>
      <c r="C927">
        <f>IF($Q927="","",INDEX(상세표[성명],$Q927)&amp;"")</f>
        <v/>
      </c>
      <c r="D927">
        <f>IF($Q927="","",INDEX(상세표[직위],$Q927)&amp;"")</f>
        <v/>
      </c>
      <c r="E927">
        <f>IF($Q927="","",IF(ISNUMBER(INDEX(상세표[근무일자],$Q927)),TEXT(INDEX(상세표[근무일자],$Q927),"yyyy-mm-dd"),INDEX(상세표[근무일자],$Q927)&amp;""))</f>
        <v/>
      </c>
      <c r="F927">
        <f>IF($Q927="","",IF(ISNUMBER(INDEX(상세표[시작],$Q927)),TEXT(INDEX(상세표[시작],$Q927),"yyyy-mm-dd hh:mm"),INDEX(상세표[시작],$Q927)&amp;""))</f>
        <v/>
      </c>
      <c r="G927">
        <f>IF($Q927="","",IF(ISNUMBER(INDEX(상세표[블록종료],$Q927)),TEXT(INDEX(상세표[블록종료],$Q927),"yyyy-mm-dd hh:mm"),INDEX(상세표[블록종료],$Q927)&amp;""))</f>
        <v/>
      </c>
      <c r="H927">
        <f>IF($Q927="","",CHOOSE(WEEKDAY(INDEX(상세표[시작],$Q927)),"일","월","화","수","목","금","토"))</f>
        <v/>
      </c>
      <c r="I927" s="20">
        <f>IF($Q927="","",INDEX(상세표[연속 시간],$Q927))</f>
        <v/>
      </c>
      <c r="J927">
        <f>IF($Q927="","",INDEX(상세표[기록 수],$Q927))</f>
        <v/>
      </c>
      <c r="K927" s="20">
        <f>IF($Q927="","",INDEX(상세표[블록 06~07시],$Q927))</f>
        <v/>
      </c>
      <c r="L927" s="20">
        <f>IF($Q927="","",INDEX(상세표[블록 07~18시],$Q927))</f>
        <v/>
      </c>
      <c r="M927" s="20">
        <f>IF($Q927="","",INDEX(상세표[블록 18~22시],$Q927))</f>
        <v/>
      </c>
      <c r="N927" s="20">
        <f>IF($Q927="","",INDEX(상세표[블록 22~06시],$Q927))</f>
        <v/>
      </c>
      <c r="O927">
        <f>IF($Q927="","",INDEX(상세표[주말·휴일 포함],$Q927)&amp;"")</f>
        <v/>
      </c>
      <c r="P927">
        <f>IF($Q927="","",INDEX(상세표[월 넘김 포함],$Q927)&amp;"")</f>
        <v/>
      </c>
      <c r="Q927" s="4">
        <f>IFERROR(MATCH(922,상세표[연속순번],0),"")</f>
        <v/>
      </c>
    </row>
    <row r="928">
      <c r="A928">
        <f>IF($Q928="","",INDEX(상세표[부서],$Q928)&amp;"")</f>
        <v/>
      </c>
      <c r="B928">
        <f>IF($Q928="","",INDEX(상세표[사번],$Q928)&amp;"")</f>
        <v/>
      </c>
      <c r="C928">
        <f>IF($Q928="","",INDEX(상세표[성명],$Q928)&amp;"")</f>
        <v/>
      </c>
      <c r="D928">
        <f>IF($Q928="","",INDEX(상세표[직위],$Q928)&amp;"")</f>
        <v/>
      </c>
      <c r="E928">
        <f>IF($Q928="","",IF(ISNUMBER(INDEX(상세표[근무일자],$Q928)),TEXT(INDEX(상세표[근무일자],$Q928),"yyyy-mm-dd"),INDEX(상세표[근무일자],$Q928)&amp;""))</f>
        <v/>
      </c>
      <c r="F928">
        <f>IF($Q928="","",IF(ISNUMBER(INDEX(상세표[시작],$Q928)),TEXT(INDEX(상세표[시작],$Q928),"yyyy-mm-dd hh:mm"),INDEX(상세표[시작],$Q928)&amp;""))</f>
        <v/>
      </c>
      <c r="G928">
        <f>IF($Q928="","",IF(ISNUMBER(INDEX(상세표[블록종료],$Q928)),TEXT(INDEX(상세표[블록종료],$Q928),"yyyy-mm-dd hh:mm"),INDEX(상세표[블록종료],$Q928)&amp;""))</f>
        <v/>
      </c>
      <c r="H928">
        <f>IF($Q928="","",CHOOSE(WEEKDAY(INDEX(상세표[시작],$Q928)),"일","월","화","수","목","금","토"))</f>
        <v/>
      </c>
      <c r="I928" s="20">
        <f>IF($Q928="","",INDEX(상세표[연속 시간],$Q928))</f>
        <v/>
      </c>
      <c r="J928">
        <f>IF($Q928="","",INDEX(상세표[기록 수],$Q928))</f>
        <v/>
      </c>
      <c r="K928" s="20">
        <f>IF($Q928="","",INDEX(상세표[블록 06~07시],$Q928))</f>
        <v/>
      </c>
      <c r="L928" s="20">
        <f>IF($Q928="","",INDEX(상세표[블록 07~18시],$Q928))</f>
        <v/>
      </c>
      <c r="M928" s="20">
        <f>IF($Q928="","",INDEX(상세표[블록 18~22시],$Q928))</f>
        <v/>
      </c>
      <c r="N928" s="20">
        <f>IF($Q928="","",INDEX(상세표[블록 22~06시],$Q928))</f>
        <v/>
      </c>
      <c r="O928">
        <f>IF($Q928="","",INDEX(상세표[주말·휴일 포함],$Q928)&amp;"")</f>
        <v/>
      </c>
      <c r="P928">
        <f>IF($Q928="","",INDEX(상세표[월 넘김 포함],$Q928)&amp;"")</f>
        <v/>
      </c>
      <c r="Q928" s="4">
        <f>IFERROR(MATCH(923,상세표[연속순번],0),"")</f>
        <v/>
      </c>
    </row>
    <row r="929">
      <c r="A929">
        <f>IF($Q929="","",INDEX(상세표[부서],$Q929)&amp;"")</f>
        <v/>
      </c>
      <c r="B929">
        <f>IF($Q929="","",INDEX(상세표[사번],$Q929)&amp;"")</f>
        <v/>
      </c>
      <c r="C929">
        <f>IF($Q929="","",INDEX(상세표[성명],$Q929)&amp;"")</f>
        <v/>
      </c>
      <c r="D929">
        <f>IF($Q929="","",INDEX(상세표[직위],$Q929)&amp;"")</f>
        <v/>
      </c>
      <c r="E929">
        <f>IF($Q929="","",IF(ISNUMBER(INDEX(상세표[근무일자],$Q929)),TEXT(INDEX(상세표[근무일자],$Q929),"yyyy-mm-dd"),INDEX(상세표[근무일자],$Q929)&amp;""))</f>
        <v/>
      </c>
      <c r="F929">
        <f>IF($Q929="","",IF(ISNUMBER(INDEX(상세표[시작],$Q929)),TEXT(INDEX(상세표[시작],$Q929),"yyyy-mm-dd hh:mm"),INDEX(상세표[시작],$Q929)&amp;""))</f>
        <v/>
      </c>
      <c r="G929">
        <f>IF($Q929="","",IF(ISNUMBER(INDEX(상세표[블록종료],$Q929)),TEXT(INDEX(상세표[블록종료],$Q929),"yyyy-mm-dd hh:mm"),INDEX(상세표[블록종료],$Q929)&amp;""))</f>
        <v/>
      </c>
      <c r="H929">
        <f>IF($Q929="","",CHOOSE(WEEKDAY(INDEX(상세표[시작],$Q929)),"일","월","화","수","목","금","토"))</f>
        <v/>
      </c>
      <c r="I929" s="20">
        <f>IF($Q929="","",INDEX(상세표[연속 시간],$Q929))</f>
        <v/>
      </c>
      <c r="J929">
        <f>IF($Q929="","",INDEX(상세표[기록 수],$Q929))</f>
        <v/>
      </c>
      <c r="K929" s="20">
        <f>IF($Q929="","",INDEX(상세표[블록 06~07시],$Q929))</f>
        <v/>
      </c>
      <c r="L929" s="20">
        <f>IF($Q929="","",INDEX(상세표[블록 07~18시],$Q929))</f>
        <v/>
      </c>
      <c r="M929" s="20">
        <f>IF($Q929="","",INDEX(상세표[블록 18~22시],$Q929))</f>
        <v/>
      </c>
      <c r="N929" s="20">
        <f>IF($Q929="","",INDEX(상세표[블록 22~06시],$Q929))</f>
        <v/>
      </c>
      <c r="O929">
        <f>IF($Q929="","",INDEX(상세표[주말·휴일 포함],$Q929)&amp;"")</f>
        <v/>
      </c>
      <c r="P929">
        <f>IF($Q929="","",INDEX(상세표[월 넘김 포함],$Q929)&amp;"")</f>
        <v/>
      </c>
      <c r="Q929" s="4">
        <f>IFERROR(MATCH(924,상세표[연속순번],0),"")</f>
        <v/>
      </c>
    </row>
    <row r="930">
      <c r="A930">
        <f>IF($Q930="","",INDEX(상세표[부서],$Q930)&amp;"")</f>
        <v/>
      </c>
      <c r="B930">
        <f>IF($Q930="","",INDEX(상세표[사번],$Q930)&amp;"")</f>
        <v/>
      </c>
      <c r="C930">
        <f>IF($Q930="","",INDEX(상세표[성명],$Q930)&amp;"")</f>
        <v/>
      </c>
      <c r="D930">
        <f>IF($Q930="","",INDEX(상세표[직위],$Q930)&amp;"")</f>
        <v/>
      </c>
      <c r="E930">
        <f>IF($Q930="","",IF(ISNUMBER(INDEX(상세표[근무일자],$Q930)),TEXT(INDEX(상세표[근무일자],$Q930),"yyyy-mm-dd"),INDEX(상세표[근무일자],$Q930)&amp;""))</f>
        <v/>
      </c>
      <c r="F930">
        <f>IF($Q930="","",IF(ISNUMBER(INDEX(상세표[시작],$Q930)),TEXT(INDEX(상세표[시작],$Q930),"yyyy-mm-dd hh:mm"),INDEX(상세표[시작],$Q930)&amp;""))</f>
        <v/>
      </c>
      <c r="G930">
        <f>IF($Q930="","",IF(ISNUMBER(INDEX(상세표[블록종료],$Q930)),TEXT(INDEX(상세표[블록종료],$Q930),"yyyy-mm-dd hh:mm"),INDEX(상세표[블록종료],$Q930)&amp;""))</f>
        <v/>
      </c>
      <c r="H930">
        <f>IF($Q930="","",CHOOSE(WEEKDAY(INDEX(상세표[시작],$Q930)),"일","월","화","수","목","금","토"))</f>
        <v/>
      </c>
      <c r="I930" s="20">
        <f>IF($Q930="","",INDEX(상세표[연속 시간],$Q930))</f>
        <v/>
      </c>
      <c r="J930">
        <f>IF($Q930="","",INDEX(상세표[기록 수],$Q930))</f>
        <v/>
      </c>
      <c r="K930" s="20">
        <f>IF($Q930="","",INDEX(상세표[블록 06~07시],$Q930))</f>
        <v/>
      </c>
      <c r="L930" s="20">
        <f>IF($Q930="","",INDEX(상세표[블록 07~18시],$Q930))</f>
        <v/>
      </c>
      <c r="M930" s="20">
        <f>IF($Q930="","",INDEX(상세표[블록 18~22시],$Q930))</f>
        <v/>
      </c>
      <c r="N930" s="20">
        <f>IF($Q930="","",INDEX(상세표[블록 22~06시],$Q930))</f>
        <v/>
      </c>
      <c r="O930">
        <f>IF($Q930="","",INDEX(상세표[주말·휴일 포함],$Q930)&amp;"")</f>
        <v/>
      </c>
      <c r="P930">
        <f>IF($Q930="","",INDEX(상세표[월 넘김 포함],$Q930)&amp;"")</f>
        <v/>
      </c>
      <c r="Q930" s="4">
        <f>IFERROR(MATCH(925,상세표[연속순번],0),"")</f>
        <v/>
      </c>
    </row>
    <row r="931">
      <c r="A931">
        <f>IF($Q931="","",INDEX(상세표[부서],$Q931)&amp;"")</f>
        <v/>
      </c>
      <c r="B931">
        <f>IF($Q931="","",INDEX(상세표[사번],$Q931)&amp;"")</f>
        <v/>
      </c>
      <c r="C931">
        <f>IF($Q931="","",INDEX(상세표[성명],$Q931)&amp;"")</f>
        <v/>
      </c>
      <c r="D931">
        <f>IF($Q931="","",INDEX(상세표[직위],$Q931)&amp;"")</f>
        <v/>
      </c>
      <c r="E931">
        <f>IF($Q931="","",IF(ISNUMBER(INDEX(상세표[근무일자],$Q931)),TEXT(INDEX(상세표[근무일자],$Q931),"yyyy-mm-dd"),INDEX(상세표[근무일자],$Q931)&amp;""))</f>
        <v/>
      </c>
      <c r="F931">
        <f>IF($Q931="","",IF(ISNUMBER(INDEX(상세표[시작],$Q931)),TEXT(INDEX(상세표[시작],$Q931),"yyyy-mm-dd hh:mm"),INDEX(상세표[시작],$Q931)&amp;""))</f>
        <v/>
      </c>
      <c r="G931">
        <f>IF($Q931="","",IF(ISNUMBER(INDEX(상세표[블록종료],$Q931)),TEXT(INDEX(상세표[블록종료],$Q931),"yyyy-mm-dd hh:mm"),INDEX(상세표[블록종료],$Q931)&amp;""))</f>
        <v/>
      </c>
      <c r="H931">
        <f>IF($Q931="","",CHOOSE(WEEKDAY(INDEX(상세표[시작],$Q931)),"일","월","화","수","목","금","토"))</f>
        <v/>
      </c>
      <c r="I931" s="20">
        <f>IF($Q931="","",INDEX(상세표[연속 시간],$Q931))</f>
        <v/>
      </c>
      <c r="J931">
        <f>IF($Q931="","",INDEX(상세표[기록 수],$Q931))</f>
        <v/>
      </c>
      <c r="K931" s="20">
        <f>IF($Q931="","",INDEX(상세표[블록 06~07시],$Q931))</f>
        <v/>
      </c>
      <c r="L931" s="20">
        <f>IF($Q931="","",INDEX(상세표[블록 07~18시],$Q931))</f>
        <v/>
      </c>
      <c r="M931" s="20">
        <f>IF($Q931="","",INDEX(상세표[블록 18~22시],$Q931))</f>
        <v/>
      </c>
      <c r="N931" s="20">
        <f>IF($Q931="","",INDEX(상세표[블록 22~06시],$Q931))</f>
        <v/>
      </c>
      <c r="O931">
        <f>IF($Q931="","",INDEX(상세표[주말·휴일 포함],$Q931)&amp;"")</f>
        <v/>
      </c>
      <c r="P931">
        <f>IF($Q931="","",INDEX(상세표[월 넘김 포함],$Q931)&amp;"")</f>
        <v/>
      </c>
      <c r="Q931" s="4">
        <f>IFERROR(MATCH(926,상세표[연속순번],0),"")</f>
        <v/>
      </c>
    </row>
    <row r="932">
      <c r="A932">
        <f>IF($Q932="","",INDEX(상세표[부서],$Q932)&amp;"")</f>
        <v/>
      </c>
      <c r="B932">
        <f>IF($Q932="","",INDEX(상세표[사번],$Q932)&amp;"")</f>
        <v/>
      </c>
      <c r="C932">
        <f>IF($Q932="","",INDEX(상세표[성명],$Q932)&amp;"")</f>
        <v/>
      </c>
      <c r="D932">
        <f>IF($Q932="","",INDEX(상세표[직위],$Q932)&amp;"")</f>
        <v/>
      </c>
      <c r="E932">
        <f>IF($Q932="","",IF(ISNUMBER(INDEX(상세표[근무일자],$Q932)),TEXT(INDEX(상세표[근무일자],$Q932),"yyyy-mm-dd"),INDEX(상세표[근무일자],$Q932)&amp;""))</f>
        <v/>
      </c>
      <c r="F932">
        <f>IF($Q932="","",IF(ISNUMBER(INDEX(상세표[시작],$Q932)),TEXT(INDEX(상세표[시작],$Q932),"yyyy-mm-dd hh:mm"),INDEX(상세표[시작],$Q932)&amp;""))</f>
        <v/>
      </c>
      <c r="G932">
        <f>IF($Q932="","",IF(ISNUMBER(INDEX(상세표[블록종료],$Q932)),TEXT(INDEX(상세표[블록종료],$Q932),"yyyy-mm-dd hh:mm"),INDEX(상세표[블록종료],$Q932)&amp;""))</f>
        <v/>
      </c>
      <c r="H932">
        <f>IF($Q932="","",CHOOSE(WEEKDAY(INDEX(상세표[시작],$Q932)),"일","월","화","수","목","금","토"))</f>
        <v/>
      </c>
      <c r="I932" s="20">
        <f>IF($Q932="","",INDEX(상세표[연속 시간],$Q932))</f>
        <v/>
      </c>
      <c r="J932">
        <f>IF($Q932="","",INDEX(상세표[기록 수],$Q932))</f>
        <v/>
      </c>
      <c r="K932" s="20">
        <f>IF($Q932="","",INDEX(상세표[블록 06~07시],$Q932))</f>
        <v/>
      </c>
      <c r="L932" s="20">
        <f>IF($Q932="","",INDEX(상세표[블록 07~18시],$Q932))</f>
        <v/>
      </c>
      <c r="M932" s="20">
        <f>IF($Q932="","",INDEX(상세표[블록 18~22시],$Q932))</f>
        <v/>
      </c>
      <c r="N932" s="20">
        <f>IF($Q932="","",INDEX(상세표[블록 22~06시],$Q932))</f>
        <v/>
      </c>
      <c r="O932">
        <f>IF($Q932="","",INDEX(상세표[주말·휴일 포함],$Q932)&amp;"")</f>
        <v/>
      </c>
      <c r="P932">
        <f>IF($Q932="","",INDEX(상세표[월 넘김 포함],$Q932)&amp;"")</f>
        <v/>
      </c>
      <c r="Q932" s="4">
        <f>IFERROR(MATCH(927,상세표[연속순번],0),"")</f>
        <v/>
      </c>
    </row>
    <row r="933">
      <c r="A933">
        <f>IF($Q933="","",INDEX(상세표[부서],$Q933)&amp;"")</f>
        <v/>
      </c>
      <c r="B933">
        <f>IF($Q933="","",INDEX(상세표[사번],$Q933)&amp;"")</f>
        <v/>
      </c>
      <c r="C933">
        <f>IF($Q933="","",INDEX(상세표[성명],$Q933)&amp;"")</f>
        <v/>
      </c>
      <c r="D933">
        <f>IF($Q933="","",INDEX(상세표[직위],$Q933)&amp;"")</f>
        <v/>
      </c>
      <c r="E933">
        <f>IF($Q933="","",IF(ISNUMBER(INDEX(상세표[근무일자],$Q933)),TEXT(INDEX(상세표[근무일자],$Q933),"yyyy-mm-dd"),INDEX(상세표[근무일자],$Q933)&amp;""))</f>
        <v/>
      </c>
      <c r="F933">
        <f>IF($Q933="","",IF(ISNUMBER(INDEX(상세표[시작],$Q933)),TEXT(INDEX(상세표[시작],$Q933),"yyyy-mm-dd hh:mm"),INDEX(상세표[시작],$Q933)&amp;""))</f>
        <v/>
      </c>
      <c r="G933">
        <f>IF($Q933="","",IF(ISNUMBER(INDEX(상세표[블록종료],$Q933)),TEXT(INDEX(상세표[블록종료],$Q933),"yyyy-mm-dd hh:mm"),INDEX(상세표[블록종료],$Q933)&amp;""))</f>
        <v/>
      </c>
      <c r="H933">
        <f>IF($Q933="","",CHOOSE(WEEKDAY(INDEX(상세표[시작],$Q933)),"일","월","화","수","목","금","토"))</f>
        <v/>
      </c>
      <c r="I933" s="20">
        <f>IF($Q933="","",INDEX(상세표[연속 시간],$Q933))</f>
        <v/>
      </c>
      <c r="J933">
        <f>IF($Q933="","",INDEX(상세표[기록 수],$Q933))</f>
        <v/>
      </c>
      <c r="K933" s="20">
        <f>IF($Q933="","",INDEX(상세표[블록 06~07시],$Q933))</f>
        <v/>
      </c>
      <c r="L933" s="20">
        <f>IF($Q933="","",INDEX(상세표[블록 07~18시],$Q933))</f>
        <v/>
      </c>
      <c r="M933" s="20">
        <f>IF($Q933="","",INDEX(상세표[블록 18~22시],$Q933))</f>
        <v/>
      </c>
      <c r="N933" s="20">
        <f>IF($Q933="","",INDEX(상세표[블록 22~06시],$Q933))</f>
        <v/>
      </c>
      <c r="O933">
        <f>IF($Q933="","",INDEX(상세표[주말·휴일 포함],$Q933)&amp;"")</f>
        <v/>
      </c>
      <c r="P933">
        <f>IF($Q933="","",INDEX(상세표[월 넘김 포함],$Q933)&amp;"")</f>
        <v/>
      </c>
      <c r="Q933" s="4">
        <f>IFERROR(MATCH(928,상세표[연속순번],0),"")</f>
        <v/>
      </c>
    </row>
    <row r="934">
      <c r="A934">
        <f>IF($Q934="","",INDEX(상세표[부서],$Q934)&amp;"")</f>
        <v/>
      </c>
      <c r="B934">
        <f>IF($Q934="","",INDEX(상세표[사번],$Q934)&amp;"")</f>
        <v/>
      </c>
      <c r="C934">
        <f>IF($Q934="","",INDEX(상세표[성명],$Q934)&amp;"")</f>
        <v/>
      </c>
      <c r="D934">
        <f>IF($Q934="","",INDEX(상세표[직위],$Q934)&amp;"")</f>
        <v/>
      </c>
      <c r="E934">
        <f>IF($Q934="","",IF(ISNUMBER(INDEX(상세표[근무일자],$Q934)),TEXT(INDEX(상세표[근무일자],$Q934),"yyyy-mm-dd"),INDEX(상세표[근무일자],$Q934)&amp;""))</f>
        <v/>
      </c>
      <c r="F934">
        <f>IF($Q934="","",IF(ISNUMBER(INDEX(상세표[시작],$Q934)),TEXT(INDEX(상세표[시작],$Q934),"yyyy-mm-dd hh:mm"),INDEX(상세표[시작],$Q934)&amp;""))</f>
        <v/>
      </c>
      <c r="G934">
        <f>IF($Q934="","",IF(ISNUMBER(INDEX(상세표[블록종료],$Q934)),TEXT(INDEX(상세표[블록종료],$Q934),"yyyy-mm-dd hh:mm"),INDEX(상세표[블록종료],$Q934)&amp;""))</f>
        <v/>
      </c>
      <c r="H934">
        <f>IF($Q934="","",CHOOSE(WEEKDAY(INDEX(상세표[시작],$Q934)),"일","월","화","수","목","금","토"))</f>
        <v/>
      </c>
      <c r="I934" s="20">
        <f>IF($Q934="","",INDEX(상세표[연속 시간],$Q934))</f>
        <v/>
      </c>
      <c r="J934">
        <f>IF($Q934="","",INDEX(상세표[기록 수],$Q934))</f>
        <v/>
      </c>
      <c r="K934" s="20">
        <f>IF($Q934="","",INDEX(상세표[블록 06~07시],$Q934))</f>
        <v/>
      </c>
      <c r="L934" s="20">
        <f>IF($Q934="","",INDEX(상세표[블록 07~18시],$Q934))</f>
        <v/>
      </c>
      <c r="M934" s="20">
        <f>IF($Q934="","",INDEX(상세표[블록 18~22시],$Q934))</f>
        <v/>
      </c>
      <c r="N934" s="20">
        <f>IF($Q934="","",INDEX(상세표[블록 22~06시],$Q934))</f>
        <v/>
      </c>
      <c r="O934">
        <f>IF($Q934="","",INDEX(상세표[주말·휴일 포함],$Q934)&amp;"")</f>
        <v/>
      </c>
      <c r="P934">
        <f>IF($Q934="","",INDEX(상세표[월 넘김 포함],$Q934)&amp;"")</f>
        <v/>
      </c>
      <c r="Q934" s="4">
        <f>IFERROR(MATCH(929,상세표[연속순번],0),"")</f>
        <v/>
      </c>
    </row>
    <row r="935">
      <c r="A935">
        <f>IF($Q935="","",INDEX(상세표[부서],$Q935)&amp;"")</f>
        <v/>
      </c>
      <c r="B935">
        <f>IF($Q935="","",INDEX(상세표[사번],$Q935)&amp;"")</f>
        <v/>
      </c>
      <c r="C935">
        <f>IF($Q935="","",INDEX(상세표[성명],$Q935)&amp;"")</f>
        <v/>
      </c>
      <c r="D935">
        <f>IF($Q935="","",INDEX(상세표[직위],$Q935)&amp;"")</f>
        <v/>
      </c>
      <c r="E935">
        <f>IF($Q935="","",IF(ISNUMBER(INDEX(상세표[근무일자],$Q935)),TEXT(INDEX(상세표[근무일자],$Q935),"yyyy-mm-dd"),INDEX(상세표[근무일자],$Q935)&amp;""))</f>
        <v/>
      </c>
      <c r="F935">
        <f>IF($Q935="","",IF(ISNUMBER(INDEX(상세표[시작],$Q935)),TEXT(INDEX(상세표[시작],$Q935),"yyyy-mm-dd hh:mm"),INDEX(상세표[시작],$Q935)&amp;""))</f>
        <v/>
      </c>
      <c r="G935">
        <f>IF($Q935="","",IF(ISNUMBER(INDEX(상세표[블록종료],$Q935)),TEXT(INDEX(상세표[블록종료],$Q935),"yyyy-mm-dd hh:mm"),INDEX(상세표[블록종료],$Q935)&amp;""))</f>
        <v/>
      </c>
      <c r="H935">
        <f>IF($Q935="","",CHOOSE(WEEKDAY(INDEX(상세표[시작],$Q935)),"일","월","화","수","목","금","토"))</f>
        <v/>
      </c>
      <c r="I935" s="20">
        <f>IF($Q935="","",INDEX(상세표[연속 시간],$Q935))</f>
        <v/>
      </c>
      <c r="J935">
        <f>IF($Q935="","",INDEX(상세표[기록 수],$Q935))</f>
        <v/>
      </c>
      <c r="K935" s="20">
        <f>IF($Q935="","",INDEX(상세표[블록 06~07시],$Q935))</f>
        <v/>
      </c>
      <c r="L935" s="20">
        <f>IF($Q935="","",INDEX(상세표[블록 07~18시],$Q935))</f>
        <v/>
      </c>
      <c r="M935" s="20">
        <f>IF($Q935="","",INDEX(상세표[블록 18~22시],$Q935))</f>
        <v/>
      </c>
      <c r="N935" s="20">
        <f>IF($Q935="","",INDEX(상세표[블록 22~06시],$Q935))</f>
        <v/>
      </c>
      <c r="O935">
        <f>IF($Q935="","",INDEX(상세표[주말·휴일 포함],$Q935)&amp;"")</f>
        <v/>
      </c>
      <c r="P935">
        <f>IF($Q935="","",INDEX(상세표[월 넘김 포함],$Q935)&amp;"")</f>
        <v/>
      </c>
      <c r="Q935" s="4">
        <f>IFERROR(MATCH(930,상세표[연속순번],0),"")</f>
        <v/>
      </c>
    </row>
    <row r="936">
      <c r="A936">
        <f>IF($Q936="","",INDEX(상세표[부서],$Q936)&amp;"")</f>
        <v/>
      </c>
      <c r="B936">
        <f>IF($Q936="","",INDEX(상세표[사번],$Q936)&amp;"")</f>
        <v/>
      </c>
      <c r="C936">
        <f>IF($Q936="","",INDEX(상세표[성명],$Q936)&amp;"")</f>
        <v/>
      </c>
      <c r="D936">
        <f>IF($Q936="","",INDEX(상세표[직위],$Q936)&amp;"")</f>
        <v/>
      </c>
      <c r="E936">
        <f>IF($Q936="","",IF(ISNUMBER(INDEX(상세표[근무일자],$Q936)),TEXT(INDEX(상세표[근무일자],$Q936),"yyyy-mm-dd"),INDEX(상세표[근무일자],$Q936)&amp;""))</f>
        <v/>
      </c>
      <c r="F936">
        <f>IF($Q936="","",IF(ISNUMBER(INDEX(상세표[시작],$Q936)),TEXT(INDEX(상세표[시작],$Q936),"yyyy-mm-dd hh:mm"),INDEX(상세표[시작],$Q936)&amp;""))</f>
        <v/>
      </c>
      <c r="G936">
        <f>IF($Q936="","",IF(ISNUMBER(INDEX(상세표[블록종료],$Q936)),TEXT(INDEX(상세표[블록종료],$Q936),"yyyy-mm-dd hh:mm"),INDEX(상세표[블록종료],$Q936)&amp;""))</f>
        <v/>
      </c>
      <c r="H936">
        <f>IF($Q936="","",CHOOSE(WEEKDAY(INDEX(상세표[시작],$Q936)),"일","월","화","수","목","금","토"))</f>
        <v/>
      </c>
      <c r="I936" s="20">
        <f>IF($Q936="","",INDEX(상세표[연속 시간],$Q936))</f>
        <v/>
      </c>
      <c r="J936">
        <f>IF($Q936="","",INDEX(상세표[기록 수],$Q936))</f>
        <v/>
      </c>
      <c r="K936" s="20">
        <f>IF($Q936="","",INDEX(상세표[블록 06~07시],$Q936))</f>
        <v/>
      </c>
      <c r="L936" s="20">
        <f>IF($Q936="","",INDEX(상세표[블록 07~18시],$Q936))</f>
        <v/>
      </c>
      <c r="M936" s="20">
        <f>IF($Q936="","",INDEX(상세표[블록 18~22시],$Q936))</f>
        <v/>
      </c>
      <c r="N936" s="20">
        <f>IF($Q936="","",INDEX(상세표[블록 22~06시],$Q936))</f>
        <v/>
      </c>
      <c r="O936">
        <f>IF($Q936="","",INDEX(상세표[주말·휴일 포함],$Q936)&amp;"")</f>
        <v/>
      </c>
      <c r="P936">
        <f>IF($Q936="","",INDEX(상세표[월 넘김 포함],$Q936)&amp;"")</f>
        <v/>
      </c>
      <c r="Q936" s="4">
        <f>IFERROR(MATCH(931,상세표[연속순번],0),"")</f>
        <v/>
      </c>
    </row>
    <row r="937">
      <c r="A937">
        <f>IF($Q937="","",INDEX(상세표[부서],$Q937)&amp;"")</f>
        <v/>
      </c>
      <c r="B937">
        <f>IF($Q937="","",INDEX(상세표[사번],$Q937)&amp;"")</f>
        <v/>
      </c>
      <c r="C937">
        <f>IF($Q937="","",INDEX(상세표[성명],$Q937)&amp;"")</f>
        <v/>
      </c>
      <c r="D937">
        <f>IF($Q937="","",INDEX(상세표[직위],$Q937)&amp;"")</f>
        <v/>
      </c>
      <c r="E937">
        <f>IF($Q937="","",IF(ISNUMBER(INDEX(상세표[근무일자],$Q937)),TEXT(INDEX(상세표[근무일자],$Q937),"yyyy-mm-dd"),INDEX(상세표[근무일자],$Q937)&amp;""))</f>
        <v/>
      </c>
      <c r="F937">
        <f>IF($Q937="","",IF(ISNUMBER(INDEX(상세표[시작],$Q937)),TEXT(INDEX(상세표[시작],$Q937),"yyyy-mm-dd hh:mm"),INDEX(상세표[시작],$Q937)&amp;""))</f>
        <v/>
      </c>
      <c r="G937">
        <f>IF($Q937="","",IF(ISNUMBER(INDEX(상세표[블록종료],$Q937)),TEXT(INDEX(상세표[블록종료],$Q937),"yyyy-mm-dd hh:mm"),INDEX(상세표[블록종료],$Q937)&amp;""))</f>
        <v/>
      </c>
      <c r="H937">
        <f>IF($Q937="","",CHOOSE(WEEKDAY(INDEX(상세표[시작],$Q937)),"일","월","화","수","목","금","토"))</f>
        <v/>
      </c>
      <c r="I937" s="20">
        <f>IF($Q937="","",INDEX(상세표[연속 시간],$Q937))</f>
        <v/>
      </c>
      <c r="J937">
        <f>IF($Q937="","",INDEX(상세표[기록 수],$Q937))</f>
        <v/>
      </c>
      <c r="K937" s="20">
        <f>IF($Q937="","",INDEX(상세표[블록 06~07시],$Q937))</f>
        <v/>
      </c>
      <c r="L937" s="20">
        <f>IF($Q937="","",INDEX(상세표[블록 07~18시],$Q937))</f>
        <v/>
      </c>
      <c r="M937" s="20">
        <f>IF($Q937="","",INDEX(상세표[블록 18~22시],$Q937))</f>
        <v/>
      </c>
      <c r="N937" s="20">
        <f>IF($Q937="","",INDEX(상세표[블록 22~06시],$Q937))</f>
        <v/>
      </c>
      <c r="O937">
        <f>IF($Q937="","",INDEX(상세표[주말·휴일 포함],$Q937)&amp;"")</f>
        <v/>
      </c>
      <c r="P937">
        <f>IF($Q937="","",INDEX(상세표[월 넘김 포함],$Q937)&amp;"")</f>
        <v/>
      </c>
      <c r="Q937" s="4">
        <f>IFERROR(MATCH(932,상세표[연속순번],0),"")</f>
        <v/>
      </c>
    </row>
    <row r="938">
      <c r="A938">
        <f>IF($Q938="","",INDEX(상세표[부서],$Q938)&amp;"")</f>
        <v/>
      </c>
      <c r="B938">
        <f>IF($Q938="","",INDEX(상세표[사번],$Q938)&amp;"")</f>
        <v/>
      </c>
      <c r="C938">
        <f>IF($Q938="","",INDEX(상세표[성명],$Q938)&amp;"")</f>
        <v/>
      </c>
      <c r="D938">
        <f>IF($Q938="","",INDEX(상세표[직위],$Q938)&amp;"")</f>
        <v/>
      </c>
      <c r="E938">
        <f>IF($Q938="","",IF(ISNUMBER(INDEX(상세표[근무일자],$Q938)),TEXT(INDEX(상세표[근무일자],$Q938),"yyyy-mm-dd"),INDEX(상세표[근무일자],$Q938)&amp;""))</f>
        <v/>
      </c>
      <c r="F938">
        <f>IF($Q938="","",IF(ISNUMBER(INDEX(상세표[시작],$Q938)),TEXT(INDEX(상세표[시작],$Q938),"yyyy-mm-dd hh:mm"),INDEX(상세표[시작],$Q938)&amp;""))</f>
        <v/>
      </c>
      <c r="G938">
        <f>IF($Q938="","",IF(ISNUMBER(INDEX(상세표[블록종료],$Q938)),TEXT(INDEX(상세표[블록종료],$Q938),"yyyy-mm-dd hh:mm"),INDEX(상세표[블록종료],$Q938)&amp;""))</f>
        <v/>
      </c>
      <c r="H938">
        <f>IF($Q938="","",CHOOSE(WEEKDAY(INDEX(상세표[시작],$Q938)),"일","월","화","수","목","금","토"))</f>
        <v/>
      </c>
      <c r="I938" s="20">
        <f>IF($Q938="","",INDEX(상세표[연속 시간],$Q938))</f>
        <v/>
      </c>
      <c r="J938">
        <f>IF($Q938="","",INDEX(상세표[기록 수],$Q938))</f>
        <v/>
      </c>
      <c r="K938" s="20">
        <f>IF($Q938="","",INDEX(상세표[블록 06~07시],$Q938))</f>
        <v/>
      </c>
      <c r="L938" s="20">
        <f>IF($Q938="","",INDEX(상세표[블록 07~18시],$Q938))</f>
        <v/>
      </c>
      <c r="M938" s="20">
        <f>IF($Q938="","",INDEX(상세표[블록 18~22시],$Q938))</f>
        <v/>
      </c>
      <c r="N938" s="20">
        <f>IF($Q938="","",INDEX(상세표[블록 22~06시],$Q938))</f>
        <v/>
      </c>
      <c r="O938">
        <f>IF($Q938="","",INDEX(상세표[주말·휴일 포함],$Q938)&amp;"")</f>
        <v/>
      </c>
      <c r="P938">
        <f>IF($Q938="","",INDEX(상세표[월 넘김 포함],$Q938)&amp;"")</f>
        <v/>
      </c>
      <c r="Q938" s="4">
        <f>IFERROR(MATCH(933,상세표[연속순번],0),"")</f>
        <v/>
      </c>
    </row>
    <row r="939">
      <c r="A939">
        <f>IF($Q939="","",INDEX(상세표[부서],$Q939)&amp;"")</f>
        <v/>
      </c>
      <c r="B939">
        <f>IF($Q939="","",INDEX(상세표[사번],$Q939)&amp;"")</f>
        <v/>
      </c>
      <c r="C939">
        <f>IF($Q939="","",INDEX(상세표[성명],$Q939)&amp;"")</f>
        <v/>
      </c>
      <c r="D939">
        <f>IF($Q939="","",INDEX(상세표[직위],$Q939)&amp;"")</f>
        <v/>
      </c>
      <c r="E939">
        <f>IF($Q939="","",IF(ISNUMBER(INDEX(상세표[근무일자],$Q939)),TEXT(INDEX(상세표[근무일자],$Q939),"yyyy-mm-dd"),INDEX(상세표[근무일자],$Q939)&amp;""))</f>
        <v/>
      </c>
      <c r="F939">
        <f>IF($Q939="","",IF(ISNUMBER(INDEX(상세표[시작],$Q939)),TEXT(INDEX(상세표[시작],$Q939),"yyyy-mm-dd hh:mm"),INDEX(상세표[시작],$Q939)&amp;""))</f>
        <v/>
      </c>
      <c r="G939">
        <f>IF($Q939="","",IF(ISNUMBER(INDEX(상세표[블록종료],$Q939)),TEXT(INDEX(상세표[블록종료],$Q939),"yyyy-mm-dd hh:mm"),INDEX(상세표[블록종료],$Q939)&amp;""))</f>
        <v/>
      </c>
      <c r="H939">
        <f>IF($Q939="","",CHOOSE(WEEKDAY(INDEX(상세표[시작],$Q939)),"일","월","화","수","목","금","토"))</f>
        <v/>
      </c>
      <c r="I939" s="20">
        <f>IF($Q939="","",INDEX(상세표[연속 시간],$Q939))</f>
        <v/>
      </c>
      <c r="J939">
        <f>IF($Q939="","",INDEX(상세표[기록 수],$Q939))</f>
        <v/>
      </c>
      <c r="K939" s="20">
        <f>IF($Q939="","",INDEX(상세표[블록 06~07시],$Q939))</f>
        <v/>
      </c>
      <c r="L939" s="20">
        <f>IF($Q939="","",INDEX(상세표[블록 07~18시],$Q939))</f>
        <v/>
      </c>
      <c r="M939" s="20">
        <f>IF($Q939="","",INDEX(상세표[블록 18~22시],$Q939))</f>
        <v/>
      </c>
      <c r="N939" s="20">
        <f>IF($Q939="","",INDEX(상세표[블록 22~06시],$Q939))</f>
        <v/>
      </c>
      <c r="O939">
        <f>IF($Q939="","",INDEX(상세표[주말·휴일 포함],$Q939)&amp;"")</f>
        <v/>
      </c>
      <c r="P939">
        <f>IF($Q939="","",INDEX(상세표[월 넘김 포함],$Q939)&amp;"")</f>
        <v/>
      </c>
      <c r="Q939" s="4">
        <f>IFERROR(MATCH(934,상세표[연속순번],0),"")</f>
        <v/>
      </c>
    </row>
    <row r="940">
      <c r="A940">
        <f>IF($Q940="","",INDEX(상세표[부서],$Q940)&amp;"")</f>
        <v/>
      </c>
      <c r="B940">
        <f>IF($Q940="","",INDEX(상세표[사번],$Q940)&amp;"")</f>
        <v/>
      </c>
      <c r="C940">
        <f>IF($Q940="","",INDEX(상세표[성명],$Q940)&amp;"")</f>
        <v/>
      </c>
      <c r="D940">
        <f>IF($Q940="","",INDEX(상세표[직위],$Q940)&amp;"")</f>
        <v/>
      </c>
      <c r="E940">
        <f>IF($Q940="","",IF(ISNUMBER(INDEX(상세표[근무일자],$Q940)),TEXT(INDEX(상세표[근무일자],$Q940),"yyyy-mm-dd"),INDEX(상세표[근무일자],$Q940)&amp;""))</f>
        <v/>
      </c>
      <c r="F940">
        <f>IF($Q940="","",IF(ISNUMBER(INDEX(상세표[시작],$Q940)),TEXT(INDEX(상세표[시작],$Q940),"yyyy-mm-dd hh:mm"),INDEX(상세표[시작],$Q940)&amp;""))</f>
        <v/>
      </c>
      <c r="G940">
        <f>IF($Q940="","",IF(ISNUMBER(INDEX(상세표[블록종료],$Q940)),TEXT(INDEX(상세표[블록종료],$Q940),"yyyy-mm-dd hh:mm"),INDEX(상세표[블록종료],$Q940)&amp;""))</f>
        <v/>
      </c>
      <c r="H940">
        <f>IF($Q940="","",CHOOSE(WEEKDAY(INDEX(상세표[시작],$Q940)),"일","월","화","수","목","금","토"))</f>
        <v/>
      </c>
      <c r="I940" s="20">
        <f>IF($Q940="","",INDEX(상세표[연속 시간],$Q940))</f>
        <v/>
      </c>
      <c r="J940">
        <f>IF($Q940="","",INDEX(상세표[기록 수],$Q940))</f>
        <v/>
      </c>
      <c r="K940" s="20">
        <f>IF($Q940="","",INDEX(상세표[블록 06~07시],$Q940))</f>
        <v/>
      </c>
      <c r="L940" s="20">
        <f>IF($Q940="","",INDEX(상세표[블록 07~18시],$Q940))</f>
        <v/>
      </c>
      <c r="M940" s="20">
        <f>IF($Q940="","",INDEX(상세표[블록 18~22시],$Q940))</f>
        <v/>
      </c>
      <c r="N940" s="20">
        <f>IF($Q940="","",INDEX(상세표[블록 22~06시],$Q940))</f>
        <v/>
      </c>
      <c r="O940">
        <f>IF($Q940="","",INDEX(상세표[주말·휴일 포함],$Q940)&amp;"")</f>
        <v/>
      </c>
      <c r="P940">
        <f>IF($Q940="","",INDEX(상세표[월 넘김 포함],$Q940)&amp;"")</f>
        <v/>
      </c>
      <c r="Q940" s="4">
        <f>IFERROR(MATCH(935,상세표[연속순번],0),"")</f>
        <v/>
      </c>
    </row>
    <row r="941">
      <c r="A941">
        <f>IF($Q941="","",INDEX(상세표[부서],$Q941)&amp;"")</f>
        <v/>
      </c>
      <c r="B941">
        <f>IF($Q941="","",INDEX(상세표[사번],$Q941)&amp;"")</f>
        <v/>
      </c>
      <c r="C941">
        <f>IF($Q941="","",INDEX(상세표[성명],$Q941)&amp;"")</f>
        <v/>
      </c>
      <c r="D941">
        <f>IF($Q941="","",INDEX(상세표[직위],$Q941)&amp;"")</f>
        <v/>
      </c>
      <c r="E941">
        <f>IF($Q941="","",IF(ISNUMBER(INDEX(상세표[근무일자],$Q941)),TEXT(INDEX(상세표[근무일자],$Q941),"yyyy-mm-dd"),INDEX(상세표[근무일자],$Q941)&amp;""))</f>
        <v/>
      </c>
      <c r="F941">
        <f>IF($Q941="","",IF(ISNUMBER(INDEX(상세표[시작],$Q941)),TEXT(INDEX(상세표[시작],$Q941),"yyyy-mm-dd hh:mm"),INDEX(상세표[시작],$Q941)&amp;""))</f>
        <v/>
      </c>
      <c r="G941">
        <f>IF($Q941="","",IF(ISNUMBER(INDEX(상세표[블록종료],$Q941)),TEXT(INDEX(상세표[블록종료],$Q941),"yyyy-mm-dd hh:mm"),INDEX(상세표[블록종료],$Q941)&amp;""))</f>
        <v/>
      </c>
      <c r="H941">
        <f>IF($Q941="","",CHOOSE(WEEKDAY(INDEX(상세표[시작],$Q941)),"일","월","화","수","목","금","토"))</f>
        <v/>
      </c>
      <c r="I941" s="20">
        <f>IF($Q941="","",INDEX(상세표[연속 시간],$Q941))</f>
        <v/>
      </c>
      <c r="J941">
        <f>IF($Q941="","",INDEX(상세표[기록 수],$Q941))</f>
        <v/>
      </c>
      <c r="K941" s="20">
        <f>IF($Q941="","",INDEX(상세표[블록 06~07시],$Q941))</f>
        <v/>
      </c>
      <c r="L941" s="20">
        <f>IF($Q941="","",INDEX(상세표[블록 07~18시],$Q941))</f>
        <v/>
      </c>
      <c r="M941" s="20">
        <f>IF($Q941="","",INDEX(상세표[블록 18~22시],$Q941))</f>
        <v/>
      </c>
      <c r="N941" s="20">
        <f>IF($Q941="","",INDEX(상세표[블록 22~06시],$Q941))</f>
        <v/>
      </c>
      <c r="O941">
        <f>IF($Q941="","",INDEX(상세표[주말·휴일 포함],$Q941)&amp;"")</f>
        <v/>
      </c>
      <c r="P941">
        <f>IF($Q941="","",INDEX(상세표[월 넘김 포함],$Q941)&amp;"")</f>
        <v/>
      </c>
      <c r="Q941" s="4">
        <f>IFERROR(MATCH(936,상세표[연속순번],0),"")</f>
        <v/>
      </c>
    </row>
    <row r="942">
      <c r="A942">
        <f>IF($Q942="","",INDEX(상세표[부서],$Q942)&amp;"")</f>
        <v/>
      </c>
      <c r="B942">
        <f>IF($Q942="","",INDEX(상세표[사번],$Q942)&amp;"")</f>
        <v/>
      </c>
      <c r="C942">
        <f>IF($Q942="","",INDEX(상세표[성명],$Q942)&amp;"")</f>
        <v/>
      </c>
      <c r="D942">
        <f>IF($Q942="","",INDEX(상세표[직위],$Q942)&amp;"")</f>
        <v/>
      </c>
      <c r="E942">
        <f>IF($Q942="","",IF(ISNUMBER(INDEX(상세표[근무일자],$Q942)),TEXT(INDEX(상세표[근무일자],$Q942),"yyyy-mm-dd"),INDEX(상세표[근무일자],$Q942)&amp;""))</f>
        <v/>
      </c>
      <c r="F942">
        <f>IF($Q942="","",IF(ISNUMBER(INDEX(상세표[시작],$Q942)),TEXT(INDEX(상세표[시작],$Q942),"yyyy-mm-dd hh:mm"),INDEX(상세표[시작],$Q942)&amp;""))</f>
        <v/>
      </c>
      <c r="G942">
        <f>IF($Q942="","",IF(ISNUMBER(INDEX(상세표[블록종료],$Q942)),TEXT(INDEX(상세표[블록종료],$Q942),"yyyy-mm-dd hh:mm"),INDEX(상세표[블록종료],$Q942)&amp;""))</f>
        <v/>
      </c>
      <c r="H942">
        <f>IF($Q942="","",CHOOSE(WEEKDAY(INDEX(상세표[시작],$Q942)),"일","월","화","수","목","금","토"))</f>
        <v/>
      </c>
      <c r="I942" s="20">
        <f>IF($Q942="","",INDEX(상세표[연속 시간],$Q942))</f>
        <v/>
      </c>
      <c r="J942">
        <f>IF($Q942="","",INDEX(상세표[기록 수],$Q942))</f>
        <v/>
      </c>
      <c r="K942" s="20">
        <f>IF($Q942="","",INDEX(상세표[블록 06~07시],$Q942))</f>
        <v/>
      </c>
      <c r="L942" s="20">
        <f>IF($Q942="","",INDEX(상세표[블록 07~18시],$Q942))</f>
        <v/>
      </c>
      <c r="M942" s="20">
        <f>IF($Q942="","",INDEX(상세표[블록 18~22시],$Q942))</f>
        <v/>
      </c>
      <c r="N942" s="20">
        <f>IF($Q942="","",INDEX(상세표[블록 22~06시],$Q942))</f>
        <v/>
      </c>
      <c r="O942">
        <f>IF($Q942="","",INDEX(상세표[주말·휴일 포함],$Q942)&amp;"")</f>
        <v/>
      </c>
      <c r="P942">
        <f>IF($Q942="","",INDEX(상세표[월 넘김 포함],$Q942)&amp;"")</f>
        <v/>
      </c>
      <c r="Q942" s="4">
        <f>IFERROR(MATCH(937,상세표[연속순번],0),"")</f>
        <v/>
      </c>
    </row>
    <row r="943">
      <c r="A943">
        <f>IF($Q943="","",INDEX(상세표[부서],$Q943)&amp;"")</f>
        <v/>
      </c>
      <c r="B943">
        <f>IF($Q943="","",INDEX(상세표[사번],$Q943)&amp;"")</f>
        <v/>
      </c>
      <c r="C943">
        <f>IF($Q943="","",INDEX(상세표[성명],$Q943)&amp;"")</f>
        <v/>
      </c>
      <c r="D943">
        <f>IF($Q943="","",INDEX(상세표[직위],$Q943)&amp;"")</f>
        <v/>
      </c>
      <c r="E943">
        <f>IF($Q943="","",IF(ISNUMBER(INDEX(상세표[근무일자],$Q943)),TEXT(INDEX(상세표[근무일자],$Q943),"yyyy-mm-dd"),INDEX(상세표[근무일자],$Q943)&amp;""))</f>
        <v/>
      </c>
      <c r="F943">
        <f>IF($Q943="","",IF(ISNUMBER(INDEX(상세표[시작],$Q943)),TEXT(INDEX(상세표[시작],$Q943),"yyyy-mm-dd hh:mm"),INDEX(상세표[시작],$Q943)&amp;""))</f>
        <v/>
      </c>
      <c r="G943">
        <f>IF($Q943="","",IF(ISNUMBER(INDEX(상세표[블록종료],$Q943)),TEXT(INDEX(상세표[블록종료],$Q943),"yyyy-mm-dd hh:mm"),INDEX(상세표[블록종료],$Q943)&amp;""))</f>
        <v/>
      </c>
      <c r="H943">
        <f>IF($Q943="","",CHOOSE(WEEKDAY(INDEX(상세표[시작],$Q943)),"일","월","화","수","목","금","토"))</f>
        <v/>
      </c>
      <c r="I943" s="20">
        <f>IF($Q943="","",INDEX(상세표[연속 시간],$Q943))</f>
        <v/>
      </c>
      <c r="J943">
        <f>IF($Q943="","",INDEX(상세표[기록 수],$Q943))</f>
        <v/>
      </c>
      <c r="K943" s="20">
        <f>IF($Q943="","",INDEX(상세표[블록 06~07시],$Q943))</f>
        <v/>
      </c>
      <c r="L943" s="20">
        <f>IF($Q943="","",INDEX(상세표[블록 07~18시],$Q943))</f>
        <v/>
      </c>
      <c r="M943" s="20">
        <f>IF($Q943="","",INDEX(상세표[블록 18~22시],$Q943))</f>
        <v/>
      </c>
      <c r="N943" s="20">
        <f>IF($Q943="","",INDEX(상세표[블록 22~06시],$Q943))</f>
        <v/>
      </c>
      <c r="O943">
        <f>IF($Q943="","",INDEX(상세표[주말·휴일 포함],$Q943)&amp;"")</f>
        <v/>
      </c>
      <c r="P943">
        <f>IF($Q943="","",INDEX(상세표[월 넘김 포함],$Q943)&amp;"")</f>
        <v/>
      </c>
      <c r="Q943" s="4">
        <f>IFERROR(MATCH(938,상세표[연속순번],0),"")</f>
        <v/>
      </c>
    </row>
    <row r="944">
      <c r="A944">
        <f>IF($Q944="","",INDEX(상세표[부서],$Q944)&amp;"")</f>
        <v/>
      </c>
      <c r="B944">
        <f>IF($Q944="","",INDEX(상세표[사번],$Q944)&amp;"")</f>
        <v/>
      </c>
      <c r="C944">
        <f>IF($Q944="","",INDEX(상세표[성명],$Q944)&amp;"")</f>
        <v/>
      </c>
      <c r="D944">
        <f>IF($Q944="","",INDEX(상세표[직위],$Q944)&amp;"")</f>
        <v/>
      </c>
      <c r="E944">
        <f>IF($Q944="","",IF(ISNUMBER(INDEX(상세표[근무일자],$Q944)),TEXT(INDEX(상세표[근무일자],$Q944),"yyyy-mm-dd"),INDEX(상세표[근무일자],$Q944)&amp;""))</f>
        <v/>
      </c>
      <c r="F944">
        <f>IF($Q944="","",IF(ISNUMBER(INDEX(상세표[시작],$Q944)),TEXT(INDEX(상세표[시작],$Q944),"yyyy-mm-dd hh:mm"),INDEX(상세표[시작],$Q944)&amp;""))</f>
        <v/>
      </c>
      <c r="G944">
        <f>IF($Q944="","",IF(ISNUMBER(INDEX(상세표[블록종료],$Q944)),TEXT(INDEX(상세표[블록종료],$Q944),"yyyy-mm-dd hh:mm"),INDEX(상세표[블록종료],$Q944)&amp;""))</f>
        <v/>
      </c>
      <c r="H944">
        <f>IF($Q944="","",CHOOSE(WEEKDAY(INDEX(상세표[시작],$Q944)),"일","월","화","수","목","금","토"))</f>
        <v/>
      </c>
      <c r="I944" s="20">
        <f>IF($Q944="","",INDEX(상세표[연속 시간],$Q944))</f>
        <v/>
      </c>
      <c r="J944">
        <f>IF($Q944="","",INDEX(상세표[기록 수],$Q944))</f>
        <v/>
      </c>
      <c r="K944" s="20">
        <f>IF($Q944="","",INDEX(상세표[블록 06~07시],$Q944))</f>
        <v/>
      </c>
      <c r="L944" s="20">
        <f>IF($Q944="","",INDEX(상세표[블록 07~18시],$Q944))</f>
        <v/>
      </c>
      <c r="M944" s="20">
        <f>IF($Q944="","",INDEX(상세표[블록 18~22시],$Q944))</f>
        <v/>
      </c>
      <c r="N944" s="20">
        <f>IF($Q944="","",INDEX(상세표[블록 22~06시],$Q944))</f>
        <v/>
      </c>
      <c r="O944">
        <f>IF($Q944="","",INDEX(상세표[주말·휴일 포함],$Q944)&amp;"")</f>
        <v/>
      </c>
      <c r="P944">
        <f>IF($Q944="","",INDEX(상세표[월 넘김 포함],$Q944)&amp;"")</f>
        <v/>
      </c>
      <c r="Q944" s="4">
        <f>IFERROR(MATCH(939,상세표[연속순번],0),"")</f>
        <v/>
      </c>
    </row>
    <row r="945">
      <c r="A945">
        <f>IF($Q945="","",INDEX(상세표[부서],$Q945)&amp;"")</f>
        <v/>
      </c>
      <c r="B945">
        <f>IF($Q945="","",INDEX(상세표[사번],$Q945)&amp;"")</f>
        <v/>
      </c>
      <c r="C945">
        <f>IF($Q945="","",INDEX(상세표[성명],$Q945)&amp;"")</f>
        <v/>
      </c>
      <c r="D945">
        <f>IF($Q945="","",INDEX(상세표[직위],$Q945)&amp;"")</f>
        <v/>
      </c>
      <c r="E945">
        <f>IF($Q945="","",IF(ISNUMBER(INDEX(상세표[근무일자],$Q945)),TEXT(INDEX(상세표[근무일자],$Q945),"yyyy-mm-dd"),INDEX(상세표[근무일자],$Q945)&amp;""))</f>
        <v/>
      </c>
      <c r="F945">
        <f>IF($Q945="","",IF(ISNUMBER(INDEX(상세표[시작],$Q945)),TEXT(INDEX(상세표[시작],$Q945),"yyyy-mm-dd hh:mm"),INDEX(상세표[시작],$Q945)&amp;""))</f>
        <v/>
      </c>
      <c r="G945">
        <f>IF($Q945="","",IF(ISNUMBER(INDEX(상세표[블록종료],$Q945)),TEXT(INDEX(상세표[블록종료],$Q945),"yyyy-mm-dd hh:mm"),INDEX(상세표[블록종료],$Q945)&amp;""))</f>
        <v/>
      </c>
      <c r="H945">
        <f>IF($Q945="","",CHOOSE(WEEKDAY(INDEX(상세표[시작],$Q945)),"일","월","화","수","목","금","토"))</f>
        <v/>
      </c>
      <c r="I945" s="20">
        <f>IF($Q945="","",INDEX(상세표[연속 시간],$Q945))</f>
        <v/>
      </c>
      <c r="J945">
        <f>IF($Q945="","",INDEX(상세표[기록 수],$Q945))</f>
        <v/>
      </c>
      <c r="K945" s="20">
        <f>IF($Q945="","",INDEX(상세표[블록 06~07시],$Q945))</f>
        <v/>
      </c>
      <c r="L945" s="20">
        <f>IF($Q945="","",INDEX(상세표[블록 07~18시],$Q945))</f>
        <v/>
      </c>
      <c r="M945" s="20">
        <f>IF($Q945="","",INDEX(상세표[블록 18~22시],$Q945))</f>
        <v/>
      </c>
      <c r="N945" s="20">
        <f>IF($Q945="","",INDEX(상세표[블록 22~06시],$Q945))</f>
        <v/>
      </c>
      <c r="O945">
        <f>IF($Q945="","",INDEX(상세표[주말·휴일 포함],$Q945)&amp;"")</f>
        <v/>
      </c>
      <c r="P945">
        <f>IF($Q945="","",INDEX(상세표[월 넘김 포함],$Q945)&amp;"")</f>
        <v/>
      </c>
      <c r="Q945" s="4">
        <f>IFERROR(MATCH(940,상세표[연속순번],0),"")</f>
        <v/>
      </c>
    </row>
    <row r="946">
      <c r="A946">
        <f>IF($Q946="","",INDEX(상세표[부서],$Q946)&amp;"")</f>
        <v/>
      </c>
      <c r="B946">
        <f>IF($Q946="","",INDEX(상세표[사번],$Q946)&amp;"")</f>
        <v/>
      </c>
      <c r="C946">
        <f>IF($Q946="","",INDEX(상세표[성명],$Q946)&amp;"")</f>
        <v/>
      </c>
      <c r="D946">
        <f>IF($Q946="","",INDEX(상세표[직위],$Q946)&amp;"")</f>
        <v/>
      </c>
      <c r="E946">
        <f>IF($Q946="","",IF(ISNUMBER(INDEX(상세표[근무일자],$Q946)),TEXT(INDEX(상세표[근무일자],$Q946),"yyyy-mm-dd"),INDEX(상세표[근무일자],$Q946)&amp;""))</f>
        <v/>
      </c>
      <c r="F946">
        <f>IF($Q946="","",IF(ISNUMBER(INDEX(상세표[시작],$Q946)),TEXT(INDEX(상세표[시작],$Q946),"yyyy-mm-dd hh:mm"),INDEX(상세표[시작],$Q946)&amp;""))</f>
        <v/>
      </c>
      <c r="G946">
        <f>IF($Q946="","",IF(ISNUMBER(INDEX(상세표[블록종료],$Q946)),TEXT(INDEX(상세표[블록종료],$Q946),"yyyy-mm-dd hh:mm"),INDEX(상세표[블록종료],$Q946)&amp;""))</f>
        <v/>
      </c>
      <c r="H946">
        <f>IF($Q946="","",CHOOSE(WEEKDAY(INDEX(상세표[시작],$Q946)),"일","월","화","수","목","금","토"))</f>
        <v/>
      </c>
      <c r="I946" s="20">
        <f>IF($Q946="","",INDEX(상세표[연속 시간],$Q946))</f>
        <v/>
      </c>
      <c r="J946">
        <f>IF($Q946="","",INDEX(상세표[기록 수],$Q946))</f>
        <v/>
      </c>
      <c r="K946" s="20">
        <f>IF($Q946="","",INDEX(상세표[블록 06~07시],$Q946))</f>
        <v/>
      </c>
      <c r="L946" s="20">
        <f>IF($Q946="","",INDEX(상세표[블록 07~18시],$Q946))</f>
        <v/>
      </c>
      <c r="M946" s="20">
        <f>IF($Q946="","",INDEX(상세표[블록 18~22시],$Q946))</f>
        <v/>
      </c>
      <c r="N946" s="20">
        <f>IF($Q946="","",INDEX(상세표[블록 22~06시],$Q946))</f>
        <v/>
      </c>
      <c r="O946">
        <f>IF($Q946="","",INDEX(상세표[주말·휴일 포함],$Q946)&amp;"")</f>
        <v/>
      </c>
      <c r="P946">
        <f>IF($Q946="","",INDEX(상세표[월 넘김 포함],$Q946)&amp;"")</f>
        <v/>
      </c>
      <c r="Q946" s="4">
        <f>IFERROR(MATCH(941,상세표[연속순번],0),"")</f>
        <v/>
      </c>
    </row>
    <row r="947">
      <c r="A947">
        <f>IF($Q947="","",INDEX(상세표[부서],$Q947)&amp;"")</f>
        <v/>
      </c>
      <c r="B947">
        <f>IF($Q947="","",INDEX(상세표[사번],$Q947)&amp;"")</f>
        <v/>
      </c>
      <c r="C947">
        <f>IF($Q947="","",INDEX(상세표[성명],$Q947)&amp;"")</f>
        <v/>
      </c>
      <c r="D947">
        <f>IF($Q947="","",INDEX(상세표[직위],$Q947)&amp;"")</f>
        <v/>
      </c>
      <c r="E947">
        <f>IF($Q947="","",IF(ISNUMBER(INDEX(상세표[근무일자],$Q947)),TEXT(INDEX(상세표[근무일자],$Q947),"yyyy-mm-dd"),INDEX(상세표[근무일자],$Q947)&amp;""))</f>
        <v/>
      </c>
      <c r="F947">
        <f>IF($Q947="","",IF(ISNUMBER(INDEX(상세표[시작],$Q947)),TEXT(INDEX(상세표[시작],$Q947),"yyyy-mm-dd hh:mm"),INDEX(상세표[시작],$Q947)&amp;""))</f>
        <v/>
      </c>
      <c r="G947">
        <f>IF($Q947="","",IF(ISNUMBER(INDEX(상세표[블록종료],$Q947)),TEXT(INDEX(상세표[블록종료],$Q947),"yyyy-mm-dd hh:mm"),INDEX(상세표[블록종료],$Q947)&amp;""))</f>
        <v/>
      </c>
      <c r="H947">
        <f>IF($Q947="","",CHOOSE(WEEKDAY(INDEX(상세표[시작],$Q947)),"일","월","화","수","목","금","토"))</f>
        <v/>
      </c>
      <c r="I947" s="20">
        <f>IF($Q947="","",INDEX(상세표[연속 시간],$Q947))</f>
        <v/>
      </c>
      <c r="J947">
        <f>IF($Q947="","",INDEX(상세표[기록 수],$Q947))</f>
        <v/>
      </c>
      <c r="K947" s="20">
        <f>IF($Q947="","",INDEX(상세표[블록 06~07시],$Q947))</f>
        <v/>
      </c>
      <c r="L947" s="20">
        <f>IF($Q947="","",INDEX(상세표[블록 07~18시],$Q947))</f>
        <v/>
      </c>
      <c r="M947" s="20">
        <f>IF($Q947="","",INDEX(상세표[블록 18~22시],$Q947))</f>
        <v/>
      </c>
      <c r="N947" s="20">
        <f>IF($Q947="","",INDEX(상세표[블록 22~06시],$Q947))</f>
        <v/>
      </c>
      <c r="O947">
        <f>IF($Q947="","",INDEX(상세표[주말·휴일 포함],$Q947)&amp;"")</f>
        <v/>
      </c>
      <c r="P947">
        <f>IF($Q947="","",INDEX(상세표[월 넘김 포함],$Q947)&amp;"")</f>
        <v/>
      </c>
      <c r="Q947" s="4">
        <f>IFERROR(MATCH(942,상세표[연속순번],0),"")</f>
        <v/>
      </c>
    </row>
    <row r="948">
      <c r="A948">
        <f>IF($Q948="","",INDEX(상세표[부서],$Q948)&amp;"")</f>
        <v/>
      </c>
      <c r="B948">
        <f>IF($Q948="","",INDEX(상세표[사번],$Q948)&amp;"")</f>
        <v/>
      </c>
      <c r="C948">
        <f>IF($Q948="","",INDEX(상세표[성명],$Q948)&amp;"")</f>
        <v/>
      </c>
      <c r="D948">
        <f>IF($Q948="","",INDEX(상세표[직위],$Q948)&amp;"")</f>
        <v/>
      </c>
      <c r="E948">
        <f>IF($Q948="","",IF(ISNUMBER(INDEX(상세표[근무일자],$Q948)),TEXT(INDEX(상세표[근무일자],$Q948),"yyyy-mm-dd"),INDEX(상세표[근무일자],$Q948)&amp;""))</f>
        <v/>
      </c>
      <c r="F948">
        <f>IF($Q948="","",IF(ISNUMBER(INDEX(상세표[시작],$Q948)),TEXT(INDEX(상세표[시작],$Q948),"yyyy-mm-dd hh:mm"),INDEX(상세표[시작],$Q948)&amp;""))</f>
        <v/>
      </c>
      <c r="G948">
        <f>IF($Q948="","",IF(ISNUMBER(INDEX(상세표[블록종료],$Q948)),TEXT(INDEX(상세표[블록종료],$Q948),"yyyy-mm-dd hh:mm"),INDEX(상세표[블록종료],$Q948)&amp;""))</f>
        <v/>
      </c>
      <c r="H948">
        <f>IF($Q948="","",CHOOSE(WEEKDAY(INDEX(상세표[시작],$Q948)),"일","월","화","수","목","금","토"))</f>
        <v/>
      </c>
      <c r="I948" s="20">
        <f>IF($Q948="","",INDEX(상세표[연속 시간],$Q948))</f>
        <v/>
      </c>
      <c r="J948">
        <f>IF($Q948="","",INDEX(상세표[기록 수],$Q948))</f>
        <v/>
      </c>
      <c r="K948" s="20">
        <f>IF($Q948="","",INDEX(상세표[블록 06~07시],$Q948))</f>
        <v/>
      </c>
      <c r="L948" s="20">
        <f>IF($Q948="","",INDEX(상세표[블록 07~18시],$Q948))</f>
        <v/>
      </c>
      <c r="M948" s="20">
        <f>IF($Q948="","",INDEX(상세표[블록 18~22시],$Q948))</f>
        <v/>
      </c>
      <c r="N948" s="20">
        <f>IF($Q948="","",INDEX(상세표[블록 22~06시],$Q948))</f>
        <v/>
      </c>
      <c r="O948">
        <f>IF($Q948="","",INDEX(상세표[주말·휴일 포함],$Q948)&amp;"")</f>
        <v/>
      </c>
      <c r="P948">
        <f>IF($Q948="","",INDEX(상세표[월 넘김 포함],$Q948)&amp;"")</f>
        <v/>
      </c>
      <c r="Q948" s="4">
        <f>IFERROR(MATCH(943,상세표[연속순번],0),"")</f>
        <v/>
      </c>
    </row>
    <row r="949">
      <c r="A949">
        <f>IF($Q949="","",INDEX(상세표[부서],$Q949)&amp;"")</f>
        <v/>
      </c>
      <c r="B949">
        <f>IF($Q949="","",INDEX(상세표[사번],$Q949)&amp;"")</f>
        <v/>
      </c>
      <c r="C949">
        <f>IF($Q949="","",INDEX(상세표[성명],$Q949)&amp;"")</f>
        <v/>
      </c>
      <c r="D949">
        <f>IF($Q949="","",INDEX(상세표[직위],$Q949)&amp;"")</f>
        <v/>
      </c>
      <c r="E949">
        <f>IF($Q949="","",IF(ISNUMBER(INDEX(상세표[근무일자],$Q949)),TEXT(INDEX(상세표[근무일자],$Q949),"yyyy-mm-dd"),INDEX(상세표[근무일자],$Q949)&amp;""))</f>
        <v/>
      </c>
      <c r="F949">
        <f>IF($Q949="","",IF(ISNUMBER(INDEX(상세표[시작],$Q949)),TEXT(INDEX(상세표[시작],$Q949),"yyyy-mm-dd hh:mm"),INDEX(상세표[시작],$Q949)&amp;""))</f>
        <v/>
      </c>
      <c r="G949">
        <f>IF($Q949="","",IF(ISNUMBER(INDEX(상세표[블록종료],$Q949)),TEXT(INDEX(상세표[블록종료],$Q949),"yyyy-mm-dd hh:mm"),INDEX(상세표[블록종료],$Q949)&amp;""))</f>
        <v/>
      </c>
      <c r="H949">
        <f>IF($Q949="","",CHOOSE(WEEKDAY(INDEX(상세표[시작],$Q949)),"일","월","화","수","목","금","토"))</f>
        <v/>
      </c>
      <c r="I949" s="20">
        <f>IF($Q949="","",INDEX(상세표[연속 시간],$Q949))</f>
        <v/>
      </c>
      <c r="J949">
        <f>IF($Q949="","",INDEX(상세표[기록 수],$Q949))</f>
        <v/>
      </c>
      <c r="K949" s="20">
        <f>IF($Q949="","",INDEX(상세표[블록 06~07시],$Q949))</f>
        <v/>
      </c>
      <c r="L949" s="20">
        <f>IF($Q949="","",INDEX(상세표[블록 07~18시],$Q949))</f>
        <v/>
      </c>
      <c r="M949" s="20">
        <f>IF($Q949="","",INDEX(상세표[블록 18~22시],$Q949))</f>
        <v/>
      </c>
      <c r="N949" s="20">
        <f>IF($Q949="","",INDEX(상세표[블록 22~06시],$Q949))</f>
        <v/>
      </c>
      <c r="O949">
        <f>IF($Q949="","",INDEX(상세표[주말·휴일 포함],$Q949)&amp;"")</f>
        <v/>
      </c>
      <c r="P949">
        <f>IF($Q949="","",INDEX(상세표[월 넘김 포함],$Q949)&amp;"")</f>
        <v/>
      </c>
      <c r="Q949" s="4">
        <f>IFERROR(MATCH(944,상세표[연속순번],0),"")</f>
        <v/>
      </c>
    </row>
    <row r="950">
      <c r="A950">
        <f>IF($Q950="","",INDEX(상세표[부서],$Q950)&amp;"")</f>
        <v/>
      </c>
      <c r="B950">
        <f>IF($Q950="","",INDEX(상세표[사번],$Q950)&amp;"")</f>
        <v/>
      </c>
      <c r="C950">
        <f>IF($Q950="","",INDEX(상세표[성명],$Q950)&amp;"")</f>
        <v/>
      </c>
      <c r="D950">
        <f>IF($Q950="","",INDEX(상세표[직위],$Q950)&amp;"")</f>
        <v/>
      </c>
      <c r="E950">
        <f>IF($Q950="","",IF(ISNUMBER(INDEX(상세표[근무일자],$Q950)),TEXT(INDEX(상세표[근무일자],$Q950),"yyyy-mm-dd"),INDEX(상세표[근무일자],$Q950)&amp;""))</f>
        <v/>
      </c>
      <c r="F950">
        <f>IF($Q950="","",IF(ISNUMBER(INDEX(상세표[시작],$Q950)),TEXT(INDEX(상세표[시작],$Q950),"yyyy-mm-dd hh:mm"),INDEX(상세표[시작],$Q950)&amp;""))</f>
        <v/>
      </c>
      <c r="G950">
        <f>IF($Q950="","",IF(ISNUMBER(INDEX(상세표[블록종료],$Q950)),TEXT(INDEX(상세표[블록종료],$Q950),"yyyy-mm-dd hh:mm"),INDEX(상세표[블록종료],$Q950)&amp;""))</f>
        <v/>
      </c>
      <c r="H950">
        <f>IF($Q950="","",CHOOSE(WEEKDAY(INDEX(상세표[시작],$Q950)),"일","월","화","수","목","금","토"))</f>
        <v/>
      </c>
      <c r="I950" s="20">
        <f>IF($Q950="","",INDEX(상세표[연속 시간],$Q950))</f>
        <v/>
      </c>
      <c r="J950">
        <f>IF($Q950="","",INDEX(상세표[기록 수],$Q950))</f>
        <v/>
      </c>
      <c r="K950" s="20">
        <f>IF($Q950="","",INDEX(상세표[블록 06~07시],$Q950))</f>
        <v/>
      </c>
      <c r="L950" s="20">
        <f>IF($Q950="","",INDEX(상세표[블록 07~18시],$Q950))</f>
        <v/>
      </c>
      <c r="M950" s="20">
        <f>IF($Q950="","",INDEX(상세표[블록 18~22시],$Q950))</f>
        <v/>
      </c>
      <c r="N950" s="20">
        <f>IF($Q950="","",INDEX(상세표[블록 22~06시],$Q950))</f>
        <v/>
      </c>
      <c r="O950">
        <f>IF($Q950="","",INDEX(상세표[주말·휴일 포함],$Q950)&amp;"")</f>
        <v/>
      </c>
      <c r="P950">
        <f>IF($Q950="","",INDEX(상세표[월 넘김 포함],$Q950)&amp;"")</f>
        <v/>
      </c>
      <c r="Q950" s="4">
        <f>IFERROR(MATCH(945,상세표[연속순번],0),"")</f>
        <v/>
      </c>
    </row>
    <row r="951">
      <c r="A951">
        <f>IF($Q951="","",INDEX(상세표[부서],$Q951)&amp;"")</f>
        <v/>
      </c>
      <c r="B951">
        <f>IF($Q951="","",INDEX(상세표[사번],$Q951)&amp;"")</f>
        <v/>
      </c>
      <c r="C951">
        <f>IF($Q951="","",INDEX(상세표[성명],$Q951)&amp;"")</f>
        <v/>
      </c>
      <c r="D951">
        <f>IF($Q951="","",INDEX(상세표[직위],$Q951)&amp;"")</f>
        <v/>
      </c>
      <c r="E951">
        <f>IF($Q951="","",IF(ISNUMBER(INDEX(상세표[근무일자],$Q951)),TEXT(INDEX(상세표[근무일자],$Q951),"yyyy-mm-dd"),INDEX(상세표[근무일자],$Q951)&amp;""))</f>
        <v/>
      </c>
      <c r="F951">
        <f>IF($Q951="","",IF(ISNUMBER(INDEX(상세표[시작],$Q951)),TEXT(INDEX(상세표[시작],$Q951),"yyyy-mm-dd hh:mm"),INDEX(상세표[시작],$Q951)&amp;""))</f>
        <v/>
      </c>
      <c r="G951">
        <f>IF($Q951="","",IF(ISNUMBER(INDEX(상세표[블록종료],$Q951)),TEXT(INDEX(상세표[블록종료],$Q951),"yyyy-mm-dd hh:mm"),INDEX(상세표[블록종료],$Q951)&amp;""))</f>
        <v/>
      </c>
      <c r="H951">
        <f>IF($Q951="","",CHOOSE(WEEKDAY(INDEX(상세표[시작],$Q951)),"일","월","화","수","목","금","토"))</f>
        <v/>
      </c>
      <c r="I951" s="20">
        <f>IF($Q951="","",INDEX(상세표[연속 시간],$Q951))</f>
        <v/>
      </c>
      <c r="J951">
        <f>IF($Q951="","",INDEX(상세표[기록 수],$Q951))</f>
        <v/>
      </c>
      <c r="K951" s="20">
        <f>IF($Q951="","",INDEX(상세표[블록 06~07시],$Q951))</f>
        <v/>
      </c>
      <c r="L951" s="20">
        <f>IF($Q951="","",INDEX(상세표[블록 07~18시],$Q951))</f>
        <v/>
      </c>
      <c r="M951" s="20">
        <f>IF($Q951="","",INDEX(상세표[블록 18~22시],$Q951))</f>
        <v/>
      </c>
      <c r="N951" s="20">
        <f>IF($Q951="","",INDEX(상세표[블록 22~06시],$Q951))</f>
        <v/>
      </c>
      <c r="O951">
        <f>IF($Q951="","",INDEX(상세표[주말·휴일 포함],$Q951)&amp;"")</f>
        <v/>
      </c>
      <c r="P951">
        <f>IF($Q951="","",INDEX(상세표[월 넘김 포함],$Q951)&amp;"")</f>
        <v/>
      </c>
      <c r="Q951" s="4">
        <f>IFERROR(MATCH(946,상세표[연속순번],0),"")</f>
        <v/>
      </c>
    </row>
    <row r="952">
      <c r="A952">
        <f>IF($Q952="","",INDEX(상세표[부서],$Q952)&amp;"")</f>
        <v/>
      </c>
      <c r="B952">
        <f>IF($Q952="","",INDEX(상세표[사번],$Q952)&amp;"")</f>
        <v/>
      </c>
      <c r="C952">
        <f>IF($Q952="","",INDEX(상세표[성명],$Q952)&amp;"")</f>
        <v/>
      </c>
      <c r="D952">
        <f>IF($Q952="","",INDEX(상세표[직위],$Q952)&amp;"")</f>
        <v/>
      </c>
      <c r="E952">
        <f>IF($Q952="","",IF(ISNUMBER(INDEX(상세표[근무일자],$Q952)),TEXT(INDEX(상세표[근무일자],$Q952),"yyyy-mm-dd"),INDEX(상세표[근무일자],$Q952)&amp;""))</f>
        <v/>
      </c>
      <c r="F952">
        <f>IF($Q952="","",IF(ISNUMBER(INDEX(상세표[시작],$Q952)),TEXT(INDEX(상세표[시작],$Q952),"yyyy-mm-dd hh:mm"),INDEX(상세표[시작],$Q952)&amp;""))</f>
        <v/>
      </c>
      <c r="G952">
        <f>IF($Q952="","",IF(ISNUMBER(INDEX(상세표[블록종료],$Q952)),TEXT(INDEX(상세표[블록종료],$Q952),"yyyy-mm-dd hh:mm"),INDEX(상세표[블록종료],$Q952)&amp;""))</f>
        <v/>
      </c>
      <c r="H952">
        <f>IF($Q952="","",CHOOSE(WEEKDAY(INDEX(상세표[시작],$Q952)),"일","월","화","수","목","금","토"))</f>
        <v/>
      </c>
      <c r="I952" s="20">
        <f>IF($Q952="","",INDEX(상세표[연속 시간],$Q952))</f>
        <v/>
      </c>
      <c r="J952">
        <f>IF($Q952="","",INDEX(상세표[기록 수],$Q952))</f>
        <v/>
      </c>
      <c r="K952" s="20">
        <f>IF($Q952="","",INDEX(상세표[블록 06~07시],$Q952))</f>
        <v/>
      </c>
      <c r="L952" s="20">
        <f>IF($Q952="","",INDEX(상세표[블록 07~18시],$Q952))</f>
        <v/>
      </c>
      <c r="M952" s="20">
        <f>IF($Q952="","",INDEX(상세표[블록 18~22시],$Q952))</f>
        <v/>
      </c>
      <c r="N952" s="20">
        <f>IF($Q952="","",INDEX(상세표[블록 22~06시],$Q952))</f>
        <v/>
      </c>
      <c r="O952">
        <f>IF($Q952="","",INDEX(상세표[주말·휴일 포함],$Q952)&amp;"")</f>
        <v/>
      </c>
      <c r="P952">
        <f>IF($Q952="","",INDEX(상세표[월 넘김 포함],$Q952)&amp;"")</f>
        <v/>
      </c>
      <c r="Q952" s="4">
        <f>IFERROR(MATCH(947,상세표[연속순번],0),"")</f>
        <v/>
      </c>
    </row>
    <row r="953">
      <c r="A953">
        <f>IF($Q953="","",INDEX(상세표[부서],$Q953)&amp;"")</f>
        <v/>
      </c>
      <c r="B953">
        <f>IF($Q953="","",INDEX(상세표[사번],$Q953)&amp;"")</f>
        <v/>
      </c>
      <c r="C953">
        <f>IF($Q953="","",INDEX(상세표[성명],$Q953)&amp;"")</f>
        <v/>
      </c>
      <c r="D953">
        <f>IF($Q953="","",INDEX(상세표[직위],$Q953)&amp;"")</f>
        <v/>
      </c>
      <c r="E953">
        <f>IF($Q953="","",IF(ISNUMBER(INDEX(상세표[근무일자],$Q953)),TEXT(INDEX(상세표[근무일자],$Q953),"yyyy-mm-dd"),INDEX(상세표[근무일자],$Q953)&amp;""))</f>
        <v/>
      </c>
      <c r="F953">
        <f>IF($Q953="","",IF(ISNUMBER(INDEX(상세표[시작],$Q953)),TEXT(INDEX(상세표[시작],$Q953),"yyyy-mm-dd hh:mm"),INDEX(상세표[시작],$Q953)&amp;""))</f>
        <v/>
      </c>
      <c r="G953">
        <f>IF($Q953="","",IF(ISNUMBER(INDEX(상세표[블록종료],$Q953)),TEXT(INDEX(상세표[블록종료],$Q953),"yyyy-mm-dd hh:mm"),INDEX(상세표[블록종료],$Q953)&amp;""))</f>
        <v/>
      </c>
      <c r="H953">
        <f>IF($Q953="","",CHOOSE(WEEKDAY(INDEX(상세표[시작],$Q953)),"일","월","화","수","목","금","토"))</f>
        <v/>
      </c>
      <c r="I953" s="20">
        <f>IF($Q953="","",INDEX(상세표[연속 시간],$Q953))</f>
        <v/>
      </c>
      <c r="J953">
        <f>IF($Q953="","",INDEX(상세표[기록 수],$Q953))</f>
        <v/>
      </c>
      <c r="K953" s="20">
        <f>IF($Q953="","",INDEX(상세표[블록 06~07시],$Q953))</f>
        <v/>
      </c>
      <c r="L953" s="20">
        <f>IF($Q953="","",INDEX(상세표[블록 07~18시],$Q953))</f>
        <v/>
      </c>
      <c r="M953" s="20">
        <f>IF($Q953="","",INDEX(상세표[블록 18~22시],$Q953))</f>
        <v/>
      </c>
      <c r="N953" s="20">
        <f>IF($Q953="","",INDEX(상세표[블록 22~06시],$Q953))</f>
        <v/>
      </c>
      <c r="O953">
        <f>IF($Q953="","",INDEX(상세표[주말·휴일 포함],$Q953)&amp;"")</f>
        <v/>
      </c>
      <c r="P953">
        <f>IF($Q953="","",INDEX(상세표[월 넘김 포함],$Q953)&amp;"")</f>
        <v/>
      </c>
      <c r="Q953" s="4">
        <f>IFERROR(MATCH(948,상세표[연속순번],0),"")</f>
        <v/>
      </c>
    </row>
    <row r="954">
      <c r="A954">
        <f>IF($Q954="","",INDEX(상세표[부서],$Q954)&amp;"")</f>
        <v/>
      </c>
      <c r="B954">
        <f>IF($Q954="","",INDEX(상세표[사번],$Q954)&amp;"")</f>
        <v/>
      </c>
      <c r="C954">
        <f>IF($Q954="","",INDEX(상세표[성명],$Q954)&amp;"")</f>
        <v/>
      </c>
      <c r="D954">
        <f>IF($Q954="","",INDEX(상세표[직위],$Q954)&amp;"")</f>
        <v/>
      </c>
      <c r="E954">
        <f>IF($Q954="","",IF(ISNUMBER(INDEX(상세표[근무일자],$Q954)),TEXT(INDEX(상세표[근무일자],$Q954),"yyyy-mm-dd"),INDEX(상세표[근무일자],$Q954)&amp;""))</f>
        <v/>
      </c>
      <c r="F954">
        <f>IF($Q954="","",IF(ISNUMBER(INDEX(상세표[시작],$Q954)),TEXT(INDEX(상세표[시작],$Q954),"yyyy-mm-dd hh:mm"),INDEX(상세표[시작],$Q954)&amp;""))</f>
        <v/>
      </c>
      <c r="G954">
        <f>IF($Q954="","",IF(ISNUMBER(INDEX(상세표[블록종료],$Q954)),TEXT(INDEX(상세표[블록종료],$Q954),"yyyy-mm-dd hh:mm"),INDEX(상세표[블록종료],$Q954)&amp;""))</f>
        <v/>
      </c>
      <c r="H954">
        <f>IF($Q954="","",CHOOSE(WEEKDAY(INDEX(상세표[시작],$Q954)),"일","월","화","수","목","금","토"))</f>
        <v/>
      </c>
      <c r="I954" s="20">
        <f>IF($Q954="","",INDEX(상세표[연속 시간],$Q954))</f>
        <v/>
      </c>
      <c r="J954">
        <f>IF($Q954="","",INDEX(상세표[기록 수],$Q954))</f>
        <v/>
      </c>
      <c r="K954" s="20">
        <f>IF($Q954="","",INDEX(상세표[블록 06~07시],$Q954))</f>
        <v/>
      </c>
      <c r="L954" s="20">
        <f>IF($Q954="","",INDEX(상세표[블록 07~18시],$Q954))</f>
        <v/>
      </c>
      <c r="M954" s="20">
        <f>IF($Q954="","",INDEX(상세표[블록 18~22시],$Q954))</f>
        <v/>
      </c>
      <c r="N954" s="20">
        <f>IF($Q954="","",INDEX(상세표[블록 22~06시],$Q954))</f>
        <v/>
      </c>
      <c r="O954">
        <f>IF($Q954="","",INDEX(상세표[주말·휴일 포함],$Q954)&amp;"")</f>
        <v/>
      </c>
      <c r="P954">
        <f>IF($Q954="","",INDEX(상세표[월 넘김 포함],$Q954)&amp;"")</f>
        <v/>
      </c>
      <c r="Q954" s="4">
        <f>IFERROR(MATCH(949,상세표[연속순번],0),"")</f>
        <v/>
      </c>
    </row>
    <row r="955">
      <c r="A955">
        <f>IF($Q955="","",INDEX(상세표[부서],$Q955)&amp;"")</f>
        <v/>
      </c>
      <c r="B955">
        <f>IF($Q955="","",INDEX(상세표[사번],$Q955)&amp;"")</f>
        <v/>
      </c>
      <c r="C955">
        <f>IF($Q955="","",INDEX(상세표[성명],$Q955)&amp;"")</f>
        <v/>
      </c>
      <c r="D955">
        <f>IF($Q955="","",INDEX(상세표[직위],$Q955)&amp;"")</f>
        <v/>
      </c>
      <c r="E955">
        <f>IF($Q955="","",IF(ISNUMBER(INDEX(상세표[근무일자],$Q955)),TEXT(INDEX(상세표[근무일자],$Q955),"yyyy-mm-dd"),INDEX(상세표[근무일자],$Q955)&amp;""))</f>
        <v/>
      </c>
      <c r="F955">
        <f>IF($Q955="","",IF(ISNUMBER(INDEX(상세표[시작],$Q955)),TEXT(INDEX(상세표[시작],$Q955),"yyyy-mm-dd hh:mm"),INDEX(상세표[시작],$Q955)&amp;""))</f>
        <v/>
      </c>
      <c r="G955">
        <f>IF($Q955="","",IF(ISNUMBER(INDEX(상세표[블록종료],$Q955)),TEXT(INDEX(상세표[블록종료],$Q955),"yyyy-mm-dd hh:mm"),INDEX(상세표[블록종료],$Q955)&amp;""))</f>
        <v/>
      </c>
      <c r="H955">
        <f>IF($Q955="","",CHOOSE(WEEKDAY(INDEX(상세표[시작],$Q955)),"일","월","화","수","목","금","토"))</f>
        <v/>
      </c>
      <c r="I955" s="20">
        <f>IF($Q955="","",INDEX(상세표[연속 시간],$Q955))</f>
        <v/>
      </c>
      <c r="J955">
        <f>IF($Q955="","",INDEX(상세표[기록 수],$Q955))</f>
        <v/>
      </c>
      <c r="K955" s="20">
        <f>IF($Q955="","",INDEX(상세표[블록 06~07시],$Q955))</f>
        <v/>
      </c>
      <c r="L955" s="20">
        <f>IF($Q955="","",INDEX(상세표[블록 07~18시],$Q955))</f>
        <v/>
      </c>
      <c r="M955" s="20">
        <f>IF($Q955="","",INDEX(상세표[블록 18~22시],$Q955))</f>
        <v/>
      </c>
      <c r="N955" s="20">
        <f>IF($Q955="","",INDEX(상세표[블록 22~06시],$Q955))</f>
        <v/>
      </c>
      <c r="O955">
        <f>IF($Q955="","",INDEX(상세표[주말·휴일 포함],$Q955)&amp;"")</f>
        <v/>
      </c>
      <c r="P955">
        <f>IF($Q955="","",INDEX(상세표[월 넘김 포함],$Q955)&amp;"")</f>
        <v/>
      </c>
      <c r="Q955" s="4">
        <f>IFERROR(MATCH(950,상세표[연속순번],0),"")</f>
        <v/>
      </c>
    </row>
    <row r="956">
      <c r="A956">
        <f>IF($Q956="","",INDEX(상세표[부서],$Q956)&amp;"")</f>
        <v/>
      </c>
      <c r="B956">
        <f>IF($Q956="","",INDEX(상세표[사번],$Q956)&amp;"")</f>
        <v/>
      </c>
      <c r="C956">
        <f>IF($Q956="","",INDEX(상세표[성명],$Q956)&amp;"")</f>
        <v/>
      </c>
      <c r="D956">
        <f>IF($Q956="","",INDEX(상세표[직위],$Q956)&amp;"")</f>
        <v/>
      </c>
      <c r="E956">
        <f>IF($Q956="","",IF(ISNUMBER(INDEX(상세표[근무일자],$Q956)),TEXT(INDEX(상세표[근무일자],$Q956),"yyyy-mm-dd"),INDEX(상세표[근무일자],$Q956)&amp;""))</f>
        <v/>
      </c>
      <c r="F956">
        <f>IF($Q956="","",IF(ISNUMBER(INDEX(상세표[시작],$Q956)),TEXT(INDEX(상세표[시작],$Q956),"yyyy-mm-dd hh:mm"),INDEX(상세표[시작],$Q956)&amp;""))</f>
        <v/>
      </c>
      <c r="G956">
        <f>IF($Q956="","",IF(ISNUMBER(INDEX(상세표[블록종료],$Q956)),TEXT(INDEX(상세표[블록종료],$Q956),"yyyy-mm-dd hh:mm"),INDEX(상세표[블록종료],$Q956)&amp;""))</f>
        <v/>
      </c>
      <c r="H956">
        <f>IF($Q956="","",CHOOSE(WEEKDAY(INDEX(상세표[시작],$Q956)),"일","월","화","수","목","금","토"))</f>
        <v/>
      </c>
      <c r="I956" s="20">
        <f>IF($Q956="","",INDEX(상세표[연속 시간],$Q956))</f>
        <v/>
      </c>
      <c r="J956">
        <f>IF($Q956="","",INDEX(상세표[기록 수],$Q956))</f>
        <v/>
      </c>
      <c r="K956" s="20">
        <f>IF($Q956="","",INDEX(상세표[블록 06~07시],$Q956))</f>
        <v/>
      </c>
      <c r="L956" s="20">
        <f>IF($Q956="","",INDEX(상세표[블록 07~18시],$Q956))</f>
        <v/>
      </c>
      <c r="M956" s="20">
        <f>IF($Q956="","",INDEX(상세표[블록 18~22시],$Q956))</f>
        <v/>
      </c>
      <c r="N956" s="20">
        <f>IF($Q956="","",INDEX(상세표[블록 22~06시],$Q956))</f>
        <v/>
      </c>
      <c r="O956">
        <f>IF($Q956="","",INDEX(상세표[주말·휴일 포함],$Q956)&amp;"")</f>
        <v/>
      </c>
      <c r="P956">
        <f>IF($Q956="","",INDEX(상세표[월 넘김 포함],$Q956)&amp;"")</f>
        <v/>
      </c>
      <c r="Q956" s="4">
        <f>IFERROR(MATCH(951,상세표[연속순번],0),"")</f>
        <v/>
      </c>
    </row>
    <row r="957">
      <c r="A957">
        <f>IF($Q957="","",INDEX(상세표[부서],$Q957)&amp;"")</f>
        <v/>
      </c>
      <c r="B957">
        <f>IF($Q957="","",INDEX(상세표[사번],$Q957)&amp;"")</f>
        <v/>
      </c>
      <c r="C957">
        <f>IF($Q957="","",INDEX(상세표[성명],$Q957)&amp;"")</f>
        <v/>
      </c>
      <c r="D957">
        <f>IF($Q957="","",INDEX(상세표[직위],$Q957)&amp;"")</f>
        <v/>
      </c>
      <c r="E957">
        <f>IF($Q957="","",IF(ISNUMBER(INDEX(상세표[근무일자],$Q957)),TEXT(INDEX(상세표[근무일자],$Q957),"yyyy-mm-dd"),INDEX(상세표[근무일자],$Q957)&amp;""))</f>
        <v/>
      </c>
      <c r="F957">
        <f>IF($Q957="","",IF(ISNUMBER(INDEX(상세표[시작],$Q957)),TEXT(INDEX(상세표[시작],$Q957),"yyyy-mm-dd hh:mm"),INDEX(상세표[시작],$Q957)&amp;""))</f>
        <v/>
      </c>
      <c r="G957">
        <f>IF($Q957="","",IF(ISNUMBER(INDEX(상세표[블록종료],$Q957)),TEXT(INDEX(상세표[블록종료],$Q957),"yyyy-mm-dd hh:mm"),INDEX(상세표[블록종료],$Q957)&amp;""))</f>
        <v/>
      </c>
      <c r="H957">
        <f>IF($Q957="","",CHOOSE(WEEKDAY(INDEX(상세표[시작],$Q957)),"일","월","화","수","목","금","토"))</f>
        <v/>
      </c>
      <c r="I957" s="20">
        <f>IF($Q957="","",INDEX(상세표[연속 시간],$Q957))</f>
        <v/>
      </c>
      <c r="J957">
        <f>IF($Q957="","",INDEX(상세표[기록 수],$Q957))</f>
        <v/>
      </c>
      <c r="K957" s="20">
        <f>IF($Q957="","",INDEX(상세표[블록 06~07시],$Q957))</f>
        <v/>
      </c>
      <c r="L957" s="20">
        <f>IF($Q957="","",INDEX(상세표[블록 07~18시],$Q957))</f>
        <v/>
      </c>
      <c r="M957" s="20">
        <f>IF($Q957="","",INDEX(상세표[블록 18~22시],$Q957))</f>
        <v/>
      </c>
      <c r="N957" s="20">
        <f>IF($Q957="","",INDEX(상세표[블록 22~06시],$Q957))</f>
        <v/>
      </c>
      <c r="O957">
        <f>IF($Q957="","",INDEX(상세표[주말·휴일 포함],$Q957)&amp;"")</f>
        <v/>
      </c>
      <c r="P957">
        <f>IF($Q957="","",INDEX(상세표[월 넘김 포함],$Q957)&amp;"")</f>
        <v/>
      </c>
      <c r="Q957" s="4">
        <f>IFERROR(MATCH(952,상세표[연속순번],0),"")</f>
        <v/>
      </c>
    </row>
    <row r="958">
      <c r="A958">
        <f>IF($Q958="","",INDEX(상세표[부서],$Q958)&amp;"")</f>
        <v/>
      </c>
      <c r="B958">
        <f>IF($Q958="","",INDEX(상세표[사번],$Q958)&amp;"")</f>
        <v/>
      </c>
      <c r="C958">
        <f>IF($Q958="","",INDEX(상세표[성명],$Q958)&amp;"")</f>
        <v/>
      </c>
      <c r="D958">
        <f>IF($Q958="","",INDEX(상세표[직위],$Q958)&amp;"")</f>
        <v/>
      </c>
      <c r="E958">
        <f>IF($Q958="","",IF(ISNUMBER(INDEX(상세표[근무일자],$Q958)),TEXT(INDEX(상세표[근무일자],$Q958),"yyyy-mm-dd"),INDEX(상세표[근무일자],$Q958)&amp;""))</f>
        <v/>
      </c>
      <c r="F958">
        <f>IF($Q958="","",IF(ISNUMBER(INDEX(상세표[시작],$Q958)),TEXT(INDEX(상세표[시작],$Q958),"yyyy-mm-dd hh:mm"),INDEX(상세표[시작],$Q958)&amp;""))</f>
        <v/>
      </c>
      <c r="G958">
        <f>IF($Q958="","",IF(ISNUMBER(INDEX(상세표[블록종료],$Q958)),TEXT(INDEX(상세표[블록종료],$Q958),"yyyy-mm-dd hh:mm"),INDEX(상세표[블록종료],$Q958)&amp;""))</f>
        <v/>
      </c>
      <c r="H958">
        <f>IF($Q958="","",CHOOSE(WEEKDAY(INDEX(상세표[시작],$Q958)),"일","월","화","수","목","금","토"))</f>
        <v/>
      </c>
      <c r="I958" s="20">
        <f>IF($Q958="","",INDEX(상세표[연속 시간],$Q958))</f>
        <v/>
      </c>
      <c r="J958">
        <f>IF($Q958="","",INDEX(상세표[기록 수],$Q958))</f>
        <v/>
      </c>
      <c r="K958" s="20">
        <f>IF($Q958="","",INDEX(상세표[블록 06~07시],$Q958))</f>
        <v/>
      </c>
      <c r="L958" s="20">
        <f>IF($Q958="","",INDEX(상세표[블록 07~18시],$Q958))</f>
        <v/>
      </c>
      <c r="M958" s="20">
        <f>IF($Q958="","",INDEX(상세표[블록 18~22시],$Q958))</f>
        <v/>
      </c>
      <c r="N958" s="20">
        <f>IF($Q958="","",INDEX(상세표[블록 22~06시],$Q958))</f>
        <v/>
      </c>
      <c r="O958">
        <f>IF($Q958="","",INDEX(상세표[주말·휴일 포함],$Q958)&amp;"")</f>
        <v/>
      </c>
      <c r="P958">
        <f>IF($Q958="","",INDEX(상세표[월 넘김 포함],$Q958)&amp;"")</f>
        <v/>
      </c>
      <c r="Q958" s="4">
        <f>IFERROR(MATCH(953,상세표[연속순번],0),"")</f>
        <v/>
      </c>
    </row>
    <row r="959">
      <c r="A959">
        <f>IF($Q959="","",INDEX(상세표[부서],$Q959)&amp;"")</f>
        <v/>
      </c>
      <c r="B959">
        <f>IF($Q959="","",INDEX(상세표[사번],$Q959)&amp;"")</f>
        <v/>
      </c>
      <c r="C959">
        <f>IF($Q959="","",INDEX(상세표[성명],$Q959)&amp;"")</f>
        <v/>
      </c>
      <c r="D959">
        <f>IF($Q959="","",INDEX(상세표[직위],$Q959)&amp;"")</f>
        <v/>
      </c>
      <c r="E959">
        <f>IF($Q959="","",IF(ISNUMBER(INDEX(상세표[근무일자],$Q959)),TEXT(INDEX(상세표[근무일자],$Q959),"yyyy-mm-dd"),INDEX(상세표[근무일자],$Q959)&amp;""))</f>
        <v/>
      </c>
      <c r="F959">
        <f>IF($Q959="","",IF(ISNUMBER(INDEX(상세표[시작],$Q959)),TEXT(INDEX(상세표[시작],$Q959),"yyyy-mm-dd hh:mm"),INDEX(상세표[시작],$Q959)&amp;""))</f>
        <v/>
      </c>
      <c r="G959">
        <f>IF($Q959="","",IF(ISNUMBER(INDEX(상세표[블록종료],$Q959)),TEXT(INDEX(상세표[블록종료],$Q959),"yyyy-mm-dd hh:mm"),INDEX(상세표[블록종료],$Q959)&amp;""))</f>
        <v/>
      </c>
      <c r="H959">
        <f>IF($Q959="","",CHOOSE(WEEKDAY(INDEX(상세표[시작],$Q959)),"일","월","화","수","목","금","토"))</f>
        <v/>
      </c>
      <c r="I959" s="20">
        <f>IF($Q959="","",INDEX(상세표[연속 시간],$Q959))</f>
        <v/>
      </c>
      <c r="J959">
        <f>IF($Q959="","",INDEX(상세표[기록 수],$Q959))</f>
        <v/>
      </c>
      <c r="K959" s="20">
        <f>IF($Q959="","",INDEX(상세표[블록 06~07시],$Q959))</f>
        <v/>
      </c>
      <c r="L959" s="20">
        <f>IF($Q959="","",INDEX(상세표[블록 07~18시],$Q959))</f>
        <v/>
      </c>
      <c r="M959" s="20">
        <f>IF($Q959="","",INDEX(상세표[블록 18~22시],$Q959))</f>
        <v/>
      </c>
      <c r="N959" s="20">
        <f>IF($Q959="","",INDEX(상세표[블록 22~06시],$Q959))</f>
        <v/>
      </c>
      <c r="O959">
        <f>IF($Q959="","",INDEX(상세표[주말·휴일 포함],$Q959)&amp;"")</f>
        <v/>
      </c>
      <c r="P959">
        <f>IF($Q959="","",INDEX(상세표[월 넘김 포함],$Q959)&amp;"")</f>
        <v/>
      </c>
      <c r="Q959" s="4">
        <f>IFERROR(MATCH(954,상세표[연속순번],0),"")</f>
        <v/>
      </c>
    </row>
    <row r="960">
      <c r="A960">
        <f>IF($Q960="","",INDEX(상세표[부서],$Q960)&amp;"")</f>
        <v/>
      </c>
      <c r="B960">
        <f>IF($Q960="","",INDEX(상세표[사번],$Q960)&amp;"")</f>
        <v/>
      </c>
      <c r="C960">
        <f>IF($Q960="","",INDEX(상세표[성명],$Q960)&amp;"")</f>
        <v/>
      </c>
      <c r="D960">
        <f>IF($Q960="","",INDEX(상세표[직위],$Q960)&amp;"")</f>
        <v/>
      </c>
      <c r="E960">
        <f>IF($Q960="","",IF(ISNUMBER(INDEX(상세표[근무일자],$Q960)),TEXT(INDEX(상세표[근무일자],$Q960),"yyyy-mm-dd"),INDEX(상세표[근무일자],$Q960)&amp;""))</f>
        <v/>
      </c>
      <c r="F960">
        <f>IF($Q960="","",IF(ISNUMBER(INDEX(상세표[시작],$Q960)),TEXT(INDEX(상세표[시작],$Q960),"yyyy-mm-dd hh:mm"),INDEX(상세표[시작],$Q960)&amp;""))</f>
        <v/>
      </c>
      <c r="G960">
        <f>IF($Q960="","",IF(ISNUMBER(INDEX(상세표[블록종료],$Q960)),TEXT(INDEX(상세표[블록종료],$Q960),"yyyy-mm-dd hh:mm"),INDEX(상세표[블록종료],$Q960)&amp;""))</f>
        <v/>
      </c>
      <c r="H960">
        <f>IF($Q960="","",CHOOSE(WEEKDAY(INDEX(상세표[시작],$Q960)),"일","월","화","수","목","금","토"))</f>
        <v/>
      </c>
      <c r="I960" s="20">
        <f>IF($Q960="","",INDEX(상세표[연속 시간],$Q960))</f>
        <v/>
      </c>
      <c r="J960">
        <f>IF($Q960="","",INDEX(상세표[기록 수],$Q960))</f>
        <v/>
      </c>
      <c r="K960" s="20">
        <f>IF($Q960="","",INDEX(상세표[블록 06~07시],$Q960))</f>
        <v/>
      </c>
      <c r="L960" s="20">
        <f>IF($Q960="","",INDEX(상세표[블록 07~18시],$Q960))</f>
        <v/>
      </c>
      <c r="M960" s="20">
        <f>IF($Q960="","",INDEX(상세표[블록 18~22시],$Q960))</f>
        <v/>
      </c>
      <c r="N960" s="20">
        <f>IF($Q960="","",INDEX(상세표[블록 22~06시],$Q960))</f>
        <v/>
      </c>
      <c r="O960">
        <f>IF($Q960="","",INDEX(상세표[주말·휴일 포함],$Q960)&amp;"")</f>
        <v/>
      </c>
      <c r="P960">
        <f>IF($Q960="","",INDEX(상세표[월 넘김 포함],$Q960)&amp;"")</f>
        <v/>
      </c>
      <c r="Q960" s="4">
        <f>IFERROR(MATCH(955,상세표[연속순번],0),"")</f>
        <v/>
      </c>
    </row>
    <row r="961">
      <c r="A961">
        <f>IF($Q961="","",INDEX(상세표[부서],$Q961)&amp;"")</f>
        <v/>
      </c>
      <c r="B961">
        <f>IF($Q961="","",INDEX(상세표[사번],$Q961)&amp;"")</f>
        <v/>
      </c>
      <c r="C961">
        <f>IF($Q961="","",INDEX(상세표[성명],$Q961)&amp;"")</f>
        <v/>
      </c>
      <c r="D961">
        <f>IF($Q961="","",INDEX(상세표[직위],$Q961)&amp;"")</f>
        <v/>
      </c>
      <c r="E961">
        <f>IF($Q961="","",IF(ISNUMBER(INDEX(상세표[근무일자],$Q961)),TEXT(INDEX(상세표[근무일자],$Q961),"yyyy-mm-dd"),INDEX(상세표[근무일자],$Q961)&amp;""))</f>
        <v/>
      </c>
      <c r="F961">
        <f>IF($Q961="","",IF(ISNUMBER(INDEX(상세표[시작],$Q961)),TEXT(INDEX(상세표[시작],$Q961),"yyyy-mm-dd hh:mm"),INDEX(상세표[시작],$Q961)&amp;""))</f>
        <v/>
      </c>
      <c r="G961">
        <f>IF($Q961="","",IF(ISNUMBER(INDEX(상세표[블록종료],$Q961)),TEXT(INDEX(상세표[블록종료],$Q961),"yyyy-mm-dd hh:mm"),INDEX(상세표[블록종료],$Q961)&amp;""))</f>
        <v/>
      </c>
      <c r="H961">
        <f>IF($Q961="","",CHOOSE(WEEKDAY(INDEX(상세표[시작],$Q961)),"일","월","화","수","목","금","토"))</f>
        <v/>
      </c>
      <c r="I961" s="20">
        <f>IF($Q961="","",INDEX(상세표[연속 시간],$Q961))</f>
        <v/>
      </c>
      <c r="J961">
        <f>IF($Q961="","",INDEX(상세표[기록 수],$Q961))</f>
        <v/>
      </c>
      <c r="K961" s="20">
        <f>IF($Q961="","",INDEX(상세표[블록 06~07시],$Q961))</f>
        <v/>
      </c>
      <c r="L961" s="20">
        <f>IF($Q961="","",INDEX(상세표[블록 07~18시],$Q961))</f>
        <v/>
      </c>
      <c r="M961" s="20">
        <f>IF($Q961="","",INDEX(상세표[블록 18~22시],$Q961))</f>
        <v/>
      </c>
      <c r="N961" s="20">
        <f>IF($Q961="","",INDEX(상세표[블록 22~06시],$Q961))</f>
        <v/>
      </c>
      <c r="O961">
        <f>IF($Q961="","",INDEX(상세표[주말·휴일 포함],$Q961)&amp;"")</f>
        <v/>
      </c>
      <c r="P961">
        <f>IF($Q961="","",INDEX(상세표[월 넘김 포함],$Q961)&amp;"")</f>
        <v/>
      </c>
      <c r="Q961" s="4">
        <f>IFERROR(MATCH(956,상세표[연속순번],0),"")</f>
        <v/>
      </c>
    </row>
    <row r="962">
      <c r="A962">
        <f>IF($Q962="","",INDEX(상세표[부서],$Q962)&amp;"")</f>
        <v/>
      </c>
      <c r="B962">
        <f>IF($Q962="","",INDEX(상세표[사번],$Q962)&amp;"")</f>
        <v/>
      </c>
      <c r="C962">
        <f>IF($Q962="","",INDEX(상세표[성명],$Q962)&amp;"")</f>
        <v/>
      </c>
      <c r="D962">
        <f>IF($Q962="","",INDEX(상세표[직위],$Q962)&amp;"")</f>
        <v/>
      </c>
      <c r="E962">
        <f>IF($Q962="","",IF(ISNUMBER(INDEX(상세표[근무일자],$Q962)),TEXT(INDEX(상세표[근무일자],$Q962),"yyyy-mm-dd"),INDEX(상세표[근무일자],$Q962)&amp;""))</f>
        <v/>
      </c>
      <c r="F962">
        <f>IF($Q962="","",IF(ISNUMBER(INDEX(상세표[시작],$Q962)),TEXT(INDEX(상세표[시작],$Q962),"yyyy-mm-dd hh:mm"),INDEX(상세표[시작],$Q962)&amp;""))</f>
        <v/>
      </c>
      <c r="G962">
        <f>IF($Q962="","",IF(ISNUMBER(INDEX(상세표[블록종료],$Q962)),TEXT(INDEX(상세표[블록종료],$Q962),"yyyy-mm-dd hh:mm"),INDEX(상세표[블록종료],$Q962)&amp;""))</f>
        <v/>
      </c>
      <c r="H962">
        <f>IF($Q962="","",CHOOSE(WEEKDAY(INDEX(상세표[시작],$Q962)),"일","월","화","수","목","금","토"))</f>
        <v/>
      </c>
      <c r="I962" s="20">
        <f>IF($Q962="","",INDEX(상세표[연속 시간],$Q962))</f>
        <v/>
      </c>
      <c r="J962">
        <f>IF($Q962="","",INDEX(상세표[기록 수],$Q962))</f>
        <v/>
      </c>
      <c r="K962" s="20">
        <f>IF($Q962="","",INDEX(상세표[블록 06~07시],$Q962))</f>
        <v/>
      </c>
      <c r="L962" s="20">
        <f>IF($Q962="","",INDEX(상세표[블록 07~18시],$Q962))</f>
        <v/>
      </c>
      <c r="M962" s="20">
        <f>IF($Q962="","",INDEX(상세표[블록 18~22시],$Q962))</f>
        <v/>
      </c>
      <c r="N962" s="20">
        <f>IF($Q962="","",INDEX(상세표[블록 22~06시],$Q962))</f>
        <v/>
      </c>
      <c r="O962">
        <f>IF($Q962="","",INDEX(상세표[주말·휴일 포함],$Q962)&amp;"")</f>
        <v/>
      </c>
      <c r="P962">
        <f>IF($Q962="","",INDEX(상세표[월 넘김 포함],$Q962)&amp;"")</f>
        <v/>
      </c>
      <c r="Q962" s="4">
        <f>IFERROR(MATCH(957,상세표[연속순번],0),"")</f>
        <v/>
      </c>
    </row>
    <row r="963">
      <c r="A963">
        <f>IF($Q963="","",INDEX(상세표[부서],$Q963)&amp;"")</f>
        <v/>
      </c>
      <c r="B963">
        <f>IF($Q963="","",INDEX(상세표[사번],$Q963)&amp;"")</f>
        <v/>
      </c>
      <c r="C963">
        <f>IF($Q963="","",INDEX(상세표[성명],$Q963)&amp;"")</f>
        <v/>
      </c>
      <c r="D963">
        <f>IF($Q963="","",INDEX(상세표[직위],$Q963)&amp;"")</f>
        <v/>
      </c>
      <c r="E963">
        <f>IF($Q963="","",IF(ISNUMBER(INDEX(상세표[근무일자],$Q963)),TEXT(INDEX(상세표[근무일자],$Q963),"yyyy-mm-dd"),INDEX(상세표[근무일자],$Q963)&amp;""))</f>
        <v/>
      </c>
      <c r="F963">
        <f>IF($Q963="","",IF(ISNUMBER(INDEX(상세표[시작],$Q963)),TEXT(INDEX(상세표[시작],$Q963),"yyyy-mm-dd hh:mm"),INDEX(상세표[시작],$Q963)&amp;""))</f>
        <v/>
      </c>
      <c r="G963">
        <f>IF($Q963="","",IF(ISNUMBER(INDEX(상세표[블록종료],$Q963)),TEXT(INDEX(상세표[블록종료],$Q963),"yyyy-mm-dd hh:mm"),INDEX(상세표[블록종료],$Q963)&amp;""))</f>
        <v/>
      </c>
      <c r="H963">
        <f>IF($Q963="","",CHOOSE(WEEKDAY(INDEX(상세표[시작],$Q963)),"일","월","화","수","목","금","토"))</f>
        <v/>
      </c>
      <c r="I963" s="20">
        <f>IF($Q963="","",INDEX(상세표[연속 시간],$Q963))</f>
        <v/>
      </c>
      <c r="J963">
        <f>IF($Q963="","",INDEX(상세표[기록 수],$Q963))</f>
        <v/>
      </c>
      <c r="K963" s="20">
        <f>IF($Q963="","",INDEX(상세표[블록 06~07시],$Q963))</f>
        <v/>
      </c>
      <c r="L963" s="20">
        <f>IF($Q963="","",INDEX(상세표[블록 07~18시],$Q963))</f>
        <v/>
      </c>
      <c r="M963" s="20">
        <f>IF($Q963="","",INDEX(상세표[블록 18~22시],$Q963))</f>
        <v/>
      </c>
      <c r="N963" s="20">
        <f>IF($Q963="","",INDEX(상세표[블록 22~06시],$Q963))</f>
        <v/>
      </c>
      <c r="O963">
        <f>IF($Q963="","",INDEX(상세표[주말·휴일 포함],$Q963)&amp;"")</f>
        <v/>
      </c>
      <c r="P963">
        <f>IF($Q963="","",INDEX(상세표[월 넘김 포함],$Q963)&amp;"")</f>
        <v/>
      </c>
      <c r="Q963" s="4">
        <f>IFERROR(MATCH(958,상세표[연속순번],0),"")</f>
        <v/>
      </c>
    </row>
    <row r="964">
      <c r="A964">
        <f>IF($Q964="","",INDEX(상세표[부서],$Q964)&amp;"")</f>
        <v/>
      </c>
      <c r="B964">
        <f>IF($Q964="","",INDEX(상세표[사번],$Q964)&amp;"")</f>
        <v/>
      </c>
      <c r="C964">
        <f>IF($Q964="","",INDEX(상세표[성명],$Q964)&amp;"")</f>
        <v/>
      </c>
      <c r="D964">
        <f>IF($Q964="","",INDEX(상세표[직위],$Q964)&amp;"")</f>
        <v/>
      </c>
      <c r="E964">
        <f>IF($Q964="","",IF(ISNUMBER(INDEX(상세표[근무일자],$Q964)),TEXT(INDEX(상세표[근무일자],$Q964),"yyyy-mm-dd"),INDEX(상세표[근무일자],$Q964)&amp;""))</f>
        <v/>
      </c>
      <c r="F964">
        <f>IF($Q964="","",IF(ISNUMBER(INDEX(상세표[시작],$Q964)),TEXT(INDEX(상세표[시작],$Q964),"yyyy-mm-dd hh:mm"),INDEX(상세표[시작],$Q964)&amp;""))</f>
        <v/>
      </c>
      <c r="G964">
        <f>IF($Q964="","",IF(ISNUMBER(INDEX(상세표[블록종료],$Q964)),TEXT(INDEX(상세표[블록종료],$Q964),"yyyy-mm-dd hh:mm"),INDEX(상세표[블록종료],$Q964)&amp;""))</f>
        <v/>
      </c>
      <c r="H964">
        <f>IF($Q964="","",CHOOSE(WEEKDAY(INDEX(상세표[시작],$Q964)),"일","월","화","수","목","금","토"))</f>
        <v/>
      </c>
      <c r="I964" s="20">
        <f>IF($Q964="","",INDEX(상세표[연속 시간],$Q964))</f>
        <v/>
      </c>
      <c r="J964">
        <f>IF($Q964="","",INDEX(상세표[기록 수],$Q964))</f>
        <v/>
      </c>
      <c r="K964" s="20">
        <f>IF($Q964="","",INDEX(상세표[블록 06~07시],$Q964))</f>
        <v/>
      </c>
      <c r="L964" s="20">
        <f>IF($Q964="","",INDEX(상세표[블록 07~18시],$Q964))</f>
        <v/>
      </c>
      <c r="M964" s="20">
        <f>IF($Q964="","",INDEX(상세표[블록 18~22시],$Q964))</f>
        <v/>
      </c>
      <c r="N964" s="20">
        <f>IF($Q964="","",INDEX(상세표[블록 22~06시],$Q964))</f>
        <v/>
      </c>
      <c r="O964">
        <f>IF($Q964="","",INDEX(상세표[주말·휴일 포함],$Q964)&amp;"")</f>
        <v/>
      </c>
      <c r="P964">
        <f>IF($Q964="","",INDEX(상세표[월 넘김 포함],$Q964)&amp;"")</f>
        <v/>
      </c>
      <c r="Q964" s="4">
        <f>IFERROR(MATCH(959,상세표[연속순번],0),"")</f>
        <v/>
      </c>
    </row>
    <row r="965">
      <c r="A965">
        <f>IF($Q965="","",INDEX(상세표[부서],$Q965)&amp;"")</f>
        <v/>
      </c>
      <c r="B965">
        <f>IF($Q965="","",INDEX(상세표[사번],$Q965)&amp;"")</f>
        <v/>
      </c>
      <c r="C965">
        <f>IF($Q965="","",INDEX(상세표[성명],$Q965)&amp;"")</f>
        <v/>
      </c>
      <c r="D965">
        <f>IF($Q965="","",INDEX(상세표[직위],$Q965)&amp;"")</f>
        <v/>
      </c>
      <c r="E965">
        <f>IF($Q965="","",IF(ISNUMBER(INDEX(상세표[근무일자],$Q965)),TEXT(INDEX(상세표[근무일자],$Q965),"yyyy-mm-dd"),INDEX(상세표[근무일자],$Q965)&amp;""))</f>
        <v/>
      </c>
      <c r="F965">
        <f>IF($Q965="","",IF(ISNUMBER(INDEX(상세표[시작],$Q965)),TEXT(INDEX(상세표[시작],$Q965),"yyyy-mm-dd hh:mm"),INDEX(상세표[시작],$Q965)&amp;""))</f>
        <v/>
      </c>
      <c r="G965">
        <f>IF($Q965="","",IF(ISNUMBER(INDEX(상세표[블록종료],$Q965)),TEXT(INDEX(상세표[블록종료],$Q965),"yyyy-mm-dd hh:mm"),INDEX(상세표[블록종료],$Q965)&amp;""))</f>
        <v/>
      </c>
      <c r="H965">
        <f>IF($Q965="","",CHOOSE(WEEKDAY(INDEX(상세표[시작],$Q965)),"일","월","화","수","목","금","토"))</f>
        <v/>
      </c>
      <c r="I965" s="20">
        <f>IF($Q965="","",INDEX(상세표[연속 시간],$Q965))</f>
        <v/>
      </c>
      <c r="J965">
        <f>IF($Q965="","",INDEX(상세표[기록 수],$Q965))</f>
        <v/>
      </c>
      <c r="K965" s="20">
        <f>IF($Q965="","",INDEX(상세표[블록 06~07시],$Q965))</f>
        <v/>
      </c>
      <c r="L965" s="20">
        <f>IF($Q965="","",INDEX(상세표[블록 07~18시],$Q965))</f>
        <v/>
      </c>
      <c r="M965" s="20">
        <f>IF($Q965="","",INDEX(상세표[블록 18~22시],$Q965))</f>
        <v/>
      </c>
      <c r="N965" s="20">
        <f>IF($Q965="","",INDEX(상세표[블록 22~06시],$Q965))</f>
        <v/>
      </c>
      <c r="O965">
        <f>IF($Q965="","",INDEX(상세표[주말·휴일 포함],$Q965)&amp;"")</f>
        <v/>
      </c>
      <c r="P965">
        <f>IF($Q965="","",INDEX(상세표[월 넘김 포함],$Q965)&amp;"")</f>
        <v/>
      </c>
      <c r="Q965" s="4">
        <f>IFERROR(MATCH(960,상세표[연속순번],0),"")</f>
        <v/>
      </c>
    </row>
    <row r="966">
      <c r="A966">
        <f>IF($Q966="","",INDEX(상세표[부서],$Q966)&amp;"")</f>
        <v/>
      </c>
      <c r="B966">
        <f>IF($Q966="","",INDEX(상세표[사번],$Q966)&amp;"")</f>
        <v/>
      </c>
      <c r="C966">
        <f>IF($Q966="","",INDEX(상세표[성명],$Q966)&amp;"")</f>
        <v/>
      </c>
      <c r="D966">
        <f>IF($Q966="","",INDEX(상세표[직위],$Q966)&amp;"")</f>
        <v/>
      </c>
      <c r="E966">
        <f>IF($Q966="","",IF(ISNUMBER(INDEX(상세표[근무일자],$Q966)),TEXT(INDEX(상세표[근무일자],$Q966),"yyyy-mm-dd"),INDEX(상세표[근무일자],$Q966)&amp;""))</f>
        <v/>
      </c>
      <c r="F966">
        <f>IF($Q966="","",IF(ISNUMBER(INDEX(상세표[시작],$Q966)),TEXT(INDEX(상세표[시작],$Q966),"yyyy-mm-dd hh:mm"),INDEX(상세표[시작],$Q966)&amp;""))</f>
        <v/>
      </c>
      <c r="G966">
        <f>IF($Q966="","",IF(ISNUMBER(INDEX(상세표[블록종료],$Q966)),TEXT(INDEX(상세표[블록종료],$Q966),"yyyy-mm-dd hh:mm"),INDEX(상세표[블록종료],$Q966)&amp;""))</f>
        <v/>
      </c>
      <c r="H966">
        <f>IF($Q966="","",CHOOSE(WEEKDAY(INDEX(상세표[시작],$Q966)),"일","월","화","수","목","금","토"))</f>
        <v/>
      </c>
      <c r="I966" s="20">
        <f>IF($Q966="","",INDEX(상세표[연속 시간],$Q966))</f>
        <v/>
      </c>
      <c r="J966">
        <f>IF($Q966="","",INDEX(상세표[기록 수],$Q966))</f>
        <v/>
      </c>
      <c r="K966" s="20">
        <f>IF($Q966="","",INDEX(상세표[블록 06~07시],$Q966))</f>
        <v/>
      </c>
      <c r="L966" s="20">
        <f>IF($Q966="","",INDEX(상세표[블록 07~18시],$Q966))</f>
        <v/>
      </c>
      <c r="M966" s="20">
        <f>IF($Q966="","",INDEX(상세표[블록 18~22시],$Q966))</f>
        <v/>
      </c>
      <c r="N966" s="20">
        <f>IF($Q966="","",INDEX(상세표[블록 22~06시],$Q966))</f>
        <v/>
      </c>
      <c r="O966">
        <f>IF($Q966="","",INDEX(상세표[주말·휴일 포함],$Q966)&amp;"")</f>
        <v/>
      </c>
      <c r="P966">
        <f>IF($Q966="","",INDEX(상세표[월 넘김 포함],$Q966)&amp;"")</f>
        <v/>
      </c>
      <c r="Q966" s="4">
        <f>IFERROR(MATCH(961,상세표[연속순번],0),"")</f>
        <v/>
      </c>
    </row>
    <row r="967">
      <c r="A967">
        <f>IF($Q967="","",INDEX(상세표[부서],$Q967)&amp;"")</f>
        <v/>
      </c>
      <c r="B967">
        <f>IF($Q967="","",INDEX(상세표[사번],$Q967)&amp;"")</f>
        <v/>
      </c>
      <c r="C967">
        <f>IF($Q967="","",INDEX(상세표[성명],$Q967)&amp;"")</f>
        <v/>
      </c>
      <c r="D967">
        <f>IF($Q967="","",INDEX(상세표[직위],$Q967)&amp;"")</f>
        <v/>
      </c>
      <c r="E967">
        <f>IF($Q967="","",IF(ISNUMBER(INDEX(상세표[근무일자],$Q967)),TEXT(INDEX(상세표[근무일자],$Q967),"yyyy-mm-dd"),INDEX(상세표[근무일자],$Q967)&amp;""))</f>
        <v/>
      </c>
      <c r="F967">
        <f>IF($Q967="","",IF(ISNUMBER(INDEX(상세표[시작],$Q967)),TEXT(INDEX(상세표[시작],$Q967),"yyyy-mm-dd hh:mm"),INDEX(상세표[시작],$Q967)&amp;""))</f>
        <v/>
      </c>
      <c r="G967">
        <f>IF($Q967="","",IF(ISNUMBER(INDEX(상세표[블록종료],$Q967)),TEXT(INDEX(상세표[블록종료],$Q967),"yyyy-mm-dd hh:mm"),INDEX(상세표[블록종료],$Q967)&amp;""))</f>
        <v/>
      </c>
      <c r="H967">
        <f>IF($Q967="","",CHOOSE(WEEKDAY(INDEX(상세표[시작],$Q967)),"일","월","화","수","목","금","토"))</f>
        <v/>
      </c>
      <c r="I967" s="20">
        <f>IF($Q967="","",INDEX(상세표[연속 시간],$Q967))</f>
        <v/>
      </c>
      <c r="J967">
        <f>IF($Q967="","",INDEX(상세표[기록 수],$Q967))</f>
        <v/>
      </c>
      <c r="K967" s="20">
        <f>IF($Q967="","",INDEX(상세표[블록 06~07시],$Q967))</f>
        <v/>
      </c>
      <c r="L967" s="20">
        <f>IF($Q967="","",INDEX(상세표[블록 07~18시],$Q967))</f>
        <v/>
      </c>
      <c r="M967" s="20">
        <f>IF($Q967="","",INDEX(상세표[블록 18~22시],$Q967))</f>
        <v/>
      </c>
      <c r="N967" s="20">
        <f>IF($Q967="","",INDEX(상세표[블록 22~06시],$Q967))</f>
        <v/>
      </c>
      <c r="O967">
        <f>IF($Q967="","",INDEX(상세표[주말·휴일 포함],$Q967)&amp;"")</f>
        <v/>
      </c>
      <c r="P967">
        <f>IF($Q967="","",INDEX(상세표[월 넘김 포함],$Q967)&amp;"")</f>
        <v/>
      </c>
      <c r="Q967" s="4">
        <f>IFERROR(MATCH(962,상세표[연속순번],0),"")</f>
        <v/>
      </c>
    </row>
    <row r="968">
      <c r="A968">
        <f>IF($Q968="","",INDEX(상세표[부서],$Q968)&amp;"")</f>
        <v/>
      </c>
      <c r="B968">
        <f>IF($Q968="","",INDEX(상세표[사번],$Q968)&amp;"")</f>
        <v/>
      </c>
      <c r="C968">
        <f>IF($Q968="","",INDEX(상세표[성명],$Q968)&amp;"")</f>
        <v/>
      </c>
      <c r="D968">
        <f>IF($Q968="","",INDEX(상세표[직위],$Q968)&amp;"")</f>
        <v/>
      </c>
      <c r="E968">
        <f>IF($Q968="","",IF(ISNUMBER(INDEX(상세표[근무일자],$Q968)),TEXT(INDEX(상세표[근무일자],$Q968),"yyyy-mm-dd"),INDEX(상세표[근무일자],$Q968)&amp;""))</f>
        <v/>
      </c>
      <c r="F968">
        <f>IF($Q968="","",IF(ISNUMBER(INDEX(상세표[시작],$Q968)),TEXT(INDEX(상세표[시작],$Q968),"yyyy-mm-dd hh:mm"),INDEX(상세표[시작],$Q968)&amp;""))</f>
        <v/>
      </c>
      <c r="G968">
        <f>IF($Q968="","",IF(ISNUMBER(INDEX(상세표[블록종료],$Q968)),TEXT(INDEX(상세표[블록종료],$Q968),"yyyy-mm-dd hh:mm"),INDEX(상세표[블록종료],$Q968)&amp;""))</f>
        <v/>
      </c>
      <c r="H968">
        <f>IF($Q968="","",CHOOSE(WEEKDAY(INDEX(상세표[시작],$Q968)),"일","월","화","수","목","금","토"))</f>
        <v/>
      </c>
      <c r="I968" s="20">
        <f>IF($Q968="","",INDEX(상세표[연속 시간],$Q968))</f>
        <v/>
      </c>
      <c r="J968">
        <f>IF($Q968="","",INDEX(상세표[기록 수],$Q968))</f>
        <v/>
      </c>
      <c r="K968" s="20">
        <f>IF($Q968="","",INDEX(상세표[블록 06~07시],$Q968))</f>
        <v/>
      </c>
      <c r="L968" s="20">
        <f>IF($Q968="","",INDEX(상세표[블록 07~18시],$Q968))</f>
        <v/>
      </c>
      <c r="M968" s="20">
        <f>IF($Q968="","",INDEX(상세표[블록 18~22시],$Q968))</f>
        <v/>
      </c>
      <c r="N968" s="20">
        <f>IF($Q968="","",INDEX(상세표[블록 22~06시],$Q968))</f>
        <v/>
      </c>
      <c r="O968">
        <f>IF($Q968="","",INDEX(상세표[주말·휴일 포함],$Q968)&amp;"")</f>
        <v/>
      </c>
      <c r="P968">
        <f>IF($Q968="","",INDEX(상세표[월 넘김 포함],$Q968)&amp;"")</f>
        <v/>
      </c>
      <c r="Q968" s="4">
        <f>IFERROR(MATCH(963,상세표[연속순번],0),"")</f>
        <v/>
      </c>
    </row>
    <row r="969">
      <c r="A969">
        <f>IF($Q969="","",INDEX(상세표[부서],$Q969)&amp;"")</f>
        <v/>
      </c>
      <c r="B969">
        <f>IF($Q969="","",INDEX(상세표[사번],$Q969)&amp;"")</f>
        <v/>
      </c>
      <c r="C969">
        <f>IF($Q969="","",INDEX(상세표[성명],$Q969)&amp;"")</f>
        <v/>
      </c>
      <c r="D969">
        <f>IF($Q969="","",INDEX(상세표[직위],$Q969)&amp;"")</f>
        <v/>
      </c>
      <c r="E969">
        <f>IF($Q969="","",IF(ISNUMBER(INDEX(상세표[근무일자],$Q969)),TEXT(INDEX(상세표[근무일자],$Q969),"yyyy-mm-dd"),INDEX(상세표[근무일자],$Q969)&amp;""))</f>
        <v/>
      </c>
      <c r="F969">
        <f>IF($Q969="","",IF(ISNUMBER(INDEX(상세표[시작],$Q969)),TEXT(INDEX(상세표[시작],$Q969),"yyyy-mm-dd hh:mm"),INDEX(상세표[시작],$Q969)&amp;""))</f>
        <v/>
      </c>
      <c r="G969">
        <f>IF($Q969="","",IF(ISNUMBER(INDEX(상세표[블록종료],$Q969)),TEXT(INDEX(상세표[블록종료],$Q969),"yyyy-mm-dd hh:mm"),INDEX(상세표[블록종료],$Q969)&amp;""))</f>
        <v/>
      </c>
      <c r="H969">
        <f>IF($Q969="","",CHOOSE(WEEKDAY(INDEX(상세표[시작],$Q969)),"일","월","화","수","목","금","토"))</f>
        <v/>
      </c>
      <c r="I969" s="20">
        <f>IF($Q969="","",INDEX(상세표[연속 시간],$Q969))</f>
        <v/>
      </c>
      <c r="J969">
        <f>IF($Q969="","",INDEX(상세표[기록 수],$Q969))</f>
        <v/>
      </c>
      <c r="K969" s="20">
        <f>IF($Q969="","",INDEX(상세표[블록 06~07시],$Q969))</f>
        <v/>
      </c>
      <c r="L969" s="20">
        <f>IF($Q969="","",INDEX(상세표[블록 07~18시],$Q969))</f>
        <v/>
      </c>
      <c r="M969" s="20">
        <f>IF($Q969="","",INDEX(상세표[블록 18~22시],$Q969))</f>
        <v/>
      </c>
      <c r="N969" s="20">
        <f>IF($Q969="","",INDEX(상세표[블록 22~06시],$Q969))</f>
        <v/>
      </c>
      <c r="O969">
        <f>IF($Q969="","",INDEX(상세표[주말·휴일 포함],$Q969)&amp;"")</f>
        <v/>
      </c>
      <c r="P969">
        <f>IF($Q969="","",INDEX(상세표[월 넘김 포함],$Q969)&amp;"")</f>
        <v/>
      </c>
      <c r="Q969" s="4">
        <f>IFERROR(MATCH(964,상세표[연속순번],0),"")</f>
        <v/>
      </c>
    </row>
    <row r="970">
      <c r="A970">
        <f>IF($Q970="","",INDEX(상세표[부서],$Q970)&amp;"")</f>
        <v/>
      </c>
      <c r="B970">
        <f>IF($Q970="","",INDEX(상세표[사번],$Q970)&amp;"")</f>
        <v/>
      </c>
      <c r="C970">
        <f>IF($Q970="","",INDEX(상세표[성명],$Q970)&amp;"")</f>
        <v/>
      </c>
      <c r="D970">
        <f>IF($Q970="","",INDEX(상세표[직위],$Q970)&amp;"")</f>
        <v/>
      </c>
      <c r="E970">
        <f>IF($Q970="","",IF(ISNUMBER(INDEX(상세표[근무일자],$Q970)),TEXT(INDEX(상세표[근무일자],$Q970),"yyyy-mm-dd"),INDEX(상세표[근무일자],$Q970)&amp;""))</f>
        <v/>
      </c>
      <c r="F970">
        <f>IF($Q970="","",IF(ISNUMBER(INDEX(상세표[시작],$Q970)),TEXT(INDEX(상세표[시작],$Q970),"yyyy-mm-dd hh:mm"),INDEX(상세표[시작],$Q970)&amp;""))</f>
        <v/>
      </c>
      <c r="G970">
        <f>IF($Q970="","",IF(ISNUMBER(INDEX(상세표[블록종료],$Q970)),TEXT(INDEX(상세표[블록종료],$Q970),"yyyy-mm-dd hh:mm"),INDEX(상세표[블록종료],$Q970)&amp;""))</f>
        <v/>
      </c>
      <c r="H970">
        <f>IF($Q970="","",CHOOSE(WEEKDAY(INDEX(상세표[시작],$Q970)),"일","월","화","수","목","금","토"))</f>
        <v/>
      </c>
      <c r="I970" s="20">
        <f>IF($Q970="","",INDEX(상세표[연속 시간],$Q970))</f>
        <v/>
      </c>
      <c r="J970">
        <f>IF($Q970="","",INDEX(상세표[기록 수],$Q970))</f>
        <v/>
      </c>
      <c r="K970" s="20">
        <f>IF($Q970="","",INDEX(상세표[블록 06~07시],$Q970))</f>
        <v/>
      </c>
      <c r="L970" s="20">
        <f>IF($Q970="","",INDEX(상세표[블록 07~18시],$Q970))</f>
        <v/>
      </c>
      <c r="M970" s="20">
        <f>IF($Q970="","",INDEX(상세표[블록 18~22시],$Q970))</f>
        <v/>
      </c>
      <c r="N970" s="20">
        <f>IF($Q970="","",INDEX(상세표[블록 22~06시],$Q970))</f>
        <v/>
      </c>
      <c r="O970">
        <f>IF($Q970="","",INDEX(상세표[주말·휴일 포함],$Q970)&amp;"")</f>
        <v/>
      </c>
      <c r="P970">
        <f>IF($Q970="","",INDEX(상세표[월 넘김 포함],$Q970)&amp;"")</f>
        <v/>
      </c>
      <c r="Q970" s="4">
        <f>IFERROR(MATCH(965,상세표[연속순번],0),"")</f>
        <v/>
      </c>
    </row>
    <row r="971">
      <c r="A971">
        <f>IF($Q971="","",INDEX(상세표[부서],$Q971)&amp;"")</f>
        <v/>
      </c>
      <c r="B971">
        <f>IF($Q971="","",INDEX(상세표[사번],$Q971)&amp;"")</f>
        <v/>
      </c>
      <c r="C971">
        <f>IF($Q971="","",INDEX(상세표[성명],$Q971)&amp;"")</f>
        <v/>
      </c>
      <c r="D971">
        <f>IF($Q971="","",INDEX(상세표[직위],$Q971)&amp;"")</f>
        <v/>
      </c>
      <c r="E971">
        <f>IF($Q971="","",IF(ISNUMBER(INDEX(상세표[근무일자],$Q971)),TEXT(INDEX(상세표[근무일자],$Q971),"yyyy-mm-dd"),INDEX(상세표[근무일자],$Q971)&amp;""))</f>
        <v/>
      </c>
      <c r="F971">
        <f>IF($Q971="","",IF(ISNUMBER(INDEX(상세표[시작],$Q971)),TEXT(INDEX(상세표[시작],$Q971),"yyyy-mm-dd hh:mm"),INDEX(상세표[시작],$Q971)&amp;""))</f>
        <v/>
      </c>
      <c r="G971">
        <f>IF($Q971="","",IF(ISNUMBER(INDEX(상세표[블록종료],$Q971)),TEXT(INDEX(상세표[블록종료],$Q971),"yyyy-mm-dd hh:mm"),INDEX(상세표[블록종료],$Q971)&amp;""))</f>
        <v/>
      </c>
      <c r="H971">
        <f>IF($Q971="","",CHOOSE(WEEKDAY(INDEX(상세표[시작],$Q971)),"일","월","화","수","목","금","토"))</f>
        <v/>
      </c>
      <c r="I971" s="20">
        <f>IF($Q971="","",INDEX(상세표[연속 시간],$Q971))</f>
        <v/>
      </c>
      <c r="J971">
        <f>IF($Q971="","",INDEX(상세표[기록 수],$Q971))</f>
        <v/>
      </c>
      <c r="K971" s="20">
        <f>IF($Q971="","",INDEX(상세표[블록 06~07시],$Q971))</f>
        <v/>
      </c>
      <c r="L971" s="20">
        <f>IF($Q971="","",INDEX(상세표[블록 07~18시],$Q971))</f>
        <v/>
      </c>
      <c r="M971" s="20">
        <f>IF($Q971="","",INDEX(상세표[블록 18~22시],$Q971))</f>
        <v/>
      </c>
      <c r="N971" s="20">
        <f>IF($Q971="","",INDEX(상세표[블록 22~06시],$Q971))</f>
        <v/>
      </c>
      <c r="O971">
        <f>IF($Q971="","",INDEX(상세표[주말·휴일 포함],$Q971)&amp;"")</f>
        <v/>
      </c>
      <c r="P971">
        <f>IF($Q971="","",INDEX(상세표[월 넘김 포함],$Q971)&amp;"")</f>
        <v/>
      </c>
      <c r="Q971" s="4">
        <f>IFERROR(MATCH(966,상세표[연속순번],0),"")</f>
        <v/>
      </c>
    </row>
    <row r="972">
      <c r="A972">
        <f>IF($Q972="","",INDEX(상세표[부서],$Q972)&amp;"")</f>
        <v/>
      </c>
      <c r="B972">
        <f>IF($Q972="","",INDEX(상세표[사번],$Q972)&amp;"")</f>
        <v/>
      </c>
      <c r="C972">
        <f>IF($Q972="","",INDEX(상세표[성명],$Q972)&amp;"")</f>
        <v/>
      </c>
      <c r="D972">
        <f>IF($Q972="","",INDEX(상세표[직위],$Q972)&amp;"")</f>
        <v/>
      </c>
      <c r="E972">
        <f>IF($Q972="","",IF(ISNUMBER(INDEX(상세표[근무일자],$Q972)),TEXT(INDEX(상세표[근무일자],$Q972),"yyyy-mm-dd"),INDEX(상세표[근무일자],$Q972)&amp;""))</f>
        <v/>
      </c>
      <c r="F972">
        <f>IF($Q972="","",IF(ISNUMBER(INDEX(상세표[시작],$Q972)),TEXT(INDEX(상세표[시작],$Q972),"yyyy-mm-dd hh:mm"),INDEX(상세표[시작],$Q972)&amp;""))</f>
        <v/>
      </c>
      <c r="G972">
        <f>IF($Q972="","",IF(ISNUMBER(INDEX(상세표[블록종료],$Q972)),TEXT(INDEX(상세표[블록종료],$Q972),"yyyy-mm-dd hh:mm"),INDEX(상세표[블록종료],$Q972)&amp;""))</f>
        <v/>
      </c>
      <c r="H972">
        <f>IF($Q972="","",CHOOSE(WEEKDAY(INDEX(상세표[시작],$Q972)),"일","월","화","수","목","금","토"))</f>
        <v/>
      </c>
      <c r="I972" s="20">
        <f>IF($Q972="","",INDEX(상세표[연속 시간],$Q972))</f>
        <v/>
      </c>
      <c r="J972">
        <f>IF($Q972="","",INDEX(상세표[기록 수],$Q972))</f>
        <v/>
      </c>
      <c r="K972" s="20">
        <f>IF($Q972="","",INDEX(상세표[블록 06~07시],$Q972))</f>
        <v/>
      </c>
      <c r="L972" s="20">
        <f>IF($Q972="","",INDEX(상세표[블록 07~18시],$Q972))</f>
        <v/>
      </c>
      <c r="M972" s="20">
        <f>IF($Q972="","",INDEX(상세표[블록 18~22시],$Q972))</f>
        <v/>
      </c>
      <c r="N972" s="20">
        <f>IF($Q972="","",INDEX(상세표[블록 22~06시],$Q972))</f>
        <v/>
      </c>
      <c r="O972">
        <f>IF($Q972="","",INDEX(상세표[주말·휴일 포함],$Q972)&amp;"")</f>
        <v/>
      </c>
      <c r="P972">
        <f>IF($Q972="","",INDEX(상세표[월 넘김 포함],$Q972)&amp;"")</f>
        <v/>
      </c>
      <c r="Q972" s="4">
        <f>IFERROR(MATCH(967,상세표[연속순번],0),"")</f>
        <v/>
      </c>
    </row>
    <row r="973">
      <c r="A973">
        <f>IF($Q973="","",INDEX(상세표[부서],$Q973)&amp;"")</f>
        <v/>
      </c>
      <c r="B973">
        <f>IF($Q973="","",INDEX(상세표[사번],$Q973)&amp;"")</f>
        <v/>
      </c>
      <c r="C973">
        <f>IF($Q973="","",INDEX(상세표[성명],$Q973)&amp;"")</f>
        <v/>
      </c>
      <c r="D973">
        <f>IF($Q973="","",INDEX(상세표[직위],$Q973)&amp;"")</f>
        <v/>
      </c>
      <c r="E973">
        <f>IF($Q973="","",IF(ISNUMBER(INDEX(상세표[근무일자],$Q973)),TEXT(INDEX(상세표[근무일자],$Q973),"yyyy-mm-dd"),INDEX(상세표[근무일자],$Q973)&amp;""))</f>
        <v/>
      </c>
      <c r="F973">
        <f>IF($Q973="","",IF(ISNUMBER(INDEX(상세표[시작],$Q973)),TEXT(INDEX(상세표[시작],$Q973),"yyyy-mm-dd hh:mm"),INDEX(상세표[시작],$Q973)&amp;""))</f>
        <v/>
      </c>
      <c r="G973">
        <f>IF($Q973="","",IF(ISNUMBER(INDEX(상세표[블록종료],$Q973)),TEXT(INDEX(상세표[블록종료],$Q973),"yyyy-mm-dd hh:mm"),INDEX(상세표[블록종료],$Q973)&amp;""))</f>
        <v/>
      </c>
      <c r="H973">
        <f>IF($Q973="","",CHOOSE(WEEKDAY(INDEX(상세표[시작],$Q973)),"일","월","화","수","목","금","토"))</f>
        <v/>
      </c>
      <c r="I973" s="20">
        <f>IF($Q973="","",INDEX(상세표[연속 시간],$Q973))</f>
        <v/>
      </c>
      <c r="J973">
        <f>IF($Q973="","",INDEX(상세표[기록 수],$Q973))</f>
        <v/>
      </c>
      <c r="K973" s="20">
        <f>IF($Q973="","",INDEX(상세표[블록 06~07시],$Q973))</f>
        <v/>
      </c>
      <c r="L973" s="20">
        <f>IF($Q973="","",INDEX(상세표[블록 07~18시],$Q973))</f>
        <v/>
      </c>
      <c r="M973" s="20">
        <f>IF($Q973="","",INDEX(상세표[블록 18~22시],$Q973))</f>
        <v/>
      </c>
      <c r="N973" s="20">
        <f>IF($Q973="","",INDEX(상세표[블록 22~06시],$Q973))</f>
        <v/>
      </c>
      <c r="O973">
        <f>IF($Q973="","",INDEX(상세표[주말·휴일 포함],$Q973)&amp;"")</f>
        <v/>
      </c>
      <c r="P973">
        <f>IF($Q973="","",INDEX(상세표[월 넘김 포함],$Q973)&amp;"")</f>
        <v/>
      </c>
      <c r="Q973" s="4">
        <f>IFERROR(MATCH(968,상세표[연속순번],0),"")</f>
        <v/>
      </c>
    </row>
    <row r="974">
      <c r="A974">
        <f>IF($Q974="","",INDEX(상세표[부서],$Q974)&amp;"")</f>
        <v/>
      </c>
      <c r="B974">
        <f>IF($Q974="","",INDEX(상세표[사번],$Q974)&amp;"")</f>
        <v/>
      </c>
      <c r="C974">
        <f>IF($Q974="","",INDEX(상세표[성명],$Q974)&amp;"")</f>
        <v/>
      </c>
      <c r="D974">
        <f>IF($Q974="","",INDEX(상세표[직위],$Q974)&amp;"")</f>
        <v/>
      </c>
      <c r="E974">
        <f>IF($Q974="","",IF(ISNUMBER(INDEX(상세표[근무일자],$Q974)),TEXT(INDEX(상세표[근무일자],$Q974),"yyyy-mm-dd"),INDEX(상세표[근무일자],$Q974)&amp;""))</f>
        <v/>
      </c>
      <c r="F974">
        <f>IF($Q974="","",IF(ISNUMBER(INDEX(상세표[시작],$Q974)),TEXT(INDEX(상세표[시작],$Q974),"yyyy-mm-dd hh:mm"),INDEX(상세표[시작],$Q974)&amp;""))</f>
        <v/>
      </c>
      <c r="G974">
        <f>IF($Q974="","",IF(ISNUMBER(INDEX(상세표[블록종료],$Q974)),TEXT(INDEX(상세표[블록종료],$Q974),"yyyy-mm-dd hh:mm"),INDEX(상세표[블록종료],$Q974)&amp;""))</f>
        <v/>
      </c>
      <c r="H974">
        <f>IF($Q974="","",CHOOSE(WEEKDAY(INDEX(상세표[시작],$Q974)),"일","월","화","수","목","금","토"))</f>
        <v/>
      </c>
      <c r="I974" s="20">
        <f>IF($Q974="","",INDEX(상세표[연속 시간],$Q974))</f>
        <v/>
      </c>
      <c r="J974">
        <f>IF($Q974="","",INDEX(상세표[기록 수],$Q974))</f>
        <v/>
      </c>
      <c r="K974" s="20">
        <f>IF($Q974="","",INDEX(상세표[블록 06~07시],$Q974))</f>
        <v/>
      </c>
      <c r="L974" s="20">
        <f>IF($Q974="","",INDEX(상세표[블록 07~18시],$Q974))</f>
        <v/>
      </c>
      <c r="M974" s="20">
        <f>IF($Q974="","",INDEX(상세표[블록 18~22시],$Q974))</f>
        <v/>
      </c>
      <c r="N974" s="20">
        <f>IF($Q974="","",INDEX(상세표[블록 22~06시],$Q974))</f>
        <v/>
      </c>
      <c r="O974">
        <f>IF($Q974="","",INDEX(상세표[주말·휴일 포함],$Q974)&amp;"")</f>
        <v/>
      </c>
      <c r="P974">
        <f>IF($Q974="","",INDEX(상세표[월 넘김 포함],$Q974)&amp;"")</f>
        <v/>
      </c>
      <c r="Q974" s="4">
        <f>IFERROR(MATCH(969,상세표[연속순번],0),"")</f>
        <v/>
      </c>
    </row>
    <row r="975">
      <c r="A975">
        <f>IF($Q975="","",INDEX(상세표[부서],$Q975)&amp;"")</f>
        <v/>
      </c>
      <c r="B975">
        <f>IF($Q975="","",INDEX(상세표[사번],$Q975)&amp;"")</f>
        <v/>
      </c>
      <c r="C975">
        <f>IF($Q975="","",INDEX(상세표[성명],$Q975)&amp;"")</f>
        <v/>
      </c>
      <c r="D975">
        <f>IF($Q975="","",INDEX(상세표[직위],$Q975)&amp;"")</f>
        <v/>
      </c>
      <c r="E975">
        <f>IF($Q975="","",IF(ISNUMBER(INDEX(상세표[근무일자],$Q975)),TEXT(INDEX(상세표[근무일자],$Q975),"yyyy-mm-dd"),INDEX(상세표[근무일자],$Q975)&amp;""))</f>
        <v/>
      </c>
      <c r="F975">
        <f>IF($Q975="","",IF(ISNUMBER(INDEX(상세표[시작],$Q975)),TEXT(INDEX(상세표[시작],$Q975),"yyyy-mm-dd hh:mm"),INDEX(상세표[시작],$Q975)&amp;""))</f>
        <v/>
      </c>
      <c r="G975">
        <f>IF($Q975="","",IF(ISNUMBER(INDEX(상세표[블록종료],$Q975)),TEXT(INDEX(상세표[블록종료],$Q975),"yyyy-mm-dd hh:mm"),INDEX(상세표[블록종료],$Q975)&amp;""))</f>
        <v/>
      </c>
      <c r="H975">
        <f>IF($Q975="","",CHOOSE(WEEKDAY(INDEX(상세표[시작],$Q975)),"일","월","화","수","목","금","토"))</f>
        <v/>
      </c>
      <c r="I975" s="20">
        <f>IF($Q975="","",INDEX(상세표[연속 시간],$Q975))</f>
        <v/>
      </c>
      <c r="J975">
        <f>IF($Q975="","",INDEX(상세표[기록 수],$Q975))</f>
        <v/>
      </c>
      <c r="K975" s="20">
        <f>IF($Q975="","",INDEX(상세표[블록 06~07시],$Q975))</f>
        <v/>
      </c>
      <c r="L975" s="20">
        <f>IF($Q975="","",INDEX(상세표[블록 07~18시],$Q975))</f>
        <v/>
      </c>
      <c r="M975" s="20">
        <f>IF($Q975="","",INDEX(상세표[블록 18~22시],$Q975))</f>
        <v/>
      </c>
      <c r="N975" s="20">
        <f>IF($Q975="","",INDEX(상세표[블록 22~06시],$Q975))</f>
        <v/>
      </c>
      <c r="O975">
        <f>IF($Q975="","",INDEX(상세표[주말·휴일 포함],$Q975)&amp;"")</f>
        <v/>
      </c>
      <c r="P975">
        <f>IF($Q975="","",INDEX(상세표[월 넘김 포함],$Q975)&amp;"")</f>
        <v/>
      </c>
      <c r="Q975" s="4">
        <f>IFERROR(MATCH(970,상세표[연속순번],0),"")</f>
        <v/>
      </c>
    </row>
    <row r="976">
      <c r="A976">
        <f>IF($Q976="","",INDEX(상세표[부서],$Q976)&amp;"")</f>
        <v/>
      </c>
      <c r="B976">
        <f>IF($Q976="","",INDEX(상세표[사번],$Q976)&amp;"")</f>
        <v/>
      </c>
      <c r="C976">
        <f>IF($Q976="","",INDEX(상세표[성명],$Q976)&amp;"")</f>
        <v/>
      </c>
      <c r="D976">
        <f>IF($Q976="","",INDEX(상세표[직위],$Q976)&amp;"")</f>
        <v/>
      </c>
      <c r="E976">
        <f>IF($Q976="","",IF(ISNUMBER(INDEX(상세표[근무일자],$Q976)),TEXT(INDEX(상세표[근무일자],$Q976),"yyyy-mm-dd"),INDEX(상세표[근무일자],$Q976)&amp;""))</f>
        <v/>
      </c>
      <c r="F976">
        <f>IF($Q976="","",IF(ISNUMBER(INDEX(상세표[시작],$Q976)),TEXT(INDEX(상세표[시작],$Q976),"yyyy-mm-dd hh:mm"),INDEX(상세표[시작],$Q976)&amp;""))</f>
        <v/>
      </c>
      <c r="G976">
        <f>IF($Q976="","",IF(ISNUMBER(INDEX(상세표[블록종료],$Q976)),TEXT(INDEX(상세표[블록종료],$Q976),"yyyy-mm-dd hh:mm"),INDEX(상세표[블록종료],$Q976)&amp;""))</f>
        <v/>
      </c>
      <c r="H976">
        <f>IF($Q976="","",CHOOSE(WEEKDAY(INDEX(상세표[시작],$Q976)),"일","월","화","수","목","금","토"))</f>
        <v/>
      </c>
      <c r="I976" s="20">
        <f>IF($Q976="","",INDEX(상세표[연속 시간],$Q976))</f>
        <v/>
      </c>
      <c r="J976">
        <f>IF($Q976="","",INDEX(상세표[기록 수],$Q976))</f>
        <v/>
      </c>
      <c r="K976" s="20">
        <f>IF($Q976="","",INDEX(상세표[블록 06~07시],$Q976))</f>
        <v/>
      </c>
      <c r="L976" s="20">
        <f>IF($Q976="","",INDEX(상세표[블록 07~18시],$Q976))</f>
        <v/>
      </c>
      <c r="M976" s="20">
        <f>IF($Q976="","",INDEX(상세표[블록 18~22시],$Q976))</f>
        <v/>
      </c>
      <c r="N976" s="20">
        <f>IF($Q976="","",INDEX(상세표[블록 22~06시],$Q976))</f>
        <v/>
      </c>
      <c r="O976">
        <f>IF($Q976="","",INDEX(상세표[주말·휴일 포함],$Q976)&amp;"")</f>
        <v/>
      </c>
      <c r="P976">
        <f>IF($Q976="","",INDEX(상세표[월 넘김 포함],$Q976)&amp;"")</f>
        <v/>
      </c>
      <c r="Q976" s="4">
        <f>IFERROR(MATCH(971,상세표[연속순번],0),"")</f>
        <v/>
      </c>
    </row>
    <row r="977">
      <c r="A977">
        <f>IF($Q977="","",INDEX(상세표[부서],$Q977)&amp;"")</f>
        <v/>
      </c>
      <c r="B977">
        <f>IF($Q977="","",INDEX(상세표[사번],$Q977)&amp;"")</f>
        <v/>
      </c>
      <c r="C977">
        <f>IF($Q977="","",INDEX(상세표[성명],$Q977)&amp;"")</f>
        <v/>
      </c>
      <c r="D977">
        <f>IF($Q977="","",INDEX(상세표[직위],$Q977)&amp;"")</f>
        <v/>
      </c>
      <c r="E977">
        <f>IF($Q977="","",IF(ISNUMBER(INDEX(상세표[근무일자],$Q977)),TEXT(INDEX(상세표[근무일자],$Q977),"yyyy-mm-dd"),INDEX(상세표[근무일자],$Q977)&amp;""))</f>
        <v/>
      </c>
      <c r="F977">
        <f>IF($Q977="","",IF(ISNUMBER(INDEX(상세표[시작],$Q977)),TEXT(INDEX(상세표[시작],$Q977),"yyyy-mm-dd hh:mm"),INDEX(상세표[시작],$Q977)&amp;""))</f>
        <v/>
      </c>
      <c r="G977">
        <f>IF($Q977="","",IF(ISNUMBER(INDEX(상세표[블록종료],$Q977)),TEXT(INDEX(상세표[블록종료],$Q977),"yyyy-mm-dd hh:mm"),INDEX(상세표[블록종료],$Q977)&amp;""))</f>
        <v/>
      </c>
      <c r="H977">
        <f>IF($Q977="","",CHOOSE(WEEKDAY(INDEX(상세표[시작],$Q977)),"일","월","화","수","목","금","토"))</f>
        <v/>
      </c>
      <c r="I977" s="20">
        <f>IF($Q977="","",INDEX(상세표[연속 시간],$Q977))</f>
        <v/>
      </c>
      <c r="J977">
        <f>IF($Q977="","",INDEX(상세표[기록 수],$Q977))</f>
        <v/>
      </c>
      <c r="K977" s="20">
        <f>IF($Q977="","",INDEX(상세표[블록 06~07시],$Q977))</f>
        <v/>
      </c>
      <c r="L977" s="20">
        <f>IF($Q977="","",INDEX(상세표[블록 07~18시],$Q977))</f>
        <v/>
      </c>
      <c r="M977" s="20">
        <f>IF($Q977="","",INDEX(상세표[블록 18~22시],$Q977))</f>
        <v/>
      </c>
      <c r="N977" s="20">
        <f>IF($Q977="","",INDEX(상세표[블록 22~06시],$Q977))</f>
        <v/>
      </c>
      <c r="O977">
        <f>IF($Q977="","",INDEX(상세표[주말·휴일 포함],$Q977)&amp;"")</f>
        <v/>
      </c>
      <c r="P977">
        <f>IF($Q977="","",INDEX(상세표[월 넘김 포함],$Q977)&amp;"")</f>
        <v/>
      </c>
      <c r="Q977" s="4">
        <f>IFERROR(MATCH(972,상세표[연속순번],0),"")</f>
        <v/>
      </c>
    </row>
    <row r="978">
      <c r="A978">
        <f>IF($Q978="","",INDEX(상세표[부서],$Q978)&amp;"")</f>
        <v/>
      </c>
      <c r="B978">
        <f>IF($Q978="","",INDEX(상세표[사번],$Q978)&amp;"")</f>
        <v/>
      </c>
      <c r="C978">
        <f>IF($Q978="","",INDEX(상세표[성명],$Q978)&amp;"")</f>
        <v/>
      </c>
      <c r="D978">
        <f>IF($Q978="","",INDEX(상세표[직위],$Q978)&amp;"")</f>
        <v/>
      </c>
      <c r="E978">
        <f>IF($Q978="","",IF(ISNUMBER(INDEX(상세표[근무일자],$Q978)),TEXT(INDEX(상세표[근무일자],$Q978),"yyyy-mm-dd"),INDEX(상세표[근무일자],$Q978)&amp;""))</f>
        <v/>
      </c>
      <c r="F978">
        <f>IF($Q978="","",IF(ISNUMBER(INDEX(상세표[시작],$Q978)),TEXT(INDEX(상세표[시작],$Q978),"yyyy-mm-dd hh:mm"),INDEX(상세표[시작],$Q978)&amp;""))</f>
        <v/>
      </c>
      <c r="G978">
        <f>IF($Q978="","",IF(ISNUMBER(INDEX(상세표[블록종료],$Q978)),TEXT(INDEX(상세표[블록종료],$Q978),"yyyy-mm-dd hh:mm"),INDEX(상세표[블록종료],$Q978)&amp;""))</f>
        <v/>
      </c>
      <c r="H978">
        <f>IF($Q978="","",CHOOSE(WEEKDAY(INDEX(상세표[시작],$Q978)),"일","월","화","수","목","금","토"))</f>
        <v/>
      </c>
      <c r="I978" s="20">
        <f>IF($Q978="","",INDEX(상세표[연속 시간],$Q978))</f>
        <v/>
      </c>
      <c r="J978">
        <f>IF($Q978="","",INDEX(상세표[기록 수],$Q978))</f>
        <v/>
      </c>
      <c r="K978" s="20">
        <f>IF($Q978="","",INDEX(상세표[블록 06~07시],$Q978))</f>
        <v/>
      </c>
      <c r="L978" s="20">
        <f>IF($Q978="","",INDEX(상세표[블록 07~18시],$Q978))</f>
        <v/>
      </c>
      <c r="M978" s="20">
        <f>IF($Q978="","",INDEX(상세표[블록 18~22시],$Q978))</f>
        <v/>
      </c>
      <c r="N978" s="20">
        <f>IF($Q978="","",INDEX(상세표[블록 22~06시],$Q978))</f>
        <v/>
      </c>
      <c r="O978">
        <f>IF($Q978="","",INDEX(상세표[주말·휴일 포함],$Q978)&amp;"")</f>
        <v/>
      </c>
      <c r="P978">
        <f>IF($Q978="","",INDEX(상세표[월 넘김 포함],$Q978)&amp;"")</f>
        <v/>
      </c>
      <c r="Q978" s="4">
        <f>IFERROR(MATCH(973,상세표[연속순번],0),"")</f>
        <v/>
      </c>
    </row>
    <row r="979">
      <c r="A979">
        <f>IF($Q979="","",INDEX(상세표[부서],$Q979)&amp;"")</f>
        <v/>
      </c>
      <c r="B979">
        <f>IF($Q979="","",INDEX(상세표[사번],$Q979)&amp;"")</f>
        <v/>
      </c>
      <c r="C979">
        <f>IF($Q979="","",INDEX(상세표[성명],$Q979)&amp;"")</f>
        <v/>
      </c>
      <c r="D979">
        <f>IF($Q979="","",INDEX(상세표[직위],$Q979)&amp;"")</f>
        <v/>
      </c>
      <c r="E979">
        <f>IF($Q979="","",IF(ISNUMBER(INDEX(상세표[근무일자],$Q979)),TEXT(INDEX(상세표[근무일자],$Q979),"yyyy-mm-dd"),INDEX(상세표[근무일자],$Q979)&amp;""))</f>
        <v/>
      </c>
      <c r="F979">
        <f>IF($Q979="","",IF(ISNUMBER(INDEX(상세표[시작],$Q979)),TEXT(INDEX(상세표[시작],$Q979),"yyyy-mm-dd hh:mm"),INDEX(상세표[시작],$Q979)&amp;""))</f>
        <v/>
      </c>
      <c r="G979">
        <f>IF($Q979="","",IF(ISNUMBER(INDEX(상세표[블록종료],$Q979)),TEXT(INDEX(상세표[블록종료],$Q979),"yyyy-mm-dd hh:mm"),INDEX(상세표[블록종료],$Q979)&amp;""))</f>
        <v/>
      </c>
      <c r="H979">
        <f>IF($Q979="","",CHOOSE(WEEKDAY(INDEX(상세표[시작],$Q979)),"일","월","화","수","목","금","토"))</f>
        <v/>
      </c>
      <c r="I979" s="20">
        <f>IF($Q979="","",INDEX(상세표[연속 시간],$Q979))</f>
        <v/>
      </c>
      <c r="J979">
        <f>IF($Q979="","",INDEX(상세표[기록 수],$Q979))</f>
        <v/>
      </c>
      <c r="K979" s="20">
        <f>IF($Q979="","",INDEX(상세표[블록 06~07시],$Q979))</f>
        <v/>
      </c>
      <c r="L979" s="20">
        <f>IF($Q979="","",INDEX(상세표[블록 07~18시],$Q979))</f>
        <v/>
      </c>
      <c r="M979" s="20">
        <f>IF($Q979="","",INDEX(상세표[블록 18~22시],$Q979))</f>
        <v/>
      </c>
      <c r="N979" s="20">
        <f>IF($Q979="","",INDEX(상세표[블록 22~06시],$Q979))</f>
        <v/>
      </c>
      <c r="O979">
        <f>IF($Q979="","",INDEX(상세표[주말·휴일 포함],$Q979)&amp;"")</f>
        <v/>
      </c>
      <c r="P979">
        <f>IF($Q979="","",INDEX(상세표[월 넘김 포함],$Q979)&amp;"")</f>
        <v/>
      </c>
      <c r="Q979" s="4">
        <f>IFERROR(MATCH(974,상세표[연속순번],0),"")</f>
        <v/>
      </c>
    </row>
    <row r="980">
      <c r="A980">
        <f>IF($Q980="","",INDEX(상세표[부서],$Q980)&amp;"")</f>
        <v/>
      </c>
      <c r="B980">
        <f>IF($Q980="","",INDEX(상세표[사번],$Q980)&amp;"")</f>
        <v/>
      </c>
      <c r="C980">
        <f>IF($Q980="","",INDEX(상세표[성명],$Q980)&amp;"")</f>
        <v/>
      </c>
      <c r="D980">
        <f>IF($Q980="","",INDEX(상세표[직위],$Q980)&amp;"")</f>
        <v/>
      </c>
      <c r="E980">
        <f>IF($Q980="","",IF(ISNUMBER(INDEX(상세표[근무일자],$Q980)),TEXT(INDEX(상세표[근무일자],$Q980),"yyyy-mm-dd"),INDEX(상세표[근무일자],$Q980)&amp;""))</f>
        <v/>
      </c>
      <c r="F980">
        <f>IF($Q980="","",IF(ISNUMBER(INDEX(상세표[시작],$Q980)),TEXT(INDEX(상세표[시작],$Q980),"yyyy-mm-dd hh:mm"),INDEX(상세표[시작],$Q980)&amp;""))</f>
        <v/>
      </c>
      <c r="G980">
        <f>IF($Q980="","",IF(ISNUMBER(INDEX(상세표[블록종료],$Q980)),TEXT(INDEX(상세표[블록종료],$Q980),"yyyy-mm-dd hh:mm"),INDEX(상세표[블록종료],$Q980)&amp;""))</f>
        <v/>
      </c>
      <c r="H980">
        <f>IF($Q980="","",CHOOSE(WEEKDAY(INDEX(상세표[시작],$Q980)),"일","월","화","수","목","금","토"))</f>
        <v/>
      </c>
      <c r="I980" s="20">
        <f>IF($Q980="","",INDEX(상세표[연속 시간],$Q980))</f>
        <v/>
      </c>
      <c r="J980">
        <f>IF($Q980="","",INDEX(상세표[기록 수],$Q980))</f>
        <v/>
      </c>
      <c r="K980" s="20">
        <f>IF($Q980="","",INDEX(상세표[블록 06~07시],$Q980))</f>
        <v/>
      </c>
      <c r="L980" s="20">
        <f>IF($Q980="","",INDEX(상세표[블록 07~18시],$Q980))</f>
        <v/>
      </c>
      <c r="M980" s="20">
        <f>IF($Q980="","",INDEX(상세표[블록 18~22시],$Q980))</f>
        <v/>
      </c>
      <c r="N980" s="20">
        <f>IF($Q980="","",INDEX(상세표[블록 22~06시],$Q980))</f>
        <v/>
      </c>
      <c r="O980">
        <f>IF($Q980="","",INDEX(상세표[주말·휴일 포함],$Q980)&amp;"")</f>
        <v/>
      </c>
      <c r="P980">
        <f>IF($Q980="","",INDEX(상세표[월 넘김 포함],$Q980)&amp;"")</f>
        <v/>
      </c>
      <c r="Q980" s="4">
        <f>IFERROR(MATCH(975,상세표[연속순번],0),"")</f>
        <v/>
      </c>
    </row>
    <row r="981">
      <c r="A981">
        <f>IF($Q981="","",INDEX(상세표[부서],$Q981)&amp;"")</f>
        <v/>
      </c>
      <c r="B981">
        <f>IF($Q981="","",INDEX(상세표[사번],$Q981)&amp;"")</f>
        <v/>
      </c>
      <c r="C981">
        <f>IF($Q981="","",INDEX(상세표[성명],$Q981)&amp;"")</f>
        <v/>
      </c>
      <c r="D981">
        <f>IF($Q981="","",INDEX(상세표[직위],$Q981)&amp;"")</f>
        <v/>
      </c>
      <c r="E981">
        <f>IF($Q981="","",IF(ISNUMBER(INDEX(상세표[근무일자],$Q981)),TEXT(INDEX(상세표[근무일자],$Q981),"yyyy-mm-dd"),INDEX(상세표[근무일자],$Q981)&amp;""))</f>
        <v/>
      </c>
      <c r="F981">
        <f>IF($Q981="","",IF(ISNUMBER(INDEX(상세표[시작],$Q981)),TEXT(INDEX(상세표[시작],$Q981),"yyyy-mm-dd hh:mm"),INDEX(상세표[시작],$Q981)&amp;""))</f>
        <v/>
      </c>
      <c r="G981">
        <f>IF($Q981="","",IF(ISNUMBER(INDEX(상세표[블록종료],$Q981)),TEXT(INDEX(상세표[블록종료],$Q981),"yyyy-mm-dd hh:mm"),INDEX(상세표[블록종료],$Q981)&amp;""))</f>
        <v/>
      </c>
      <c r="H981">
        <f>IF($Q981="","",CHOOSE(WEEKDAY(INDEX(상세표[시작],$Q981)),"일","월","화","수","목","금","토"))</f>
        <v/>
      </c>
      <c r="I981" s="20">
        <f>IF($Q981="","",INDEX(상세표[연속 시간],$Q981))</f>
        <v/>
      </c>
      <c r="J981">
        <f>IF($Q981="","",INDEX(상세표[기록 수],$Q981))</f>
        <v/>
      </c>
      <c r="K981" s="20">
        <f>IF($Q981="","",INDEX(상세표[블록 06~07시],$Q981))</f>
        <v/>
      </c>
      <c r="L981" s="20">
        <f>IF($Q981="","",INDEX(상세표[블록 07~18시],$Q981))</f>
        <v/>
      </c>
      <c r="M981" s="20">
        <f>IF($Q981="","",INDEX(상세표[블록 18~22시],$Q981))</f>
        <v/>
      </c>
      <c r="N981" s="20">
        <f>IF($Q981="","",INDEX(상세표[블록 22~06시],$Q981))</f>
        <v/>
      </c>
      <c r="O981">
        <f>IF($Q981="","",INDEX(상세표[주말·휴일 포함],$Q981)&amp;"")</f>
        <v/>
      </c>
      <c r="P981">
        <f>IF($Q981="","",INDEX(상세표[월 넘김 포함],$Q981)&amp;"")</f>
        <v/>
      </c>
      <c r="Q981" s="4">
        <f>IFERROR(MATCH(976,상세표[연속순번],0),"")</f>
        <v/>
      </c>
    </row>
    <row r="982">
      <c r="A982">
        <f>IF($Q982="","",INDEX(상세표[부서],$Q982)&amp;"")</f>
        <v/>
      </c>
      <c r="B982">
        <f>IF($Q982="","",INDEX(상세표[사번],$Q982)&amp;"")</f>
        <v/>
      </c>
      <c r="C982">
        <f>IF($Q982="","",INDEX(상세표[성명],$Q982)&amp;"")</f>
        <v/>
      </c>
      <c r="D982">
        <f>IF($Q982="","",INDEX(상세표[직위],$Q982)&amp;"")</f>
        <v/>
      </c>
      <c r="E982">
        <f>IF($Q982="","",IF(ISNUMBER(INDEX(상세표[근무일자],$Q982)),TEXT(INDEX(상세표[근무일자],$Q982),"yyyy-mm-dd"),INDEX(상세표[근무일자],$Q982)&amp;""))</f>
        <v/>
      </c>
      <c r="F982">
        <f>IF($Q982="","",IF(ISNUMBER(INDEX(상세표[시작],$Q982)),TEXT(INDEX(상세표[시작],$Q982),"yyyy-mm-dd hh:mm"),INDEX(상세표[시작],$Q982)&amp;""))</f>
        <v/>
      </c>
      <c r="G982">
        <f>IF($Q982="","",IF(ISNUMBER(INDEX(상세표[블록종료],$Q982)),TEXT(INDEX(상세표[블록종료],$Q982),"yyyy-mm-dd hh:mm"),INDEX(상세표[블록종료],$Q982)&amp;""))</f>
        <v/>
      </c>
      <c r="H982">
        <f>IF($Q982="","",CHOOSE(WEEKDAY(INDEX(상세표[시작],$Q982)),"일","월","화","수","목","금","토"))</f>
        <v/>
      </c>
      <c r="I982" s="20">
        <f>IF($Q982="","",INDEX(상세표[연속 시간],$Q982))</f>
        <v/>
      </c>
      <c r="J982">
        <f>IF($Q982="","",INDEX(상세표[기록 수],$Q982))</f>
        <v/>
      </c>
      <c r="K982" s="20">
        <f>IF($Q982="","",INDEX(상세표[블록 06~07시],$Q982))</f>
        <v/>
      </c>
      <c r="L982" s="20">
        <f>IF($Q982="","",INDEX(상세표[블록 07~18시],$Q982))</f>
        <v/>
      </c>
      <c r="M982" s="20">
        <f>IF($Q982="","",INDEX(상세표[블록 18~22시],$Q982))</f>
        <v/>
      </c>
      <c r="N982" s="20">
        <f>IF($Q982="","",INDEX(상세표[블록 22~06시],$Q982))</f>
        <v/>
      </c>
      <c r="O982">
        <f>IF($Q982="","",INDEX(상세표[주말·휴일 포함],$Q982)&amp;"")</f>
        <v/>
      </c>
      <c r="P982">
        <f>IF($Q982="","",INDEX(상세표[월 넘김 포함],$Q982)&amp;"")</f>
        <v/>
      </c>
      <c r="Q982" s="4">
        <f>IFERROR(MATCH(977,상세표[연속순번],0),"")</f>
        <v/>
      </c>
    </row>
    <row r="983">
      <c r="A983">
        <f>IF($Q983="","",INDEX(상세표[부서],$Q983)&amp;"")</f>
        <v/>
      </c>
      <c r="B983">
        <f>IF($Q983="","",INDEX(상세표[사번],$Q983)&amp;"")</f>
        <v/>
      </c>
      <c r="C983">
        <f>IF($Q983="","",INDEX(상세표[성명],$Q983)&amp;"")</f>
        <v/>
      </c>
      <c r="D983">
        <f>IF($Q983="","",INDEX(상세표[직위],$Q983)&amp;"")</f>
        <v/>
      </c>
      <c r="E983">
        <f>IF($Q983="","",IF(ISNUMBER(INDEX(상세표[근무일자],$Q983)),TEXT(INDEX(상세표[근무일자],$Q983),"yyyy-mm-dd"),INDEX(상세표[근무일자],$Q983)&amp;""))</f>
        <v/>
      </c>
      <c r="F983">
        <f>IF($Q983="","",IF(ISNUMBER(INDEX(상세표[시작],$Q983)),TEXT(INDEX(상세표[시작],$Q983),"yyyy-mm-dd hh:mm"),INDEX(상세표[시작],$Q983)&amp;""))</f>
        <v/>
      </c>
      <c r="G983">
        <f>IF($Q983="","",IF(ISNUMBER(INDEX(상세표[블록종료],$Q983)),TEXT(INDEX(상세표[블록종료],$Q983),"yyyy-mm-dd hh:mm"),INDEX(상세표[블록종료],$Q983)&amp;""))</f>
        <v/>
      </c>
      <c r="H983">
        <f>IF($Q983="","",CHOOSE(WEEKDAY(INDEX(상세표[시작],$Q983)),"일","월","화","수","목","금","토"))</f>
        <v/>
      </c>
      <c r="I983" s="20">
        <f>IF($Q983="","",INDEX(상세표[연속 시간],$Q983))</f>
        <v/>
      </c>
      <c r="J983">
        <f>IF($Q983="","",INDEX(상세표[기록 수],$Q983))</f>
        <v/>
      </c>
      <c r="K983" s="20">
        <f>IF($Q983="","",INDEX(상세표[블록 06~07시],$Q983))</f>
        <v/>
      </c>
      <c r="L983" s="20">
        <f>IF($Q983="","",INDEX(상세표[블록 07~18시],$Q983))</f>
        <v/>
      </c>
      <c r="M983" s="20">
        <f>IF($Q983="","",INDEX(상세표[블록 18~22시],$Q983))</f>
        <v/>
      </c>
      <c r="N983" s="20">
        <f>IF($Q983="","",INDEX(상세표[블록 22~06시],$Q983))</f>
        <v/>
      </c>
      <c r="O983">
        <f>IF($Q983="","",INDEX(상세표[주말·휴일 포함],$Q983)&amp;"")</f>
        <v/>
      </c>
      <c r="P983">
        <f>IF($Q983="","",INDEX(상세표[월 넘김 포함],$Q983)&amp;"")</f>
        <v/>
      </c>
      <c r="Q983" s="4">
        <f>IFERROR(MATCH(978,상세표[연속순번],0),"")</f>
        <v/>
      </c>
    </row>
    <row r="984">
      <c r="A984">
        <f>IF($Q984="","",INDEX(상세표[부서],$Q984)&amp;"")</f>
        <v/>
      </c>
      <c r="B984">
        <f>IF($Q984="","",INDEX(상세표[사번],$Q984)&amp;"")</f>
        <v/>
      </c>
      <c r="C984">
        <f>IF($Q984="","",INDEX(상세표[성명],$Q984)&amp;"")</f>
        <v/>
      </c>
      <c r="D984">
        <f>IF($Q984="","",INDEX(상세표[직위],$Q984)&amp;"")</f>
        <v/>
      </c>
      <c r="E984">
        <f>IF($Q984="","",IF(ISNUMBER(INDEX(상세표[근무일자],$Q984)),TEXT(INDEX(상세표[근무일자],$Q984),"yyyy-mm-dd"),INDEX(상세표[근무일자],$Q984)&amp;""))</f>
        <v/>
      </c>
      <c r="F984">
        <f>IF($Q984="","",IF(ISNUMBER(INDEX(상세표[시작],$Q984)),TEXT(INDEX(상세표[시작],$Q984),"yyyy-mm-dd hh:mm"),INDEX(상세표[시작],$Q984)&amp;""))</f>
        <v/>
      </c>
      <c r="G984">
        <f>IF($Q984="","",IF(ISNUMBER(INDEX(상세표[블록종료],$Q984)),TEXT(INDEX(상세표[블록종료],$Q984),"yyyy-mm-dd hh:mm"),INDEX(상세표[블록종료],$Q984)&amp;""))</f>
        <v/>
      </c>
      <c r="H984">
        <f>IF($Q984="","",CHOOSE(WEEKDAY(INDEX(상세표[시작],$Q984)),"일","월","화","수","목","금","토"))</f>
        <v/>
      </c>
      <c r="I984" s="20">
        <f>IF($Q984="","",INDEX(상세표[연속 시간],$Q984))</f>
        <v/>
      </c>
      <c r="J984">
        <f>IF($Q984="","",INDEX(상세표[기록 수],$Q984))</f>
        <v/>
      </c>
      <c r="K984" s="20">
        <f>IF($Q984="","",INDEX(상세표[블록 06~07시],$Q984))</f>
        <v/>
      </c>
      <c r="L984" s="20">
        <f>IF($Q984="","",INDEX(상세표[블록 07~18시],$Q984))</f>
        <v/>
      </c>
      <c r="M984" s="20">
        <f>IF($Q984="","",INDEX(상세표[블록 18~22시],$Q984))</f>
        <v/>
      </c>
      <c r="N984" s="20">
        <f>IF($Q984="","",INDEX(상세표[블록 22~06시],$Q984))</f>
        <v/>
      </c>
      <c r="O984">
        <f>IF($Q984="","",INDEX(상세표[주말·휴일 포함],$Q984)&amp;"")</f>
        <v/>
      </c>
      <c r="P984">
        <f>IF($Q984="","",INDEX(상세표[월 넘김 포함],$Q984)&amp;"")</f>
        <v/>
      </c>
      <c r="Q984" s="4">
        <f>IFERROR(MATCH(979,상세표[연속순번],0),"")</f>
        <v/>
      </c>
    </row>
    <row r="985">
      <c r="A985">
        <f>IF($Q985="","",INDEX(상세표[부서],$Q985)&amp;"")</f>
        <v/>
      </c>
      <c r="B985">
        <f>IF($Q985="","",INDEX(상세표[사번],$Q985)&amp;"")</f>
        <v/>
      </c>
      <c r="C985">
        <f>IF($Q985="","",INDEX(상세표[성명],$Q985)&amp;"")</f>
        <v/>
      </c>
      <c r="D985">
        <f>IF($Q985="","",INDEX(상세표[직위],$Q985)&amp;"")</f>
        <v/>
      </c>
      <c r="E985">
        <f>IF($Q985="","",IF(ISNUMBER(INDEX(상세표[근무일자],$Q985)),TEXT(INDEX(상세표[근무일자],$Q985),"yyyy-mm-dd"),INDEX(상세표[근무일자],$Q985)&amp;""))</f>
        <v/>
      </c>
      <c r="F985">
        <f>IF($Q985="","",IF(ISNUMBER(INDEX(상세표[시작],$Q985)),TEXT(INDEX(상세표[시작],$Q985),"yyyy-mm-dd hh:mm"),INDEX(상세표[시작],$Q985)&amp;""))</f>
        <v/>
      </c>
      <c r="G985">
        <f>IF($Q985="","",IF(ISNUMBER(INDEX(상세표[블록종료],$Q985)),TEXT(INDEX(상세표[블록종료],$Q985),"yyyy-mm-dd hh:mm"),INDEX(상세표[블록종료],$Q985)&amp;""))</f>
        <v/>
      </c>
      <c r="H985">
        <f>IF($Q985="","",CHOOSE(WEEKDAY(INDEX(상세표[시작],$Q985)),"일","월","화","수","목","금","토"))</f>
        <v/>
      </c>
      <c r="I985" s="20">
        <f>IF($Q985="","",INDEX(상세표[연속 시간],$Q985))</f>
        <v/>
      </c>
      <c r="J985">
        <f>IF($Q985="","",INDEX(상세표[기록 수],$Q985))</f>
        <v/>
      </c>
      <c r="K985" s="20">
        <f>IF($Q985="","",INDEX(상세표[블록 06~07시],$Q985))</f>
        <v/>
      </c>
      <c r="L985" s="20">
        <f>IF($Q985="","",INDEX(상세표[블록 07~18시],$Q985))</f>
        <v/>
      </c>
      <c r="M985" s="20">
        <f>IF($Q985="","",INDEX(상세표[블록 18~22시],$Q985))</f>
        <v/>
      </c>
      <c r="N985" s="20">
        <f>IF($Q985="","",INDEX(상세표[블록 22~06시],$Q985))</f>
        <v/>
      </c>
      <c r="O985">
        <f>IF($Q985="","",INDEX(상세표[주말·휴일 포함],$Q985)&amp;"")</f>
        <v/>
      </c>
      <c r="P985">
        <f>IF($Q985="","",INDEX(상세표[월 넘김 포함],$Q985)&amp;"")</f>
        <v/>
      </c>
      <c r="Q985" s="4">
        <f>IFERROR(MATCH(980,상세표[연속순번],0),"")</f>
        <v/>
      </c>
    </row>
    <row r="986">
      <c r="A986">
        <f>IF($Q986="","",INDEX(상세표[부서],$Q986)&amp;"")</f>
        <v/>
      </c>
      <c r="B986">
        <f>IF($Q986="","",INDEX(상세표[사번],$Q986)&amp;"")</f>
        <v/>
      </c>
      <c r="C986">
        <f>IF($Q986="","",INDEX(상세표[성명],$Q986)&amp;"")</f>
        <v/>
      </c>
      <c r="D986">
        <f>IF($Q986="","",INDEX(상세표[직위],$Q986)&amp;"")</f>
        <v/>
      </c>
      <c r="E986">
        <f>IF($Q986="","",IF(ISNUMBER(INDEX(상세표[근무일자],$Q986)),TEXT(INDEX(상세표[근무일자],$Q986),"yyyy-mm-dd"),INDEX(상세표[근무일자],$Q986)&amp;""))</f>
        <v/>
      </c>
      <c r="F986">
        <f>IF($Q986="","",IF(ISNUMBER(INDEX(상세표[시작],$Q986)),TEXT(INDEX(상세표[시작],$Q986),"yyyy-mm-dd hh:mm"),INDEX(상세표[시작],$Q986)&amp;""))</f>
        <v/>
      </c>
      <c r="G986">
        <f>IF($Q986="","",IF(ISNUMBER(INDEX(상세표[블록종료],$Q986)),TEXT(INDEX(상세표[블록종료],$Q986),"yyyy-mm-dd hh:mm"),INDEX(상세표[블록종료],$Q986)&amp;""))</f>
        <v/>
      </c>
      <c r="H986">
        <f>IF($Q986="","",CHOOSE(WEEKDAY(INDEX(상세표[시작],$Q986)),"일","월","화","수","목","금","토"))</f>
        <v/>
      </c>
      <c r="I986" s="20">
        <f>IF($Q986="","",INDEX(상세표[연속 시간],$Q986))</f>
        <v/>
      </c>
      <c r="J986">
        <f>IF($Q986="","",INDEX(상세표[기록 수],$Q986))</f>
        <v/>
      </c>
      <c r="K986" s="20">
        <f>IF($Q986="","",INDEX(상세표[블록 06~07시],$Q986))</f>
        <v/>
      </c>
      <c r="L986" s="20">
        <f>IF($Q986="","",INDEX(상세표[블록 07~18시],$Q986))</f>
        <v/>
      </c>
      <c r="M986" s="20">
        <f>IF($Q986="","",INDEX(상세표[블록 18~22시],$Q986))</f>
        <v/>
      </c>
      <c r="N986" s="20">
        <f>IF($Q986="","",INDEX(상세표[블록 22~06시],$Q986))</f>
        <v/>
      </c>
      <c r="O986">
        <f>IF($Q986="","",INDEX(상세표[주말·휴일 포함],$Q986)&amp;"")</f>
        <v/>
      </c>
      <c r="P986">
        <f>IF($Q986="","",INDEX(상세표[월 넘김 포함],$Q986)&amp;"")</f>
        <v/>
      </c>
      <c r="Q986" s="4">
        <f>IFERROR(MATCH(981,상세표[연속순번],0),"")</f>
        <v/>
      </c>
    </row>
    <row r="987">
      <c r="A987">
        <f>IF($Q987="","",INDEX(상세표[부서],$Q987)&amp;"")</f>
        <v/>
      </c>
      <c r="B987">
        <f>IF($Q987="","",INDEX(상세표[사번],$Q987)&amp;"")</f>
        <v/>
      </c>
      <c r="C987">
        <f>IF($Q987="","",INDEX(상세표[성명],$Q987)&amp;"")</f>
        <v/>
      </c>
      <c r="D987">
        <f>IF($Q987="","",INDEX(상세표[직위],$Q987)&amp;"")</f>
        <v/>
      </c>
      <c r="E987">
        <f>IF($Q987="","",IF(ISNUMBER(INDEX(상세표[근무일자],$Q987)),TEXT(INDEX(상세표[근무일자],$Q987),"yyyy-mm-dd"),INDEX(상세표[근무일자],$Q987)&amp;""))</f>
        <v/>
      </c>
      <c r="F987">
        <f>IF($Q987="","",IF(ISNUMBER(INDEX(상세표[시작],$Q987)),TEXT(INDEX(상세표[시작],$Q987),"yyyy-mm-dd hh:mm"),INDEX(상세표[시작],$Q987)&amp;""))</f>
        <v/>
      </c>
      <c r="G987">
        <f>IF($Q987="","",IF(ISNUMBER(INDEX(상세표[블록종료],$Q987)),TEXT(INDEX(상세표[블록종료],$Q987),"yyyy-mm-dd hh:mm"),INDEX(상세표[블록종료],$Q987)&amp;""))</f>
        <v/>
      </c>
      <c r="H987">
        <f>IF($Q987="","",CHOOSE(WEEKDAY(INDEX(상세표[시작],$Q987)),"일","월","화","수","목","금","토"))</f>
        <v/>
      </c>
      <c r="I987" s="20">
        <f>IF($Q987="","",INDEX(상세표[연속 시간],$Q987))</f>
        <v/>
      </c>
      <c r="J987">
        <f>IF($Q987="","",INDEX(상세표[기록 수],$Q987))</f>
        <v/>
      </c>
      <c r="K987" s="20">
        <f>IF($Q987="","",INDEX(상세표[블록 06~07시],$Q987))</f>
        <v/>
      </c>
      <c r="L987" s="20">
        <f>IF($Q987="","",INDEX(상세표[블록 07~18시],$Q987))</f>
        <v/>
      </c>
      <c r="M987" s="20">
        <f>IF($Q987="","",INDEX(상세표[블록 18~22시],$Q987))</f>
        <v/>
      </c>
      <c r="N987" s="20">
        <f>IF($Q987="","",INDEX(상세표[블록 22~06시],$Q987))</f>
        <v/>
      </c>
      <c r="O987">
        <f>IF($Q987="","",INDEX(상세표[주말·휴일 포함],$Q987)&amp;"")</f>
        <v/>
      </c>
      <c r="P987">
        <f>IF($Q987="","",INDEX(상세표[월 넘김 포함],$Q987)&amp;"")</f>
        <v/>
      </c>
      <c r="Q987" s="4">
        <f>IFERROR(MATCH(982,상세표[연속순번],0),"")</f>
        <v/>
      </c>
    </row>
    <row r="988">
      <c r="A988">
        <f>IF($Q988="","",INDEX(상세표[부서],$Q988)&amp;"")</f>
        <v/>
      </c>
      <c r="B988">
        <f>IF($Q988="","",INDEX(상세표[사번],$Q988)&amp;"")</f>
        <v/>
      </c>
      <c r="C988">
        <f>IF($Q988="","",INDEX(상세표[성명],$Q988)&amp;"")</f>
        <v/>
      </c>
      <c r="D988">
        <f>IF($Q988="","",INDEX(상세표[직위],$Q988)&amp;"")</f>
        <v/>
      </c>
      <c r="E988">
        <f>IF($Q988="","",IF(ISNUMBER(INDEX(상세표[근무일자],$Q988)),TEXT(INDEX(상세표[근무일자],$Q988),"yyyy-mm-dd"),INDEX(상세표[근무일자],$Q988)&amp;""))</f>
        <v/>
      </c>
      <c r="F988">
        <f>IF($Q988="","",IF(ISNUMBER(INDEX(상세표[시작],$Q988)),TEXT(INDEX(상세표[시작],$Q988),"yyyy-mm-dd hh:mm"),INDEX(상세표[시작],$Q988)&amp;""))</f>
        <v/>
      </c>
      <c r="G988">
        <f>IF($Q988="","",IF(ISNUMBER(INDEX(상세표[블록종료],$Q988)),TEXT(INDEX(상세표[블록종료],$Q988),"yyyy-mm-dd hh:mm"),INDEX(상세표[블록종료],$Q988)&amp;""))</f>
        <v/>
      </c>
      <c r="H988">
        <f>IF($Q988="","",CHOOSE(WEEKDAY(INDEX(상세표[시작],$Q988)),"일","월","화","수","목","금","토"))</f>
        <v/>
      </c>
      <c r="I988" s="20">
        <f>IF($Q988="","",INDEX(상세표[연속 시간],$Q988))</f>
        <v/>
      </c>
      <c r="J988">
        <f>IF($Q988="","",INDEX(상세표[기록 수],$Q988))</f>
        <v/>
      </c>
      <c r="K988" s="20">
        <f>IF($Q988="","",INDEX(상세표[블록 06~07시],$Q988))</f>
        <v/>
      </c>
      <c r="L988" s="20">
        <f>IF($Q988="","",INDEX(상세표[블록 07~18시],$Q988))</f>
        <v/>
      </c>
      <c r="M988" s="20">
        <f>IF($Q988="","",INDEX(상세표[블록 18~22시],$Q988))</f>
        <v/>
      </c>
      <c r="N988" s="20">
        <f>IF($Q988="","",INDEX(상세표[블록 22~06시],$Q988))</f>
        <v/>
      </c>
      <c r="O988">
        <f>IF($Q988="","",INDEX(상세표[주말·휴일 포함],$Q988)&amp;"")</f>
        <v/>
      </c>
      <c r="P988">
        <f>IF($Q988="","",INDEX(상세표[월 넘김 포함],$Q988)&amp;"")</f>
        <v/>
      </c>
      <c r="Q988" s="4">
        <f>IFERROR(MATCH(983,상세표[연속순번],0),"")</f>
        <v/>
      </c>
    </row>
    <row r="989">
      <c r="A989">
        <f>IF($Q989="","",INDEX(상세표[부서],$Q989)&amp;"")</f>
        <v/>
      </c>
      <c r="B989">
        <f>IF($Q989="","",INDEX(상세표[사번],$Q989)&amp;"")</f>
        <v/>
      </c>
      <c r="C989">
        <f>IF($Q989="","",INDEX(상세표[성명],$Q989)&amp;"")</f>
        <v/>
      </c>
      <c r="D989">
        <f>IF($Q989="","",INDEX(상세표[직위],$Q989)&amp;"")</f>
        <v/>
      </c>
      <c r="E989">
        <f>IF($Q989="","",IF(ISNUMBER(INDEX(상세표[근무일자],$Q989)),TEXT(INDEX(상세표[근무일자],$Q989),"yyyy-mm-dd"),INDEX(상세표[근무일자],$Q989)&amp;""))</f>
        <v/>
      </c>
      <c r="F989">
        <f>IF($Q989="","",IF(ISNUMBER(INDEX(상세표[시작],$Q989)),TEXT(INDEX(상세표[시작],$Q989),"yyyy-mm-dd hh:mm"),INDEX(상세표[시작],$Q989)&amp;""))</f>
        <v/>
      </c>
      <c r="G989">
        <f>IF($Q989="","",IF(ISNUMBER(INDEX(상세표[블록종료],$Q989)),TEXT(INDEX(상세표[블록종료],$Q989),"yyyy-mm-dd hh:mm"),INDEX(상세표[블록종료],$Q989)&amp;""))</f>
        <v/>
      </c>
      <c r="H989">
        <f>IF($Q989="","",CHOOSE(WEEKDAY(INDEX(상세표[시작],$Q989)),"일","월","화","수","목","금","토"))</f>
        <v/>
      </c>
      <c r="I989" s="20">
        <f>IF($Q989="","",INDEX(상세표[연속 시간],$Q989))</f>
        <v/>
      </c>
      <c r="J989">
        <f>IF($Q989="","",INDEX(상세표[기록 수],$Q989))</f>
        <v/>
      </c>
      <c r="K989" s="20">
        <f>IF($Q989="","",INDEX(상세표[블록 06~07시],$Q989))</f>
        <v/>
      </c>
      <c r="L989" s="20">
        <f>IF($Q989="","",INDEX(상세표[블록 07~18시],$Q989))</f>
        <v/>
      </c>
      <c r="M989" s="20">
        <f>IF($Q989="","",INDEX(상세표[블록 18~22시],$Q989))</f>
        <v/>
      </c>
      <c r="N989" s="20">
        <f>IF($Q989="","",INDEX(상세표[블록 22~06시],$Q989))</f>
        <v/>
      </c>
      <c r="O989">
        <f>IF($Q989="","",INDEX(상세표[주말·휴일 포함],$Q989)&amp;"")</f>
        <v/>
      </c>
      <c r="P989">
        <f>IF($Q989="","",INDEX(상세표[월 넘김 포함],$Q989)&amp;"")</f>
        <v/>
      </c>
      <c r="Q989" s="4">
        <f>IFERROR(MATCH(984,상세표[연속순번],0),"")</f>
        <v/>
      </c>
    </row>
    <row r="990">
      <c r="A990">
        <f>IF($Q990="","",INDEX(상세표[부서],$Q990)&amp;"")</f>
        <v/>
      </c>
      <c r="B990">
        <f>IF($Q990="","",INDEX(상세표[사번],$Q990)&amp;"")</f>
        <v/>
      </c>
      <c r="C990">
        <f>IF($Q990="","",INDEX(상세표[성명],$Q990)&amp;"")</f>
        <v/>
      </c>
      <c r="D990">
        <f>IF($Q990="","",INDEX(상세표[직위],$Q990)&amp;"")</f>
        <v/>
      </c>
      <c r="E990">
        <f>IF($Q990="","",IF(ISNUMBER(INDEX(상세표[근무일자],$Q990)),TEXT(INDEX(상세표[근무일자],$Q990),"yyyy-mm-dd"),INDEX(상세표[근무일자],$Q990)&amp;""))</f>
        <v/>
      </c>
      <c r="F990">
        <f>IF($Q990="","",IF(ISNUMBER(INDEX(상세표[시작],$Q990)),TEXT(INDEX(상세표[시작],$Q990),"yyyy-mm-dd hh:mm"),INDEX(상세표[시작],$Q990)&amp;""))</f>
        <v/>
      </c>
      <c r="G990">
        <f>IF($Q990="","",IF(ISNUMBER(INDEX(상세표[블록종료],$Q990)),TEXT(INDEX(상세표[블록종료],$Q990),"yyyy-mm-dd hh:mm"),INDEX(상세표[블록종료],$Q990)&amp;""))</f>
        <v/>
      </c>
      <c r="H990">
        <f>IF($Q990="","",CHOOSE(WEEKDAY(INDEX(상세표[시작],$Q990)),"일","월","화","수","목","금","토"))</f>
        <v/>
      </c>
      <c r="I990" s="20">
        <f>IF($Q990="","",INDEX(상세표[연속 시간],$Q990))</f>
        <v/>
      </c>
      <c r="J990">
        <f>IF($Q990="","",INDEX(상세표[기록 수],$Q990))</f>
        <v/>
      </c>
      <c r="K990" s="20">
        <f>IF($Q990="","",INDEX(상세표[블록 06~07시],$Q990))</f>
        <v/>
      </c>
      <c r="L990" s="20">
        <f>IF($Q990="","",INDEX(상세표[블록 07~18시],$Q990))</f>
        <v/>
      </c>
      <c r="M990" s="20">
        <f>IF($Q990="","",INDEX(상세표[블록 18~22시],$Q990))</f>
        <v/>
      </c>
      <c r="N990" s="20">
        <f>IF($Q990="","",INDEX(상세표[블록 22~06시],$Q990))</f>
        <v/>
      </c>
      <c r="O990">
        <f>IF($Q990="","",INDEX(상세표[주말·휴일 포함],$Q990)&amp;"")</f>
        <v/>
      </c>
      <c r="P990">
        <f>IF($Q990="","",INDEX(상세표[월 넘김 포함],$Q990)&amp;"")</f>
        <v/>
      </c>
      <c r="Q990" s="4">
        <f>IFERROR(MATCH(985,상세표[연속순번],0),"")</f>
        <v/>
      </c>
    </row>
    <row r="991">
      <c r="A991">
        <f>IF($Q991="","",INDEX(상세표[부서],$Q991)&amp;"")</f>
        <v/>
      </c>
      <c r="B991">
        <f>IF($Q991="","",INDEX(상세표[사번],$Q991)&amp;"")</f>
        <v/>
      </c>
      <c r="C991">
        <f>IF($Q991="","",INDEX(상세표[성명],$Q991)&amp;"")</f>
        <v/>
      </c>
      <c r="D991">
        <f>IF($Q991="","",INDEX(상세표[직위],$Q991)&amp;"")</f>
        <v/>
      </c>
      <c r="E991">
        <f>IF($Q991="","",IF(ISNUMBER(INDEX(상세표[근무일자],$Q991)),TEXT(INDEX(상세표[근무일자],$Q991),"yyyy-mm-dd"),INDEX(상세표[근무일자],$Q991)&amp;""))</f>
        <v/>
      </c>
      <c r="F991">
        <f>IF($Q991="","",IF(ISNUMBER(INDEX(상세표[시작],$Q991)),TEXT(INDEX(상세표[시작],$Q991),"yyyy-mm-dd hh:mm"),INDEX(상세표[시작],$Q991)&amp;""))</f>
        <v/>
      </c>
      <c r="G991">
        <f>IF($Q991="","",IF(ISNUMBER(INDEX(상세표[블록종료],$Q991)),TEXT(INDEX(상세표[블록종료],$Q991),"yyyy-mm-dd hh:mm"),INDEX(상세표[블록종료],$Q991)&amp;""))</f>
        <v/>
      </c>
      <c r="H991">
        <f>IF($Q991="","",CHOOSE(WEEKDAY(INDEX(상세표[시작],$Q991)),"일","월","화","수","목","금","토"))</f>
        <v/>
      </c>
      <c r="I991" s="20">
        <f>IF($Q991="","",INDEX(상세표[연속 시간],$Q991))</f>
        <v/>
      </c>
      <c r="J991">
        <f>IF($Q991="","",INDEX(상세표[기록 수],$Q991))</f>
        <v/>
      </c>
      <c r="K991" s="20">
        <f>IF($Q991="","",INDEX(상세표[블록 06~07시],$Q991))</f>
        <v/>
      </c>
      <c r="L991" s="20">
        <f>IF($Q991="","",INDEX(상세표[블록 07~18시],$Q991))</f>
        <v/>
      </c>
      <c r="M991" s="20">
        <f>IF($Q991="","",INDEX(상세표[블록 18~22시],$Q991))</f>
        <v/>
      </c>
      <c r="N991" s="20">
        <f>IF($Q991="","",INDEX(상세표[블록 22~06시],$Q991))</f>
        <v/>
      </c>
      <c r="O991">
        <f>IF($Q991="","",INDEX(상세표[주말·휴일 포함],$Q991)&amp;"")</f>
        <v/>
      </c>
      <c r="P991">
        <f>IF($Q991="","",INDEX(상세표[월 넘김 포함],$Q991)&amp;"")</f>
        <v/>
      </c>
      <c r="Q991" s="4">
        <f>IFERROR(MATCH(986,상세표[연속순번],0),"")</f>
        <v/>
      </c>
    </row>
    <row r="992">
      <c r="A992">
        <f>IF($Q992="","",INDEX(상세표[부서],$Q992)&amp;"")</f>
        <v/>
      </c>
      <c r="B992">
        <f>IF($Q992="","",INDEX(상세표[사번],$Q992)&amp;"")</f>
        <v/>
      </c>
      <c r="C992">
        <f>IF($Q992="","",INDEX(상세표[성명],$Q992)&amp;"")</f>
        <v/>
      </c>
      <c r="D992">
        <f>IF($Q992="","",INDEX(상세표[직위],$Q992)&amp;"")</f>
        <v/>
      </c>
      <c r="E992">
        <f>IF($Q992="","",IF(ISNUMBER(INDEX(상세표[근무일자],$Q992)),TEXT(INDEX(상세표[근무일자],$Q992),"yyyy-mm-dd"),INDEX(상세표[근무일자],$Q992)&amp;""))</f>
        <v/>
      </c>
      <c r="F992">
        <f>IF($Q992="","",IF(ISNUMBER(INDEX(상세표[시작],$Q992)),TEXT(INDEX(상세표[시작],$Q992),"yyyy-mm-dd hh:mm"),INDEX(상세표[시작],$Q992)&amp;""))</f>
        <v/>
      </c>
      <c r="G992">
        <f>IF($Q992="","",IF(ISNUMBER(INDEX(상세표[블록종료],$Q992)),TEXT(INDEX(상세표[블록종료],$Q992),"yyyy-mm-dd hh:mm"),INDEX(상세표[블록종료],$Q992)&amp;""))</f>
        <v/>
      </c>
      <c r="H992">
        <f>IF($Q992="","",CHOOSE(WEEKDAY(INDEX(상세표[시작],$Q992)),"일","월","화","수","목","금","토"))</f>
        <v/>
      </c>
      <c r="I992" s="20">
        <f>IF($Q992="","",INDEX(상세표[연속 시간],$Q992))</f>
        <v/>
      </c>
      <c r="J992">
        <f>IF($Q992="","",INDEX(상세표[기록 수],$Q992))</f>
        <v/>
      </c>
      <c r="K992" s="20">
        <f>IF($Q992="","",INDEX(상세표[블록 06~07시],$Q992))</f>
        <v/>
      </c>
      <c r="L992" s="20">
        <f>IF($Q992="","",INDEX(상세표[블록 07~18시],$Q992))</f>
        <v/>
      </c>
      <c r="M992" s="20">
        <f>IF($Q992="","",INDEX(상세표[블록 18~22시],$Q992))</f>
        <v/>
      </c>
      <c r="N992" s="20">
        <f>IF($Q992="","",INDEX(상세표[블록 22~06시],$Q992))</f>
        <v/>
      </c>
      <c r="O992">
        <f>IF($Q992="","",INDEX(상세표[주말·휴일 포함],$Q992)&amp;"")</f>
        <v/>
      </c>
      <c r="P992">
        <f>IF($Q992="","",INDEX(상세표[월 넘김 포함],$Q992)&amp;"")</f>
        <v/>
      </c>
      <c r="Q992" s="4">
        <f>IFERROR(MATCH(987,상세표[연속순번],0),"")</f>
        <v/>
      </c>
    </row>
    <row r="993">
      <c r="A993">
        <f>IF($Q993="","",INDEX(상세표[부서],$Q993)&amp;"")</f>
        <v/>
      </c>
      <c r="B993">
        <f>IF($Q993="","",INDEX(상세표[사번],$Q993)&amp;"")</f>
        <v/>
      </c>
      <c r="C993">
        <f>IF($Q993="","",INDEX(상세표[성명],$Q993)&amp;"")</f>
        <v/>
      </c>
      <c r="D993">
        <f>IF($Q993="","",INDEX(상세표[직위],$Q993)&amp;"")</f>
        <v/>
      </c>
      <c r="E993">
        <f>IF($Q993="","",IF(ISNUMBER(INDEX(상세표[근무일자],$Q993)),TEXT(INDEX(상세표[근무일자],$Q993),"yyyy-mm-dd"),INDEX(상세표[근무일자],$Q993)&amp;""))</f>
        <v/>
      </c>
      <c r="F993">
        <f>IF($Q993="","",IF(ISNUMBER(INDEX(상세표[시작],$Q993)),TEXT(INDEX(상세표[시작],$Q993),"yyyy-mm-dd hh:mm"),INDEX(상세표[시작],$Q993)&amp;""))</f>
        <v/>
      </c>
      <c r="G993">
        <f>IF($Q993="","",IF(ISNUMBER(INDEX(상세표[블록종료],$Q993)),TEXT(INDEX(상세표[블록종료],$Q993),"yyyy-mm-dd hh:mm"),INDEX(상세표[블록종료],$Q993)&amp;""))</f>
        <v/>
      </c>
      <c r="H993">
        <f>IF($Q993="","",CHOOSE(WEEKDAY(INDEX(상세표[시작],$Q993)),"일","월","화","수","목","금","토"))</f>
        <v/>
      </c>
      <c r="I993" s="20">
        <f>IF($Q993="","",INDEX(상세표[연속 시간],$Q993))</f>
        <v/>
      </c>
      <c r="J993">
        <f>IF($Q993="","",INDEX(상세표[기록 수],$Q993))</f>
        <v/>
      </c>
      <c r="K993" s="20">
        <f>IF($Q993="","",INDEX(상세표[블록 06~07시],$Q993))</f>
        <v/>
      </c>
      <c r="L993" s="20">
        <f>IF($Q993="","",INDEX(상세표[블록 07~18시],$Q993))</f>
        <v/>
      </c>
      <c r="M993" s="20">
        <f>IF($Q993="","",INDEX(상세표[블록 18~22시],$Q993))</f>
        <v/>
      </c>
      <c r="N993" s="20">
        <f>IF($Q993="","",INDEX(상세표[블록 22~06시],$Q993))</f>
        <v/>
      </c>
      <c r="O993">
        <f>IF($Q993="","",INDEX(상세표[주말·휴일 포함],$Q993)&amp;"")</f>
        <v/>
      </c>
      <c r="P993">
        <f>IF($Q993="","",INDEX(상세표[월 넘김 포함],$Q993)&amp;"")</f>
        <v/>
      </c>
      <c r="Q993" s="4">
        <f>IFERROR(MATCH(988,상세표[연속순번],0),"")</f>
        <v/>
      </c>
    </row>
    <row r="994">
      <c r="A994">
        <f>IF($Q994="","",INDEX(상세표[부서],$Q994)&amp;"")</f>
        <v/>
      </c>
      <c r="B994">
        <f>IF($Q994="","",INDEX(상세표[사번],$Q994)&amp;"")</f>
        <v/>
      </c>
      <c r="C994">
        <f>IF($Q994="","",INDEX(상세표[성명],$Q994)&amp;"")</f>
        <v/>
      </c>
      <c r="D994">
        <f>IF($Q994="","",INDEX(상세표[직위],$Q994)&amp;"")</f>
        <v/>
      </c>
      <c r="E994">
        <f>IF($Q994="","",IF(ISNUMBER(INDEX(상세표[근무일자],$Q994)),TEXT(INDEX(상세표[근무일자],$Q994),"yyyy-mm-dd"),INDEX(상세표[근무일자],$Q994)&amp;""))</f>
        <v/>
      </c>
      <c r="F994">
        <f>IF($Q994="","",IF(ISNUMBER(INDEX(상세표[시작],$Q994)),TEXT(INDEX(상세표[시작],$Q994),"yyyy-mm-dd hh:mm"),INDEX(상세표[시작],$Q994)&amp;""))</f>
        <v/>
      </c>
      <c r="G994">
        <f>IF($Q994="","",IF(ISNUMBER(INDEX(상세표[블록종료],$Q994)),TEXT(INDEX(상세표[블록종료],$Q994),"yyyy-mm-dd hh:mm"),INDEX(상세표[블록종료],$Q994)&amp;""))</f>
        <v/>
      </c>
      <c r="H994">
        <f>IF($Q994="","",CHOOSE(WEEKDAY(INDEX(상세표[시작],$Q994)),"일","월","화","수","목","금","토"))</f>
        <v/>
      </c>
      <c r="I994" s="20">
        <f>IF($Q994="","",INDEX(상세표[연속 시간],$Q994))</f>
        <v/>
      </c>
      <c r="J994">
        <f>IF($Q994="","",INDEX(상세표[기록 수],$Q994))</f>
        <v/>
      </c>
      <c r="K994" s="20">
        <f>IF($Q994="","",INDEX(상세표[블록 06~07시],$Q994))</f>
        <v/>
      </c>
      <c r="L994" s="20">
        <f>IF($Q994="","",INDEX(상세표[블록 07~18시],$Q994))</f>
        <v/>
      </c>
      <c r="M994" s="20">
        <f>IF($Q994="","",INDEX(상세표[블록 18~22시],$Q994))</f>
        <v/>
      </c>
      <c r="N994" s="20">
        <f>IF($Q994="","",INDEX(상세표[블록 22~06시],$Q994))</f>
        <v/>
      </c>
      <c r="O994">
        <f>IF($Q994="","",INDEX(상세표[주말·휴일 포함],$Q994)&amp;"")</f>
        <v/>
      </c>
      <c r="P994">
        <f>IF($Q994="","",INDEX(상세표[월 넘김 포함],$Q994)&amp;"")</f>
        <v/>
      </c>
      <c r="Q994" s="4">
        <f>IFERROR(MATCH(989,상세표[연속순번],0),"")</f>
        <v/>
      </c>
    </row>
    <row r="995">
      <c r="A995">
        <f>IF($Q995="","",INDEX(상세표[부서],$Q995)&amp;"")</f>
        <v/>
      </c>
      <c r="B995">
        <f>IF($Q995="","",INDEX(상세표[사번],$Q995)&amp;"")</f>
        <v/>
      </c>
      <c r="C995">
        <f>IF($Q995="","",INDEX(상세표[성명],$Q995)&amp;"")</f>
        <v/>
      </c>
      <c r="D995">
        <f>IF($Q995="","",INDEX(상세표[직위],$Q995)&amp;"")</f>
        <v/>
      </c>
      <c r="E995">
        <f>IF($Q995="","",IF(ISNUMBER(INDEX(상세표[근무일자],$Q995)),TEXT(INDEX(상세표[근무일자],$Q995),"yyyy-mm-dd"),INDEX(상세표[근무일자],$Q995)&amp;""))</f>
        <v/>
      </c>
      <c r="F995">
        <f>IF($Q995="","",IF(ISNUMBER(INDEX(상세표[시작],$Q995)),TEXT(INDEX(상세표[시작],$Q995),"yyyy-mm-dd hh:mm"),INDEX(상세표[시작],$Q995)&amp;""))</f>
        <v/>
      </c>
      <c r="G995">
        <f>IF($Q995="","",IF(ISNUMBER(INDEX(상세표[블록종료],$Q995)),TEXT(INDEX(상세표[블록종료],$Q995),"yyyy-mm-dd hh:mm"),INDEX(상세표[블록종료],$Q995)&amp;""))</f>
        <v/>
      </c>
      <c r="H995">
        <f>IF($Q995="","",CHOOSE(WEEKDAY(INDEX(상세표[시작],$Q995)),"일","월","화","수","목","금","토"))</f>
        <v/>
      </c>
      <c r="I995" s="20">
        <f>IF($Q995="","",INDEX(상세표[연속 시간],$Q995))</f>
        <v/>
      </c>
      <c r="J995">
        <f>IF($Q995="","",INDEX(상세표[기록 수],$Q995))</f>
        <v/>
      </c>
      <c r="K995" s="20">
        <f>IF($Q995="","",INDEX(상세표[블록 06~07시],$Q995))</f>
        <v/>
      </c>
      <c r="L995" s="20">
        <f>IF($Q995="","",INDEX(상세표[블록 07~18시],$Q995))</f>
        <v/>
      </c>
      <c r="M995" s="20">
        <f>IF($Q995="","",INDEX(상세표[블록 18~22시],$Q995))</f>
        <v/>
      </c>
      <c r="N995" s="20">
        <f>IF($Q995="","",INDEX(상세표[블록 22~06시],$Q995))</f>
        <v/>
      </c>
      <c r="O995">
        <f>IF($Q995="","",INDEX(상세표[주말·휴일 포함],$Q995)&amp;"")</f>
        <v/>
      </c>
      <c r="P995">
        <f>IF($Q995="","",INDEX(상세표[월 넘김 포함],$Q995)&amp;"")</f>
        <v/>
      </c>
      <c r="Q995" s="4">
        <f>IFERROR(MATCH(990,상세표[연속순번],0),"")</f>
        <v/>
      </c>
    </row>
    <row r="996">
      <c r="A996">
        <f>IF($Q996="","",INDEX(상세표[부서],$Q996)&amp;"")</f>
        <v/>
      </c>
      <c r="B996">
        <f>IF($Q996="","",INDEX(상세표[사번],$Q996)&amp;"")</f>
        <v/>
      </c>
      <c r="C996">
        <f>IF($Q996="","",INDEX(상세표[성명],$Q996)&amp;"")</f>
        <v/>
      </c>
      <c r="D996">
        <f>IF($Q996="","",INDEX(상세표[직위],$Q996)&amp;"")</f>
        <v/>
      </c>
      <c r="E996">
        <f>IF($Q996="","",IF(ISNUMBER(INDEX(상세표[근무일자],$Q996)),TEXT(INDEX(상세표[근무일자],$Q996),"yyyy-mm-dd"),INDEX(상세표[근무일자],$Q996)&amp;""))</f>
        <v/>
      </c>
      <c r="F996">
        <f>IF($Q996="","",IF(ISNUMBER(INDEX(상세표[시작],$Q996)),TEXT(INDEX(상세표[시작],$Q996),"yyyy-mm-dd hh:mm"),INDEX(상세표[시작],$Q996)&amp;""))</f>
        <v/>
      </c>
      <c r="G996">
        <f>IF($Q996="","",IF(ISNUMBER(INDEX(상세표[블록종료],$Q996)),TEXT(INDEX(상세표[블록종료],$Q996),"yyyy-mm-dd hh:mm"),INDEX(상세표[블록종료],$Q996)&amp;""))</f>
        <v/>
      </c>
      <c r="H996">
        <f>IF($Q996="","",CHOOSE(WEEKDAY(INDEX(상세표[시작],$Q996)),"일","월","화","수","목","금","토"))</f>
        <v/>
      </c>
      <c r="I996" s="20">
        <f>IF($Q996="","",INDEX(상세표[연속 시간],$Q996))</f>
        <v/>
      </c>
      <c r="J996">
        <f>IF($Q996="","",INDEX(상세표[기록 수],$Q996))</f>
        <v/>
      </c>
      <c r="K996" s="20">
        <f>IF($Q996="","",INDEX(상세표[블록 06~07시],$Q996))</f>
        <v/>
      </c>
      <c r="L996" s="20">
        <f>IF($Q996="","",INDEX(상세표[블록 07~18시],$Q996))</f>
        <v/>
      </c>
      <c r="M996" s="20">
        <f>IF($Q996="","",INDEX(상세표[블록 18~22시],$Q996))</f>
        <v/>
      </c>
      <c r="N996" s="20">
        <f>IF($Q996="","",INDEX(상세표[블록 22~06시],$Q996))</f>
        <v/>
      </c>
      <c r="O996">
        <f>IF($Q996="","",INDEX(상세표[주말·휴일 포함],$Q996)&amp;"")</f>
        <v/>
      </c>
      <c r="P996">
        <f>IF($Q996="","",INDEX(상세표[월 넘김 포함],$Q996)&amp;"")</f>
        <v/>
      </c>
      <c r="Q996" s="4">
        <f>IFERROR(MATCH(991,상세표[연속순번],0),"")</f>
        <v/>
      </c>
    </row>
    <row r="997">
      <c r="A997">
        <f>IF($Q997="","",INDEX(상세표[부서],$Q997)&amp;"")</f>
        <v/>
      </c>
      <c r="B997">
        <f>IF($Q997="","",INDEX(상세표[사번],$Q997)&amp;"")</f>
        <v/>
      </c>
      <c r="C997">
        <f>IF($Q997="","",INDEX(상세표[성명],$Q997)&amp;"")</f>
        <v/>
      </c>
      <c r="D997">
        <f>IF($Q997="","",INDEX(상세표[직위],$Q997)&amp;"")</f>
        <v/>
      </c>
      <c r="E997">
        <f>IF($Q997="","",IF(ISNUMBER(INDEX(상세표[근무일자],$Q997)),TEXT(INDEX(상세표[근무일자],$Q997),"yyyy-mm-dd"),INDEX(상세표[근무일자],$Q997)&amp;""))</f>
        <v/>
      </c>
      <c r="F997">
        <f>IF($Q997="","",IF(ISNUMBER(INDEX(상세표[시작],$Q997)),TEXT(INDEX(상세표[시작],$Q997),"yyyy-mm-dd hh:mm"),INDEX(상세표[시작],$Q997)&amp;""))</f>
        <v/>
      </c>
      <c r="G997">
        <f>IF($Q997="","",IF(ISNUMBER(INDEX(상세표[블록종료],$Q997)),TEXT(INDEX(상세표[블록종료],$Q997),"yyyy-mm-dd hh:mm"),INDEX(상세표[블록종료],$Q997)&amp;""))</f>
        <v/>
      </c>
      <c r="H997">
        <f>IF($Q997="","",CHOOSE(WEEKDAY(INDEX(상세표[시작],$Q997)),"일","월","화","수","목","금","토"))</f>
        <v/>
      </c>
      <c r="I997" s="20">
        <f>IF($Q997="","",INDEX(상세표[연속 시간],$Q997))</f>
        <v/>
      </c>
      <c r="J997">
        <f>IF($Q997="","",INDEX(상세표[기록 수],$Q997))</f>
        <v/>
      </c>
      <c r="K997" s="20">
        <f>IF($Q997="","",INDEX(상세표[블록 06~07시],$Q997))</f>
        <v/>
      </c>
      <c r="L997" s="20">
        <f>IF($Q997="","",INDEX(상세표[블록 07~18시],$Q997))</f>
        <v/>
      </c>
      <c r="M997" s="20">
        <f>IF($Q997="","",INDEX(상세표[블록 18~22시],$Q997))</f>
        <v/>
      </c>
      <c r="N997" s="20">
        <f>IF($Q997="","",INDEX(상세표[블록 22~06시],$Q997))</f>
        <v/>
      </c>
      <c r="O997">
        <f>IF($Q997="","",INDEX(상세표[주말·휴일 포함],$Q997)&amp;"")</f>
        <v/>
      </c>
      <c r="P997">
        <f>IF($Q997="","",INDEX(상세표[월 넘김 포함],$Q997)&amp;"")</f>
        <v/>
      </c>
      <c r="Q997" s="4">
        <f>IFERROR(MATCH(992,상세표[연속순번],0),"")</f>
        <v/>
      </c>
    </row>
    <row r="998">
      <c r="A998">
        <f>IF($Q998="","",INDEX(상세표[부서],$Q998)&amp;"")</f>
        <v/>
      </c>
      <c r="B998">
        <f>IF($Q998="","",INDEX(상세표[사번],$Q998)&amp;"")</f>
        <v/>
      </c>
      <c r="C998">
        <f>IF($Q998="","",INDEX(상세표[성명],$Q998)&amp;"")</f>
        <v/>
      </c>
      <c r="D998">
        <f>IF($Q998="","",INDEX(상세표[직위],$Q998)&amp;"")</f>
        <v/>
      </c>
      <c r="E998">
        <f>IF($Q998="","",IF(ISNUMBER(INDEX(상세표[근무일자],$Q998)),TEXT(INDEX(상세표[근무일자],$Q998),"yyyy-mm-dd"),INDEX(상세표[근무일자],$Q998)&amp;""))</f>
        <v/>
      </c>
      <c r="F998">
        <f>IF($Q998="","",IF(ISNUMBER(INDEX(상세표[시작],$Q998)),TEXT(INDEX(상세표[시작],$Q998),"yyyy-mm-dd hh:mm"),INDEX(상세표[시작],$Q998)&amp;""))</f>
        <v/>
      </c>
      <c r="G998">
        <f>IF($Q998="","",IF(ISNUMBER(INDEX(상세표[블록종료],$Q998)),TEXT(INDEX(상세표[블록종료],$Q998),"yyyy-mm-dd hh:mm"),INDEX(상세표[블록종료],$Q998)&amp;""))</f>
        <v/>
      </c>
      <c r="H998">
        <f>IF($Q998="","",CHOOSE(WEEKDAY(INDEX(상세표[시작],$Q998)),"일","월","화","수","목","금","토"))</f>
        <v/>
      </c>
      <c r="I998" s="20">
        <f>IF($Q998="","",INDEX(상세표[연속 시간],$Q998))</f>
        <v/>
      </c>
      <c r="J998">
        <f>IF($Q998="","",INDEX(상세표[기록 수],$Q998))</f>
        <v/>
      </c>
      <c r="K998" s="20">
        <f>IF($Q998="","",INDEX(상세표[블록 06~07시],$Q998))</f>
        <v/>
      </c>
      <c r="L998" s="20">
        <f>IF($Q998="","",INDEX(상세표[블록 07~18시],$Q998))</f>
        <v/>
      </c>
      <c r="M998" s="20">
        <f>IF($Q998="","",INDEX(상세표[블록 18~22시],$Q998))</f>
        <v/>
      </c>
      <c r="N998" s="20">
        <f>IF($Q998="","",INDEX(상세표[블록 22~06시],$Q998))</f>
        <v/>
      </c>
      <c r="O998">
        <f>IF($Q998="","",INDEX(상세표[주말·휴일 포함],$Q998)&amp;"")</f>
        <v/>
      </c>
      <c r="P998">
        <f>IF($Q998="","",INDEX(상세표[월 넘김 포함],$Q998)&amp;"")</f>
        <v/>
      </c>
      <c r="Q998" s="4">
        <f>IFERROR(MATCH(993,상세표[연속순번],0),"")</f>
        <v/>
      </c>
    </row>
    <row r="999">
      <c r="A999">
        <f>IF($Q999="","",INDEX(상세표[부서],$Q999)&amp;"")</f>
        <v/>
      </c>
      <c r="B999">
        <f>IF($Q999="","",INDEX(상세표[사번],$Q999)&amp;"")</f>
        <v/>
      </c>
      <c r="C999">
        <f>IF($Q999="","",INDEX(상세표[성명],$Q999)&amp;"")</f>
        <v/>
      </c>
      <c r="D999">
        <f>IF($Q999="","",INDEX(상세표[직위],$Q999)&amp;"")</f>
        <v/>
      </c>
      <c r="E999">
        <f>IF($Q999="","",IF(ISNUMBER(INDEX(상세표[근무일자],$Q999)),TEXT(INDEX(상세표[근무일자],$Q999),"yyyy-mm-dd"),INDEX(상세표[근무일자],$Q999)&amp;""))</f>
        <v/>
      </c>
      <c r="F999">
        <f>IF($Q999="","",IF(ISNUMBER(INDEX(상세표[시작],$Q999)),TEXT(INDEX(상세표[시작],$Q999),"yyyy-mm-dd hh:mm"),INDEX(상세표[시작],$Q999)&amp;""))</f>
        <v/>
      </c>
      <c r="G999">
        <f>IF($Q999="","",IF(ISNUMBER(INDEX(상세표[블록종료],$Q999)),TEXT(INDEX(상세표[블록종료],$Q999),"yyyy-mm-dd hh:mm"),INDEX(상세표[블록종료],$Q999)&amp;""))</f>
        <v/>
      </c>
      <c r="H999">
        <f>IF($Q999="","",CHOOSE(WEEKDAY(INDEX(상세표[시작],$Q999)),"일","월","화","수","목","금","토"))</f>
        <v/>
      </c>
      <c r="I999" s="20">
        <f>IF($Q999="","",INDEX(상세표[연속 시간],$Q999))</f>
        <v/>
      </c>
      <c r="J999">
        <f>IF($Q999="","",INDEX(상세표[기록 수],$Q999))</f>
        <v/>
      </c>
      <c r="K999" s="20">
        <f>IF($Q999="","",INDEX(상세표[블록 06~07시],$Q999))</f>
        <v/>
      </c>
      <c r="L999" s="20">
        <f>IF($Q999="","",INDEX(상세표[블록 07~18시],$Q999))</f>
        <v/>
      </c>
      <c r="M999" s="20">
        <f>IF($Q999="","",INDEX(상세표[블록 18~22시],$Q999))</f>
        <v/>
      </c>
      <c r="N999" s="20">
        <f>IF($Q999="","",INDEX(상세표[블록 22~06시],$Q999))</f>
        <v/>
      </c>
      <c r="O999">
        <f>IF($Q999="","",INDEX(상세표[주말·휴일 포함],$Q999)&amp;"")</f>
        <v/>
      </c>
      <c r="P999">
        <f>IF($Q999="","",INDEX(상세표[월 넘김 포함],$Q999)&amp;"")</f>
        <v/>
      </c>
      <c r="Q999" s="4">
        <f>IFERROR(MATCH(994,상세표[연속순번],0),"")</f>
        <v/>
      </c>
    </row>
    <row r="1000">
      <c r="A1000">
        <f>IF($Q1000="","",INDEX(상세표[부서],$Q1000)&amp;"")</f>
        <v/>
      </c>
      <c r="B1000">
        <f>IF($Q1000="","",INDEX(상세표[사번],$Q1000)&amp;"")</f>
        <v/>
      </c>
      <c r="C1000">
        <f>IF($Q1000="","",INDEX(상세표[성명],$Q1000)&amp;"")</f>
        <v/>
      </c>
      <c r="D1000">
        <f>IF($Q1000="","",INDEX(상세표[직위],$Q1000)&amp;"")</f>
        <v/>
      </c>
      <c r="E1000">
        <f>IF($Q1000="","",IF(ISNUMBER(INDEX(상세표[근무일자],$Q1000)),TEXT(INDEX(상세표[근무일자],$Q1000),"yyyy-mm-dd"),INDEX(상세표[근무일자],$Q1000)&amp;""))</f>
        <v/>
      </c>
      <c r="F1000">
        <f>IF($Q1000="","",IF(ISNUMBER(INDEX(상세표[시작],$Q1000)),TEXT(INDEX(상세표[시작],$Q1000),"yyyy-mm-dd hh:mm"),INDEX(상세표[시작],$Q1000)&amp;""))</f>
        <v/>
      </c>
      <c r="G1000">
        <f>IF($Q1000="","",IF(ISNUMBER(INDEX(상세표[블록종료],$Q1000)),TEXT(INDEX(상세표[블록종료],$Q1000),"yyyy-mm-dd hh:mm"),INDEX(상세표[블록종료],$Q1000)&amp;""))</f>
        <v/>
      </c>
      <c r="H1000">
        <f>IF($Q1000="","",CHOOSE(WEEKDAY(INDEX(상세표[시작],$Q1000)),"일","월","화","수","목","금","토"))</f>
        <v/>
      </c>
      <c r="I1000" s="20">
        <f>IF($Q1000="","",INDEX(상세표[연속 시간],$Q1000))</f>
        <v/>
      </c>
      <c r="J1000">
        <f>IF($Q1000="","",INDEX(상세표[기록 수],$Q1000))</f>
        <v/>
      </c>
      <c r="K1000" s="20">
        <f>IF($Q1000="","",INDEX(상세표[블록 06~07시],$Q1000))</f>
        <v/>
      </c>
      <c r="L1000" s="20">
        <f>IF($Q1000="","",INDEX(상세표[블록 07~18시],$Q1000))</f>
        <v/>
      </c>
      <c r="M1000" s="20">
        <f>IF($Q1000="","",INDEX(상세표[블록 18~22시],$Q1000))</f>
        <v/>
      </c>
      <c r="N1000" s="20">
        <f>IF($Q1000="","",INDEX(상세표[블록 22~06시],$Q1000))</f>
        <v/>
      </c>
      <c r="O1000">
        <f>IF($Q1000="","",INDEX(상세표[주말·휴일 포함],$Q1000)&amp;"")</f>
        <v/>
      </c>
      <c r="P1000">
        <f>IF($Q1000="","",INDEX(상세표[월 넘김 포함],$Q1000)&amp;"")</f>
        <v/>
      </c>
      <c r="Q1000" s="4">
        <f>IFERROR(MATCH(995,상세표[연속순번],0),"")</f>
        <v/>
      </c>
    </row>
    <row r="1001">
      <c r="A1001">
        <f>IF($Q1001="","",INDEX(상세표[부서],$Q1001)&amp;"")</f>
        <v/>
      </c>
      <c r="B1001">
        <f>IF($Q1001="","",INDEX(상세표[사번],$Q1001)&amp;"")</f>
        <v/>
      </c>
      <c r="C1001">
        <f>IF($Q1001="","",INDEX(상세표[성명],$Q1001)&amp;"")</f>
        <v/>
      </c>
      <c r="D1001">
        <f>IF($Q1001="","",INDEX(상세표[직위],$Q1001)&amp;"")</f>
        <v/>
      </c>
      <c r="E1001">
        <f>IF($Q1001="","",IF(ISNUMBER(INDEX(상세표[근무일자],$Q1001)),TEXT(INDEX(상세표[근무일자],$Q1001),"yyyy-mm-dd"),INDEX(상세표[근무일자],$Q1001)&amp;""))</f>
        <v/>
      </c>
      <c r="F1001">
        <f>IF($Q1001="","",IF(ISNUMBER(INDEX(상세표[시작],$Q1001)),TEXT(INDEX(상세표[시작],$Q1001),"yyyy-mm-dd hh:mm"),INDEX(상세표[시작],$Q1001)&amp;""))</f>
        <v/>
      </c>
      <c r="G1001">
        <f>IF($Q1001="","",IF(ISNUMBER(INDEX(상세표[블록종료],$Q1001)),TEXT(INDEX(상세표[블록종료],$Q1001),"yyyy-mm-dd hh:mm"),INDEX(상세표[블록종료],$Q1001)&amp;""))</f>
        <v/>
      </c>
      <c r="H1001">
        <f>IF($Q1001="","",CHOOSE(WEEKDAY(INDEX(상세표[시작],$Q1001)),"일","월","화","수","목","금","토"))</f>
        <v/>
      </c>
      <c r="I1001" s="20">
        <f>IF($Q1001="","",INDEX(상세표[연속 시간],$Q1001))</f>
        <v/>
      </c>
      <c r="J1001">
        <f>IF($Q1001="","",INDEX(상세표[기록 수],$Q1001))</f>
        <v/>
      </c>
      <c r="K1001" s="20">
        <f>IF($Q1001="","",INDEX(상세표[블록 06~07시],$Q1001))</f>
        <v/>
      </c>
      <c r="L1001" s="20">
        <f>IF($Q1001="","",INDEX(상세표[블록 07~18시],$Q1001))</f>
        <v/>
      </c>
      <c r="M1001" s="20">
        <f>IF($Q1001="","",INDEX(상세표[블록 18~22시],$Q1001))</f>
        <v/>
      </c>
      <c r="N1001" s="20">
        <f>IF($Q1001="","",INDEX(상세표[블록 22~06시],$Q1001))</f>
        <v/>
      </c>
      <c r="O1001">
        <f>IF($Q1001="","",INDEX(상세표[주말·휴일 포함],$Q1001)&amp;"")</f>
        <v/>
      </c>
      <c r="P1001">
        <f>IF($Q1001="","",INDEX(상세표[월 넘김 포함],$Q1001)&amp;"")</f>
        <v/>
      </c>
      <c r="Q1001" s="4">
        <f>IFERROR(MATCH(996,상세표[연속순번],0),"")</f>
        <v/>
      </c>
    </row>
    <row r="1002">
      <c r="A1002">
        <f>IF($Q1002="","",INDEX(상세표[부서],$Q1002)&amp;"")</f>
        <v/>
      </c>
      <c r="B1002">
        <f>IF($Q1002="","",INDEX(상세표[사번],$Q1002)&amp;"")</f>
        <v/>
      </c>
      <c r="C1002">
        <f>IF($Q1002="","",INDEX(상세표[성명],$Q1002)&amp;"")</f>
        <v/>
      </c>
      <c r="D1002">
        <f>IF($Q1002="","",INDEX(상세표[직위],$Q1002)&amp;"")</f>
        <v/>
      </c>
      <c r="E1002">
        <f>IF($Q1002="","",IF(ISNUMBER(INDEX(상세표[근무일자],$Q1002)),TEXT(INDEX(상세표[근무일자],$Q1002),"yyyy-mm-dd"),INDEX(상세표[근무일자],$Q1002)&amp;""))</f>
        <v/>
      </c>
      <c r="F1002">
        <f>IF($Q1002="","",IF(ISNUMBER(INDEX(상세표[시작],$Q1002)),TEXT(INDEX(상세표[시작],$Q1002),"yyyy-mm-dd hh:mm"),INDEX(상세표[시작],$Q1002)&amp;""))</f>
        <v/>
      </c>
      <c r="G1002">
        <f>IF($Q1002="","",IF(ISNUMBER(INDEX(상세표[블록종료],$Q1002)),TEXT(INDEX(상세표[블록종료],$Q1002),"yyyy-mm-dd hh:mm"),INDEX(상세표[블록종료],$Q1002)&amp;""))</f>
        <v/>
      </c>
      <c r="H1002">
        <f>IF($Q1002="","",CHOOSE(WEEKDAY(INDEX(상세표[시작],$Q1002)),"일","월","화","수","목","금","토"))</f>
        <v/>
      </c>
      <c r="I1002" s="20">
        <f>IF($Q1002="","",INDEX(상세표[연속 시간],$Q1002))</f>
        <v/>
      </c>
      <c r="J1002">
        <f>IF($Q1002="","",INDEX(상세표[기록 수],$Q1002))</f>
        <v/>
      </c>
      <c r="K1002" s="20">
        <f>IF($Q1002="","",INDEX(상세표[블록 06~07시],$Q1002))</f>
        <v/>
      </c>
      <c r="L1002" s="20">
        <f>IF($Q1002="","",INDEX(상세표[블록 07~18시],$Q1002))</f>
        <v/>
      </c>
      <c r="M1002" s="20">
        <f>IF($Q1002="","",INDEX(상세표[블록 18~22시],$Q1002))</f>
        <v/>
      </c>
      <c r="N1002" s="20">
        <f>IF($Q1002="","",INDEX(상세표[블록 22~06시],$Q1002))</f>
        <v/>
      </c>
      <c r="O1002">
        <f>IF($Q1002="","",INDEX(상세표[주말·휴일 포함],$Q1002)&amp;"")</f>
        <v/>
      </c>
      <c r="P1002">
        <f>IF($Q1002="","",INDEX(상세표[월 넘김 포함],$Q1002)&amp;"")</f>
        <v/>
      </c>
      <c r="Q1002" s="4">
        <f>IFERROR(MATCH(997,상세표[연속순번],0),"")</f>
        <v/>
      </c>
    </row>
    <row r="1003">
      <c r="A1003">
        <f>IF($Q1003="","",INDEX(상세표[부서],$Q1003)&amp;"")</f>
        <v/>
      </c>
      <c r="B1003">
        <f>IF($Q1003="","",INDEX(상세표[사번],$Q1003)&amp;"")</f>
        <v/>
      </c>
      <c r="C1003">
        <f>IF($Q1003="","",INDEX(상세표[성명],$Q1003)&amp;"")</f>
        <v/>
      </c>
      <c r="D1003">
        <f>IF($Q1003="","",INDEX(상세표[직위],$Q1003)&amp;"")</f>
        <v/>
      </c>
      <c r="E1003">
        <f>IF($Q1003="","",IF(ISNUMBER(INDEX(상세표[근무일자],$Q1003)),TEXT(INDEX(상세표[근무일자],$Q1003),"yyyy-mm-dd"),INDEX(상세표[근무일자],$Q1003)&amp;""))</f>
        <v/>
      </c>
      <c r="F1003">
        <f>IF($Q1003="","",IF(ISNUMBER(INDEX(상세표[시작],$Q1003)),TEXT(INDEX(상세표[시작],$Q1003),"yyyy-mm-dd hh:mm"),INDEX(상세표[시작],$Q1003)&amp;""))</f>
        <v/>
      </c>
      <c r="G1003">
        <f>IF($Q1003="","",IF(ISNUMBER(INDEX(상세표[블록종료],$Q1003)),TEXT(INDEX(상세표[블록종료],$Q1003),"yyyy-mm-dd hh:mm"),INDEX(상세표[블록종료],$Q1003)&amp;""))</f>
        <v/>
      </c>
      <c r="H1003">
        <f>IF($Q1003="","",CHOOSE(WEEKDAY(INDEX(상세표[시작],$Q1003)),"일","월","화","수","목","금","토"))</f>
        <v/>
      </c>
      <c r="I1003" s="20">
        <f>IF($Q1003="","",INDEX(상세표[연속 시간],$Q1003))</f>
        <v/>
      </c>
      <c r="J1003">
        <f>IF($Q1003="","",INDEX(상세표[기록 수],$Q1003))</f>
        <v/>
      </c>
      <c r="K1003" s="20">
        <f>IF($Q1003="","",INDEX(상세표[블록 06~07시],$Q1003))</f>
        <v/>
      </c>
      <c r="L1003" s="20">
        <f>IF($Q1003="","",INDEX(상세표[블록 07~18시],$Q1003))</f>
        <v/>
      </c>
      <c r="M1003" s="20">
        <f>IF($Q1003="","",INDEX(상세표[블록 18~22시],$Q1003))</f>
        <v/>
      </c>
      <c r="N1003" s="20">
        <f>IF($Q1003="","",INDEX(상세표[블록 22~06시],$Q1003))</f>
        <v/>
      </c>
      <c r="O1003">
        <f>IF($Q1003="","",INDEX(상세표[주말·휴일 포함],$Q1003)&amp;"")</f>
        <v/>
      </c>
      <c r="P1003">
        <f>IF($Q1003="","",INDEX(상세표[월 넘김 포함],$Q1003)&amp;"")</f>
        <v/>
      </c>
      <c r="Q1003" s="4">
        <f>IFERROR(MATCH(998,상세표[연속순번],0),"")</f>
        <v/>
      </c>
    </row>
    <row r="1004">
      <c r="A1004">
        <f>IF($Q1004="","",INDEX(상세표[부서],$Q1004)&amp;"")</f>
        <v/>
      </c>
      <c r="B1004">
        <f>IF($Q1004="","",INDEX(상세표[사번],$Q1004)&amp;"")</f>
        <v/>
      </c>
      <c r="C1004">
        <f>IF($Q1004="","",INDEX(상세표[성명],$Q1004)&amp;"")</f>
        <v/>
      </c>
      <c r="D1004">
        <f>IF($Q1004="","",INDEX(상세표[직위],$Q1004)&amp;"")</f>
        <v/>
      </c>
      <c r="E1004">
        <f>IF($Q1004="","",IF(ISNUMBER(INDEX(상세표[근무일자],$Q1004)),TEXT(INDEX(상세표[근무일자],$Q1004),"yyyy-mm-dd"),INDEX(상세표[근무일자],$Q1004)&amp;""))</f>
        <v/>
      </c>
      <c r="F1004">
        <f>IF($Q1004="","",IF(ISNUMBER(INDEX(상세표[시작],$Q1004)),TEXT(INDEX(상세표[시작],$Q1004),"yyyy-mm-dd hh:mm"),INDEX(상세표[시작],$Q1004)&amp;""))</f>
        <v/>
      </c>
      <c r="G1004">
        <f>IF($Q1004="","",IF(ISNUMBER(INDEX(상세표[블록종료],$Q1004)),TEXT(INDEX(상세표[블록종료],$Q1004),"yyyy-mm-dd hh:mm"),INDEX(상세표[블록종료],$Q1004)&amp;""))</f>
        <v/>
      </c>
      <c r="H1004">
        <f>IF($Q1004="","",CHOOSE(WEEKDAY(INDEX(상세표[시작],$Q1004)),"일","월","화","수","목","금","토"))</f>
        <v/>
      </c>
      <c r="I1004" s="20">
        <f>IF($Q1004="","",INDEX(상세표[연속 시간],$Q1004))</f>
        <v/>
      </c>
      <c r="J1004">
        <f>IF($Q1004="","",INDEX(상세표[기록 수],$Q1004))</f>
        <v/>
      </c>
      <c r="K1004" s="20">
        <f>IF($Q1004="","",INDEX(상세표[블록 06~07시],$Q1004))</f>
        <v/>
      </c>
      <c r="L1004" s="20">
        <f>IF($Q1004="","",INDEX(상세표[블록 07~18시],$Q1004))</f>
        <v/>
      </c>
      <c r="M1004" s="20">
        <f>IF($Q1004="","",INDEX(상세표[블록 18~22시],$Q1004))</f>
        <v/>
      </c>
      <c r="N1004" s="20">
        <f>IF($Q1004="","",INDEX(상세표[블록 22~06시],$Q1004))</f>
        <v/>
      </c>
      <c r="O1004">
        <f>IF($Q1004="","",INDEX(상세표[주말·휴일 포함],$Q1004)&amp;"")</f>
        <v/>
      </c>
      <c r="P1004">
        <f>IF($Q1004="","",INDEX(상세표[월 넘김 포함],$Q1004)&amp;"")</f>
        <v/>
      </c>
      <c r="Q1004" s="4">
        <f>IFERROR(MATCH(999,상세표[연속순번],0),"")</f>
        <v/>
      </c>
    </row>
    <row r="1005">
      <c r="A1005">
        <f>IF($Q1005="","",INDEX(상세표[부서],$Q1005)&amp;"")</f>
        <v/>
      </c>
      <c r="B1005">
        <f>IF($Q1005="","",INDEX(상세표[사번],$Q1005)&amp;"")</f>
        <v/>
      </c>
      <c r="C1005">
        <f>IF($Q1005="","",INDEX(상세표[성명],$Q1005)&amp;"")</f>
        <v/>
      </c>
      <c r="D1005">
        <f>IF($Q1005="","",INDEX(상세표[직위],$Q1005)&amp;"")</f>
        <v/>
      </c>
      <c r="E1005">
        <f>IF($Q1005="","",IF(ISNUMBER(INDEX(상세표[근무일자],$Q1005)),TEXT(INDEX(상세표[근무일자],$Q1005),"yyyy-mm-dd"),INDEX(상세표[근무일자],$Q1005)&amp;""))</f>
        <v/>
      </c>
      <c r="F1005">
        <f>IF($Q1005="","",IF(ISNUMBER(INDEX(상세표[시작],$Q1005)),TEXT(INDEX(상세표[시작],$Q1005),"yyyy-mm-dd hh:mm"),INDEX(상세표[시작],$Q1005)&amp;""))</f>
        <v/>
      </c>
      <c r="G1005">
        <f>IF($Q1005="","",IF(ISNUMBER(INDEX(상세표[블록종료],$Q1005)),TEXT(INDEX(상세표[블록종료],$Q1005),"yyyy-mm-dd hh:mm"),INDEX(상세표[블록종료],$Q1005)&amp;""))</f>
        <v/>
      </c>
      <c r="H1005">
        <f>IF($Q1005="","",CHOOSE(WEEKDAY(INDEX(상세표[시작],$Q1005)),"일","월","화","수","목","금","토"))</f>
        <v/>
      </c>
      <c r="I1005" s="20">
        <f>IF($Q1005="","",INDEX(상세표[연속 시간],$Q1005))</f>
        <v/>
      </c>
      <c r="J1005">
        <f>IF($Q1005="","",INDEX(상세표[기록 수],$Q1005))</f>
        <v/>
      </c>
      <c r="K1005" s="20">
        <f>IF($Q1005="","",INDEX(상세표[블록 06~07시],$Q1005))</f>
        <v/>
      </c>
      <c r="L1005" s="20">
        <f>IF($Q1005="","",INDEX(상세표[블록 07~18시],$Q1005))</f>
        <v/>
      </c>
      <c r="M1005" s="20">
        <f>IF($Q1005="","",INDEX(상세표[블록 18~22시],$Q1005))</f>
        <v/>
      </c>
      <c r="N1005" s="20">
        <f>IF($Q1005="","",INDEX(상세표[블록 22~06시],$Q1005))</f>
        <v/>
      </c>
      <c r="O1005">
        <f>IF($Q1005="","",INDEX(상세표[주말·휴일 포함],$Q1005)&amp;"")</f>
        <v/>
      </c>
      <c r="P1005">
        <f>IF($Q1005="","",INDEX(상세표[월 넘김 포함],$Q1005)&amp;"")</f>
        <v/>
      </c>
      <c r="Q1005" s="4">
        <f>IFERROR(MATCH(1000,상세표[연속순번],0),"")</f>
        <v/>
      </c>
    </row>
    <row r="1006">
      <c r="A1006">
        <f>IF($Q1006="","",INDEX(상세표[부서],$Q1006)&amp;"")</f>
        <v/>
      </c>
      <c r="B1006">
        <f>IF($Q1006="","",INDEX(상세표[사번],$Q1006)&amp;"")</f>
        <v/>
      </c>
      <c r="C1006">
        <f>IF($Q1006="","",INDEX(상세표[성명],$Q1006)&amp;"")</f>
        <v/>
      </c>
      <c r="D1006">
        <f>IF($Q1006="","",INDEX(상세표[직위],$Q1006)&amp;"")</f>
        <v/>
      </c>
      <c r="E1006">
        <f>IF($Q1006="","",IF(ISNUMBER(INDEX(상세표[근무일자],$Q1006)),TEXT(INDEX(상세표[근무일자],$Q1006),"yyyy-mm-dd"),INDEX(상세표[근무일자],$Q1006)&amp;""))</f>
        <v/>
      </c>
      <c r="F1006">
        <f>IF($Q1006="","",IF(ISNUMBER(INDEX(상세표[시작],$Q1006)),TEXT(INDEX(상세표[시작],$Q1006),"yyyy-mm-dd hh:mm"),INDEX(상세표[시작],$Q1006)&amp;""))</f>
        <v/>
      </c>
      <c r="G1006">
        <f>IF($Q1006="","",IF(ISNUMBER(INDEX(상세표[블록종료],$Q1006)),TEXT(INDEX(상세표[블록종료],$Q1006),"yyyy-mm-dd hh:mm"),INDEX(상세표[블록종료],$Q1006)&amp;""))</f>
        <v/>
      </c>
      <c r="H1006">
        <f>IF($Q1006="","",CHOOSE(WEEKDAY(INDEX(상세표[시작],$Q1006)),"일","월","화","수","목","금","토"))</f>
        <v/>
      </c>
      <c r="I1006" s="20">
        <f>IF($Q1006="","",INDEX(상세표[연속 시간],$Q1006))</f>
        <v/>
      </c>
      <c r="J1006">
        <f>IF($Q1006="","",INDEX(상세표[기록 수],$Q1006))</f>
        <v/>
      </c>
      <c r="K1006" s="20">
        <f>IF($Q1006="","",INDEX(상세표[블록 06~07시],$Q1006))</f>
        <v/>
      </c>
      <c r="L1006" s="20">
        <f>IF($Q1006="","",INDEX(상세표[블록 07~18시],$Q1006))</f>
        <v/>
      </c>
      <c r="M1006" s="20">
        <f>IF($Q1006="","",INDEX(상세표[블록 18~22시],$Q1006))</f>
        <v/>
      </c>
      <c r="N1006" s="20">
        <f>IF($Q1006="","",INDEX(상세표[블록 22~06시],$Q1006))</f>
        <v/>
      </c>
      <c r="O1006">
        <f>IF($Q1006="","",INDEX(상세표[주말·휴일 포함],$Q1006)&amp;"")</f>
        <v/>
      </c>
      <c r="P1006">
        <f>IF($Q1006="","",INDEX(상세표[월 넘김 포함],$Q1006)&amp;"")</f>
        <v/>
      </c>
      <c r="Q1006" s="4">
        <f>IFERROR(MATCH(1001,상세표[연속순번],0),"")</f>
        <v/>
      </c>
    </row>
    <row r="1007">
      <c r="A1007">
        <f>IF($Q1007="","",INDEX(상세표[부서],$Q1007)&amp;"")</f>
        <v/>
      </c>
      <c r="B1007">
        <f>IF($Q1007="","",INDEX(상세표[사번],$Q1007)&amp;"")</f>
        <v/>
      </c>
      <c r="C1007">
        <f>IF($Q1007="","",INDEX(상세표[성명],$Q1007)&amp;"")</f>
        <v/>
      </c>
      <c r="D1007">
        <f>IF($Q1007="","",INDEX(상세표[직위],$Q1007)&amp;"")</f>
        <v/>
      </c>
      <c r="E1007">
        <f>IF($Q1007="","",IF(ISNUMBER(INDEX(상세표[근무일자],$Q1007)),TEXT(INDEX(상세표[근무일자],$Q1007),"yyyy-mm-dd"),INDEX(상세표[근무일자],$Q1007)&amp;""))</f>
        <v/>
      </c>
      <c r="F1007">
        <f>IF($Q1007="","",IF(ISNUMBER(INDEX(상세표[시작],$Q1007)),TEXT(INDEX(상세표[시작],$Q1007),"yyyy-mm-dd hh:mm"),INDEX(상세표[시작],$Q1007)&amp;""))</f>
        <v/>
      </c>
      <c r="G1007">
        <f>IF($Q1007="","",IF(ISNUMBER(INDEX(상세표[블록종료],$Q1007)),TEXT(INDEX(상세표[블록종료],$Q1007),"yyyy-mm-dd hh:mm"),INDEX(상세표[블록종료],$Q1007)&amp;""))</f>
        <v/>
      </c>
      <c r="H1007">
        <f>IF($Q1007="","",CHOOSE(WEEKDAY(INDEX(상세표[시작],$Q1007)),"일","월","화","수","목","금","토"))</f>
        <v/>
      </c>
      <c r="I1007" s="20">
        <f>IF($Q1007="","",INDEX(상세표[연속 시간],$Q1007))</f>
        <v/>
      </c>
      <c r="J1007">
        <f>IF($Q1007="","",INDEX(상세표[기록 수],$Q1007))</f>
        <v/>
      </c>
      <c r="K1007" s="20">
        <f>IF($Q1007="","",INDEX(상세표[블록 06~07시],$Q1007))</f>
        <v/>
      </c>
      <c r="L1007" s="20">
        <f>IF($Q1007="","",INDEX(상세표[블록 07~18시],$Q1007))</f>
        <v/>
      </c>
      <c r="M1007" s="20">
        <f>IF($Q1007="","",INDEX(상세표[블록 18~22시],$Q1007))</f>
        <v/>
      </c>
      <c r="N1007" s="20">
        <f>IF($Q1007="","",INDEX(상세표[블록 22~06시],$Q1007))</f>
        <v/>
      </c>
      <c r="O1007">
        <f>IF($Q1007="","",INDEX(상세표[주말·휴일 포함],$Q1007)&amp;"")</f>
        <v/>
      </c>
      <c r="P1007">
        <f>IF($Q1007="","",INDEX(상세표[월 넘김 포함],$Q1007)&amp;"")</f>
        <v/>
      </c>
      <c r="Q1007" s="4">
        <f>IFERROR(MATCH(1002,상세표[연속순번],0),"")</f>
        <v/>
      </c>
    </row>
    <row r="1008">
      <c r="A1008">
        <f>IF($Q1008="","",INDEX(상세표[부서],$Q1008)&amp;"")</f>
        <v/>
      </c>
      <c r="B1008">
        <f>IF($Q1008="","",INDEX(상세표[사번],$Q1008)&amp;"")</f>
        <v/>
      </c>
      <c r="C1008">
        <f>IF($Q1008="","",INDEX(상세표[성명],$Q1008)&amp;"")</f>
        <v/>
      </c>
      <c r="D1008">
        <f>IF($Q1008="","",INDEX(상세표[직위],$Q1008)&amp;"")</f>
        <v/>
      </c>
      <c r="E1008">
        <f>IF($Q1008="","",IF(ISNUMBER(INDEX(상세표[근무일자],$Q1008)),TEXT(INDEX(상세표[근무일자],$Q1008),"yyyy-mm-dd"),INDEX(상세표[근무일자],$Q1008)&amp;""))</f>
        <v/>
      </c>
      <c r="F1008">
        <f>IF($Q1008="","",IF(ISNUMBER(INDEX(상세표[시작],$Q1008)),TEXT(INDEX(상세표[시작],$Q1008),"yyyy-mm-dd hh:mm"),INDEX(상세표[시작],$Q1008)&amp;""))</f>
        <v/>
      </c>
      <c r="G1008">
        <f>IF($Q1008="","",IF(ISNUMBER(INDEX(상세표[블록종료],$Q1008)),TEXT(INDEX(상세표[블록종료],$Q1008),"yyyy-mm-dd hh:mm"),INDEX(상세표[블록종료],$Q1008)&amp;""))</f>
        <v/>
      </c>
      <c r="H1008">
        <f>IF($Q1008="","",CHOOSE(WEEKDAY(INDEX(상세표[시작],$Q1008)),"일","월","화","수","목","금","토"))</f>
        <v/>
      </c>
      <c r="I1008" s="20">
        <f>IF($Q1008="","",INDEX(상세표[연속 시간],$Q1008))</f>
        <v/>
      </c>
      <c r="J1008">
        <f>IF($Q1008="","",INDEX(상세표[기록 수],$Q1008))</f>
        <v/>
      </c>
      <c r="K1008" s="20">
        <f>IF($Q1008="","",INDEX(상세표[블록 06~07시],$Q1008))</f>
        <v/>
      </c>
      <c r="L1008" s="20">
        <f>IF($Q1008="","",INDEX(상세표[블록 07~18시],$Q1008))</f>
        <v/>
      </c>
      <c r="M1008" s="20">
        <f>IF($Q1008="","",INDEX(상세표[블록 18~22시],$Q1008))</f>
        <v/>
      </c>
      <c r="N1008" s="20">
        <f>IF($Q1008="","",INDEX(상세표[블록 22~06시],$Q1008))</f>
        <v/>
      </c>
      <c r="O1008">
        <f>IF($Q1008="","",INDEX(상세표[주말·휴일 포함],$Q1008)&amp;"")</f>
        <v/>
      </c>
      <c r="P1008">
        <f>IF($Q1008="","",INDEX(상세표[월 넘김 포함],$Q1008)&amp;"")</f>
        <v/>
      </c>
      <c r="Q1008" s="4">
        <f>IFERROR(MATCH(1003,상세표[연속순번],0),"")</f>
        <v/>
      </c>
    </row>
    <row r="1009">
      <c r="A1009">
        <f>IF($Q1009="","",INDEX(상세표[부서],$Q1009)&amp;"")</f>
        <v/>
      </c>
      <c r="B1009">
        <f>IF($Q1009="","",INDEX(상세표[사번],$Q1009)&amp;"")</f>
        <v/>
      </c>
      <c r="C1009">
        <f>IF($Q1009="","",INDEX(상세표[성명],$Q1009)&amp;"")</f>
        <v/>
      </c>
      <c r="D1009">
        <f>IF($Q1009="","",INDEX(상세표[직위],$Q1009)&amp;"")</f>
        <v/>
      </c>
      <c r="E1009">
        <f>IF($Q1009="","",IF(ISNUMBER(INDEX(상세표[근무일자],$Q1009)),TEXT(INDEX(상세표[근무일자],$Q1009),"yyyy-mm-dd"),INDEX(상세표[근무일자],$Q1009)&amp;""))</f>
        <v/>
      </c>
      <c r="F1009">
        <f>IF($Q1009="","",IF(ISNUMBER(INDEX(상세표[시작],$Q1009)),TEXT(INDEX(상세표[시작],$Q1009),"yyyy-mm-dd hh:mm"),INDEX(상세표[시작],$Q1009)&amp;""))</f>
        <v/>
      </c>
      <c r="G1009">
        <f>IF($Q1009="","",IF(ISNUMBER(INDEX(상세표[블록종료],$Q1009)),TEXT(INDEX(상세표[블록종료],$Q1009),"yyyy-mm-dd hh:mm"),INDEX(상세표[블록종료],$Q1009)&amp;""))</f>
        <v/>
      </c>
      <c r="H1009">
        <f>IF($Q1009="","",CHOOSE(WEEKDAY(INDEX(상세표[시작],$Q1009)),"일","월","화","수","목","금","토"))</f>
        <v/>
      </c>
      <c r="I1009" s="20">
        <f>IF($Q1009="","",INDEX(상세표[연속 시간],$Q1009))</f>
        <v/>
      </c>
      <c r="J1009">
        <f>IF($Q1009="","",INDEX(상세표[기록 수],$Q1009))</f>
        <v/>
      </c>
      <c r="K1009" s="20">
        <f>IF($Q1009="","",INDEX(상세표[블록 06~07시],$Q1009))</f>
        <v/>
      </c>
      <c r="L1009" s="20">
        <f>IF($Q1009="","",INDEX(상세표[블록 07~18시],$Q1009))</f>
        <v/>
      </c>
      <c r="M1009" s="20">
        <f>IF($Q1009="","",INDEX(상세표[블록 18~22시],$Q1009))</f>
        <v/>
      </c>
      <c r="N1009" s="20">
        <f>IF($Q1009="","",INDEX(상세표[블록 22~06시],$Q1009))</f>
        <v/>
      </c>
      <c r="O1009">
        <f>IF($Q1009="","",INDEX(상세표[주말·휴일 포함],$Q1009)&amp;"")</f>
        <v/>
      </c>
      <c r="P1009">
        <f>IF($Q1009="","",INDEX(상세표[월 넘김 포함],$Q1009)&amp;"")</f>
        <v/>
      </c>
      <c r="Q1009" s="4">
        <f>IFERROR(MATCH(1004,상세표[연속순번],0),"")</f>
        <v/>
      </c>
    </row>
    <row r="1010">
      <c r="A1010">
        <f>IF($Q1010="","",INDEX(상세표[부서],$Q1010)&amp;"")</f>
        <v/>
      </c>
      <c r="B1010">
        <f>IF($Q1010="","",INDEX(상세표[사번],$Q1010)&amp;"")</f>
        <v/>
      </c>
      <c r="C1010">
        <f>IF($Q1010="","",INDEX(상세표[성명],$Q1010)&amp;"")</f>
        <v/>
      </c>
      <c r="D1010">
        <f>IF($Q1010="","",INDEX(상세표[직위],$Q1010)&amp;"")</f>
        <v/>
      </c>
      <c r="E1010">
        <f>IF($Q1010="","",IF(ISNUMBER(INDEX(상세표[근무일자],$Q1010)),TEXT(INDEX(상세표[근무일자],$Q1010),"yyyy-mm-dd"),INDEX(상세표[근무일자],$Q1010)&amp;""))</f>
        <v/>
      </c>
      <c r="F1010">
        <f>IF($Q1010="","",IF(ISNUMBER(INDEX(상세표[시작],$Q1010)),TEXT(INDEX(상세표[시작],$Q1010),"yyyy-mm-dd hh:mm"),INDEX(상세표[시작],$Q1010)&amp;""))</f>
        <v/>
      </c>
      <c r="G1010">
        <f>IF($Q1010="","",IF(ISNUMBER(INDEX(상세표[블록종료],$Q1010)),TEXT(INDEX(상세표[블록종료],$Q1010),"yyyy-mm-dd hh:mm"),INDEX(상세표[블록종료],$Q1010)&amp;""))</f>
        <v/>
      </c>
      <c r="H1010">
        <f>IF($Q1010="","",CHOOSE(WEEKDAY(INDEX(상세표[시작],$Q1010)),"일","월","화","수","목","금","토"))</f>
        <v/>
      </c>
      <c r="I1010" s="20">
        <f>IF($Q1010="","",INDEX(상세표[연속 시간],$Q1010))</f>
        <v/>
      </c>
      <c r="J1010">
        <f>IF($Q1010="","",INDEX(상세표[기록 수],$Q1010))</f>
        <v/>
      </c>
      <c r="K1010" s="20">
        <f>IF($Q1010="","",INDEX(상세표[블록 06~07시],$Q1010))</f>
        <v/>
      </c>
      <c r="L1010" s="20">
        <f>IF($Q1010="","",INDEX(상세표[블록 07~18시],$Q1010))</f>
        <v/>
      </c>
      <c r="M1010" s="20">
        <f>IF($Q1010="","",INDEX(상세표[블록 18~22시],$Q1010))</f>
        <v/>
      </c>
      <c r="N1010" s="20">
        <f>IF($Q1010="","",INDEX(상세표[블록 22~06시],$Q1010))</f>
        <v/>
      </c>
      <c r="O1010">
        <f>IF($Q1010="","",INDEX(상세표[주말·휴일 포함],$Q1010)&amp;"")</f>
        <v/>
      </c>
      <c r="P1010">
        <f>IF($Q1010="","",INDEX(상세표[월 넘김 포함],$Q1010)&amp;"")</f>
        <v/>
      </c>
      <c r="Q1010" s="4">
        <f>IFERROR(MATCH(1005,상세표[연속순번],0),"")</f>
        <v/>
      </c>
    </row>
    <row r="1011">
      <c r="A1011">
        <f>IF($Q1011="","",INDEX(상세표[부서],$Q1011)&amp;"")</f>
        <v/>
      </c>
      <c r="B1011">
        <f>IF($Q1011="","",INDEX(상세표[사번],$Q1011)&amp;"")</f>
        <v/>
      </c>
      <c r="C1011">
        <f>IF($Q1011="","",INDEX(상세표[성명],$Q1011)&amp;"")</f>
        <v/>
      </c>
      <c r="D1011">
        <f>IF($Q1011="","",INDEX(상세표[직위],$Q1011)&amp;"")</f>
        <v/>
      </c>
      <c r="E1011">
        <f>IF($Q1011="","",IF(ISNUMBER(INDEX(상세표[근무일자],$Q1011)),TEXT(INDEX(상세표[근무일자],$Q1011),"yyyy-mm-dd"),INDEX(상세표[근무일자],$Q1011)&amp;""))</f>
        <v/>
      </c>
      <c r="F1011">
        <f>IF($Q1011="","",IF(ISNUMBER(INDEX(상세표[시작],$Q1011)),TEXT(INDEX(상세표[시작],$Q1011),"yyyy-mm-dd hh:mm"),INDEX(상세표[시작],$Q1011)&amp;""))</f>
        <v/>
      </c>
      <c r="G1011">
        <f>IF($Q1011="","",IF(ISNUMBER(INDEX(상세표[블록종료],$Q1011)),TEXT(INDEX(상세표[블록종료],$Q1011),"yyyy-mm-dd hh:mm"),INDEX(상세표[블록종료],$Q1011)&amp;""))</f>
        <v/>
      </c>
      <c r="H1011">
        <f>IF($Q1011="","",CHOOSE(WEEKDAY(INDEX(상세표[시작],$Q1011)),"일","월","화","수","목","금","토"))</f>
        <v/>
      </c>
      <c r="I1011" s="20">
        <f>IF($Q1011="","",INDEX(상세표[연속 시간],$Q1011))</f>
        <v/>
      </c>
      <c r="J1011">
        <f>IF($Q1011="","",INDEX(상세표[기록 수],$Q1011))</f>
        <v/>
      </c>
      <c r="K1011" s="20">
        <f>IF($Q1011="","",INDEX(상세표[블록 06~07시],$Q1011))</f>
        <v/>
      </c>
      <c r="L1011" s="20">
        <f>IF($Q1011="","",INDEX(상세표[블록 07~18시],$Q1011))</f>
        <v/>
      </c>
      <c r="M1011" s="20">
        <f>IF($Q1011="","",INDEX(상세표[블록 18~22시],$Q1011))</f>
        <v/>
      </c>
      <c r="N1011" s="20">
        <f>IF($Q1011="","",INDEX(상세표[블록 22~06시],$Q1011))</f>
        <v/>
      </c>
      <c r="O1011">
        <f>IF($Q1011="","",INDEX(상세표[주말·휴일 포함],$Q1011)&amp;"")</f>
        <v/>
      </c>
      <c r="P1011">
        <f>IF($Q1011="","",INDEX(상세표[월 넘김 포함],$Q1011)&amp;"")</f>
        <v/>
      </c>
      <c r="Q1011" s="4">
        <f>IFERROR(MATCH(1006,상세표[연속순번],0),"")</f>
        <v/>
      </c>
    </row>
    <row r="1012">
      <c r="A1012">
        <f>IF($Q1012="","",INDEX(상세표[부서],$Q1012)&amp;"")</f>
        <v/>
      </c>
      <c r="B1012">
        <f>IF($Q1012="","",INDEX(상세표[사번],$Q1012)&amp;"")</f>
        <v/>
      </c>
      <c r="C1012">
        <f>IF($Q1012="","",INDEX(상세표[성명],$Q1012)&amp;"")</f>
        <v/>
      </c>
      <c r="D1012">
        <f>IF($Q1012="","",INDEX(상세표[직위],$Q1012)&amp;"")</f>
        <v/>
      </c>
      <c r="E1012">
        <f>IF($Q1012="","",IF(ISNUMBER(INDEX(상세표[근무일자],$Q1012)),TEXT(INDEX(상세표[근무일자],$Q1012),"yyyy-mm-dd"),INDEX(상세표[근무일자],$Q1012)&amp;""))</f>
        <v/>
      </c>
      <c r="F1012">
        <f>IF($Q1012="","",IF(ISNUMBER(INDEX(상세표[시작],$Q1012)),TEXT(INDEX(상세표[시작],$Q1012),"yyyy-mm-dd hh:mm"),INDEX(상세표[시작],$Q1012)&amp;""))</f>
        <v/>
      </c>
      <c r="G1012">
        <f>IF($Q1012="","",IF(ISNUMBER(INDEX(상세표[블록종료],$Q1012)),TEXT(INDEX(상세표[블록종료],$Q1012),"yyyy-mm-dd hh:mm"),INDEX(상세표[블록종료],$Q1012)&amp;""))</f>
        <v/>
      </c>
      <c r="H1012">
        <f>IF($Q1012="","",CHOOSE(WEEKDAY(INDEX(상세표[시작],$Q1012)),"일","월","화","수","목","금","토"))</f>
        <v/>
      </c>
      <c r="I1012" s="20">
        <f>IF($Q1012="","",INDEX(상세표[연속 시간],$Q1012))</f>
        <v/>
      </c>
      <c r="J1012">
        <f>IF($Q1012="","",INDEX(상세표[기록 수],$Q1012))</f>
        <v/>
      </c>
      <c r="K1012" s="20">
        <f>IF($Q1012="","",INDEX(상세표[블록 06~07시],$Q1012))</f>
        <v/>
      </c>
      <c r="L1012" s="20">
        <f>IF($Q1012="","",INDEX(상세표[블록 07~18시],$Q1012))</f>
        <v/>
      </c>
      <c r="M1012" s="20">
        <f>IF($Q1012="","",INDEX(상세표[블록 18~22시],$Q1012))</f>
        <v/>
      </c>
      <c r="N1012" s="20">
        <f>IF($Q1012="","",INDEX(상세표[블록 22~06시],$Q1012))</f>
        <v/>
      </c>
      <c r="O1012">
        <f>IF($Q1012="","",INDEX(상세표[주말·휴일 포함],$Q1012)&amp;"")</f>
        <v/>
      </c>
      <c r="P1012">
        <f>IF($Q1012="","",INDEX(상세표[월 넘김 포함],$Q1012)&amp;"")</f>
        <v/>
      </c>
      <c r="Q1012" s="4">
        <f>IFERROR(MATCH(1007,상세표[연속순번],0),"")</f>
        <v/>
      </c>
    </row>
    <row r="1013">
      <c r="A1013">
        <f>IF($Q1013="","",INDEX(상세표[부서],$Q1013)&amp;"")</f>
        <v/>
      </c>
      <c r="B1013">
        <f>IF($Q1013="","",INDEX(상세표[사번],$Q1013)&amp;"")</f>
        <v/>
      </c>
      <c r="C1013">
        <f>IF($Q1013="","",INDEX(상세표[성명],$Q1013)&amp;"")</f>
        <v/>
      </c>
      <c r="D1013">
        <f>IF($Q1013="","",INDEX(상세표[직위],$Q1013)&amp;"")</f>
        <v/>
      </c>
      <c r="E1013">
        <f>IF($Q1013="","",IF(ISNUMBER(INDEX(상세표[근무일자],$Q1013)),TEXT(INDEX(상세표[근무일자],$Q1013),"yyyy-mm-dd"),INDEX(상세표[근무일자],$Q1013)&amp;""))</f>
        <v/>
      </c>
      <c r="F1013">
        <f>IF($Q1013="","",IF(ISNUMBER(INDEX(상세표[시작],$Q1013)),TEXT(INDEX(상세표[시작],$Q1013),"yyyy-mm-dd hh:mm"),INDEX(상세표[시작],$Q1013)&amp;""))</f>
        <v/>
      </c>
      <c r="G1013">
        <f>IF($Q1013="","",IF(ISNUMBER(INDEX(상세표[블록종료],$Q1013)),TEXT(INDEX(상세표[블록종료],$Q1013),"yyyy-mm-dd hh:mm"),INDEX(상세표[블록종료],$Q1013)&amp;""))</f>
        <v/>
      </c>
      <c r="H1013">
        <f>IF($Q1013="","",CHOOSE(WEEKDAY(INDEX(상세표[시작],$Q1013)),"일","월","화","수","목","금","토"))</f>
        <v/>
      </c>
      <c r="I1013" s="20">
        <f>IF($Q1013="","",INDEX(상세표[연속 시간],$Q1013))</f>
        <v/>
      </c>
      <c r="J1013">
        <f>IF($Q1013="","",INDEX(상세표[기록 수],$Q1013))</f>
        <v/>
      </c>
      <c r="K1013" s="20">
        <f>IF($Q1013="","",INDEX(상세표[블록 06~07시],$Q1013))</f>
        <v/>
      </c>
      <c r="L1013" s="20">
        <f>IF($Q1013="","",INDEX(상세표[블록 07~18시],$Q1013))</f>
        <v/>
      </c>
      <c r="M1013" s="20">
        <f>IF($Q1013="","",INDEX(상세표[블록 18~22시],$Q1013))</f>
        <v/>
      </c>
      <c r="N1013" s="20">
        <f>IF($Q1013="","",INDEX(상세표[블록 22~06시],$Q1013))</f>
        <v/>
      </c>
      <c r="O1013">
        <f>IF($Q1013="","",INDEX(상세표[주말·휴일 포함],$Q1013)&amp;"")</f>
        <v/>
      </c>
      <c r="P1013">
        <f>IF($Q1013="","",INDEX(상세표[월 넘김 포함],$Q1013)&amp;"")</f>
        <v/>
      </c>
      <c r="Q1013" s="4">
        <f>IFERROR(MATCH(1008,상세표[연속순번],0),"")</f>
        <v/>
      </c>
    </row>
    <row r="1014">
      <c r="A1014">
        <f>IF($Q1014="","",INDEX(상세표[부서],$Q1014)&amp;"")</f>
        <v/>
      </c>
      <c r="B1014">
        <f>IF($Q1014="","",INDEX(상세표[사번],$Q1014)&amp;"")</f>
        <v/>
      </c>
      <c r="C1014">
        <f>IF($Q1014="","",INDEX(상세표[성명],$Q1014)&amp;"")</f>
        <v/>
      </c>
      <c r="D1014">
        <f>IF($Q1014="","",INDEX(상세표[직위],$Q1014)&amp;"")</f>
        <v/>
      </c>
      <c r="E1014">
        <f>IF($Q1014="","",IF(ISNUMBER(INDEX(상세표[근무일자],$Q1014)),TEXT(INDEX(상세표[근무일자],$Q1014),"yyyy-mm-dd"),INDEX(상세표[근무일자],$Q1014)&amp;""))</f>
        <v/>
      </c>
      <c r="F1014">
        <f>IF($Q1014="","",IF(ISNUMBER(INDEX(상세표[시작],$Q1014)),TEXT(INDEX(상세표[시작],$Q1014),"yyyy-mm-dd hh:mm"),INDEX(상세표[시작],$Q1014)&amp;""))</f>
        <v/>
      </c>
      <c r="G1014">
        <f>IF($Q1014="","",IF(ISNUMBER(INDEX(상세표[블록종료],$Q1014)),TEXT(INDEX(상세표[블록종료],$Q1014),"yyyy-mm-dd hh:mm"),INDEX(상세표[블록종료],$Q1014)&amp;""))</f>
        <v/>
      </c>
      <c r="H1014">
        <f>IF($Q1014="","",CHOOSE(WEEKDAY(INDEX(상세표[시작],$Q1014)),"일","월","화","수","목","금","토"))</f>
        <v/>
      </c>
      <c r="I1014" s="20">
        <f>IF($Q1014="","",INDEX(상세표[연속 시간],$Q1014))</f>
        <v/>
      </c>
      <c r="J1014">
        <f>IF($Q1014="","",INDEX(상세표[기록 수],$Q1014))</f>
        <v/>
      </c>
      <c r="K1014" s="20">
        <f>IF($Q1014="","",INDEX(상세표[블록 06~07시],$Q1014))</f>
        <v/>
      </c>
      <c r="L1014" s="20">
        <f>IF($Q1014="","",INDEX(상세표[블록 07~18시],$Q1014))</f>
        <v/>
      </c>
      <c r="M1014" s="20">
        <f>IF($Q1014="","",INDEX(상세표[블록 18~22시],$Q1014))</f>
        <v/>
      </c>
      <c r="N1014" s="20">
        <f>IF($Q1014="","",INDEX(상세표[블록 22~06시],$Q1014))</f>
        <v/>
      </c>
      <c r="O1014">
        <f>IF($Q1014="","",INDEX(상세표[주말·휴일 포함],$Q1014)&amp;"")</f>
        <v/>
      </c>
      <c r="P1014">
        <f>IF($Q1014="","",INDEX(상세표[월 넘김 포함],$Q1014)&amp;"")</f>
        <v/>
      </c>
      <c r="Q1014" s="4">
        <f>IFERROR(MATCH(1009,상세표[연속순번],0),"")</f>
        <v/>
      </c>
    </row>
    <row r="1015">
      <c r="A1015">
        <f>IF($Q1015="","",INDEX(상세표[부서],$Q1015)&amp;"")</f>
        <v/>
      </c>
      <c r="B1015">
        <f>IF($Q1015="","",INDEX(상세표[사번],$Q1015)&amp;"")</f>
        <v/>
      </c>
      <c r="C1015">
        <f>IF($Q1015="","",INDEX(상세표[성명],$Q1015)&amp;"")</f>
        <v/>
      </c>
      <c r="D1015">
        <f>IF($Q1015="","",INDEX(상세표[직위],$Q1015)&amp;"")</f>
        <v/>
      </c>
      <c r="E1015">
        <f>IF($Q1015="","",IF(ISNUMBER(INDEX(상세표[근무일자],$Q1015)),TEXT(INDEX(상세표[근무일자],$Q1015),"yyyy-mm-dd"),INDEX(상세표[근무일자],$Q1015)&amp;""))</f>
        <v/>
      </c>
      <c r="F1015">
        <f>IF($Q1015="","",IF(ISNUMBER(INDEX(상세표[시작],$Q1015)),TEXT(INDEX(상세표[시작],$Q1015),"yyyy-mm-dd hh:mm"),INDEX(상세표[시작],$Q1015)&amp;""))</f>
        <v/>
      </c>
      <c r="G1015">
        <f>IF($Q1015="","",IF(ISNUMBER(INDEX(상세표[블록종료],$Q1015)),TEXT(INDEX(상세표[블록종료],$Q1015),"yyyy-mm-dd hh:mm"),INDEX(상세표[블록종료],$Q1015)&amp;""))</f>
        <v/>
      </c>
      <c r="H1015">
        <f>IF($Q1015="","",CHOOSE(WEEKDAY(INDEX(상세표[시작],$Q1015)),"일","월","화","수","목","금","토"))</f>
        <v/>
      </c>
      <c r="I1015" s="20">
        <f>IF($Q1015="","",INDEX(상세표[연속 시간],$Q1015))</f>
        <v/>
      </c>
      <c r="J1015">
        <f>IF($Q1015="","",INDEX(상세표[기록 수],$Q1015))</f>
        <v/>
      </c>
      <c r="K1015" s="20">
        <f>IF($Q1015="","",INDEX(상세표[블록 06~07시],$Q1015))</f>
        <v/>
      </c>
      <c r="L1015" s="20">
        <f>IF($Q1015="","",INDEX(상세표[블록 07~18시],$Q1015))</f>
        <v/>
      </c>
      <c r="M1015" s="20">
        <f>IF($Q1015="","",INDEX(상세표[블록 18~22시],$Q1015))</f>
        <v/>
      </c>
      <c r="N1015" s="20">
        <f>IF($Q1015="","",INDEX(상세표[블록 22~06시],$Q1015))</f>
        <v/>
      </c>
      <c r="O1015">
        <f>IF($Q1015="","",INDEX(상세표[주말·휴일 포함],$Q1015)&amp;"")</f>
        <v/>
      </c>
      <c r="P1015">
        <f>IF($Q1015="","",INDEX(상세표[월 넘김 포함],$Q1015)&amp;"")</f>
        <v/>
      </c>
      <c r="Q1015" s="4">
        <f>IFERROR(MATCH(1010,상세표[연속순번],0),"")</f>
        <v/>
      </c>
    </row>
    <row r="1016">
      <c r="A1016">
        <f>IF($Q1016="","",INDEX(상세표[부서],$Q1016)&amp;"")</f>
        <v/>
      </c>
      <c r="B1016">
        <f>IF($Q1016="","",INDEX(상세표[사번],$Q1016)&amp;"")</f>
        <v/>
      </c>
      <c r="C1016">
        <f>IF($Q1016="","",INDEX(상세표[성명],$Q1016)&amp;"")</f>
        <v/>
      </c>
      <c r="D1016">
        <f>IF($Q1016="","",INDEX(상세표[직위],$Q1016)&amp;"")</f>
        <v/>
      </c>
      <c r="E1016">
        <f>IF($Q1016="","",IF(ISNUMBER(INDEX(상세표[근무일자],$Q1016)),TEXT(INDEX(상세표[근무일자],$Q1016),"yyyy-mm-dd"),INDEX(상세표[근무일자],$Q1016)&amp;""))</f>
        <v/>
      </c>
      <c r="F1016">
        <f>IF($Q1016="","",IF(ISNUMBER(INDEX(상세표[시작],$Q1016)),TEXT(INDEX(상세표[시작],$Q1016),"yyyy-mm-dd hh:mm"),INDEX(상세표[시작],$Q1016)&amp;""))</f>
        <v/>
      </c>
      <c r="G1016">
        <f>IF($Q1016="","",IF(ISNUMBER(INDEX(상세표[블록종료],$Q1016)),TEXT(INDEX(상세표[블록종료],$Q1016),"yyyy-mm-dd hh:mm"),INDEX(상세표[블록종료],$Q1016)&amp;""))</f>
        <v/>
      </c>
      <c r="H1016">
        <f>IF($Q1016="","",CHOOSE(WEEKDAY(INDEX(상세표[시작],$Q1016)),"일","월","화","수","목","금","토"))</f>
        <v/>
      </c>
      <c r="I1016" s="20">
        <f>IF($Q1016="","",INDEX(상세표[연속 시간],$Q1016))</f>
        <v/>
      </c>
      <c r="J1016">
        <f>IF($Q1016="","",INDEX(상세표[기록 수],$Q1016))</f>
        <v/>
      </c>
      <c r="K1016" s="20">
        <f>IF($Q1016="","",INDEX(상세표[블록 06~07시],$Q1016))</f>
        <v/>
      </c>
      <c r="L1016" s="20">
        <f>IF($Q1016="","",INDEX(상세표[블록 07~18시],$Q1016))</f>
        <v/>
      </c>
      <c r="M1016" s="20">
        <f>IF($Q1016="","",INDEX(상세표[블록 18~22시],$Q1016))</f>
        <v/>
      </c>
      <c r="N1016" s="20">
        <f>IF($Q1016="","",INDEX(상세표[블록 22~06시],$Q1016))</f>
        <v/>
      </c>
      <c r="O1016">
        <f>IF($Q1016="","",INDEX(상세표[주말·휴일 포함],$Q1016)&amp;"")</f>
        <v/>
      </c>
      <c r="P1016">
        <f>IF($Q1016="","",INDEX(상세표[월 넘김 포함],$Q1016)&amp;"")</f>
        <v/>
      </c>
      <c r="Q1016" s="4">
        <f>IFERROR(MATCH(1011,상세표[연속순번],0),"")</f>
        <v/>
      </c>
    </row>
    <row r="1017">
      <c r="A1017">
        <f>IF($Q1017="","",INDEX(상세표[부서],$Q1017)&amp;"")</f>
        <v/>
      </c>
      <c r="B1017">
        <f>IF($Q1017="","",INDEX(상세표[사번],$Q1017)&amp;"")</f>
        <v/>
      </c>
      <c r="C1017">
        <f>IF($Q1017="","",INDEX(상세표[성명],$Q1017)&amp;"")</f>
        <v/>
      </c>
      <c r="D1017">
        <f>IF($Q1017="","",INDEX(상세표[직위],$Q1017)&amp;"")</f>
        <v/>
      </c>
      <c r="E1017">
        <f>IF($Q1017="","",IF(ISNUMBER(INDEX(상세표[근무일자],$Q1017)),TEXT(INDEX(상세표[근무일자],$Q1017),"yyyy-mm-dd"),INDEX(상세표[근무일자],$Q1017)&amp;""))</f>
        <v/>
      </c>
      <c r="F1017">
        <f>IF($Q1017="","",IF(ISNUMBER(INDEX(상세표[시작],$Q1017)),TEXT(INDEX(상세표[시작],$Q1017),"yyyy-mm-dd hh:mm"),INDEX(상세표[시작],$Q1017)&amp;""))</f>
        <v/>
      </c>
      <c r="G1017">
        <f>IF($Q1017="","",IF(ISNUMBER(INDEX(상세표[블록종료],$Q1017)),TEXT(INDEX(상세표[블록종료],$Q1017),"yyyy-mm-dd hh:mm"),INDEX(상세표[블록종료],$Q1017)&amp;""))</f>
        <v/>
      </c>
      <c r="H1017">
        <f>IF($Q1017="","",CHOOSE(WEEKDAY(INDEX(상세표[시작],$Q1017)),"일","월","화","수","목","금","토"))</f>
        <v/>
      </c>
      <c r="I1017" s="20">
        <f>IF($Q1017="","",INDEX(상세표[연속 시간],$Q1017))</f>
        <v/>
      </c>
      <c r="J1017">
        <f>IF($Q1017="","",INDEX(상세표[기록 수],$Q1017))</f>
        <v/>
      </c>
      <c r="K1017" s="20">
        <f>IF($Q1017="","",INDEX(상세표[블록 06~07시],$Q1017))</f>
        <v/>
      </c>
      <c r="L1017" s="20">
        <f>IF($Q1017="","",INDEX(상세표[블록 07~18시],$Q1017))</f>
        <v/>
      </c>
      <c r="M1017" s="20">
        <f>IF($Q1017="","",INDEX(상세표[블록 18~22시],$Q1017))</f>
        <v/>
      </c>
      <c r="N1017" s="20">
        <f>IF($Q1017="","",INDEX(상세표[블록 22~06시],$Q1017))</f>
        <v/>
      </c>
      <c r="O1017">
        <f>IF($Q1017="","",INDEX(상세표[주말·휴일 포함],$Q1017)&amp;"")</f>
        <v/>
      </c>
      <c r="P1017">
        <f>IF($Q1017="","",INDEX(상세표[월 넘김 포함],$Q1017)&amp;"")</f>
        <v/>
      </c>
      <c r="Q1017" s="4">
        <f>IFERROR(MATCH(1012,상세표[연속순번],0),"")</f>
        <v/>
      </c>
    </row>
    <row r="1018">
      <c r="A1018">
        <f>IF($Q1018="","",INDEX(상세표[부서],$Q1018)&amp;"")</f>
        <v/>
      </c>
      <c r="B1018">
        <f>IF($Q1018="","",INDEX(상세표[사번],$Q1018)&amp;"")</f>
        <v/>
      </c>
      <c r="C1018">
        <f>IF($Q1018="","",INDEX(상세표[성명],$Q1018)&amp;"")</f>
        <v/>
      </c>
      <c r="D1018">
        <f>IF($Q1018="","",INDEX(상세표[직위],$Q1018)&amp;"")</f>
        <v/>
      </c>
      <c r="E1018">
        <f>IF($Q1018="","",IF(ISNUMBER(INDEX(상세표[근무일자],$Q1018)),TEXT(INDEX(상세표[근무일자],$Q1018),"yyyy-mm-dd"),INDEX(상세표[근무일자],$Q1018)&amp;""))</f>
        <v/>
      </c>
      <c r="F1018">
        <f>IF($Q1018="","",IF(ISNUMBER(INDEX(상세표[시작],$Q1018)),TEXT(INDEX(상세표[시작],$Q1018),"yyyy-mm-dd hh:mm"),INDEX(상세표[시작],$Q1018)&amp;""))</f>
        <v/>
      </c>
      <c r="G1018">
        <f>IF($Q1018="","",IF(ISNUMBER(INDEX(상세표[블록종료],$Q1018)),TEXT(INDEX(상세표[블록종료],$Q1018),"yyyy-mm-dd hh:mm"),INDEX(상세표[블록종료],$Q1018)&amp;""))</f>
        <v/>
      </c>
      <c r="H1018">
        <f>IF($Q1018="","",CHOOSE(WEEKDAY(INDEX(상세표[시작],$Q1018)),"일","월","화","수","목","금","토"))</f>
        <v/>
      </c>
      <c r="I1018" s="20">
        <f>IF($Q1018="","",INDEX(상세표[연속 시간],$Q1018))</f>
        <v/>
      </c>
      <c r="J1018">
        <f>IF($Q1018="","",INDEX(상세표[기록 수],$Q1018))</f>
        <v/>
      </c>
      <c r="K1018" s="20">
        <f>IF($Q1018="","",INDEX(상세표[블록 06~07시],$Q1018))</f>
        <v/>
      </c>
      <c r="L1018" s="20">
        <f>IF($Q1018="","",INDEX(상세표[블록 07~18시],$Q1018))</f>
        <v/>
      </c>
      <c r="M1018" s="20">
        <f>IF($Q1018="","",INDEX(상세표[블록 18~22시],$Q1018))</f>
        <v/>
      </c>
      <c r="N1018" s="20">
        <f>IF($Q1018="","",INDEX(상세표[블록 22~06시],$Q1018))</f>
        <v/>
      </c>
      <c r="O1018">
        <f>IF($Q1018="","",INDEX(상세표[주말·휴일 포함],$Q1018)&amp;"")</f>
        <v/>
      </c>
      <c r="P1018">
        <f>IF($Q1018="","",INDEX(상세표[월 넘김 포함],$Q1018)&amp;"")</f>
        <v/>
      </c>
      <c r="Q1018" s="4">
        <f>IFERROR(MATCH(1013,상세표[연속순번],0),"")</f>
        <v/>
      </c>
    </row>
    <row r="1019">
      <c r="A1019">
        <f>IF($Q1019="","",INDEX(상세표[부서],$Q1019)&amp;"")</f>
        <v/>
      </c>
      <c r="B1019">
        <f>IF($Q1019="","",INDEX(상세표[사번],$Q1019)&amp;"")</f>
        <v/>
      </c>
      <c r="C1019">
        <f>IF($Q1019="","",INDEX(상세표[성명],$Q1019)&amp;"")</f>
        <v/>
      </c>
      <c r="D1019">
        <f>IF($Q1019="","",INDEX(상세표[직위],$Q1019)&amp;"")</f>
        <v/>
      </c>
      <c r="E1019">
        <f>IF($Q1019="","",IF(ISNUMBER(INDEX(상세표[근무일자],$Q1019)),TEXT(INDEX(상세표[근무일자],$Q1019),"yyyy-mm-dd"),INDEX(상세표[근무일자],$Q1019)&amp;""))</f>
        <v/>
      </c>
      <c r="F1019">
        <f>IF($Q1019="","",IF(ISNUMBER(INDEX(상세표[시작],$Q1019)),TEXT(INDEX(상세표[시작],$Q1019),"yyyy-mm-dd hh:mm"),INDEX(상세표[시작],$Q1019)&amp;""))</f>
        <v/>
      </c>
      <c r="G1019">
        <f>IF($Q1019="","",IF(ISNUMBER(INDEX(상세표[블록종료],$Q1019)),TEXT(INDEX(상세표[블록종료],$Q1019),"yyyy-mm-dd hh:mm"),INDEX(상세표[블록종료],$Q1019)&amp;""))</f>
        <v/>
      </c>
      <c r="H1019">
        <f>IF($Q1019="","",CHOOSE(WEEKDAY(INDEX(상세표[시작],$Q1019)),"일","월","화","수","목","금","토"))</f>
        <v/>
      </c>
      <c r="I1019" s="20">
        <f>IF($Q1019="","",INDEX(상세표[연속 시간],$Q1019))</f>
        <v/>
      </c>
      <c r="J1019">
        <f>IF($Q1019="","",INDEX(상세표[기록 수],$Q1019))</f>
        <v/>
      </c>
      <c r="K1019" s="20">
        <f>IF($Q1019="","",INDEX(상세표[블록 06~07시],$Q1019))</f>
        <v/>
      </c>
      <c r="L1019" s="20">
        <f>IF($Q1019="","",INDEX(상세표[블록 07~18시],$Q1019))</f>
        <v/>
      </c>
      <c r="M1019" s="20">
        <f>IF($Q1019="","",INDEX(상세표[블록 18~22시],$Q1019))</f>
        <v/>
      </c>
      <c r="N1019" s="20">
        <f>IF($Q1019="","",INDEX(상세표[블록 22~06시],$Q1019))</f>
        <v/>
      </c>
      <c r="O1019">
        <f>IF($Q1019="","",INDEX(상세표[주말·휴일 포함],$Q1019)&amp;"")</f>
        <v/>
      </c>
      <c r="P1019">
        <f>IF($Q1019="","",INDEX(상세표[월 넘김 포함],$Q1019)&amp;"")</f>
        <v/>
      </c>
      <c r="Q1019" s="4">
        <f>IFERROR(MATCH(1014,상세표[연속순번],0),"")</f>
        <v/>
      </c>
    </row>
    <row r="1020">
      <c r="A1020">
        <f>IF($Q1020="","",INDEX(상세표[부서],$Q1020)&amp;"")</f>
        <v/>
      </c>
      <c r="B1020">
        <f>IF($Q1020="","",INDEX(상세표[사번],$Q1020)&amp;"")</f>
        <v/>
      </c>
      <c r="C1020">
        <f>IF($Q1020="","",INDEX(상세표[성명],$Q1020)&amp;"")</f>
        <v/>
      </c>
      <c r="D1020">
        <f>IF($Q1020="","",INDEX(상세표[직위],$Q1020)&amp;"")</f>
        <v/>
      </c>
      <c r="E1020">
        <f>IF($Q1020="","",IF(ISNUMBER(INDEX(상세표[근무일자],$Q1020)),TEXT(INDEX(상세표[근무일자],$Q1020),"yyyy-mm-dd"),INDEX(상세표[근무일자],$Q1020)&amp;""))</f>
        <v/>
      </c>
      <c r="F1020">
        <f>IF($Q1020="","",IF(ISNUMBER(INDEX(상세표[시작],$Q1020)),TEXT(INDEX(상세표[시작],$Q1020),"yyyy-mm-dd hh:mm"),INDEX(상세표[시작],$Q1020)&amp;""))</f>
        <v/>
      </c>
      <c r="G1020">
        <f>IF($Q1020="","",IF(ISNUMBER(INDEX(상세표[블록종료],$Q1020)),TEXT(INDEX(상세표[블록종료],$Q1020),"yyyy-mm-dd hh:mm"),INDEX(상세표[블록종료],$Q1020)&amp;""))</f>
        <v/>
      </c>
      <c r="H1020">
        <f>IF($Q1020="","",CHOOSE(WEEKDAY(INDEX(상세표[시작],$Q1020)),"일","월","화","수","목","금","토"))</f>
        <v/>
      </c>
      <c r="I1020" s="20">
        <f>IF($Q1020="","",INDEX(상세표[연속 시간],$Q1020))</f>
        <v/>
      </c>
      <c r="J1020">
        <f>IF($Q1020="","",INDEX(상세표[기록 수],$Q1020))</f>
        <v/>
      </c>
      <c r="K1020" s="20">
        <f>IF($Q1020="","",INDEX(상세표[블록 06~07시],$Q1020))</f>
        <v/>
      </c>
      <c r="L1020" s="20">
        <f>IF($Q1020="","",INDEX(상세표[블록 07~18시],$Q1020))</f>
        <v/>
      </c>
      <c r="M1020" s="20">
        <f>IF($Q1020="","",INDEX(상세표[블록 18~22시],$Q1020))</f>
        <v/>
      </c>
      <c r="N1020" s="20">
        <f>IF($Q1020="","",INDEX(상세표[블록 22~06시],$Q1020))</f>
        <v/>
      </c>
      <c r="O1020">
        <f>IF($Q1020="","",INDEX(상세표[주말·휴일 포함],$Q1020)&amp;"")</f>
        <v/>
      </c>
      <c r="P1020">
        <f>IF($Q1020="","",INDEX(상세표[월 넘김 포함],$Q1020)&amp;"")</f>
        <v/>
      </c>
      <c r="Q1020" s="4">
        <f>IFERROR(MATCH(1015,상세표[연속순번],0),"")</f>
        <v/>
      </c>
    </row>
    <row r="1021">
      <c r="A1021">
        <f>IF($Q1021="","",INDEX(상세표[부서],$Q1021)&amp;"")</f>
        <v/>
      </c>
      <c r="B1021">
        <f>IF($Q1021="","",INDEX(상세표[사번],$Q1021)&amp;"")</f>
        <v/>
      </c>
      <c r="C1021">
        <f>IF($Q1021="","",INDEX(상세표[성명],$Q1021)&amp;"")</f>
        <v/>
      </c>
      <c r="D1021">
        <f>IF($Q1021="","",INDEX(상세표[직위],$Q1021)&amp;"")</f>
        <v/>
      </c>
      <c r="E1021">
        <f>IF($Q1021="","",IF(ISNUMBER(INDEX(상세표[근무일자],$Q1021)),TEXT(INDEX(상세표[근무일자],$Q1021),"yyyy-mm-dd"),INDEX(상세표[근무일자],$Q1021)&amp;""))</f>
        <v/>
      </c>
      <c r="F1021">
        <f>IF($Q1021="","",IF(ISNUMBER(INDEX(상세표[시작],$Q1021)),TEXT(INDEX(상세표[시작],$Q1021),"yyyy-mm-dd hh:mm"),INDEX(상세표[시작],$Q1021)&amp;""))</f>
        <v/>
      </c>
      <c r="G1021">
        <f>IF($Q1021="","",IF(ISNUMBER(INDEX(상세표[블록종료],$Q1021)),TEXT(INDEX(상세표[블록종료],$Q1021),"yyyy-mm-dd hh:mm"),INDEX(상세표[블록종료],$Q1021)&amp;""))</f>
        <v/>
      </c>
      <c r="H1021">
        <f>IF($Q1021="","",CHOOSE(WEEKDAY(INDEX(상세표[시작],$Q1021)),"일","월","화","수","목","금","토"))</f>
        <v/>
      </c>
      <c r="I1021" s="20">
        <f>IF($Q1021="","",INDEX(상세표[연속 시간],$Q1021))</f>
        <v/>
      </c>
      <c r="J1021">
        <f>IF($Q1021="","",INDEX(상세표[기록 수],$Q1021))</f>
        <v/>
      </c>
      <c r="K1021" s="20">
        <f>IF($Q1021="","",INDEX(상세표[블록 06~07시],$Q1021))</f>
        <v/>
      </c>
      <c r="L1021" s="20">
        <f>IF($Q1021="","",INDEX(상세표[블록 07~18시],$Q1021))</f>
        <v/>
      </c>
      <c r="M1021" s="20">
        <f>IF($Q1021="","",INDEX(상세표[블록 18~22시],$Q1021))</f>
        <v/>
      </c>
      <c r="N1021" s="20">
        <f>IF($Q1021="","",INDEX(상세표[블록 22~06시],$Q1021))</f>
        <v/>
      </c>
      <c r="O1021">
        <f>IF($Q1021="","",INDEX(상세표[주말·휴일 포함],$Q1021)&amp;"")</f>
        <v/>
      </c>
      <c r="P1021">
        <f>IF($Q1021="","",INDEX(상세표[월 넘김 포함],$Q1021)&amp;"")</f>
        <v/>
      </c>
      <c r="Q1021" s="4">
        <f>IFERROR(MATCH(1016,상세표[연속순번],0),"")</f>
        <v/>
      </c>
    </row>
    <row r="1022">
      <c r="A1022">
        <f>IF($Q1022="","",INDEX(상세표[부서],$Q1022)&amp;"")</f>
        <v/>
      </c>
      <c r="B1022">
        <f>IF($Q1022="","",INDEX(상세표[사번],$Q1022)&amp;"")</f>
        <v/>
      </c>
      <c r="C1022">
        <f>IF($Q1022="","",INDEX(상세표[성명],$Q1022)&amp;"")</f>
        <v/>
      </c>
      <c r="D1022">
        <f>IF($Q1022="","",INDEX(상세표[직위],$Q1022)&amp;"")</f>
        <v/>
      </c>
      <c r="E1022">
        <f>IF($Q1022="","",IF(ISNUMBER(INDEX(상세표[근무일자],$Q1022)),TEXT(INDEX(상세표[근무일자],$Q1022),"yyyy-mm-dd"),INDEX(상세표[근무일자],$Q1022)&amp;""))</f>
        <v/>
      </c>
      <c r="F1022">
        <f>IF($Q1022="","",IF(ISNUMBER(INDEX(상세표[시작],$Q1022)),TEXT(INDEX(상세표[시작],$Q1022),"yyyy-mm-dd hh:mm"),INDEX(상세표[시작],$Q1022)&amp;""))</f>
        <v/>
      </c>
      <c r="G1022">
        <f>IF($Q1022="","",IF(ISNUMBER(INDEX(상세표[블록종료],$Q1022)),TEXT(INDEX(상세표[블록종료],$Q1022),"yyyy-mm-dd hh:mm"),INDEX(상세표[블록종료],$Q1022)&amp;""))</f>
        <v/>
      </c>
      <c r="H1022">
        <f>IF($Q1022="","",CHOOSE(WEEKDAY(INDEX(상세표[시작],$Q1022)),"일","월","화","수","목","금","토"))</f>
        <v/>
      </c>
      <c r="I1022" s="20">
        <f>IF($Q1022="","",INDEX(상세표[연속 시간],$Q1022))</f>
        <v/>
      </c>
      <c r="J1022">
        <f>IF($Q1022="","",INDEX(상세표[기록 수],$Q1022))</f>
        <v/>
      </c>
      <c r="K1022" s="20">
        <f>IF($Q1022="","",INDEX(상세표[블록 06~07시],$Q1022))</f>
        <v/>
      </c>
      <c r="L1022" s="20">
        <f>IF($Q1022="","",INDEX(상세표[블록 07~18시],$Q1022))</f>
        <v/>
      </c>
      <c r="M1022" s="20">
        <f>IF($Q1022="","",INDEX(상세표[블록 18~22시],$Q1022))</f>
        <v/>
      </c>
      <c r="N1022" s="20">
        <f>IF($Q1022="","",INDEX(상세표[블록 22~06시],$Q1022))</f>
        <v/>
      </c>
      <c r="O1022">
        <f>IF($Q1022="","",INDEX(상세표[주말·휴일 포함],$Q1022)&amp;"")</f>
        <v/>
      </c>
      <c r="P1022">
        <f>IF($Q1022="","",INDEX(상세표[월 넘김 포함],$Q1022)&amp;"")</f>
        <v/>
      </c>
      <c r="Q1022" s="4">
        <f>IFERROR(MATCH(1017,상세표[연속순번],0),"")</f>
        <v/>
      </c>
    </row>
    <row r="1023">
      <c r="A1023">
        <f>IF($Q1023="","",INDEX(상세표[부서],$Q1023)&amp;"")</f>
        <v/>
      </c>
      <c r="B1023">
        <f>IF($Q1023="","",INDEX(상세표[사번],$Q1023)&amp;"")</f>
        <v/>
      </c>
      <c r="C1023">
        <f>IF($Q1023="","",INDEX(상세표[성명],$Q1023)&amp;"")</f>
        <v/>
      </c>
      <c r="D1023">
        <f>IF($Q1023="","",INDEX(상세표[직위],$Q1023)&amp;"")</f>
        <v/>
      </c>
      <c r="E1023">
        <f>IF($Q1023="","",IF(ISNUMBER(INDEX(상세표[근무일자],$Q1023)),TEXT(INDEX(상세표[근무일자],$Q1023),"yyyy-mm-dd"),INDEX(상세표[근무일자],$Q1023)&amp;""))</f>
        <v/>
      </c>
      <c r="F1023">
        <f>IF($Q1023="","",IF(ISNUMBER(INDEX(상세표[시작],$Q1023)),TEXT(INDEX(상세표[시작],$Q1023),"yyyy-mm-dd hh:mm"),INDEX(상세표[시작],$Q1023)&amp;""))</f>
        <v/>
      </c>
      <c r="G1023">
        <f>IF($Q1023="","",IF(ISNUMBER(INDEX(상세표[블록종료],$Q1023)),TEXT(INDEX(상세표[블록종료],$Q1023),"yyyy-mm-dd hh:mm"),INDEX(상세표[블록종료],$Q1023)&amp;""))</f>
        <v/>
      </c>
      <c r="H1023">
        <f>IF($Q1023="","",CHOOSE(WEEKDAY(INDEX(상세표[시작],$Q1023)),"일","월","화","수","목","금","토"))</f>
        <v/>
      </c>
      <c r="I1023" s="20">
        <f>IF($Q1023="","",INDEX(상세표[연속 시간],$Q1023))</f>
        <v/>
      </c>
      <c r="J1023">
        <f>IF($Q1023="","",INDEX(상세표[기록 수],$Q1023))</f>
        <v/>
      </c>
      <c r="K1023" s="20">
        <f>IF($Q1023="","",INDEX(상세표[블록 06~07시],$Q1023))</f>
        <v/>
      </c>
      <c r="L1023" s="20">
        <f>IF($Q1023="","",INDEX(상세표[블록 07~18시],$Q1023))</f>
        <v/>
      </c>
      <c r="M1023" s="20">
        <f>IF($Q1023="","",INDEX(상세표[블록 18~22시],$Q1023))</f>
        <v/>
      </c>
      <c r="N1023" s="20">
        <f>IF($Q1023="","",INDEX(상세표[블록 22~06시],$Q1023))</f>
        <v/>
      </c>
      <c r="O1023">
        <f>IF($Q1023="","",INDEX(상세표[주말·휴일 포함],$Q1023)&amp;"")</f>
        <v/>
      </c>
      <c r="P1023">
        <f>IF($Q1023="","",INDEX(상세표[월 넘김 포함],$Q1023)&amp;"")</f>
        <v/>
      </c>
      <c r="Q1023" s="4">
        <f>IFERROR(MATCH(1018,상세표[연속순번],0),"")</f>
        <v/>
      </c>
    </row>
    <row r="1024">
      <c r="A1024">
        <f>IF($Q1024="","",INDEX(상세표[부서],$Q1024)&amp;"")</f>
        <v/>
      </c>
      <c r="B1024">
        <f>IF($Q1024="","",INDEX(상세표[사번],$Q1024)&amp;"")</f>
        <v/>
      </c>
      <c r="C1024">
        <f>IF($Q1024="","",INDEX(상세표[성명],$Q1024)&amp;"")</f>
        <v/>
      </c>
      <c r="D1024">
        <f>IF($Q1024="","",INDEX(상세표[직위],$Q1024)&amp;"")</f>
        <v/>
      </c>
      <c r="E1024">
        <f>IF($Q1024="","",IF(ISNUMBER(INDEX(상세표[근무일자],$Q1024)),TEXT(INDEX(상세표[근무일자],$Q1024),"yyyy-mm-dd"),INDEX(상세표[근무일자],$Q1024)&amp;""))</f>
        <v/>
      </c>
      <c r="F1024">
        <f>IF($Q1024="","",IF(ISNUMBER(INDEX(상세표[시작],$Q1024)),TEXT(INDEX(상세표[시작],$Q1024),"yyyy-mm-dd hh:mm"),INDEX(상세표[시작],$Q1024)&amp;""))</f>
        <v/>
      </c>
      <c r="G1024">
        <f>IF($Q1024="","",IF(ISNUMBER(INDEX(상세표[블록종료],$Q1024)),TEXT(INDEX(상세표[블록종료],$Q1024),"yyyy-mm-dd hh:mm"),INDEX(상세표[블록종료],$Q1024)&amp;""))</f>
        <v/>
      </c>
      <c r="H1024">
        <f>IF($Q1024="","",CHOOSE(WEEKDAY(INDEX(상세표[시작],$Q1024)),"일","월","화","수","목","금","토"))</f>
        <v/>
      </c>
      <c r="I1024" s="20">
        <f>IF($Q1024="","",INDEX(상세표[연속 시간],$Q1024))</f>
        <v/>
      </c>
      <c r="J1024">
        <f>IF($Q1024="","",INDEX(상세표[기록 수],$Q1024))</f>
        <v/>
      </c>
      <c r="K1024" s="20">
        <f>IF($Q1024="","",INDEX(상세표[블록 06~07시],$Q1024))</f>
        <v/>
      </c>
      <c r="L1024" s="20">
        <f>IF($Q1024="","",INDEX(상세표[블록 07~18시],$Q1024))</f>
        <v/>
      </c>
      <c r="M1024" s="20">
        <f>IF($Q1024="","",INDEX(상세표[블록 18~22시],$Q1024))</f>
        <v/>
      </c>
      <c r="N1024" s="20">
        <f>IF($Q1024="","",INDEX(상세표[블록 22~06시],$Q1024))</f>
        <v/>
      </c>
      <c r="O1024">
        <f>IF($Q1024="","",INDEX(상세표[주말·휴일 포함],$Q1024)&amp;"")</f>
        <v/>
      </c>
      <c r="P1024">
        <f>IF($Q1024="","",INDEX(상세표[월 넘김 포함],$Q1024)&amp;"")</f>
        <v/>
      </c>
      <c r="Q1024" s="4">
        <f>IFERROR(MATCH(1019,상세표[연속순번],0),"")</f>
        <v/>
      </c>
    </row>
    <row r="1025">
      <c r="A1025">
        <f>IF($Q1025="","",INDEX(상세표[부서],$Q1025)&amp;"")</f>
        <v/>
      </c>
      <c r="B1025">
        <f>IF($Q1025="","",INDEX(상세표[사번],$Q1025)&amp;"")</f>
        <v/>
      </c>
      <c r="C1025">
        <f>IF($Q1025="","",INDEX(상세표[성명],$Q1025)&amp;"")</f>
        <v/>
      </c>
      <c r="D1025">
        <f>IF($Q1025="","",INDEX(상세표[직위],$Q1025)&amp;"")</f>
        <v/>
      </c>
      <c r="E1025">
        <f>IF($Q1025="","",IF(ISNUMBER(INDEX(상세표[근무일자],$Q1025)),TEXT(INDEX(상세표[근무일자],$Q1025),"yyyy-mm-dd"),INDEX(상세표[근무일자],$Q1025)&amp;""))</f>
        <v/>
      </c>
      <c r="F1025">
        <f>IF($Q1025="","",IF(ISNUMBER(INDEX(상세표[시작],$Q1025)),TEXT(INDEX(상세표[시작],$Q1025),"yyyy-mm-dd hh:mm"),INDEX(상세표[시작],$Q1025)&amp;""))</f>
        <v/>
      </c>
      <c r="G1025">
        <f>IF($Q1025="","",IF(ISNUMBER(INDEX(상세표[블록종료],$Q1025)),TEXT(INDEX(상세표[블록종료],$Q1025),"yyyy-mm-dd hh:mm"),INDEX(상세표[블록종료],$Q1025)&amp;""))</f>
        <v/>
      </c>
      <c r="H1025">
        <f>IF($Q1025="","",CHOOSE(WEEKDAY(INDEX(상세표[시작],$Q1025)),"일","월","화","수","목","금","토"))</f>
        <v/>
      </c>
      <c r="I1025" s="20">
        <f>IF($Q1025="","",INDEX(상세표[연속 시간],$Q1025))</f>
        <v/>
      </c>
      <c r="J1025">
        <f>IF($Q1025="","",INDEX(상세표[기록 수],$Q1025))</f>
        <v/>
      </c>
      <c r="K1025" s="20">
        <f>IF($Q1025="","",INDEX(상세표[블록 06~07시],$Q1025))</f>
        <v/>
      </c>
      <c r="L1025" s="20">
        <f>IF($Q1025="","",INDEX(상세표[블록 07~18시],$Q1025))</f>
        <v/>
      </c>
      <c r="M1025" s="20">
        <f>IF($Q1025="","",INDEX(상세표[블록 18~22시],$Q1025))</f>
        <v/>
      </c>
      <c r="N1025" s="20">
        <f>IF($Q1025="","",INDEX(상세표[블록 22~06시],$Q1025))</f>
        <v/>
      </c>
      <c r="O1025">
        <f>IF($Q1025="","",INDEX(상세표[주말·휴일 포함],$Q1025)&amp;"")</f>
        <v/>
      </c>
      <c r="P1025">
        <f>IF($Q1025="","",INDEX(상세표[월 넘김 포함],$Q1025)&amp;"")</f>
        <v/>
      </c>
      <c r="Q1025" s="4">
        <f>IFERROR(MATCH(1020,상세표[연속순번],0),"")</f>
        <v/>
      </c>
    </row>
    <row r="1026">
      <c r="A1026">
        <f>IF($Q1026="","",INDEX(상세표[부서],$Q1026)&amp;"")</f>
        <v/>
      </c>
      <c r="B1026">
        <f>IF($Q1026="","",INDEX(상세표[사번],$Q1026)&amp;"")</f>
        <v/>
      </c>
      <c r="C1026">
        <f>IF($Q1026="","",INDEX(상세표[성명],$Q1026)&amp;"")</f>
        <v/>
      </c>
      <c r="D1026">
        <f>IF($Q1026="","",INDEX(상세표[직위],$Q1026)&amp;"")</f>
        <v/>
      </c>
      <c r="E1026">
        <f>IF($Q1026="","",IF(ISNUMBER(INDEX(상세표[근무일자],$Q1026)),TEXT(INDEX(상세표[근무일자],$Q1026),"yyyy-mm-dd"),INDEX(상세표[근무일자],$Q1026)&amp;""))</f>
        <v/>
      </c>
      <c r="F1026">
        <f>IF($Q1026="","",IF(ISNUMBER(INDEX(상세표[시작],$Q1026)),TEXT(INDEX(상세표[시작],$Q1026),"yyyy-mm-dd hh:mm"),INDEX(상세표[시작],$Q1026)&amp;""))</f>
        <v/>
      </c>
      <c r="G1026">
        <f>IF($Q1026="","",IF(ISNUMBER(INDEX(상세표[블록종료],$Q1026)),TEXT(INDEX(상세표[블록종료],$Q1026),"yyyy-mm-dd hh:mm"),INDEX(상세표[블록종료],$Q1026)&amp;""))</f>
        <v/>
      </c>
      <c r="H1026">
        <f>IF($Q1026="","",CHOOSE(WEEKDAY(INDEX(상세표[시작],$Q1026)),"일","월","화","수","목","금","토"))</f>
        <v/>
      </c>
      <c r="I1026" s="20">
        <f>IF($Q1026="","",INDEX(상세표[연속 시간],$Q1026))</f>
        <v/>
      </c>
      <c r="J1026">
        <f>IF($Q1026="","",INDEX(상세표[기록 수],$Q1026))</f>
        <v/>
      </c>
      <c r="K1026" s="20">
        <f>IF($Q1026="","",INDEX(상세표[블록 06~07시],$Q1026))</f>
        <v/>
      </c>
      <c r="L1026" s="20">
        <f>IF($Q1026="","",INDEX(상세표[블록 07~18시],$Q1026))</f>
        <v/>
      </c>
      <c r="M1026" s="20">
        <f>IF($Q1026="","",INDEX(상세표[블록 18~22시],$Q1026))</f>
        <v/>
      </c>
      <c r="N1026" s="20">
        <f>IF($Q1026="","",INDEX(상세표[블록 22~06시],$Q1026))</f>
        <v/>
      </c>
      <c r="O1026">
        <f>IF($Q1026="","",INDEX(상세표[주말·휴일 포함],$Q1026)&amp;"")</f>
        <v/>
      </c>
      <c r="P1026">
        <f>IF($Q1026="","",INDEX(상세표[월 넘김 포함],$Q1026)&amp;"")</f>
        <v/>
      </c>
      <c r="Q1026" s="4">
        <f>IFERROR(MATCH(1021,상세표[연속순번],0),"")</f>
        <v/>
      </c>
    </row>
    <row r="1027">
      <c r="A1027">
        <f>IF($Q1027="","",INDEX(상세표[부서],$Q1027)&amp;"")</f>
        <v/>
      </c>
      <c r="B1027">
        <f>IF($Q1027="","",INDEX(상세표[사번],$Q1027)&amp;"")</f>
        <v/>
      </c>
      <c r="C1027">
        <f>IF($Q1027="","",INDEX(상세표[성명],$Q1027)&amp;"")</f>
        <v/>
      </c>
      <c r="D1027">
        <f>IF($Q1027="","",INDEX(상세표[직위],$Q1027)&amp;"")</f>
        <v/>
      </c>
      <c r="E1027">
        <f>IF($Q1027="","",IF(ISNUMBER(INDEX(상세표[근무일자],$Q1027)),TEXT(INDEX(상세표[근무일자],$Q1027),"yyyy-mm-dd"),INDEX(상세표[근무일자],$Q1027)&amp;""))</f>
        <v/>
      </c>
      <c r="F1027">
        <f>IF($Q1027="","",IF(ISNUMBER(INDEX(상세표[시작],$Q1027)),TEXT(INDEX(상세표[시작],$Q1027),"yyyy-mm-dd hh:mm"),INDEX(상세표[시작],$Q1027)&amp;""))</f>
        <v/>
      </c>
      <c r="G1027">
        <f>IF($Q1027="","",IF(ISNUMBER(INDEX(상세표[블록종료],$Q1027)),TEXT(INDEX(상세표[블록종료],$Q1027),"yyyy-mm-dd hh:mm"),INDEX(상세표[블록종료],$Q1027)&amp;""))</f>
        <v/>
      </c>
      <c r="H1027">
        <f>IF($Q1027="","",CHOOSE(WEEKDAY(INDEX(상세표[시작],$Q1027)),"일","월","화","수","목","금","토"))</f>
        <v/>
      </c>
      <c r="I1027" s="20">
        <f>IF($Q1027="","",INDEX(상세표[연속 시간],$Q1027))</f>
        <v/>
      </c>
      <c r="J1027">
        <f>IF($Q1027="","",INDEX(상세표[기록 수],$Q1027))</f>
        <v/>
      </c>
      <c r="K1027" s="20">
        <f>IF($Q1027="","",INDEX(상세표[블록 06~07시],$Q1027))</f>
        <v/>
      </c>
      <c r="L1027" s="20">
        <f>IF($Q1027="","",INDEX(상세표[블록 07~18시],$Q1027))</f>
        <v/>
      </c>
      <c r="M1027" s="20">
        <f>IF($Q1027="","",INDEX(상세표[블록 18~22시],$Q1027))</f>
        <v/>
      </c>
      <c r="N1027" s="20">
        <f>IF($Q1027="","",INDEX(상세표[블록 22~06시],$Q1027))</f>
        <v/>
      </c>
      <c r="O1027">
        <f>IF($Q1027="","",INDEX(상세표[주말·휴일 포함],$Q1027)&amp;"")</f>
        <v/>
      </c>
      <c r="P1027">
        <f>IF($Q1027="","",INDEX(상세표[월 넘김 포함],$Q1027)&amp;"")</f>
        <v/>
      </c>
      <c r="Q1027" s="4">
        <f>IFERROR(MATCH(1022,상세표[연속순번],0),"")</f>
        <v/>
      </c>
    </row>
    <row r="1028">
      <c r="A1028">
        <f>IF($Q1028="","",INDEX(상세표[부서],$Q1028)&amp;"")</f>
        <v/>
      </c>
      <c r="B1028">
        <f>IF($Q1028="","",INDEX(상세표[사번],$Q1028)&amp;"")</f>
        <v/>
      </c>
      <c r="C1028">
        <f>IF($Q1028="","",INDEX(상세표[성명],$Q1028)&amp;"")</f>
        <v/>
      </c>
      <c r="D1028">
        <f>IF($Q1028="","",INDEX(상세표[직위],$Q1028)&amp;"")</f>
        <v/>
      </c>
      <c r="E1028">
        <f>IF($Q1028="","",IF(ISNUMBER(INDEX(상세표[근무일자],$Q1028)),TEXT(INDEX(상세표[근무일자],$Q1028),"yyyy-mm-dd"),INDEX(상세표[근무일자],$Q1028)&amp;""))</f>
        <v/>
      </c>
      <c r="F1028">
        <f>IF($Q1028="","",IF(ISNUMBER(INDEX(상세표[시작],$Q1028)),TEXT(INDEX(상세표[시작],$Q1028),"yyyy-mm-dd hh:mm"),INDEX(상세표[시작],$Q1028)&amp;""))</f>
        <v/>
      </c>
      <c r="G1028">
        <f>IF($Q1028="","",IF(ISNUMBER(INDEX(상세표[블록종료],$Q1028)),TEXT(INDEX(상세표[블록종료],$Q1028),"yyyy-mm-dd hh:mm"),INDEX(상세표[블록종료],$Q1028)&amp;""))</f>
        <v/>
      </c>
      <c r="H1028">
        <f>IF($Q1028="","",CHOOSE(WEEKDAY(INDEX(상세표[시작],$Q1028)),"일","월","화","수","목","금","토"))</f>
        <v/>
      </c>
      <c r="I1028" s="20">
        <f>IF($Q1028="","",INDEX(상세표[연속 시간],$Q1028))</f>
        <v/>
      </c>
      <c r="J1028">
        <f>IF($Q1028="","",INDEX(상세표[기록 수],$Q1028))</f>
        <v/>
      </c>
      <c r="K1028" s="20">
        <f>IF($Q1028="","",INDEX(상세표[블록 06~07시],$Q1028))</f>
        <v/>
      </c>
      <c r="L1028" s="20">
        <f>IF($Q1028="","",INDEX(상세표[블록 07~18시],$Q1028))</f>
        <v/>
      </c>
      <c r="M1028" s="20">
        <f>IF($Q1028="","",INDEX(상세표[블록 18~22시],$Q1028))</f>
        <v/>
      </c>
      <c r="N1028" s="20">
        <f>IF($Q1028="","",INDEX(상세표[블록 22~06시],$Q1028))</f>
        <v/>
      </c>
      <c r="O1028">
        <f>IF($Q1028="","",INDEX(상세표[주말·휴일 포함],$Q1028)&amp;"")</f>
        <v/>
      </c>
      <c r="P1028">
        <f>IF($Q1028="","",INDEX(상세표[월 넘김 포함],$Q1028)&amp;"")</f>
        <v/>
      </c>
      <c r="Q1028" s="4">
        <f>IFERROR(MATCH(1023,상세표[연속순번],0),"")</f>
        <v/>
      </c>
    </row>
    <row r="1029">
      <c r="A1029">
        <f>IF($Q1029="","",INDEX(상세표[부서],$Q1029)&amp;"")</f>
        <v/>
      </c>
      <c r="B1029">
        <f>IF($Q1029="","",INDEX(상세표[사번],$Q1029)&amp;"")</f>
        <v/>
      </c>
      <c r="C1029">
        <f>IF($Q1029="","",INDEX(상세표[성명],$Q1029)&amp;"")</f>
        <v/>
      </c>
      <c r="D1029">
        <f>IF($Q1029="","",INDEX(상세표[직위],$Q1029)&amp;"")</f>
        <v/>
      </c>
      <c r="E1029">
        <f>IF($Q1029="","",IF(ISNUMBER(INDEX(상세표[근무일자],$Q1029)),TEXT(INDEX(상세표[근무일자],$Q1029),"yyyy-mm-dd"),INDEX(상세표[근무일자],$Q1029)&amp;""))</f>
        <v/>
      </c>
      <c r="F1029">
        <f>IF($Q1029="","",IF(ISNUMBER(INDEX(상세표[시작],$Q1029)),TEXT(INDEX(상세표[시작],$Q1029),"yyyy-mm-dd hh:mm"),INDEX(상세표[시작],$Q1029)&amp;""))</f>
        <v/>
      </c>
      <c r="G1029">
        <f>IF($Q1029="","",IF(ISNUMBER(INDEX(상세표[블록종료],$Q1029)),TEXT(INDEX(상세표[블록종료],$Q1029),"yyyy-mm-dd hh:mm"),INDEX(상세표[블록종료],$Q1029)&amp;""))</f>
        <v/>
      </c>
      <c r="H1029">
        <f>IF($Q1029="","",CHOOSE(WEEKDAY(INDEX(상세표[시작],$Q1029)),"일","월","화","수","목","금","토"))</f>
        <v/>
      </c>
      <c r="I1029" s="20">
        <f>IF($Q1029="","",INDEX(상세표[연속 시간],$Q1029))</f>
        <v/>
      </c>
      <c r="J1029">
        <f>IF($Q1029="","",INDEX(상세표[기록 수],$Q1029))</f>
        <v/>
      </c>
      <c r="K1029" s="20">
        <f>IF($Q1029="","",INDEX(상세표[블록 06~07시],$Q1029))</f>
        <v/>
      </c>
      <c r="L1029" s="20">
        <f>IF($Q1029="","",INDEX(상세표[블록 07~18시],$Q1029))</f>
        <v/>
      </c>
      <c r="M1029" s="20">
        <f>IF($Q1029="","",INDEX(상세표[블록 18~22시],$Q1029))</f>
        <v/>
      </c>
      <c r="N1029" s="20">
        <f>IF($Q1029="","",INDEX(상세표[블록 22~06시],$Q1029))</f>
        <v/>
      </c>
      <c r="O1029">
        <f>IF($Q1029="","",INDEX(상세표[주말·휴일 포함],$Q1029)&amp;"")</f>
        <v/>
      </c>
      <c r="P1029">
        <f>IF($Q1029="","",INDEX(상세표[월 넘김 포함],$Q1029)&amp;"")</f>
        <v/>
      </c>
      <c r="Q1029" s="4">
        <f>IFERROR(MATCH(1024,상세표[연속순번],0),"")</f>
        <v/>
      </c>
    </row>
    <row r="1030">
      <c r="A1030">
        <f>IF($Q1030="","",INDEX(상세표[부서],$Q1030)&amp;"")</f>
        <v/>
      </c>
      <c r="B1030">
        <f>IF($Q1030="","",INDEX(상세표[사번],$Q1030)&amp;"")</f>
        <v/>
      </c>
      <c r="C1030">
        <f>IF($Q1030="","",INDEX(상세표[성명],$Q1030)&amp;"")</f>
        <v/>
      </c>
      <c r="D1030">
        <f>IF($Q1030="","",INDEX(상세표[직위],$Q1030)&amp;"")</f>
        <v/>
      </c>
      <c r="E1030">
        <f>IF($Q1030="","",IF(ISNUMBER(INDEX(상세표[근무일자],$Q1030)),TEXT(INDEX(상세표[근무일자],$Q1030),"yyyy-mm-dd"),INDEX(상세표[근무일자],$Q1030)&amp;""))</f>
        <v/>
      </c>
      <c r="F1030">
        <f>IF($Q1030="","",IF(ISNUMBER(INDEX(상세표[시작],$Q1030)),TEXT(INDEX(상세표[시작],$Q1030),"yyyy-mm-dd hh:mm"),INDEX(상세표[시작],$Q1030)&amp;""))</f>
        <v/>
      </c>
      <c r="G1030">
        <f>IF($Q1030="","",IF(ISNUMBER(INDEX(상세표[블록종료],$Q1030)),TEXT(INDEX(상세표[블록종료],$Q1030),"yyyy-mm-dd hh:mm"),INDEX(상세표[블록종료],$Q1030)&amp;""))</f>
        <v/>
      </c>
      <c r="H1030">
        <f>IF($Q1030="","",CHOOSE(WEEKDAY(INDEX(상세표[시작],$Q1030)),"일","월","화","수","목","금","토"))</f>
        <v/>
      </c>
      <c r="I1030" s="20">
        <f>IF($Q1030="","",INDEX(상세표[연속 시간],$Q1030))</f>
        <v/>
      </c>
      <c r="J1030">
        <f>IF($Q1030="","",INDEX(상세표[기록 수],$Q1030))</f>
        <v/>
      </c>
      <c r="K1030" s="20">
        <f>IF($Q1030="","",INDEX(상세표[블록 06~07시],$Q1030))</f>
        <v/>
      </c>
      <c r="L1030" s="20">
        <f>IF($Q1030="","",INDEX(상세표[블록 07~18시],$Q1030))</f>
        <v/>
      </c>
      <c r="M1030" s="20">
        <f>IF($Q1030="","",INDEX(상세표[블록 18~22시],$Q1030))</f>
        <v/>
      </c>
      <c r="N1030" s="20">
        <f>IF($Q1030="","",INDEX(상세표[블록 22~06시],$Q1030))</f>
        <v/>
      </c>
      <c r="O1030">
        <f>IF($Q1030="","",INDEX(상세표[주말·휴일 포함],$Q1030)&amp;"")</f>
        <v/>
      </c>
      <c r="P1030">
        <f>IF($Q1030="","",INDEX(상세표[월 넘김 포함],$Q1030)&amp;"")</f>
        <v/>
      </c>
      <c r="Q1030" s="4">
        <f>IFERROR(MATCH(1025,상세표[연속순번],0),"")</f>
        <v/>
      </c>
    </row>
    <row r="1031">
      <c r="A1031">
        <f>IF($Q1031="","",INDEX(상세표[부서],$Q1031)&amp;"")</f>
        <v/>
      </c>
      <c r="B1031">
        <f>IF($Q1031="","",INDEX(상세표[사번],$Q1031)&amp;"")</f>
        <v/>
      </c>
      <c r="C1031">
        <f>IF($Q1031="","",INDEX(상세표[성명],$Q1031)&amp;"")</f>
        <v/>
      </c>
      <c r="D1031">
        <f>IF($Q1031="","",INDEX(상세표[직위],$Q1031)&amp;"")</f>
        <v/>
      </c>
      <c r="E1031">
        <f>IF($Q1031="","",IF(ISNUMBER(INDEX(상세표[근무일자],$Q1031)),TEXT(INDEX(상세표[근무일자],$Q1031),"yyyy-mm-dd"),INDEX(상세표[근무일자],$Q1031)&amp;""))</f>
        <v/>
      </c>
      <c r="F1031">
        <f>IF($Q1031="","",IF(ISNUMBER(INDEX(상세표[시작],$Q1031)),TEXT(INDEX(상세표[시작],$Q1031),"yyyy-mm-dd hh:mm"),INDEX(상세표[시작],$Q1031)&amp;""))</f>
        <v/>
      </c>
      <c r="G1031">
        <f>IF($Q1031="","",IF(ISNUMBER(INDEX(상세표[블록종료],$Q1031)),TEXT(INDEX(상세표[블록종료],$Q1031),"yyyy-mm-dd hh:mm"),INDEX(상세표[블록종료],$Q1031)&amp;""))</f>
        <v/>
      </c>
      <c r="H1031">
        <f>IF($Q1031="","",CHOOSE(WEEKDAY(INDEX(상세표[시작],$Q1031)),"일","월","화","수","목","금","토"))</f>
        <v/>
      </c>
      <c r="I1031" s="20">
        <f>IF($Q1031="","",INDEX(상세표[연속 시간],$Q1031))</f>
        <v/>
      </c>
      <c r="J1031">
        <f>IF($Q1031="","",INDEX(상세표[기록 수],$Q1031))</f>
        <v/>
      </c>
      <c r="K1031" s="20">
        <f>IF($Q1031="","",INDEX(상세표[블록 06~07시],$Q1031))</f>
        <v/>
      </c>
      <c r="L1031" s="20">
        <f>IF($Q1031="","",INDEX(상세표[블록 07~18시],$Q1031))</f>
        <v/>
      </c>
      <c r="M1031" s="20">
        <f>IF($Q1031="","",INDEX(상세표[블록 18~22시],$Q1031))</f>
        <v/>
      </c>
      <c r="N1031" s="20">
        <f>IF($Q1031="","",INDEX(상세표[블록 22~06시],$Q1031))</f>
        <v/>
      </c>
      <c r="O1031">
        <f>IF($Q1031="","",INDEX(상세표[주말·휴일 포함],$Q1031)&amp;"")</f>
        <v/>
      </c>
      <c r="P1031">
        <f>IF($Q1031="","",INDEX(상세표[월 넘김 포함],$Q1031)&amp;"")</f>
        <v/>
      </c>
      <c r="Q1031" s="4">
        <f>IFERROR(MATCH(1026,상세표[연속순번],0),"")</f>
        <v/>
      </c>
    </row>
    <row r="1032">
      <c r="A1032">
        <f>IF($Q1032="","",INDEX(상세표[부서],$Q1032)&amp;"")</f>
        <v/>
      </c>
      <c r="B1032">
        <f>IF($Q1032="","",INDEX(상세표[사번],$Q1032)&amp;"")</f>
        <v/>
      </c>
      <c r="C1032">
        <f>IF($Q1032="","",INDEX(상세표[성명],$Q1032)&amp;"")</f>
        <v/>
      </c>
      <c r="D1032">
        <f>IF($Q1032="","",INDEX(상세표[직위],$Q1032)&amp;"")</f>
        <v/>
      </c>
      <c r="E1032">
        <f>IF($Q1032="","",IF(ISNUMBER(INDEX(상세표[근무일자],$Q1032)),TEXT(INDEX(상세표[근무일자],$Q1032),"yyyy-mm-dd"),INDEX(상세표[근무일자],$Q1032)&amp;""))</f>
        <v/>
      </c>
      <c r="F1032">
        <f>IF($Q1032="","",IF(ISNUMBER(INDEX(상세표[시작],$Q1032)),TEXT(INDEX(상세표[시작],$Q1032),"yyyy-mm-dd hh:mm"),INDEX(상세표[시작],$Q1032)&amp;""))</f>
        <v/>
      </c>
      <c r="G1032">
        <f>IF($Q1032="","",IF(ISNUMBER(INDEX(상세표[블록종료],$Q1032)),TEXT(INDEX(상세표[블록종료],$Q1032),"yyyy-mm-dd hh:mm"),INDEX(상세표[블록종료],$Q1032)&amp;""))</f>
        <v/>
      </c>
      <c r="H1032">
        <f>IF($Q1032="","",CHOOSE(WEEKDAY(INDEX(상세표[시작],$Q1032)),"일","월","화","수","목","금","토"))</f>
        <v/>
      </c>
      <c r="I1032" s="20">
        <f>IF($Q1032="","",INDEX(상세표[연속 시간],$Q1032))</f>
        <v/>
      </c>
      <c r="J1032">
        <f>IF($Q1032="","",INDEX(상세표[기록 수],$Q1032))</f>
        <v/>
      </c>
      <c r="K1032" s="20">
        <f>IF($Q1032="","",INDEX(상세표[블록 06~07시],$Q1032))</f>
        <v/>
      </c>
      <c r="L1032" s="20">
        <f>IF($Q1032="","",INDEX(상세표[블록 07~18시],$Q1032))</f>
        <v/>
      </c>
      <c r="M1032" s="20">
        <f>IF($Q1032="","",INDEX(상세표[블록 18~22시],$Q1032))</f>
        <v/>
      </c>
      <c r="N1032" s="20">
        <f>IF($Q1032="","",INDEX(상세표[블록 22~06시],$Q1032))</f>
        <v/>
      </c>
      <c r="O1032">
        <f>IF($Q1032="","",INDEX(상세표[주말·휴일 포함],$Q1032)&amp;"")</f>
        <v/>
      </c>
      <c r="P1032">
        <f>IF($Q1032="","",INDEX(상세표[월 넘김 포함],$Q1032)&amp;"")</f>
        <v/>
      </c>
      <c r="Q1032" s="4">
        <f>IFERROR(MATCH(1027,상세표[연속순번],0),"")</f>
        <v/>
      </c>
    </row>
    <row r="1033">
      <c r="A1033">
        <f>IF($Q1033="","",INDEX(상세표[부서],$Q1033)&amp;"")</f>
        <v/>
      </c>
      <c r="B1033">
        <f>IF($Q1033="","",INDEX(상세표[사번],$Q1033)&amp;"")</f>
        <v/>
      </c>
      <c r="C1033">
        <f>IF($Q1033="","",INDEX(상세표[성명],$Q1033)&amp;"")</f>
        <v/>
      </c>
      <c r="D1033">
        <f>IF($Q1033="","",INDEX(상세표[직위],$Q1033)&amp;"")</f>
        <v/>
      </c>
      <c r="E1033">
        <f>IF($Q1033="","",IF(ISNUMBER(INDEX(상세표[근무일자],$Q1033)),TEXT(INDEX(상세표[근무일자],$Q1033),"yyyy-mm-dd"),INDEX(상세표[근무일자],$Q1033)&amp;""))</f>
        <v/>
      </c>
      <c r="F1033">
        <f>IF($Q1033="","",IF(ISNUMBER(INDEX(상세표[시작],$Q1033)),TEXT(INDEX(상세표[시작],$Q1033),"yyyy-mm-dd hh:mm"),INDEX(상세표[시작],$Q1033)&amp;""))</f>
        <v/>
      </c>
      <c r="G1033">
        <f>IF($Q1033="","",IF(ISNUMBER(INDEX(상세표[블록종료],$Q1033)),TEXT(INDEX(상세표[블록종료],$Q1033),"yyyy-mm-dd hh:mm"),INDEX(상세표[블록종료],$Q1033)&amp;""))</f>
        <v/>
      </c>
      <c r="H1033">
        <f>IF($Q1033="","",CHOOSE(WEEKDAY(INDEX(상세표[시작],$Q1033)),"일","월","화","수","목","금","토"))</f>
        <v/>
      </c>
      <c r="I1033" s="20">
        <f>IF($Q1033="","",INDEX(상세표[연속 시간],$Q1033))</f>
        <v/>
      </c>
      <c r="J1033">
        <f>IF($Q1033="","",INDEX(상세표[기록 수],$Q1033))</f>
        <v/>
      </c>
      <c r="K1033" s="20">
        <f>IF($Q1033="","",INDEX(상세표[블록 06~07시],$Q1033))</f>
        <v/>
      </c>
      <c r="L1033" s="20">
        <f>IF($Q1033="","",INDEX(상세표[블록 07~18시],$Q1033))</f>
        <v/>
      </c>
      <c r="M1033" s="20">
        <f>IF($Q1033="","",INDEX(상세표[블록 18~22시],$Q1033))</f>
        <v/>
      </c>
      <c r="N1033" s="20">
        <f>IF($Q1033="","",INDEX(상세표[블록 22~06시],$Q1033))</f>
        <v/>
      </c>
      <c r="O1033">
        <f>IF($Q1033="","",INDEX(상세표[주말·휴일 포함],$Q1033)&amp;"")</f>
        <v/>
      </c>
      <c r="P1033">
        <f>IF($Q1033="","",INDEX(상세표[월 넘김 포함],$Q1033)&amp;"")</f>
        <v/>
      </c>
      <c r="Q1033" s="4">
        <f>IFERROR(MATCH(1028,상세표[연속순번],0),"")</f>
        <v/>
      </c>
    </row>
    <row r="1034">
      <c r="A1034">
        <f>IF($Q1034="","",INDEX(상세표[부서],$Q1034)&amp;"")</f>
        <v/>
      </c>
      <c r="B1034">
        <f>IF($Q1034="","",INDEX(상세표[사번],$Q1034)&amp;"")</f>
        <v/>
      </c>
      <c r="C1034">
        <f>IF($Q1034="","",INDEX(상세표[성명],$Q1034)&amp;"")</f>
        <v/>
      </c>
      <c r="D1034">
        <f>IF($Q1034="","",INDEX(상세표[직위],$Q1034)&amp;"")</f>
        <v/>
      </c>
      <c r="E1034">
        <f>IF($Q1034="","",IF(ISNUMBER(INDEX(상세표[근무일자],$Q1034)),TEXT(INDEX(상세표[근무일자],$Q1034),"yyyy-mm-dd"),INDEX(상세표[근무일자],$Q1034)&amp;""))</f>
        <v/>
      </c>
      <c r="F1034">
        <f>IF($Q1034="","",IF(ISNUMBER(INDEX(상세표[시작],$Q1034)),TEXT(INDEX(상세표[시작],$Q1034),"yyyy-mm-dd hh:mm"),INDEX(상세표[시작],$Q1034)&amp;""))</f>
        <v/>
      </c>
      <c r="G1034">
        <f>IF($Q1034="","",IF(ISNUMBER(INDEX(상세표[블록종료],$Q1034)),TEXT(INDEX(상세표[블록종료],$Q1034),"yyyy-mm-dd hh:mm"),INDEX(상세표[블록종료],$Q1034)&amp;""))</f>
        <v/>
      </c>
      <c r="H1034">
        <f>IF($Q1034="","",CHOOSE(WEEKDAY(INDEX(상세표[시작],$Q1034)),"일","월","화","수","목","금","토"))</f>
        <v/>
      </c>
      <c r="I1034" s="20">
        <f>IF($Q1034="","",INDEX(상세표[연속 시간],$Q1034))</f>
        <v/>
      </c>
      <c r="J1034">
        <f>IF($Q1034="","",INDEX(상세표[기록 수],$Q1034))</f>
        <v/>
      </c>
      <c r="K1034" s="20">
        <f>IF($Q1034="","",INDEX(상세표[블록 06~07시],$Q1034))</f>
        <v/>
      </c>
      <c r="L1034" s="20">
        <f>IF($Q1034="","",INDEX(상세표[블록 07~18시],$Q1034))</f>
        <v/>
      </c>
      <c r="M1034" s="20">
        <f>IF($Q1034="","",INDEX(상세표[블록 18~22시],$Q1034))</f>
        <v/>
      </c>
      <c r="N1034" s="20">
        <f>IF($Q1034="","",INDEX(상세표[블록 22~06시],$Q1034))</f>
        <v/>
      </c>
      <c r="O1034">
        <f>IF($Q1034="","",INDEX(상세표[주말·휴일 포함],$Q1034)&amp;"")</f>
        <v/>
      </c>
      <c r="P1034">
        <f>IF($Q1034="","",INDEX(상세표[월 넘김 포함],$Q1034)&amp;"")</f>
        <v/>
      </c>
      <c r="Q1034" s="4">
        <f>IFERROR(MATCH(1029,상세표[연속순번],0),"")</f>
        <v/>
      </c>
    </row>
    <row r="1035">
      <c r="A1035">
        <f>IF($Q1035="","",INDEX(상세표[부서],$Q1035)&amp;"")</f>
        <v/>
      </c>
      <c r="B1035">
        <f>IF($Q1035="","",INDEX(상세표[사번],$Q1035)&amp;"")</f>
        <v/>
      </c>
      <c r="C1035">
        <f>IF($Q1035="","",INDEX(상세표[성명],$Q1035)&amp;"")</f>
        <v/>
      </c>
      <c r="D1035">
        <f>IF($Q1035="","",INDEX(상세표[직위],$Q1035)&amp;"")</f>
        <v/>
      </c>
      <c r="E1035">
        <f>IF($Q1035="","",IF(ISNUMBER(INDEX(상세표[근무일자],$Q1035)),TEXT(INDEX(상세표[근무일자],$Q1035),"yyyy-mm-dd"),INDEX(상세표[근무일자],$Q1035)&amp;""))</f>
        <v/>
      </c>
      <c r="F1035">
        <f>IF($Q1035="","",IF(ISNUMBER(INDEX(상세표[시작],$Q1035)),TEXT(INDEX(상세표[시작],$Q1035),"yyyy-mm-dd hh:mm"),INDEX(상세표[시작],$Q1035)&amp;""))</f>
        <v/>
      </c>
      <c r="G1035">
        <f>IF($Q1035="","",IF(ISNUMBER(INDEX(상세표[블록종료],$Q1035)),TEXT(INDEX(상세표[블록종료],$Q1035),"yyyy-mm-dd hh:mm"),INDEX(상세표[블록종료],$Q1035)&amp;""))</f>
        <v/>
      </c>
      <c r="H1035">
        <f>IF($Q1035="","",CHOOSE(WEEKDAY(INDEX(상세표[시작],$Q1035)),"일","월","화","수","목","금","토"))</f>
        <v/>
      </c>
      <c r="I1035" s="20">
        <f>IF($Q1035="","",INDEX(상세표[연속 시간],$Q1035))</f>
        <v/>
      </c>
      <c r="J1035">
        <f>IF($Q1035="","",INDEX(상세표[기록 수],$Q1035))</f>
        <v/>
      </c>
      <c r="K1035" s="20">
        <f>IF($Q1035="","",INDEX(상세표[블록 06~07시],$Q1035))</f>
        <v/>
      </c>
      <c r="L1035" s="20">
        <f>IF($Q1035="","",INDEX(상세표[블록 07~18시],$Q1035))</f>
        <v/>
      </c>
      <c r="M1035" s="20">
        <f>IF($Q1035="","",INDEX(상세표[블록 18~22시],$Q1035))</f>
        <v/>
      </c>
      <c r="N1035" s="20">
        <f>IF($Q1035="","",INDEX(상세표[블록 22~06시],$Q1035))</f>
        <v/>
      </c>
      <c r="O1035">
        <f>IF($Q1035="","",INDEX(상세표[주말·휴일 포함],$Q1035)&amp;"")</f>
        <v/>
      </c>
      <c r="P1035">
        <f>IF($Q1035="","",INDEX(상세표[월 넘김 포함],$Q1035)&amp;"")</f>
        <v/>
      </c>
      <c r="Q1035" s="4">
        <f>IFERROR(MATCH(1030,상세표[연속순번],0),"")</f>
        <v/>
      </c>
    </row>
    <row r="1036">
      <c r="A1036">
        <f>IF($Q1036="","",INDEX(상세표[부서],$Q1036)&amp;"")</f>
        <v/>
      </c>
      <c r="B1036">
        <f>IF($Q1036="","",INDEX(상세표[사번],$Q1036)&amp;"")</f>
        <v/>
      </c>
      <c r="C1036">
        <f>IF($Q1036="","",INDEX(상세표[성명],$Q1036)&amp;"")</f>
        <v/>
      </c>
      <c r="D1036">
        <f>IF($Q1036="","",INDEX(상세표[직위],$Q1036)&amp;"")</f>
        <v/>
      </c>
      <c r="E1036">
        <f>IF($Q1036="","",IF(ISNUMBER(INDEX(상세표[근무일자],$Q1036)),TEXT(INDEX(상세표[근무일자],$Q1036),"yyyy-mm-dd"),INDEX(상세표[근무일자],$Q1036)&amp;""))</f>
        <v/>
      </c>
      <c r="F1036">
        <f>IF($Q1036="","",IF(ISNUMBER(INDEX(상세표[시작],$Q1036)),TEXT(INDEX(상세표[시작],$Q1036),"yyyy-mm-dd hh:mm"),INDEX(상세표[시작],$Q1036)&amp;""))</f>
        <v/>
      </c>
      <c r="G1036">
        <f>IF($Q1036="","",IF(ISNUMBER(INDEX(상세표[블록종료],$Q1036)),TEXT(INDEX(상세표[블록종료],$Q1036),"yyyy-mm-dd hh:mm"),INDEX(상세표[블록종료],$Q1036)&amp;""))</f>
        <v/>
      </c>
      <c r="H1036">
        <f>IF($Q1036="","",CHOOSE(WEEKDAY(INDEX(상세표[시작],$Q1036)),"일","월","화","수","목","금","토"))</f>
        <v/>
      </c>
      <c r="I1036" s="20">
        <f>IF($Q1036="","",INDEX(상세표[연속 시간],$Q1036))</f>
        <v/>
      </c>
      <c r="J1036">
        <f>IF($Q1036="","",INDEX(상세표[기록 수],$Q1036))</f>
        <v/>
      </c>
      <c r="K1036" s="20">
        <f>IF($Q1036="","",INDEX(상세표[블록 06~07시],$Q1036))</f>
        <v/>
      </c>
      <c r="L1036" s="20">
        <f>IF($Q1036="","",INDEX(상세표[블록 07~18시],$Q1036))</f>
        <v/>
      </c>
      <c r="M1036" s="20">
        <f>IF($Q1036="","",INDEX(상세표[블록 18~22시],$Q1036))</f>
        <v/>
      </c>
      <c r="N1036" s="20">
        <f>IF($Q1036="","",INDEX(상세표[블록 22~06시],$Q1036))</f>
        <v/>
      </c>
      <c r="O1036">
        <f>IF($Q1036="","",INDEX(상세표[주말·휴일 포함],$Q1036)&amp;"")</f>
        <v/>
      </c>
      <c r="P1036">
        <f>IF($Q1036="","",INDEX(상세표[월 넘김 포함],$Q1036)&amp;"")</f>
        <v/>
      </c>
      <c r="Q1036" s="4">
        <f>IFERROR(MATCH(1031,상세표[연속순번],0),"")</f>
        <v/>
      </c>
    </row>
    <row r="1037">
      <c r="A1037">
        <f>IF($Q1037="","",INDEX(상세표[부서],$Q1037)&amp;"")</f>
        <v/>
      </c>
      <c r="B1037">
        <f>IF($Q1037="","",INDEX(상세표[사번],$Q1037)&amp;"")</f>
        <v/>
      </c>
      <c r="C1037">
        <f>IF($Q1037="","",INDEX(상세표[성명],$Q1037)&amp;"")</f>
        <v/>
      </c>
      <c r="D1037">
        <f>IF($Q1037="","",INDEX(상세표[직위],$Q1037)&amp;"")</f>
        <v/>
      </c>
      <c r="E1037">
        <f>IF($Q1037="","",IF(ISNUMBER(INDEX(상세표[근무일자],$Q1037)),TEXT(INDEX(상세표[근무일자],$Q1037),"yyyy-mm-dd"),INDEX(상세표[근무일자],$Q1037)&amp;""))</f>
        <v/>
      </c>
      <c r="F1037">
        <f>IF($Q1037="","",IF(ISNUMBER(INDEX(상세표[시작],$Q1037)),TEXT(INDEX(상세표[시작],$Q1037),"yyyy-mm-dd hh:mm"),INDEX(상세표[시작],$Q1037)&amp;""))</f>
        <v/>
      </c>
      <c r="G1037">
        <f>IF($Q1037="","",IF(ISNUMBER(INDEX(상세표[블록종료],$Q1037)),TEXT(INDEX(상세표[블록종료],$Q1037),"yyyy-mm-dd hh:mm"),INDEX(상세표[블록종료],$Q1037)&amp;""))</f>
        <v/>
      </c>
      <c r="H1037">
        <f>IF($Q1037="","",CHOOSE(WEEKDAY(INDEX(상세표[시작],$Q1037)),"일","월","화","수","목","금","토"))</f>
        <v/>
      </c>
      <c r="I1037" s="20">
        <f>IF($Q1037="","",INDEX(상세표[연속 시간],$Q1037))</f>
        <v/>
      </c>
      <c r="J1037">
        <f>IF($Q1037="","",INDEX(상세표[기록 수],$Q1037))</f>
        <v/>
      </c>
      <c r="K1037" s="20">
        <f>IF($Q1037="","",INDEX(상세표[블록 06~07시],$Q1037))</f>
        <v/>
      </c>
      <c r="L1037" s="20">
        <f>IF($Q1037="","",INDEX(상세표[블록 07~18시],$Q1037))</f>
        <v/>
      </c>
      <c r="M1037" s="20">
        <f>IF($Q1037="","",INDEX(상세표[블록 18~22시],$Q1037))</f>
        <v/>
      </c>
      <c r="N1037" s="20">
        <f>IF($Q1037="","",INDEX(상세표[블록 22~06시],$Q1037))</f>
        <v/>
      </c>
      <c r="O1037">
        <f>IF($Q1037="","",INDEX(상세표[주말·휴일 포함],$Q1037)&amp;"")</f>
        <v/>
      </c>
      <c r="P1037">
        <f>IF($Q1037="","",INDEX(상세표[월 넘김 포함],$Q1037)&amp;"")</f>
        <v/>
      </c>
      <c r="Q1037" s="4">
        <f>IFERROR(MATCH(1032,상세표[연속순번],0),"")</f>
        <v/>
      </c>
    </row>
    <row r="1038">
      <c r="A1038">
        <f>IF($Q1038="","",INDEX(상세표[부서],$Q1038)&amp;"")</f>
        <v/>
      </c>
      <c r="B1038">
        <f>IF($Q1038="","",INDEX(상세표[사번],$Q1038)&amp;"")</f>
        <v/>
      </c>
      <c r="C1038">
        <f>IF($Q1038="","",INDEX(상세표[성명],$Q1038)&amp;"")</f>
        <v/>
      </c>
      <c r="D1038">
        <f>IF($Q1038="","",INDEX(상세표[직위],$Q1038)&amp;"")</f>
        <v/>
      </c>
      <c r="E1038">
        <f>IF($Q1038="","",IF(ISNUMBER(INDEX(상세표[근무일자],$Q1038)),TEXT(INDEX(상세표[근무일자],$Q1038),"yyyy-mm-dd"),INDEX(상세표[근무일자],$Q1038)&amp;""))</f>
        <v/>
      </c>
      <c r="F1038">
        <f>IF($Q1038="","",IF(ISNUMBER(INDEX(상세표[시작],$Q1038)),TEXT(INDEX(상세표[시작],$Q1038),"yyyy-mm-dd hh:mm"),INDEX(상세표[시작],$Q1038)&amp;""))</f>
        <v/>
      </c>
      <c r="G1038">
        <f>IF($Q1038="","",IF(ISNUMBER(INDEX(상세표[블록종료],$Q1038)),TEXT(INDEX(상세표[블록종료],$Q1038),"yyyy-mm-dd hh:mm"),INDEX(상세표[블록종료],$Q1038)&amp;""))</f>
        <v/>
      </c>
      <c r="H1038">
        <f>IF($Q1038="","",CHOOSE(WEEKDAY(INDEX(상세표[시작],$Q1038)),"일","월","화","수","목","금","토"))</f>
        <v/>
      </c>
      <c r="I1038" s="20">
        <f>IF($Q1038="","",INDEX(상세표[연속 시간],$Q1038))</f>
        <v/>
      </c>
      <c r="J1038">
        <f>IF($Q1038="","",INDEX(상세표[기록 수],$Q1038))</f>
        <v/>
      </c>
      <c r="K1038" s="20">
        <f>IF($Q1038="","",INDEX(상세표[블록 06~07시],$Q1038))</f>
        <v/>
      </c>
      <c r="L1038" s="20">
        <f>IF($Q1038="","",INDEX(상세표[블록 07~18시],$Q1038))</f>
        <v/>
      </c>
      <c r="M1038" s="20">
        <f>IF($Q1038="","",INDEX(상세표[블록 18~22시],$Q1038))</f>
        <v/>
      </c>
      <c r="N1038" s="20">
        <f>IF($Q1038="","",INDEX(상세표[블록 22~06시],$Q1038))</f>
        <v/>
      </c>
      <c r="O1038">
        <f>IF($Q1038="","",INDEX(상세표[주말·휴일 포함],$Q1038)&amp;"")</f>
        <v/>
      </c>
      <c r="P1038">
        <f>IF($Q1038="","",INDEX(상세표[월 넘김 포함],$Q1038)&amp;"")</f>
        <v/>
      </c>
      <c r="Q1038" s="4">
        <f>IFERROR(MATCH(1033,상세표[연속순번],0),"")</f>
        <v/>
      </c>
    </row>
    <row r="1039">
      <c r="A1039">
        <f>IF($Q1039="","",INDEX(상세표[부서],$Q1039)&amp;"")</f>
        <v/>
      </c>
      <c r="B1039">
        <f>IF($Q1039="","",INDEX(상세표[사번],$Q1039)&amp;"")</f>
        <v/>
      </c>
      <c r="C1039">
        <f>IF($Q1039="","",INDEX(상세표[성명],$Q1039)&amp;"")</f>
        <v/>
      </c>
      <c r="D1039">
        <f>IF($Q1039="","",INDEX(상세표[직위],$Q1039)&amp;"")</f>
        <v/>
      </c>
      <c r="E1039">
        <f>IF($Q1039="","",IF(ISNUMBER(INDEX(상세표[근무일자],$Q1039)),TEXT(INDEX(상세표[근무일자],$Q1039),"yyyy-mm-dd"),INDEX(상세표[근무일자],$Q1039)&amp;""))</f>
        <v/>
      </c>
      <c r="F1039">
        <f>IF($Q1039="","",IF(ISNUMBER(INDEX(상세표[시작],$Q1039)),TEXT(INDEX(상세표[시작],$Q1039),"yyyy-mm-dd hh:mm"),INDEX(상세표[시작],$Q1039)&amp;""))</f>
        <v/>
      </c>
      <c r="G1039">
        <f>IF($Q1039="","",IF(ISNUMBER(INDEX(상세표[블록종료],$Q1039)),TEXT(INDEX(상세표[블록종료],$Q1039),"yyyy-mm-dd hh:mm"),INDEX(상세표[블록종료],$Q1039)&amp;""))</f>
        <v/>
      </c>
      <c r="H1039">
        <f>IF($Q1039="","",CHOOSE(WEEKDAY(INDEX(상세표[시작],$Q1039)),"일","월","화","수","목","금","토"))</f>
        <v/>
      </c>
      <c r="I1039" s="20">
        <f>IF($Q1039="","",INDEX(상세표[연속 시간],$Q1039))</f>
        <v/>
      </c>
      <c r="J1039">
        <f>IF($Q1039="","",INDEX(상세표[기록 수],$Q1039))</f>
        <v/>
      </c>
      <c r="K1039" s="20">
        <f>IF($Q1039="","",INDEX(상세표[블록 06~07시],$Q1039))</f>
        <v/>
      </c>
      <c r="L1039" s="20">
        <f>IF($Q1039="","",INDEX(상세표[블록 07~18시],$Q1039))</f>
        <v/>
      </c>
      <c r="M1039" s="20">
        <f>IF($Q1039="","",INDEX(상세표[블록 18~22시],$Q1039))</f>
        <v/>
      </c>
      <c r="N1039" s="20">
        <f>IF($Q1039="","",INDEX(상세표[블록 22~06시],$Q1039))</f>
        <v/>
      </c>
      <c r="O1039">
        <f>IF($Q1039="","",INDEX(상세표[주말·휴일 포함],$Q1039)&amp;"")</f>
        <v/>
      </c>
      <c r="P1039">
        <f>IF($Q1039="","",INDEX(상세표[월 넘김 포함],$Q1039)&amp;"")</f>
        <v/>
      </c>
      <c r="Q1039" s="4">
        <f>IFERROR(MATCH(1034,상세표[연속순번],0),"")</f>
        <v/>
      </c>
    </row>
    <row r="1040">
      <c r="A1040">
        <f>IF($Q1040="","",INDEX(상세표[부서],$Q1040)&amp;"")</f>
        <v/>
      </c>
      <c r="B1040">
        <f>IF($Q1040="","",INDEX(상세표[사번],$Q1040)&amp;"")</f>
        <v/>
      </c>
      <c r="C1040">
        <f>IF($Q1040="","",INDEX(상세표[성명],$Q1040)&amp;"")</f>
        <v/>
      </c>
      <c r="D1040">
        <f>IF($Q1040="","",INDEX(상세표[직위],$Q1040)&amp;"")</f>
        <v/>
      </c>
      <c r="E1040">
        <f>IF($Q1040="","",IF(ISNUMBER(INDEX(상세표[근무일자],$Q1040)),TEXT(INDEX(상세표[근무일자],$Q1040),"yyyy-mm-dd"),INDEX(상세표[근무일자],$Q1040)&amp;""))</f>
        <v/>
      </c>
      <c r="F1040">
        <f>IF($Q1040="","",IF(ISNUMBER(INDEX(상세표[시작],$Q1040)),TEXT(INDEX(상세표[시작],$Q1040),"yyyy-mm-dd hh:mm"),INDEX(상세표[시작],$Q1040)&amp;""))</f>
        <v/>
      </c>
      <c r="G1040">
        <f>IF($Q1040="","",IF(ISNUMBER(INDEX(상세표[블록종료],$Q1040)),TEXT(INDEX(상세표[블록종료],$Q1040),"yyyy-mm-dd hh:mm"),INDEX(상세표[블록종료],$Q1040)&amp;""))</f>
        <v/>
      </c>
      <c r="H1040">
        <f>IF($Q1040="","",CHOOSE(WEEKDAY(INDEX(상세표[시작],$Q1040)),"일","월","화","수","목","금","토"))</f>
        <v/>
      </c>
      <c r="I1040" s="20">
        <f>IF($Q1040="","",INDEX(상세표[연속 시간],$Q1040))</f>
        <v/>
      </c>
      <c r="J1040">
        <f>IF($Q1040="","",INDEX(상세표[기록 수],$Q1040))</f>
        <v/>
      </c>
      <c r="K1040" s="20">
        <f>IF($Q1040="","",INDEX(상세표[블록 06~07시],$Q1040))</f>
        <v/>
      </c>
      <c r="L1040" s="20">
        <f>IF($Q1040="","",INDEX(상세표[블록 07~18시],$Q1040))</f>
        <v/>
      </c>
      <c r="M1040" s="20">
        <f>IF($Q1040="","",INDEX(상세표[블록 18~22시],$Q1040))</f>
        <v/>
      </c>
      <c r="N1040" s="20">
        <f>IF($Q1040="","",INDEX(상세표[블록 22~06시],$Q1040))</f>
        <v/>
      </c>
      <c r="O1040">
        <f>IF($Q1040="","",INDEX(상세표[주말·휴일 포함],$Q1040)&amp;"")</f>
        <v/>
      </c>
      <c r="P1040">
        <f>IF($Q1040="","",INDEX(상세표[월 넘김 포함],$Q1040)&amp;"")</f>
        <v/>
      </c>
      <c r="Q1040" s="4">
        <f>IFERROR(MATCH(1035,상세표[연속순번],0),"")</f>
        <v/>
      </c>
    </row>
    <row r="1041">
      <c r="A1041">
        <f>IF($Q1041="","",INDEX(상세표[부서],$Q1041)&amp;"")</f>
        <v/>
      </c>
      <c r="B1041">
        <f>IF($Q1041="","",INDEX(상세표[사번],$Q1041)&amp;"")</f>
        <v/>
      </c>
      <c r="C1041">
        <f>IF($Q1041="","",INDEX(상세표[성명],$Q1041)&amp;"")</f>
        <v/>
      </c>
      <c r="D1041">
        <f>IF($Q1041="","",INDEX(상세표[직위],$Q1041)&amp;"")</f>
        <v/>
      </c>
      <c r="E1041">
        <f>IF($Q1041="","",IF(ISNUMBER(INDEX(상세표[근무일자],$Q1041)),TEXT(INDEX(상세표[근무일자],$Q1041),"yyyy-mm-dd"),INDEX(상세표[근무일자],$Q1041)&amp;""))</f>
        <v/>
      </c>
      <c r="F1041">
        <f>IF($Q1041="","",IF(ISNUMBER(INDEX(상세표[시작],$Q1041)),TEXT(INDEX(상세표[시작],$Q1041),"yyyy-mm-dd hh:mm"),INDEX(상세표[시작],$Q1041)&amp;""))</f>
        <v/>
      </c>
      <c r="G1041">
        <f>IF($Q1041="","",IF(ISNUMBER(INDEX(상세표[블록종료],$Q1041)),TEXT(INDEX(상세표[블록종료],$Q1041),"yyyy-mm-dd hh:mm"),INDEX(상세표[블록종료],$Q1041)&amp;""))</f>
        <v/>
      </c>
      <c r="H1041">
        <f>IF($Q1041="","",CHOOSE(WEEKDAY(INDEX(상세표[시작],$Q1041)),"일","월","화","수","목","금","토"))</f>
        <v/>
      </c>
      <c r="I1041" s="20">
        <f>IF($Q1041="","",INDEX(상세표[연속 시간],$Q1041))</f>
        <v/>
      </c>
      <c r="J1041">
        <f>IF($Q1041="","",INDEX(상세표[기록 수],$Q1041))</f>
        <v/>
      </c>
      <c r="K1041" s="20">
        <f>IF($Q1041="","",INDEX(상세표[블록 06~07시],$Q1041))</f>
        <v/>
      </c>
      <c r="L1041" s="20">
        <f>IF($Q1041="","",INDEX(상세표[블록 07~18시],$Q1041))</f>
        <v/>
      </c>
      <c r="M1041" s="20">
        <f>IF($Q1041="","",INDEX(상세표[블록 18~22시],$Q1041))</f>
        <v/>
      </c>
      <c r="N1041" s="20">
        <f>IF($Q1041="","",INDEX(상세표[블록 22~06시],$Q1041))</f>
        <v/>
      </c>
      <c r="O1041">
        <f>IF($Q1041="","",INDEX(상세표[주말·휴일 포함],$Q1041)&amp;"")</f>
        <v/>
      </c>
      <c r="P1041">
        <f>IF($Q1041="","",INDEX(상세표[월 넘김 포함],$Q1041)&amp;"")</f>
        <v/>
      </c>
      <c r="Q1041" s="4">
        <f>IFERROR(MATCH(1036,상세표[연속순번],0),"")</f>
        <v/>
      </c>
    </row>
    <row r="1042">
      <c r="A1042">
        <f>IF($Q1042="","",INDEX(상세표[부서],$Q1042)&amp;"")</f>
        <v/>
      </c>
      <c r="B1042">
        <f>IF($Q1042="","",INDEX(상세표[사번],$Q1042)&amp;"")</f>
        <v/>
      </c>
      <c r="C1042">
        <f>IF($Q1042="","",INDEX(상세표[성명],$Q1042)&amp;"")</f>
        <v/>
      </c>
      <c r="D1042">
        <f>IF($Q1042="","",INDEX(상세표[직위],$Q1042)&amp;"")</f>
        <v/>
      </c>
      <c r="E1042">
        <f>IF($Q1042="","",IF(ISNUMBER(INDEX(상세표[근무일자],$Q1042)),TEXT(INDEX(상세표[근무일자],$Q1042),"yyyy-mm-dd"),INDEX(상세표[근무일자],$Q1042)&amp;""))</f>
        <v/>
      </c>
      <c r="F1042">
        <f>IF($Q1042="","",IF(ISNUMBER(INDEX(상세표[시작],$Q1042)),TEXT(INDEX(상세표[시작],$Q1042),"yyyy-mm-dd hh:mm"),INDEX(상세표[시작],$Q1042)&amp;""))</f>
        <v/>
      </c>
      <c r="G1042">
        <f>IF($Q1042="","",IF(ISNUMBER(INDEX(상세표[블록종료],$Q1042)),TEXT(INDEX(상세표[블록종료],$Q1042),"yyyy-mm-dd hh:mm"),INDEX(상세표[블록종료],$Q1042)&amp;""))</f>
        <v/>
      </c>
      <c r="H1042">
        <f>IF($Q1042="","",CHOOSE(WEEKDAY(INDEX(상세표[시작],$Q1042)),"일","월","화","수","목","금","토"))</f>
        <v/>
      </c>
      <c r="I1042" s="20">
        <f>IF($Q1042="","",INDEX(상세표[연속 시간],$Q1042))</f>
        <v/>
      </c>
      <c r="J1042">
        <f>IF($Q1042="","",INDEX(상세표[기록 수],$Q1042))</f>
        <v/>
      </c>
      <c r="K1042" s="20">
        <f>IF($Q1042="","",INDEX(상세표[블록 06~07시],$Q1042))</f>
        <v/>
      </c>
      <c r="L1042" s="20">
        <f>IF($Q1042="","",INDEX(상세표[블록 07~18시],$Q1042))</f>
        <v/>
      </c>
      <c r="M1042" s="20">
        <f>IF($Q1042="","",INDEX(상세표[블록 18~22시],$Q1042))</f>
        <v/>
      </c>
      <c r="N1042" s="20">
        <f>IF($Q1042="","",INDEX(상세표[블록 22~06시],$Q1042))</f>
        <v/>
      </c>
      <c r="O1042">
        <f>IF($Q1042="","",INDEX(상세표[주말·휴일 포함],$Q1042)&amp;"")</f>
        <v/>
      </c>
      <c r="P1042">
        <f>IF($Q1042="","",INDEX(상세표[월 넘김 포함],$Q1042)&amp;"")</f>
        <v/>
      </c>
      <c r="Q1042" s="4">
        <f>IFERROR(MATCH(1037,상세표[연속순번],0),"")</f>
        <v/>
      </c>
    </row>
    <row r="1043">
      <c r="A1043">
        <f>IF($Q1043="","",INDEX(상세표[부서],$Q1043)&amp;"")</f>
        <v/>
      </c>
      <c r="B1043">
        <f>IF($Q1043="","",INDEX(상세표[사번],$Q1043)&amp;"")</f>
        <v/>
      </c>
      <c r="C1043">
        <f>IF($Q1043="","",INDEX(상세표[성명],$Q1043)&amp;"")</f>
        <v/>
      </c>
      <c r="D1043">
        <f>IF($Q1043="","",INDEX(상세표[직위],$Q1043)&amp;"")</f>
        <v/>
      </c>
      <c r="E1043">
        <f>IF($Q1043="","",IF(ISNUMBER(INDEX(상세표[근무일자],$Q1043)),TEXT(INDEX(상세표[근무일자],$Q1043),"yyyy-mm-dd"),INDEX(상세표[근무일자],$Q1043)&amp;""))</f>
        <v/>
      </c>
      <c r="F1043">
        <f>IF($Q1043="","",IF(ISNUMBER(INDEX(상세표[시작],$Q1043)),TEXT(INDEX(상세표[시작],$Q1043),"yyyy-mm-dd hh:mm"),INDEX(상세표[시작],$Q1043)&amp;""))</f>
        <v/>
      </c>
      <c r="G1043">
        <f>IF($Q1043="","",IF(ISNUMBER(INDEX(상세표[블록종료],$Q1043)),TEXT(INDEX(상세표[블록종료],$Q1043),"yyyy-mm-dd hh:mm"),INDEX(상세표[블록종료],$Q1043)&amp;""))</f>
        <v/>
      </c>
      <c r="H1043">
        <f>IF($Q1043="","",CHOOSE(WEEKDAY(INDEX(상세표[시작],$Q1043)),"일","월","화","수","목","금","토"))</f>
        <v/>
      </c>
      <c r="I1043" s="20">
        <f>IF($Q1043="","",INDEX(상세표[연속 시간],$Q1043))</f>
        <v/>
      </c>
      <c r="J1043">
        <f>IF($Q1043="","",INDEX(상세표[기록 수],$Q1043))</f>
        <v/>
      </c>
      <c r="K1043" s="20">
        <f>IF($Q1043="","",INDEX(상세표[블록 06~07시],$Q1043))</f>
        <v/>
      </c>
      <c r="L1043" s="20">
        <f>IF($Q1043="","",INDEX(상세표[블록 07~18시],$Q1043))</f>
        <v/>
      </c>
      <c r="M1043" s="20">
        <f>IF($Q1043="","",INDEX(상세표[블록 18~22시],$Q1043))</f>
        <v/>
      </c>
      <c r="N1043" s="20">
        <f>IF($Q1043="","",INDEX(상세표[블록 22~06시],$Q1043))</f>
        <v/>
      </c>
      <c r="O1043">
        <f>IF($Q1043="","",INDEX(상세표[주말·휴일 포함],$Q1043)&amp;"")</f>
        <v/>
      </c>
      <c r="P1043">
        <f>IF($Q1043="","",INDEX(상세표[월 넘김 포함],$Q1043)&amp;"")</f>
        <v/>
      </c>
      <c r="Q1043" s="4">
        <f>IFERROR(MATCH(1038,상세표[연속순번],0),"")</f>
        <v/>
      </c>
    </row>
    <row r="1044">
      <c r="A1044">
        <f>IF($Q1044="","",INDEX(상세표[부서],$Q1044)&amp;"")</f>
        <v/>
      </c>
      <c r="B1044">
        <f>IF($Q1044="","",INDEX(상세표[사번],$Q1044)&amp;"")</f>
        <v/>
      </c>
      <c r="C1044">
        <f>IF($Q1044="","",INDEX(상세표[성명],$Q1044)&amp;"")</f>
        <v/>
      </c>
      <c r="D1044">
        <f>IF($Q1044="","",INDEX(상세표[직위],$Q1044)&amp;"")</f>
        <v/>
      </c>
      <c r="E1044">
        <f>IF($Q1044="","",IF(ISNUMBER(INDEX(상세표[근무일자],$Q1044)),TEXT(INDEX(상세표[근무일자],$Q1044),"yyyy-mm-dd"),INDEX(상세표[근무일자],$Q1044)&amp;""))</f>
        <v/>
      </c>
      <c r="F1044">
        <f>IF($Q1044="","",IF(ISNUMBER(INDEX(상세표[시작],$Q1044)),TEXT(INDEX(상세표[시작],$Q1044),"yyyy-mm-dd hh:mm"),INDEX(상세표[시작],$Q1044)&amp;""))</f>
        <v/>
      </c>
      <c r="G1044">
        <f>IF($Q1044="","",IF(ISNUMBER(INDEX(상세표[블록종료],$Q1044)),TEXT(INDEX(상세표[블록종료],$Q1044),"yyyy-mm-dd hh:mm"),INDEX(상세표[블록종료],$Q1044)&amp;""))</f>
        <v/>
      </c>
      <c r="H1044">
        <f>IF($Q1044="","",CHOOSE(WEEKDAY(INDEX(상세표[시작],$Q1044)),"일","월","화","수","목","금","토"))</f>
        <v/>
      </c>
      <c r="I1044" s="20">
        <f>IF($Q1044="","",INDEX(상세표[연속 시간],$Q1044))</f>
        <v/>
      </c>
      <c r="J1044">
        <f>IF($Q1044="","",INDEX(상세표[기록 수],$Q1044))</f>
        <v/>
      </c>
      <c r="K1044" s="20">
        <f>IF($Q1044="","",INDEX(상세표[블록 06~07시],$Q1044))</f>
        <v/>
      </c>
      <c r="L1044" s="20">
        <f>IF($Q1044="","",INDEX(상세표[블록 07~18시],$Q1044))</f>
        <v/>
      </c>
      <c r="M1044" s="20">
        <f>IF($Q1044="","",INDEX(상세표[블록 18~22시],$Q1044))</f>
        <v/>
      </c>
      <c r="N1044" s="20">
        <f>IF($Q1044="","",INDEX(상세표[블록 22~06시],$Q1044))</f>
        <v/>
      </c>
      <c r="O1044">
        <f>IF($Q1044="","",INDEX(상세표[주말·휴일 포함],$Q1044)&amp;"")</f>
        <v/>
      </c>
      <c r="P1044">
        <f>IF($Q1044="","",INDEX(상세표[월 넘김 포함],$Q1044)&amp;"")</f>
        <v/>
      </c>
      <c r="Q1044" s="4">
        <f>IFERROR(MATCH(1039,상세표[연속순번],0),"")</f>
        <v/>
      </c>
    </row>
    <row r="1045">
      <c r="A1045">
        <f>IF($Q1045="","",INDEX(상세표[부서],$Q1045)&amp;"")</f>
        <v/>
      </c>
      <c r="B1045">
        <f>IF($Q1045="","",INDEX(상세표[사번],$Q1045)&amp;"")</f>
        <v/>
      </c>
      <c r="C1045">
        <f>IF($Q1045="","",INDEX(상세표[성명],$Q1045)&amp;"")</f>
        <v/>
      </c>
      <c r="D1045">
        <f>IF($Q1045="","",INDEX(상세표[직위],$Q1045)&amp;"")</f>
        <v/>
      </c>
      <c r="E1045">
        <f>IF($Q1045="","",IF(ISNUMBER(INDEX(상세표[근무일자],$Q1045)),TEXT(INDEX(상세표[근무일자],$Q1045),"yyyy-mm-dd"),INDEX(상세표[근무일자],$Q1045)&amp;""))</f>
        <v/>
      </c>
      <c r="F1045">
        <f>IF($Q1045="","",IF(ISNUMBER(INDEX(상세표[시작],$Q1045)),TEXT(INDEX(상세표[시작],$Q1045),"yyyy-mm-dd hh:mm"),INDEX(상세표[시작],$Q1045)&amp;""))</f>
        <v/>
      </c>
      <c r="G1045">
        <f>IF($Q1045="","",IF(ISNUMBER(INDEX(상세표[블록종료],$Q1045)),TEXT(INDEX(상세표[블록종료],$Q1045),"yyyy-mm-dd hh:mm"),INDEX(상세표[블록종료],$Q1045)&amp;""))</f>
        <v/>
      </c>
      <c r="H1045">
        <f>IF($Q1045="","",CHOOSE(WEEKDAY(INDEX(상세표[시작],$Q1045)),"일","월","화","수","목","금","토"))</f>
        <v/>
      </c>
      <c r="I1045" s="20">
        <f>IF($Q1045="","",INDEX(상세표[연속 시간],$Q1045))</f>
        <v/>
      </c>
      <c r="J1045">
        <f>IF($Q1045="","",INDEX(상세표[기록 수],$Q1045))</f>
        <v/>
      </c>
      <c r="K1045" s="20">
        <f>IF($Q1045="","",INDEX(상세표[블록 06~07시],$Q1045))</f>
        <v/>
      </c>
      <c r="L1045" s="20">
        <f>IF($Q1045="","",INDEX(상세표[블록 07~18시],$Q1045))</f>
        <v/>
      </c>
      <c r="M1045" s="20">
        <f>IF($Q1045="","",INDEX(상세표[블록 18~22시],$Q1045))</f>
        <v/>
      </c>
      <c r="N1045" s="20">
        <f>IF($Q1045="","",INDEX(상세표[블록 22~06시],$Q1045))</f>
        <v/>
      </c>
      <c r="O1045">
        <f>IF($Q1045="","",INDEX(상세표[주말·휴일 포함],$Q1045)&amp;"")</f>
        <v/>
      </c>
      <c r="P1045">
        <f>IF($Q1045="","",INDEX(상세표[월 넘김 포함],$Q1045)&amp;"")</f>
        <v/>
      </c>
      <c r="Q1045" s="4">
        <f>IFERROR(MATCH(1040,상세표[연속순번],0),"")</f>
        <v/>
      </c>
    </row>
    <row r="1046">
      <c r="A1046">
        <f>IF($Q1046="","",INDEX(상세표[부서],$Q1046)&amp;"")</f>
        <v/>
      </c>
      <c r="B1046">
        <f>IF($Q1046="","",INDEX(상세표[사번],$Q1046)&amp;"")</f>
        <v/>
      </c>
      <c r="C1046">
        <f>IF($Q1046="","",INDEX(상세표[성명],$Q1046)&amp;"")</f>
        <v/>
      </c>
      <c r="D1046">
        <f>IF($Q1046="","",INDEX(상세표[직위],$Q1046)&amp;"")</f>
        <v/>
      </c>
      <c r="E1046">
        <f>IF($Q1046="","",IF(ISNUMBER(INDEX(상세표[근무일자],$Q1046)),TEXT(INDEX(상세표[근무일자],$Q1046),"yyyy-mm-dd"),INDEX(상세표[근무일자],$Q1046)&amp;""))</f>
        <v/>
      </c>
      <c r="F1046">
        <f>IF($Q1046="","",IF(ISNUMBER(INDEX(상세표[시작],$Q1046)),TEXT(INDEX(상세표[시작],$Q1046),"yyyy-mm-dd hh:mm"),INDEX(상세표[시작],$Q1046)&amp;""))</f>
        <v/>
      </c>
      <c r="G1046">
        <f>IF($Q1046="","",IF(ISNUMBER(INDEX(상세표[블록종료],$Q1046)),TEXT(INDEX(상세표[블록종료],$Q1046),"yyyy-mm-dd hh:mm"),INDEX(상세표[블록종료],$Q1046)&amp;""))</f>
        <v/>
      </c>
      <c r="H1046">
        <f>IF($Q1046="","",CHOOSE(WEEKDAY(INDEX(상세표[시작],$Q1046)),"일","월","화","수","목","금","토"))</f>
        <v/>
      </c>
      <c r="I1046" s="20">
        <f>IF($Q1046="","",INDEX(상세표[연속 시간],$Q1046))</f>
        <v/>
      </c>
      <c r="J1046">
        <f>IF($Q1046="","",INDEX(상세표[기록 수],$Q1046))</f>
        <v/>
      </c>
      <c r="K1046" s="20">
        <f>IF($Q1046="","",INDEX(상세표[블록 06~07시],$Q1046))</f>
        <v/>
      </c>
      <c r="L1046" s="20">
        <f>IF($Q1046="","",INDEX(상세표[블록 07~18시],$Q1046))</f>
        <v/>
      </c>
      <c r="M1046" s="20">
        <f>IF($Q1046="","",INDEX(상세표[블록 18~22시],$Q1046))</f>
        <v/>
      </c>
      <c r="N1046" s="20">
        <f>IF($Q1046="","",INDEX(상세표[블록 22~06시],$Q1046))</f>
        <v/>
      </c>
      <c r="O1046">
        <f>IF($Q1046="","",INDEX(상세표[주말·휴일 포함],$Q1046)&amp;"")</f>
        <v/>
      </c>
      <c r="P1046">
        <f>IF($Q1046="","",INDEX(상세표[월 넘김 포함],$Q1046)&amp;"")</f>
        <v/>
      </c>
      <c r="Q1046" s="4">
        <f>IFERROR(MATCH(1041,상세표[연속순번],0),"")</f>
        <v/>
      </c>
    </row>
    <row r="1047">
      <c r="A1047">
        <f>IF($Q1047="","",INDEX(상세표[부서],$Q1047)&amp;"")</f>
        <v/>
      </c>
      <c r="B1047">
        <f>IF($Q1047="","",INDEX(상세표[사번],$Q1047)&amp;"")</f>
        <v/>
      </c>
      <c r="C1047">
        <f>IF($Q1047="","",INDEX(상세표[성명],$Q1047)&amp;"")</f>
        <v/>
      </c>
      <c r="D1047">
        <f>IF($Q1047="","",INDEX(상세표[직위],$Q1047)&amp;"")</f>
        <v/>
      </c>
      <c r="E1047">
        <f>IF($Q1047="","",IF(ISNUMBER(INDEX(상세표[근무일자],$Q1047)),TEXT(INDEX(상세표[근무일자],$Q1047),"yyyy-mm-dd"),INDEX(상세표[근무일자],$Q1047)&amp;""))</f>
        <v/>
      </c>
      <c r="F1047">
        <f>IF($Q1047="","",IF(ISNUMBER(INDEX(상세표[시작],$Q1047)),TEXT(INDEX(상세표[시작],$Q1047),"yyyy-mm-dd hh:mm"),INDEX(상세표[시작],$Q1047)&amp;""))</f>
        <v/>
      </c>
      <c r="G1047">
        <f>IF($Q1047="","",IF(ISNUMBER(INDEX(상세표[블록종료],$Q1047)),TEXT(INDEX(상세표[블록종료],$Q1047),"yyyy-mm-dd hh:mm"),INDEX(상세표[블록종료],$Q1047)&amp;""))</f>
        <v/>
      </c>
      <c r="H1047">
        <f>IF($Q1047="","",CHOOSE(WEEKDAY(INDEX(상세표[시작],$Q1047)),"일","월","화","수","목","금","토"))</f>
        <v/>
      </c>
      <c r="I1047" s="20">
        <f>IF($Q1047="","",INDEX(상세표[연속 시간],$Q1047))</f>
        <v/>
      </c>
      <c r="J1047">
        <f>IF($Q1047="","",INDEX(상세표[기록 수],$Q1047))</f>
        <v/>
      </c>
      <c r="K1047" s="20">
        <f>IF($Q1047="","",INDEX(상세표[블록 06~07시],$Q1047))</f>
        <v/>
      </c>
      <c r="L1047" s="20">
        <f>IF($Q1047="","",INDEX(상세표[블록 07~18시],$Q1047))</f>
        <v/>
      </c>
      <c r="M1047" s="20">
        <f>IF($Q1047="","",INDEX(상세표[블록 18~22시],$Q1047))</f>
        <v/>
      </c>
      <c r="N1047" s="20">
        <f>IF($Q1047="","",INDEX(상세표[블록 22~06시],$Q1047))</f>
        <v/>
      </c>
      <c r="O1047">
        <f>IF($Q1047="","",INDEX(상세표[주말·휴일 포함],$Q1047)&amp;"")</f>
        <v/>
      </c>
      <c r="P1047">
        <f>IF($Q1047="","",INDEX(상세표[월 넘김 포함],$Q1047)&amp;"")</f>
        <v/>
      </c>
      <c r="Q1047" s="4">
        <f>IFERROR(MATCH(1042,상세표[연속순번],0),"")</f>
        <v/>
      </c>
    </row>
    <row r="1048">
      <c r="A1048">
        <f>IF($Q1048="","",INDEX(상세표[부서],$Q1048)&amp;"")</f>
        <v/>
      </c>
      <c r="B1048">
        <f>IF($Q1048="","",INDEX(상세표[사번],$Q1048)&amp;"")</f>
        <v/>
      </c>
      <c r="C1048">
        <f>IF($Q1048="","",INDEX(상세표[성명],$Q1048)&amp;"")</f>
        <v/>
      </c>
      <c r="D1048">
        <f>IF($Q1048="","",INDEX(상세표[직위],$Q1048)&amp;"")</f>
        <v/>
      </c>
      <c r="E1048">
        <f>IF($Q1048="","",IF(ISNUMBER(INDEX(상세표[근무일자],$Q1048)),TEXT(INDEX(상세표[근무일자],$Q1048),"yyyy-mm-dd"),INDEX(상세표[근무일자],$Q1048)&amp;""))</f>
        <v/>
      </c>
      <c r="F1048">
        <f>IF($Q1048="","",IF(ISNUMBER(INDEX(상세표[시작],$Q1048)),TEXT(INDEX(상세표[시작],$Q1048),"yyyy-mm-dd hh:mm"),INDEX(상세표[시작],$Q1048)&amp;""))</f>
        <v/>
      </c>
      <c r="G1048">
        <f>IF($Q1048="","",IF(ISNUMBER(INDEX(상세표[블록종료],$Q1048)),TEXT(INDEX(상세표[블록종료],$Q1048),"yyyy-mm-dd hh:mm"),INDEX(상세표[블록종료],$Q1048)&amp;""))</f>
        <v/>
      </c>
      <c r="H1048">
        <f>IF($Q1048="","",CHOOSE(WEEKDAY(INDEX(상세표[시작],$Q1048)),"일","월","화","수","목","금","토"))</f>
        <v/>
      </c>
      <c r="I1048" s="20">
        <f>IF($Q1048="","",INDEX(상세표[연속 시간],$Q1048))</f>
        <v/>
      </c>
      <c r="J1048">
        <f>IF($Q1048="","",INDEX(상세표[기록 수],$Q1048))</f>
        <v/>
      </c>
      <c r="K1048" s="20">
        <f>IF($Q1048="","",INDEX(상세표[블록 06~07시],$Q1048))</f>
        <v/>
      </c>
      <c r="L1048" s="20">
        <f>IF($Q1048="","",INDEX(상세표[블록 07~18시],$Q1048))</f>
        <v/>
      </c>
      <c r="M1048" s="20">
        <f>IF($Q1048="","",INDEX(상세표[블록 18~22시],$Q1048))</f>
        <v/>
      </c>
      <c r="N1048" s="20">
        <f>IF($Q1048="","",INDEX(상세표[블록 22~06시],$Q1048))</f>
        <v/>
      </c>
      <c r="O1048">
        <f>IF($Q1048="","",INDEX(상세표[주말·휴일 포함],$Q1048)&amp;"")</f>
        <v/>
      </c>
      <c r="P1048">
        <f>IF($Q1048="","",INDEX(상세표[월 넘김 포함],$Q1048)&amp;"")</f>
        <v/>
      </c>
      <c r="Q1048" s="4">
        <f>IFERROR(MATCH(1043,상세표[연속순번],0),"")</f>
        <v/>
      </c>
    </row>
    <row r="1049">
      <c r="A1049">
        <f>IF($Q1049="","",INDEX(상세표[부서],$Q1049)&amp;"")</f>
        <v/>
      </c>
      <c r="B1049">
        <f>IF($Q1049="","",INDEX(상세표[사번],$Q1049)&amp;"")</f>
        <v/>
      </c>
      <c r="C1049">
        <f>IF($Q1049="","",INDEX(상세표[성명],$Q1049)&amp;"")</f>
        <v/>
      </c>
      <c r="D1049">
        <f>IF($Q1049="","",INDEX(상세표[직위],$Q1049)&amp;"")</f>
        <v/>
      </c>
      <c r="E1049">
        <f>IF($Q1049="","",IF(ISNUMBER(INDEX(상세표[근무일자],$Q1049)),TEXT(INDEX(상세표[근무일자],$Q1049),"yyyy-mm-dd"),INDEX(상세표[근무일자],$Q1049)&amp;""))</f>
        <v/>
      </c>
      <c r="F1049">
        <f>IF($Q1049="","",IF(ISNUMBER(INDEX(상세표[시작],$Q1049)),TEXT(INDEX(상세표[시작],$Q1049),"yyyy-mm-dd hh:mm"),INDEX(상세표[시작],$Q1049)&amp;""))</f>
        <v/>
      </c>
      <c r="G1049">
        <f>IF($Q1049="","",IF(ISNUMBER(INDEX(상세표[블록종료],$Q1049)),TEXT(INDEX(상세표[블록종료],$Q1049),"yyyy-mm-dd hh:mm"),INDEX(상세표[블록종료],$Q1049)&amp;""))</f>
        <v/>
      </c>
      <c r="H1049">
        <f>IF($Q1049="","",CHOOSE(WEEKDAY(INDEX(상세표[시작],$Q1049)),"일","월","화","수","목","금","토"))</f>
        <v/>
      </c>
      <c r="I1049" s="20">
        <f>IF($Q1049="","",INDEX(상세표[연속 시간],$Q1049))</f>
        <v/>
      </c>
      <c r="J1049">
        <f>IF($Q1049="","",INDEX(상세표[기록 수],$Q1049))</f>
        <v/>
      </c>
      <c r="K1049" s="20">
        <f>IF($Q1049="","",INDEX(상세표[블록 06~07시],$Q1049))</f>
        <v/>
      </c>
      <c r="L1049" s="20">
        <f>IF($Q1049="","",INDEX(상세표[블록 07~18시],$Q1049))</f>
        <v/>
      </c>
      <c r="M1049" s="20">
        <f>IF($Q1049="","",INDEX(상세표[블록 18~22시],$Q1049))</f>
        <v/>
      </c>
      <c r="N1049" s="20">
        <f>IF($Q1049="","",INDEX(상세표[블록 22~06시],$Q1049))</f>
        <v/>
      </c>
      <c r="O1049">
        <f>IF($Q1049="","",INDEX(상세표[주말·휴일 포함],$Q1049)&amp;"")</f>
        <v/>
      </c>
      <c r="P1049">
        <f>IF($Q1049="","",INDEX(상세표[월 넘김 포함],$Q1049)&amp;"")</f>
        <v/>
      </c>
      <c r="Q1049" s="4">
        <f>IFERROR(MATCH(1044,상세표[연속순번],0),"")</f>
        <v/>
      </c>
    </row>
    <row r="1050">
      <c r="A1050">
        <f>IF($Q1050="","",INDEX(상세표[부서],$Q1050)&amp;"")</f>
        <v/>
      </c>
      <c r="B1050">
        <f>IF($Q1050="","",INDEX(상세표[사번],$Q1050)&amp;"")</f>
        <v/>
      </c>
      <c r="C1050">
        <f>IF($Q1050="","",INDEX(상세표[성명],$Q1050)&amp;"")</f>
        <v/>
      </c>
      <c r="D1050">
        <f>IF($Q1050="","",INDEX(상세표[직위],$Q1050)&amp;"")</f>
        <v/>
      </c>
      <c r="E1050">
        <f>IF($Q1050="","",IF(ISNUMBER(INDEX(상세표[근무일자],$Q1050)),TEXT(INDEX(상세표[근무일자],$Q1050),"yyyy-mm-dd"),INDEX(상세표[근무일자],$Q1050)&amp;""))</f>
        <v/>
      </c>
      <c r="F1050">
        <f>IF($Q1050="","",IF(ISNUMBER(INDEX(상세표[시작],$Q1050)),TEXT(INDEX(상세표[시작],$Q1050),"yyyy-mm-dd hh:mm"),INDEX(상세표[시작],$Q1050)&amp;""))</f>
        <v/>
      </c>
      <c r="G1050">
        <f>IF($Q1050="","",IF(ISNUMBER(INDEX(상세표[블록종료],$Q1050)),TEXT(INDEX(상세표[블록종료],$Q1050),"yyyy-mm-dd hh:mm"),INDEX(상세표[블록종료],$Q1050)&amp;""))</f>
        <v/>
      </c>
      <c r="H1050">
        <f>IF($Q1050="","",CHOOSE(WEEKDAY(INDEX(상세표[시작],$Q1050)),"일","월","화","수","목","금","토"))</f>
        <v/>
      </c>
      <c r="I1050" s="20">
        <f>IF($Q1050="","",INDEX(상세표[연속 시간],$Q1050))</f>
        <v/>
      </c>
      <c r="J1050">
        <f>IF($Q1050="","",INDEX(상세표[기록 수],$Q1050))</f>
        <v/>
      </c>
      <c r="K1050" s="20">
        <f>IF($Q1050="","",INDEX(상세표[블록 06~07시],$Q1050))</f>
        <v/>
      </c>
      <c r="L1050" s="20">
        <f>IF($Q1050="","",INDEX(상세표[블록 07~18시],$Q1050))</f>
        <v/>
      </c>
      <c r="M1050" s="20">
        <f>IF($Q1050="","",INDEX(상세표[블록 18~22시],$Q1050))</f>
        <v/>
      </c>
      <c r="N1050" s="20">
        <f>IF($Q1050="","",INDEX(상세표[블록 22~06시],$Q1050))</f>
        <v/>
      </c>
      <c r="O1050">
        <f>IF($Q1050="","",INDEX(상세표[주말·휴일 포함],$Q1050)&amp;"")</f>
        <v/>
      </c>
      <c r="P1050">
        <f>IF($Q1050="","",INDEX(상세표[월 넘김 포함],$Q1050)&amp;"")</f>
        <v/>
      </c>
      <c r="Q1050" s="4">
        <f>IFERROR(MATCH(1045,상세표[연속순번],0),"")</f>
        <v/>
      </c>
    </row>
    <row r="1051">
      <c r="A1051">
        <f>IF($Q1051="","",INDEX(상세표[부서],$Q1051)&amp;"")</f>
        <v/>
      </c>
      <c r="B1051">
        <f>IF($Q1051="","",INDEX(상세표[사번],$Q1051)&amp;"")</f>
        <v/>
      </c>
      <c r="C1051">
        <f>IF($Q1051="","",INDEX(상세표[성명],$Q1051)&amp;"")</f>
        <v/>
      </c>
      <c r="D1051">
        <f>IF($Q1051="","",INDEX(상세표[직위],$Q1051)&amp;"")</f>
        <v/>
      </c>
      <c r="E1051">
        <f>IF($Q1051="","",IF(ISNUMBER(INDEX(상세표[근무일자],$Q1051)),TEXT(INDEX(상세표[근무일자],$Q1051),"yyyy-mm-dd"),INDEX(상세표[근무일자],$Q1051)&amp;""))</f>
        <v/>
      </c>
      <c r="F1051">
        <f>IF($Q1051="","",IF(ISNUMBER(INDEX(상세표[시작],$Q1051)),TEXT(INDEX(상세표[시작],$Q1051),"yyyy-mm-dd hh:mm"),INDEX(상세표[시작],$Q1051)&amp;""))</f>
        <v/>
      </c>
      <c r="G1051">
        <f>IF($Q1051="","",IF(ISNUMBER(INDEX(상세표[블록종료],$Q1051)),TEXT(INDEX(상세표[블록종료],$Q1051),"yyyy-mm-dd hh:mm"),INDEX(상세표[블록종료],$Q1051)&amp;""))</f>
        <v/>
      </c>
      <c r="H1051">
        <f>IF($Q1051="","",CHOOSE(WEEKDAY(INDEX(상세표[시작],$Q1051)),"일","월","화","수","목","금","토"))</f>
        <v/>
      </c>
      <c r="I1051" s="20">
        <f>IF($Q1051="","",INDEX(상세표[연속 시간],$Q1051))</f>
        <v/>
      </c>
      <c r="J1051">
        <f>IF($Q1051="","",INDEX(상세표[기록 수],$Q1051))</f>
        <v/>
      </c>
      <c r="K1051" s="20">
        <f>IF($Q1051="","",INDEX(상세표[블록 06~07시],$Q1051))</f>
        <v/>
      </c>
      <c r="L1051" s="20">
        <f>IF($Q1051="","",INDEX(상세표[블록 07~18시],$Q1051))</f>
        <v/>
      </c>
      <c r="M1051" s="20">
        <f>IF($Q1051="","",INDEX(상세표[블록 18~22시],$Q1051))</f>
        <v/>
      </c>
      <c r="N1051" s="20">
        <f>IF($Q1051="","",INDEX(상세표[블록 22~06시],$Q1051))</f>
        <v/>
      </c>
      <c r="O1051">
        <f>IF($Q1051="","",INDEX(상세표[주말·휴일 포함],$Q1051)&amp;"")</f>
        <v/>
      </c>
      <c r="P1051">
        <f>IF($Q1051="","",INDEX(상세표[월 넘김 포함],$Q1051)&amp;"")</f>
        <v/>
      </c>
      <c r="Q1051" s="4">
        <f>IFERROR(MATCH(1046,상세표[연속순번],0),"")</f>
        <v/>
      </c>
    </row>
    <row r="1052">
      <c r="A1052">
        <f>IF($Q1052="","",INDEX(상세표[부서],$Q1052)&amp;"")</f>
        <v/>
      </c>
      <c r="B1052">
        <f>IF($Q1052="","",INDEX(상세표[사번],$Q1052)&amp;"")</f>
        <v/>
      </c>
      <c r="C1052">
        <f>IF($Q1052="","",INDEX(상세표[성명],$Q1052)&amp;"")</f>
        <v/>
      </c>
      <c r="D1052">
        <f>IF($Q1052="","",INDEX(상세표[직위],$Q1052)&amp;"")</f>
        <v/>
      </c>
      <c r="E1052">
        <f>IF($Q1052="","",IF(ISNUMBER(INDEX(상세표[근무일자],$Q1052)),TEXT(INDEX(상세표[근무일자],$Q1052),"yyyy-mm-dd"),INDEX(상세표[근무일자],$Q1052)&amp;""))</f>
        <v/>
      </c>
      <c r="F1052">
        <f>IF($Q1052="","",IF(ISNUMBER(INDEX(상세표[시작],$Q1052)),TEXT(INDEX(상세표[시작],$Q1052),"yyyy-mm-dd hh:mm"),INDEX(상세표[시작],$Q1052)&amp;""))</f>
        <v/>
      </c>
      <c r="G1052">
        <f>IF($Q1052="","",IF(ISNUMBER(INDEX(상세표[블록종료],$Q1052)),TEXT(INDEX(상세표[블록종료],$Q1052),"yyyy-mm-dd hh:mm"),INDEX(상세표[블록종료],$Q1052)&amp;""))</f>
        <v/>
      </c>
      <c r="H1052">
        <f>IF($Q1052="","",CHOOSE(WEEKDAY(INDEX(상세표[시작],$Q1052)),"일","월","화","수","목","금","토"))</f>
        <v/>
      </c>
      <c r="I1052" s="20">
        <f>IF($Q1052="","",INDEX(상세표[연속 시간],$Q1052))</f>
        <v/>
      </c>
      <c r="J1052">
        <f>IF($Q1052="","",INDEX(상세표[기록 수],$Q1052))</f>
        <v/>
      </c>
      <c r="K1052" s="20">
        <f>IF($Q1052="","",INDEX(상세표[블록 06~07시],$Q1052))</f>
        <v/>
      </c>
      <c r="L1052" s="20">
        <f>IF($Q1052="","",INDEX(상세표[블록 07~18시],$Q1052))</f>
        <v/>
      </c>
      <c r="M1052" s="20">
        <f>IF($Q1052="","",INDEX(상세표[블록 18~22시],$Q1052))</f>
        <v/>
      </c>
      <c r="N1052" s="20">
        <f>IF($Q1052="","",INDEX(상세표[블록 22~06시],$Q1052))</f>
        <v/>
      </c>
      <c r="O1052">
        <f>IF($Q1052="","",INDEX(상세표[주말·휴일 포함],$Q1052)&amp;"")</f>
        <v/>
      </c>
      <c r="P1052">
        <f>IF($Q1052="","",INDEX(상세표[월 넘김 포함],$Q1052)&amp;"")</f>
        <v/>
      </c>
      <c r="Q1052" s="4">
        <f>IFERROR(MATCH(1047,상세표[연속순번],0),"")</f>
        <v/>
      </c>
    </row>
    <row r="1053">
      <c r="A1053">
        <f>IF($Q1053="","",INDEX(상세표[부서],$Q1053)&amp;"")</f>
        <v/>
      </c>
      <c r="B1053">
        <f>IF($Q1053="","",INDEX(상세표[사번],$Q1053)&amp;"")</f>
        <v/>
      </c>
      <c r="C1053">
        <f>IF($Q1053="","",INDEX(상세표[성명],$Q1053)&amp;"")</f>
        <v/>
      </c>
      <c r="D1053">
        <f>IF($Q1053="","",INDEX(상세표[직위],$Q1053)&amp;"")</f>
        <v/>
      </c>
      <c r="E1053">
        <f>IF($Q1053="","",IF(ISNUMBER(INDEX(상세표[근무일자],$Q1053)),TEXT(INDEX(상세표[근무일자],$Q1053),"yyyy-mm-dd"),INDEX(상세표[근무일자],$Q1053)&amp;""))</f>
        <v/>
      </c>
      <c r="F1053">
        <f>IF($Q1053="","",IF(ISNUMBER(INDEX(상세표[시작],$Q1053)),TEXT(INDEX(상세표[시작],$Q1053),"yyyy-mm-dd hh:mm"),INDEX(상세표[시작],$Q1053)&amp;""))</f>
        <v/>
      </c>
      <c r="G1053">
        <f>IF($Q1053="","",IF(ISNUMBER(INDEX(상세표[블록종료],$Q1053)),TEXT(INDEX(상세표[블록종료],$Q1053),"yyyy-mm-dd hh:mm"),INDEX(상세표[블록종료],$Q1053)&amp;""))</f>
        <v/>
      </c>
      <c r="H1053">
        <f>IF($Q1053="","",CHOOSE(WEEKDAY(INDEX(상세표[시작],$Q1053)),"일","월","화","수","목","금","토"))</f>
        <v/>
      </c>
      <c r="I1053" s="20">
        <f>IF($Q1053="","",INDEX(상세표[연속 시간],$Q1053))</f>
        <v/>
      </c>
      <c r="J1053">
        <f>IF($Q1053="","",INDEX(상세표[기록 수],$Q1053))</f>
        <v/>
      </c>
      <c r="K1053" s="20">
        <f>IF($Q1053="","",INDEX(상세표[블록 06~07시],$Q1053))</f>
        <v/>
      </c>
      <c r="L1053" s="20">
        <f>IF($Q1053="","",INDEX(상세표[블록 07~18시],$Q1053))</f>
        <v/>
      </c>
      <c r="M1053" s="20">
        <f>IF($Q1053="","",INDEX(상세표[블록 18~22시],$Q1053))</f>
        <v/>
      </c>
      <c r="N1053" s="20">
        <f>IF($Q1053="","",INDEX(상세표[블록 22~06시],$Q1053))</f>
        <v/>
      </c>
      <c r="O1053">
        <f>IF($Q1053="","",INDEX(상세표[주말·휴일 포함],$Q1053)&amp;"")</f>
        <v/>
      </c>
      <c r="P1053">
        <f>IF($Q1053="","",INDEX(상세표[월 넘김 포함],$Q1053)&amp;"")</f>
        <v/>
      </c>
      <c r="Q1053" s="4">
        <f>IFERROR(MATCH(1048,상세표[연속순번],0),"")</f>
        <v/>
      </c>
    </row>
    <row r="1054">
      <c r="A1054">
        <f>IF($Q1054="","",INDEX(상세표[부서],$Q1054)&amp;"")</f>
        <v/>
      </c>
      <c r="B1054">
        <f>IF($Q1054="","",INDEX(상세표[사번],$Q1054)&amp;"")</f>
        <v/>
      </c>
      <c r="C1054">
        <f>IF($Q1054="","",INDEX(상세표[성명],$Q1054)&amp;"")</f>
        <v/>
      </c>
      <c r="D1054">
        <f>IF($Q1054="","",INDEX(상세표[직위],$Q1054)&amp;"")</f>
        <v/>
      </c>
      <c r="E1054">
        <f>IF($Q1054="","",IF(ISNUMBER(INDEX(상세표[근무일자],$Q1054)),TEXT(INDEX(상세표[근무일자],$Q1054),"yyyy-mm-dd"),INDEX(상세표[근무일자],$Q1054)&amp;""))</f>
        <v/>
      </c>
      <c r="F1054">
        <f>IF($Q1054="","",IF(ISNUMBER(INDEX(상세표[시작],$Q1054)),TEXT(INDEX(상세표[시작],$Q1054),"yyyy-mm-dd hh:mm"),INDEX(상세표[시작],$Q1054)&amp;""))</f>
        <v/>
      </c>
      <c r="G1054">
        <f>IF($Q1054="","",IF(ISNUMBER(INDEX(상세표[블록종료],$Q1054)),TEXT(INDEX(상세표[블록종료],$Q1054),"yyyy-mm-dd hh:mm"),INDEX(상세표[블록종료],$Q1054)&amp;""))</f>
        <v/>
      </c>
      <c r="H1054">
        <f>IF($Q1054="","",CHOOSE(WEEKDAY(INDEX(상세표[시작],$Q1054)),"일","월","화","수","목","금","토"))</f>
        <v/>
      </c>
      <c r="I1054" s="20">
        <f>IF($Q1054="","",INDEX(상세표[연속 시간],$Q1054))</f>
        <v/>
      </c>
      <c r="J1054">
        <f>IF($Q1054="","",INDEX(상세표[기록 수],$Q1054))</f>
        <v/>
      </c>
      <c r="K1054" s="20">
        <f>IF($Q1054="","",INDEX(상세표[블록 06~07시],$Q1054))</f>
        <v/>
      </c>
      <c r="L1054" s="20">
        <f>IF($Q1054="","",INDEX(상세표[블록 07~18시],$Q1054))</f>
        <v/>
      </c>
      <c r="M1054" s="20">
        <f>IF($Q1054="","",INDEX(상세표[블록 18~22시],$Q1054))</f>
        <v/>
      </c>
      <c r="N1054" s="20">
        <f>IF($Q1054="","",INDEX(상세표[블록 22~06시],$Q1054))</f>
        <v/>
      </c>
      <c r="O1054">
        <f>IF($Q1054="","",INDEX(상세표[주말·휴일 포함],$Q1054)&amp;"")</f>
        <v/>
      </c>
      <c r="P1054">
        <f>IF($Q1054="","",INDEX(상세표[월 넘김 포함],$Q1054)&amp;"")</f>
        <v/>
      </c>
      <c r="Q1054" s="4">
        <f>IFERROR(MATCH(1049,상세표[연속순번],0),"")</f>
        <v/>
      </c>
    </row>
    <row r="1055">
      <c r="A1055">
        <f>IF($Q1055="","",INDEX(상세표[부서],$Q1055)&amp;"")</f>
        <v/>
      </c>
      <c r="B1055">
        <f>IF($Q1055="","",INDEX(상세표[사번],$Q1055)&amp;"")</f>
        <v/>
      </c>
      <c r="C1055">
        <f>IF($Q1055="","",INDEX(상세표[성명],$Q1055)&amp;"")</f>
        <v/>
      </c>
      <c r="D1055">
        <f>IF($Q1055="","",INDEX(상세표[직위],$Q1055)&amp;"")</f>
        <v/>
      </c>
      <c r="E1055">
        <f>IF($Q1055="","",IF(ISNUMBER(INDEX(상세표[근무일자],$Q1055)),TEXT(INDEX(상세표[근무일자],$Q1055),"yyyy-mm-dd"),INDEX(상세표[근무일자],$Q1055)&amp;""))</f>
        <v/>
      </c>
      <c r="F1055">
        <f>IF($Q1055="","",IF(ISNUMBER(INDEX(상세표[시작],$Q1055)),TEXT(INDEX(상세표[시작],$Q1055),"yyyy-mm-dd hh:mm"),INDEX(상세표[시작],$Q1055)&amp;""))</f>
        <v/>
      </c>
      <c r="G1055">
        <f>IF($Q1055="","",IF(ISNUMBER(INDEX(상세표[블록종료],$Q1055)),TEXT(INDEX(상세표[블록종료],$Q1055),"yyyy-mm-dd hh:mm"),INDEX(상세표[블록종료],$Q1055)&amp;""))</f>
        <v/>
      </c>
      <c r="H1055">
        <f>IF($Q1055="","",CHOOSE(WEEKDAY(INDEX(상세표[시작],$Q1055)),"일","월","화","수","목","금","토"))</f>
        <v/>
      </c>
      <c r="I1055" s="20">
        <f>IF($Q1055="","",INDEX(상세표[연속 시간],$Q1055))</f>
        <v/>
      </c>
      <c r="J1055">
        <f>IF($Q1055="","",INDEX(상세표[기록 수],$Q1055))</f>
        <v/>
      </c>
      <c r="K1055" s="20">
        <f>IF($Q1055="","",INDEX(상세표[블록 06~07시],$Q1055))</f>
        <v/>
      </c>
      <c r="L1055" s="20">
        <f>IF($Q1055="","",INDEX(상세표[블록 07~18시],$Q1055))</f>
        <v/>
      </c>
      <c r="M1055" s="20">
        <f>IF($Q1055="","",INDEX(상세표[블록 18~22시],$Q1055))</f>
        <v/>
      </c>
      <c r="N1055" s="20">
        <f>IF($Q1055="","",INDEX(상세표[블록 22~06시],$Q1055))</f>
        <v/>
      </c>
      <c r="O1055">
        <f>IF($Q1055="","",INDEX(상세표[주말·휴일 포함],$Q1055)&amp;"")</f>
        <v/>
      </c>
      <c r="P1055">
        <f>IF($Q1055="","",INDEX(상세표[월 넘김 포함],$Q1055)&amp;"")</f>
        <v/>
      </c>
      <c r="Q1055" s="4">
        <f>IFERROR(MATCH(1050,상세표[연속순번],0),"")</f>
        <v/>
      </c>
    </row>
    <row r="1056">
      <c r="A1056">
        <f>IF($Q1056="","",INDEX(상세표[부서],$Q1056)&amp;"")</f>
        <v/>
      </c>
      <c r="B1056">
        <f>IF($Q1056="","",INDEX(상세표[사번],$Q1056)&amp;"")</f>
        <v/>
      </c>
      <c r="C1056">
        <f>IF($Q1056="","",INDEX(상세표[성명],$Q1056)&amp;"")</f>
        <v/>
      </c>
      <c r="D1056">
        <f>IF($Q1056="","",INDEX(상세표[직위],$Q1056)&amp;"")</f>
        <v/>
      </c>
      <c r="E1056">
        <f>IF($Q1056="","",IF(ISNUMBER(INDEX(상세표[근무일자],$Q1056)),TEXT(INDEX(상세표[근무일자],$Q1056),"yyyy-mm-dd"),INDEX(상세표[근무일자],$Q1056)&amp;""))</f>
        <v/>
      </c>
      <c r="F1056">
        <f>IF($Q1056="","",IF(ISNUMBER(INDEX(상세표[시작],$Q1056)),TEXT(INDEX(상세표[시작],$Q1056),"yyyy-mm-dd hh:mm"),INDEX(상세표[시작],$Q1056)&amp;""))</f>
        <v/>
      </c>
      <c r="G1056">
        <f>IF($Q1056="","",IF(ISNUMBER(INDEX(상세표[블록종료],$Q1056)),TEXT(INDEX(상세표[블록종료],$Q1056),"yyyy-mm-dd hh:mm"),INDEX(상세표[블록종료],$Q1056)&amp;""))</f>
        <v/>
      </c>
      <c r="H1056">
        <f>IF($Q1056="","",CHOOSE(WEEKDAY(INDEX(상세표[시작],$Q1056)),"일","월","화","수","목","금","토"))</f>
        <v/>
      </c>
      <c r="I1056" s="20">
        <f>IF($Q1056="","",INDEX(상세표[연속 시간],$Q1056))</f>
        <v/>
      </c>
      <c r="J1056">
        <f>IF($Q1056="","",INDEX(상세표[기록 수],$Q1056))</f>
        <v/>
      </c>
      <c r="K1056" s="20">
        <f>IF($Q1056="","",INDEX(상세표[블록 06~07시],$Q1056))</f>
        <v/>
      </c>
      <c r="L1056" s="20">
        <f>IF($Q1056="","",INDEX(상세표[블록 07~18시],$Q1056))</f>
        <v/>
      </c>
      <c r="M1056" s="20">
        <f>IF($Q1056="","",INDEX(상세표[블록 18~22시],$Q1056))</f>
        <v/>
      </c>
      <c r="N1056" s="20">
        <f>IF($Q1056="","",INDEX(상세표[블록 22~06시],$Q1056))</f>
        <v/>
      </c>
      <c r="O1056">
        <f>IF($Q1056="","",INDEX(상세표[주말·휴일 포함],$Q1056)&amp;"")</f>
        <v/>
      </c>
      <c r="P1056">
        <f>IF($Q1056="","",INDEX(상세표[월 넘김 포함],$Q1056)&amp;"")</f>
        <v/>
      </c>
      <c r="Q1056" s="4">
        <f>IFERROR(MATCH(1051,상세표[연속순번],0),"")</f>
        <v/>
      </c>
    </row>
    <row r="1057">
      <c r="A1057">
        <f>IF($Q1057="","",INDEX(상세표[부서],$Q1057)&amp;"")</f>
        <v/>
      </c>
      <c r="B1057">
        <f>IF($Q1057="","",INDEX(상세표[사번],$Q1057)&amp;"")</f>
        <v/>
      </c>
      <c r="C1057">
        <f>IF($Q1057="","",INDEX(상세표[성명],$Q1057)&amp;"")</f>
        <v/>
      </c>
      <c r="D1057">
        <f>IF($Q1057="","",INDEX(상세표[직위],$Q1057)&amp;"")</f>
        <v/>
      </c>
      <c r="E1057">
        <f>IF($Q1057="","",IF(ISNUMBER(INDEX(상세표[근무일자],$Q1057)),TEXT(INDEX(상세표[근무일자],$Q1057),"yyyy-mm-dd"),INDEX(상세표[근무일자],$Q1057)&amp;""))</f>
        <v/>
      </c>
      <c r="F1057">
        <f>IF($Q1057="","",IF(ISNUMBER(INDEX(상세표[시작],$Q1057)),TEXT(INDEX(상세표[시작],$Q1057),"yyyy-mm-dd hh:mm"),INDEX(상세표[시작],$Q1057)&amp;""))</f>
        <v/>
      </c>
      <c r="G1057">
        <f>IF($Q1057="","",IF(ISNUMBER(INDEX(상세표[블록종료],$Q1057)),TEXT(INDEX(상세표[블록종료],$Q1057),"yyyy-mm-dd hh:mm"),INDEX(상세표[블록종료],$Q1057)&amp;""))</f>
        <v/>
      </c>
      <c r="H1057">
        <f>IF($Q1057="","",CHOOSE(WEEKDAY(INDEX(상세표[시작],$Q1057)),"일","월","화","수","목","금","토"))</f>
        <v/>
      </c>
      <c r="I1057" s="20">
        <f>IF($Q1057="","",INDEX(상세표[연속 시간],$Q1057))</f>
        <v/>
      </c>
      <c r="J1057">
        <f>IF($Q1057="","",INDEX(상세표[기록 수],$Q1057))</f>
        <v/>
      </c>
      <c r="K1057" s="20">
        <f>IF($Q1057="","",INDEX(상세표[블록 06~07시],$Q1057))</f>
        <v/>
      </c>
      <c r="L1057" s="20">
        <f>IF($Q1057="","",INDEX(상세표[블록 07~18시],$Q1057))</f>
        <v/>
      </c>
      <c r="M1057" s="20">
        <f>IF($Q1057="","",INDEX(상세표[블록 18~22시],$Q1057))</f>
        <v/>
      </c>
      <c r="N1057" s="20">
        <f>IF($Q1057="","",INDEX(상세표[블록 22~06시],$Q1057))</f>
        <v/>
      </c>
      <c r="O1057">
        <f>IF($Q1057="","",INDEX(상세표[주말·휴일 포함],$Q1057)&amp;"")</f>
        <v/>
      </c>
      <c r="P1057">
        <f>IF($Q1057="","",INDEX(상세표[월 넘김 포함],$Q1057)&amp;"")</f>
        <v/>
      </c>
      <c r="Q1057" s="4">
        <f>IFERROR(MATCH(1052,상세표[연속순번],0),"")</f>
        <v/>
      </c>
    </row>
    <row r="1058">
      <c r="A1058">
        <f>IF($Q1058="","",INDEX(상세표[부서],$Q1058)&amp;"")</f>
        <v/>
      </c>
      <c r="B1058">
        <f>IF($Q1058="","",INDEX(상세표[사번],$Q1058)&amp;"")</f>
        <v/>
      </c>
      <c r="C1058">
        <f>IF($Q1058="","",INDEX(상세표[성명],$Q1058)&amp;"")</f>
        <v/>
      </c>
      <c r="D1058">
        <f>IF($Q1058="","",INDEX(상세표[직위],$Q1058)&amp;"")</f>
        <v/>
      </c>
      <c r="E1058">
        <f>IF($Q1058="","",IF(ISNUMBER(INDEX(상세표[근무일자],$Q1058)),TEXT(INDEX(상세표[근무일자],$Q1058),"yyyy-mm-dd"),INDEX(상세표[근무일자],$Q1058)&amp;""))</f>
        <v/>
      </c>
      <c r="F1058">
        <f>IF($Q1058="","",IF(ISNUMBER(INDEX(상세표[시작],$Q1058)),TEXT(INDEX(상세표[시작],$Q1058),"yyyy-mm-dd hh:mm"),INDEX(상세표[시작],$Q1058)&amp;""))</f>
        <v/>
      </c>
      <c r="G1058">
        <f>IF($Q1058="","",IF(ISNUMBER(INDEX(상세표[블록종료],$Q1058)),TEXT(INDEX(상세표[블록종료],$Q1058),"yyyy-mm-dd hh:mm"),INDEX(상세표[블록종료],$Q1058)&amp;""))</f>
        <v/>
      </c>
      <c r="H1058">
        <f>IF($Q1058="","",CHOOSE(WEEKDAY(INDEX(상세표[시작],$Q1058)),"일","월","화","수","목","금","토"))</f>
        <v/>
      </c>
      <c r="I1058" s="20">
        <f>IF($Q1058="","",INDEX(상세표[연속 시간],$Q1058))</f>
        <v/>
      </c>
      <c r="J1058">
        <f>IF($Q1058="","",INDEX(상세표[기록 수],$Q1058))</f>
        <v/>
      </c>
      <c r="K1058" s="20">
        <f>IF($Q1058="","",INDEX(상세표[블록 06~07시],$Q1058))</f>
        <v/>
      </c>
      <c r="L1058" s="20">
        <f>IF($Q1058="","",INDEX(상세표[블록 07~18시],$Q1058))</f>
        <v/>
      </c>
      <c r="M1058" s="20">
        <f>IF($Q1058="","",INDEX(상세표[블록 18~22시],$Q1058))</f>
        <v/>
      </c>
      <c r="N1058" s="20">
        <f>IF($Q1058="","",INDEX(상세표[블록 22~06시],$Q1058))</f>
        <v/>
      </c>
      <c r="O1058">
        <f>IF($Q1058="","",INDEX(상세표[주말·휴일 포함],$Q1058)&amp;"")</f>
        <v/>
      </c>
      <c r="P1058">
        <f>IF($Q1058="","",INDEX(상세표[월 넘김 포함],$Q1058)&amp;"")</f>
        <v/>
      </c>
      <c r="Q1058" s="4">
        <f>IFERROR(MATCH(1053,상세표[연속순번],0),"")</f>
        <v/>
      </c>
    </row>
    <row r="1059">
      <c r="A1059">
        <f>IF($Q1059="","",INDEX(상세표[부서],$Q1059)&amp;"")</f>
        <v/>
      </c>
      <c r="B1059">
        <f>IF($Q1059="","",INDEX(상세표[사번],$Q1059)&amp;"")</f>
        <v/>
      </c>
      <c r="C1059">
        <f>IF($Q1059="","",INDEX(상세표[성명],$Q1059)&amp;"")</f>
        <v/>
      </c>
      <c r="D1059">
        <f>IF($Q1059="","",INDEX(상세표[직위],$Q1059)&amp;"")</f>
        <v/>
      </c>
      <c r="E1059">
        <f>IF($Q1059="","",IF(ISNUMBER(INDEX(상세표[근무일자],$Q1059)),TEXT(INDEX(상세표[근무일자],$Q1059),"yyyy-mm-dd"),INDEX(상세표[근무일자],$Q1059)&amp;""))</f>
        <v/>
      </c>
      <c r="F1059">
        <f>IF($Q1059="","",IF(ISNUMBER(INDEX(상세표[시작],$Q1059)),TEXT(INDEX(상세표[시작],$Q1059),"yyyy-mm-dd hh:mm"),INDEX(상세표[시작],$Q1059)&amp;""))</f>
        <v/>
      </c>
      <c r="G1059">
        <f>IF($Q1059="","",IF(ISNUMBER(INDEX(상세표[블록종료],$Q1059)),TEXT(INDEX(상세표[블록종료],$Q1059),"yyyy-mm-dd hh:mm"),INDEX(상세표[블록종료],$Q1059)&amp;""))</f>
        <v/>
      </c>
      <c r="H1059">
        <f>IF($Q1059="","",CHOOSE(WEEKDAY(INDEX(상세표[시작],$Q1059)),"일","월","화","수","목","금","토"))</f>
        <v/>
      </c>
      <c r="I1059" s="20">
        <f>IF($Q1059="","",INDEX(상세표[연속 시간],$Q1059))</f>
        <v/>
      </c>
      <c r="J1059">
        <f>IF($Q1059="","",INDEX(상세표[기록 수],$Q1059))</f>
        <v/>
      </c>
      <c r="K1059" s="20">
        <f>IF($Q1059="","",INDEX(상세표[블록 06~07시],$Q1059))</f>
        <v/>
      </c>
      <c r="L1059" s="20">
        <f>IF($Q1059="","",INDEX(상세표[블록 07~18시],$Q1059))</f>
        <v/>
      </c>
      <c r="M1059" s="20">
        <f>IF($Q1059="","",INDEX(상세표[블록 18~22시],$Q1059))</f>
        <v/>
      </c>
      <c r="N1059" s="20">
        <f>IF($Q1059="","",INDEX(상세표[블록 22~06시],$Q1059))</f>
        <v/>
      </c>
      <c r="O1059">
        <f>IF($Q1059="","",INDEX(상세표[주말·휴일 포함],$Q1059)&amp;"")</f>
        <v/>
      </c>
      <c r="P1059">
        <f>IF($Q1059="","",INDEX(상세표[월 넘김 포함],$Q1059)&amp;"")</f>
        <v/>
      </c>
      <c r="Q1059" s="4">
        <f>IFERROR(MATCH(1054,상세표[연속순번],0),"")</f>
        <v/>
      </c>
    </row>
    <row r="1060">
      <c r="A1060">
        <f>IF($Q1060="","",INDEX(상세표[부서],$Q1060)&amp;"")</f>
        <v/>
      </c>
      <c r="B1060">
        <f>IF($Q1060="","",INDEX(상세표[사번],$Q1060)&amp;"")</f>
        <v/>
      </c>
      <c r="C1060">
        <f>IF($Q1060="","",INDEX(상세표[성명],$Q1060)&amp;"")</f>
        <v/>
      </c>
      <c r="D1060">
        <f>IF($Q1060="","",INDEX(상세표[직위],$Q1060)&amp;"")</f>
        <v/>
      </c>
      <c r="E1060">
        <f>IF($Q1060="","",IF(ISNUMBER(INDEX(상세표[근무일자],$Q1060)),TEXT(INDEX(상세표[근무일자],$Q1060),"yyyy-mm-dd"),INDEX(상세표[근무일자],$Q1060)&amp;""))</f>
        <v/>
      </c>
      <c r="F1060">
        <f>IF($Q1060="","",IF(ISNUMBER(INDEX(상세표[시작],$Q1060)),TEXT(INDEX(상세표[시작],$Q1060),"yyyy-mm-dd hh:mm"),INDEX(상세표[시작],$Q1060)&amp;""))</f>
        <v/>
      </c>
      <c r="G1060">
        <f>IF($Q1060="","",IF(ISNUMBER(INDEX(상세표[블록종료],$Q1060)),TEXT(INDEX(상세표[블록종료],$Q1060),"yyyy-mm-dd hh:mm"),INDEX(상세표[블록종료],$Q1060)&amp;""))</f>
        <v/>
      </c>
      <c r="H1060">
        <f>IF($Q1060="","",CHOOSE(WEEKDAY(INDEX(상세표[시작],$Q1060)),"일","월","화","수","목","금","토"))</f>
        <v/>
      </c>
      <c r="I1060" s="20">
        <f>IF($Q1060="","",INDEX(상세표[연속 시간],$Q1060))</f>
        <v/>
      </c>
      <c r="J1060">
        <f>IF($Q1060="","",INDEX(상세표[기록 수],$Q1060))</f>
        <v/>
      </c>
      <c r="K1060" s="20">
        <f>IF($Q1060="","",INDEX(상세표[블록 06~07시],$Q1060))</f>
        <v/>
      </c>
      <c r="L1060" s="20">
        <f>IF($Q1060="","",INDEX(상세표[블록 07~18시],$Q1060))</f>
        <v/>
      </c>
      <c r="M1060" s="20">
        <f>IF($Q1060="","",INDEX(상세표[블록 18~22시],$Q1060))</f>
        <v/>
      </c>
      <c r="N1060" s="20">
        <f>IF($Q1060="","",INDEX(상세표[블록 22~06시],$Q1060))</f>
        <v/>
      </c>
      <c r="O1060">
        <f>IF($Q1060="","",INDEX(상세표[주말·휴일 포함],$Q1060)&amp;"")</f>
        <v/>
      </c>
      <c r="P1060">
        <f>IF($Q1060="","",INDEX(상세표[월 넘김 포함],$Q1060)&amp;"")</f>
        <v/>
      </c>
      <c r="Q1060" s="4">
        <f>IFERROR(MATCH(1055,상세표[연속순번],0),"")</f>
        <v/>
      </c>
    </row>
    <row r="1061">
      <c r="A1061">
        <f>IF($Q1061="","",INDEX(상세표[부서],$Q1061)&amp;"")</f>
        <v/>
      </c>
      <c r="B1061">
        <f>IF($Q1061="","",INDEX(상세표[사번],$Q1061)&amp;"")</f>
        <v/>
      </c>
      <c r="C1061">
        <f>IF($Q1061="","",INDEX(상세표[성명],$Q1061)&amp;"")</f>
        <v/>
      </c>
      <c r="D1061">
        <f>IF($Q1061="","",INDEX(상세표[직위],$Q1061)&amp;"")</f>
        <v/>
      </c>
      <c r="E1061">
        <f>IF($Q1061="","",IF(ISNUMBER(INDEX(상세표[근무일자],$Q1061)),TEXT(INDEX(상세표[근무일자],$Q1061),"yyyy-mm-dd"),INDEX(상세표[근무일자],$Q1061)&amp;""))</f>
        <v/>
      </c>
      <c r="F1061">
        <f>IF($Q1061="","",IF(ISNUMBER(INDEX(상세표[시작],$Q1061)),TEXT(INDEX(상세표[시작],$Q1061),"yyyy-mm-dd hh:mm"),INDEX(상세표[시작],$Q1061)&amp;""))</f>
        <v/>
      </c>
      <c r="G1061">
        <f>IF($Q1061="","",IF(ISNUMBER(INDEX(상세표[블록종료],$Q1061)),TEXT(INDEX(상세표[블록종료],$Q1061),"yyyy-mm-dd hh:mm"),INDEX(상세표[블록종료],$Q1061)&amp;""))</f>
        <v/>
      </c>
      <c r="H1061">
        <f>IF($Q1061="","",CHOOSE(WEEKDAY(INDEX(상세표[시작],$Q1061)),"일","월","화","수","목","금","토"))</f>
        <v/>
      </c>
      <c r="I1061" s="20">
        <f>IF($Q1061="","",INDEX(상세표[연속 시간],$Q1061))</f>
        <v/>
      </c>
      <c r="J1061">
        <f>IF($Q1061="","",INDEX(상세표[기록 수],$Q1061))</f>
        <v/>
      </c>
      <c r="K1061" s="20">
        <f>IF($Q1061="","",INDEX(상세표[블록 06~07시],$Q1061))</f>
        <v/>
      </c>
      <c r="L1061" s="20">
        <f>IF($Q1061="","",INDEX(상세표[블록 07~18시],$Q1061))</f>
        <v/>
      </c>
      <c r="M1061" s="20">
        <f>IF($Q1061="","",INDEX(상세표[블록 18~22시],$Q1061))</f>
        <v/>
      </c>
      <c r="N1061" s="20">
        <f>IF($Q1061="","",INDEX(상세표[블록 22~06시],$Q1061))</f>
        <v/>
      </c>
      <c r="O1061">
        <f>IF($Q1061="","",INDEX(상세표[주말·휴일 포함],$Q1061)&amp;"")</f>
        <v/>
      </c>
      <c r="P1061">
        <f>IF($Q1061="","",INDEX(상세표[월 넘김 포함],$Q1061)&amp;"")</f>
        <v/>
      </c>
      <c r="Q1061" s="4">
        <f>IFERROR(MATCH(1056,상세표[연속순번],0),"")</f>
        <v/>
      </c>
    </row>
    <row r="1062">
      <c r="A1062">
        <f>IF($Q1062="","",INDEX(상세표[부서],$Q1062)&amp;"")</f>
        <v/>
      </c>
      <c r="B1062">
        <f>IF($Q1062="","",INDEX(상세표[사번],$Q1062)&amp;"")</f>
        <v/>
      </c>
      <c r="C1062">
        <f>IF($Q1062="","",INDEX(상세표[성명],$Q1062)&amp;"")</f>
        <v/>
      </c>
      <c r="D1062">
        <f>IF($Q1062="","",INDEX(상세표[직위],$Q1062)&amp;"")</f>
        <v/>
      </c>
      <c r="E1062">
        <f>IF($Q1062="","",IF(ISNUMBER(INDEX(상세표[근무일자],$Q1062)),TEXT(INDEX(상세표[근무일자],$Q1062),"yyyy-mm-dd"),INDEX(상세표[근무일자],$Q1062)&amp;""))</f>
        <v/>
      </c>
      <c r="F1062">
        <f>IF($Q1062="","",IF(ISNUMBER(INDEX(상세표[시작],$Q1062)),TEXT(INDEX(상세표[시작],$Q1062),"yyyy-mm-dd hh:mm"),INDEX(상세표[시작],$Q1062)&amp;""))</f>
        <v/>
      </c>
      <c r="G1062">
        <f>IF($Q1062="","",IF(ISNUMBER(INDEX(상세표[블록종료],$Q1062)),TEXT(INDEX(상세표[블록종료],$Q1062),"yyyy-mm-dd hh:mm"),INDEX(상세표[블록종료],$Q1062)&amp;""))</f>
        <v/>
      </c>
      <c r="H1062">
        <f>IF($Q1062="","",CHOOSE(WEEKDAY(INDEX(상세표[시작],$Q1062)),"일","월","화","수","목","금","토"))</f>
        <v/>
      </c>
      <c r="I1062" s="20">
        <f>IF($Q1062="","",INDEX(상세표[연속 시간],$Q1062))</f>
        <v/>
      </c>
      <c r="J1062">
        <f>IF($Q1062="","",INDEX(상세표[기록 수],$Q1062))</f>
        <v/>
      </c>
      <c r="K1062" s="20">
        <f>IF($Q1062="","",INDEX(상세표[블록 06~07시],$Q1062))</f>
        <v/>
      </c>
      <c r="L1062" s="20">
        <f>IF($Q1062="","",INDEX(상세표[블록 07~18시],$Q1062))</f>
        <v/>
      </c>
      <c r="M1062" s="20">
        <f>IF($Q1062="","",INDEX(상세표[블록 18~22시],$Q1062))</f>
        <v/>
      </c>
      <c r="N1062" s="20">
        <f>IF($Q1062="","",INDEX(상세표[블록 22~06시],$Q1062))</f>
        <v/>
      </c>
      <c r="O1062">
        <f>IF($Q1062="","",INDEX(상세표[주말·휴일 포함],$Q1062)&amp;"")</f>
        <v/>
      </c>
      <c r="P1062">
        <f>IF($Q1062="","",INDEX(상세표[월 넘김 포함],$Q1062)&amp;"")</f>
        <v/>
      </c>
      <c r="Q1062" s="4">
        <f>IFERROR(MATCH(1057,상세표[연속순번],0),"")</f>
        <v/>
      </c>
    </row>
    <row r="1063">
      <c r="A1063">
        <f>IF($Q1063="","",INDEX(상세표[부서],$Q1063)&amp;"")</f>
        <v/>
      </c>
      <c r="B1063">
        <f>IF($Q1063="","",INDEX(상세표[사번],$Q1063)&amp;"")</f>
        <v/>
      </c>
      <c r="C1063">
        <f>IF($Q1063="","",INDEX(상세표[성명],$Q1063)&amp;"")</f>
        <v/>
      </c>
      <c r="D1063">
        <f>IF($Q1063="","",INDEX(상세표[직위],$Q1063)&amp;"")</f>
        <v/>
      </c>
      <c r="E1063">
        <f>IF($Q1063="","",IF(ISNUMBER(INDEX(상세표[근무일자],$Q1063)),TEXT(INDEX(상세표[근무일자],$Q1063),"yyyy-mm-dd"),INDEX(상세표[근무일자],$Q1063)&amp;""))</f>
        <v/>
      </c>
      <c r="F1063">
        <f>IF($Q1063="","",IF(ISNUMBER(INDEX(상세표[시작],$Q1063)),TEXT(INDEX(상세표[시작],$Q1063),"yyyy-mm-dd hh:mm"),INDEX(상세표[시작],$Q1063)&amp;""))</f>
        <v/>
      </c>
      <c r="G1063">
        <f>IF($Q1063="","",IF(ISNUMBER(INDEX(상세표[블록종료],$Q1063)),TEXT(INDEX(상세표[블록종료],$Q1063),"yyyy-mm-dd hh:mm"),INDEX(상세표[블록종료],$Q1063)&amp;""))</f>
        <v/>
      </c>
      <c r="H1063">
        <f>IF($Q1063="","",CHOOSE(WEEKDAY(INDEX(상세표[시작],$Q1063)),"일","월","화","수","목","금","토"))</f>
        <v/>
      </c>
      <c r="I1063" s="20">
        <f>IF($Q1063="","",INDEX(상세표[연속 시간],$Q1063))</f>
        <v/>
      </c>
      <c r="J1063">
        <f>IF($Q1063="","",INDEX(상세표[기록 수],$Q1063))</f>
        <v/>
      </c>
      <c r="K1063" s="20">
        <f>IF($Q1063="","",INDEX(상세표[블록 06~07시],$Q1063))</f>
        <v/>
      </c>
      <c r="L1063" s="20">
        <f>IF($Q1063="","",INDEX(상세표[블록 07~18시],$Q1063))</f>
        <v/>
      </c>
      <c r="M1063" s="20">
        <f>IF($Q1063="","",INDEX(상세표[블록 18~22시],$Q1063))</f>
        <v/>
      </c>
      <c r="N1063" s="20">
        <f>IF($Q1063="","",INDEX(상세표[블록 22~06시],$Q1063))</f>
        <v/>
      </c>
      <c r="O1063">
        <f>IF($Q1063="","",INDEX(상세표[주말·휴일 포함],$Q1063)&amp;"")</f>
        <v/>
      </c>
      <c r="P1063">
        <f>IF($Q1063="","",INDEX(상세표[월 넘김 포함],$Q1063)&amp;"")</f>
        <v/>
      </c>
      <c r="Q1063" s="4">
        <f>IFERROR(MATCH(1058,상세표[연속순번],0),"")</f>
        <v/>
      </c>
    </row>
    <row r="1064">
      <c r="A1064">
        <f>IF($Q1064="","",INDEX(상세표[부서],$Q1064)&amp;"")</f>
        <v/>
      </c>
      <c r="B1064">
        <f>IF($Q1064="","",INDEX(상세표[사번],$Q1064)&amp;"")</f>
        <v/>
      </c>
      <c r="C1064">
        <f>IF($Q1064="","",INDEX(상세표[성명],$Q1064)&amp;"")</f>
        <v/>
      </c>
      <c r="D1064">
        <f>IF($Q1064="","",INDEX(상세표[직위],$Q1064)&amp;"")</f>
        <v/>
      </c>
      <c r="E1064">
        <f>IF($Q1064="","",IF(ISNUMBER(INDEX(상세표[근무일자],$Q1064)),TEXT(INDEX(상세표[근무일자],$Q1064),"yyyy-mm-dd"),INDEX(상세표[근무일자],$Q1064)&amp;""))</f>
        <v/>
      </c>
      <c r="F1064">
        <f>IF($Q1064="","",IF(ISNUMBER(INDEX(상세표[시작],$Q1064)),TEXT(INDEX(상세표[시작],$Q1064),"yyyy-mm-dd hh:mm"),INDEX(상세표[시작],$Q1064)&amp;""))</f>
        <v/>
      </c>
      <c r="G1064">
        <f>IF($Q1064="","",IF(ISNUMBER(INDEX(상세표[블록종료],$Q1064)),TEXT(INDEX(상세표[블록종료],$Q1064),"yyyy-mm-dd hh:mm"),INDEX(상세표[블록종료],$Q1064)&amp;""))</f>
        <v/>
      </c>
      <c r="H1064">
        <f>IF($Q1064="","",CHOOSE(WEEKDAY(INDEX(상세표[시작],$Q1064)),"일","월","화","수","목","금","토"))</f>
        <v/>
      </c>
      <c r="I1064" s="20">
        <f>IF($Q1064="","",INDEX(상세표[연속 시간],$Q1064))</f>
        <v/>
      </c>
      <c r="J1064">
        <f>IF($Q1064="","",INDEX(상세표[기록 수],$Q1064))</f>
        <v/>
      </c>
      <c r="K1064" s="20">
        <f>IF($Q1064="","",INDEX(상세표[블록 06~07시],$Q1064))</f>
        <v/>
      </c>
      <c r="L1064" s="20">
        <f>IF($Q1064="","",INDEX(상세표[블록 07~18시],$Q1064))</f>
        <v/>
      </c>
      <c r="M1064" s="20">
        <f>IF($Q1064="","",INDEX(상세표[블록 18~22시],$Q1064))</f>
        <v/>
      </c>
      <c r="N1064" s="20">
        <f>IF($Q1064="","",INDEX(상세표[블록 22~06시],$Q1064))</f>
        <v/>
      </c>
      <c r="O1064">
        <f>IF($Q1064="","",INDEX(상세표[주말·휴일 포함],$Q1064)&amp;"")</f>
        <v/>
      </c>
      <c r="P1064">
        <f>IF($Q1064="","",INDEX(상세표[월 넘김 포함],$Q1064)&amp;"")</f>
        <v/>
      </c>
      <c r="Q1064" s="4">
        <f>IFERROR(MATCH(1059,상세표[연속순번],0),"")</f>
        <v/>
      </c>
    </row>
    <row r="1065">
      <c r="A1065">
        <f>IF($Q1065="","",INDEX(상세표[부서],$Q1065)&amp;"")</f>
        <v/>
      </c>
      <c r="B1065">
        <f>IF($Q1065="","",INDEX(상세표[사번],$Q1065)&amp;"")</f>
        <v/>
      </c>
      <c r="C1065">
        <f>IF($Q1065="","",INDEX(상세표[성명],$Q1065)&amp;"")</f>
        <v/>
      </c>
      <c r="D1065">
        <f>IF($Q1065="","",INDEX(상세표[직위],$Q1065)&amp;"")</f>
        <v/>
      </c>
      <c r="E1065">
        <f>IF($Q1065="","",IF(ISNUMBER(INDEX(상세표[근무일자],$Q1065)),TEXT(INDEX(상세표[근무일자],$Q1065),"yyyy-mm-dd"),INDEX(상세표[근무일자],$Q1065)&amp;""))</f>
        <v/>
      </c>
      <c r="F1065">
        <f>IF($Q1065="","",IF(ISNUMBER(INDEX(상세표[시작],$Q1065)),TEXT(INDEX(상세표[시작],$Q1065),"yyyy-mm-dd hh:mm"),INDEX(상세표[시작],$Q1065)&amp;""))</f>
        <v/>
      </c>
      <c r="G1065">
        <f>IF($Q1065="","",IF(ISNUMBER(INDEX(상세표[블록종료],$Q1065)),TEXT(INDEX(상세표[블록종료],$Q1065),"yyyy-mm-dd hh:mm"),INDEX(상세표[블록종료],$Q1065)&amp;""))</f>
        <v/>
      </c>
      <c r="H1065">
        <f>IF($Q1065="","",CHOOSE(WEEKDAY(INDEX(상세표[시작],$Q1065)),"일","월","화","수","목","금","토"))</f>
        <v/>
      </c>
      <c r="I1065" s="20">
        <f>IF($Q1065="","",INDEX(상세표[연속 시간],$Q1065))</f>
        <v/>
      </c>
      <c r="J1065">
        <f>IF($Q1065="","",INDEX(상세표[기록 수],$Q1065))</f>
        <v/>
      </c>
      <c r="K1065" s="20">
        <f>IF($Q1065="","",INDEX(상세표[블록 06~07시],$Q1065))</f>
        <v/>
      </c>
      <c r="L1065" s="20">
        <f>IF($Q1065="","",INDEX(상세표[블록 07~18시],$Q1065))</f>
        <v/>
      </c>
      <c r="M1065" s="20">
        <f>IF($Q1065="","",INDEX(상세표[블록 18~22시],$Q1065))</f>
        <v/>
      </c>
      <c r="N1065" s="20">
        <f>IF($Q1065="","",INDEX(상세표[블록 22~06시],$Q1065))</f>
        <v/>
      </c>
      <c r="O1065">
        <f>IF($Q1065="","",INDEX(상세표[주말·휴일 포함],$Q1065)&amp;"")</f>
        <v/>
      </c>
      <c r="P1065">
        <f>IF($Q1065="","",INDEX(상세표[월 넘김 포함],$Q1065)&amp;"")</f>
        <v/>
      </c>
      <c r="Q1065" s="4">
        <f>IFERROR(MATCH(1060,상세표[연속순번],0),"")</f>
        <v/>
      </c>
    </row>
    <row r="1066">
      <c r="A1066">
        <f>IF($Q1066="","",INDEX(상세표[부서],$Q1066)&amp;"")</f>
        <v/>
      </c>
      <c r="B1066">
        <f>IF($Q1066="","",INDEX(상세표[사번],$Q1066)&amp;"")</f>
        <v/>
      </c>
      <c r="C1066">
        <f>IF($Q1066="","",INDEX(상세표[성명],$Q1066)&amp;"")</f>
        <v/>
      </c>
      <c r="D1066">
        <f>IF($Q1066="","",INDEX(상세표[직위],$Q1066)&amp;"")</f>
        <v/>
      </c>
      <c r="E1066">
        <f>IF($Q1066="","",IF(ISNUMBER(INDEX(상세표[근무일자],$Q1066)),TEXT(INDEX(상세표[근무일자],$Q1066),"yyyy-mm-dd"),INDEX(상세표[근무일자],$Q1066)&amp;""))</f>
        <v/>
      </c>
      <c r="F1066">
        <f>IF($Q1066="","",IF(ISNUMBER(INDEX(상세표[시작],$Q1066)),TEXT(INDEX(상세표[시작],$Q1066),"yyyy-mm-dd hh:mm"),INDEX(상세표[시작],$Q1066)&amp;""))</f>
        <v/>
      </c>
      <c r="G1066">
        <f>IF($Q1066="","",IF(ISNUMBER(INDEX(상세표[블록종료],$Q1066)),TEXT(INDEX(상세표[블록종료],$Q1066),"yyyy-mm-dd hh:mm"),INDEX(상세표[블록종료],$Q1066)&amp;""))</f>
        <v/>
      </c>
      <c r="H1066">
        <f>IF($Q1066="","",CHOOSE(WEEKDAY(INDEX(상세표[시작],$Q1066)),"일","월","화","수","목","금","토"))</f>
        <v/>
      </c>
      <c r="I1066" s="20">
        <f>IF($Q1066="","",INDEX(상세표[연속 시간],$Q1066))</f>
        <v/>
      </c>
      <c r="J1066">
        <f>IF($Q1066="","",INDEX(상세표[기록 수],$Q1066))</f>
        <v/>
      </c>
      <c r="K1066" s="20">
        <f>IF($Q1066="","",INDEX(상세표[블록 06~07시],$Q1066))</f>
        <v/>
      </c>
      <c r="L1066" s="20">
        <f>IF($Q1066="","",INDEX(상세표[블록 07~18시],$Q1066))</f>
        <v/>
      </c>
      <c r="M1066" s="20">
        <f>IF($Q1066="","",INDEX(상세표[블록 18~22시],$Q1066))</f>
        <v/>
      </c>
      <c r="N1066" s="20">
        <f>IF($Q1066="","",INDEX(상세표[블록 22~06시],$Q1066))</f>
        <v/>
      </c>
      <c r="O1066">
        <f>IF($Q1066="","",INDEX(상세표[주말·휴일 포함],$Q1066)&amp;"")</f>
        <v/>
      </c>
      <c r="P1066">
        <f>IF($Q1066="","",INDEX(상세표[월 넘김 포함],$Q1066)&amp;"")</f>
        <v/>
      </c>
      <c r="Q1066" s="4">
        <f>IFERROR(MATCH(1061,상세표[연속순번],0),"")</f>
        <v/>
      </c>
    </row>
    <row r="1067">
      <c r="A1067">
        <f>IF($Q1067="","",INDEX(상세표[부서],$Q1067)&amp;"")</f>
        <v/>
      </c>
      <c r="B1067">
        <f>IF($Q1067="","",INDEX(상세표[사번],$Q1067)&amp;"")</f>
        <v/>
      </c>
      <c r="C1067">
        <f>IF($Q1067="","",INDEX(상세표[성명],$Q1067)&amp;"")</f>
        <v/>
      </c>
      <c r="D1067">
        <f>IF($Q1067="","",INDEX(상세표[직위],$Q1067)&amp;"")</f>
        <v/>
      </c>
      <c r="E1067">
        <f>IF($Q1067="","",IF(ISNUMBER(INDEX(상세표[근무일자],$Q1067)),TEXT(INDEX(상세표[근무일자],$Q1067),"yyyy-mm-dd"),INDEX(상세표[근무일자],$Q1067)&amp;""))</f>
        <v/>
      </c>
      <c r="F1067">
        <f>IF($Q1067="","",IF(ISNUMBER(INDEX(상세표[시작],$Q1067)),TEXT(INDEX(상세표[시작],$Q1067),"yyyy-mm-dd hh:mm"),INDEX(상세표[시작],$Q1067)&amp;""))</f>
        <v/>
      </c>
      <c r="G1067">
        <f>IF($Q1067="","",IF(ISNUMBER(INDEX(상세표[블록종료],$Q1067)),TEXT(INDEX(상세표[블록종료],$Q1067),"yyyy-mm-dd hh:mm"),INDEX(상세표[블록종료],$Q1067)&amp;""))</f>
        <v/>
      </c>
      <c r="H1067">
        <f>IF($Q1067="","",CHOOSE(WEEKDAY(INDEX(상세표[시작],$Q1067)),"일","월","화","수","목","금","토"))</f>
        <v/>
      </c>
      <c r="I1067" s="20">
        <f>IF($Q1067="","",INDEX(상세표[연속 시간],$Q1067))</f>
        <v/>
      </c>
      <c r="J1067">
        <f>IF($Q1067="","",INDEX(상세표[기록 수],$Q1067))</f>
        <v/>
      </c>
      <c r="K1067" s="20">
        <f>IF($Q1067="","",INDEX(상세표[블록 06~07시],$Q1067))</f>
        <v/>
      </c>
      <c r="L1067" s="20">
        <f>IF($Q1067="","",INDEX(상세표[블록 07~18시],$Q1067))</f>
        <v/>
      </c>
      <c r="M1067" s="20">
        <f>IF($Q1067="","",INDEX(상세표[블록 18~22시],$Q1067))</f>
        <v/>
      </c>
      <c r="N1067" s="20">
        <f>IF($Q1067="","",INDEX(상세표[블록 22~06시],$Q1067))</f>
        <v/>
      </c>
      <c r="O1067">
        <f>IF($Q1067="","",INDEX(상세표[주말·휴일 포함],$Q1067)&amp;"")</f>
        <v/>
      </c>
      <c r="P1067">
        <f>IF($Q1067="","",INDEX(상세표[월 넘김 포함],$Q1067)&amp;"")</f>
        <v/>
      </c>
      <c r="Q1067" s="4">
        <f>IFERROR(MATCH(1062,상세표[연속순번],0),"")</f>
        <v/>
      </c>
    </row>
    <row r="1068">
      <c r="A1068">
        <f>IF($Q1068="","",INDEX(상세표[부서],$Q1068)&amp;"")</f>
        <v/>
      </c>
      <c r="B1068">
        <f>IF($Q1068="","",INDEX(상세표[사번],$Q1068)&amp;"")</f>
        <v/>
      </c>
      <c r="C1068">
        <f>IF($Q1068="","",INDEX(상세표[성명],$Q1068)&amp;"")</f>
        <v/>
      </c>
      <c r="D1068">
        <f>IF($Q1068="","",INDEX(상세표[직위],$Q1068)&amp;"")</f>
        <v/>
      </c>
      <c r="E1068">
        <f>IF($Q1068="","",IF(ISNUMBER(INDEX(상세표[근무일자],$Q1068)),TEXT(INDEX(상세표[근무일자],$Q1068),"yyyy-mm-dd"),INDEX(상세표[근무일자],$Q1068)&amp;""))</f>
        <v/>
      </c>
      <c r="F1068">
        <f>IF($Q1068="","",IF(ISNUMBER(INDEX(상세표[시작],$Q1068)),TEXT(INDEX(상세표[시작],$Q1068),"yyyy-mm-dd hh:mm"),INDEX(상세표[시작],$Q1068)&amp;""))</f>
        <v/>
      </c>
      <c r="G1068">
        <f>IF($Q1068="","",IF(ISNUMBER(INDEX(상세표[블록종료],$Q1068)),TEXT(INDEX(상세표[블록종료],$Q1068),"yyyy-mm-dd hh:mm"),INDEX(상세표[블록종료],$Q1068)&amp;""))</f>
        <v/>
      </c>
      <c r="H1068">
        <f>IF($Q1068="","",CHOOSE(WEEKDAY(INDEX(상세표[시작],$Q1068)),"일","월","화","수","목","금","토"))</f>
        <v/>
      </c>
      <c r="I1068" s="20">
        <f>IF($Q1068="","",INDEX(상세표[연속 시간],$Q1068))</f>
        <v/>
      </c>
      <c r="J1068">
        <f>IF($Q1068="","",INDEX(상세표[기록 수],$Q1068))</f>
        <v/>
      </c>
      <c r="K1068" s="20">
        <f>IF($Q1068="","",INDEX(상세표[블록 06~07시],$Q1068))</f>
        <v/>
      </c>
      <c r="L1068" s="20">
        <f>IF($Q1068="","",INDEX(상세표[블록 07~18시],$Q1068))</f>
        <v/>
      </c>
      <c r="M1068" s="20">
        <f>IF($Q1068="","",INDEX(상세표[블록 18~22시],$Q1068))</f>
        <v/>
      </c>
      <c r="N1068" s="20">
        <f>IF($Q1068="","",INDEX(상세표[블록 22~06시],$Q1068))</f>
        <v/>
      </c>
      <c r="O1068">
        <f>IF($Q1068="","",INDEX(상세표[주말·휴일 포함],$Q1068)&amp;"")</f>
        <v/>
      </c>
      <c r="P1068">
        <f>IF($Q1068="","",INDEX(상세표[월 넘김 포함],$Q1068)&amp;"")</f>
        <v/>
      </c>
      <c r="Q1068" s="4">
        <f>IFERROR(MATCH(1063,상세표[연속순번],0),"")</f>
        <v/>
      </c>
    </row>
    <row r="1069">
      <c r="A1069">
        <f>IF($Q1069="","",INDEX(상세표[부서],$Q1069)&amp;"")</f>
        <v/>
      </c>
      <c r="B1069">
        <f>IF($Q1069="","",INDEX(상세표[사번],$Q1069)&amp;"")</f>
        <v/>
      </c>
      <c r="C1069">
        <f>IF($Q1069="","",INDEX(상세표[성명],$Q1069)&amp;"")</f>
        <v/>
      </c>
      <c r="D1069">
        <f>IF($Q1069="","",INDEX(상세표[직위],$Q1069)&amp;"")</f>
        <v/>
      </c>
      <c r="E1069">
        <f>IF($Q1069="","",IF(ISNUMBER(INDEX(상세표[근무일자],$Q1069)),TEXT(INDEX(상세표[근무일자],$Q1069),"yyyy-mm-dd"),INDEX(상세표[근무일자],$Q1069)&amp;""))</f>
        <v/>
      </c>
      <c r="F1069">
        <f>IF($Q1069="","",IF(ISNUMBER(INDEX(상세표[시작],$Q1069)),TEXT(INDEX(상세표[시작],$Q1069),"yyyy-mm-dd hh:mm"),INDEX(상세표[시작],$Q1069)&amp;""))</f>
        <v/>
      </c>
      <c r="G1069">
        <f>IF($Q1069="","",IF(ISNUMBER(INDEX(상세표[블록종료],$Q1069)),TEXT(INDEX(상세표[블록종료],$Q1069),"yyyy-mm-dd hh:mm"),INDEX(상세표[블록종료],$Q1069)&amp;""))</f>
        <v/>
      </c>
      <c r="H1069">
        <f>IF($Q1069="","",CHOOSE(WEEKDAY(INDEX(상세표[시작],$Q1069)),"일","월","화","수","목","금","토"))</f>
        <v/>
      </c>
      <c r="I1069" s="20">
        <f>IF($Q1069="","",INDEX(상세표[연속 시간],$Q1069))</f>
        <v/>
      </c>
      <c r="J1069">
        <f>IF($Q1069="","",INDEX(상세표[기록 수],$Q1069))</f>
        <v/>
      </c>
      <c r="K1069" s="20">
        <f>IF($Q1069="","",INDEX(상세표[블록 06~07시],$Q1069))</f>
        <v/>
      </c>
      <c r="L1069" s="20">
        <f>IF($Q1069="","",INDEX(상세표[블록 07~18시],$Q1069))</f>
        <v/>
      </c>
      <c r="M1069" s="20">
        <f>IF($Q1069="","",INDEX(상세표[블록 18~22시],$Q1069))</f>
        <v/>
      </c>
      <c r="N1069" s="20">
        <f>IF($Q1069="","",INDEX(상세표[블록 22~06시],$Q1069))</f>
        <v/>
      </c>
      <c r="O1069">
        <f>IF($Q1069="","",INDEX(상세표[주말·휴일 포함],$Q1069)&amp;"")</f>
        <v/>
      </c>
      <c r="P1069">
        <f>IF($Q1069="","",INDEX(상세표[월 넘김 포함],$Q1069)&amp;"")</f>
        <v/>
      </c>
      <c r="Q1069" s="4">
        <f>IFERROR(MATCH(1064,상세표[연속순번],0),"")</f>
        <v/>
      </c>
    </row>
    <row r="1070">
      <c r="A1070">
        <f>IF($Q1070="","",INDEX(상세표[부서],$Q1070)&amp;"")</f>
        <v/>
      </c>
      <c r="B1070">
        <f>IF($Q1070="","",INDEX(상세표[사번],$Q1070)&amp;"")</f>
        <v/>
      </c>
      <c r="C1070">
        <f>IF($Q1070="","",INDEX(상세표[성명],$Q1070)&amp;"")</f>
        <v/>
      </c>
      <c r="D1070">
        <f>IF($Q1070="","",INDEX(상세표[직위],$Q1070)&amp;"")</f>
        <v/>
      </c>
      <c r="E1070">
        <f>IF($Q1070="","",IF(ISNUMBER(INDEX(상세표[근무일자],$Q1070)),TEXT(INDEX(상세표[근무일자],$Q1070),"yyyy-mm-dd"),INDEX(상세표[근무일자],$Q1070)&amp;""))</f>
        <v/>
      </c>
      <c r="F1070">
        <f>IF($Q1070="","",IF(ISNUMBER(INDEX(상세표[시작],$Q1070)),TEXT(INDEX(상세표[시작],$Q1070),"yyyy-mm-dd hh:mm"),INDEX(상세표[시작],$Q1070)&amp;""))</f>
        <v/>
      </c>
      <c r="G1070">
        <f>IF($Q1070="","",IF(ISNUMBER(INDEX(상세표[블록종료],$Q1070)),TEXT(INDEX(상세표[블록종료],$Q1070),"yyyy-mm-dd hh:mm"),INDEX(상세표[블록종료],$Q1070)&amp;""))</f>
        <v/>
      </c>
      <c r="H1070">
        <f>IF($Q1070="","",CHOOSE(WEEKDAY(INDEX(상세표[시작],$Q1070)),"일","월","화","수","목","금","토"))</f>
        <v/>
      </c>
      <c r="I1070" s="20">
        <f>IF($Q1070="","",INDEX(상세표[연속 시간],$Q1070))</f>
        <v/>
      </c>
      <c r="J1070">
        <f>IF($Q1070="","",INDEX(상세표[기록 수],$Q1070))</f>
        <v/>
      </c>
      <c r="K1070" s="20">
        <f>IF($Q1070="","",INDEX(상세표[블록 06~07시],$Q1070))</f>
        <v/>
      </c>
      <c r="L1070" s="20">
        <f>IF($Q1070="","",INDEX(상세표[블록 07~18시],$Q1070))</f>
        <v/>
      </c>
      <c r="M1070" s="20">
        <f>IF($Q1070="","",INDEX(상세표[블록 18~22시],$Q1070))</f>
        <v/>
      </c>
      <c r="N1070" s="20">
        <f>IF($Q1070="","",INDEX(상세표[블록 22~06시],$Q1070))</f>
        <v/>
      </c>
      <c r="O1070">
        <f>IF($Q1070="","",INDEX(상세표[주말·휴일 포함],$Q1070)&amp;"")</f>
        <v/>
      </c>
      <c r="P1070">
        <f>IF($Q1070="","",INDEX(상세표[월 넘김 포함],$Q1070)&amp;"")</f>
        <v/>
      </c>
      <c r="Q1070" s="4">
        <f>IFERROR(MATCH(1065,상세표[연속순번],0),"")</f>
        <v/>
      </c>
    </row>
    <row r="1071">
      <c r="A1071">
        <f>IF($Q1071="","",INDEX(상세표[부서],$Q1071)&amp;"")</f>
        <v/>
      </c>
      <c r="B1071">
        <f>IF($Q1071="","",INDEX(상세표[사번],$Q1071)&amp;"")</f>
        <v/>
      </c>
      <c r="C1071">
        <f>IF($Q1071="","",INDEX(상세표[성명],$Q1071)&amp;"")</f>
        <v/>
      </c>
      <c r="D1071">
        <f>IF($Q1071="","",INDEX(상세표[직위],$Q1071)&amp;"")</f>
        <v/>
      </c>
      <c r="E1071">
        <f>IF($Q1071="","",IF(ISNUMBER(INDEX(상세표[근무일자],$Q1071)),TEXT(INDEX(상세표[근무일자],$Q1071),"yyyy-mm-dd"),INDEX(상세표[근무일자],$Q1071)&amp;""))</f>
        <v/>
      </c>
      <c r="F1071">
        <f>IF($Q1071="","",IF(ISNUMBER(INDEX(상세표[시작],$Q1071)),TEXT(INDEX(상세표[시작],$Q1071),"yyyy-mm-dd hh:mm"),INDEX(상세표[시작],$Q1071)&amp;""))</f>
        <v/>
      </c>
      <c r="G1071">
        <f>IF($Q1071="","",IF(ISNUMBER(INDEX(상세표[블록종료],$Q1071)),TEXT(INDEX(상세표[블록종료],$Q1071),"yyyy-mm-dd hh:mm"),INDEX(상세표[블록종료],$Q1071)&amp;""))</f>
        <v/>
      </c>
      <c r="H1071">
        <f>IF($Q1071="","",CHOOSE(WEEKDAY(INDEX(상세표[시작],$Q1071)),"일","월","화","수","목","금","토"))</f>
        <v/>
      </c>
      <c r="I1071" s="20">
        <f>IF($Q1071="","",INDEX(상세표[연속 시간],$Q1071))</f>
        <v/>
      </c>
      <c r="J1071">
        <f>IF($Q1071="","",INDEX(상세표[기록 수],$Q1071))</f>
        <v/>
      </c>
      <c r="K1071" s="20">
        <f>IF($Q1071="","",INDEX(상세표[블록 06~07시],$Q1071))</f>
        <v/>
      </c>
      <c r="L1071" s="20">
        <f>IF($Q1071="","",INDEX(상세표[블록 07~18시],$Q1071))</f>
        <v/>
      </c>
      <c r="M1071" s="20">
        <f>IF($Q1071="","",INDEX(상세표[블록 18~22시],$Q1071))</f>
        <v/>
      </c>
      <c r="N1071" s="20">
        <f>IF($Q1071="","",INDEX(상세표[블록 22~06시],$Q1071))</f>
        <v/>
      </c>
      <c r="O1071">
        <f>IF($Q1071="","",INDEX(상세표[주말·휴일 포함],$Q1071)&amp;"")</f>
        <v/>
      </c>
      <c r="P1071">
        <f>IF($Q1071="","",INDEX(상세표[월 넘김 포함],$Q1071)&amp;"")</f>
        <v/>
      </c>
      <c r="Q1071" s="4">
        <f>IFERROR(MATCH(1066,상세표[연속순번],0),"")</f>
        <v/>
      </c>
    </row>
    <row r="1072">
      <c r="A1072">
        <f>IF($Q1072="","",INDEX(상세표[부서],$Q1072)&amp;"")</f>
        <v/>
      </c>
      <c r="B1072">
        <f>IF($Q1072="","",INDEX(상세표[사번],$Q1072)&amp;"")</f>
        <v/>
      </c>
      <c r="C1072">
        <f>IF($Q1072="","",INDEX(상세표[성명],$Q1072)&amp;"")</f>
        <v/>
      </c>
      <c r="D1072">
        <f>IF($Q1072="","",INDEX(상세표[직위],$Q1072)&amp;"")</f>
        <v/>
      </c>
      <c r="E1072">
        <f>IF($Q1072="","",IF(ISNUMBER(INDEX(상세표[근무일자],$Q1072)),TEXT(INDEX(상세표[근무일자],$Q1072),"yyyy-mm-dd"),INDEX(상세표[근무일자],$Q1072)&amp;""))</f>
        <v/>
      </c>
      <c r="F1072">
        <f>IF($Q1072="","",IF(ISNUMBER(INDEX(상세표[시작],$Q1072)),TEXT(INDEX(상세표[시작],$Q1072),"yyyy-mm-dd hh:mm"),INDEX(상세표[시작],$Q1072)&amp;""))</f>
        <v/>
      </c>
      <c r="G1072">
        <f>IF($Q1072="","",IF(ISNUMBER(INDEX(상세표[블록종료],$Q1072)),TEXT(INDEX(상세표[블록종료],$Q1072),"yyyy-mm-dd hh:mm"),INDEX(상세표[블록종료],$Q1072)&amp;""))</f>
        <v/>
      </c>
      <c r="H1072">
        <f>IF($Q1072="","",CHOOSE(WEEKDAY(INDEX(상세표[시작],$Q1072)),"일","월","화","수","목","금","토"))</f>
        <v/>
      </c>
      <c r="I1072" s="20">
        <f>IF($Q1072="","",INDEX(상세표[연속 시간],$Q1072))</f>
        <v/>
      </c>
      <c r="J1072">
        <f>IF($Q1072="","",INDEX(상세표[기록 수],$Q1072))</f>
        <v/>
      </c>
      <c r="K1072" s="20">
        <f>IF($Q1072="","",INDEX(상세표[블록 06~07시],$Q1072))</f>
        <v/>
      </c>
      <c r="L1072" s="20">
        <f>IF($Q1072="","",INDEX(상세표[블록 07~18시],$Q1072))</f>
        <v/>
      </c>
      <c r="M1072" s="20">
        <f>IF($Q1072="","",INDEX(상세표[블록 18~22시],$Q1072))</f>
        <v/>
      </c>
      <c r="N1072" s="20">
        <f>IF($Q1072="","",INDEX(상세표[블록 22~06시],$Q1072))</f>
        <v/>
      </c>
      <c r="O1072">
        <f>IF($Q1072="","",INDEX(상세표[주말·휴일 포함],$Q1072)&amp;"")</f>
        <v/>
      </c>
      <c r="P1072">
        <f>IF($Q1072="","",INDEX(상세표[월 넘김 포함],$Q1072)&amp;"")</f>
        <v/>
      </c>
      <c r="Q1072" s="4">
        <f>IFERROR(MATCH(1067,상세표[연속순번],0),"")</f>
        <v/>
      </c>
    </row>
    <row r="1073">
      <c r="A1073">
        <f>IF($Q1073="","",INDEX(상세표[부서],$Q1073)&amp;"")</f>
        <v/>
      </c>
      <c r="B1073">
        <f>IF($Q1073="","",INDEX(상세표[사번],$Q1073)&amp;"")</f>
        <v/>
      </c>
      <c r="C1073">
        <f>IF($Q1073="","",INDEX(상세표[성명],$Q1073)&amp;"")</f>
        <v/>
      </c>
      <c r="D1073">
        <f>IF($Q1073="","",INDEX(상세표[직위],$Q1073)&amp;"")</f>
        <v/>
      </c>
      <c r="E1073">
        <f>IF($Q1073="","",IF(ISNUMBER(INDEX(상세표[근무일자],$Q1073)),TEXT(INDEX(상세표[근무일자],$Q1073),"yyyy-mm-dd"),INDEX(상세표[근무일자],$Q1073)&amp;""))</f>
        <v/>
      </c>
      <c r="F1073">
        <f>IF($Q1073="","",IF(ISNUMBER(INDEX(상세표[시작],$Q1073)),TEXT(INDEX(상세표[시작],$Q1073),"yyyy-mm-dd hh:mm"),INDEX(상세표[시작],$Q1073)&amp;""))</f>
        <v/>
      </c>
      <c r="G1073">
        <f>IF($Q1073="","",IF(ISNUMBER(INDEX(상세표[블록종료],$Q1073)),TEXT(INDEX(상세표[블록종료],$Q1073),"yyyy-mm-dd hh:mm"),INDEX(상세표[블록종료],$Q1073)&amp;""))</f>
        <v/>
      </c>
      <c r="H1073">
        <f>IF($Q1073="","",CHOOSE(WEEKDAY(INDEX(상세표[시작],$Q1073)),"일","월","화","수","목","금","토"))</f>
        <v/>
      </c>
      <c r="I1073" s="20">
        <f>IF($Q1073="","",INDEX(상세표[연속 시간],$Q1073))</f>
        <v/>
      </c>
      <c r="J1073">
        <f>IF($Q1073="","",INDEX(상세표[기록 수],$Q1073))</f>
        <v/>
      </c>
      <c r="K1073" s="20">
        <f>IF($Q1073="","",INDEX(상세표[블록 06~07시],$Q1073))</f>
        <v/>
      </c>
      <c r="L1073" s="20">
        <f>IF($Q1073="","",INDEX(상세표[블록 07~18시],$Q1073))</f>
        <v/>
      </c>
      <c r="M1073" s="20">
        <f>IF($Q1073="","",INDEX(상세표[블록 18~22시],$Q1073))</f>
        <v/>
      </c>
      <c r="N1073" s="20">
        <f>IF($Q1073="","",INDEX(상세표[블록 22~06시],$Q1073))</f>
        <v/>
      </c>
      <c r="O1073">
        <f>IF($Q1073="","",INDEX(상세표[주말·휴일 포함],$Q1073)&amp;"")</f>
        <v/>
      </c>
      <c r="P1073">
        <f>IF($Q1073="","",INDEX(상세표[월 넘김 포함],$Q1073)&amp;"")</f>
        <v/>
      </c>
      <c r="Q1073" s="4">
        <f>IFERROR(MATCH(1068,상세표[연속순번],0),"")</f>
        <v/>
      </c>
    </row>
    <row r="1074">
      <c r="A1074">
        <f>IF($Q1074="","",INDEX(상세표[부서],$Q1074)&amp;"")</f>
        <v/>
      </c>
      <c r="B1074">
        <f>IF($Q1074="","",INDEX(상세표[사번],$Q1074)&amp;"")</f>
        <v/>
      </c>
      <c r="C1074">
        <f>IF($Q1074="","",INDEX(상세표[성명],$Q1074)&amp;"")</f>
        <v/>
      </c>
      <c r="D1074">
        <f>IF($Q1074="","",INDEX(상세표[직위],$Q1074)&amp;"")</f>
        <v/>
      </c>
      <c r="E1074">
        <f>IF($Q1074="","",IF(ISNUMBER(INDEX(상세표[근무일자],$Q1074)),TEXT(INDEX(상세표[근무일자],$Q1074),"yyyy-mm-dd"),INDEX(상세표[근무일자],$Q1074)&amp;""))</f>
        <v/>
      </c>
      <c r="F1074">
        <f>IF($Q1074="","",IF(ISNUMBER(INDEX(상세표[시작],$Q1074)),TEXT(INDEX(상세표[시작],$Q1074),"yyyy-mm-dd hh:mm"),INDEX(상세표[시작],$Q1074)&amp;""))</f>
        <v/>
      </c>
      <c r="G1074">
        <f>IF($Q1074="","",IF(ISNUMBER(INDEX(상세표[블록종료],$Q1074)),TEXT(INDEX(상세표[블록종료],$Q1074),"yyyy-mm-dd hh:mm"),INDEX(상세표[블록종료],$Q1074)&amp;""))</f>
        <v/>
      </c>
      <c r="H1074">
        <f>IF($Q1074="","",CHOOSE(WEEKDAY(INDEX(상세표[시작],$Q1074)),"일","월","화","수","목","금","토"))</f>
        <v/>
      </c>
      <c r="I1074" s="20">
        <f>IF($Q1074="","",INDEX(상세표[연속 시간],$Q1074))</f>
        <v/>
      </c>
      <c r="J1074">
        <f>IF($Q1074="","",INDEX(상세표[기록 수],$Q1074))</f>
        <v/>
      </c>
      <c r="K1074" s="20">
        <f>IF($Q1074="","",INDEX(상세표[블록 06~07시],$Q1074))</f>
        <v/>
      </c>
      <c r="L1074" s="20">
        <f>IF($Q1074="","",INDEX(상세표[블록 07~18시],$Q1074))</f>
        <v/>
      </c>
      <c r="M1074" s="20">
        <f>IF($Q1074="","",INDEX(상세표[블록 18~22시],$Q1074))</f>
        <v/>
      </c>
      <c r="N1074" s="20">
        <f>IF($Q1074="","",INDEX(상세표[블록 22~06시],$Q1074))</f>
        <v/>
      </c>
      <c r="O1074">
        <f>IF($Q1074="","",INDEX(상세표[주말·휴일 포함],$Q1074)&amp;"")</f>
        <v/>
      </c>
      <c r="P1074">
        <f>IF($Q1074="","",INDEX(상세표[월 넘김 포함],$Q1074)&amp;"")</f>
        <v/>
      </c>
      <c r="Q1074" s="4">
        <f>IFERROR(MATCH(1069,상세표[연속순번],0),"")</f>
        <v/>
      </c>
    </row>
    <row r="1075">
      <c r="A1075">
        <f>IF($Q1075="","",INDEX(상세표[부서],$Q1075)&amp;"")</f>
        <v/>
      </c>
      <c r="B1075">
        <f>IF($Q1075="","",INDEX(상세표[사번],$Q1075)&amp;"")</f>
        <v/>
      </c>
      <c r="C1075">
        <f>IF($Q1075="","",INDEX(상세표[성명],$Q1075)&amp;"")</f>
        <v/>
      </c>
      <c r="D1075">
        <f>IF($Q1075="","",INDEX(상세표[직위],$Q1075)&amp;"")</f>
        <v/>
      </c>
      <c r="E1075">
        <f>IF($Q1075="","",IF(ISNUMBER(INDEX(상세표[근무일자],$Q1075)),TEXT(INDEX(상세표[근무일자],$Q1075),"yyyy-mm-dd"),INDEX(상세표[근무일자],$Q1075)&amp;""))</f>
        <v/>
      </c>
      <c r="F1075">
        <f>IF($Q1075="","",IF(ISNUMBER(INDEX(상세표[시작],$Q1075)),TEXT(INDEX(상세표[시작],$Q1075),"yyyy-mm-dd hh:mm"),INDEX(상세표[시작],$Q1075)&amp;""))</f>
        <v/>
      </c>
      <c r="G1075">
        <f>IF($Q1075="","",IF(ISNUMBER(INDEX(상세표[블록종료],$Q1075)),TEXT(INDEX(상세표[블록종료],$Q1075),"yyyy-mm-dd hh:mm"),INDEX(상세표[블록종료],$Q1075)&amp;""))</f>
        <v/>
      </c>
      <c r="H1075">
        <f>IF($Q1075="","",CHOOSE(WEEKDAY(INDEX(상세표[시작],$Q1075)),"일","월","화","수","목","금","토"))</f>
        <v/>
      </c>
      <c r="I1075" s="20">
        <f>IF($Q1075="","",INDEX(상세표[연속 시간],$Q1075))</f>
        <v/>
      </c>
      <c r="J1075">
        <f>IF($Q1075="","",INDEX(상세표[기록 수],$Q1075))</f>
        <v/>
      </c>
      <c r="K1075" s="20">
        <f>IF($Q1075="","",INDEX(상세표[블록 06~07시],$Q1075))</f>
        <v/>
      </c>
      <c r="L1075" s="20">
        <f>IF($Q1075="","",INDEX(상세표[블록 07~18시],$Q1075))</f>
        <v/>
      </c>
      <c r="M1075" s="20">
        <f>IF($Q1075="","",INDEX(상세표[블록 18~22시],$Q1075))</f>
        <v/>
      </c>
      <c r="N1075" s="20">
        <f>IF($Q1075="","",INDEX(상세표[블록 22~06시],$Q1075))</f>
        <v/>
      </c>
      <c r="O1075">
        <f>IF($Q1075="","",INDEX(상세표[주말·휴일 포함],$Q1075)&amp;"")</f>
        <v/>
      </c>
      <c r="P1075">
        <f>IF($Q1075="","",INDEX(상세표[월 넘김 포함],$Q1075)&amp;"")</f>
        <v/>
      </c>
      <c r="Q1075" s="4">
        <f>IFERROR(MATCH(1070,상세표[연속순번],0),"")</f>
        <v/>
      </c>
    </row>
    <row r="1076">
      <c r="A1076">
        <f>IF($Q1076="","",INDEX(상세표[부서],$Q1076)&amp;"")</f>
        <v/>
      </c>
      <c r="B1076">
        <f>IF($Q1076="","",INDEX(상세표[사번],$Q1076)&amp;"")</f>
        <v/>
      </c>
      <c r="C1076">
        <f>IF($Q1076="","",INDEX(상세표[성명],$Q1076)&amp;"")</f>
        <v/>
      </c>
      <c r="D1076">
        <f>IF($Q1076="","",INDEX(상세표[직위],$Q1076)&amp;"")</f>
        <v/>
      </c>
      <c r="E1076">
        <f>IF($Q1076="","",IF(ISNUMBER(INDEX(상세표[근무일자],$Q1076)),TEXT(INDEX(상세표[근무일자],$Q1076),"yyyy-mm-dd"),INDEX(상세표[근무일자],$Q1076)&amp;""))</f>
        <v/>
      </c>
      <c r="F1076">
        <f>IF($Q1076="","",IF(ISNUMBER(INDEX(상세표[시작],$Q1076)),TEXT(INDEX(상세표[시작],$Q1076),"yyyy-mm-dd hh:mm"),INDEX(상세표[시작],$Q1076)&amp;""))</f>
        <v/>
      </c>
      <c r="G1076">
        <f>IF($Q1076="","",IF(ISNUMBER(INDEX(상세표[블록종료],$Q1076)),TEXT(INDEX(상세표[블록종료],$Q1076),"yyyy-mm-dd hh:mm"),INDEX(상세표[블록종료],$Q1076)&amp;""))</f>
        <v/>
      </c>
      <c r="H1076">
        <f>IF($Q1076="","",CHOOSE(WEEKDAY(INDEX(상세표[시작],$Q1076)),"일","월","화","수","목","금","토"))</f>
        <v/>
      </c>
      <c r="I1076" s="20">
        <f>IF($Q1076="","",INDEX(상세표[연속 시간],$Q1076))</f>
        <v/>
      </c>
      <c r="J1076">
        <f>IF($Q1076="","",INDEX(상세표[기록 수],$Q1076))</f>
        <v/>
      </c>
      <c r="K1076" s="20">
        <f>IF($Q1076="","",INDEX(상세표[블록 06~07시],$Q1076))</f>
        <v/>
      </c>
      <c r="L1076" s="20">
        <f>IF($Q1076="","",INDEX(상세표[블록 07~18시],$Q1076))</f>
        <v/>
      </c>
      <c r="M1076" s="20">
        <f>IF($Q1076="","",INDEX(상세표[블록 18~22시],$Q1076))</f>
        <v/>
      </c>
      <c r="N1076" s="20">
        <f>IF($Q1076="","",INDEX(상세표[블록 22~06시],$Q1076))</f>
        <v/>
      </c>
      <c r="O1076">
        <f>IF($Q1076="","",INDEX(상세표[주말·휴일 포함],$Q1076)&amp;"")</f>
        <v/>
      </c>
      <c r="P1076">
        <f>IF($Q1076="","",INDEX(상세표[월 넘김 포함],$Q1076)&amp;"")</f>
        <v/>
      </c>
      <c r="Q1076" s="4">
        <f>IFERROR(MATCH(1071,상세표[연속순번],0),"")</f>
        <v/>
      </c>
    </row>
    <row r="1077">
      <c r="A1077">
        <f>IF($Q1077="","",INDEX(상세표[부서],$Q1077)&amp;"")</f>
        <v/>
      </c>
      <c r="B1077">
        <f>IF($Q1077="","",INDEX(상세표[사번],$Q1077)&amp;"")</f>
        <v/>
      </c>
      <c r="C1077">
        <f>IF($Q1077="","",INDEX(상세표[성명],$Q1077)&amp;"")</f>
        <v/>
      </c>
      <c r="D1077">
        <f>IF($Q1077="","",INDEX(상세표[직위],$Q1077)&amp;"")</f>
        <v/>
      </c>
      <c r="E1077">
        <f>IF($Q1077="","",IF(ISNUMBER(INDEX(상세표[근무일자],$Q1077)),TEXT(INDEX(상세표[근무일자],$Q1077),"yyyy-mm-dd"),INDEX(상세표[근무일자],$Q1077)&amp;""))</f>
        <v/>
      </c>
      <c r="F1077">
        <f>IF($Q1077="","",IF(ISNUMBER(INDEX(상세표[시작],$Q1077)),TEXT(INDEX(상세표[시작],$Q1077),"yyyy-mm-dd hh:mm"),INDEX(상세표[시작],$Q1077)&amp;""))</f>
        <v/>
      </c>
      <c r="G1077">
        <f>IF($Q1077="","",IF(ISNUMBER(INDEX(상세표[블록종료],$Q1077)),TEXT(INDEX(상세표[블록종료],$Q1077),"yyyy-mm-dd hh:mm"),INDEX(상세표[블록종료],$Q1077)&amp;""))</f>
        <v/>
      </c>
      <c r="H1077">
        <f>IF($Q1077="","",CHOOSE(WEEKDAY(INDEX(상세표[시작],$Q1077)),"일","월","화","수","목","금","토"))</f>
        <v/>
      </c>
      <c r="I1077" s="20">
        <f>IF($Q1077="","",INDEX(상세표[연속 시간],$Q1077))</f>
        <v/>
      </c>
      <c r="J1077">
        <f>IF($Q1077="","",INDEX(상세표[기록 수],$Q1077))</f>
        <v/>
      </c>
      <c r="K1077" s="20">
        <f>IF($Q1077="","",INDEX(상세표[블록 06~07시],$Q1077))</f>
        <v/>
      </c>
      <c r="L1077" s="20">
        <f>IF($Q1077="","",INDEX(상세표[블록 07~18시],$Q1077))</f>
        <v/>
      </c>
      <c r="M1077" s="20">
        <f>IF($Q1077="","",INDEX(상세표[블록 18~22시],$Q1077))</f>
        <v/>
      </c>
      <c r="N1077" s="20">
        <f>IF($Q1077="","",INDEX(상세표[블록 22~06시],$Q1077))</f>
        <v/>
      </c>
      <c r="O1077">
        <f>IF($Q1077="","",INDEX(상세표[주말·휴일 포함],$Q1077)&amp;"")</f>
        <v/>
      </c>
      <c r="P1077">
        <f>IF($Q1077="","",INDEX(상세표[월 넘김 포함],$Q1077)&amp;"")</f>
        <v/>
      </c>
      <c r="Q1077" s="4">
        <f>IFERROR(MATCH(1072,상세표[연속순번],0),"")</f>
        <v/>
      </c>
    </row>
    <row r="1078">
      <c r="A1078">
        <f>IF($Q1078="","",INDEX(상세표[부서],$Q1078)&amp;"")</f>
        <v/>
      </c>
      <c r="B1078">
        <f>IF($Q1078="","",INDEX(상세표[사번],$Q1078)&amp;"")</f>
        <v/>
      </c>
      <c r="C1078">
        <f>IF($Q1078="","",INDEX(상세표[성명],$Q1078)&amp;"")</f>
        <v/>
      </c>
      <c r="D1078">
        <f>IF($Q1078="","",INDEX(상세표[직위],$Q1078)&amp;"")</f>
        <v/>
      </c>
      <c r="E1078">
        <f>IF($Q1078="","",IF(ISNUMBER(INDEX(상세표[근무일자],$Q1078)),TEXT(INDEX(상세표[근무일자],$Q1078),"yyyy-mm-dd"),INDEX(상세표[근무일자],$Q1078)&amp;""))</f>
        <v/>
      </c>
      <c r="F1078">
        <f>IF($Q1078="","",IF(ISNUMBER(INDEX(상세표[시작],$Q1078)),TEXT(INDEX(상세표[시작],$Q1078),"yyyy-mm-dd hh:mm"),INDEX(상세표[시작],$Q1078)&amp;""))</f>
        <v/>
      </c>
      <c r="G1078">
        <f>IF($Q1078="","",IF(ISNUMBER(INDEX(상세표[블록종료],$Q1078)),TEXT(INDEX(상세표[블록종료],$Q1078),"yyyy-mm-dd hh:mm"),INDEX(상세표[블록종료],$Q1078)&amp;""))</f>
        <v/>
      </c>
      <c r="H1078">
        <f>IF($Q1078="","",CHOOSE(WEEKDAY(INDEX(상세표[시작],$Q1078)),"일","월","화","수","목","금","토"))</f>
        <v/>
      </c>
      <c r="I1078" s="20">
        <f>IF($Q1078="","",INDEX(상세표[연속 시간],$Q1078))</f>
        <v/>
      </c>
      <c r="J1078">
        <f>IF($Q1078="","",INDEX(상세표[기록 수],$Q1078))</f>
        <v/>
      </c>
      <c r="K1078" s="20">
        <f>IF($Q1078="","",INDEX(상세표[블록 06~07시],$Q1078))</f>
        <v/>
      </c>
      <c r="L1078" s="20">
        <f>IF($Q1078="","",INDEX(상세표[블록 07~18시],$Q1078))</f>
        <v/>
      </c>
      <c r="M1078" s="20">
        <f>IF($Q1078="","",INDEX(상세표[블록 18~22시],$Q1078))</f>
        <v/>
      </c>
      <c r="N1078" s="20">
        <f>IF($Q1078="","",INDEX(상세표[블록 22~06시],$Q1078))</f>
        <v/>
      </c>
      <c r="O1078">
        <f>IF($Q1078="","",INDEX(상세표[주말·휴일 포함],$Q1078)&amp;"")</f>
        <v/>
      </c>
      <c r="P1078">
        <f>IF($Q1078="","",INDEX(상세표[월 넘김 포함],$Q1078)&amp;"")</f>
        <v/>
      </c>
      <c r="Q1078" s="4">
        <f>IFERROR(MATCH(1073,상세표[연속순번],0),"")</f>
        <v/>
      </c>
    </row>
    <row r="1079">
      <c r="A1079">
        <f>IF($Q1079="","",INDEX(상세표[부서],$Q1079)&amp;"")</f>
        <v/>
      </c>
      <c r="B1079">
        <f>IF($Q1079="","",INDEX(상세표[사번],$Q1079)&amp;"")</f>
        <v/>
      </c>
      <c r="C1079">
        <f>IF($Q1079="","",INDEX(상세표[성명],$Q1079)&amp;"")</f>
        <v/>
      </c>
      <c r="D1079">
        <f>IF($Q1079="","",INDEX(상세표[직위],$Q1079)&amp;"")</f>
        <v/>
      </c>
      <c r="E1079">
        <f>IF($Q1079="","",IF(ISNUMBER(INDEX(상세표[근무일자],$Q1079)),TEXT(INDEX(상세표[근무일자],$Q1079),"yyyy-mm-dd"),INDEX(상세표[근무일자],$Q1079)&amp;""))</f>
        <v/>
      </c>
      <c r="F1079">
        <f>IF($Q1079="","",IF(ISNUMBER(INDEX(상세표[시작],$Q1079)),TEXT(INDEX(상세표[시작],$Q1079),"yyyy-mm-dd hh:mm"),INDEX(상세표[시작],$Q1079)&amp;""))</f>
        <v/>
      </c>
      <c r="G1079">
        <f>IF($Q1079="","",IF(ISNUMBER(INDEX(상세표[블록종료],$Q1079)),TEXT(INDEX(상세표[블록종료],$Q1079),"yyyy-mm-dd hh:mm"),INDEX(상세표[블록종료],$Q1079)&amp;""))</f>
        <v/>
      </c>
      <c r="H1079">
        <f>IF($Q1079="","",CHOOSE(WEEKDAY(INDEX(상세표[시작],$Q1079)),"일","월","화","수","목","금","토"))</f>
        <v/>
      </c>
      <c r="I1079" s="20">
        <f>IF($Q1079="","",INDEX(상세표[연속 시간],$Q1079))</f>
        <v/>
      </c>
      <c r="J1079">
        <f>IF($Q1079="","",INDEX(상세표[기록 수],$Q1079))</f>
        <v/>
      </c>
      <c r="K1079" s="20">
        <f>IF($Q1079="","",INDEX(상세표[블록 06~07시],$Q1079))</f>
        <v/>
      </c>
      <c r="L1079" s="20">
        <f>IF($Q1079="","",INDEX(상세표[블록 07~18시],$Q1079))</f>
        <v/>
      </c>
      <c r="M1079" s="20">
        <f>IF($Q1079="","",INDEX(상세표[블록 18~22시],$Q1079))</f>
        <v/>
      </c>
      <c r="N1079" s="20">
        <f>IF($Q1079="","",INDEX(상세표[블록 22~06시],$Q1079))</f>
        <v/>
      </c>
      <c r="O1079">
        <f>IF($Q1079="","",INDEX(상세표[주말·휴일 포함],$Q1079)&amp;"")</f>
        <v/>
      </c>
      <c r="P1079">
        <f>IF($Q1079="","",INDEX(상세표[월 넘김 포함],$Q1079)&amp;"")</f>
        <v/>
      </c>
      <c r="Q1079" s="4">
        <f>IFERROR(MATCH(1074,상세표[연속순번],0),"")</f>
        <v/>
      </c>
    </row>
    <row r="1080">
      <c r="A1080">
        <f>IF($Q1080="","",INDEX(상세표[부서],$Q1080)&amp;"")</f>
        <v/>
      </c>
      <c r="B1080">
        <f>IF($Q1080="","",INDEX(상세표[사번],$Q1080)&amp;"")</f>
        <v/>
      </c>
      <c r="C1080">
        <f>IF($Q1080="","",INDEX(상세표[성명],$Q1080)&amp;"")</f>
        <v/>
      </c>
      <c r="D1080">
        <f>IF($Q1080="","",INDEX(상세표[직위],$Q1080)&amp;"")</f>
        <v/>
      </c>
      <c r="E1080">
        <f>IF($Q1080="","",IF(ISNUMBER(INDEX(상세표[근무일자],$Q1080)),TEXT(INDEX(상세표[근무일자],$Q1080),"yyyy-mm-dd"),INDEX(상세표[근무일자],$Q1080)&amp;""))</f>
        <v/>
      </c>
      <c r="F1080">
        <f>IF($Q1080="","",IF(ISNUMBER(INDEX(상세표[시작],$Q1080)),TEXT(INDEX(상세표[시작],$Q1080),"yyyy-mm-dd hh:mm"),INDEX(상세표[시작],$Q1080)&amp;""))</f>
        <v/>
      </c>
      <c r="G1080">
        <f>IF($Q1080="","",IF(ISNUMBER(INDEX(상세표[블록종료],$Q1080)),TEXT(INDEX(상세표[블록종료],$Q1080),"yyyy-mm-dd hh:mm"),INDEX(상세표[블록종료],$Q1080)&amp;""))</f>
        <v/>
      </c>
      <c r="H1080">
        <f>IF($Q1080="","",CHOOSE(WEEKDAY(INDEX(상세표[시작],$Q1080)),"일","월","화","수","목","금","토"))</f>
        <v/>
      </c>
      <c r="I1080" s="20">
        <f>IF($Q1080="","",INDEX(상세표[연속 시간],$Q1080))</f>
        <v/>
      </c>
      <c r="J1080">
        <f>IF($Q1080="","",INDEX(상세표[기록 수],$Q1080))</f>
        <v/>
      </c>
      <c r="K1080" s="20">
        <f>IF($Q1080="","",INDEX(상세표[블록 06~07시],$Q1080))</f>
        <v/>
      </c>
      <c r="L1080" s="20">
        <f>IF($Q1080="","",INDEX(상세표[블록 07~18시],$Q1080))</f>
        <v/>
      </c>
      <c r="M1080" s="20">
        <f>IF($Q1080="","",INDEX(상세표[블록 18~22시],$Q1080))</f>
        <v/>
      </c>
      <c r="N1080" s="20">
        <f>IF($Q1080="","",INDEX(상세표[블록 22~06시],$Q1080))</f>
        <v/>
      </c>
      <c r="O1080">
        <f>IF($Q1080="","",INDEX(상세표[주말·휴일 포함],$Q1080)&amp;"")</f>
        <v/>
      </c>
      <c r="P1080">
        <f>IF($Q1080="","",INDEX(상세표[월 넘김 포함],$Q1080)&amp;"")</f>
        <v/>
      </c>
      <c r="Q1080" s="4">
        <f>IFERROR(MATCH(1075,상세표[연속순번],0),"")</f>
        <v/>
      </c>
    </row>
    <row r="1081">
      <c r="A1081">
        <f>IF($Q1081="","",INDEX(상세표[부서],$Q1081)&amp;"")</f>
        <v/>
      </c>
      <c r="B1081">
        <f>IF($Q1081="","",INDEX(상세표[사번],$Q1081)&amp;"")</f>
        <v/>
      </c>
      <c r="C1081">
        <f>IF($Q1081="","",INDEX(상세표[성명],$Q1081)&amp;"")</f>
        <v/>
      </c>
      <c r="D1081">
        <f>IF($Q1081="","",INDEX(상세표[직위],$Q1081)&amp;"")</f>
        <v/>
      </c>
      <c r="E1081">
        <f>IF($Q1081="","",IF(ISNUMBER(INDEX(상세표[근무일자],$Q1081)),TEXT(INDEX(상세표[근무일자],$Q1081),"yyyy-mm-dd"),INDEX(상세표[근무일자],$Q1081)&amp;""))</f>
        <v/>
      </c>
      <c r="F1081">
        <f>IF($Q1081="","",IF(ISNUMBER(INDEX(상세표[시작],$Q1081)),TEXT(INDEX(상세표[시작],$Q1081),"yyyy-mm-dd hh:mm"),INDEX(상세표[시작],$Q1081)&amp;""))</f>
        <v/>
      </c>
      <c r="G1081">
        <f>IF($Q1081="","",IF(ISNUMBER(INDEX(상세표[블록종료],$Q1081)),TEXT(INDEX(상세표[블록종료],$Q1081),"yyyy-mm-dd hh:mm"),INDEX(상세표[블록종료],$Q1081)&amp;""))</f>
        <v/>
      </c>
      <c r="H1081">
        <f>IF($Q1081="","",CHOOSE(WEEKDAY(INDEX(상세표[시작],$Q1081)),"일","월","화","수","목","금","토"))</f>
        <v/>
      </c>
      <c r="I1081" s="20">
        <f>IF($Q1081="","",INDEX(상세표[연속 시간],$Q1081))</f>
        <v/>
      </c>
      <c r="J1081">
        <f>IF($Q1081="","",INDEX(상세표[기록 수],$Q1081))</f>
        <v/>
      </c>
      <c r="K1081" s="20">
        <f>IF($Q1081="","",INDEX(상세표[블록 06~07시],$Q1081))</f>
        <v/>
      </c>
      <c r="L1081" s="20">
        <f>IF($Q1081="","",INDEX(상세표[블록 07~18시],$Q1081))</f>
        <v/>
      </c>
      <c r="M1081" s="20">
        <f>IF($Q1081="","",INDEX(상세표[블록 18~22시],$Q1081))</f>
        <v/>
      </c>
      <c r="N1081" s="20">
        <f>IF($Q1081="","",INDEX(상세표[블록 22~06시],$Q1081))</f>
        <v/>
      </c>
      <c r="O1081">
        <f>IF($Q1081="","",INDEX(상세표[주말·휴일 포함],$Q1081)&amp;"")</f>
        <v/>
      </c>
      <c r="P1081">
        <f>IF($Q1081="","",INDEX(상세표[월 넘김 포함],$Q1081)&amp;"")</f>
        <v/>
      </c>
      <c r="Q1081" s="4">
        <f>IFERROR(MATCH(1076,상세표[연속순번],0),"")</f>
        <v/>
      </c>
    </row>
    <row r="1082">
      <c r="A1082">
        <f>IF($Q1082="","",INDEX(상세표[부서],$Q1082)&amp;"")</f>
        <v/>
      </c>
      <c r="B1082">
        <f>IF($Q1082="","",INDEX(상세표[사번],$Q1082)&amp;"")</f>
        <v/>
      </c>
      <c r="C1082">
        <f>IF($Q1082="","",INDEX(상세표[성명],$Q1082)&amp;"")</f>
        <v/>
      </c>
      <c r="D1082">
        <f>IF($Q1082="","",INDEX(상세표[직위],$Q1082)&amp;"")</f>
        <v/>
      </c>
      <c r="E1082">
        <f>IF($Q1082="","",IF(ISNUMBER(INDEX(상세표[근무일자],$Q1082)),TEXT(INDEX(상세표[근무일자],$Q1082),"yyyy-mm-dd"),INDEX(상세표[근무일자],$Q1082)&amp;""))</f>
        <v/>
      </c>
      <c r="F1082">
        <f>IF($Q1082="","",IF(ISNUMBER(INDEX(상세표[시작],$Q1082)),TEXT(INDEX(상세표[시작],$Q1082),"yyyy-mm-dd hh:mm"),INDEX(상세표[시작],$Q1082)&amp;""))</f>
        <v/>
      </c>
      <c r="G1082">
        <f>IF($Q1082="","",IF(ISNUMBER(INDEX(상세표[블록종료],$Q1082)),TEXT(INDEX(상세표[블록종료],$Q1082),"yyyy-mm-dd hh:mm"),INDEX(상세표[블록종료],$Q1082)&amp;""))</f>
        <v/>
      </c>
      <c r="H1082">
        <f>IF($Q1082="","",CHOOSE(WEEKDAY(INDEX(상세표[시작],$Q1082)),"일","월","화","수","목","금","토"))</f>
        <v/>
      </c>
      <c r="I1082" s="20">
        <f>IF($Q1082="","",INDEX(상세표[연속 시간],$Q1082))</f>
        <v/>
      </c>
      <c r="J1082">
        <f>IF($Q1082="","",INDEX(상세표[기록 수],$Q1082))</f>
        <v/>
      </c>
      <c r="K1082" s="20">
        <f>IF($Q1082="","",INDEX(상세표[블록 06~07시],$Q1082))</f>
        <v/>
      </c>
      <c r="L1082" s="20">
        <f>IF($Q1082="","",INDEX(상세표[블록 07~18시],$Q1082))</f>
        <v/>
      </c>
      <c r="M1082" s="20">
        <f>IF($Q1082="","",INDEX(상세표[블록 18~22시],$Q1082))</f>
        <v/>
      </c>
      <c r="N1082" s="20">
        <f>IF($Q1082="","",INDEX(상세표[블록 22~06시],$Q1082))</f>
        <v/>
      </c>
      <c r="O1082">
        <f>IF($Q1082="","",INDEX(상세표[주말·휴일 포함],$Q1082)&amp;"")</f>
        <v/>
      </c>
      <c r="P1082">
        <f>IF($Q1082="","",INDEX(상세표[월 넘김 포함],$Q1082)&amp;"")</f>
        <v/>
      </c>
      <c r="Q1082" s="4">
        <f>IFERROR(MATCH(1077,상세표[연속순번],0),"")</f>
        <v/>
      </c>
    </row>
    <row r="1083">
      <c r="A1083">
        <f>IF($Q1083="","",INDEX(상세표[부서],$Q1083)&amp;"")</f>
        <v/>
      </c>
      <c r="B1083">
        <f>IF($Q1083="","",INDEX(상세표[사번],$Q1083)&amp;"")</f>
        <v/>
      </c>
      <c r="C1083">
        <f>IF($Q1083="","",INDEX(상세표[성명],$Q1083)&amp;"")</f>
        <v/>
      </c>
      <c r="D1083">
        <f>IF($Q1083="","",INDEX(상세표[직위],$Q1083)&amp;"")</f>
        <v/>
      </c>
      <c r="E1083">
        <f>IF($Q1083="","",IF(ISNUMBER(INDEX(상세표[근무일자],$Q1083)),TEXT(INDEX(상세표[근무일자],$Q1083),"yyyy-mm-dd"),INDEX(상세표[근무일자],$Q1083)&amp;""))</f>
        <v/>
      </c>
      <c r="F1083">
        <f>IF($Q1083="","",IF(ISNUMBER(INDEX(상세표[시작],$Q1083)),TEXT(INDEX(상세표[시작],$Q1083),"yyyy-mm-dd hh:mm"),INDEX(상세표[시작],$Q1083)&amp;""))</f>
        <v/>
      </c>
      <c r="G1083">
        <f>IF($Q1083="","",IF(ISNUMBER(INDEX(상세표[블록종료],$Q1083)),TEXT(INDEX(상세표[블록종료],$Q1083),"yyyy-mm-dd hh:mm"),INDEX(상세표[블록종료],$Q1083)&amp;""))</f>
        <v/>
      </c>
      <c r="H1083">
        <f>IF($Q1083="","",CHOOSE(WEEKDAY(INDEX(상세표[시작],$Q1083)),"일","월","화","수","목","금","토"))</f>
        <v/>
      </c>
      <c r="I1083" s="20">
        <f>IF($Q1083="","",INDEX(상세표[연속 시간],$Q1083))</f>
        <v/>
      </c>
      <c r="J1083">
        <f>IF($Q1083="","",INDEX(상세표[기록 수],$Q1083))</f>
        <v/>
      </c>
      <c r="K1083" s="20">
        <f>IF($Q1083="","",INDEX(상세표[블록 06~07시],$Q1083))</f>
        <v/>
      </c>
      <c r="L1083" s="20">
        <f>IF($Q1083="","",INDEX(상세표[블록 07~18시],$Q1083))</f>
        <v/>
      </c>
      <c r="M1083" s="20">
        <f>IF($Q1083="","",INDEX(상세표[블록 18~22시],$Q1083))</f>
        <v/>
      </c>
      <c r="N1083" s="20">
        <f>IF($Q1083="","",INDEX(상세표[블록 22~06시],$Q1083))</f>
        <v/>
      </c>
      <c r="O1083">
        <f>IF($Q1083="","",INDEX(상세표[주말·휴일 포함],$Q1083)&amp;"")</f>
        <v/>
      </c>
      <c r="P1083">
        <f>IF($Q1083="","",INDEX(상세표[월 넘김 포함],$Q1083)&amp;"")</f>
        <v/>
      </c>
      <c r="Q1083" s="4">
        <f>IFERROR(MATCH(1078,상세표[연속순번],0),"")</f>
        <v/>
      </c>
    </row>
    <row r="1084">
      <c r="A1084">
        <f>IF($Q1084="","",INDEX(상세표[부서],$Q1084)&amp;"")</f>
        <v/>
      </c>
      <c r="B1084">
        <f>IF($Q1084="","",INDEX(상세표[사번],$Q1084)&amp;"")</f>
        <v/>
      </c>
      <c r="C1084">
        <f>IF($Q1084="","",INDEX(상세표[성명],$Q1084)&amp;"")</f>
        <v/>
      </c>
      <c r="D1084">
        <f>IF($Q1084="","",INDEX(상세표[직위],$Q1084)&amp;"")</f>
        <v/>
      </c>
      <c r="E1084">
        <f>IF($Q1084="","",IF(ISNUMBER(INDEX(상세표[근무일자],$Q1084)),TEXT(INDEX(상세표[근무일자],$Q1084),"yyyy-mm-dd"),INDEX(상세표[근무일자],$Q1084)&amp;""))</f>
        <v/>
      </c>
      <c r="F1084">
        <f>IF($Q1084="","",IF(ISNUMBER(INDEX(상세표[시작],$Q1084)),TEXT(INDEX(상세표[시작],$Q1084),"yyyy-mm-dd hh:mm"),INDEX(상세표[시작],$Q1084)&amp;""))</f>
        <v/>
      </c>
      <c r="G1084">
        <f>IF($Q1084="","",IF(ISNUMBER(INDEX(상세표[블록종료],$Q1084)),TEXT(INDEX(상세표[블록종료],$Q1084),"yyyy-mm-dd hh:mm"),INDEX(상세표[블록종료],$Q1084)&amp;""))</f>
        <v/>
      </c>
      <c r="H1084">
        <f>IF($Q1084="","",CHOOSE(WEEKDAY(INDEX(상세표[시작],$Q1084)),"일","월","화","수","목","금","토"))</f>
        <v/>
      </c>
      <c r="I1084" s="20">
        <f>IF($Q1084="","",INDEX(상세표[연속 시간],$Q1084))</f>
        <v/>
      </c>
      <c r="J1084">
        <f>IF($Q1084="","",INDEX(상세표[기록 수],$Q1084))</f>
        <v/>
      </c>
      <c r="K1084" s="20">
        <f>IF($Q1084="","",INDEX(상세표[블록 06~07시],$Q1084))</f>
        <v/>
      </c>
      <c r="L1084" s="20">
        <f>IF($Q1084="","",INDEX(상세표[블록 07~18시],$Q1084))</f>
        <v/>
      </c>
      <c r="M1084" s="20">
        <f>IF($Q1084="","",INDEX(상세표[블록 18~22시],$Q1084))</f>
        <v/>
      </c>
      <c r="N1084" s="20">
        <f>IF($Q1084="","",INDEX(상세표[블록 22~06시],$Q1084))</f>
        <v/>
      </c>
      <c r="O1084">
        <f>IF($Q1084="","",INDEX(상세표[주말·휴일 포함],$Q1084)&amp;"")</f>
        <v/>
      </c>
      <c r="P1084">
        <f>IF($Q1084="","",INDEX(상세표[월 넘김 포함],$Q1084)&amp;"")</f>
        <v/>
      </c>
      <c r="Q1084" s="4">
        <f>IFERROR(MATCH(1079,상세표[연속순번],0),"")</f>
        <v/>
      </c>
    </row>
    <row r="1085">
      <c r="A1085">
        <f>IF($Q1085="","",INDEX(상세표[부서],$Q1085)&amp;"")</f>
        <v/>
      </c>
      <c r="B1085">
        <f>IF($Q1085="","",INDEX(상세표[사번],$Q1085)&amp;"")</f>
        <v/>
      </c>
      <c r="C1085">
        <f>IF($Q1085="","",INDEX(상세표[성명],$Q1085)&amp;"")</f>
        <v/>
      </c>
      <c r="D1085">
        <f>IF($Q1085="","",INDEX(상세표[직위],$Q1085)&amp;"")</f>
        <v/>
      </c>
      <c r="E1085">
        <f>IF($Q1085="","",IF(ISNUMBER(INDEX(상세표[근무일자],$Q1085)),TEXT(INDEX(상세표[근무일자],$Q1085),"yyyy-mm-dd"),INDEX(상세표[근무일자],$Q1085)&amp;""))</f>
        <v/>
      </c>
      <c r="F1085">
        <f>IF($Q1085="","",IF(ISNUMBER(INDEX(상세표[시작],$Q1085)),TEXT(INDEX(상세표[시작],$Q1085),"yyyy-mm-dd hh:mm"),INDEX(상세표[시작],$Q1085)&amp;""))</f>
        <v/>
      </c>
      <c r="G1085">
        <f>IF($Q1085="","",IF(ISNUMBER(INDEX(상세표[블록종료],$Q1085)),TEXT(INDEX(상세표[블록종료],$Q1085),"yyyy-mm-dd hh:mm"),INDEX(상세표[블록종료],$Q1085)&amp;""))</f>
        <v/>
      </c>
      <c r="H1085">
        <f>IF($Q1085="","",CHOOSE(WEEKDAY(INDEX(상세표[시작],$Q1085)),"일","월","화","수","목","금","토"))</f>
        <v/>
      </c>
      <c r="I1085" s="20">
        <f>IF($Q1085="","",INDEX(상세표[연속 시간],$Q1085))</f>
        <v/>
      </c>
      <c r="J1085">
        <f>IF($Q1085="","",INDEX(상세표[기록 수],$Q1085))</f>
        <v/>
      </c>
      <c r="K1085" s="20">
        <f>IF($Q1085="","",INDEX(상세표[블록 06~07시],$Q1085))</f>
        <v/>
      </c>
      <c r="L1085" s="20">
        <f>IF($Q1085="","",INDEX(상세표[블록 07~18시],$Q1085))</f>
        <v/>
      </c>
      <c r="M1085" s="20">
        <f>IF($Q1085="","",INDEX(상세표[블록 18~22시],$Q1085))</f>
        <v/>
      </c>
      <c r="N1085" s="20">
        <f>IF($Q1085="","",INDEX(상세표[블록 22~06시],$Q1085))</f>
        <v/>
      </c>
      <c r="O1085">
        <f>IF($Q1085="","",INDEX(상세표[주말·휴일 포함],$Q1085)&amp;"")</f>
        <v/>
      </c>
      <c r="P1085">
        <f>IF($Q1085="","",INDEX(상세표[월 넘김 포함],$Q1085)&amp;"")</f>
        <v/>
      </c>
      <c r="Q1085" s="4">
        <f>IFERROR(MATCH(1080,상세표[연속순번],0),"")</f>
        <v/>
      </c>
    </row>
    <row r="1086">
      <c r="A1086">
        <f>IF($Q1086="","",INDEX(상세표[부서],$Q1086)&amp;"")</f>
        <v/>
      </c>
      <c r="B1086">
        <f>IF($Q1086="","",INDEX(상세표[사번],$Q1086)&amp;"")</f>
        <v/>
      </c>
      <c r="C1086">
        <f>IF($Q1086="","",INDEX(상세표[성명],$Q1086)&amp;"")</f>
        <v/>
      </c>
      <c r="D1086">
        <f>IF($Q1086="","",INDEX(상세표[직위],$Q1086)&amp;"")</f>
        <v/>
      </c>
      <c r="E1086">
        <f>IF($Q1086="","",IF(ISNUMBER(INDEX(상세표[근무일자],$Q1086)),TEXT(INDEX(상세표[근무일자],$Q1086),"yyyy-mm-dd"),INDEX(상세표[근무일자],$Q1086)&amp;""))</f>
        <v/>
      </c>
      <c r="F1086">
        <f>IF($Q1086="","",IF(ISNUMBER(INDEX(상세표[시작],$Q1086)),TEXT(INDEX(상세표[시작],$Q1086),"yyyy-mm-dd hh:mm"),INDEX(상세표[시작],$Q1086)&amp;""))</f>
        <v/>
      </c>
      <c r="G1086">
        <f>IF($Q1086="","",IF(ISNUMBER(INDEX(상세표[블록종료],$Q1086)),TEXT(INDEX(상세표[블록종료],$Q1086),"yyyy-mm-dd hh:mm"),INDEX(상세표[블록종료],$Q1086)&amp;""))</f>
        <v/>
      </c>
      <c r="H1086">
        <f>IF($Q1086="","",CHOOSE(WEEKDAY(INDEX(상세표[시작],$Q1086)),"일","월","화","수","목","금","토"))</f>
        <v/>
      </c>
      <c r="I1086" s="20">
        <f>IF($Q1086="","",INDEX(상세표[연속 시간],$Q1086))</f>
        <v/>
      </c>
      <c r="J1086">
        <f>IF($Q1086="","",INDEX(상세표[기록 수],$Q1086))</f>
        <v/>
      </c>
      <c r="K1086" s="20">
        <f>IF($Q1086="","",INDEX(상세표[블록 06~07시],$Q1086))</f>
        <v/>
      </c>
      <c r="L1086" s="20">
        <f>IF($Q1086="","",INDEX(상세표[블록 07~18시],$Q1086))</f>
        <v/>
      </c>
      <c r="M1086" s="20">
        <f>IF($Q1086="","",INDEX(상세표[블록 18~22시],$Q1086))</f>
        <v/>
      </c>
      <c r="N1086" s="20">
        <f>IF($Q1086="","",INDEX(상세표[블록 22~06시],$Q1086))</f>
        <v/>
      </c>
      <c r="O1086">
        <f>IF($Q1086="","",INDEX(상세표[주말·휴일 포함],$Q1086)&amp;"")</f>
        <v/>
      </c>
      <c r="P1086">
        <f>IF($Q1086="","",INDEX(상세표[월 넘김 포함],$Q1086)&amp;"")</f>
        <v/>
      </c>
      <c r="Q1086" s="4">
        <f>IFERROR(MATCH(1081,상세표[연속순번],0),"")</f>
        <v/>
      </c>
    </row>
    <row r="1087">
      <c r="A1087">
        <f>IF($Q1087="","",INDEX(상세표[부서],$Q1087)&amp;"")</f>
        <v/>
      </c>
      <c r="B1087">
        <f>IF($Q1087="","",INDEX(상세표[사번],$Q1087)&amp;"")</f>
        <v/>
      </c>
      <c r="C1087">
        <f>IF($Q1087="","",INDEX(상세표[성명],$Q1087)&amp;"")</f>
        <v/>
      </c>
      <c r="D1087">
        <f>IF($Q1087="","",INDEX(상세표[직위],$Q1087)&amp;"")</f>
        <v/>
      </c>
      <c r="E1087">
        <f>IF($Q1087="","",IF(ISNUMBER(INDEX(상세표[근무일자],$Q1087)),TEXT(INDEX(상세표[근무일자],$Q1087),"yyyy-mm-dd"),INDEX(상세표[근무일자],$Q1087)&amp;""))</f>
        <v/>
      </c>
      <c r="F1087">
        <f>IF($Q1087="","",IF(ISNUMBER(INDEX(상세표[시작],$Q1087)),TEXT(INDEX(상세표[시작],$Q1087),"yyyy-mm-dd hh:mm"),INDEX(상세표[시작],$Q1087)&amp;""))</f>
        <v/>
      </c>
      <c r="G1087">
        <f>IF($Q1087="","",IF(ISNUMBER(INDEX(상세표[블록종료],$Q1087)),TEXT(INDEX(상세표[블록종료],$Q1087),"yyyy-mm-dd hh:mm"),INDEX(상세표[블록종료],$Q1087)&amp;""))</f>
        <v/>
      </c>
      <c r="H1087">
        <f>IF($Q1087="","",CHOOSE(WEEKDAY(INDEX(상세표[시작],$Q1087)),"일","월","화","수","목","금","토"))</f>
        <v/>
      </c>
      <c r="I1087" s="20">
        <f>IF($Q1087="","",INDEX(상세표[연속 시간],$Q1087))</f>
        <v/>
      </c>
      <c r="J1087">
        <f>IF($Q1087="","",INDEX(상세표[기록 수],$Q1087))</f>
        <v/>
      </c>
      <c r="K1087" s="20">
        <f>IF($Q1087="","",INDEX(상세표[블록 06~07시],$Q1087))</f>
        <v/>
      </c>
      <c r="L1087" s="20">
        <f>IF($Q1087="","",INDEX(상세표[블록 07~18시],$Q1087))</f>
        <v/>
      </c>
      <c r="M1087" s="20">
        <f>IF($Q1087="","",INDEX(상세표[블록 18~22시],$Q1087))</f>
        <v/>
      </c>
      <c r="N1087" s="20">
        <f>IF($Q1087="","",INDEX(상세표[블록 22~06시],$Q1087))</f>
        <v/>
      </c>
      <c r="O1087">
        <f>IF($Q1087="","",INDEX(상세표[주말·휴일 포함],$Q1087)&amp;"")</f>
        <v/>
      </c>
      <c r="P1087">
        <f>IF($Q1087="","",INDEX(상세표[월 넘김 포함],$Q1087)&amp;"")</f>
        <v/>
      </c>
      <c r="Q1087" s="4">
        <f>IFERROR(MATCH(1082,상세표[연속순번],0),"")</f>
        <v/>
      </c>
    </row>
    <row r="1088">
      <c r="A1088">
        <f>IF($Q1088="","",INDEX(상세표[부서],$Q1088)&amp;"")</f>
        <v/>
      </c>
      <c r="B1088">
        <f>IF($Q1088="","",INDEX(상세표[사번],$Q1088)&amp;"")</f>
        <v/>
      </c>
      <c r="C1088">
        <f>IF($Q1088="","",INDEX(상세표[성명],$Q1088)&amp;"")</f>
        <v/>
      </c>
      <c r="D1088">
        <f>IF($Q1088="","",INDEX(상세표[직위],$Q1088)&amp;"")</f>
        <v/>
      </c>
      <c r="E1088">
        <f>IF($Q1088="","",IF(ISNUMBER(INDEX(상세표[근무일자],$Q1088)),TEXT(INDEX(상세표[근무일자],$Q1088),"yyyy-mm-dd"),INDEX(상세표[근무일자],$Q1088)&amp;""))</f>
        <v/>
      </c>
      <c r="F1088">
        <f>IF($Q1088="","",IF(ISNUMBER(INDEX(상세표[시작],$Q1088)),TEXT(INDEX(상세표[시작],$Q1088),"yyyy-mm-dd hh:mm"),INDEX(상세표[시작],$Q1088)&amp;""))</f>
        <v/>
      </c>
      <c r="G1088">
        <f>IF($Q1088="","",IF(ISNUMBER(INDEX(상세표[블록종료],$Q1088)),TEXT(INDEX(상세표[블록종료],$Q1088),"yyyy-mm-dd hh:mm"),INDEX(상세표[블록종료],$Q1088)&amp;""))</f>
        <v/>
      </c>
      <c r="H1088">
        <f>IF($Q1088="","",CHOOSE(WEEKDAY(INDEX(상세표[시작],$Q1088)),"일","월","화","수","목","금","토"))</f>
        <v/>
      </c>
      <c r="I1088" s="20">
        <f>IF($Q1088="","",INDEX(상세표[연속 시간],$Q1088))</f>
        <v/>
      </c>
      <c r="J1088">
        <f>IF($Q1088="","",INDEX(상세표[기록 수],$Q1088))</f>
        <v/>
      </c>
      <c r="K1088" s="20">
        <f>IF($Q1088="","",INDEX(상세표[블록 06~07시],$Q1088))</f>
        <v/>
      </c>
      <c r="L1088" s="20">
        <f>IF($Q1088="","",INDEX(상세표[블록 07~18시],$Q1088))</f>
        <v/>
      </c>
      <c r="M1088" s="20">
        <f>IF($Q1088="","",INDEX(상세표[블록 18~22시],$Q1088))</f>
        <v/>
      </c>
      <c r="N1088" s="20">
        <f>IF($Q1088="","",INDEX(상세표[블록 22~06시],$Q1088))</f>
        <v/>
      </c>
      <c r="O1088">
        <f>IF($Q1088="","",INDEX(상세표[주말·휴일 포함],$Q1088)&amp;"")</f>
        <v/>
      </c>
      <c r="P1088">
        <f>IF($Q1088="","",INDEX(상세표[월 넘김 포함],$Q1088)&amp;"")</f>
        <v/>
      </c>
      <c r="Q1088" s="4">
        <f>IFERROR(MATCH(1083,상세표[연속순번],0),"")</f>
        <v/>
      </c>
    </row>
    <row r="1089">
      <c r="A1089">
        <f>IF($Q1089="","",INDEX(상세표[부서],$Q1089)&amp;"")</f>
        <v/>
      </c>
      <c r="B1089">
        <f>IF($Q1089="","",INDEX(상세표[사번],$Q1089)&amp;"")</f>
        <v/>
      </c>
      <c r="C1089">
        <f>IF($Q1089="","",INDEX(상세표[성명],$Q1089)&amp;"")</f>
        <v/>
      </c>
      <c r="D1089">
        <f>IF($Q1089="","",INDEX(상세표[직위],$Q1089)&amp;"")</f>
        <v/>
      </c>
      <c r="E1089">
        <f>IF($Q1089="","",IF(ISNUMBER(INDEX(상세표[근무일자],$Q1089)),TEXT(INDEX(상세표[근무일자],$Q1089),"yyyy-mm-dd"),INDEX(상세표[근무일자],$Q1089)&amp;""))</f>
        <v/>
      </c>
      <c r="F1089">
        <f>IF($Q1089="","",IF(ISNUMBER(INDEX(상세표[시작],$Q1089)),TEXT(INDEX(상세표[시작],$Q1089),"yyyy-mm-dd hh:mm"),INDEX(상세표[시작],$Q1089)&amp;""))</f>
        <v/>
      </c>
      <c r="G1089">
        <f>IF($Q1089="","",IF(ISNUMBER(INDEX(상세표[블록종료],$Q1089)),TEXT(INDEX(상세표[블록종료],$Q1089),"yyyy-mm-dd hh:mm"),INDEX(상세표[블록종료],$Q1089)&amp;""))</f>
        <v/>
      </c>
      <c r="H1089">
        <f>IF($Q1089="","",CHOOSE(WEEKDAY(INDEX(상세표[시작],$Q1089)),"일","월","화","수","목","금","토"))</f>
        <v/>
      </c>
      <c r="I1089" s="20">
        <f>IF($Q1089="","",INDEX(상세표[연속 시간],$Q1089))</f>
        <v/>
      </c>
      <c r="J1089">
        <f>IF($Q1089="","",INDEX(상세표[기록 수],$Q1089))</f>
        <v/>
      </c>
      <c r="K1089" s="20">
        <f>IF($Q1089="","",INDEX(상세표[블록 06~07시],$Q1089))</f>
        <v/>
      </c>
      <c r="L1089" s="20">
        <f>IF($Q1089="","",INDEX(상세표[블록 07~18시],$Q1089))</f>
        <v/>
      </c>
      <c r="M1089" s="20">
        <f>IF($Q1089="","",INDEX(상세표[블록 18~22시],$Q1089))</f>
        <v/>
      </c>
      <c r="N1089" s="20">
        <f>IF($Q1089="","",INDEX(상세표[블록 22~06시],$Q1089))</f>
        <v/>
      </c>
      <c r="O1089">
        <f>IF($Q1089="","",INDEX(상세표[주말·휴일 포함],$Q1089)&amp;"")</f>
        <v/>
      </c>
      <c r="P1089">
        <f>IF($Q1089="","",INDEX(상세표[월 넘김 포함],$Q1089)&amp;"")</f>
        <v/>
      </c>
      <c r="Q1089" s="4">
        <f>IFERROR(MATCH(1084,상세표[연속순번],0),"")</f>
        <v/>
      </c>
    </row>
    <row r="1090">
      <c r="A1090">
        <f>IF($Q1090="","",INDEX(상세표[부서],$Q1090)&amp;"")</f>
        <v/>
      </c>
      <c r="B1090">
        <f>IF($Q1090="","",INDEX(상세표[사번],$Q1090)&amp;"")</f>
        <v/>
      </c>
      <c r="C1090">
        <f>IF($Q1090="","",INDEX(상세표[성명],$Q1090)&amp;"")</f>
        <v/>
      </c>
      <c r="D1090">
        <f>IF($Q1090="","",INDEX(상세표[직위],$Q1090)&amp;"")</f>
        <v/>
      </c>
      <c r="E1090">
        <f>IF($Q1090="","",IF(ISNUMBER(INDEX(상세표[근무일자],$Q1090)),TEXT(INDEX(상세표[근무일자],$Q1090),"yyyy-mm-dd"),INDEX(상세표[근무일자],$Q1090)&amp;""))</f>
        <v/>
      </c>
      <c r="F1090">
        <f>IF($Q1090="","",IF(ISNUMBER(INDEX(상세표[시작],$Q1090)),TEXT(INDEX(상세표[시작],$Q1090),"yyyy-mm-dd hh:mm"),INDEX(상세표[시작],$Q1090)&amp;""))</f>
        <v/>
      </c>
      <c r="G1090">
        <f>IF($Q1090="","",IF(ISNUMBER(INDEX(상세표[블록종료],$Q1090)),TEXT(INDEX(상세표[블록종료],$Q1090),"yyyy-mm-dd hh:mm"),INDEX(상세표[블록종료],$Q1090)&amp;""))</f>
        <v/>
      </c>
      <c r="H1090">
        <f>IF($Q1090="","",CHOOSE(WEEKDAY(INDEX(상세표[시작],$Q1090)),"일","월","화","수","목","금","토"))</f>
        <v/>
      </c>
      <c r="I1090" s="20">
        <f>IF($Q1090="","",INDEX(상세표[연속 시간],$Q1090))</f>
        <v/>
      </c>
      <c r="J1090">
        <f>IF($Q1090="","",INDEX(상세표[기록 수],$Q1090))</f>
        <v/>
      </c>
      <c r="K1090" s="20">
        <f>IF($Q1090="","",INDEX(상세표[블록 06~07시],$Q1090))</f>
        <v/>
      </c>
      <c r="L1090" s="20">
        <f>IF($Q1090="","",INDEX(상세표[블록 07~18시],$Q1090))</f>
        <v/>
      </c>
      <c r="M1090" s="20">
        <f>IF($Q1090="","",INDEX(상세표[블록 18~22시],$Q1090))</f>
        <v/>
      </c>
      <c r="N1090" s="20">
        <f>IF($Q1090="","",INDEX(상세표[블록 22~06시],$Q1090))</f>
        <v/>
      </c>
      <c r="O1090">
        <f>IF($Q1090="","",INDEX(상세표[주말·휴일 포함],$Q1090)&amp;"")</f>
        <v/>
      </c>
      <c r="P1090">
        <f>IF($Q1090="","",INDEX(상세표[월 넘김 포함],$Q1090)&amp;"")</f>
        <v/>
      </c>
      <c r="Q1090" s="4">
        <f>IFERROR(MATCH(1085,상세표[연속순번],0),"")</f>
        <v/>
      </c>
    </row>
    <row r="1091">
      <c r="A1091">
        <f>IF($Q1091="","",INDEX(상세표[부서],$Q1091)&amp;"")</f>
        <v/>
      </c>
      <c r="B1091">
        <f>IF($Q1091="","",INDEX(상세표[사번],$Q1091)&amp;"")</f>
        <v/>
      </c>
      <c r="C1091">
        <f>IF($Q1091="","",INDEX(상세표[성명],$Q1091)&amp;"")</f>
        <v/>
      </c>
      <c r="D1091">
        <f>IF($Q1091="","",INDEX(상세표[직위],$Q1091)&amp;"")</f>
        <v/>
      </c>
      <c r="E1091">
        <f>IF($Q1091="","",IF(ISNUMBER(INDEX(상세표[근무일자],$Q1091)),TEXT(INDEX(상세표[근무일자],$Q1091),"yyyy-mm-dd"),INDEX(상세표[근무일자],$Q1091)&amp;""))</f>
        <v/>
      </c>
      <c r="F1091">
        <f>IF($Q1091="","",IF(ISNUMBER(INDEX(상세표[시작],$Q1091)),TEXT(INDEX(상세표[시작],$Q1091),"yyyy-mm-dd hh:mm"),INDEX(상세표[시작],$Q1091)&amp;""))</f>
        <v/>
      </c>
      <c r="G1091">
        <f>IF($Q1091="","",IF(ISNUMBER(INDEX(상세표[블록종료],$Q1091)),TEXT(INDEX(상세표[블록종료],$Q1091),"yyyy-mm-dd hh:mm"),INDEX(상세표[블록종료],$Q1091)&amp;""))</f>
        <v/>
      </c>
      <c r="H1091">
        <f>IF($Q1091="","",CHOOSE(WEEKDAY(INDEX(상세표[시작],$Q1091)),"일","월","화","수","목","금","토"))</f>
        <v/>
      </c>
      <c r="I1091" s="20">
        <f>IF($Q1091="","",INDEX(상세표[연속 시간],$Q1091))</f>
        <v/>
      </c>
      <c r="J1091">
        <f>IF($Q1091="","",INDEX(상세표[기록 수],$Q1091))</f>
        <v/>
      </c>
      <c r="K1091" s="20">
        <f>IF($Q1091="","",INDEX(상세표[블록 06~07시],$Q1091))</f>
        <v/>
      </c>
      <c r="L1091" s="20">
        <f>IF($Q1091="","",INDEX(상세표[블록 07~18시],$Q1091))</f>
        <v/>
      </c>
      <c r="M1091" s="20">
        <f>IF($Q1091="","",INDEX(상세표[블록 18~22시],$Q1091))</f>
        <v/>
      </c>
      <c r="N1091" s="20">
        <f>IF($Q1091="","",INDEX(상세표[블록 22~06시],$Q1091))</f>
        <v/>
      </c>
      <c r="O1091">
        <f>IF($Q1091="","",INDEX(상세표[주말·휴일 포함],$Q1091)&amp;"")</f>
        <v/>
      </c>
      <c r="P1091">
        <f>IF($Q1091="","",INDEX(상세표[월 넘김 포함],$Q1091)&amp;"")</f>
        <v/>
      </c>
      <c r="Q1091" s="4">
        <f>IFERROR(MATCH(1086,상세표[연속순번],0),"")</f>
        <v/>
      </c>
    </row>
    <row r="1092">
      <c r="A1092">
        <f>IF($Q1092="","",INDEX(상세표[부서],$Q1092)&amp;"")</f>
        <v/>
      </c>
      <c r="B1092">
        <f>IF($Q1092="","",INDEX(상세표[사번],$Q1092)&amp;"")</f>
        <v/>
      </c>
      <c r="C1092">
        <f>IF($Q1092="","",INDEX(상세표[성명],$Q1092)&amp;"")</f>
        <v/>
      </c>
      <c r="D1092">
        <f>IF($Q1092="","",INDEX(상세표[직위],$Q1092)&amp;"")</f>
        <v/>
      </c>
      <c r="E1092">
        <f>IF($Q1092="","",IF(ISNUMBER(INDEX(상세표[근무일자],$Q1092)),TEXT(INDEX(상세표[근무일자],$Q1092),"yyyy-mm-dd"),INDEX(상세표[근무일자],$Q1092)&amp;""))</f>
        <v/>
      </c>
      <c r="F1092">
        <f>IF($Q1092="","",IF(ISNUMBER(INDEX(상세표[시작],$Q1092)),TEXT(INDEX(상세표[시작],$Q1092),"yyyy-mm-dd hh:mm"),INDEX(상세표[시작],$Q1092)&amp;""))</f>
        <v/>
      </c>
      <c r="G1092">
        <f>IF($Q1092="","",IF(ISNUMBER(INDEX(상세표[블록종료],$Q1092)),TEXT(INDEX(상세표[블록종료],$Q1092),"yyyy-mm-dd hh:mm"),INDEX(상세표[블록종료],$Q1092)&amp;""))</f>
        <v/>
      </c>
      <c r="H1092">
        <f>IF($Q1092="","",CHOOSE(WEEKDAY(INDEX(상세표[시작],$Q1092)),"일","월","화","수","목","금","토"))</f>
        <v/>
      </c>
      <c r="I1092" s="20">
        <f>IF($Q1092="","",INDEX(상세표[연속 시간],$Q1092))</f>
        <v/>
      </c>
      <c r="J1092">
        <f>IF($Q1092="","",INDEX(상세표[기록 수],$Q1092))</f>
        <v/>
      </c>
      <c r="K1092" s="20">
        <f>IF($Q1092="","",INDEX(상세표[블록 06~07시],$Q1092))</f>
        <v/>
      </c>
      <c r="L1092" s="20">
        <f>IF($Q1092="","",INDEX(상세표[블록 07~18시],$Q1092))</f>
        <v/>
      </c>
      <c r="M1092" s="20">
        <f>IF($Q1092="","",INDEX(상세표[블록 18~22시],$Q1092))</f>
        <v/>
      </c>
      <c r="N1092" s="20">
        <f>IF($Q1092="","",INDEX(상세표[블록 22~06시],$Q1092))</f>
        <v/>
      </c>
      <c r="O1092">
        <f>IF($Q1092="","",INDEX(상세표[주말·휴일 포함],$Q1092)&amp;"")</f>
        <v/>
      </c>
      <c r="P1092">
        <f>IF($Q1092="","",INDEX(상세표[월 넘김 포함],$Q1092)&amp;"")</f>
        <v/>
      </c>
      <c r="Q1092" s="4">
        <f>IFERROR(MATCH(1087,상세표[연속순번],0),"")</f>
        <v/>
      </c>
    </row>
    <row r="1093">
      <c r="A1093">
        <f>IF($Q1093="","",INDEX(상세표[부서],$Q1093)&amp;"")</f>
        <v/>
      </c>
      <c r="B1093">
        <f>IF($Q1093="","",INDEX(상세표[사번],$Q1093)&amp;"")</f>
        <v/>
      </c>
      <c r="C1093">
        <f>IF($Q1093="","",INDEX(상세표[성명],$Q1093)&amp;"")</f>
        <v/>
      </c>
      <c r="D1093">
        <f>IF($Q1093="","",INDEX(상세표[직위],$Q1093)&amp;"")</f>
        <v/>
      </c>
      <c r="E1093">
        <f>IF($Q1093="","",IF(ISNUMBER(INDEX(상세표[근무일자],$Q1093)),TEXT(INDEX(상세표[근무일자],$Q1093),"yyyy-mm-dd"),INDEX(상세표[근무일자],$Q1093)&amp;""))</f>
        <v/>
      </c>
      <c r="F1093">
        <f>IF($Q1093="","",IF(ISNUMBER(INDEX(상세표[시작],$Q1093)),TEXT(INDEX(상세표[시작],$Q1093),"yyyy-mm-dd hh:mm"),INDEX(상세표[시작],$Q1093)&amp;""))</f>
        <v/>
      </c>
      <c r="G1093">
        <f>IF($Q1093="","",IF(ISNUMBER(INDEX(상세표[블록종료],$Q1093)),TEXT(INDEX(상세표[블록종료],$Q1093),"yyyy-mm-dd hh:mm"),INDEX(상세표[블록종료],$Q1093)&amp;""))</f>
        <v/>
      </c>
      <c r="H1093">
        <f>IF($Q1093="","",CHOOSE(WEEKDAY(INDEX(상세표[시작],$Q1093)),"일","월","화","수","목","금","토"))</f>
        <v/>
      </c>
      <c r="I1093" s="20">
        <f>IF($Q1093="","",INDEX(상세표[연속 시간],$Q1093))</f>
        <v/>
      </c>
      <c r="J1093">
        <f>IF($Q1093="","",INDEX(상세표[기록 수],$Q1093))</f>
        <v/>
      </c>
      <c r="K1093" s="20">
        <f>IF($Q1093="","",INDEX(상세표[블록 06~07시],$Q1093))</f>
        <v/>
      </c>
      <c r="L1093" s="20">
        <f>IF($Q1093="","",INDEX(상세표[블록 07~18시],$Q1093))</f>
        <v/>
      </c>
      <c r="M1093" s="20">
        <f>IF($Q1093="","",INDEX(상세표[블록 18~22시],$Q1093))</f>
        <v/>
      </c>
      <c r="N1093" s="20">
        <f>IF($Q1093="","",INDEX(상세표[블록 22~06시],$Q1093))</f>
        <v/>
      </c>
      <c r="O1093">
        <f>IF($Q1093="","",INDEX(상세표[주말·휴일 포함],$Q1093)&amp;"")</f>
        <v/>
      </c>
      <c r="P1093">
        <f>IF($Q1093="","",INDEX(상세표[월 넘김 포함],$Q1093)&amp;"")</f>
        <v/>
      </c>
      <c r="Q1093" s="4">
        <f>IFERROR(MATCH(1088,상세표[연속순번],0),"")</f>
        <v/>
      </c>
    </row>
    <row r="1094">
      <c r="A1094">
        <f>IF($Q1094="","",INDEX(상세표[부서],$Q1094)&amp;"")</f>
        <v/>
      </c>
      <c r="B1094">
        <f>IF($Q1094="","",INDEX(상세표[사번],$Q1094)&amp;"")</f>
        <v/>
      </c>
      <c r="C1094">
        <f>IF($Q1094="","",INDEX(상세표[성명],$Q1094)&amp;"")</f>
        <v/>
      </c>
      <c r="D1094">
        <f>IF($Q1094="","",INDEX(상세표[직위],$Q1094)&amp;"")</f>
        <v/>
      </c>
      <c r="E1094">
        <f>IF($Q1094="","",IF(ISNUMBER(INDEX(상세표[근무일자],$Q1094)),TEXT(INDEX(상세표[근무일자],$Q1094),"yyyy-mm-dd"),INDEX(상세표[근무일자],$Q1094)&amp;""))</f>
        <v/>
      </c>
      <c r="F1094">
        <f>IF($Q1094="","",IF(ISNUMBER(INDEX(상세표[시작],$Q1094)),TEXT(INDEX(상세표[시작],$Q1094),"yyyy-mm-dd hh:mm"),INDEX(상세표[시작],$Q1094)&amp;""))</f>
        <v/>
      </c>
      <c r="G1094">
        <f>IF($Q1094="","",IF(ISNUMBER(INDEX(상세표[블록종료],$Q1094)),TEXT(INDEX(상세표[블록종료],$Q1094),"yyyy-mm-dd hh:mm"),INDEX(상세표[블록종료],$Q1094)&amp;""))</f>
        <v/>
      </c>
      <c r="H1094">
        <f>IF($Q1094="","",CHOOSE(WEEKDAY(INDEX(상세표[시작],$Q1094)),"일","월","화","수","목","금","토"))</f>
        <v/>
      </c>
      <c r="I1094" s="20">
        <f>IF($Q1094="","",INDEX(상세표[연속 시간],$Q1094))</f>
        <v/>
      </c>
      <c r="J1094">
        <f>IF($Q1094="","",INDEX(상세표[기록 수],$Q1094))</f>
        <v/>
      </c>
      <c r="K1094" s="20">
        <f>IF($Q1094="","",INDEX(상세표[블록 06~07시],$Q1094))</f>
        <v/>
      </c>
      <c r="L1094" s="20">
        <f>IF($Q1094="","",INDEX(상세표[블록 07~18시],$Q1094))</f>
        <v/>
      </c>
      <c r="M1094" s="20">
        <f>IF($Q1094="","",INDEX(상세표[블록 18~22시],$Q1094))</f>
        <v/>
      </c>
      <c r="N1094" s="20">
        <f>IF($Q1094="","",INDEX(상세표[블록 22~06시],$Q1094))</f>
        <v/>
      </c>
      <c r="O1094">
        <f>IF($Q1094="","",INDEX(상세표[주말·휴일 포함],$Q1094)&amp;"")</f>
        <v/>
      </c>
      <c r="P1094">
        <f>IF($Q1094="","",INDEX(상세표[월 넘김 포함],$Q1094)&amp;"")</f>
        <v/>
      </c>
      <c r="Q1094" s="4">
        <f>IFERROR(MATCH(1089,상세표[연속순번],0),"")</f>
        <v/>
      </c>
    </row>
    <row r="1095">
      <c r="A1095">
        <f>IF($Q1095="","",INDEX(상세표[부서],$Q1095)&amp;"")</f>
        <v/>
      </c>
      <c r="B1095">
        <f>IF($Q1095="","",INDEX(상세표[사번],$Q1095)&amp;"")</f>
        <v/>
      </c>
      <c r="C1095">
        <f>IF($Q1095="","",INDEX(상세표[성명],$Q1095)&amp;"")</f>
        <v/>
      </c>
      <c r="D1095">
        <f>IF($Q1095="","",INDEX(상세표[직위],$Q1095)&amp;"")</f>
        <v/>
      </c>
      <c r="E1095">
        <f>IF($Q1095="","",IF(ISNUMBER(INDEX(상세표[근무일자],$Q1095)),TEXT(INDEX(상세표[근무일자],$Q1095),"yyyy-mm-dd"),INDEX(상세표[근무일자],$Q1095)&amp;""))</f>
        <v/>
      </c>
      <c r="F1095">
        <f>IF($Q1095="","",IF(ISNUMBER(INDEX(상세표[시작],$Q1095)),TEXT(INDEX(상세표[시작],$Q1095),"yyyy-mm-dd hh:mm"),INDEX(상세표[시작],$Q1095)&amp;""))</f>
        <v/>
      </c>
      <c r="G1095">
        <f>IF($Q1095="","",IF(ISNUMBER(INDEX(상세표[블록종료],$Q1095)),TEXT(INDEX(상세표[블록종료],$Q1095),"yyyy-mm-dd hh:mm"),INDEX(상세표[블록종료],$Q1095)&amp;""))</f>
        <v/>
      </c>
      <c r="H1095">
        <f>IF($Q1095="","",CHOOSE(WEEKDAY(INDEX(상세표[시작],$Q1095)),"일","월","화","수","목","금","토"))</f>
        <v/>
      </c>
      <c r="I1095" s="20">
        <f>IF($Q1095="","",INDEX(상세표[연속 시간],$Q1095))</f>
        <v/>
      </c>
      <c r="J1095">
        <f>IF($Q1095="","",INDEX(상세표[기록 수],$Q1095))</f>
        <v/>
      </c>
      <c r="K1095" s="20">
        <f>IF($Q1095="","",INDEX(상세표[블록 06~07시],$Q1095))</f>
        <v/>
      </c>
      <c r="L1095" s="20">
        <f>IF($Q1095="","",INDEX(상세표[블록 07~18시],$Q1095))</f>
        <v/>
      </c>
      <c r="M1095" s="20">
        <f>IF($Q1095="","",INDEX(상세표[블록 18~22시],$Q1095))</f>
        <v/>
      </c>
      <c r="N1095" s="20">
        <f>IF($Q1095="","",INDEX(상세표[블록 22~06시],$Q1095))</f>
        <v/>
      </c>
      <c r="O1095">
        <f>IF($Q1095="","",INDEX(상세표[주말·휴일 포함],$Q1095)&amp;"")</f>
        <v/>
      </c>
      <c r="P1095">
        <f>IF($Q1095="","",INDEX(상세표[월 넘김 포함],$Q1095)&amp;"")</f>
        <v/>
      </c>
      <c r="Q1095" s="4">
        <f>IFERROR(MATCH(1090,상세표[연속순번],0),"")</f>
        <v/>
      </c>
    </row>
    <row r="1096">
      <c r="A1096">
        <f>IF($Q1096="","",INDEX(상세표[부서],$Q1096)&amp;"")</f>
        <v/>
      </c>
      <c r="B1096">
        <f>IF($Q1096="","",INDEX(상세표[사번],$Q1096)&amp;"")</f>
        <v/>
      </c>
      <c r="C1096">
        <f>IF($Q1096="","",INDEX(상세표[성명],$Q1096)&amp;"")</f>
        <v/>
      </c>
      <c r="D1096">
        <f>IF($Q1096="","",INDEX(상세표[직위],$Q1096)&amp;"")</f>
        <v/>
      </c>
      <c r="E1096">
        <f>IF($Q1096="","",IF(ISNUMBER(INDEX(상세표[근무일자],$Q1096)),TEXT(INDEX(상세표[근무일자],$Q1096),"yyyy-mm-dd"),INDEX(상세표[근무일자],$Q1096)&amp;""))</f>
        <v/>
      </c>
      <c r="F1096">
        <f>IF($Q1096="","",IF(ISNUMBER(INDEX(상세표[시작],$Q1096)),TEXT(INDEX(상세표[시작],$Q1096),"yyyy-mm-dd hh:mm"),INDEX(상세표[시작],$Q1096)&amp;""))</f>
        <v/>
      </c>
      <c r="G1096">
        <f>IF($Q1096="","",IF(ISNUMBER(INDEX(상세표[블록종료],$Q1096)),TEXT(INDEX(상세표[블록종료],$Q1096),"yyyy-mm-dd hh:mm"),INDEX(상세표[블록종료],$Q1096)&amp;""))</f>
        <v/>
      </c>
      <c r="H1096">
        <f>IF($Q1096="","",CHOOSE(WEEKDAY(INDEX(상세표[시작],$Q1096)),"일","월","화","수","목","금","토"))</f>
        <v/>
      </c>
      <c r="I1096" s="20">
        <f>IF($Q1096="","",INDEX(상세표[연속 시간],$Q1096))</f>
        <v/>
      </c>
      <c r="J1096">
        <f>IF($Q1096="","",INDEX(상세표[기록 수],$Q1096))</f>
        <v/>
      </c>
      <c r="K1096" s="20">
        <f>IF($Q1096="","",INDEX(상세표[블록 06~07시],$Q1096))</f>
        <v/>
      </c>
      <c r="L1096" s="20">
        <f>IF($Q1096="","",INDEX(상세표[블록 07~18시],$Q1096))</f>
        <v/>
      </c>
      <c r="M1096" s="20">
        <f>IF($Q1096="","",INDEX(상세표[블록 18~22시],$Q1096))</f>
        <v/>
      </c>
      <c r="N1096" s="20">
        <f>IF($Q1096="","",INDEX(상세표[블록 22~06시],$Q1096))</f>
        <v/>
      </c>
      <c r="O1096">
        <f>IF($Q1096="","",INDEX(상세표[주말·휴일 포함],$Q1096)&amp;"")</f>
        <v/>
      </c>
      <c r="P1096">
        <f>IF($Q1096="","",INDEX(상세표[월 넘김 포함],$Q1096)&amp;"")</f>
        <v/>
      </c>
      <c r="Q1096" s="4">
        <f>IFERROR(MATCH(1091,상세표[연속순번],0),"")</f>
        <v/>
      </c>
    </row>
    <row r="1097">
      <c r="A1097">
        <f>IF($Q1097="","",INDEX(상세표[부서],$Q1097)&amp;"")</f>
        <v/>
      </c>
      <c r="B1097">
        <f>IF($Q1097="","",INDEX(상세표[사번],$Q1097)&amp;"")</f>
        <v/>
      </c>
      <c r="C1097">
        <f>IF($Q1097="","",INDEX(상세표[성명],$Q1097)&amp;"")</f>
        <v/>
      </c>
      <c r="D1097">
        <f>IF($Q1097="","",INDEX(상세표[직위],$Q1097)&amp;"")</f>
        <v/>
      </c>
      <c r="E1097">
        <f>IF($Q1097="","",IF(ISNUMBER(INDEX(상세표[근무일자],$Q1097)),TEXT(INDEX(상세표[근무일자],$Q1097),"yyyy-mm-dd"),INDEX(상세표[근무일자],$Q1097)&amp;""))</f>
        <v/>
      </c>
      <c r="F1097">
        <f>IF($Q1097="","",IF(ISNUMBER(INDEX(상세표[시작],$Q1097)),TEXT(INDEX(상세표[시작],$Q1097),"yyyy-mm-dd hh:mm"),INDEX(상세표[시작],$Q1097)&amp;""))</f>
        <v/>
      </c>
      <c r="G1097">
        <f>IF($Q1097="","",IF(ISNUMBER(INDEX(상세표[블록종료],$Q1097)),TEXT(INDEX(상세표[블록종료],$Q1097),"yyyy-mm-dd hh:mm"),INDEX(상세표[블록종료],$Q1097)&amp;""))</f>
        <v/>
      </c>
      <c r="H1097">
        <f>IF($Q1097="","",CHOOSE(WEEKDAY(INDEX(상세표[시작],$Q1097)),"일","월","화","수","목","금","토"))</f>
        <v/>
      </c>
      <c r="I1097" s="20">
        <f>IF($Q1097="","",INDEX(상세표[연속 시간],$Q1097))</f>
        <v/>
      </c>
      <c r="J1097">
        <f>IF($Q1097="","",INDEX(상세표[기록 수],$Q1097))</f>
        <v/>
      </c>
      <c r="K1097" s="20">
        <f>IF($Q1097="","",INDEX(상세표[블록 06~07시],$Q1097))</f>
        <v/>
      </c>
      <c r="L1097" s="20">
        <f>IF($Q1097="","",INDEX(상세표[블록 07~18시],$Q1097))</f>
        <v/>
      </c>
      <c r="M1097" s="20">
        <f>IF($Q1097="","",INDEX(상세표[블록 18~22시],$Q1097))</f>
        <v/>
      </c>
      <c r="N1097" s="20">
        <f>IF($Q1097="","",INDEX(상세표[블록 22~06시],$Q1097))</f>
        <v/>
      </c>
      <c r="O1097">
        <f>IF($Q1097="","",INDEX(상세표[주말·휴일 포함],$Q1097)&amp;"")</f>
        <v/>
      </c>
      <c r="P1097">
        <f>IF($Q1097="","",INDEX(상세표[월 넘김 포함],$Q1097)&amp;"")</f>
        <v/>
      </c>
      <c r="Q1097" s="4">
        <f>IFERROR(MATCH(1092,상세표[연속순번],0),"")</f>
        <v/>
      </c>
    </row>
    <row r="1098">
      <c r="A1098">
        <f>IF($Q1098="","",INDEX(상세표[부서],$Q1098)&amp;"")</f>
        <v/>
      </c>
      <c r="B1098">
        <f>IF($Q1098="","",INDEX(상세표[사번],$Q1098)&amp;"")</f>
        <v/>
      </c>
      <c r="C1098">
        <f>IF($Q1098="","",INDEX(상세표[성명],$Q1098)&amp;"")</f>
        <v/>
      </c>
      <c r="D1098">
        <f>IF($Q1098="","",INDEX(상세표[직위],$Q1098)&amp;"")</f>
        <v/>
      </c>
      <c r="E1098">
        <f>IF($Q1098="","",IF(ISNUMBER(INDEX(상세표[근무일자],$Q1098)),TEXT(INDEX(상세표[근무일자],$Q1098),"yyyy-mm-dd"),INDEX(상세표[근무일자],$Q1098)&amp;""))</f>
        <v/>
      </c>
      <c r="F1098">
        <f>IF($Q1098="","",IF(ISNUMBER(INDEX(상세표[시작],$Q1098)),TEXT(INDEX(상세표[시작],$Q1098),"yyyy-mm-dd hh:mm"),INDEX(상세표[시작],$Q1098)&amp;""))</f>
        <v/>
      </c>
      <c r="G1098">
        <f>IF($Q1098="","",IF(ISNUMBER(INDEX(상세표[블록종료],$Q1098)),TEXT(INDEX(상세표[블록종료],$Q1098),"yyyy-mm-dd hh:mm"),INDEX(상세표[블록종료],$Q1098)&amp;""))</f>
        <v/>
      </c>
      <c r="H1098">
        <f>IF($Q1098="","",CHOOSE(WEEKDAY(INDEX(상세표[시작],$Q1098)),"일","월","화","수","목","금","토"))</f>
        <v/>
      </c>
      <c r="I1098" s="20">
        <f>IF($Q1098="","",INDEX(상세표[연속 시간],$Q1098))</f>
        <v/>
      </c>
      <c r="J1098">
        <f>IF($Q1098="","",INDEX(상세표[기록 수],$Q1098))</f>
        <v/>
      </c>
      <c r="K1098" s="20">
        <f>IF($Q1098="","",INDEX(상세표[블록 06~07시],$Q1098))</f>
        <v/>
      </c>
      <c r="L1098" s="20">
        <f>IF($Q1098="","",INDEX(상세표[블록 07~18시],$Q1098))</f>
        <v/>
      </c>
      <c r="M1098" s="20">
        <f>IF($Q1098="","",INDEX(상세표[블록 18~22시],$Q1098))</f>
        <v/>
      </c>
      <c r="N1098" s="20">
        <f>IF($Q1098="","",INDEX(상세표[블록 22~06시],$Q1098))</f>
        <v/>
      </c>
      <c r="O1098">
        <f>IF($Q1098="","",INDEX(상세표[주말·휴일 포함],$Q1098)&amp;"")</f>
        <v/>
      </c>
      <c r="P1098">
        <f>IF($Q1098="","",INDEX(상세표[월 넘김 포함],$Q1098)&amp;"")</f>
        <v/>
      </c>
      <c r="Q1098" s="4">
        <f>IFERROR(MATCH(1093,상세표[연속순번],0),"")</f>
        <v/>
      </c>
    </row>
    <row r="1099">
      <c r="A1099">
        <f>IF($Q1099="","",INDEX(상세표[부서],$Q1099)&amp;"")</f>
        <v/>
      </c>
      <c r="B1099">
        <f>IF($Q1099="","",INDEX(상세표[사번],$Q1099)&amp;"")</f>
        <v/>
      </c>
      <c r="C1099">
        <f>IF($Q1099="","",INDEX(상세표[성명],$Q1099)&amp;"")</f>
        <v/>
      </c>
      <c r="D1099">
        <f>IF($Q1099="","",INDEX(상세표[직위],$Q1099)&amp;"")</f>
        <v/>
      </c>
      <c r="E1099">
        <f>IF($Q1099="","",IF(ISNUMBER(INDEX(상세표[근무일자],$Q1099)),TEXT(INDEX(상세표[근무일자],$Q1099),"yyyy-mm-dd"),INDEX(상세표[근무일자],$Q1099)&amp;""))</f>
        <v/>
      </c>
      <c r="F1099">
        <f>IF($Q1099="","",IF(ISNUMBER(INDEX(상세표[시작],$Q1099)),TEXT(INDEX(상세표[시작],$Q1099),"yyyy-mm-dd hh:mm"),INDEX(상세표[시작],$Q1099)&amp;""))</f>
        <v/>
      </c>
      <c r="G1099">
        <f>IF($Q1099="","",IF(ISNUMBER(INDEX(상세표[블록종료],$Q1099)),TEXT(INDEX(상세표[블록종료],$Q1099),"yyyy-mm-dd hh:mm"),INDEX(상세표[블록종료],$Q1099)&amp;""))</f>
        <v/>
      </c>
      <c r="H1099">
        <f>IF($Q1099="","",CHOOSE(WEEKDAY(INDEX(상세표[시작],$Q1099)),"일","월","화","수","목","금","토"))</f>
        <v/>
      </c>
      <c r="I1099" s="20">
        <f>IF($Q1099="","",INDEX(상세표[연속 시간],$Q1099))</f>
        <v/>
      </c>
      <c r="J1099">
        <f>IF($Q1099="","",INDEX(상세표[기록 수],$Q1099))</f>
        <v/>
      </c>
      <c r="K1099" s="20">
        <f>IF($Q1099="","",INDEX(상세표[블록 06~07시],$Q1099))</f>
        <v/>
      </c>
      <c r="L1099" s="20">
        <f>IF($Q1099="","",INDEX(상세표[블록 07~18시],$Q1099))</f>
        <v/>
      </c>
      <c r="M1099" s="20">
        <f>IF($Q1099="","",INDEX(상세표[블록 18~22시],$Q1099))</f>
        <v/>
      </c>
      <c r="N1099" s="20">
        <f>IF($Q1099="","",INDEX(상세표[블록 22~06시],$Q1099))</f>
        <v/>
      </c>
      <c r="O1099">
        <f>IF($Q1099="","",INDEX(상세표[주말·휴일 포함],$Q1099)&amp;"")</f>
        <v/>
      </c>
      <c r="P1099">
        <f>IF($Q1099="","",INDEX(상세표[월 넘김 포함],$Q1099)&amp;"")</f>
        <v/>
      </c>
      <c r="Q1099" s="4">
        <f>IFERROR(MATCH(1094,상세표[연속순번],0),"")</f>
        <v/>
      </c>
    </row>
    <row r="1100">
      <c r="A1100">
        <f>IF($Q1100="","",INDEX(상세표[부서],$Q1100)&amp;"")</f>
        <v/>
      </c>
      <c r="B1100">
        <f>IF($Q1100="","",INDEX(상세표[사번],$Q1100)&amp;"")</f>
        <v/>
      </c>
      <c r="C1100">
        <f>IF($Q1100="","",INDEX(상세표[성명],$Q1100)&amp;"")</f>
        <v/>
      </c>
      <c r="D1100">
        <f>IF($Q1100="","",INDEX(상세표[직위],$Q1100)&amp;"")</f>
        <v/>
      </c>
      <c r="E1100">
        <f>IF($Q1100="","",IF(ISNUMBER(INDEX(상세표[근무일자],$Q1100)),TEXT(INDEX(상세표[근무일자],$Q1100),"yyyy-mm-dd"),INDEX(상세표[근무일자],$Q1100)&amp;""))</f>
        <v/>
      </c>
      <c r="F1100">
        <f>IF($Q1100="","",IF(ISNUMBER(INDEX(상세표[시작],$Q1100)),TEXT(INDEX(상세표[시작],$Q1100),"yyyy-mm-dd hh:mm"),INDEX(상세표[시작],$Q1100)&amp;""))</f>
        <v/>
      </c>
      <c r="G1100">
        <f>IF($Q1100="","",IF(ISNUMBER(INDEX(상세표[블록종료],$Q1100)),TEXT(INDEX(상세표[블록종료],$Q1100),"yyyy-mm-dd hh:mm"),INDEX(상세표[블록종료],$Q1100)&amp;""))</f>
        <v/>
      </c>
      <c r="H1100">
        <f>IF($Q1100="","",CHOOSE(WEEKDAY(INDEX(상세표[시작],$Q1100)),"일","월","화","수","목","금","토"))</f>
        <v/>
      </c>
      <c r="I1100" s="20">
        <f>IF($Q1100="","",INDEX(상세표[연속 시간],$Q1100))</f>
        <v/>
      </c>
      <c r="J1100">
        <f>IF($Q1100="","",INDEX(상세표[기록 수],$Q1100))</f>
        <v/>
      </c>
      <c r="K1100" s="20">
        <f>IF($Q1100="","",INDEX(상세표[블록 06~07시],$Q1100))</f>
        <v/>
      </c>
      <c r="L1100" s="20">
        <f>IF($Q1100="","",INDEX(상세표[블록 07~18시],$Q1100))</f>
        <v/>
      </c>
      <c r="M1100" s="20">
        <f>IF($Q1100="","",INDEX(상세표[블록 18~22시],$Q1100))</f>
        <v/>
      </c>
      <c r="N1100" s="20">
        <f>IF($Q1100="","",INDEX(상세표[블록 22~06시],$Q1100))</f>
        <v/>
      </c>
      <c r="O1100">
        <f>IF($Q1100="","",INDEX(상세표[주말·휴일 포함],$Q1100)&amp;"")</f>
        <v/>
      </c>
      <c r="P1100">
        <f>IF($Q1100="","",INDEX(상세표[월 넘김 포함],$Q1100)&amp;"")</f>
        <v/>
      </c>
      <c r="Q1100" s="4">
        <f>IFERROR(MATCH(1095,상세표[연속순번],0),"")</f>
        <v/>
      </c>
    </row>
    <row r="1101">
      <c r="A1101">
        <f>IF($Q1101="","",INDEX(상세표[부서],$Q1101)&amp;"")</f>
        <v/>
      </c>
      <c r="B1101">
        <f>IF($Q1101="","",INDEX(상세표[사번],$Q1101)&amp;"")</f>
        <v/>
      </c>
      <c r="C1101">
        <f>IF($Q1101="","",INDEX(상세표[성명],$Q1101)&amp;"")</f>
        <v/>
      </c>
      <c r="D1101">
        <f>IF($Q1101="","",INDEX(상세표[직위],$Q1101)&amp;"")</f>
        <v/>
      </c>
      <c r="E1101">
        <f>IF($Q1101="","",IF(ISNUMBER(INDEX(상세표[근무일자],$Q1101)),TEXT(INDEX(상세표[근무일자],$Q1101),"yyyy-mm-dd"),INDEX(상세표[근무일자],$Q1101)&amp;""))</f>
        <v/>
      </c>
      <c r="F1101">
        <f>IF($Q1101="","",IF(ISNUMBER(INDEX(상세표[시작],$Q1101)),TEXT(INDEX(상세표[시작],$Q1101),"yyyy-mm-dd hh:mm"),INDEX(상세표[시작],$Q1101)&amp;""))</f>
        <v/>
      </c>
      <c r="G1101">
        <f>IF($Q1101="","",IF(ISNUMBER(INDEX(상세표[블록종료],$Q1101)),TEXT(INDEX(상세표[블록종료],$Q1101),"yyyy-mm-dd hh:mm"),INDEX(상세표[블록종료],$Q1101)&amp;""))</f>
        <v/>
      </c>
      <c r="H1101">
        <f>IF($Q1101="","",CHOOSE(WEEKDAY(INDEX(상세표[시작],$Q1101)),"일","월","화","수","목","금","토"))</f>
        <v/>
      </c>
      <c r="I1101" s="20">
        <f>IF($Q1101="","",INDEX(상세표[연속 시간],$Q1101))</f>
        <v/>
      </c>
      <c r="J1101">
        <f>IF($Q1101="","",INDEX(상세표[기록 수],$Q1101))</f>
        <v/>
      </c>
      <c r="K1101" s="20">
        <f>IF($Q1101="","",INDEX(상세표[블록 06~07시],$Q1101))</f>
        <v/>
      </c>
      <c r="L1101" s="20">
        <f>IF($Q1101="","",INDEX(상세표[블록 07~18시],$Q1101))</f>
        <v/>
      </c>
      <c r="M1101" s="20">
        <f>IF($Q1101="","",INDEX(상세표[블록 18~22시],$Q1101))</f>
        <v/>
      </c>
      <c r="N1101" s="20">
        <f>IF($Q1101="","",INDEX(상세표[블록 22~06시],$Q1101))</f>
        <v/>
      </c>
      <c r="O1101">
        <f>IF($Q1101="","",INDEX(상세표[주말·휴일 포함],$Q1101)&amp;"")</f>
        <v/>
      </c>
      <c r="P1101">
        <f>IF($Q1101="","",INDEX(상세표[월 넘김 포함],$Q1101)&amp;"")</f>
        <v/>
      </c>
      <c r="Q1101" s="4">
        <f>IFERROR(MATCH(1096,상세표[연속순번],0),"")</f>
        <v/>
      </c>
    </row>
    <row r="1102">
      <c r="A1102">
        <f>IF($Q1102="","",INDEX(상세표[부서],$Q1102)&amp;"")</f>
        <v/>
      </c>
      <c r="B1102">
        <f>IF($Q1102="","",INDEX(상세표[사번],$Q1102)&amp;"")</f>
        <v/>
      </c>
      <c r="C1102">
        <f>IF($Q1102="","",INDEX(상세표[성명],$Q1102)&amp;"")</f>
        <v/>
      </c>
      <c r="D1102">
        <f>IF($Q1102="","",INDEX(상세표[직위],$Q1102)&amp;"")</f>
        <v/>
      </c>
      <c r="E1102">
        <f>IF($Q1102="","",IF(ISNUMBER(INDEX(상세표[근무일자],$Q1102)),TEXT(INDEX(상세표[근무일자],$Q1102),"yyyy-mm-dd"),INDEX(상세표[근무일자],$Q1102)&amp;""))</f>
        <v/>
      </c>
      <c r="F1102">
        <f>IF($Q1102="","",IF(ISNUMBER(INDEX(상세표[시작],$Q1102)),TEXT(INDEX(상세표[시작],$Q1102),"yyyy-mm-dd hh:mm"),INDEX(상세표[시작],$Q1102)&amp;""))</f>
        <v/>
      </c>
      <c r="G1102">
        <f>IF($Q1102="","",IF(ISNUMBER(INDEX(상세표[블록종료],$Q1102)),TEXT(INDEX(상세표[블록종료],$Q1102),"yyyy-mm-dd hh:mm"),INDEX(상세표[블록종료],$Q1102)&amp;""))</f>
        <v/>
      </c>
      <c r="H1102">
        <f>IF($Q1102="","",CHOOSE(WEEKDAY(INDEX(상세표[시작],$Q1102)),"일","월","화","수","목","금","토"))</f>
        <v/>
      </c>
      <c r="I1102" s="20">
        <f>IF($Q1102="","",INDEX(상세표[연속 시간],$Q1102))</f>
        <v/>
      </c>
      <c r="J1102">
        <f>IF($Q1102="","",INDEX(상세표[기록 수],$Q1102))</f>
        <v/>
      </c>
      <c r="K1102" s="20">
        <f>IF($Q1102="","",INDEX(상세표[블록 06~07시],$Q1102))</f>
        <v/>
      </c>
      <c r="L1102" s="20">
        <f>IF($Q1102="","",INDEX(상세표[블록 07~18시],$Q1102))</f>
        <v/>
      </c>
      <c r="M1102" s="20">
        <f>IF($Q1102="","",INDEX(상세표[블록 18~22시],$Q1102))</f>
        <v/>
      </c>
      <c r="N1102" s="20">
        <f>IF($Q1102="","",INDEX(상세표[블록 22~06시],$Q1102))</f>
        <v/>
      </c>
      <c r="O1102">
        <f>IF($Q1102="","",INDEX(상세표[주말·휴일 포함],$Q1102)&amp;"")</f>
        <v/>
      </c>
      <c r="P1102">
        <f>IF($Q1102="","",INDEX(상세표[월 넘김 포함],$Q1102)&amp;"")</f>
        <v/>
      </c>
      <c r="Q1102" s="4">
        <f>IFERROR(MATCH(1097,상세표[연속순번],0),"")</f>
        <v/>
      </c>
    </row>
    <row r="1103">
      <c r="A1103">
        <f>IF($Q1103="","",INDEX(상세표[부서],$Q1103)&amp;"")</f>
        <v/>
      </c>
      <c r="B1103">
        <f>IF($Q1103="","",INDEX(상세표[사번],$Q1103)&amp;"")</f>
        <v/>
      </c>
      <c r="C1103">
        <f>IF($Q1103="","",INDEX(상세표[성명],$Q1103)&amp;"")</f>
        <v/>
      </c>
      <c r="D1103">
        <f>IF($Q1103="","",INDEX(상세표[직위],$Q1103)&amp;"")</f>
        <v/>
      </c>
      <c r="E1103">
        <f>IF($Q1103="","",IF(ISNUMBER(INDEX(상세표[근무일자],$Q1103)),TEXT(INDEX(상세표[근무일자],$Q1103),"yyyy-mm-dd"),INDEX(상세표[근무일자],$Q1103)&amp;""))</f>
        <v/>
      </c>
      <c r="F1103">
        <f>IF($Q1103="","",IF(ISNUMBER(INDEX(상세표[시작],$Q1103)),TEXT(INDEX(상세표[시작],$Q1103),"yyyy-mm-dd hh:mm"),INDEX(상세표[시작],$Q1103)&amp;""))</f>
        <v/>
      </c>
      <c r="G1103">
        <f>IF($Q1103="","",IF(ISNUMBER(INDEX(상세표[블록종료],$Q1103)),TEXT(INDEX(상세표[블록종료],$Q1103),"yyyy-mm-dd hh:mm"),INDEX(상세표[블록종료],$Q1103)&amp;""))</f>
        <v/>
      </c>
      <c r="H1103">
        <f>IF($Q1103="","",CHOOSE(WEEKDAY(INDEX(상세표[시작],$Q1103)),"일","월","화","수","목","금","토"))</f>
        <v/>
      </c>
      <c r="I1103" s="20">
        <f>IF($Q1103="","",INDEX(상세표[연속 시간],$Q1103))</f>
        <v/>
      </c>
      <c r="J1103">
        <f>IF($Q1103="","",INDEX(상세표[기록 수],$Q1103))</f>
        <v/>
      </c>
      <c r="K1103" s="20">
        <f>IF($Q1103="","",INDEX(상세표[블록 06~07시],$Q1103))</f>
        <v/>
      </c>
      <c r="L1103" s="20">
        <f>IF($Q1103="","",INDEX(상세표[블록 07~18시],$Q1103))</f>
        <v/>
      </c>
      <c r="M1103" s="20">
        <f>IF($Q1103="","",INDEX(상세표[블록 18~22시],$Q1103))</f>
        <v/>
      </c>
      <c r="N1103" s="20">
        <f>IF($Q1103="","",INDEX(상세표[블록 22~06시],$Q1103))</f>
        <v/>
      </c>
      <c r="O1103">
        <f>IF($Q1103="","",INDEX(상세표[주말·휴일 포함],$Q1103)&amp;"")</f>
        <v/>
      </c>
      <c r="P1103">
        <f>IF($Q1103="","",INDEX(상세표[월 넘김 포함],$Q1103)&amp;"")</f>
        <v/>
      </c>
      <c r="Q1103" s="4">
        <f>IFERROR(MATCH(1098,상세표[연속순번],0),"")</f>
        <v/>
      </c>
    </row>
    <row r="1104">
      <c r="A1104">
        <f>IF($Q1104="","",INDEX(상세표[부서],$Q1104)&amp;"")</f>
        <v/>
      </c>
      <c r="B1104">
        <f>IF($Q1104="","",INDEX(상세표[사번],$Q1104)&amp;"")</f>
        <v/>
      </c>
      <c r="C1104">
        <f>IF($Q1104="","",INDEX(상세표[성명],$Q1104)&amp;"")</f>
        <v/>
      </c>
      <c r="D1104">
        <f>IF($Q1104="","",INDEX(상세표[직위],$Q1104)&amp;"")</f>
        <v/>
      </c>
      <c r="E1104">
        <f>IF($Q1104="","",IF(ISNUMBER(INDEX(상세표[근무일자],$Q1104)),TEXT(INDEX(상세표[근무일자],$Q1104),"yyyy-mm-dd"),INDEX(상세표[근무일자],$Q1104)&amp;""))</f>
        <v/>
      </c>
      <c r="F1104">
        <f>IF($Q1104="","",IF(ISNUMBER(INDEX(상세표[시작],$Q1104)),TEXT(INDEX(상세표[시작],$Q1104),"yyyy-mm-dd hh:mm"),INDEX(상세표[시작],$Q1104)&amp;""))</f>
        <v/>
      </c>
      <c r="G1104">
        <f>IF($Q1104="","",IF(ISNUMBER(INDEX(상세표[블록종료],$Q1104)),TEXT(INDEX(상세표[블록종료],$Q1104),"yyyy-mm-dd hh:mm"),INDEX(상세표[블록종료],$Q1104)&amp;""))</f>
        <v/>
      </c>
      <c r="H1104">
        <f>IF($Q1104="","",CHOOSE(WEEKDAY(INDEX(상세표[시작],$Q1104)),"일","월","화","수","목","금","토"))</f>
        <v/>
      </c>
      <c r="I1104" s="20">
        <f>IF($Q1104="","",INDEX(상세표[연속 시간],$Q1104))</f>
        <v/>
      </c>
      <c r="J1104">
        <f>IF($Q1104="","",INDEX(상세표[기록 수],$Q1104))</f>
        <v/>
      </c>
      <c r="K1104" s="20">
        <f>IF($Q1104="","",INDEX(상세표[블록 06~07시],$Q1104))</f>
        <v/>
      </c>
      <c r="L1104" s="20">
        <f>IF($Q1104="","",INDEX(상세표[블록 07~18시],$Q1104))</f>
        <v/>
      </c>
      <c r="M1104" s="20">
        <f>IF($Q1104="","",INDEX(상세표[블록 18~22시],$Q1104))</f>
        <v/>
      </c>
      <c r="N1104" s="20">
        <f>IF($Q1104="","",INDEX(상세표[블록 22~06시],$Q1104))</f>
        <v/>
      </c>
      <c r="O1104">
        <f>IF($Q1104="","",INDEX(상세표[주말·휴일 포함],$Q1104)&amp;"")</f>
        <v/>
      </c>
      <c r="P1104">
        <f>IF($Q1104="","",INDEX(상세표[월 넘김 포함],$Q1104)&amp;"")</f>
        <v/>
      </c>
      <c r="Q1104" s="4">
        <f>IFERROR(MATCH(1099,상세표[연속순번],0),"")</f>
        <v/>
      </c>
    </row>
    <row r="1105">
      <c r="A1105">
        <f>IF($Q1105="","",INDEX(상세표[부서],$Q1105)&amp;"")</f>
        <v/>
      </c>
      <c r="B1105">
        <f>IF($Q1105="","",INDEX(상세표[사번],$Q1105)&amp;"")</f>
        <v/>
      </c>
      <c r="C1105">
        <f>IF($Q1105="","",INDEX(상세표[성명],$Q1105)&amp;"")</f>
        <v/>
      </c>
      <c r="D1105">
        <f>IF($Q1105="","",INDEX(상세표[직위],$Q1105)&amp;"")</f>
        <v/>
      </c>
      <c r="E1105">
        <f>IF($Q1105="","",IF(ISNUMBER(INDEX(상세표[근무일자],$Q1105)),TEXT(INDEX(상세표[근무일자],$Q1105),"yyyy-mm-dd"),INDEX(상세표[근무일자],$Q1105)&amp;""))</f>
        <v/>
      </c>
      <c r="F1105">
        <f>IF($Q1105="","",IF(ISNUMBER(INDEX(상세표[시작],$Q1105)),TEXT(INDEX(상세표[시작],$Q1105),"yyyy-mm-dd hh:mm"),INDEX(상세표[시작],$Q1105)&amp;""))</f>
        <v/>
      </c>
      <c r="G1105">
        <f>IF($Q1105="","",IF(ISNUMBER(INDEX(상세표[블록종료],$Q1105)),TEXT(INDEX(상세표[블록종료],$Q1105),"yyyy-mm-dd hh:mm"),INDEX(상세표[블록종료],$Q1105)&amp;""))</f>
        <v/>
      </c>
      <c r="H1105">
        <f>IF($Q1105="","",CHOOSE(WEEKDAY(INDEX(상세표[시작],$Q1105)),"일","월","화","수","목","금","토"))</f>
        <v/>
      </c>
      <c r="I1105" s="20">
        <f>IF($Q1105="","",INDEX(상세표[연속 시간],$Q1105))</f>
        <v/>
      </c>
      <c r="J1105">
        <f>IF($Q1105="","",INDEX(상세표[기록 수],$Q1105))</f>
        <v/>
      </c>
      <c r="K1105" s="20">
        <f>IF($Q1105="","",INDEX(상세표[블록 06~07시],$Q1105))</f>
        <v/>
      </c>
      <c r="L1105" s="20">
        <f>IF($Q1105="","",INDEX(상세표[블록 07~18시],$Q1105))</f>
        <v/>
      </c>
      <c r="M1105" s="20">
        <f>IF($Q1105="","",INDEX(상세표[블록 18~22시],$Q1105))</f>
        <v/>
      </c>
      <c r="N1105" s="20">
        <f>IF($Q1105="","",INDEX(상세표[블록 22~06시],$Q1105))</f>
        <v/>
      </c>
      <c r="O1105">
        <f>IF($Q1105="","",INDEX(상세표[주말·휴일 포함],$Q1105)&amp;"")</f>
        <v/>
      </c>
      <c r="P1105">
        <f>IF($Q1105="","",INDEX(상세표[월 넘김 포함],$Q1105)&amp;"")</f>
        <v/>
      </c>
      <c r="Q1105" s="4">
        <f>IFERROR(MATCH(1100,상세표[연속순번],0),"")</f>
        <v/>
      </c>
    </row>
    <row r="1106">
      <c r="A1106">
        <f>IF($Q1106="","",INDEX(상세표[부서],$Q1106)&amp;"")</f>
        <v/>
      </c>
      <c r="B1106">
        <f>IF($Q1106="","",INDEX(상세표[사번],$Q1106)&amp;"")</f>
        <v/>
      </c>
      <c r="C1106">
        <f>IF($Q1106="","",INDEX(상세표[성명],$Q1106)&amp;"")</f>
        <v/>
      </c>
      <c r="D1106">
        <f>IF($Q1106="","",INDEX(상세표[직위],$Q1106)&amp;"")</f>
        <v/>
      </c>
      <c r="E1106">
        <f>IF($Q1106="","",IF(ISNUMBER(INDEX(상세표[근무일자],$Q1106)),TEXT(INDEX(상세표[근무일자],$Q1106),"yyyy-mm-dd"),INDEX(상세표[근무일자],$Q1106)&amp;""))</f>
        <v/>
      </c>
      <c r="F1106">
        <f>IF($Q1106="","",IF(ISNUMBER(INDEX(상세표[시작],$Q1106)),TEXT(INDEX(상세표[시작],$Q1106),"yyyy-mm-dd hh:mm"),INDEX(상세표[시작],$Q1106)&amp;""))</f>
        <v/>
      </c>
      <c r="G1106">
        <f>IF($Q1106="","",IF(ISNUMBER(INDEX(상세표[블록종료],$Q1106)),TEXT(INDEX(상세표[블록종료],$Q1106),"yyyy-mm-dd hh:mm"),INDEX(상세표[블록종료],$Q1106)&amp;""))</f>
        <v/>
      </c>
      <c r="H1106">
        <f>IF($Q1106="","",CHOOSE(WEEKDAY(INDEX(상세표[시작],$Q1106)),"일","월","화","수","목","금","토"))</f>
        <v/>
      </c>
      <c r="I1106" s="20">
        <f>IF($Q1106="","",INDEX(상세표[연속 시간],$Q1106))</f>
        <v/>
      </c>
      <c r="J1106">
        <f>IF($Q1106="","",INDEX(상세표[기록 수],$Q1106))</f>
        <v/>
      </c>
      <c r="K1106" s="20">
        <f>IF($Q1106="","",INDEX(상세표[블록 06~07시],$Q1106))</f>
        <v/>
      </c>
      <c r="L1106" s="20">
        <f>IF($Q1106="","",INDEX(상세표[블록 07~18시],$Q1106))</f>
        <v/>
      </c>
      <c r="M1106" s="20">
        <f>IF($Q1106="","",INDEX(상세표[블록 18~22시],$Q1106))</f>
        <v/>
      </c>
      <c r="N1106" s="20">
        <f>IF($Q1106="","",INDEX(상세표[블록 22~06시],$Q1106))</f>
        <v/>
      </c>
      <c r="O1106">
        <f>IF($Q1106="","",INDEX(상세표[주말·휴일 포함],$Q1106)&amp;"")</f>
        <v/>
      </c>
      <c r="P1106">
        <f>IF($Q1106="","",INDEX(상세표[월 넘김 포함],$Q1106)&amp;"")</f>
        <v/>
      </c>
      <c r="Q1106" s="4">
        <f>IFERROR(MATCH(1101,상세표[연속순번],0),"")</f>
        <v/>
      </c>
    </row>
    <row r="1107">
      <c r="A1107">
        <f>IF($Q1107="","",INDEX(상세표[부서],$Q1107)&amp;"")</f>
        <v/>
      </c>
      <c r="B1107">
        <f>IF($Q1107="","",INDEX(상세표[사번],$Q1107)&amp;"")</f>
        <v/>
      </c>
      <c r="C1107">
        <f>IF($Q1107="","",INDEX(상세표[성명],$Q1107)&amp;"")</f>
        <v/>
      </c>
      <c r="D1107">
        <f>IF($Q1107="","",INDEX(상세표[직위],$Q1107)&amp;"")</f>
        <v/>
      </c>
      <c r="E1107">
        <f>IF($Q1107="","",IF(ISNUMBER(INDEX(상세표[근무일자],$Q1107)),TEXT(INDEX(상세표[근무일자],$Q1107),"yyyy-mm-dd"),INDEX(상세표[근무일자],$Q1107)&amp;""))</f>
        <v/>
      </c>
      <c r="F1107">
        <f>IF($Q1107="","",IF(ISNUMBER(INDEX(상세표[시작],$Q1107)),TEXT(INDEX(상세표[시작],$Q1107),"yyyy-mm-dd hh:mm"),INDEX(상세표[시작],$Q1107)&amp;""))</f>
        <v/>
      </c>
      <c r="G1107">
        <f>IF($Q1107="","",IF(ISNUMBER(INDEX(상세표[블록종료],$Q1107)),TEXT(INDEX(상세표[블록종료],$Q1107),"yyyy-mm-dd hh:mm"),INDEX(상세표[블록종료],$Q1107)&amp;""))</f>
        <v/>
      </c>
      <c r="H1107">
        <f>IF($Q1107="","",CHOOSE(WEEKDAY(INDEX(상세표[시작],$Q1107)),"일","월","화","수","목","금","토"))</f>
        <v/>
      </c>
      <c r="I1107" s="20">
        <f>IF($Q1107="","",INDEX(상세표[연속 시간],$Q1107))</f>
        <v/>
      </c>
      <c r="J1107">
        <f>IF($Q1107="","",INDEX(상세표[기록 수],$Q1107))</f>
        <v/>
      </c>
      <c r="K1107" s="20">
        <f>IF($Q1107="","",INDEX(상세표[블록 06~07시],$Q1107))</f>
        <v/>
      </c>
      <c r="L1107" s="20">
        <f>IF($Q1107="","",INDEX(상세표[블록 07~18시],$Q1107))</f>
        <v/>
      </c>
      <c r="M1107" s="20">
        <f>IF($Q1107="","",INDEX(상세표[블록 18~22시],$Q1107))</f>
        <v/>
      </c>
      <c r="N1107" s="20">
        <f>IF($Q1107="","",INDEX(상세표[블록 22~06시],$Q1107))</f>
        <v/>
      </c>
      <c r="O1107">
        <f>IF($Q1107="","",INDEX(상세표[주말·휴일 포함],$Q1107)&amp;"")</f>
        <v/>
      </c>
      <c r="P1107">
        <f>IF($Q1107="","",INDEX(상세표[월 넘김 포함],$Q1107)&amp;"")</f>
        <v/>
      </c>
      <c r="Q1107" s="4">
        <f>IFERROR(MATCH(1102,상세표[연속순번],0),"")</f>
        <v/>
      </c>
    </row>
    <row r="1108">
      <c r="A1108">
        <f>IF($Q1108="","",INDEX(상세표[부서],$Q1108)&amp;"")</f>
        <v/>
      </c>
      <c r="B1108">
        <f>IF($Q1108="","",INDEX(상세표[사번],$Q1108)&amp;"")</f>
        <v/>
      </c>
      <c r="C1108">
        <f>IF($Q1108="","",INDEX(상세표[성명],$Q1108)&amp;"")</f>
        <v/>
      </c>
      <c r="D1108">
        <f>IF($Q1108="","",INDEX(상세표[직위],$Q1108)&amp;"")</f>
        <v/>
      </c>
      <c r="E1108">
        <f>IF($Q1108="","",IF(ISNUMBER(INDEX(상세표[근무일자],$Q1108)),TEXT(INDEX(상세표[근무일자],$Q1108),"yyyy-mm-dd"),INDEX(상세표[근무일자],$Q1108)&amp;""))</f>
        <v/>
      </c>
      <c r="F1108">
        <f>IF($Q1108="","",IF(ISNUMBER(INDEX(상세표[시작],$Q1108)),TEXT(INDEX(상세표[시작],$Q1108),"yyyy-mm-dd hh:mm"),INDEX(상세표[시작],$Q1108)&amp;""))</f>
        <v/>
      </c>
      <c r="G1108">
        <f>IF($Q1108="","",IF(ISNUMBER(INDEX(상세표[블록종료],$Q1108)),TEXT(INDEX(상세표[블록종료],$Q1108),"yyyy-mm-dd hh:mm"),INDEX(상세표[블록종료],$Q1108)&amp;""))</f>
        <v/>
      </c>
      <c r="H1108">
        <f>IF($Q1108="","",CHOOSE(WEEKDAY(INDEX(상세표[시작],$Q1108)),"일","월","화","수","목","금","토"))</f>
        <v/>
      </c>
      <c r="I1108" s="20">
        <f>IF($Q1108="","",INDEX(상세표[연속 시간],$Q1108))</f>
        <v/>
      </c>
      <c r="J1108">
        <f>IF($Q1108="","",INDEX(상세표[기록 수],$Q1108))</f>
        <v/>
      </c>
      <c r="K1108" s="20">
        <f>IF($Q1108="","",INDEX(상세표[블록 06~07시],$Q1108))</f>
        <v/>
      </c>
      <c r="L1108" s="20">
        <f>IF($Q1108="","",INDEX(상세표[블록 07~18시],$Q1108))</f>
        <v/>
      </c>
      <c r="M1108" s="20">
        <f>IF($Q1108="","",INDEX(상세표[블록 18~22시],$Q1108))</f>
        <v/>
      </c>
      <c r="N1108" s="20">
        <f>IF($Q1108="","",INDEX(상세표[블록 22~06시],$Q1108))</f>
        <v/>
      </c>
      <c r="O1108">
        <f>IF($Q1108="","",INDEX(상세표[주말·휴일 포함],$Q1108)&amp;"")</f>
        <v/>
      </c>
      <c r="P1108">
        <f>IF($Q1108="","",INDEX(상세표[월 넘김 포함],$Q1108)&amp;"")</f>
        <v/>
      </c>
      <c r="Q1108" s="4">
        <f>IFERROR(MATCH(1103,상세표[연속순번],0),"")</f>
        <v/>
      </c>
    </row>
    <row r="1109">
      <c r="A1109">
        <f>IF($Q1109="","",INDEX(상세표[부서],$Q1109)&amp;"")</f>
        <v/>
      </c>
      <c r="B1109">
        <f>IF($Q1109="","",INDEX(상세표[사번],$Q1109)&amp;"")</f>
        <v/>
      </c>
      <c r="C1109">
        <f>IF($Q1109="","",INDEX(상세표[성명],$Q1109)&amp;"")</f>
        <v/>
      </c>
      <c r="D1109">
        <f>IF($Q1109="","",INDEX(상세표[직위],$Q1109)&amp;"")</f>
        <v/>
      </c>
      <c r="E1109">
        <f>IF($Q1109="","",IF(ISNUMBER(INDEX(상세표[근무일자],$Q1109)),TEXT(INDEX(상세표[근무일자],$Q1109),"yyyy-mm-dd"),INDEX(상세표[근무일자],$Q1109)&amp;""))</f>
        <v/>
      </c>
      <c r="F1109">
        <f>IF($Q1109="","",IF(ISNUMBER(INDEX(상세표[시작],$Q1109)),TEXT(INDEX(상세표[시작],$Q1109),"yyyy-mm-dd hh:mm"),INDEX(상세표[시작],$Q1109)&amp;""))</f>
        <v/>
      </c>
      <c r="G1109">
        <f>IF($Q1109="","",IF(ISNUMBER(INDEX(상세표[블록종료],$Q1109)),TEXT(INDEX(상세표[블록종료],$Q1109),"yyyy-mm-dd hh:mm"),INDEX(상세표[블록종료],$Q1109)&amp;""))</f>
        <v/>
      </c>
      <c r="H1109">
        <f>IF($Q1109="","",CHOOSE(WEEKDAY(INDEX(상세표[시작],$Q1109)),"일","월","화","수","목","금","토"))</f>
        <v/>
      </c>
      <c r="I1109" s="20">
        <f>IF($Q1109="","",INDEX(상세표[연속 시간],$Q1109))</f>
        <v/>
      </c>
      <c r="J1109">
        <f>IF($Q1109="","",INDEX(상세표[기록 수],$Q1109))</f>
        <v/>
      </c>
      <c r="K1109" s="20">
        <f>IF($Q1109="","",INDEX(상세표[블록 06~07시],$Q1109))</f>
        <v/>
      </c>
      <c r="L1109" s="20">
        <f>IF($Q1109="","",INDEX(상세표[블록 07~18시],$Q1109))</f>
        <v/>
      </c>
      <c r="M1109" s="20">
        <f>IF($Q1109="","",INDEX(상세표[블록 18~22시],$Q1109))</f>
        <v/>
      </c>
      <c r="N1109" s="20">
        <f>IF($Q1109="","",INDEX(상세표[블록 22~06시],$Q1109))</f>
        <v/>
      </c>
      <c r="O1109">
        <f>IF($Q1109="","",INDEX(상세표[주말·휴일 포함],$Q1109)&amp;"")</f>
        <v/>
      </c>
      <c r="P1109">
        <f>IF($Q1109="","",INDEX(상세표[월 넘김 포함],$Q1109)&amp;"")</f>
        <v/>
      </c>
      <c r="Q1109" s="4">
        <f>IFERROR(MATCH(1104,상세표[연속순번],0),"")</f>
        <v/>
      </c>
    </row>
    <row r="1110">
      <c r="A1110">
        <f>IF($Q1110="","",INDEX(상세표[부서],$Q1110)&amp;"")</f>
        <v/>
      </c>
      <c r="B1110">
        <f>IF($Q1110="","",INDEX(상세표[사번],$Q1110)&amp;"")</f>
        <v/>
      </c>
      <c r="C1110">
        <f>IF($Q1110="","",INDEX(상세표[성명],$Q1110)&amp;"")</f>
        <v/>
      </c>
      <c r="D1110">
        <f>IF($Q1110="","",INDEX(상세표[직위],$Q1110)&amp;"")</f>
        <v/>
      </c>
      <c r="E1110">
        <f>IF($Q1110="","",IF(ISNUMBER(INDEX(상세표[근무일자],$Q1110)),TEXT(INDEX(상세표[근무일자],$Q1110),"yyyy-mm-dd"),INDEX(상세표[근무일자],$Q1110)&amp;""))</f>
        <v/>
      </c>
      <c r="F1110">
        <f>IF($Q1110="","",IF(ISNUMBER(INDEX(상세표[시작],$Q1110)),TEXT(INDEX(상세표[시작],$Q1110),"yyyy-mm-dd hh:mm"),INDEX(상세표[시작],$Q1110)&amp;""))</f>
        <v/>
      </c>
      <c r="G1110">
        <f>IF($Q1110="","",IF(ISNUMBER(INDEX(상세표[블록종료],$Q1110)),TEXT(INDEX(상세표[블록종료],$Q1110),"yyyy-mm-dd hh:mm"),INDEX(상세표[블록종료],$Q1110)&amp;""))</f>
        <v/>
      </c>
      <c r="H1110">
        <f>IF($Q1110="","",CHOOSE(WEEKDAY(INDEX(상세표[시작],$Q1110)),"일","월","화","수","목","금","토"))</f>
        <v/>
      </c>
      <c r="I1110" s="20">
        <f>IF($Q1110="","",INDEX(상세표[연속 시간],$Q1110))</f>
        <v/>
      </c>
      <c r="J1110">
        <f>IF($Q1110="","",INDEX(상세표[기록 수],$Q1110))</f>
        <v/>
      </c>
      <c r="K1110" s="20">
        <f>IF($Q1110="","",INDEX(상세표[블록 06~07시],$Q1110))</f>
        <v/>
      </c>
      <c r="L1110" s="20">
        <f>IF($Q1110="","",INDEX(상세표[블록 07~18시],$Q1110))</f>
        <v/>
      </c>
      <c r="M1110" s="20">
        <f>IF($Q1110="","",INDEX(상세표[블록 18~22시],$Q1110))</f>
        <v/>
      </c>
      <c r="N1110" s="20">
        <f>IF($Q1110="","",INDEX(상세표[블록 22~06시],$Q1110))</f>
        <v/>
      </c>
      <c r="O1110">
        <f>IF($Q1110="","",INDEX(상세표[주말·휴일 포함],$Q1110)&amp;"")</f>
        <v/>
      </c>
      <c r="P1110">
        <f>IF($Q1110="","",INDEX(상세표[월 넘김 포함],$Q1110)&amp;"")</f>
        <v/>
      </c>
      <c r="Q1110" s="4">
        <f>IFERROR(MATCH(1105,상세표[연속순번],0),"")</f>
        <v/>
      </c>
    </row>
    <row r="1111">
      <c r="A1111">
        <f>IF($Q1111="","",INDEX(상세표[부서],$Q1111)&amp;"")</f>
        <v/>
      </c>
      <c r="B1111">
        <f>IF($Q1111="","",INDEX(상세표[사번],$Q1111)&amp;"")</f>
        <v/>
      </c>
      <c r="C1111">
        <f>IF($Q1111="","",INDEX(상세표[성명],$Q1111)&amp;"")</f>
        <v/>
      </c>
      <c r="D1111">
        <f>IF($Q1111="","",INDEX(상세표[직위],$Q1111)&amp;"")</f>
        <v/>
      </c>
      <c r="E1111">
        <f>IF($Q1111="","",IF(ISNUMBER(INDEX(상세표[근무일자],$Q1111)),TEXT(INDEX(상세표[근무일자],$Q1111),"yyyy-mm-dd"),INDEX(상세표[근무일자],$Q1111)&amp;""))</f>
        <v/>
      </c>
      <c r="F1111">
        <f>IF($Q1111="","",IF(ISNUMBER(INDEX(상세표[시작],$Q1111)),TEXT(INDEX(상세표[시작],$Q1111),"yyyy-mm-dd hh:mm"),INDEX(상세표[시작],$Q1111)&amp;""))</f>
        <v/>
      </c>
      <c r="G1111">
        <f>IF($Q1111="","",IF(ISNUMBER(INDEX(상세표[블록종료],$Q1111)),TEXT(INDEX(상세표[블록종료],$Q1111),"yyyy-mm-dd hh:mm"),INDEX(상세표[블록종료],$Q1111)&amp;""))</f>
        <v/>
      </c>
      <c r="H1111">
        <f>IF($Q1111="","",CHOOSE(WEEKDAY(INDEX(상세표[시작],$Q1111)),"일","월","화","수","목","금","토"))</f>
        <v/>
      </c>
      <c r="I1111" s="20">
        <f>IF($Q1111="","",INDEX(상세표[연속 시간],$Q1111))</f>
        <v/>
      </c>
      <c r="J1111">
        <f>IF($Q1111="","",INDEX(상세표[기록 수],$Q1111))</f>
        <v/>
      </c>
      <c r="K1111" s="20">
        <f>IF($Q1111="","",INDEX(상세표[블록 06~07시],$Q1111))</f>
        <v/>
      </c>
      <c r="L1111" s="20">
        <f>IF($Q1111="","",INDEX(상세표[블록 07~18시],$Q1111))</f>
        <v/>
      </c>
      <c r="M1111" s="20">
        <f>IF($Q1111="","",INDEX(상세표[블록 18~22시],$Q1111))</f>
        <v/>
      </c>
      <c r="N1111" s="20">
        <f>IF($Q1111="","",INDEX(상세표[블록 22~06시],$Q1111))</f>
        <v/>
      </c>
      <c r="O1111">
        <f>IF($Q1111="","",INDEX(상세표[주말·휴일 포함],$Q1111)&amp;"")</f>
        <v/>
      </c>
      <c r="P1111">
        <f>IF($Q1111="","",INDEX(상세표[월 넘김 포함],$Q1111)&amp;"")</f>
        <v/>
      </c>
      <c r="Q1111" s="4">
        <f>IFERROR(MATCH(1106,상세표[연속순번],0),"")</f>
        <v/>
      </c>
    </row>
    <row r="1112">
      <c r="A1112">
        <f>IF($Q1112="","",INDEX(상세표[부서],$Q1112)&amp;"")</f>
        <v/>
      </c>
      <c r="B1112">
        <f>IF($Q1112="","",INDEX(상세표[사번],$Q1112)&amp;"")</f>
        <v/>
      </c>
      <c r="C1112">
        <f>IF($Q1112="","",INDEX(상세표[성명],$Q1112)&amp;"")</f>
        <v/>
      </c>
      <c r="D1112">
        <f>IF($Q1112="","",INDEX(상세표[직위],$Q1112)&amp;"")</f>
        <v/>
      </c>
      <c r="E1112">
        <f>IF($Q1112="","",IF(ISNUMBER(INDEX(상세표[근무일자],$Q1112)),TEXT(INDEX(상세표[근무일자],$Q1112),"yyyy-mm-dd"),INDEX(상세표[근무일자],$Q1112)&amp;""))</f>
        <v/>
      </c>
      <c r="F1112">
        <f>IF($Q1112="","",IF(ISNUMBER(INDEX(상세표[시작],$Q1112)),TEXT(INDEX(상세표[시작],$Q1112),"yyyy-mm-dd hh:mm"),INDEX(상세표[시작],$Q1112)&amp;""))</f>
        <v/>
      </c>
      <c r="G1112">
        <f>IF($Q1112="","",IF(ISNUMBER(INDEX(상세표[블록종료],$Q1112)),TEXT(INDEX(상세표[블록종료],$Q1112),"yyyy-mm-dd hh:mm"),INDEX(상세표[블록종료],$Q1112)&amp;""))</f>
        <v/>
      </c>
      <c r="H1112">
        <f>IF($Q1112="","",CHOOSE(WEEKDAY(INDEX(상세표[시작],$Q1112)),"일","월","화","수","목","금","토"))</f>
        <v/>
      </c>
      <c r="I1112" s="20">
        <f>IF($Q1112="","",INDEX(상세표[연속 시간],$Q1112))</f>
        <v/>
      </c>
      <c r="J1112">
        <f>IF($Q1112="","",INDEX(상세표[기록 수],$Q1112))</f>
        <v/>
      </c>
      <c r="K1112" s="20">
        <f>IF($Q1112="","",INDEX(상세표[블록 06~07시],$Q1112))</f>
        <v/>
      </c>
      <c r="L1112" s="20">
        <f>IF($Q1112="","",INDEX(상세표[블록 07~18시],$Q1112))</f>
        <v/>
      </c>
      <c r="M1112" s="20">
        <f>IF($Q1112="","",INDEX(상세표[블록 18~22시],$Q1112))</f>
        <v/>
      </c>
      <c r="N1112" s="20">
        <f>IF($Q1112="","",INDEX(상세표[블록 22~06시],$Q1112))</f>
        <v/>
      </c>
      <c r="O1112">
        <f>IF($Q1112="","",INDEX(상세표[주말·휴일 포함],$Q1112)&amp;"")</f>
        <v/>
      </c>
      <c r="P1112">
        <f>IF($Q1112="","",INDEX(상세표[월 넘김 포함],$Q1112)&amp;"")</f>
        <v/>
      </c>
      <c r="Q1112" s="4">
        <f>IFERROR(MATCH(1107,상세표[연속순번],0),"")</f>
        <v/>
      </c>
    </row>
    <row r="1113">
      <c r="A1113">
        <f>IF($Q1113="","",INDEX(상세표[부서],$Q1113)&amp;"")</f>
        <v/>
      </c>
      <c r="B1113">
        <f>IF($Q1113="","",INDEX(상세표[사번],$Q1113)&amp;"")</f>
        <v/>
      </c>
      <c r="C1113">
        <f>IF($Q1113="","",INDEX(상세표[성명],$Q1113)&amp;"")</f>
        <v/>
      </c>
      <c r="D1113">
        <f>IF($Q1113="","",INDEX(상세표[직위],$Q1113)&amp;"")</f>
        <v/>
      </c>
      <c r="E1113">
        <f>IF($Q1113="","",IF(ISNUMBER(INDEX(상세표[근무일자],$Q1113)),TEXT(INDEX(상세표[근무일자],$Q1113),"yyyy-mm-dd"),INDEX(상세표[근무일자],$Q1113)&amp;""))</f>
        <v/>
      </c>
      <c r="F1113">
        <f>IF($Q1113="","",IF(ISNUMBER(INDEX(상세표[시작],$Q1113)),TEXT(INDEX(상세표[시작],$Q1113),"yyyy-mm-dd hh:mm"),INDEX(상세표[시작],$Q1113)&amp;""))</f>
        <v/>
      </c>
      <c r="G1113">
        <f>IF($Q1113="","",IF(ISNUMBER(INDEX(상세표[블록종료],$Q1113)),TEXT(INDEX(상세표[블록종료],$Q1113),"yyyy-mm-dd hh:mm"),INDEX(상세표[블록종료],$Q1113)&amp;""))</f>
        <v/>
      </c>
      <c r="H1113">
        <f>IF($Q1113="","",CHOOSE(WEEKDAY(INDEX(상세표[시작],$Q1113)),"일","월","화","수","목","금","토"))</f>
        <v/>
      </c>
      <c r="I1113" s="20">
        <f>IF($Q1113="","",INDEX(상세표[연속 시간],$Q1113))</f>
        <v/>
      </c>
      <c r="J1113">
        <f>IF($Q1113="","",INDEX(상세표[기록 수],$Q1113))</f>
        <v/>
      </c>
      <c r="K1113" s="20">
        <f>IF($Q1113="","",INDEX(상세표[블록 06~07시],$Q1113))</f>
        <v/>
      </c>
      <c r="L1113" s="20">
        <f>IF($Q1113="","",INDEX(상세표[블록 07~18시],$Q1113))</f>
        <v/>
      </c>
      <c r="M1113" s="20">
        <f>IF($Q1113="","",INDEX(상세표[블록 18~22시],$Q1113))</f>
        <v/>
      </c>
      <c r="N1113" s="20">
        <f>IF($Q1113="","",INDEX(상세표[블록 22~06시],$Q1113))</f>
        <v/>
      </c>
      <c r="O1113">
        <f>IF($Q1113="","",INDEX(상세표[주말·휴일 포함],$Q1113)&amp;"")</f>
        <v/>
      </c>
      <c r="P1113">
        <f>IF($Q1113="","",INDEX(상세표[월 넘김 포함],$Q1113)&amp;"")</f>
        <v/>
      </c>
      <c r="Q1113" s="4">
        <f>IFERROR(MATCH(1108,상세표[연속순번],0),"")</f>
        <v/>
      </c>
    </row>
    <row r="1114">
      <c r="A1114">
        <f>IF($Q1114="","",INDEX(상세표[부서],$Q1114)&amp;"")</f>
        <v/>
      </c>
      <c r="B1114">
        <f>IF($Q1114="","",INDEX(상세표[사번],$Q1114)&amp;"")</f>
        <v/>
      </c>
      <c r="C1114">
        <f>IF($Q1114="","",INDEX(상세표[성명],$Q1114)&amp;"")</f>
        <v/>
      </c>
      <c r="D1114">
        <f>IF($Q1114="","",INDEX(상세표[직위],$Q1114)&amp;"")</f>
        <v/>
      </c>
      <c r="E1114">
        <f>IF($Q1114="","",IF(ISNUMBER(INDEX(상세표[근무일자],$Q1114)),TEXT(INDEX(상세표[근무일자],$Q1114),"yyyy-mm-dd"),INDEX(상세표[근무일자],$Q1114)&amp;""))</f>
        <v/>
      </c>
      <c r="F1114">
        <f>IF($Q1114="","",IF(ISNUMBER(INDEX(상세표[시작],$Q1114)),TEXT(INDEX(상세표[시작],$Q1114),"yyyy-mm-dd hh:mm"),INDEX(상세표[시작],$Q1114)&amp;""))</f>
        <v/>
      </c>
      <c r="G1114">
        <f>IF($Q1114="","",IF(ISNUMBER(INDEX(상세표[블록종료],$Q1114)),TEXT(INDEX(상세표[블록종료],$Q1114),"yyyy-mm-dd hh:mm"),INDEX(상세표[블록종료],$Q1114)&amp;""))</f>
        <v/>
      </c>
      <c r="H1114">
        <f>IF($Q1114="","",CHOOSE(WEEKDAY(INDEX(상세표[시작],$Q1114)),"일","월","화","수","목","금","토"))</f>
        <v/>
      </c>
      <c r="I1114" s="20">
        <f>IF($Q1114="","",INDEX(상세표[연속 시간],$Q1114))</f>
        <v/>
      </c>
      <c r="J1114">
        <f>IF($Q1114="","",INDEX(상세표[기록 수],$Q1114))</f>
        <v/>
      </c>
      <c r="K1114" s="20">
        <f>IF($Q1114="","",INDEX(상세표[블록 06~07시],$Q1114))</f>
        <v/>
      </c>
      <c r="L1114" s="20">
        <f>IF($Q1114="","",INDEX(상세표[블록 07~18시],$Q1114))</f>
        <v/>
      </c>
      <c r="M1114" s="20">
        <f>IF($Q1114="","",INDEX(상세표[블록 18~22시],$Q1114))</f>
        <v/>
      </c>
      <c r="N1114" s="20">
        <f>IF($Q1114="","",INDEX(상세표[블록 22~06시],$Q1114))</f>
        <v/>
      </c>
      <c r="O1114">
        <f>IF($Q1114="","",INDEX(상세표[주말·휴일 포함],$Q1114)&amp;"")</f>
        <v/>
      </c>
      <c r="P1114">
        <f>IF($Q1114="","",INDEX(상세표[월 넘김 포함],$Q1114)&amp;"")</f>
        <v/>
      </c>
      <c r="Q1114" s="4">
        <f>IFERROR(MATCH(1109,상세표[연속순번],0),"")</f>
        <v/>
      </c>
    </row>
    <row r="1115">
      <c r="A1115">
        <f>IF($Q1115="","",INDEX(상세표[부서],$Q1115)&amp;"")</f>
        <v/>
      </c>
      <c r="B1115">
        <f>IF($Q1115="","",INDEX(상세표[사번],$Q1115)&amp;"")</f>
        <v/>
      </c>
      <c r="C1115">
        <f>IF($Q1115="","",INDEX(상세표[성명],$Q1115)&amp;"")</f>
        <v/>
      </c>
      <c r="D1115">
        <f>IF($Q1115="","",INDEX(상세표[직위],$Q1115)&amp;"")</f>
        <v/>
      </c>
      <c r="E1115">
        <f>IF($Q1115="","",IF(ISNUMBER(INDEX(상세표[근무일자],$Q1115)),TEXT(INDEX(상세표[근무일자],$Q1115),"yyyy-mm-dd"),INDEX(상세표[근무일자],$Q1115)&amp;""))</f>
        <v/>
      </c>
      <c r="F1115">
        <f>IF($Q1115="","",IF(ISNUMBER(INDEX(상세표[시작],$Q1115)),TEXT(INDEX(상세표[시작],$Q1115),"yyyy-mm-dd hh:mm"),INDEX(상세표[시작],$Q1115)&amp;""))</f>
        <v/>
      </c>
      <c r="G1115">
        <f>IF($Q1115="","",IF(ISNUMBER(INDEX(상세표[블록종료],$Q1115)),TEXT(INDEX(상세표[블록종료],$Q1115),"yyyy-mm-dd hh:mm"),INDEX(상세표[블록종료],$Q1115)&amp;""))</f>
        <v/>
      </c>
      <c r="H1115">
        <f>IF($Q1115="","",CHOOSE(WEEKDAY(INDEX(상세표[시작],$Q1115)),"일","월","화","수","목","금","토"))</f>
        <v/>
      </c>
      <c r="I1115" s="20">
        <f>IF($Q1115="","",INDEX(상세표[연속 시간],$Q1115))</f>
        <v/>
      </c>
      <c r="J1115">
        <f>IF($Q1115="","",INDEX(상세표[기록 수],$Q1115))</f>
        <v/>
      </c>
      <c r="K1115" s="20">
        <f>IF($Q1115="","",INDEX(상세표[블록 06~07시],$Q1115))</f>
        <v/>
      </c>
      <c r="L1115" s="20">
        <f>IF($Q1115="","",INDEX(상세표[블록 07~18시],$Q1115))</f>
        <v/>
      </c>
      <c r="M1115" s="20">
        <f>IF($Q1115="","",INDEX(상세표[블록 18~22시],$Q1115))</f>
        <v/>
      </c>
      <c r="N1115" s="20">
        <f>IF($Q1115="","",INDEX(상세표[블록 22~06시],$Q1115))</f>
        <v/>
      </c>
      <c r="O1115">
        <f>IF($Q1115="","",INDEX(상세표[주말·휴일 포함],$Q1115)&amp;"")</f>
        <v/>
      </c>
      <c r="P1115">
        <f>IF($Q1115="","",INDEX(상세표[월 넘김 포함],$Q1115)&amp;"")</f>
        <v/>
      </c>
      <c r="Q1115" s="4">
        <f>IFERROR(MATCH(1110,상세표[연속순번],0),"")</f>
        <v/>
      </c>
    </row>
    <row r="1116">
      <c r="A1116">
        <f>IF($Q1116="","",INDEX(상세표[부서],$Q1116)&amp;"")</f>
        <v/>
      </c>
      <c r="B1116">
        <f>IF($Q1116="","",INDEX(상세표[사번],$Q1116)&amp;"")</f>
        <v/>
      </c>
      <c r="C1116">
        <f>IF($Q1116="","",INDEX(상세표[성명],$Q1116)&amp;"")</f>
        <v/>
      </c>
      <c r="D1116">
        <f>IF($Q1116="","",INDEX(상세표[직위],$Q1116)&amp;"")</f>
        <v/>
      </c>
      <c r="E1116">
        <f>IF($Q1116="","",IF(ISNUMBER(INDEX(상세표[근무일자],$Q1116)),TEXT(INDEX(상세표[근무일자],$Q1116),"yyyy-mm-dd"),INDEX(상세표[근무일자],$Q1116)&amp;""))</f>
        <v/>
      </c>
      <c r="F1116">
        <f>IF($Q1116="","",IF(ISNUMBER(INDEX(상세표[시작],$Q1116)),TEXT(INDEX(상세표[시작],$Q1116),"yyyy-mm-dd hh:mm"),INDEX(상세표[시작],$Q1116)&amp;""))</f>
        <v/>
      </c>
      <c r="G1116">
        <f>IF($Q1116="","",IF(ISNUMBER(INDEX(상세표[블록종료],$Q1116)),TEXT(INDEX(상세표[블록종료],$Q1116),"yyyy-mm-dd hh:mm"),INDEX(상세표[블록종료],$Q1116)&amp;""))</f>
        <v/>
      </c>
      <c r="H1116">
        <f>IF($Q1116="","",CHOOSE(WEEKDAY(INDEX(상세표[시작],$Q1116)),"일","월","화","수","목","금","토"))</f>
        <v/>
      </c>
      <c r="I1116" s="20">
        <f>IF($Q1116="","",INDEX(상세표[연속 시간],$Q1116))</f>
        <v/>
      </c>
      <c r="J1116">
        <f>IF($Q1116="","",INDEX(상세표[기록 수],$Q1116))</f>
        <v/>
      </c>
      <c r="K1116" s="20">
        <f>IF($Q1116="","",INDEX(상세표[블록 06~07시],$Q1116))</f>
        <v/>
      </c>
      <c r="L1116" s="20">
        <f>IF($Q1116="","",INDEX(상세표[블록 07~18시],$Q1116))</f>
        <v/>
      </c>
      <c r="M1116" s="20">
        <f>IF($Q1116="","",INDEX(상세표[블록 18~22시],$Q1116))</f>
        <v/>
      </c>
      <c r="N1116" s="20">
        <f>IF($Q1116="","",INDEX(상세표[블록 22~06시],$Q1116))</f>
        <v/>
      </c>
      <c r="O1116">
        <f>IF($Q1116="","",INDEX(상세표[주말·휴일 포함],$Q1116)&amp;"")</f>
        <v/>
      </c>
      <c r="P1116">
        <f>IF($Q1116="","",INDEX(상세표[월 넘김 포함],$Q1116)&amp;"")</f>
        <v/>
      </c>
      <c r="Q1116" s="4">
        <f>IFERROR(MATCH(1111,상세표[연속순번],0),"")</f>
        <v/>
      </c>
    </row>
    <row r="1117">
      <c r="A1117">
        <f>IF($Q1117="","",INDEX(상세표[부서],$Q1117)&amp;"")</f>
        <v/>
      </c>
      <c r="B1117">
        <f>IF($Q1117="","",INDEX(상세표[사번],$Q1117)&amp;"")</f>
        <v/>
      </c>
      <c r="C1117">
        <f>IF($Q1117="","",INDEX(상세표[성명],$Q1117)&amp;"")</f>
        <v/>
      </c>
      <c r="D1117">
        <f>IF($Q1117="","",INDEX(상세표[직위],$Q1117)&amp;"")</f>
        <v/>
      </c>
      <c r="E1117">
        <f>IF($Q1117="","",IF(ISNUMBER(INDEX(상세표[근무일자],$Q1117)),TEXT(INDEX(상세표[근무일자],$Q1117),"yyyy-mm-dd"),INDEX(상세표[근무일자],$Q1117)&amp;""))</f>
        <v/>
      </c>
      <c r="F1117">
        <f>IF($Q1117="","",IF(ISNUMBER(INDEX(상세표[시작],$Q1117)),TEXT(INDEX(상세표[시작],$Q1117),"yyyy-mm-dd hh:mm"),INDEX(상세표[시작],$Q1117)&amp;""))</f>
        <v/>
      </c>
      <c r="G1117">
        <f>IF($Q1117="","",IF(ISNUMBER(INDEX(상세표[블록종료],$Q1117)),TEXT(INDEX(상세표[블록종료],$Q1117),"yyyy-mm-dd hh:mm"),INDEX(상세표[블록종료],$Q1117)&amp;""))</f>
        <v/>
      </c>
      <c r="H1117">
        <f>IF($Q1117="","",CHOOSE(WEEKDAY(INDEX(상세표[시작],$Q1117)),"일","월","화","수","목","금","토"))</f>
        <v/>
      </c>
      <c r="I1117" s="20">
        <f>IF($Q1117="","",INDEX(상세표[연속 시간],$Q1117))</f>
        <v/>
      </c>
      <c r="J1117">
        <f>IF($Q1117="","",INDEX(상세표[기록 수],$Q1117))</f>
        <v/>
      </c>
      <c r="K1117" s="20">
        <f>IF($Q1117="","",INDEX(상세표[블록 06~07시],$Q1117))</f>
        <v/>
      </c>
      <c r="L1117" s="20">
        <f>IF($Q1117="","",INDEX(상세표[블록 07~18시],$Q1117))</f>
        <v/>
      </c>
      <c r="M1117" s="20">
        <f>IF($Q1117="","",INDEX(상세표[블록 18~22시],$Q1117))</f>
        <v/>
      </c>
      <c r="N1117" s="20">
        <f>IF($Q1117="","",INDEX(상세표[블록 22~06시],$Q1117))</f>
        <v/>
      </c>
      <c r="O1117">
        <f>IF($Q1117="","",INDEX(상세표[주말·휴일 포함],$Q1117)&amp;"")</f>
        <v/>
      </c>
      <c r="P1117">
        <f>IF($Q1117="","",INDEX(상세표[월 넘김 포함],$Q1117)&amp;"")</f>
        <v/>
      </c>
      <c r="Q1117" s="4">
        <f>IFERROR(MATCH(1112,상세표[연속순번],0),"")</f>
        <v/>
      </c>
    </row>
    <row r="1118">
      <c r="A1118">
        <f>IF($Q1118="","",INDEX(상세표[부서],$Q1118)&amp;"")</f>
        <v/>
      </c>
      <c r="B1118">
        <f>IF($Q1118="","",INDEX(상세표[사번],$Q1118)&amp;"")</f>
        <v/>
      </c>
      <c r="C1118">
        <f>IF($Q1118="","",INDEX(상세표[성명],$Q1118)&amp;"")</f>
        <v/>
      </c>
      <c r="D1118">
        <f>IF($Q1118="","",INDEX(상세표[직위],$Q1118)&amp;"")</f>
        <v/>
      </c>
      <c r="E1118">
        <f>IF($Q1118="","",IF(ISNUMBER(INDEX(상세표[근무일자],$Q1118)),TEXT(INDEX(상세표[근무일자],$Q1118),"yyyy-mm-dd"),INDEX(상세표[근무일자],$Q1118)&amp;""))</f>
        <v/>
      </c>
      <c r="F1118">
        <f>IF($Q1118="","",IF(ISNUMBER(INDEX(상세표[시작],$Q1118)),TEXT(INDEX(상세표[시작],$Q1118),"yyyy-mm-dd hh:mm"),INDEX(상세표[시작],$Q1118)&amp;""))</f>
        <v/>
      </c>
      <c r="G1118">
        <f>IF($Q1118="","",IF(ISNUMBER(INDEX(상세표[블록종료],$Q1118)),TEXT(INDEX(상세표[블록종료],$Q1118),"yyyy-mm-dd hh:mm"),INDEX(상세표[블록종료],$Q1118)&amp;""))</f>
        <v/>
      </c>
      <c r="H1118">
        <f>IF($Q1118="","",CHOOSE(WEEKDAY(INDEX(상세표[시작],$Q1118)),"일","월","화","수","목","금","토"))</f>
        <v/>
      </c>
      <c r="I1118" s="20">
        <f>IF($Q1118="","",INDEX(상세표[연속 시간],$Q1118))</f>
        <v/>
      </c>
      <c r="J1118">
        <f>IF($Q1118="","",INDEX(상세표[기록 수],$Q1118))</f>
        <v/>
      </c>
      <c r="K1118" s="20">
        <f>IF($Q1118="","",INDEX(상세표[블록 06~07시],$Q1118))</f>
        <v/>
      </c>
      <c r="L1118" s="20">
        <f>IF($Q1118="","",INDEX(상세표[블록 07~18시],$Q1118))</f>
        <v/>
      </c>
      <c r="M1118" s="20">
        <f>IF($Q1118="","",INDEX(상세표[블록 18~22시],$Q1118))</f>
        <v/>
      </c>
      <c r="N1118" s="20">
        <f>IF($Q1118="","",INDEX(상세표[블록 22~06시],$Q1118))</f>
        <v/>
      </c>
      <c r="O1118">
        <f>IF($Q1118="","",INDEX(상세표[주말·휴일 포함],$Q1118)&amp;"")</f>
        <v/>
      </c>
      <c r="P1118">
        <f>IF($Q1118="","",INDEX(상세표[월 넘김 포함],$Q1118)&amp;"")</f>
        <v/>
      </c>
      <c r="Q1118" s="4">
        <f>IFERROR(MATCH(1113,상세표[연속순번],0),"")</f>
        <v/>
      </c>
    </row>
    <row r="1119">
      <c r="A1119">
        <f>IF($Q1119="","",INDEX(상세표[부서],$Q1119)&amp;"")</f>
        <v/>
      </c>
      <c r="B1119">
        <f>IF($Q1119="","",INDEX(상세표[사번],$Q1119)&amp;"")</f>
        <v/>
      </c>
      <c r="C1119">
        <f>IF($Q1119="","",INDEX(상세표[성명],$Q1119)&amp;"")</f>
        <v/>
      </c>
      <c r="D1119">
        <f>IF($Q1119="","",INDEX(상세표[직위],$Q1119)&amp;"")</f>
        <v/>
      </c>
      <c r="E1119">
        <f>IF($Q1119="","",IF(ISNUMBER(INDEX(상세표[근무일자],$Q1119)),TEXT(INDEX(상세표[근무일자],$Q1119),"yyyy-mm-dd"),INDEX(상세표[근무일자],$Q1119)&amp;""))</f>
        <v/>
      </c>
      <c r="F1119">
        <f>IF($Q1119="","",IF(ISNUMBER(INDEX(상세표[시작],$Q1119)),TEXT(INDEX(상세표[시작],$Q1119),"yyyy-mm-dd hh:mm"),INDEX(상세표[시작],$Q1119)&amp;""))</f>
        <v/>
      </c>
      <c r="G1119">
        <f>IF($Q1119="","",IF(ISNUMBER(INDEX(상세표[블록종료],$Q1119)),TEXT(INDEX(상세표[블록종료],$Q1119),"yyyy-mm-dd hh:mm"),INDEX(상세표[블록종료],$Q1119)&amp;""))</f>
        <v/>
      </c>
      <c r="H1119">
        <f>IF($Q1119="","",CHOOSE(WEEKDAY(INDEX(상세표[시작],$Q1119)),"일","월","화","수","목","금","토"))</f>
        <v/>
      </c>
      <c r="I1119" s="20">
        <f>IF($Q1119="","",INDEX(상세표[연속 시간],$Q1119))</f>
        <v/>
      </c>
      <c r="J1119">
        <f>IF($Q1119="","",INDEX(상세표[기록 수],$Q1119))</f>
        <v/>
      </c>
      <c r="K1119" s="20">
        <f>IF($Q1119="","",INDEX(상세표[블록 06~07시],$Q1119))</f>
        <v/>
      </c>
      <c r="L1119" s="20">
        <f>IF($Q1119="","",INDEX(상세표[블록 07~18시],$Q1119))</f>
        <v/>
      </c>
      <c r="M1119" s="20">
        <f>IF($Q1119="","",INDEX(상세표[블록 18~22시],$Q1119))</f>
        <v/>
      </c>
      <c r="N1119" s="20">
        <f>IF($Q1119="","",INDEX(상세표[블록 22~06시],$Q1119))</f>
        <v/>
      </c>
      <c r="O1119">
        <f>IF($Q1119="","",INDEX(상세표[주말·휴일 포함],$Q1119)&amp;"")</f>
        <v/>
      </c>
      <c r="P1119">
        <f>IF($Q1119="","",INDEX(상세표[월 넘김 포함],$Q1119)&amp;"")</f>
        <v/>
      </c>
      <c r="Q1119" s="4">
        <f>IFERROR(MATCH(1114,상세표[연속순번],0),"")</f>
        <v/>
      </c>
    </row>
    <row r="1120">
      <c r="A1120">
        <f>IF($Q1120="","",INDEX(상세표[부서],$Q1120)&amp;"")</f>
        <v/>
      </c>
      <c r="B1120">
        <f>IF($Q1120="","",INDEX(상세표[사번],$Q1120)&amp;"")</f>
        <v/>
      </c>
      <c r="C1120">
        <f>IF($Q1120="","",INDEX(상세표[성명],$Q1120)&amp;"")</f>
        <v/>
      </c>
      <c r="D1120">
        <f>IF($Q1120="","",INDEX(상세표[직위],$Q1120)&amp;"")</f>
        <v/>
      </c>
      <c r="E1120">
        <f>IF($Q1120="","",IF(ISNUMBER(INDEX(상세표[근무일자],$Q1120)),TEXT(INDEX(상세표[근무일자],$Q1120),"yyyy-mm-dd"),INDEX(상세표[근무일자],$Q1120)&amp;""))</f>
        <v/>
      </c>
      <c r="F1120">
        <f>IF($Q1120="","",IF(ISNUMBER(INDEX(상세표[시작],$Q1120)),TEXT(INDEX(상세표[시작],$Q1120),"yyyy-mm-dd hh:mm"),INDEX(상세표[시작],$Q1120)&amp;""))</f>
        <v/>
      </c>
      <c r="G1120">
        <f>IF($Q1120="","",IF(ISNUMBER(INDEX(상세표[블록종료],$Q1120)),TEXT(INDEX(상세표[블록종료],$Q1120),"yyyy-mm-dd hh:mm"),INDEX(상세표[블록종료],$Q1120)&amp;""))</f>
        <v/>
      </c>
      <c r="H1120">
        <f>IF($Q1120="","",CHOOSE(WEEKDAY(INDEX(상세표[시작],$Q1120)),"일","월","화","수","목","금","토"))</f>
        <v/>
      </c>
      <c r="I1120" s="20">
        <f>IF($Q1120="","",INDEX(상세표[연속 시간],$Q1120))</f>
        <v/>
      </c>
      <c r="J1120">
        <f>IF($Q1120="","",INDEX(상세표[기록 수],$Q1120))</f>
        <v/>
      </c>
      <c r="K1120" s="20">
        <f>IF($Q1120="","",INDEX(상세표[블록 06~07시],$Q1120))</f>
        <v/>
      </c>
      <c r="L1120" s="20">
        <f>IF($Q1120="","",INDEX(상세표[블록 07~18시],$Q1120))</f>
        <v/>
      </c>
      <c r="M1120" s="20">
        <f>IF($Q1120="","",INDEX(상세표[블록 18~22시],$Q1120))</f>
        <v/>
      </c>
      <c r="N1120" s="20">
        <f>IF($Q1120="","",INDEX(상세표[블록 22~06시],$Q1120))</f>
        <v/>
      </c>
      <c r="O1120">
        <f>IF($Q1120="","",INDEX(상세표[주말·휴일 포함],$Q1120)&amp;"")</f>
        <v/>
      </c>
      <c r="P1120">
        <f>IF($Q1120="","",INDEX(상세표[월 넘김 포함],$Q1120)&amp;"")</f>
        <v/>
      </c>
      <c r="Q1120" s="4">
        <f>IFERROR(MATCH(1115,상세표[연속순번],0),"")</f>
        <v/>
      </c>
    </row>
    <row r="1121">
      <c r="A1121">
        <f>IF($Q1121="","",INDEX(상세표[부서],$Q1121)&amp;"")</f>
        <v/>
      </c>
      <c r="B1121">
        <f>IF($Q1121="","",INDEX(상세표[사번],$Q1121)&amp;"")</f>
        <v/>
      </c>
      <c r="C1121">
        <f>IF($Q1121="","",INDEX(상세표[성명],$Q1121)&amp;"")</f>
        <v/>
      </c>
      <c r="D1121">
        <f>IF($Q1121="","",INDEX(상세표[직위],$Q1121)&amp;"")</f>
        <v/>
      </c>
      <c r="E1121">
        <f>IF($Q1121="","",IF(ISNUMBER(INDEX(상세표[근무일자],$Q1121)),TEXT(INDEX(상세표[근무일자],$Q1121),"yyyy-mm-dd"),INDEX(상세표[근무일자],$Q1121)&amp;""))</f>
        <v/>
      </c>
      <c r="F1121">
        <f>IF($Q1121="","",IF(ISNUMBER(INDEX(상세표[시작],$Q1121)),TEXT(INDEX(상세표[시작],$Q1121),"yyyy-mm-dd hh:mm"),INDEX(상세표[시작],$Q1121)&amp;""))</f>
        <v/>
      </c>
      <c r="G1121">
        <f>IF($Q1121="","",IF(ISNUMBER(INDEX(상세표[블록종료],$Q1121)),TEXT(INDEX(상세표[블록종료],$Q1121),"yyyy-mm-dd hh:mm"),INDEX(상세표[블록종료],$Q1121)&amp;""))</f>
        <v/>
      </c>
      <c r="H1121">
        <f>IF($Q1121="","",CHOOSE(WEEKDAY(INDEX(상세표[시작],$Q1121)),"일","월","화","수","목","금","토"))</f>
        <v/>
      </c>
      <c r="I1121" s="20">
        <f>IF($Q1121="","",INDEX(상세표[연속 시간],$Q1121))</f>
        <v/>
      </c>
      <c r="J1121">
        <f>IF($Q1121="","",INDEX(상세표[기록 수],$Q1121))</f>
        <v/>
      </c>
      <c r="K1121" s="20">
        <f>IF($Q1121="","",INDEX(상세표[블록 06~07시],$Q1121))</f>
        <v/>
      </c>
      <c r="L1121" s="20">
        <f>IF($Q1121="","",INDEX(상세표[블록 07~18시],$Q1121))</f>
        <v/>
      </c>
      <c r="M1121" s="20">
        <f>IF($Q1121="","",INDEX(상세표[블록 18~22시],$Q1121))</f>
        <v/>
      </c>
      <c r="N1121" s="20">
        <f>IF($Q1121="","",INDEX(상세표[블록 22~06시],$Q1121))</f>
        <v/>
      </c>
      <c r="O1121">
        <f>IF($Q1121="","",INDEX(상세표[주말·휴일 포함],$Q1121)&amp;"")</f>
        <v/>
      </c>
      <c r="P1121">
        <f>IF($Q1121="","",INDEX(상세표[월 넘김 포함],$Q1121)&amp;"")</f>
        <v/>
      </c>
      <c r="Q1121" s="4">
        <f>IFERROR(MATCH(1116,상세표[연속순번],0),"")</f>
        <v/>
      </c>
    </row>
    <row r="1122">
      <c r="A1122">
        <f>IF($Q1122="","",INDEX(상세표[부서],$Q1122)&amp;"")</f>
        <v/>
      </c>
      <c r="B1122">
        <f>IF($Q1122="","",INDEX(상세표[사번],$Q1122)&amp;"")</f>
        <v/>
      </c>
      <c r="C1122">
        <f>IF($Q1122="","",INDEX(상세표[성명],$Q1122)&amp;"")</f>
        <v/>
      </c>
      <c r="D1122">
        <f>IF($Q1122="","",INDEX(상세표[직위],$Q1122)&amp;"")</f>
        <v/>
      </c>
      <c r="E1122">
        <f>IF($Q1122="","",IF(ISNUMBER(INDEX(상세표[근무일자],$Q1122)),TEXT(INDEX(상세표[근무일자],$Q1122),"yyyy-mm-dd"),INDEX(상세표[근무일자],$Q1122)&amp;""))</f>
        <v/>
      </c>
      <c r="F1122">
        <f>IF($Q1122="","",IF(ISNUMBER(INDEX(상세표[시작],$Q1122)),TEXT(INDEX(상세표[시작],$Q1122),"yyyy-mm-dd hh:mm"),INDEX(상세표[시작],$Q1122)&amp;""))</f>
        <v/>
      </c>
      <c r="G1122">
        <f>IF($Q1122="","",IF(ISNUMBER(INDEX(상세표[블록종료],$Q1122)),TEXT(INDEX(상세표[블록종료],$Q1122),"yyyy-mm-dd hh:mm"),INDEX(상세표[블록종료],$Q1122)&amp;""))</f>
        <v/>
      </c>
      <c r="H1122">
        <f>IF($Q1122="","",CHOOSE(WEEKDAY(INDEX(상세표[시작],$Q1122)),"일","월","화","수","목","금","토"))</f>
        <v/>
      </c>
      <c r="I1122" s="20">
        <f>IF($Q1122="","",INDEX(상세표[연속 시간],$Q1122))</f>
        <v/>
      </c>
      <c r="J1122">
        <f>IF($Q1122="","",INDEX(상세표[기록 수],$Q1122))</f>
        <v/>
      </c>
      <c r="K1122" s="20">
        <f>IF($Q1122="","",INDEX(상세표[블록 06~07시],$Q1122))</f>
        <v/>
      </c>
      <c r="L1122" s="20">
        <f>IF($Q1122="","",INDEX(상세표[블록 07~18시],$Q1122))</f>
        <v/>
      </c>
      <c r="M1122" s="20">
        <f>IF($Q1122="","",INDEX(상세표[블록 18~22시],$Q1122))</f>
        <v/>
      </c>
      <c r="N1122" s="20">
        <f>IF($Q1122="","",INDEX(상세표[블록 22~06시],$Q1122))</f>
        <v/>
      </c>
      <c r="O1122">
        <f>IF($Q1122="","",INDEX(상세표[주말·휴일 포함],$Q1122)&amp;"")</f>
        <v/>
      </c>
      <c r="P1122">
        <f>IF($Q1122="","",INDEX(상세표[월 넘김 포함],$Q1122)&amp;"")</f>
        <v/>
      </c>
      <c r="Q1122" s="4">
        <f>IFERROR(MATCH(1117,상세표[연속순번],0),"")</f>
        <v/>
      </c>
    </row>
    <row r="1123">
      <c r="A1123">
        <f>IF($Q1123="","",INDEX(상세표[부서],$Q1123)&amp;"")</f>
        <v/>
      </c>
      <c r="B1123">
        <f>IF($Q1123="","",INDEX(상세표[사번],$Q1123)&amp;"")</f>
        <v/>
      </c>
      <c r="C1123">
        <f>IF($Q1123="","",INDEX(상세표[성명],$Q1123)&amp;"")</f>
        <v/>
      </c>
      <c r="D1123">
        <f>IF($Q1123="","",INDEX(상세표[직위],$Q1123)&amp;"")</f>
        <v/>
      </c>
      <c r="E1123">
        <f>IF($Q1123="","",IF(ISNUMBER(INDEX(상세표[근무일자],$Q1123)),TEXT(INDEX(상세표[근무일자],$Q1123),"yyyy-mm-dd"),INDEX(상세표[근무일자],$Q1123)&amp;""))</f>
        <v/>
      </c>
      <c r="F1123">
        <f>IF($Q1123="","",IF(ISNUMBER(INDEX(상세표[시작],$Q1123)),TEXT(INDEX(상세표[시작],$Q1123),"yyyy-mm-dd hh:mm"),INDEX(상세표[시작],$Q1123)&amp;""))</f>
        <v/>
      </c>
      <c r="G1123">
        <f>IF($Q1123="","",IF(ISNUMBER(INDEX(상세표[블록종료],$Q1123)),TEXT(INDEX(상세표[블록종료],$Q1123),"yyyy-mm-dd hh:mm"),INDEX(상세표[블록종료],$Q1123)&amp;""))</f>
        <v/>
      </c>
      <c r="H1123">
        <f>IF($Q1123="","",CHOOSE(WEEKDAY(INDEX(상세표[시작],$Q1123)),"일","월","화","수","목","금","토"))</f>
        <v/>
      </c>
      <c r="I1123" s="20">
        <f>IF($Q1123="","",INDEX(상세표[연속 시간],$Q1123))</f>
        <v/>
      </c>
      <c r="J1123">
        <f>IF($Q1123="","",INDEX(상세표[기록 수],$Q1123))</f>
        <v/>
      </c>
      <c r="K1123" s="20">
        <f>IF($Q1123="","",INDEX(상세표[블록 06~07시],$Q1123))</f>
        <v/>
      </c>
      <c r="L1123" s="20">
        <f>IF($Q1123="","",INDEX(상세표[블록 07~18시],$Q1123))</f>
        <v/>
      </c>
      <c r="M1123" s="20">
        <f>IF($Q1123="","",INDEX(상세표[블록 18~22시],$Q1123))</f>
        <v/>
      </c>
      <c r="N1123" s="20">
        <f>IF($Q1123="","",INDEX(상세표[블록 22~06시],$Q1123))</f>
        <v/>
      </c>
      <c r="O1123">
        <f>IF($Q1123="","",INDEX(상세표[주말·휴일 포함],$Q1123)&amp;"")</f>
        <v/>
      </c>
      <c r="P1123">
        <f>IF($Q1123="","",INDEX(상세표[월 넘김 포함],$Q1123)&amp;"")</f>
        <v/>
      </c>
      <c r="Q1123" s="4">
        <f>IFERROR(MATCH(1118,상세표[연속순번],0),"")</f>
        <v/>
      </c>
    </row>
    <row r="1124">
      <c r="A1124">
        <f>IF($Q1124="","",INDEX(상세표[부서],$Q1124)&amp;"")</f>
        <v/>
      </c>
      <c r="B1124">
        <f>IF($Q1124="","",INDEX(상세표[사번],$Q1124)&amp;"")</f>
        <v/>
      </c>
      <c r="C1124">
        <f>IF($Q1124="","",INDEX(상세표[성명],$Q1124)&amp;"")</f>
        <v/>
      </c>
      <c r="D1124">
        <f>IF($Q1124="","",INDEX(상세표[직위],$Q1124)&amp;"")</f>
        <v/>
      </c>
      <c r="E1124">
        <f>IF($Q1124="","",IF(ISNUMBER(INDEX(상세표[근무일자],$Q1124)),TEXT(INDEX(상세표[근무일자],$Q1124),"yyyy-mm-dd"),INDEX(상세표[근무일자],$Q1124)&amp;""))</f>
        <v/>
      </c>
      <c r="F1124">
        <f>IF($Q1124="","",IF(ISNUMBER(INDEX(상세표[시작],$Q1124)),TEXT(INDEX(상세표[시작],$Q1124),"yyyy-mm-dd hh:mm"),INDEX(상세표[시작],$Q1124)&amp;""))</f>
        <v/>
      </c>
      <c r="G1124">
        <f>IF($Q1124="","",IF(ISNUMBER(INDEX(상세표[블록종료],$Q1124)),TEXT(INDEX(상세표[블록종료],$Q1124),"yyyy-mm-dd hh:mm"),INDEX(상세표[블록종료],$Q1124)&amp;""))</f>
        <v/>
      </c>
      <c r="H1124">
        <f>IF($Q1124="","",CHOOSE(WEEKDAY(INDEX(상세표[시작],$Q1124)),"일","월","화","수","목","금","토"))</f>
        <v/>
      </c>
      <c r="I1124" s="20">
        <f>IF($Q1124="","",INDEX(상세표[연속 시간],$Q1124))</f>
        <v/>
      </c>
      <c r="J1124">
        <f>IF($Q1124="","",INDEX(상세표[기록 수],$Q1124))</f>
        <v/>
      </c>
      <c r="K1124" s="20">
        <f>IF($Q1124="","",INDEX(상세표[블록 06~07시],$Q1124))</f>
        <v/>
      </c>
      <c r="L1124" s="20">
        <f>IF($Q1124="","",INDEX(상세표[블록 07~18시],$Q1124))</f>
        <v/>
      </c>
      <c r="M1124" s="20">
        <f>IF($Q1124="","",INDEX(상세표[블록 18~22시],$Q1124))</f>
        <v/>
      </c>
      <c r="N1124" s="20">
        <f>IF($Q1124="","",INDEX(상세표[블록 22~06시],$Q1124))</f>
        <v/>
      </c>
      <c r="O1124">
        <f>IF($Q1124="","",INDEX(상세표[주말·휴일 포함],$Q1124)&amp;"")</f>
        <v/>
      </c>
      <c r="P1124">
        <f>IF($Q1124="","",INDEX(상세표[월 넘김 포함],$Q1124)&amp;"")</f>
        <v/>
      </c>
      <c r="Q1124" s="4">
        <f>IFERROR(MATCH(1119,상세표[연속순번],0),"")</f>
        <v/>
      </c>
    </row>
    <row r="1125">
      <c r="A1125">
        <f>IF($Q1125="","",INDEX(상세표[부서],$Q1125)&amp;"")</f>
        <v/>
      </c>
      <c r="B1125">
        <f>IF($Q1125="","",INDEX(상세표[사번],$Q1125)&amp;"")</f>
        <v/>
      </c>
      <c r="C1125">
        <f>IF($Q1125="","",INDEX(상세표[성명],$Q1125)&amp;"")</f>
        <v/>
      </c>
      <c r="D1125">
        <f>IF($Q1125="","",INDEX(상세표[직위],$Q1125)&amp;"")</f>
        <v/>
      </c>
      <c r="E1125">
        <f>IF($Q1125="","",IF(ISNUMBER(INDEX(상세표[근무일자],$Q1125)),TEXT(INDEX(상세표[근무일자],$Q1125),"yyyy-mm-dd"),INDEX(상세표[근무일자],$Q1125)&amp;""))</f>
        <v/>
      </c>
      <c r="F1125">
        <f>IF($Q1125="","",IF(ISNUMBER(INDEX(상세표[시작],$Q1125)),TEXT(INDEX(상세표[시작],$Q1125),"yyyy-mm-dd hh:mm"),INDEX(상세표[시작],$Q1125)&amp;""))</f>
        <v/>
      </c>
      <c r="G1125">
        <f>IF($Q1125="","",IF(ISNUMBER(INDEX(상세표[블록종료],$Q1125)),TEXT(INDEX(상세표[블록종료],$Q1125),"yyyy-mm-dd hh:mm"),INDEX(상세표[블록종료],$Q1125)&amp;""))</f>
        <v/>
      </c>
      <c r="H1125">
        <f>IF($Q1125="","",CHOOSE(WEEKDAY(INDEX(상세표[시작],$Q1125)),"일","월","화","수","목","금","토"))</f>
        <v/>
      </c>
      <c r="I1125" s="20">
        <f>IF($Q1125="","",INDEX(상세표[연속 시간],$Q1125))</f>
        <v/>
      </c>
      <c r="J1125">
        <f>IF($Q1125="","",INDEX(상세표[기록 수],$Q1125))</f>
        <v/>
      </c>
      <c r="K1125" s="20">
        <f>IF($Q1125="","",INDEX(상세표[블록 06~07시],$Q1125))</f>
        <v/>
      </c>
      <c r="L1125" s="20">
        <f>IF($Q1125="","",INDEX(상세표[블록 07~18시],$Q1125))</f>
        <v/>
      </c>
      <c r="M1125" s="20">
        <f>IF($Q1125="","",INDEX(상세표[블록 18~22시],$Q1125))</f>
        <v/>
      </c>
      <c r="N1125" s="20">
        <f>IF($Q1125="","",INDEX(상세표[블록 22~06시],$Q1125))</f>
        <v/>
      </c>
      <c r="O1125">
        <f>IF($Q1125="","",INDEX(상세표[주말·휴일 포함],$Q1125)&amp;"")</f>
        <v/>
      </c>
      <c r="P1125">
        <f>IF($Q1125="","",INDEX(상세표[월 넘김 포함],$Q1125)&amp;"")</f>
        <v/>
      </c>
      <c r="Q1125" s="4">
        <f>IFERROR(MATCH(1120,상세표[연속순번],0),"")</f>
        <v/>
      </c>
    </row>
    <row r="1126">
      <c r="A1126">
        <f>IF($Q1126="","",INDEX(상세표[부서],$Q1126)&amp;"")</f>
        <v/>
      </c>
      <c r="B1126">
        <f>IF($Q1126="","",INDEX(상세표[사번],$Q1126)&amp;"")</f>
        <v/>
      </c>
      <c r="C1126">
        <f>IF($Q1126="","",INDEX(상세표[성명],$Q1126)&amp;"")</f>
        <v/>
      </c>
      <c r="D1126">
        <f>IF($Q1126="","",INDEX(상세표[직위],$Q1126)&amp;"")</f>
        <v/>
      </c>
      <c r="E1126">
        <f>IF($Q1126="","",IF(ISNUMBER(INDEX(상세표[근무일자],$Q1126)),TEXT(INDEX(상세표[근무일자],$Q1126),"yyyy-mm-dd"),INDEX(상세표[근무일자],$Q1126)&amp;""))</f>
        <v/>
      </c>
      <c r="F1126">
        <f>IF($Q1126="","",IF(ISNUMBER(INDEX(상세표[시작],$Q1126)),TEXT(INDEX(상세표[시작],$Q1126),"yyyy-mm-dd hh:mm"),INDEX(상세표[시작],$Q1126)&amp;""))</f>
        <v/>
      </c>
      <c r="G1126">
        <f>IF($Q1126="","",IF(ISNUMBER(INDEX(상세표[블록종료],$Q1126)),TEXT(INDEX(상세표[블록종료],$Q1126),"yyyy-mm-dd hh:mm"),INDEX(상세표[블록종료],$Q1126)&amp;""))</f>
        <v/>
      </c>
      <c r="H1126">
        <f>IF($Q1126="","",CHOOSE(WEEKDAY(INDEX(상세표[시작],$Q1126)),"일","월","화","수","목","금","토"))</f>
        <v/>
      </c>
      <c r="I1126" s="20">
        <f>IF($Q1126="","",INDEX(상세표[연속 시간],$Q1126))</f>
        <v/>
      </c>
      <c r="J1126">
        <f>IF($Q1126="","",INDEX(상세표[기록 수],$Q1126))</f>
        <v/>
      </c>
      <c r="K1126" s="20">
        <f>IF($Q1126="","",INDEX(상세표[블록 06~07시],$Q1126))</f>
        <v/>
      </c>
      <c r="L1126" s="20">
        <f>IF($Q1126="","",INDEX(상세표[블록 07~18시],$Q1126))</f>
        <v/>
      </c>
      <c r="M1126" s="20">
        <f>IF($Q1126="","",INDEX(상세표[블록 18~22시],$Q1126))</f>
        <v/>
      </c>
      <c r="N1126" s="20">
        <f>IF($Q1126="","",INDEX(상세표[블록 22~06시],$Q1126))</f>
        <v/>
      </c>
      <c r="O1126">
        <f>IF($Q1126="","",INDEX(상세표[주말·휴일 포함],$Q1126)&amp;"")</f>
        <v/>
      </c>
      <c r="P1126">
        <f>IF($Q1126="","",INDEX(상세표[월 넘김 포함],$Q1126)&amp;"")</f>
        <v/>
      </c>
      <c r="Q1126" s="4">
        <f>IFERROR(MATCH(1121,상세표[연속순번],0),"")</f>
        <v/>
      </c>
    </row>
    <row r="1127">
      <c r="A1127">
        <f>IF($Q1127="","",INDEX(상세표[부서],$Q1127)&amp;"")</f>
        <v/>
      </c>
      <c r="B1127">
        <f>IF($Q1127="","",INDEX(상세표[사번],$Q1127)&amp;"")</f>
        <v/>
      </c>
      <c r="C1127">
        <f>IF($Q1127="","",INDEX(상세표[성명],$Q1127)&amp;"")</f>
        <v/>
      </c>
      <c r="D1127">
        <f>IF($Q1127="","",INDEX(상세표[직위],$Q1127)&amp;"")</f>
        <v/>
      </c>
      <c r="E1127">
        <f>IF($Q1127="","",IF(ISNUMBER(INDEX(상세표[근무일자],$Q1127)),TEXT(INDEX(상세표[근무일자],$Q1127),"yyyy-mm-dd"),INDEX(상세표[근무일자],$Q1127)&amp;""))</f>
        <v/>
      </c>
      <c r="F1127">
        <f>IF($Q1127="","",IF(ISNUMBER(INDEX(상세표[시작],$Q1127)),TEXT(INDEX(상세표[시작],$Q1127),"yyyy-mm-dd hh:mm"),INDEX(상세표[시작],$Q1127)&amp;""))</f>
        <v/>
      </c>
      <c r="G1127">
        <f>IF($Q1127="","",IF(ISNUMBER(INDEX(상세표[블록종료],$Q1127)),TEXT(INDEX(상세표[블록종료],$Q1127),"yyyy-mm-dd hh:mm"),INDEX(상세표[블록종료],$Q1127)&amp;""))</f>
        <v/>
      </c>
      <c r="H1127">
        <f>IF($Q1127="","",CHOOSE(WEEKDAY(INDEX(상세표[시작],$Q1127)),"일","월","화","수","목","금","토"))</f>
        <v/>
      </c>
      <c r="I1127" s="20">
        <f>IF($Q1127="","",INDEX(상세표[연속 시간],$Q1127))</f>
        <v/>
      </c>
      <c r="J1127">
        <f>IF($Q1127="","",INDEX(상세표[기록 수],$Q1127))</f>
        <v/>
      </c>
      <c r="K1127" s="20">
        <f>IF($Q1127="","",INDEX(상세표[블록 06~07시],$Q1127))</f>
        <v/>
      </c>
      <c r="L1127" s="20">
        <f>IF($Q1127="","",INDEX(상세표[블록 07~18시],$Q1127))</f>
        <v/>
      </c>
      <c r="M1127" s="20">
        <f>IF($Q1127="","",INDEX(상세표[블록 18~22시],$Q1127))</f>
        <v/>
      </c>
      <c r="N1127" s="20">
        <f>IF($Q1127="","",INDEX(상세표[블록 22~06시],$Q1127))</f>
        <v/>
      </c>
      <c r="O1127">
        <f>IF($Q1127="","",INDEX(상세표[주말·휴일 포함],$Q1127)&amp;"")</f>
        <v/>
      </c>
      <c r="P1127">
        <f>IF($Q1127="","",INDEX(상세표[월 넘김 포함],$Q1127)&amp;"")</f>
        <v/>
      </c>
      <c r="Q1127" s="4">
        <f>IFERROR(MATCH(1122,상세표[연속순번],0),"")</f>
        <v/>
      </c>
    </row>
    <row r="1128">
      <c r="A1128">
        <f>IF($Q1128="","",INDEX(상세표[부서],$Q1128)&amp;"")</f>
        <v/>
      </c>
      <c r="B1128">
        <f>IF($Q1128="","",INDEX(상세표[사번],$Q1128)&amp;"")</f>
        <v/>
      </c>
      <c r="C1128">
        <f>IF($Q1128="","",INDEX(상세표[성명],$Q1128)&amp;"")</f>
        <v/>
      </c>
      <c r="D1128">
        <f>IF($Q1128="","",INDEX(상세표[직위],$Q1128)&amp;"")</f>
        <v/>
      </c>
      <c r="E1128">
        <f>IF($Q1128="","",IF(ISNUMBER(INDEX(상세표[근무일자],$Q1128)),TEXT(INDEX(상세표[근무일자],$Q1128),"yyyy-mm-dd"),INDEX(상세표[근무일자],$Q1128)&amp;""))</f>
        <v/>
      </c>
      <c r="F1128">
        <f>IF($Q1128="","",IF(ISNUMBER(INDEX(상세표[시작],$Q1128)),TEXT(INDEX(상세표[시작],$Q1128),"yyyy-mm-dd hh:mm"),INDEX(상세표[시작],$Q1128)&amp;""))</f>
        <v/>
      </c>
      <c r="G1128">
        <f>IF($Q1128="","",IF(ISNUMBER(INDEX(상세표[블록종료],$Q1128)),TEXT(INDEX(상세표[블록종료],$Q1128),"yyyy-mm-dd hh:mm"),INDEX(상세표[블록종료],$Q1128)&amp;""))</f>
        <v/>
      </c>
      <c r="H1128">
        <f>IF($Q1128="","",CHOOSE(WEEKDAY(INDEX(상세표[시작],$Q1128)),"일","월","화","수","목","금","토"))</f>
        <v/>
      </c>
      <c r="I1128" s="20">
        <f>IF($Q1128="","",INDEX(상세표[연속 시간],$Q1128))</f>
        <v/>
      </c>
      <c r="J1128">
        <f>IF($Q1128="","",INDEX(상세표[기록 수],$Q1128))</f>
        <v/>
      </c>
      <c r="K1128" s="20">
        <f>IF($Q1128="","",INDEX(상세표[블록 06~07시],$Q1128))</f>
        <v/>
      </c>
      <c r="L1128" s="20">
        <f>IF($Q1128="","",INDEX(상세표[블록 07~18시],$Q1128))</f>
        <v/>
      </c>
      <c r="M1128" s="20">
        <f>IF($Q1128="","",INDEX(상세표[블록 18~22시],$Q1128))</f>
        <v/>
      </c>
      <c r="N1128" s="20">
        <f>IF($Q1128="","",INDEX(상세표[블록 22~06시],$Q1128))</f>
        <v/>
      </c>
      <c r="O1128">
        <f>IF($Q1128="","",INDEX(상세표[주말·휴일 포함],$Q1128)&amp;"")</f>
        <v/>
      </c>
      <c r="P1128">
        <f>IF($Q1128="","",INDEX(상세표[월 넘김 포함],$Q1128)&amp;"")</f>
        <v/>
      </c>
      <c r="Q1128" s="4">
        <f>IFERROR(MATCH(1123,상세표[연속순번],0),"")</f>
        <v/>
      </c>
    </row>
    <row r="1129">
      <c r="A1129">
        <f>IF($Q1129="","",INDEX(상세표[부서],$Q1129)&amp;"")</f>
        <v/>
      </c>
      <c r="B1129">
        <f>IF($Q1129="","",INDEX(상세표[사번],$Q1129)&amp;"")</f>
        <v/>
      </c>
      <c r="C1129">
        <f>IF($Q1129="","",INDEX(상세표[성명],$Q1129)&amp;"")</f>
        <v/>
      </c>
      <c r="D1129">
        <f>IF($Q1129="","",INDEX(상세표[직위],$Q1129)&amp;"")</f>
        <v/>
      </c>
      <c r="E1129">
        <f>IF($Q1129="","",IF(ISNUMBER(INDEX(상세표[근무일자],$Q1129)),TEXT(INDEX(상세표[근무일자],$Q1129),"yyyy-mm-dd"),INDEX(상세표[근무일자],$Q1129)&amp;""))</f>
        <v/>
      </c>
      <c r="F1129">
        <f>IF($Q1129="","",IF(ISNUMBER(INDEX(상세표[시작],$Q1129)),TEXT(INDEX(상세표[시작],$Q1129),"yyyy-mm-dd hh:mm"),INDEX(상세표[시작],$Q1129)&amp;""))</f>
        <v/>
      </c>
      <c r="G1129">
        <f>IF($Q1129="","",IF(ISNUMBER(INDEX(상세표[블록종료],$Q1129)),TEXT(INDEX(상세표[블록종료],$Q1129),"yyyy-mm-dd hh:mm"),INDEX(상세표[블록종료],$Q1129)&amp;""))</f>
        <v/>
      </c>
      <c r="H1129">
        <f>IF($Q1129="","",CHOOSE(WEEKDAY(INDEX(상세표[시작],$Q1129)),"일","월","화","수","목","금","토"))</f>
        <v/>
      </c>
      <c r="I1129" s="20">
        <f>IF($Q1129="","",INDEX(상세표[연속 시간],$Q1129))</f>
        <v/>
      </c>
      <c r="J1129">
        <f>IF($Q1129="","",INDEX(상세표[기록 수],$Q1129))</f>
        <v/>
      </c>
      <c r="K1129" s="20">
        <f>IF($Q1129="","",INDEX(상세표[블록 06~07시],$Q1129))</f>
        <v/>
      </c>
      <c r="L1129" s="20">
        <f>IF($Q1129="","",INDEX(상세표[블록 07~18시],$Q1129))</f>
        <v/>
      </c>
      <c r="M1129" s="20">
        <f>IF($Q1129="","",INDEX(상세표[블록 18~22시],$Q1129))</f>
        <v/>
      </c>
      <c r="N1129" s="20">
        <f>IF($Q1129="","",INDEX(상세표[블록 22~06시],$Q1129))</f>
        <v/>
      </c>
      <c r="O1129">
        <f>IF($Q1129="","",INDEX(상세표[주말·휴일 포함],$Q1129)&amp;"")</f>
        <v/>
      </c>
      <c r="P1129">
        <f>IF($Q1129="","",INDEX(상세표[월 넘김 포함],$Q1129)&amp;"")</f>
        <v/>
      </c>
      <c r="Q1129" s="4">
        <f>IFERROR(MATCH(1124,상세표[연속순번],0),"")</f>
        <v/>
      </c>
    </row>
    <row r="1130">
      <c r="A1130">
        <f>IF($Q1130="","",INDEX(상세표[부서],$Q1130)&amp;"")</f>
        <v/>
      </c>
      <c r="B1130">
        <f>IF($Q1130="","",INDEX(상세표[사번],$Q1130)&amp;"")</f>
        <v/>
      </c>
      <c r="C1130">
        <f>IF($Q1130="","",INDEX(상세표[성명],$Q1130)&amp;"")</f>
        <v/>
      </c>
      <c r="D1130">
        <f>IF($Q1130="","",INDEX(상세표[직위],$Q1130)&amp;"")</f>
        <v/>
      </c>
      <c r="E1130">
        <f>IF($Q1130="","",IF(ISNUMBER(INDEX(상세표[근무일자],$Q1130)),TEXT(INDEX(상세표[근무일자],$Q1130),"yyyy-mm-dd"),INDEX(상세표[근무일자],$Q1130)&amp;""))</f>
        <v/>
      </c>
      <c r="F1130">
        <f>IF($Q1130="","",IF(ISNUMBER(INDEX(상세표[시작],$Q1130)),TEXT(INDEX(상세표[시작],$Q1130),"yyyy-mm-dd hh:mm"),INDEX(상세표[시작],$Q1130)&amp;""))</f>
        <v/>
      </c>
      <c r="G1130">
        <f>IF($Q1130="","",IF(ISNUMBER(INDEX(상세표[블록종료],$Q1130)),TEXT(INDEX(상세표[블록종료],$Q1130),"yyyy-mm-dd hh:mm"),INDEX(상세표[블록종료],$Q1130)&amp;""))</f>
        <v/>
      </c>
      <c r="H1130">
        <f>IF($Q1130="","",CHOOSE(WEEKDAY(INDEX(상세표[시작],$Q1130)),"일","월","화","수","목","금","토"))</f>
        <v/>
      </c>
      <c r="I1130" s="20">
        <f>IF($Q1130="","",INDEX(상세표[연속 시간],$Q1130))</f>
        <v/>
      </c>
      <c r="J1130">
        <f>IF($Q1130="","",INDEX(상세표[기록 수],$Q1130))</f>
        <v/>
      </c>
      <c r="K1130" s="20">
        <f>IF($Q1130="","",INDEX(상세표[블록 06~07시],$Q1130))</f>
        <v/>
      </c>
      <c r="L1130" s="20">
        <f>IF($Q1130="","",INDEX(상세표[블록 07~18시],$Q1130))</f>
        <v/>
      </c>
      <c r="M1130" s="20">
        <f>IF($Q1130="","",INDEX(상세표[블록 18~22시],$Q1130))</f>
        <v/>
      </c>
      <c r="N1130" s="20">
        <f>IF($Q1130="","",INDEX(상세표[블록 22~06시],$Q1130))</f>
        <v/>
      </c>
      <c r="O1130">
        <f>IF($Q1130="","",INDEX(상세표[주말·휴일 포함],$Q1130)&amp;"")</f>
        <v/>
      </c>
      <c r="P1130">
        <f>IF($Q1130="","",INDEX(상세표[월 넘김 포함],$Q1130)&amp;"")</f>
        <v/>
      </c>
      <c r="Q1130" s="4">
        <f>IFERROR(MATCH(1125,상세표[연속순번],0),"")</f>
        <v/>
      </c>
    </row>
    <row r="1131">
      <c r="A1131">
        <f>IF($Q1131="","",INDEX(상세표[부서],$Q1131)&amp;"")</f>
        <v/>
      </c>
      <c r="B1131">
        <f>IF($Q1131="","",INDEX(상세표[사번],$Q1131)&amp;"")</f>
        <v/>
      </c>
      <c r="C1131">
        <f>IF($Q1131="","",INDEX(상세표[성명],$Q1131)&amp;"")</f>
        <v/>
      </c>
      <c r="D1131">
        <f>IF($Q1131="","",INDEX(상세표[직위],$Q1131)&amp;"")</f>
        <v/>
      </c>
      <c r="E1131">
        <f>IF($Q1131="","",IF(ISNUMBER(INDEX(상세표[근무일자],$Q1131)),TEXT(INDEX(상세표[근무일자],$Q1131),"yyyy-mm-dd"),INDEX(상세표[근무일자],$Q1131)&amp;""))</f>
        <v/>
      </c>
      <c r="F1131">
        <f>IF($Q1131="","",IF(ISNUMBER(INDEX(상세표[시작],$Q1131)),TEXT(INDEX(상세표[시작],$Q1131),"yyyy-mm-dd hh:mm"),INDEX(상세표[시작],$Q1131)&amp;""))</f>
        <v/>
      </c>
      <c r="G1131">
        <f>IF($Q1131="","",IF(ISNUMBER(INDEX(상세표[블록종료],$Q1131)),TEXT(INDEX(상세표[블록종료],$Q1131),"yyyy-mm-dd hh:mm"),INDEX(상세표[블록종료],$Q1131)&amp;""))</f>
        <v/>
      </c>
      <c r="H1131">
        <f>IF($Q1131="","",CHOOSE(WEEKDAY(INDEX(상세표[시작],$Q1131)),"일","월","화","수","목","금","토"))</f>
        <v/>
      </c>
      <c r="I1131" s="20">
        <f>IF($Q1131="","",INDEX(상세표[연속 시간],$Q1131))</f>
        <v/>
      </c>
      <c r="J1131">
        <f>IF($Q1131="","",INDEX(상세표[기록 수],$Q1131))</f>
        <v/>
      </c>
      <c r="K1131" s="20">
        <f>IF($Q1131="","",INDEX(상세표[블록 06~07시],$Q1131))</f>
        <v/>
      </c>
      <c r="L1131" s="20">
        <f>IF($Q1131="","",INDEX(상세표[블록 07~18시],$Q1131))</f>
        <v/>
      </c>
      <c r="M1131" s="20">
        <f>IF($Q1131="","",INDEX(상세표[블록 18~22시],$Q1131))</f>
        <v/>
      </c>
      <c r="N1131" s="20">
        <f>IF($Q1131="","",INDEX(상세표[블록 22~06시],$Q1131))</f>
        <v/>
      </c>
      <c r="O1131">
        <f>IF($Q1131="","",INDEX(상세표[주말·휴일 포함],$Q1131)&amp;"")</f>
        <v/>
      </c>
      <c r="P1131">
        <f>IF($Q1131="","",INDEX(상세표[월 넘김 포함],$Q1131)&amp;"")</f>
        <v/>
      </c>
      <c r="Q1131" s="4">
        <f>IFERROR(MATCH(1126,상세표[연속순번],0),"")</f>
        <v/>
      </c>
    </row>
    <row r="1132">
      <c r="A1132">
        <f>IF($Q1132="","",INDEX(상세표[부서],$Q1132)&amp;"")</f>
        <v/>
      </c>
      <c r="B1132">
        <f>IF($Q1132="","",INDEX(상세표[사번],$Q1132)&amp;"")</f>
        <v/>
      </c>
      <c r="C1132">
        <f>IF($Q1132="","",INDEX(상세표[성명],$Q1132)&amp;"")</f>
        <v/>
      </c>
      <c r="D1132">
        <f>IF($Q1132="","",INDEX(상세표[직위],$Q1132)&amp;"")</f>
        <v/>
      </c>
      <c r="E1132">
        <f>IF($Q1132="","",IF(ISNUMBER(INDEX(상세표[근무일자],$Q1132)),TEXT(INDEX(상세표[근무일자],$Q1132),"yyyy-mm-dd"),INDEX(상세표[근무일자],$Q1132)&amp;""))</f>
        <v/>
      </c>
      <c r="F1132">
        <f>IF($Q1132="","",IF(ISNUMBER(INDEX(상세표[시작],$Q1132)),TEXT(INDEX(상세표[시작],$Q1132),"yyyy-mm-dd hh:mm"),INDEX(상세표[시작],$Q1132)&amp;""))</f>
        <v/>
      </c>
      <c r="G1132">
        <f>IF($Q1132="","",IF(ISNUMBER(INDEX(상세표[블록종료],$Q1132)),TEXT(INDEX(상세표[블록종료],$Q1132),"yyyy-mm-dd hh:mm"),INDEX(상세표[블록종료],$Q1132)&amp;""))</f>
        <v/>
      </c>
      <c r="H1132">
        <f>IF($Q1132="","",CHOOSE(WEEKDAY(INDEX(상세표[시작],$Q1132)),"일","월","화","수","목","금","토"))</f>
        <v/>
      </c>
      <c r="I1132" s="20">
        <f>IF($Q1132="","",INDEX(상세표[연속 시간],$Q1132))</f>
        <v/>
      </c>
      <c r="J1132">
        <f>IF($Q1132="","",INDEX(상세표[기록 수],$Q1132))</f>
        <v/>
      </c>
      <c r="K1132" s="20">
        <f>IF($Q1132="","",INDEX(상세표[블록 06~07시],$Q1132))</f>
        <v/>
      </c>
      <c r="L1132" s="20">
        <f>IF($Q1132="","",INDEX(상세표[블록 07~18시],$Q1132))</f>
        <v/>
      </c>
      <c r="M1132" s="20">
        <f>IF($Q1132="","",INDEX(상세표[블록 18~22시],$Q1132))</f>
        <v/>
      </c>
      <c r="N1132" s="20">
        <f>IF($Q1132="","",INDEX(상세표[블록 22~06시],$Q1132))</f>
        <v/>
      </c>
      <c r="O1132">
        <f>IF($Q1132="","",INDEX(상세표[주말·휴일 포함],$Q1132)&amp;"")</f>
        <v/>
      </c>
      <c r="P1132">
        <f>IF($Q1132="","",INDEX(상세표[월 넘김 포함],$Q1132)&amp;"")</f>
        <v/>
      </c>
      <c r="Q1132" s="4">
        <f>IFERROR(MATCH(1127,상세표[연속순번],0),"")</f>
        <v/>
      </c>
    </row>
    <row r="1133">
      <c r="A1133">
        <f>IF($Q1133="","",INDEX(상세표[부서],$Q1133)&amp;"")</f>
        <v/>
      </c>
      <c r="B1133">
        <f>IF($Q1133="","",INDEX(상세표[사번],$Q1133)&amp;"")</f>
        <v/>
      </c>
      <c r="C1133">
        <f>IF($Q1133="","",INDEX(상세표[성명],$Q1133)&amp;"")</f>
        <v/>
      </c>
      <c r="D1133">
        <f>IF($Q1133="","",INDEX(상세표[직위],$Q1133)&amp;"")</f>
        <v/>
      </c>
      <c r="E1133">
        <f>IF($Q1133="","",IF(ISNUMBER(INDEX(상세표[근무일자],$Q1133)),TEXT(INDEX(상세표[근무일자],$Q1133),"yyyy-mm-dd"),INDEX(상세표[근무일자],$Q1133)&amp;""))</f>
        <v/>
      </c>
      <c r="F1133">
        <f>IF($Q1133="","",IF(ISNUMBER(INDEX(상세표[시작],$Q1133)),TEXT(INDEX(상세표[시작],$Q1133),"yyyy-mm-dd hh:mm"),INDEX(상세표[시작],$Q1133)&amp;""))</f>
        <v/>
      </c>
      <c r="G1133">
        <f>IF($Q1133="","",IF(ISNUMBER(INDEX(상세표[블록종료],$Q1133)),TEXT(INDEX(상세표[블록종료],$Q1133),"yyyy-mm-dd hh:mm"),INDEX(상세표[블록종료],$Q1133)&amp;""))</f>
        <v/>
      </c>
      <c r="H1133">
        <f>IF($Q1133="","",CHOOSE(WEEKDAY(INDEX(상세표[시작],$Q1133)),"일","월","화","수","목","금","토"))</f>
        <v/>
      </c>
      <c r="I1133" s="20">
        <f>IF($Q1133="","",INDEX(상세표[연속 시간],$Q1133))</f>
        <v/>
      </c>
      <c r="J1133">
        <f>IF($Q1133="","",INDEX(상세표[기록 수],$Q1133))</f>
        <v/>
      </c>
      <c r="K1133" s="20">
        <f>IF($Q1133="","",INDEX(상세표[블록 06~07시],$Q1133))</f>
        <v/>
      </c>
      <c r="L1133" s="20">
        <f>IF($Q1133="","",INDEX(상세표[블록 07~18시],$Q1133))</f>
        <v/>
      </c>
      <c r="M1133" s="20">
        <f>IF($Q1133="","",INDEX(상세표[블록 18~22시],$Q1133))</f>
        <v/>
      </c>
      <c r="N1133" s="20">
        <f>IF($Q1133="","",INDEX(상세표[블록 22~06시],$Q1133))</f>
        <v/>
      </c>
      <c r="O1133">
        <f>IF($Q1133="","",INDEX(상세표[주말·휴일 포함],$Q1133)&amp;"")</f>
        <v/>
      </c>
      <c r="P1133">
        <f>IF($Q1133="","",INDEX(상세표[월 넘김 포함],$Q1133)&amp;"")</f>
        <v/>
      </c>
      <c r="Q1133" s="4">
        <f>IFERROR(MATCH(1128,상세표[연속순번],0),"")</f>
        <v/>
      </c>
    </row>
    <row r="1134">
      <c r="A1134">
        <f>IF($Q1134="","",INDEX(상세표[부서],$Q1134)&amp;"")</f>
        <v/>
      </c>
      <c r="B1134">
        <f>IF($Q1134="","",INDEX(상세표[사번],$Q1134)&amp;"")</f>
        <v/>
      </c>
      <c r="C1134">
        <f>IF($Q1134="","",INDEX(상세표[성명],$Q1134)&amp;"")</f>
        <v/>
      </c>
      <c r="D1134">
        <f>IF($Q1134="","",INDEX(상세표[직위],$Q1134)&amp;"")</f>
        <v/>
      </c>
      <c r="E1134">
        <f>IF($Q1134="","",IF(ISNUMBER(INDEX(상세표[근무일자],$Q1134)),TEXT(INDEX(상세표[근무일자],$Q1134),"yyyy-mm-dd"),INDEX(상세표[근무일자],$Q1134)&amp;""))</f>
        <v/>
      </c>
      <c r="F1134">
        <f>IF($Q1134="","",IF(ISNUMBER(INDEX(상세표[시작],$Q1134)),TEXT(INDEX(상세표[시작],$Q1134),"yyyy-mm-dd hh:mm"),INDEX(상세표[시작],$Q1134)&amp;""))</f>
        <v/>
      </c>
      <c r="G1134">
        <f>IF($Q1134="","",IF(ISNUMBER(INDEX(상세표[블록종료],$Q1134)),TEXT(INDEX(상세표[블록종료],$Q1134),"yyyy-mm-dd hh:mm"),INDEX(상세표[블록종료],$Q1134)&amp;""))</f>
        <v/>
      </c>
      <c r="H1134">
        <f>IF($Q1134="","",CHOOSE(WEEKDAY(INDEX(상세표[시작],$Q1134)),"일","월","화","수","목","금","토"))</f>
        <v/>
      </c>
      <c r="I1134" s="20">
        <f>IF($Q1134="","",INDEX(상세표[연속 시간],$Q1134))</f>
        <v/>
      </c>
      <c r="J1134">
        <f>IF($Q1134="","",INDEX(상세표[기록 수],$Q1134))</f>
        <v/>
      </c>
      <c r="K1134" s="20">
        <f>IF($Q1134="","",INDEX(상세표[블록 06~07시],$Q1134))</f>
        <v/>
      </c>
      <c r="L1134" s="20">
        <f>IF($Q1134="","",INDEX(상세표[블록 07~18시],$Q1134))</f>
        <v/>
      </c>
      <c r="M1134" s="20">
        <f>IF($Q1134="","",INDEX(상세표[블록 18~22시],$Q1134))</f>
        <v/>
      </c>
      <c r="N1134" s="20">
        <f>IF($Q1134="","",INDEX(상세표[블록 22~06시],$Q1134))</f>
        <v/>
      </c>
      <c r="O1134">
        <f>IF($Q1134="","",INDEX(상세표[주말·휴일 포함],$Q1134)&amp;"")</f>
        <v/>
      </c>
      <c r="P1134">
        <f>IF($Q1134="","",INDEX(상세표[월 넘김 포함],$Q1134)&amp;"")</f>
        <v/>
      </c>
      <c r="Q1134" s="4">
        <f>IFERROR(MATCH(1129,상세표[연속순번],0),"")</f>
        <v/>
      </c>
    </row>
    <row r="1135">
      <c r="A1135">
        <f>IF($Q1135="","",INDEX(상세표[부서],$Q1135)&amp;"")</f>
        <v/>
      </c>
      <c r="B1135">
        <f>IF($Q1135="","",INDEX(상세표[사번],$Q1135)&amp;"")</f>
        <v/>
      </c>
      <c r="C1135">
        <f>IF($Q1135="","",INDEX(상세표[성명],$Q1135)&amp;"")</f>
        <v/>
      </c>
      <c r="D1135">
        <f>IF($Q1135="","",INDEX(상세표[직위],$Q1135)&amp;"")</f>
        <v/>
      </c>
      <c r="E1135">
        <f>IF($Q1135="","",IF(ISNUMBER(INDEX(상세표[근무일자],$Q1135)),TEXT(INDEX(상세표[근무일자],$Q1135),"yyyy-mm-dd"),INDEX(상세표[근무일자],$Q1135)&amp;""))</f>
        <v/>
      </c>
      <c r="F1135">
        <f>IF($Q1135="","",IF(ISNUMBER(INDEX(상세표[시작],$Q1135)),TEXT(INDEX(상세표[시작],$Q1135),"yyyy-mm-dd hh:mm"),INDEX(상세표[시작],$Q1135)&amp;""))</f>
        <v/>
      </c>
      <c r="G1135">
        <f>IF($Q1135="","",IF(ISNUMBER(INDEX(상세표[블록종료],$Q1135)),TEXT(INDEX(상세표[블록종료],$Q1135),"yyyy-mm-dd hh:mm"),INDEX(상세표[블록종료],$Q1135)&amp;""))</f>
        <v/>
      </c>
      <c r="H1135">
        <f>IF($Q1135="","",CHOOSE(WEEKDAY(INDEX(상세표[시작],$Q1135)),"일","월","화","수","목","금","토"))</f>
        <v/>
      </c>
      <c r="I1135" s="20">
        <f>IF($Q1135="","",INDEX(상세표[연속 시간],$Q1135))</f>
        <v/>
      </c>
      <c r="J1135">
        <f>IF($Q1135="","",INDEX(상세표[기록 수],$Q1135))</f>
        <v/>
      </c>
      <c r="K1135" s="20">
        <f>IF($Q1135="","",INDEX(상세표[블록 06~07시],$Q1135))</f>
        <v/>
      </c>
      <c r="L1135" s="20">
        <f>IF($Q1135="","",INDEX(상세표[블록 07~18시],$Q1135))</f>
        <v/>
      </c>
      <c r="M1135" s="20">
        <f>IF($Q1135="","",INDEX(상세표[블록 18~22시],$Q1135))</f>
        <v/>
      </c>
      <c r="N1135" s="20">
        <f>IF($Q1135="","",INDEX(상세표[블록 22~06시],$Q1135))</f>
        <v/>
      </c>
      <c r="O1135">
        <f>IF($Q1135="","",INDEX(상세표[주말·휴일 포함],$Q1135)&amp;"")</f>
        <v/>
      </c>
      <c r="P1135">
        <f>IF($Q1135="","",INDEX(상세표[월 넘김 포함],$Q1135)&amp;"")</f>
        <v/>
      </c>
      <c r="Q1135" s="4">
        <f>IFERROR(MATCH(1130,상세표[연속순번],0),"")</f>
        <v/>
      </c>
    </row>
    <row r="1136">
      <c r="A1136">
        <f>IF($Q1136="","",INDEX(상세표[부서],$Q1136)&amp;"")</f>
        <v/>
      </c>
      <c r="B1136">
        <f>IF($Q1136="","",INDEX(상세표[사번],$Q1136)&amp;"")</f>
        <v/>
      </c>
      <c r="C1136">
        <f>IF($Q1136="","",INDEX(상세표[성명],$Q1136)&amp;"")</f>
        <v/>
      </c>
      <c r="D1136">
        <f>IF($Q1136="","",INDEX(상세표[직위],$Q1136)&amp;"")</f>
        <v/>
      </c>
      <c r="E1136">
        <f>IF($Q1136="","",IF(ISNUMBER(INDEX(상세표[근무일자],$Q1136)),TEXT(INDEX(상세표[근무일자],$Q1136),"yyyy-mm-dd"),INDEX(상세표[근무일자],$Q1136)&amp;""))</f>
        <v/>
      </c>
      <c r="F1136">
        <f>IF($Q1136="","",IF(ISNUMBER(INDEX(상세표[시작],$Q1136)),TEXT(INDEX(상세표[시작],$Q1136),"yyyy-mm-dd hh:mm"),INDEX(상세표[시작],$Q1136)&amp;""))</f>
        <v/>
      </c>
      <c r="G1136">
        <f>IF($Q1136="","",IF(ISNUMBER(INDEX(상세표[블록종료],$Q1136)),TEXT(INDEX(상세표[블록종료],$Q1136),"yyyy-mm-dd hh:mm"),INDEX(상세표[블록종료],$Q1136)&amp;""))</f>
        <v/>
      </c>
      <c r="H1136">
        <f>IF($Q1136="","",CHOOSE(WEEKDAY(INDEX(상세표[시작],$Q1136)),"일","월","화","수","목","금","토"))</f>
        <v/>
      </c>
      <c r="I1136" s="20">
        <f>IF($Q1136="","",INDEX(상세표[연속 시간],$Q1136))</f>
        <v/>
      </c>
      <c r="J1136">
        <f>IF($Q1136="","",INDEX(상세표[기록 수],$Q1136))</f>
        <v/>
      </c>
      <c r="K1136" s="20">
        <f>IF($Q1136="","",INDEX(상세표[블록 06~07시],$Q1136))</f>
        <v/>
      </c>
      <c r="L1136" s="20">
        <f>IF($Q1136="","",INDEX(상세표[블록 07~18시],$Q1136))</f>
        <v/>
      </c>
      <c r="M1136" s="20">
        <f>IF($Q1136="","",INDEX(상세표[블록 18~22시],$Q1136))</f>
        <v/>
      </c>
      <c r="N1136" s="20">
        <f>IF($Q1136="","",INDEX(상세표[블록 22~06시],$Q1136))</f>
        <v/>
      </c>
      <c r="O1136">
        <f>IF($Q1136="","",INDEX(상세표[주말·휴일 포함],$Q1136)&amp;"")</f>
        <v/>
      </c>
      <c r="P1136">
        <f>IF($Q1136="","",INDEX(상세표[월 넘김 포함],$Q1136)&amp;"")</f>
        <v/>
      </c>
      <c r="Q1136" s="4">
        <f>IFERROR(MATCH(1131,상세표[연속순번],0),"")</f>
        <v/>
      </c>
    </row>
    <row r="1137">
      <c r="A1137">
        <f>IF($Q1137="","",INDEX(상세표[부서],$Q1137)&amp;"")</f>
        <v/>
      </c>
      <c r="B1137">
        <f>IF($Q1137="","",INDEX(상세표[사번],$Q1137)&amp;"")</f>
        <v/>
      </c>
      <c r="C1137">
        <f>IF($Q1137="","",INDEX(상세표[성명],$Q1137)&amp;"")</f>
        <v/>
      </c>
      <c r="D1137">
        <f>IF($Q1137="","",INDEX(상세표[직위],$Q1137)&amp;"")</f>
        <v/>
      </c>
      <c r="E1137">
        <f>IF($Q1137="","",IF(ISNUMBER(INDEX(상세표[근무일자],$Q1137)),TEXT(INDEX(상세표[근무일자],$Q1137),"yyyy-mm-dd"),INDEX(상세표[근무일자],$Q1137)&amp;""))</f>
        <v/>
      </c>
      <c r="F1137">
        <f>IF($Q1137="","",IF(ISNUMBER(INDEX(상세표[시작],$Q1137)),TEXT(INDEX(상세표[시작],$Q1137),"yyyy-mm-dd hh:mm"),INDEX(상세표[시작],$Q1137)&amp;""))</f>
        <v/>
      </c>
      <c r="G1137">
        <f>IF($Q1137="","",IF(ISNUMBER(INDEX(상세표[블록종료],$Q1137)),TEXT(INDEX(상세표[블록종료],$Q1137),"yyyy-mm-dd hh:mm"),INDEX(상세표[블록종료],$Q1137)&amp;""))</f>
        <v/>
      </c>
      <c r="H1137">
        <f>IF($Q1137="","",CHOOSE(WEEKDAY(INDEX(상세표[시작],$Q1137)),"일","월","화","수","목","금","토"))</f>
        <v/>
      </c>
      <c r="I1137" s="20">
        <f>IF($Q1137="","",INDEX(상세표[연속 시간],$Q1137))</f>
        <v/>
      </c>
      <c r="J1137">
        <f>IF($Q1137="","",INDEX(상세표[기록 수],$Q1137))</f>
        <v/>
      </c>
      <c r="K1137" s="20">
        <f>IF($Q1137="","",INDEX(상세표[블록 06~07시],$Q1137))</f>
        <v/>
      </c>
      <c r="L1137" s="20">
        <f>IF($Q1137="","",INDEX(상세표[블록 07~18시],$Q1137))</f>
        <v/>
      </c>
      <c r="M1137" s="20">
        <f>IF($Q1137="","",INDEX(상세표[블록 18~22시],$Q1137))</f>
        <v/>
      </c>
      <c r="N1137" s="20">
        <f>IF($Q1137="","",INDEX(상세표[블록 22~06시],$Q1137))</f>
        <v/>
      </c>
      <c r="O1137">
        <f>IF($Q1137="","",INDEX(상세표[주말·휴일 포함],$Q1137)&amp;"")</f>
        <v/>
      </c>
      <c r="P1137">
        <f>IF($Q1137="","",INDEX(상세표[월 넘김 포함],$Q1137)&amp;"")</f>
        <v/>
      </c>
      <c r="Q1137" s="4">
        <f>IFERROR(MATCH(1132,상세표[연속순번],0),"")</f>
        <v/>
      </c>
    </row>
    <row r="1138">
      <c r="A1138">
        <f>IF($Q1138="","",INDEX(상세표[부서],$Q1138)&amp;"")</f>
        <v/>
      </c>
      <c r="B1138">
        <f>IF($Q1138="","",INDEX(상세표[사번],$Q1138)&amp;"")</f>
        <v/>
      </c>
      <c r="C1138">
        <f>IF($Q1138="","",INDEX(상세표[성명],$Q1138)&amp;"")</f>
        <v/>
      </c>
      <c r="D1138">
        <f>IF($Q1138="","",INDEX(상세표[직위],$Q1138)&amp;"")</f>
        <v/>
      </c>
      <c r="E1138">
        <f>IF($Q1138="","",IF(ISNUMBER(INDEX(상세표[근무일자],$Q1138)),TEXT(INDEX(상세표[근무일자],$Q1138),"yyyy-mm-dd"),INDEX(상세표[근무일자],$Q1138)&amp;""))</f>
        <v/>
      </c>
      <c r="F1138">
        <f>IF($Q1138="","",IF(ISNUMBER(INDEX(상세표[시작],$Q1138)),TEXT(INDEX(상세표[시작],$Q1138),"yyyy-mm-dd hh:mm"),INDEX(상세표[시작],$Q1138)&amp;""))</f>
        <v/>
      </c>
      <c r="G1138">
        <f>IF($Q1138="","",IF(ISNUMBER(INDEX(상세표[블록종료],$Q1138)),TEXT(INDEX(상세표[블록종료],$Q1138),"yyyy-mm-dd hh:mm"),INDEX(상세표[블록종료],$Q1138)&amp;""))</f>
        <v/>
      </c>
      <c r="H1138">
        <f>IF($Q1138="","",CHOOSE(WEEKDAY(INDEX(상세표[시작],$Q1138)),"일","월","화","수","목","금","토"))</f>
        <v/>
      </c>
      <c r="I1138" s="20">
        <f>IF($Q1138="","",INDEX(상세표[연속 시간],$Q1138))</f>
        <v/>
      </c>
      <c r="J1138">
        <f>IF($Q1138="","",INDEX(상세표[기록 수],$Q1138))</f>
        <v/>
      </c>
      <c r="K1138" s="20">
        <f>IF($Q1138="","",INDEX(상세표[블록 06~07시],$Q1138))</f>
        <v/>
      </c>
      <c r="L1138" s="20">
        <f>IF($Q1138="","",INDEX(상세표[블록 07~18시],$Q1138))</f>
        <v/>
      </c>
      <c r="M1138" s="20">
        <f>IF($Q1138="","",INDEX(상세표[블록 18~22시],$Q1138))</f>
        <v/>
      </c>
      <c r="N1138" s="20">
        <f>IF($Q1138="","",INDEX(상세표[블록 22~06시],$Q1138))</f>
        <v/>
      </c>
      <c r="O1138">
        <f>IF($Q1138="","",INDEX(상세표[주말·휴일 포함],$Q1138)&amp;"")</f>
        <v/>
      </c>
      <c r="P1138">
        <f>IF($Q1138="","",INDEX(상세표[월 넘김 포함],$Q1138)&amp;"")</f>
        <v/>
      </c>
      <c r="Q1138" s="4">
        <f>IFERROR(MATCH(1133,상세표[연속순번],0),"")</f>
        <v/>
      </c>
    </row>
    <row r="1139">
      <c r="A1139">
        <f>IF($Q1139="","",INDEX(상세표[부서],$Q1139)&amp;"")</f>
        <v/>
      </c>
      <c r="B1139">
        <f>IF($Q1139="","",INDEX(상세표[사번],$Q1139)&amp;"")</f>
        <v/>
      </c>
      <c r="C1139">
        <f>IF($Q1139="","",INDEX(상세표[성명],$Q1139)&amp;"")</f>
        <v/>
      </c>
      <c r="D1139">
        <f>IF($Q1139="","",INDEX(상세표[직위],$Q1139)&amp;"")</f>
        <v/>
      </c>
      <c r="E1139">
        <f>IF($Q1139="","",IF(ISNUMBER(INDEX(상세표[근무일자],$Q1139)),TEXT(INDEX(상세표[근무일자],$Q1139),"yyyy-mm-dd"),INDEX(상세표[근무일자],$Q1139)&amp;""))</f>
        <v/>
      </c>
      <c r="F1139">
        <f>IF($Q1139="","",IF(ISNUMBER(INDEX(상세표[시작],$Q1139)),TEXT(INDEX(상세표[시작],$Q1139),"yyyy-mm-dd hh:mm"),INDEX(상세표[시작],$Q1139)&amp;""))</f>
        <v/>
      </c>
      <c r="G1139">
        <f>IF($Q1139="","",IF(ISNUMBER(INDEX(상세표[블록종료],$Q1139)),TEXT(INDEX(상세표[블록종료],$Q1139),"yyyy-mm-dd hh:mm"),INDEX(상세표[블록종료],$Q1139)&amp;""))</f>
        <v/>
      </c>
      <c r="H1139">
        <f>IF($Q1139="","",CHOOSE(WEEKDAY(INDEX(상세표[시작],$Q1139)),"일","월","화","수","목","금","토"))</f>
        <v/>
      </c>
      <c r="I1139" s="20">
        <f>IF($Q1139="","",INDEX(상세표[연속 시간],$Q1139))</f>
        <v/>
      </c>
      <c r="J1139">
        <f>IF($Q1139="","",INDEX(상세표[기록 수],$Q1139))</f>
        <v/>
      </c>
      <c r="K1139" s="20">
        <f>IF($Q1139="","",INDEX(상세표[블록 06~07시],$Q1139))</f>
        <v/>
      </c>
      <c r="L1139" s="20">
        <f>IF($Q1139="","",INDEX(상세표[블록 07~18시],$Q1139))</f>
        <v/>
      </c>
      <c r="M1139" s="20">
        <f>IF($Q1139="","",INDEX(상세표[블록 18~22시],$Q1139))</f>
        <v/>
      </c>
      <c r="N1139" s="20">
        <f>IF($Q1139="","",INDEX(상세표[블록 22~06시],$Q1139))</f>
        <v/>
      </c>
      <c r="O1139">
        <f>IF($Q1139="","",INDEX(상세표[주말·휴일 포함],$Q1139)&amp;"")</f>
        <v/>
      </c>
      <c r="P1139">
        <f>IF($Q1139="","",INDEX(상세표[월 넘김 포함],$Q1139)&amp;"")</f>
        <v/>
      </c>
      <c r="Q1139" s="4">
        <f>IFERROR(MATCH(1134,상세표[연속순번],0),"")</f>
        <v/>
      </c>
    </row>
    <row r="1140">
      <c r="A1140">
        <f>IF($Q1140="","",INDEX(상세표[부서],$Q1140)&amp;"")</f>
        <v/>
      </c>
      <c r="B1140">
        <f>IF($Q1140="","",INDEX(상세표[사번],$Q1140)&amp;"")</f>
        <v/>
      </c>
      <c r="C1140">
        <f>IF($Q1140="","",INDEX(상세표[성명],$Q1140)&amp;"")</f>
        <v/>
      </c>
      <c r="D1140">
        <f>IF($Q1140="","",INDEX(상세표[직위],$Q1140)&amp;"")</f>
        <v/>
      </c>
      <c r="E1140">
        <f>IF($Q1140="","",IF(ISNUMBER(INDEX(상세표[근무일자],$Q1140)),TEXT(INDEX(상세표[근무일자],$Q1140),"yyyy-mm-dd"),INDEX(상세표[근무일자],$Q1140)&amp;""))</f>
        <v/>
      </c>
      <c r="F1140">
        <f>IF($Q1140="","",IF(ISNUMBER(INDEX(상세표[시작],$Q1140)),TEXT(INDEX(상세표[시작],$Q1140),"yyyy-mm-dd hh:mm"),INDEX(상세표[시작],$Q1140)&amp;""))</f>
        <v/>
      </c>
      <c r="G1140">
        <f>IF($Q1140="","",IF(ISNUMBER(INDEX(상세표[블록종료],$Q1140)),TEXT(INDEX(상세표[블록종료],$Q1140),"yyyy-mm-dd hh:mm"),INDEX(상세표[블록종료],$Q1140)&amp;""))</f>
        <v/>
      </c>
      <c r="H1140">
        <f>IF($Q1140="","",CHOOSE(WEEKDAY(INDEX(상세표[시작],$Q1140)),"일","월","화","수","목","금","토"))</f>
        <v/>
      </c>
      <c r="I1140" s="20">
        <f>IF($Q1140="","",INDEX(상세표[연속 시간],$Q1140))</f>
        <v/>
      </c>
      <c r="J1140">
        <f>IF($Q1140="","",INDEX(상세표[기록 수],$Q1140))</f>
        <v/>
      </c>
      <c r="K1140" s="20">
        <f>IF($Q1140="","",INDEX(상세표[블록 06~07시],$Q1140))</f>
        <v/>
      </c>
      <c r="L1140" s="20">
        <f>IF($Q1140="","",INDEX(상세표[블록 07~18시],$Q1140))</f>
        <v/>
      </c>
      <c r="M1140" s="20">
        <f>IF($Q1140="","",INDEX(상세표[블록 18~22시],$Q1140))</f>
        <v/>
      </c>
      <c r="N1140" s="20">
        <f>IF($Q1140="","",INDEX(상세표[블록 22~06시],$Q1140))</f>
        <v/>
      </c>
      <c r="O1140">
        <f>IF($Q1140="","",INDEX(상세표[주말·휴일 포함],$Q1140)&amp;"")</f>
        <v/>
      </c>
      <c r="P1140">
        <f>IF($Q1140="","",INDEX(상세표[월 넘김 포함],$Q1140)&amp;"")</f>
        <v/>
      </c>
      <c r="Q1140" s="4">
        <f>IFERROR(MATCH(1135,상세표[연속순번],0),"")</f>
        <v/>
      </c>
    </row>
    <row r="1141">
      <c r="A1141">
        <f>IF($Q1141="","",INDEX(상세표[부서],$Q1141)&amp;"")</f>
        <v/>
      </c>
      <c r="B1141">
        <f>IF($Q1141="","",INDEX(상세표[사번],$Q1141)&amp;"")</f>
        <v/>
      </c>
      <c r="C1141">
        <f>IF($Q1141="","",INDEX(상세표[성명],$Q1141)&amp;"")</f>
        <v/>
      </c>
      <c r="D1141">
        <f>IF($Q1141="","",INDEX(상세표[직위],$Q1141)&amp;"")</f>
        <v/>
      </c>
      <c r="E1141">
        <f>IF($Q1141="","",IF(ISNUMBER(INDEX(상세표[근무일자],$Q1141)),TEXT(INDEX(상세표[근무일자],$Q1141),"yyyy-mm-dd"),INDEX(상세표[근무일자],$Q1141)&amp;""))</f>
        <v/>
      </c>
      <c r="F1141">
        <f>IF($Q1141="","",IF(ISNUMBER(INDEX(상세표[시작],$Q1141)),TEXT(INDEX(상세표[시작],$Q1141),"yyyy-mm-dd hh:mm"),INDEX(상세표[시작],$Q1141)&amp;""))</f>
        <v/>
      </c>
      <c r="G1141">
        <f>IF($Q1141="","",IF(ISNUMBER(INDEX(상세표[블록종료],$Q1141)),TEXT(INDEX(상세표[블록종료],$Q1141),"yyyy-mm-dd hh:mm"),INDEX(상세표[블록종료],$Q1141)&amp;""))</f>
        <v/>
      </c>
      <c r="H1141">
        <f>IF($Q1141="","",CHOOSE(WEEKDAY(INDEX(상세표[시작],$Q1141)),"일","월","화","수","목","금","토"))</f>
        <v/>
      </c>
      <c r="I1141" s="20">
        <f>IF($Q1141="","",INDEX(상세표[연속 시간],$Q1141))</f>
        <v/>
      </c>
      <c r="J1141">
        <f>IF($Q1141="","",INDEX(상세표[기록 수],$Q1141))</f>
        <v/>
      </c>
      <c r="K1141" s="20">
        <f>IF($Q1141="","",INDEX(상세표[블록 06~07시],$Q1141))</f>
        <v/>
      </c>
      <c r="L1141" s="20">
        <f>IF($Q1141="","",INDEX(상세표[블록 07~18시],$Q1141))</f>
        <v/>
      </c>
      <c r="M1141" s="20">
        <f>IF($Q1141="","",INDEX(상세표[블록 18~22시],$Q1141))</f>
        <v/>
      </c>
      <c r="N1141" s="20">
        <f>IF($Q1141="","",INDEX(상세표[블록 22~06시],$Q1141))</f>
        <v/>
      </c>
      <c r="O1141">
        <f>IF($Q1141="","",INDEX(상세표[주말·휴일 포함],$Q1141)&amp;"")</f>
        <v/>
      </c>
      <c r="P1141">
        <f>IF($Q1141="","",INDEX(상세표[월 넘김 포함],$Q1141)&amp;"")</f>
        <v/>
      </c>
      <c r="Q1141" s="4">
        <f>IFERROR(MATCH(1136,상세표[연속순번],0),"")</f>
        <v/>
      </c>
    </row>
    <row r="1142">
      <c r="A1142">
        <f>IF($Q1142="","",INDEX(상세표[부서],$Q1142)&amp;"")</f>
        <v/>
      </c>
      <c r="B1142">
        <f>IF($Q1142="","",INDEX(상세표[사번],$Q1142)&amp;"")</f>
        <v/>
      </c>
      <c r="C1142">
        <f>IF($Q1142="","",INDEX(상세표[성명],$Q1142)&amp;"")</f>
        <v/>
      </c>
      <c r="D1142">
        <f>IF($Q1142="","",INDEX(상세표[직위],$Q1142)&amp;"")</f>
        <v/>
      </c>
      <c r="E1142">
        <f>IF($Q1142="","",IF(ISNUMBER(INDEX(상세표[근무일자],$Q1142)),TEXT(INDEX(상세표[근무일자],$Q1142),"yyyy-mm-dd"),INDEX(상세표[근무일자],$Q1142)&amp;""))</f>
        <v/>
      </c>
      <c r="F1142">
        <f>IF($Q1142="","",IF(ISNUMBER(INDEX(상세표[시작],$Q1142)),TEXT(INDEX(상세표[시작],$Q1142),"yyyy-mm-dd hh:mm"),INDEX(상세표[시작],$Q1142)&amp;""))</f>
        <v/>
      </c>
      <c r="G1142">
        <f>IF($Q1142="","",IF(ISNUMBER(INDEX(상세표[블록종료],$Q1142)),TEXT(INDEX(상세표[블록종료],$Q1142),"yyyy-mm-dd hh:mm"),INDEX(상세표[블록종료],$Q1142)&amp;""))</f>
        <v/>
      </c>
      <c r="H1142">
        <f>IF($Q1142="","",CHOOSE(WEEKDAY(INDEX(상세표[시작],$Q1142)),"일","월","화","수","목","금","토"))</f>
        <v/>
      </c>
      <c r="I1142" s="20">
        <f>IF($Q1142="","",INDEX(상세표[연속 시간],$Q1142))</f>
        <v/>
      </c>
      <c r="J1142">
        <f>IF($Q1142="","",INDEX(상세표[기록 수],$Q1142))</f>
        <v/>
      </c>
      <c r="K1142" s="20">
        <f>IF($Q1142="","",INDEX(상세표[블록 06~07시],$Q1142))</f>
        <v/>
      </c>
      <c r="L1142" s="20">
        <f>IF($Q1142="","",INDEX(상세표[블록 07~18시],$Q1142))</f>
        <v/>
      </c>
      <c r="M1142" s="20">
        <f>IF($Q1142="","",INDEX(상세표[블록 18~22시],$Q1142))</f>
        <v/>
      </c>
      <c r="N1142" s="20">
        <f>IF($Q1142="","",INDEX(상세표[블록 22~06시],$Q1142))</f>
        <v/>
      </c>
      <c r="O1142">
        <f>IF($Q1142="","",INDEX(상세표[주말·휴일 포함],$Q1142)&amp;"")</f>
        <v/>
      </c>
      <c r="P1142">
        <f>IF($Q1142="","",INDEX(상세표[월 넘김 포함],$Q1142)&amp;"")</f>
        <v/>
      </c>
      <c r="Q1142" s="4">
        <f>IFERROR(MATCH(1137,상세표[연속순번],0),"")</f>
        <v/>
      </c>
    </row>
    <row r="1143">
      <c r="A1143">
        <f>IF($Q1143="","",INDEX(상세표[부서],$Q1143)&amp;"")</f>
        <v/>
      </c>
      <c r="B1143">
        <f>IF($Q1143="","",INDEX(상세표[사번],$Q1143)&amp;"")</f>
        <v/>
      </c>
      <c r="C1143">
        <f>IF($Q1143="","",INDEX(상세표[성명],$Q1143)&amp;"")</f>
        <v/>
      </c>
      <c r="D1143">
        <f>IF($Q1143="","",INDEX(상세표[직위],$Q1143)&amp;"")</f>
        <v/>
      </c>
      <c r="E1143">
        <f>IF($Q1143="","",IF(ISNUMBER(INDEX(상세표[근무일자],$Q1143)),TEXT(INDEX(상세표[근무일자],$Q1143),"yyyy-mm-dd"),INDEX(상세표[근무일자],$Q1143)&amp;""))</f>
        <v/>
      </c>
      <c r="F1143">
        <f>IF($Q1143="","",IF(ISNUMBER(INDEX(상세표[시작],$Q1143)),TEXT(INDEX(상세표[시작],$Q1143),"yyyy-mm-dd hh:mm"),INDEX(상세표[시작],$Q1143)&amp;""))</f>
        <v/>
      </c>
      <c r="G1143">
        <f>IF($Q1143="","",IF(ISNUMBER(INDEX(상세표[블록종료],$Q1143)),TEXT(INDEX(상세표[블록종료],$Q1143),"yyyy-mm-dd hh:mm"),INDEX(상세표[블록종료],$Q1143)&amp;""))</f>
        <v/>
      </c>
      <c r="H1143">
        <f>IF($Q1143="","",CHOOSE(WEEKDAY(INDEX(상세표[시작],$Q1143)),"일","월","화","수","목","금","토"))</f>
        <v/>
      </c>
      <c r="I1143" s="20">
        <f>IF($Q1143="","",INDEX(상세표[연속 시간],$Q1143))</f>
        <v/>
      </c>
      <c r="J1143">
        <f>IF($Q1143="","",INDEX(상세표[기록 수],$Q1143))</f>
        <v/>
      </c>
      <c r="K1143" s="20">
        <f>IF($Q1143="","",INDEX(상세표[블록 06~07시],$Q1143))</f>
        <v/>
      </c>
      <c r="L1143" s="20">
        <f>IF($Q1143="","",INDEX(상세표[블록 07~18시],$Q1143))</f>
        <v/>
      </c>
      <c r="M1143" s="20">
        <f>IF($Q1143="","",INDEX(상세표[블록 18~22시],$Q1143))</f>
        <v/>
      </c>
      <c r="N1143" s="20">
        <f>IF($Q1143="","",INDEX(상세표[블록 22~06시],$Q1143))</f>
        <v/>
      </c>
      <c r="O1143">
        <f>IF($Q1143="","",INDEX(상세표[주말·휴일 포함],$Q1143)&amp;"")</f>
        <v/>
      </c>
      <c r="P1143">
        <f>IF($Q1143="","",INDEX(상세표[월 넘김 포함],$Q1143)&amp;"")</f>
        <v/>
      </c>
      <c r="Q1143" s="4">
        <f>IFERROR(MATCH(1138,상세표[연속순번],0),"")</f>
        <v/>
      </c>
    </row>
    <row r="1144">
      <c r="A1144">
        <f>IF($Q1144="","",INDEX(상세표[부서],$Q1144)&amp;"")</f>
        <v/>
      </c>
      <c r="B1144">
        <f>IF($Q1144="","",INDEX(상세표[사번],$Q1144)&amp;"")</f>
        <v/>
      </c>
      <c r="C1144">
        <f>IF($Q1144="","",INDEX(상세표[성명],$Q1144)&amp;"")</f>
        <v/>
      </c>
      <c r="D1144">
        <f>IF($Q1144="","",INDEX(상세표[직위],$Q1144)&amp;"")</f>
        <v/>
      </c>
      <c r="E1144">
        <f>IF($Q1144="","",IF(ISNUMBER(INDEX(상세표[근무일자],$Q1144)),TEXT(INDEX(상세표[근무일자],$Q1144),"yyyy-mm-dd"),INDEX(상세표[근무일자],$Q1144)&amp;""))</f>
        <v/>
      </c>
      <c r="F1144">
        <f>IF($Q1144="","",IF(ISNUMBER(INDEX(상세표[시작],$Q1144)),TEXT(INDEX(상세표[시작],$Q1144),"yyyy-mm-dd hh:mm"),INDEX(상세표[시작],$Q1144)&amp;""))</f>
        <v/>
      </c>
      <c r="G1144">
        <f>IF($Q1144="","",IF(ISNUMBER(INDEX(상세표[블록종료],$Q1144)),TEXT(INDEX(상세표[블록종료],$Q1144),"yyyy-mm-dd hh:mm"),INDEX(상세표[블록종료],$Q1144)&amp;""))</f>
        <v/>
      </c>
      <c r="H1144">
        <f>IF($Q1144="","",CHOOSE(WEEKDAY(INDEX(상세표[시작],$Q1144)),"일","월","화","수","목","금","토"))</f>
        <v/>
      </c>
      <c r="I1144" s="20">
        <f>IF($Q1144="","",INDEX(상세표[연속 시간],$Q1144))</f>
        <v/>
      </c>
      <c r="J1144">
        <f>IF($Q1144="","",INDEX(상세표[기록 수],$Q1144))</f>
        <v/>
      </c>
      <c r="K1144" s="20">
        <f>IF($Q1144="","",INDEX(상세표[블록 06~07시],$Q1144))</f>
        <v/>
      </c>
      <c r="L1144" s="20">
        <f>IF($Q1144="","",INDEX(상세표[블록 07~18시],$Q1144))</f>
        <v/>
      </c>
      <c r="M1144" s="20">
        <f>IF($Q1144="","",INDEX(상세표[블록 18~22시],$Q1144))</f>
        <v/>
      </c>
      <c r="N1144" s="20">
        <f>IF($Q1144="","",INDEX(상세표[블록 22~06시],$Q1144))</f>
        <v/>
      </c>
      <c r="O1144">
        <f>IF($Q1144="","",INDEX(상세표[주말·휴일 포함],$Q1144)&amp;"")</f>
        <v/>
      </c>
      <c r="P1144">
        <f>IF($Q1144="","",INDEX(상세표[월 넘김 포함],$Q1144)&amp;"")</f>
        <v/>
      </c>
      <c r="Q1144" s="4">
        <f>IFERROR(MATCH(1139,상세표[연속순번],0),"")</f>
        <v/>
      </c>
    </row>
    <row r="1145">
      <c r="A1145">
        <f>IF($Q1145="","",INDEX(상세표[부서],$Q1145)&amp;"")</f>
        <v/>
      </c>
      <c r="B1145">
        <f>IF($Q1145="","",INDEX(상세표[사번],$Q1145)&amp;"")</f>
        <v/>
      </c>
      <c r="C1145">
        <f>IF($Q1145="","",INDEX(상세표[성명],$Q1145)&amp;"")</f>
        <v/>
      </c>
      <c r="D1145">
        <f>IF($Q1145="","",INDEX(상세표[직위],$Q1145)&amp;"")</f>
        <v/>
      </c>
      <c r="E1145">
        <f>IF($Q1145="","",IF(ISNUMBER(INDEX(상세표[근무일자],$Q1145)),TEXT(INDEX(상세표[근무일자],$Q1145),"yyyy-mm-dd"),INDEX(상세표[근무일자],$Q1145)&amp;""))</f>
        <v/>
      </c>
      <c r="F1145">
        <f>IF($Q1145="","",IF(ISNUMBER(INDEX(상세표[시작],$Q1145)),TEXT(INDEX(상세표[시작],$Q1145),"yyyy-mm-dd hh:mm"),INDEX(상세표[시작],$Q1145)&amp;""))</f>
        <v/>
      </c>
      <c r="G1145">
        <f>IF($Q1145="","",IF(ISNUMBER(INDEX(상세표[블록종료],$Q1145)),TEXT(INDEX(상세표[블록종료],$Q1145),"yyyy-mm-dd hh:mm"),INDEX(상세표[블록종료],$Q1145)&amp;""))</f>
        <v/>
      </c>
      <c r="H1145">
        <f>IF($Q1145="","",CHOOSE(WEEKDAY(INDEX(상세표[시작],$Q1145)),"일","월","화","수","목","금","토"))</f>
        <v/>
      </c>
      <c r="I1145" s="20">
        <f>IF($Q1145="","",INDEX(상세표[연속 시간],$Q1145))</f>
        <v/>
      </c>
      <c r="J1145">
        <f>IF($Q1145="","",INDEX(상세표[기록 수],$Q1145))</f>
        <v/>
      </c>
      <c r="K1145" s="20">
        <f>IF($Q1145="","",INDEX(상세표[블록 06~07시],$Q1145))</f>
        <v/>
      </c>
      <c r="L1145" s="20">
        <f>IF($Q1145="","",INDEX(상세표[블록 07~18시],$Q1145))</f>
        <v/>
      </c>
      <c r="M1145" s="20">
        <f>IF($Q1145="","",INDEX(상세표[블록 18~22시],$Q1145))</f>
        <v/>
      </c>
      <c r="N1145" s="20">
        <f>IF($Q1145="","",INDEX(상세표[블록 22~06시],$Q1145))</f>
        <v/>
      </c>
      <c r="O1145">
        <f>IF($Q1145="","",INDEX(상세표[주말·휴일 포함],$Q1145)&amp;"")</f>
        <v/>
      </c>
      <c r="P1145">
        <f>IF($Q1145="","",INDEX(상세표[월 넘김 포함],$Q1145)&amp;"")</f>
        <v/>
      </c>
      <c r="Q1145" s="4">
        <f>IFERROR(MATCH(1140,상세표[연속순번],0),"")</f>
        <v/>
      </c>
    </row>
    <row r="1146">
      <c r="A1146">
        <f>IF($Q1146="","",INDEX(상세표[부서],$Q1146)&amp;"")</f>
        <v/>
      </c>
      <c r="B1146">
        <f>IF($Q1146="","",INDEX(상세표[사번],$Q1146)&amp;"")</f>
        <v/>
      </c>
      <c r="C1146">
        <f>IF($Q1146="","",INDEX(상세표[성명],$Q1146)&amp;"")</f>
        <v/>
      </c>
      <c r="D1146">
        <f>IF($Q1146="","",INDEX(상세표[직위],$Q1146)&amp;"")</f>
        <v/>
      </c>
      <c r="E1146">
        <f>IF($Q1146="","",IF(ISNUMBER(INDEX(상세표[근무일자],$Q1146)),TEXT(INDEX(상세표[근무일자],$Q1146),"yyyy-mm-dd"),INDEX(상세표[근무일자],$Q1146)&amp;""))</f>
        <v/>
      </c>
      <c r="F1146">
        <f>IF($Q1146="","",IF(ISNUMBER(INDEX(상세표[시작],$Q1146)),TEXT(INDEX(상세표[시작],$Q1146),"yyyy-mm-dd hh:mm"),INDEX(상세표[시작],$Q1146)&amp;""))</f>
        <v/>
      </c>
      <c r="G1146">
        <f>IF($Q1146="","",IF(ISNUMBER(INDEX(상세표[블록종료],$Q1146)),TEXT(INDEX(상세표[블록종료],$Q1146),"yyyy-mm-dd hh:mm"),INDEX(상세표[블록종료],$Q1146)&amp;""))</f>
        <v/>
      </c>
      <c r="H1146">
        <f>IF($Q1146="","",CHOOSE(WEEKDAY(INDEX(상세표[시작],$Q1146)),"일","월","화","수","목","금","토"))</f>
        <v/>
      </c>
      <c r="I1146" s="20">
        <f>IF($Q1146="","",INDEX(상세표[연속 시간],$Q1146))</f>
        <v/>
      </c>
      <c r="J1146">
        <f>IF($Q1146="","",INDEX(상세표[기록 수],$Q1146))</f>
        <v/>
      </c>
      <c r="K1146" s="20">
        <f>IF($Q1146="","",INDEX(상세표[블록 06~07시],$Q1146))</f>
        <v/>
      </c>
      <c r="L1146" s="20">
        <f>IF($Q1146="","",INDEX(상세표[블록 07~18시],$Q1146))</f>
        <v/>
      </c>
      <c r="M1146" s="20">
        <f>IF($Q1146="","",INDEX(상세표[블록 18~22시],$Q1146))</f>
        <v/>
      </c>
      <c r="N1146" s="20">
        <f>IF($Q1146="","",INDEX(상세표[블록 22~06시],$Q1146))</f>
        <v/>
      </c>
      <c r="O1146">
        <f>IF($Q1146="","",INDEX(상세표[주말·휴일 포함],$Q1146)&amp;"")</f>
        <v/>
      </c>
      <c r="P1146">
        <f>IF($Q1146="","",INDEX(상세표[월 넘김 포함],$Q1146)&amp;"")</f>
        <v/>
      </c>
      <c r="Q1146" s="4">
        <f>IFERROR(MATCH(1141,상세표[연속순번],0),"")</f>
        <v/>
      </c>
    </row>
    <row r="1147">
      <c r="A1147">
        <f>IF($Q1147="","",INDEX(상세표[부서],$Q1147)&amp;"")</f>
        <v/>
      </c>
      <c r="B1147">
        <f>IF($Q1147="","",INDEX(상세표[사번],$Q1147)&amp;"")</f>
        <v/>
      </c>
      <c r="C1147">
        <f>IF($Q1147="","",INDEX(상세표[성명],$Q1147)&amp;"")</f>
        <v/>
      </c>
      <c r="D1147">
        <f>IF($Q1147="","",INDEX(상세표[직위],$Q1147)&amp;"")</f>
        <v/>
      </c>
      <c r="E1147">
        <f>IF($Q1147="","",IF(ISNUMBER(INDEX(상세표[근무일자],$Q1147)),TEXT(INDEX(상세표[근무일자],$Q1147),"yyyy-mm-dd"),INDEX(상세표[근무일자],$Q1147)&amp;""))</f>
        <v/>
      </c>
      <c r="F1147">
        <f>IF($Q1147="","",IF(ISNUMBER(INDEX(상세표[시작],$Q1147)),TEXT(INDEX(상세표[시작],$Q1147),"yyyy-mm-dd hh:mm"),INDEX(상세표[시작],$Q1147)&amp;""))</f>
        <v/>
      </c>
      <c r="G1147">
        <f>IF($Q1147="","",IF(ISNUMBER(INDEX(상세표[블록종료],$Q1147)),TEXT(INDEX(상세표[블록종료],$Q1147),"yyyy-mm-dd hh:mm"),INDEX(상세표[블록종료],$Q1147)&amp;""))</f>
        <v/>
      </c>
      <c r="H1147">
        <f>IF($Q1147="","",CHOOSE(WEEKDAY(INDEX(상세표[시작],$Q1147)),"일","월","화","수","목","금","토"))</f>
        <v/>
      </c>
      <c r="I1147" s="20">
        <f>IF($Q1147="","",INDEX(상세표[연속 시간],$Q1147))</f>
        <v/>
      </c>
      <c r="J1147">
        <f>IF($Q1147="","",INDEX(상세표[기록 수],$Q1147))</f>
        <v/>
      </c>
      <c r="K1147" s="20">
        <f>IF($Q1147="","",INDEX(상세표[블록 06~07시],$Q1147))</f>
        <v/>
      </c>
      <c r="L1147" s="20">
        <f>IF($Q1147="","",INDEX(상세표[블록 07~18시],$Q1147))</f>
        <v/>
      </c>
      <c r="M1147" s="20">
        <f>IF($Q1147="","",INDEX(상세표[블록 18~22시],$Q1147))</f>
        <v/>
      </c>
      <c r="N1147" s="20">
        <f>IF($Q1147="","",INDEX(상세표[블록 22~06시],$Q1147))</f>
        <v/>
      </c>
      <c r="O1147">
        <f>IF($Q1147="","",INDEX(상세표[주말·휴일 포함],$Q1147)&amp;"")</f>
        <v/>
      </c>
      <c r="P1147">
        <f>IF($Q1147="","",INDEX(상세표[월 넘김 포함],$Q1147)&amp;"")</f>
        <v/>
      </c>
      <c r="Q1147" s="4">
        <f>IFERROR(MATCH(1142,상세표[연속순번],0),"")</f>
        <v/>
      </c>
    </row>
    <row r="1148">
      <c r="A1148">
        <f>IF($Q1148="","",INDEX(상세표[부서],$Q1148)&amp;"")</f>
        <v/>
      </c>
      <c r="B1148">
        <f>IF($Q1148="","",INDEX(상세표[사번],$Q1148)&amp;"")</f>
        <v/>
      </c>
      <c r="C1148">
        <f>IF($Q1148="","",INDEX(상세표[성명],$Q1148)&amp;"")</f>
        <v/>
      </c>
      <c r="D1148">
        <f>IF($Q1148="","",INDEX(상세표[직위],$Q1148)&amp;"")</f>
        <v/>
      </c>
      <c r="E1148">
        <f>IF($Q1148="","",IF(ISNUMBER(INDEX(상세표[근무일자],$Q1148)),TEXT(INDEX(상세표[근무일자],$Q1148),"yyyy-mm-dd"),INDEX(상세표[근무일자],$Q1148)&amp;""))</f>
        <v/>
      </c>
      <c r="F1148">
        <f>IF($Q1148="","",IF(ISNUMBER(INDEX(상세표[시작],$Q1148)),TEXT(INDEX(상세표[시작],$Q1148),"yyyy-mm-dd hh:mm"),INDEX(상세표[시작],$Q1148)&amp;""))</f>
        <v/>
      </c>
      <c r="G1148">
        <f>IF($Q1148="","",IF(ISNUMBER(INDEX(상세표[블록종료],$Q1148)),TEXT(INDEX(상세표[블록종료],$Q1148),"yyyy-mm-dd hh:mm"),INDEX(상세표[블록종료],$Q1148)&amp;""))</f>
        <v/>
      </c>
      <c r="H1148">
        <f>IF($Q1148="","",CHOOSE(WEEKDAY(INDEX(상세표[시작],$Q1148)),"일","월","화","수","목","금","토"))</f>
        <v/>
      </c>
      <c r="I1148" s="20">
        <f>IF($Q1148="","",INDEX(상세표[연속 시간],$Q1148))</f>
        <v/>
      </c>
      <c r="J1148">
        <f>IF($Q1148="","",INDEX(상세표[기록 수],$Q1148))</f>
        <v/>
      </c>
      <c r="K1148" s="20">
        <f>IF($Q1148="","",INDEX(상세표[블록 06~07시],$Q1148))</f>
        <v/>
      </c>
      <c r="L1148" s="20">
        <f>IF($Q1148="","",INDEX(상세표[블록 07~18시],$Q1148))</f>
        <v/>
      </c>
      <c r="M1148" s="20">
        <f>IF($Q1148="","",INDEX(상세표[블록 18~22시],$Q1148))</f>
        <v/>
      </c>
      <c r="N1148" s="20">
        <f>IF($Q1148="","",INDEX(상세표[블록 22~06시],$Q1148))</f>
        <v/>
      </c>
      <c r="O1148">
        <f>IF($Q1148="","",INDEX(상세표[주말·휴일 포함],$Q1148)&amp;"")</f>
        <v/>
      </c>
      <c r="P1148">
        <f>IF($Q1148="","",INDEX(상세표[월 넘김 포함],$Q1148)&amp;"")</f>
        <v/>
      </c>
      <c r="Q1148" s="4">
        <f>IFERROR(MATCH(1143,상세표[연속순번],0),"")</f>
        <v/>
      </c>
    </row>
    <row r="1149">
      <c r="A1149">
        <f>IF($Q1149="","",INDEX(상세표[부서],$Q1149)&amp;"")</f>
        <v/>
      </c>
      <c r="B1149">
        <f>IF($Q1149="","",INDEX(상세표[사번],$Q1149)&amp;"")</f>
        <v/>
      </c>
      <c r="C1149">
        <f>IF($Q1149="","",INDEX(상세표[성명],$Q1149)&amp;"")</f>
        <v/>
      </c>
      <c r="D1149">
        <f>IF($Q1149="","",INDEX(상세표[직위],$Q1149)&amp;"")</f>
        <v/>
      </c>
      <c r="E1149">
        <f>IF($Q1149="","",IF(ISNUMBER(INDEX(상세표[근무일자],$Q1149)),TEXT(INDEX(상세표[근무일자],$Q1149),"yyyy-mm-dd"),INDEX(상세표[근무일자],$Q1149)&amp;""))</f>
        <v/>
      </c>
      <c r="F1149">
        <f>IF($Q1149="","",IF(ISNUMBER(INDEX(상세표[시작],$Q1149)),TEXT(INDEX(상세표[시작],$Q1149),"yyyy-mm-dd hh:mm"),INDEX(상세표[시작],$Q1149)&amp;""))</f>
        <v/>
      </c>
      <c r="G1149">
        <f>IF($Q1149="","",IF(ISNUMBER(INDEX(상세표[블록종료],$Q1149)),TEXT(INDEX(상세표[블록종료],$Q1149),"yyyy-mm-dd hh:mm"),INDEX(상세표[블록종료],$Q1149)&amp;""))</f>
        <v/>
      </c>
      <c r="H1149">
        <f>IF($Q1149="","",CHOOSE(WEEKDAY(INDEX(상세표[시작],$Q1149)),"일","월","화","수","목","금","토"))</f>
        <v/>
      </c>
      <c r="I1149" s="20">
        <f>IF($Q1149="","",INDEX(상세표[연속 시간],$Q1149))</f>
        <v/>
      </c>
      <c r="J1149">
        <f>IF($Q1149="","",INDEX(상세표[기록 수],$Q1149))</f>
        <v/>
      </c>
      <c r="K1149" s="20">
        <f>IF($Q1149="","",INDEX(상세표[블록 06~07시],$Q1149))</f>
        <v/>
      </c>
      <c r="L1149" s="20">
        <f>IF($Q1149="","",INDEX(상세표[블록 07~18시],$Q1149))</f>
        <v/>
      </c>
      <c r="M1149" s="20">
        <f>IF($Q1149="","",INDEX(상세표[블록 18~22시],$Q1149))</f>
        <v/>
      </c>
      <c r="N1149" s="20">
        <f>IF($Q1149="","",INDEX(상세표[블록 22~06시],$Q1149))</f>
        <v/>
      </c>
      <c r="O1149">
        <f>IF($Q1149="","",INDEX(상세표[주말·휴일 포함],$Q1149)&amp;"")</f>
        <v/>
      </c>
      <c r="P1149">
        <f>IF($Q1149="","",INDEX(상세표[월 넘김 포함],$Q1149)&amp;"")</f>
        <v/>
      </c>
      <c r="Q1149" s="4">
        <f>IFERROR(MATCH(1144,상세표[연속순번],0),"")</f>
        <v/>
      </c>
    </row>
    <row r="1150">
      <c r="A1150">
        <f>IF($Q1150="","",INDEX(상세표[부서],$Q1150)&amp;"")</f>
        <v/>
      </c>
      <c r="B1150">
        <f>IF($Q1150="","",INDEX(상세표[사번],$Q1150)&amp;"")</f>
        <v/>
      </c>
      <c r="C1150">
        <f>IF($Q1150="","",INDEX(상세표[성명],$Q1150)&amp;"")</f>
        <v/>
      </c>
      <c r="D1150">
        <f>IF($Q1150="","",INDEX(상세표[직위],$Q1150)&amp;"")</f>
        <v/>
      </c>
      <c r="E1150">
        <f>IF($Q1150="","",IF(ISNUMBER(INDEX(상세표[근무일자],$Q1150)),TEXT(INDEX(상세표[근무일자],$Q1150),"yyyy-mm-dd"),INDEX(상세표[근무일자],$Q1150)&amp;""))</f>
        <v/>
      </c>
      <c r="F1150">
        <f>IF($Q1150="","",IF(ISNUMBER(INDEX(상세표[시작],$Q1150)),TEXT(INDEX(상세표[시작],$Q1150),"yyyy-mm-dd hh:mm"),INDEX(상세표[시작],$Q1150)&amp;""))</f>
        <v/>
      </c>
      <c r="G1150">
        <f>IF($Q1150="","",IF(ISNUMBER(INDEX(상세표[블록종료],$Q1150)),TEXT(INDEX(상세표[블록종료],$Q1150),"yyyy-mm-dd hh:mm"),INDEX(상세표[블록종료],$Q1150)&amp;""))</f>
        <v/>
      </c>
      <c r="H1150">
        <f>IF($Q1150="","",CHOOSE(WEEKDAY(INDEX(상세표[시작],$Q1150)),"일","월","화","수","목","금","토"))</f>
        <v/>
      </c>
      <c r="I1150" s="20">
        <f>IF($Q1150="","",INDEX(상세표[연속 시간],$Q1150))</f>
        <v/>
      </c>
      <c r="J1150">
        <f>IF($Q1150="","",INDEX(상세표[기록 수],$Q1150))</f>
        <v/>
      </c>
      <c r="K1150" s="20">
        <f>IF($Q1150="","",INDEX(상세표[블록 06~07시],$Q1150))</f>
        <v/>
      </c>
      <c r="L1150" s="20">
        <f>IF($Q1150="","",INDEX(상세표[블록 07~18시],$Q1150))</f>
        <v/>
      </c>
      <c r="M1150" s="20">
        <f>IF($Q1150="","",INDEX(상세표[블록 18~22시],$Q1150))</f>
        <v/>
      </c>
      <c r="N1150" s="20">
        <f>IF($Q1150="","",INDEX(상세표[블록 22~06시],$Q1150))</f>
        <v/>
      </c>
      <c r="O1150">
        <f>IF($Q1150="","",INDEX(상세표[주말·휴일 포함],$Q1150)&amp;"")</f>
        <v/>
      </c>
      <c r="P1150">
        <f>IF($Q1150="","",INDEX(상세표[월 넘김 포함],$Q1150)&amp;"")</f>
        <v/>
      </c>
      <c r="Q1150" s="4">
        <f>IFERROR(MATCH(1145,상세표[연속순번],0),"")</f>
        <v/>
      </c>
    </row>
    <row r="1151">
      <c r="A1151">
        <f>IF($Q1151="","",INDEX(상세표[부서],$Q1151)&amp;"")</f>
        <v/>
      </c>
      <c r="B1151">
        <f>IF($Q1151="","",INDEX(상세표[사번],$Q1151)&amp;"")</f>
        <v/>
      </c>
      <c r="C1151">
        <f>IF($Q1151="","",INDEX(상세표[성명],$Q1151)&amp;"")</f>
        <v/>
      </c>
      <c r="D1151">
        <f>IF($Q1151="","",INDEX(상세표[직위],$Q1151)&amp;"")</f>
        <v/>
      </c>
      <c r="E1151">
        <f>IF($Q1151="","",IF(ISNUMBER(INDEX(상세표[근무일자],$Q1151)),TEXT(INDEX(상세표[근무일자],$Q1151),"yyyy-mm-dd"),INDEX(상세표[근무일자],$Q1151)&amp;""))</f>
        <v/>
      </c>
      <c r="F1151">
        <f>IF($Q1151="","",IF(ISNUMBER(INDEX(상세표[시작],$Q1151)),TEXT(INDEX(상세표[시작],$Q1151),"yyyy-mm-dd hh:mm"),INDEX(상세표[시작],$Q1151)&amp;""))</f>
        <v/>
      </c>
      <c r="G1151">
        <f>IF($Q1151="","",IF(ISNUMBER(INDEX(상세표[블록종료],$Q1151)),TEXT(INDEX(상세표[블록종료],$Q1151),"yyyy-mm-dd hh:mm"),INDEX(상세표[블록종료],$Q1151)&amp;""))</f>
        <v/>
      </c>
      <c r="H1151">
        <f>IF($Q1151="","",CHOOSE(WEEKDAY(INDEX(상세표[시작],$Q1151)),"일","월","화","수","목","금","토"))</f>
        <v/>
      </c>
      <c r="I1151" s="20">
        <f>IF($Q1151="","",INDEX(상세표[연속 시간],$Q1151))</f>
        <v/>
      </c>
      <c r="J1151">
        <f>IF($Q1151="","",INDEX(상세표[기록 수],$Q1151))</f>
        <v/>
      </c>
      <c r="K1151" s="20">
        <f>IF($Q1151="","",INDEX(상세표[블록 06~07시],$Q1151))</f>
        <v/>
      </c>
      <c r="L1151" s="20">
        <f>IF($Q1151="","",INDEX(상세표[블록 07~18시],$Q1151))</f>
        <v/>
      </c>
      <c r="M1151" s="20">
        <f>IF($Q1151="","",INDEX(상세표[블록 18~22시],$Q1151))</f>
        <v/>
      </c>
      <c r="N1151" s="20">
        <f>IF($Q1151="","",INDEX(상세표[블록 22~06시],$Q1151))</f>
        <v/>
      </c>
      <c r="O1151">
        <f>IF($Q1151="","",INDEX(상세표[주말·휴일 포함],$Q1151)&amp;"")</f>
        <v/>
      </c>
      <c r="P1151">
        <f>IF($Q1151="","",INDEX(상세표[월 넘김 포함],$Q1151)&amp;"")</f>
        <v/>
      </c>
      <c r="Q1151" s="4">
        <f>IFERROR(MATCH(1146,상세표[연속순번],0),"")</f>
        <v/>
      </c>
    </row>
    <row r="1152">
      <c r="A1152">
        <f>IF($Q1152="","",INDEX(상세표[부서],$Q1152)&amp;"")</f>
        <v/>
      </c>
      <c r="B1152">
        <f>IF($Q1152="","",INDEX(상세표[사번],$Q1152)&amp;"")</f>
        <v/>
      </c>
      <c r="C1152">
        <f>IF($Q1152="","",INDEX(상세표[성명],$Q1152)&amp;"")</f>
        <v/>
      </c>
      <c r="D1152">
        <f>IF($Q1152="","",INDEX(상세표[직위],$Q1152)&amp;"")</f>
        <v/>
      </c>
      <c r="E1152">
        <f>IF($Q1152="","",IF(ISNUMBER(INDEX(상세표[근무일자],$Q1152)),TEXT(INDEX(상세표[근무일자],$Q1152),"yyyy-mm-dd"),INDEX(상세표[근무일자],$Q1152)&amp;""))</f>
        <v/>
      </c>
      <c r="F1152">
        <f>IF($Q1152="","",IF(ISNUMBER(INDEX(상세표[시작],$Q1152)),TEXT(INDEX(상세표[시작],$Q1152),"yyyy-mm-dd hh:mm"),INDEX(상세표[시작],$Q1152)&amp;""))</f>
        <v/>
      </c>
      <c r="G1152">
        <f>IF($Q1152="","",IF(ISNUMBER(INDEX(상세표[블록종료],$Q1152)),TEXT(INDEX(상세표[블록종료],$Q1152),"yyyy-mm-dd hh:mm"),INDEX(상세표[블록종료],$Q1152)&amp;""))</f>
        <v/>
      </c>
      <c r="H1152">
        <f>IF($Q1152="","",CHOOSE(WEEKDAY(INDEX(상세표[시작],$Q1152)),"일","월","화","수","목","금","토"))</f>
        <v/>
      </c>
      <c r="I1152" s="20">
        <f>IF($Q1152="","",INDEX(상세표[연속 시간],$Q1152))</f>
        <v/>
      </c>
      <c r="J1152">
        <f>IF($Q1152="","",INDEX(상세표[기록 수],$Q1152))</f>
        <v/>
      </c>
      <c r="K1152" s="20">
        <f>IF($Q1152="","",INDEX(상세표[블록 06~07시],$Q1152))</f>
        <v/>
      </c>
      <c r="L1152" s="20">
        <f>IF($Q1152="","",INDEX(상세표[블록 07~18시],$Q1152))</f>
        <v/>
      </c>
      <c r="M1152" s="20">
        <f>IF($Q1152="","",INDEX(상세표[블록 18~22시],$Q1152))</f>
        <v/>
      </c>
      <c r="N1152" s="20">
        <f>IF($Q1152="","",INDEX(상세표[블록 22~06시],$Q1152))</f>
        <v/>
      </c>
      <c r="O1152">
        <f>IF($Q1152="","",INDEX(상세표[주말·휴일 포함],$Q1152)&amp;"")</f>
        <v/>
      </c>
      <c r="P1152">
        <f>IF($Q1152="","",INDEX(상세표[월 넘김 포함],$Q1152)&amp;"")</f>
        <v/>
      </c>
      <c r="Q1152" s="4">
        <f>IFERROR(MATCH(1147,상세표[연속순번],0),"")</f>
        <v/>
      </c>
    </row>
    <row r="1153">
      <c r="A1153">
        <f>IF($Q1153="","",INDEX(상세표[부서],$Q1153)&amp;"")</f>
        <v/>
      </c>
      <c r="B1153">
        <f>IF($Q1153="","",INDEX(상세표[사번],$Q1153)&amp;"")</f>
        <v/>
      </c>
      <c r="C1153">
        <f>IF($Q1153="","",INDEX(상세표[성명],$Q1153)&amp;"")</f>
        <v/>
      </c>
      <c r="D1153">
        <f>IF($Q1153="","",INDEX(상세표[직위],$Q1153)&amp;"")</f>
        <v/>
      </c>
      <c r="E1153">
        <f>IF($Q1153="","",IF(ISNUMBER(INDEX(상세표[근무일자],$Q1153)),TEXT(INDEX(상세표[근무일자],$Q1153),"yyyy-mm-dd"),INDEX(상세표[근무일자],$Q1153)&amp;""))</f>
        <v/>
      </c>
      <c r="F1153">
        <f>IF($Q1153="","",IF(ISNUMBER(INDEX(상세표[시작],$Q1153)),TEXT(INDEX(상세표[시작],$Q1153),"yyyy-mm-dd hh:mm"),INDEX(상세표[시작],$Q1153)&amp;""))</f>
        <v/>
      </c>
      <c r="G1153">
        <f>IF($Q1153="","",IF(ISNUMBER(INDEX(상세표[블록종료],$Q1153)),TEXT(INDEX(상세표[블록종료],$Q1153),"yyyy-mm-dd hh:mm"),INDEX(상세표[블록종료],$Q1153)&amp;""))</f>
        <v/>
      </c>
      <c r="H1153">
        <f>IF($Q1153="","",CHOOSE(WEEKDAY(INDEX(상세표[시작],$Q1153)),"일","월","화","수","목","금","토"))</f>
        <v/>
      </c>
      <c r="I1153" s="20">
        <f>IF($Q1153="","",INDEX(상세표[연속 시간],$Q1153))</f>
        <v/>
      </c>
      <c r="J1153">
        <f>IF($Q1153="","",INDEX(상세표[기록 수],$Q1153))</f>
        <v/>
      </c>
      <c r="K1153" s="20">
        <f>IF($Q1153="","",INDEX(상세표[블록 06~07시],$Q1153))</f>
        <v/>
      </c>
      <c r="L1153" s="20">
        <f>IF($Q1153="","",INDEX(상세표[블록 07~18시],$Q1153))</f>
        <v/>
      </c>
      <c r="M1153" s="20">
        <f>IF($Q1153="","",INDEX(상세표[블록 18~22시],$Q1153))</f>
        <v/>
      </c>
      <c r="N1153" s="20">
        <f>IF($Q1153="","",INDEX(상세표[블록 22~06시],$Q1153))</f>
        <v/>
      </c>
      <c r="O1153">
        <f>IF($Q1153="","",INDEX(상세표[주말·휴일 포함],$Q1153)&amp;"")</f>
        <v/>
      </c>
      <c r="P1153">
        <f>IF($Q1153="","",INDEX(상세표[월 넘김 포함],$Q1153)&amp;"")</f>
        <v/>
      </c>
      <c r="Q1153" s="4">
        <f>IFERROR(MATCH(1148,상세표[연속순번],0),"")</f>
        <v/>
      </c>
    </row>
    <row r="1154">
      <c r="A1154">
        <f>IF($Q1154="","",INDEX(상세표[부서],$Q1154)&amp;"")</f>
        <v/>
      </c>
      <c r="B1154">
        <f>IF($Q1154="","",INDEX(상세표[사번],$Q1154)&amp;"")</f>
        <v/>
      </c>
      <c r="C1154">
        <f>IF($Q1154="","",INDEX(상세표[성명],$Q1154)&amp;"")</f>
        <v/>
      </c>
      <c r="D1154">
        <f>IF($Q1154="","",INDEX(상세표[직위],$Q1154)&amp;"")</f>
        <v/>
      </c>
      <c r="E1154">
        <f>IF($Q1154="","",IF(ISNUMBER(INDEX(상세표[근무일자],$Q1154)),TEXT(INDEX(상세표[근무일자],$Q1154),"yyyy-mm-dd"),INDEX(상세표[근무일자],$Q1154)&amp;""))</f>
        <v/>
      </c>
      <c r="F1154">
        <f>IF($Q1154="","",IF(ISNUMBER(INDEX(상세표[시작],$Q1154)),TEXT(INDEX(상세표[시작],$Q1154),"yyyy-mm-dd hh:mm"),INDEX(상세표[시작],$Q1154)&amp;""))</f>
        <v/>
      </c>
      <c r="G1154">
        <f>IF($Q1154="","",IF(ISNUMBER(INDEX(상세표[블록종료],$Q1154)),TEXT(INDEX(상세표[블록종료],$Q1154),"yyyy-mm-dd hh:mm"),INDEX(상세표[블록종료],$Q1154)&amp;""))</f>
        <v/>
      </c>
      <c r="H1154">
        <f>IF($Q1154="","",CHOOSE(WEEKDAY(INDEX(상세표[시작],$Q1154)),"일","월","화","수","목","금","토"))</f>
        <v/>
      </c>
      <c r="I1154" s="20">
        <f>IF($Q1154="","",INDEX(상세표[연속 시간],$Q1154))</f>
        <v/>
      </c>
      <c r="J1154">
        <f>IF($Q1154="","",INDEX(상세표[기록 수],$Q1154))</f>
        <v/>
      </c>
      <c r="K1154" s="20">
        <f>IF($Q1154="","",INDEX(상세표[블록 06~07시],$Q1154))</f>
        <v/>
      </c>
      <c r="L1154" s="20">
        <f>IF($Q1154="","",INDEX(상세표[블록 07~18시],$Q1154))</f>
        <v/>
      </c>
      <c r="M1154" s="20">
        <f>IF($Q1154="","",INDEX(상세표[블록 18~22시],$Q1154))</f>
        <v/>
      </c>
      <c r="N1154" s="20">
        <f>IF($Q1154="","",INDEX(상세표[블록 22~06시],$Q1154))</f>
        <v/>
      </c>
      <c r="O1154">
        <f>IF($Q1154="","",INDEX(상세표[주말·휴일 포함],$Q1154)&amp;"")</f>
        <v/>
      </c>
      <c r="P1154">
        <f>IF($Q1154="","",INDEX(상세표[월 넘김 포함],$Q1154)&amp;"")</f>
        <v/>
      </c>
      <c r="Q1154" s="4">
        <f>IFERROR(MATCH(1149,상세표[연속순번],0),"")</f>
        <v/>
      </c>
    </row>
    <row r="1155">
      <c r="A1155">
        <f>IF($Q1155="","",INDEX(상세표[부서],$Q1155)&amp;"")</f>
        <v/>
      </c>
      <c r="B1155">
        <f>IF($Q1155="","",INDEX(상세표[사번],$Q1155)&amp;"")</f>
        <v/>
      </c>
      <c r="C1155">
        <f>IF($Q1155="","",INDEX(상세표[성명],$Q1155)&amp;"")</f>
        <v/>
      </c>
      <c r="D1155">
        <f>IF($Q1155="","",INDEX(상세표[직위],$Q1155)&amp;"")</f>
        <v/>
      </c>
      <c r="E1155">
        <f>IF($Q1155="","",IF(ISNUMBER(INDEX(상세표[근무일자],$Q1155)),TEXT(INDEX(상세표[근무일자],$Q1155),"yyyy-mm-dd"),INDEX(상세표[근무일자],$Q1155)&amp;""))</f>
        <v/>
      </c>
      <c r="F1155">
        <f>IF($Q1155="","",IF(ISNUMBER(INDEX(상세표[시작],$Q1155)),TEXT(INDEX(상세표[시작],$Q1155),"yyyy-mm-dd hh:mm"),INDEX(상세표[시작],$Q1155)&amp;""))</f>
        <v/>
      </c>
      <c r="G1155">
        <f>IF($Q1155="","",IF(ISNUMBER(INDEX(상세표[블록종료],$Q1155)),TEXT(INDEX(상세표[블록종료],$Q1155),"yyyy-mm-dd hh:mm"),INDEX(상세표[블록종료],$Q1155)&amp;""))</f>
        <v/>
      </c>
      <c r="H1155">
        <f>IF($Q1155="","",CHOOSE(WEEKDAY(INDEX(상세표[시작],$Q1155)),"일","월","화","수","목","금","토"))</f>
        <v/>
      </c>
      <c r="I1155" s="20">
        <f>IF($Q1155="","",INDEX(상세표[연속 시간],$Q1155))</f>
        <v/>
      </c>
      <c r="J1155">
        <f>IF($Q1155="","",INDEX(상세표[기록 수],$Q1155))</f>
        <v/>
      </c>
      <c r="K1155" s="20">
        <f>IF($Q1155="","",INDEX(상세표[블록 06~07시],$Q1155))</f>
        <v/>
      </c>
      <c r="L1155" s="20">
        <f>IF($Q1155="","",INDEX(상세표[블록 07~18시],$Q1155))</f>
        <v/>
      </c>
      <c r="M1155" s="20">
        <f>IF($Q1155="","",INDEX(상세표[블록 18~22시],$Q1155))</f>
        <v/>
      </c>
      <c r="N1155" s="20">
        <f>IF($Q1155="","",INDEX(상세표[블록 22~06시],$Q1155))</f>
        <v/>
      </c>
      <c r="O1155">
        <f>IF($Q1155="","",INDEX(상세표[주말·휴일 포함],$Q1155)&amp;"")</f>
        <v/>
      </c>
      <c r="P1155">
        <f>IF($Q1155="","",INDEX(상세표[월 넘김 포함],$Q1155)&amp;"")</f>
        <v/>
      </c>
      <c r="Q1155" s="4">
        <f>IFERROR(MATCH(1150,상세표[연속순번],0),"")</f>
        <v/>
      </c>
    </row>
    <row r="1156">
      <c r="A1156">
        <f>IF($Q1156="","",INDEX(상세표[부서],$Q1156)&amp;"")</f>
        <v/>
      </c>
      <c r="B1156">
        <f>IF($Q1156="","",INDEX(상세표[사번],$Q1156)&amp;"")</f>
        <v/>
      </c>
      <c r="C1156">
        <f>IF($Q1156="","",INDEX(상세표[성명],$Q1156)&amp;"")</f>
        <v/>
      </c>
      <c r="D1156">
        <f>IF($Q1156="","",INDEX(상세표[직위],$Q1156)&amp;"")</f>
        <v/>
      </c>
      <c r="E1156">
        <f>IF($Q1156="","",IF(ISNUMBER(INDEX(상세표[근무일자],$Q1156)),TEXT(INDEX(상세표[근무일자],$Q1156),"yyyy-mm-dd"),INDEX(상세표[근무일자],$Q1156)&amp;""))</f>
        <v/>
      </c>
      <c r="F1156">
        <f>IF($Q1156="","",IF(ISNUMBER(INDEX(상세표[시작],$Q1156)),TEXT(INDEX(상세표[시작],$Q1156),"yyyy-mm-dd hh:mm"),INDEX(상세표[시작],$Q1156)&amp;""))</f>
        <v/>
      </c>
      <c r="G1156">
        <f>IF($Q1156="","",IF(ISNUMBER(INDEX(상세표[블록종료],$Q1156)),TEXT(INDEX(상세표[블록종료],$Q1156),"yyyy-mm-dd hh:mm"),INDEX(상세표[블록종료],$Q1156)&amp;""))</f>
        <v/>
      </c>
      <c r="H1156">
        <f>IF($Q1156="","",CHOOSE(WEEKDAY(INDEX(상세표[시작],$Q1156)),"일","월","화","수","목","금","토"))</f>
        <v/>
      </c>
      <c r="I1156" s="20">
        <f>IF($Q1156="","",INDEX(상세표[연속 시간],$Q1156))</f>
        <v/>
      </c>
      <c r="J1156">
        <f>IF($Q1156="","",INDEX(상세표[기록 수],$Q1156))</f>
        <v/>
      </c>
      <c r="K1156" s="20">
        <f>IF($Q1156="","",INDEX(상세표[블록 06~07시],$Q1156))</f>
        <v/>
      </c>
      <c r="L1156" s="20">
        <f>IF($Q1156="","",INDEX(상세표[블록 07~18시],$Q1156))</f>
        <v/>
      </c>
      <c r="M1156" s="20">
        <f>IF($Q1156="","",INDEX(상세표[블록 18~22시],$Q1156))</f>
        <v/>
      </c>
      <c r="N1156" s="20">
        <f>IF($Q1156="","",INDEX(상세표[블록 22~06시],$Q1156))</f>
        <v/>
      </c>
      <c r="O1156">
        <f>IF($Q1156="","",INDEX(상세표[주말·휴일 포함],$Q1156)&amp;"")</f>
        <v/>
      </c>
      <c r="P1156">
        <f>IF($Q1156="","",INDEX(상세표[월 넘김 포함],$Q1156)&amp;"")</f>
        <v/>
      </c>
      <c r="Q1156" s="4">
        <f>IFERROR(MATCH(1151,상세표[연속순번],0),"")</f>
        <v/>
      </c>
    </row>
    <row r="1157">
      <c r="A1157">
        <f>IF($Q1157="","",INDEX(상세표[부서],$Q1157)&amp;"")</f>
        <v/>
      </c>
      <c r="B1157">
        <f>IF($Q1157="","",INDEX(상세표[사번],$Q1157)&amp;"")</f>
        <v/>
      </c>
      <c r="C1157">
        <f>IF($Q1157="","",INDEX(상세표[성명],$Q1157)&amp;"")</f>
        <v/>
      </c>
      <c r="D1157">
        <f>IF($Q1157="","",INDEX(상세표[직위],$Q1157)&amp;"")</f>
        <v/>
      </c>
      <c r="E1157">
        <f>IF($Q1157="","",IF(ISNUMBER(INDEX(상세표[근무일자],$Q1157)),TEXT(INDEX(상세표[근무일자],$Q1157),"yyyy-mm-dd"),INDEX(상세표[근무일자],$Q1157)&amp;""))</f>
        <v/>
      </c>
      <c r="F1157">
        <f>IF($Q1157="","",IF(ISNUMBER(INDEX(상세표[시작],$Q1157)),TEXT(INDEX(상세표[시작],$Q1157),"yyyy-mm-dd hh:mm"),INDEX(상세표[시작],$Q1157)&amp;""))</f>
        <v/>
      </c>
      <c r="G1157">
        <f>IF($Q1157="","",IF(ISNUMBER(INDEX(상세표[블록종료],$Q1157)),TEXT(INDEX(상세표[블록종료],$Q1157),"yyyy-mm-dd hh:mm"),INDEX(상세표[블록종료],$Q1157)&amp;""))</f>
        <v/>
      </c>
      <c r="H1157">
        <f>IF($Q1157="","",CHOOSE(WEEKDAY(INDEX(상세표[시작],$Q1157)),"일","월","화","수","목","금","토"))</f>
        <v/>
      </c>
      <c r="I1157" s="20">
        <f>IF($Q1157="","",INDEX(상세표[연속 시간],$Q1157))</f>
        <v/>
      </c>
      <c r="J1157">
        <f>IF($Q1157="","",INDEX(상세표[기록 수],$Q1157))</f>
        <v/>
      </c>
      <c r="K1157" s="20">
        <f>IF($Q1157="","",INDEX(상세표[블록 06~07시],$Q1157))</f>
        <v/>
      </c>
      <c r="L1157" s="20">
        <f>IF($Q1157="","",INDEX(상세표[블록 07~18시],$Q1157))</f>
        <v/>
      </c>
      <c r="M1157" s="20">
        <f>IF($Q1157="","",INDEX(상세표[블록 18~22시],$Q1157))</f>
        <v/>
      </c>
      <c r="N1157" s="20">
        <f>IF($Q1157="","",INDEX(상세표[블록 22~06시],$Q1157))</f>
        <v/>
      </c>
      <c r="O1157">
        <f>IF($Q1157="","",INDEX(상세표[주말·휴일 포함],$Q1157)&amp;"")</f>
        <v/>
      </c>
      <c r="P1157">
        <f>IF($Q1157="","",INDEX(상세표[월 넘김 포함],$Q1157)&amp;"")</f>
        <v/>
      </c>
      <c r="Q1157" s="4">
        <f>IFERROR(MATCH(1152,상세표[연속순번],0),"")</f>
        <v/>
      </c>
    </row>
    <row r="1158">
      <c r="A1158">
        <f>IF($Q1158="","",INDEX(상세표[부서],$Q1158)&amp;"")</f>
        <v/>
      </c>
      <c r="B1158">
        <f>IF($Q1158="","",INDEX(상세표[사번],$Q1158)&amp;"")</f>
        <v/>
      </c>
      <c r="C1158">
        <f>IF($Q1158="","",INDEX(상세표[성명],$Q1158)&amp;"")</f>
        <v/>
      </c>
      <c r="D1158">
        <f>IF($Q1158="","",INDEX(상세표[직위],$Q1158)&amp;"")</f>
        <v/>
      </c>
      <c r="E1158">
        <f>IF($Q1158="","",IF(ISNUMBER(INDEX(상세표[근무일자],$Q1158)),TEXT(INDEX(상세표[근무일자],$Q1158),"yyyy-mm-dd"),INDEX(상세표[근무일자],$Q1158)&amp;""))</f>
        <v/>
      </c>
      <c r="F1158">
        <f>IF($Q1158="","",IF(ISNUMBER(INDEX(상세표[시작],$Q1158)),TEXT(INDEX(상세표[시작],$Q1158),"yyyy-mm-dd hh:mm"),INDEX(상세표[시작],$Q1158)&amp;""))</f>
        <v/>
      </c>
      <c r="G1158">
        <f>IF($Q1158="","",IF(ISNUMBER(INDEX(상세표[블록종료],$Q1158)),TEXT(INDEX(상세표[블록종료],$Q1158),"yyyy-mm-dd hh:mm"),INDEX(상세표[블록종료],$Q1158)&amp;""))</f>
        <v/>
      </c>
      <c r="H1158">
        <f>IF($Q1158="","",CHOOSE(WEEKDAY(INDEX(상세표[시작],$Q1158)),"일","월","화","수","목","금","토"))</f>
        <v/>
      </c>
      <c r="I1158" s="20">
        <f>IF($Q1158="","",INDEX(상세표[연속 시간],$Q1158))</f>
        <v/>
      </c>
      <c r="J1158">
        <f>IF($Q1158="","",INDEX(상세표[기록 수],$Q1158))</f>
        <v/>
      </c>
      <c r="K1158" s="20">
        <f>IF($Q1158="","",INDEX(상세표[블록 06~07시],$Q1158))</f>
        <v/>
      </c>
      <c r="L1158" s="20">
        <f>IF($Q1158="","",INDEX(상세표[블록 07~18시],$Q1158))</f>
        <v/>
      </c>
      <c r="M1158" s="20">
        <f>IF($Q1158="","",INDEX(상세표[블록 18~22시],$Q1158))</f>
        <v/>
      </c>
      <c r="N1158" s="20">
        <f>IF($Q1158="","",INDEX(상세표[블록 22~06시],$Q1158))</f>
        <v/>
      </c>
      <c r="O1158">
        <f>IF($Q1158="","",INDEX(상세표[주말·휴일 포함],$Q1158)&amp;"")</f>
        <v/>
      </c>
      <c r="P1158">
        <f>IF($Q1158="","",INDEX(상세표[월 넘김 포함],$Q1158)&amp;"")</f>
        <v/>
      </c>
      <c r="Q1158" s="4">
        <f>IFERROR(MATCH(1153,상세표[연속순번],0),"")</f>
        <v/>
      </c>
    </row>
    <row r="1159">
      <c r="A1159">
        <f>IF($Q1159="","",INDEX(상세표[부서],$Q1159)&amp;"")</f>
        <v/>
      </c>
      <c r="B1159">
        <f>IF($Q1159="","",INDEX(상세표[사번],$Q1159)&amp;"")</f>
        <v/>
      </c>
      <c r="C1159">
        <f>IF($Q1159="","",INDEX(상세표[성명],$Q1159)&amp;"")</f>
        <v/>
      </c>
      <c r="D1159">
        <f>IF($Q1159="","",INDEX(상세표[직위],$Q1159)&amp;"")</f>
        <v/>
      </c>
      <c r="E1159">
        <f>IF($Q1159="","",IF(ISNUMBER(INDEX(상세표[근무일자],$Q1159)),TEXT(INDEX(상세표[근무일자],$Q1159),"yyyy-mm-dd"),INDEX(상세표[근무일자],$Q1159)&amp;""))</f>
        <v/>
      </c>
      <c r="F1159">
        <f>IF($Q1159="","",IF(ISNUMBER(INDEX(상세표[시작],$Q1159)),TEXT(INDEX(상세표[시작],$Q1159),"yyyy-mm-dd hh:mm"),INDEX(상세표[시작],$Q1159)&amp;""))</f>
        <v/>
      </c>
      <c r="G1159">
        <f>IF($Q1159="","",IF(ISNUMBER(INDEX(상세표[블록종료],$Q1159)),TEXT(INDEX(상세표[블록종료],$Q1159),"yyyy-mm-dd hh:mm"),INDEX(상세표[블록종료],$Q1159)&amp;""))</f>
        <v/>
      </c>
      <c r="H1159">
        <f>IF($Q1159="","",CHOOSE(WEEKDAY(INDEX(상세표[시작],$Q1159)),"일","월","화","수","목","금","토"))</f>
        <v/>
      </c>
      <c r="I1159" s="20">
        <f>IF($Q1159="","",INDEX(상세표[연속 시간],$Q1159))</f>
        <v/>
      </c>
      <c r="J1159">
        <f>IF($Q1159="","",INDEX(상세표[기록 수],$Q1159))</f>
        <v/>
      </c>
      <c r="K1159" s="20">
        <f>IF($Q1159="","",INDEX(상세표[블록 06~07시],$Q1159))</f>
        <v/>
      </c>
      <c r="L1159" s="20">
        <f>IF($Q1159="","",INDEX(상세표[블록 07~18시],$Q1159))</f>
        <v/>
      </c>
      <c r="M1159" s="20">
        <f>IF($Q1159="","",INDEX(상세표[블록 18~22시],$Q1159))</f>
        <v/>
      </c>
      <c r="N1159" s="20">
        <f>IF($Q1159="","",INDEX(상세표[블록 22~06시],$Q1159))</f>
        <v/>
      </c>
      <c r="O1159">
        <f>IF($Q1159="","",INDEX(상세표[주말·휴일 포함],$Q1159)&amp;"")</f>
        <v/>
      </c>
      <c r="P1159">
        <f>IF($Q1159="","",INDEX(상세표[월 넘김 포함],$Q1159)&amp;"")</f>
        <v/>
      </c>
      <c r="Q1159" s="4">
        <f>IFERROR(MATCH(1154,상세표[연속순번],0),"")</f>
        <v/>
      </c>
    </row>
    <row r="1160">
      <c r="A1160">
        <f>IF($Q1160="","",INDEX(상세표[부서],$Q1160)&amp;"")</f>
        <v/>
      </c>
      <c r="B1160">
        <f>IF($Q1160="","",INDEX(상세표[사번],$Q1160)&amp;"")</f>
        <v/>
      </c>
      <c r="C1160">
        <f>IF($Q1160="","",INDEX(상세표[성명],$Q1160)&amp;"")</f>
        <v/>
      </c>
      <c r="D1160">
        <f>IF($Q1160="","",INDEX(상세표[직위],$Q1160)&amp;"")</f>
        <v/>
      </c>
      <c r="E1160">
        <f>IF($Q1160="","",IF(ISNUMBER(INDEX(상세표[근무일자],$Q1160)),TEXT(INDEX(상세표[근무일자],$Q1160),"yyyy-mm-dd"),INDEX(상세표[근무일자],$Q1160)&amp;""))</f>
        <v/>
      </c>
      <c r="F1160">
        <f>IF($Q1160="","",IF(ISNUMBER(INDEX(상세표[시작],$Q1160)),TEXT(INDEX(상세표[시작],$Q1160),"yyyy-mm-dd hh:mm"),INDEX(상세표[시작],$Q1160)&amp;""))</f>
        <v/>
      </c>
      <c r="G1160">
        <f>IF($Q1160="","",IF(ISNUMBER(INDEX(상세표[블록종료],$Q1160)),TEXT(INDEX(상세표[블록종료],$Q1160),"yyyy-mm-dd hh:mm"),INDEX(상세표[블록종료],$Q1160)&amp;""))</f>
        <v/>
      </c>
      <c r="H1160">
        <f>IF($Q1160="","",CHOOSE(WEEKDAY(INDEX(상세표[시작],$Q1160)),"일","월","화","수","목","금","토"))</f>
        <v/>
      </c>
      <c r="I1160" s="20">
        <f>IF($Q1160="","",INDEX(상세표[연속 시간],$Q1160))</f>
        <v/>
      </c>
      <c r="J1160">
        <f>IF($Q1160="","",INDEX(상세표[기록 수],$Q1160))</f>
        <v/>
      </c>
      <c r="K1160" s="20">
        <f>IF($Q1160="","",INDEX(상세표[블록 06~07시],$Q1160))</f>
        <v/>
      </c>
      <c r="L1160" s="20">
        <f>IF($Q1160="","",INDEX(상세표[블록 07~18시],$Q1160))</f>
        <v/>
      </c>
      <c r="M1160" s="20">
        <f>IF($Q1160="","",INDEX(상세표[블록 18~22시],$Q1160))</f>
        <v/>
      </c>
      <c r="N1160" s="20">
        <f>IF($Q1160="","",INDEX(상세표[블록 22~06시],$Q1160))</f>
        <v/>
      </c>
      <c r="O1160">
        <f>IF($Q1160="","",INDEX(상세표[주말·휴일 포함],$Q1160)&amp;"")</f>
        <v/>
      </c>
      <c r="P1160">
        <f>IF($Q1160="","",INDEX(상세표[월 넘김 포함],$Q1160)&amp;"")</f>
        <v/>
      </c>
      <c r="Q1160" s="4">
        <f>IFERROR(MATCH(1155,상세표[연속순번],0),"")</f>
        <v/>
      </c>
    </row>
    <row r="1161">
      <c r="A1161">
        <f>IF($Q1161="","",INDEX(상세표[부서],$Q1161)&amp;"")</f>
        <v/>
      </c>
      <c r="B1161">
        <f>IF($Q1161="","",INDEX(상세표[사번],$Q1161)&amp;"")</f>
        <v/>
      </c>
      <c r="C1161">
        <f>IF($Q1161="","",INDEX(상세표[성명],$Q1161)&amp;"")</f>
        <v/>
      </c>
      <c r="D1161">
        <f>IF($Q1161="","",INDEX(상세표[직위],$Q1161)&amp;"")</f>
        <v/>
      </c>
      <c r="E1161">
        <f>IF($Q1161="","",IF(ISNUMBER(INDEX(상세표[근무일자],$Q1161)),TEXT(INDEX(상세표[근무일자],$Q1161),"yyyy-mm-dd"),INDEX(상세표[근무일자],$Q1161)&amp;""))</f>
        <v/>
      </c>
      <c r="F1161">
        <f>IF($Q1161="","",IF(ISNUMBER(INDEX(상세표[시작],$Q1161)),TEXT(INDEX(상세표[시작],$Q1161),"yyyy-mm-dd hh:mm"),INDEX(상세표[시작],$Q1161)&amp;""))</f>
        <v/>
      </c>
      <c r="G1161">
        <f>IF($Q1161="","",IF(ISNUMBER(INDEX(상세표[블록종료],$Q1161)),TEXT(INDEX(상세표[블록종료],$Q1161),"yyyy-mm-dd hh:mm"),INDEX(상세표[블록종료],$Q1161)&amp;""))</f>
        <v/>
      </c>
      <c r="H1161">
        <f>IF($Q1161="","",CHOOSE(WEEKDAY(INDEX(상세표[시작],$Q1161)),"일","월","화","수","목","금","토"))</f>
        <v/>
      </c>
      <c r="I1161" s="20">
        <f>IF($Q1161="","",INDEX(상세표[연속 시간],$Q1161))</f>
        <v/>
      </c>
      <c r="J1161">
        <f>IF($Q1161="","",INDEX(상세표[기록 수],$Q1161))</f>
        <v/>
      </c>
      <c r="K1161" s="20">
        <f>IF($Q1161="","",INDEX(상세표[블록 06~07시],$Q1161))</f>
        <v/>
      </c>
      <c r="L1161" s="20">
        <f>IF($Q1161="","",INDEX(상세표[블록 07~18시],$Q1161))</f>
        <v/>
      </c>
      <c r="M1161" s="20">
        <f>IF($Q1161="","",INDEX(상세표[블록 18~22시],$Q1161))</f>
        <v/>
      </c>
      <c r="N1161" s="20">
        <f>IF($Q1161="","",INDEX(상세표[블록 22~06시],$Q1161))</f>
        <v/>
      </c>
      <c r="O1161">
        <f>IF($Q1161="","",INDEX(상세표[주말·휴일 포함],$Q1161)&amp;"")</f>
        <v/>
      </c>
      <c r="P1161">
        <f>IF($Q1161="","",INDEX(상세표[월 넘김 포함],$Q1161)&amp;"")</f>
        <v/>
      </c>
      <c r="Q1161" s="4">
        <f>IFERROR(MATCH(1156,상세표[연속순번],0),"")</f>
        <v/>
      </c>
    </row>
    <row r="1162">
      <c r="A1162">
        <f>IF($Q1162="","",INDEX(상세표[부서],$Q1162)&amp;"")</f>
        <v/>
      </c>
      <c r="B1162">
        <f>IF($Q1162="","",INDEX(상세표[사번],$Q1162)&amp;"")</f>
        <v/>
      </c>
      <c r="C1162">
        <f>IF($Q1162="","",INDEX(상세표[성명],$Q1162)&amp;"")</f>
        <v/>
      </c>
      <c r="D1162">
        <f>IF($Q1162="","",INDEX(상세표[직위],$Q1162)&amp;"")</f>
        <v/>
      </c>
      <c r="E1162">
        <f>IF($Q1162="","",IF(ISNUMBER(INDEX(상세표[근무일자],$Q1162)),TEXT(INDEX(상세표[근무일자],$Q1162),"yyyy-mm-dd"),INDEX(상세표[근무일자],$Q1162)&amp;""))</f>
        <v/>
      </c>
      <c r="F1162">
        <f>IF($Q1162="","",IF(ISNUMBER(INDEX(상세표[시작],$Q1162)),TEXT(INDEX(상세표[시작],$Q1162),"yyyy-mm-dd hh:mm"),INDEX(상세표[시작],$Q1162)&amp;""))</f>
        <v/>
      </c>
      <c r="G1162">
        <f>IF($Q1162="","",IF(ISNUMBER(INDEX(상세표[블록종료],$Q1162)),TEXT(INDEX(상세표[블록종료],$Q1162),"yyyy-mm-dd hh:mm"),INDEX(상세표[블록종료],$Q1162)&amp;""))</f>
        <v/>
      </c>
      <c r="H1162">
        <f>IF($Q1162="","",CHOOSE(WEEKDAY(INDEX(상세표[시작],$Q1162)),"일","월","화","수","목","금","토"))</f>
        <v/>
      </c>
      <c r="I1162" s="20">
        <f>IF($Q1162="","",INDEX(상세표[연속 시간],$Q1162))</f>
        <v/>
      </c>
      <c r="J1162">
        <f>IF($Q1162="","",INDEX(상세표[기록 수],$Q1162))</f>
        <v/>
      </c>
      <c r="K1162" s="20">
        <f>IF($Q1162="","",INDEX(상세표[블록 06~07시],$Q1162))</f>
        <v/>
      </c>
      <c r="L1162" s="20">
        <f>IF($Q1162="","",INDEX(상세표[블록 07~18시],$Q1162))</f>
        <v/>
      </c>
      <c r="M1162" s="20">
        <f>IF($Q1162="","",INDEX(상세표[블록 18~22시],$Q1162))</f>
        <v/>
      </c>
      <c r="N1162" s="20">
        <f>IF($Q1162="","",INDEX(상세표[블록 22~06시],$Q1162))</f>
        <v/>
      </c>
      <c r="O1162">
        <f>IF($Q1162="","",INDEX(상세표[주말·휴일 포함],$Q1162)&amp;"")</f>
        <v/>
      </c>
      <c r="P1162">
        <f>IF($Q1162="","",INDEX(상세표[월 넘김 포함],$Q1162)&amp;"")</f>
        <v/>
      </c>
      <c r="Q1162" s="4">
        <f>IFERROR(MATCH(1157,상세표[연속순번],0),"")</f>
        <v/>
      </c>
    </row>
    <row r="1163">
      <c r="A1163">
        <f>IF($Q1163="","",INDEX(상세표[부서],$Q1163)&amp;"")</f>
        <v/>
      </c>
      <c r="B1163">
        <f>IF($Q1163="","",INDEX(상세표[사번],$Q1163)&amp;"")</f>
        <v/>
      </c>
      <c r="C1163">
        <f>IF($Q1163="","",INDEX(상세표[성명],$Q1163)&amp;"")</f>
        <v/>
      </c>
      <c r="D1163">
        <f>IF($Q1163="","",INDEX(상세표[직위],$Q1163)&amp;"")</f>
        <v/>
      </c>
      <c r="E1163">
        <f>IF($Q1163="","",IF(ISNUMBER(INDEX(상세표[근무일자],$Q1163)),TEXT(INDEX(상세표[근무일자],$Q1163),"yyyy-mm-dd"),INDEX(상세표[근무일자],$Q1163)&amp;""))</f>
        <v/>
      </c>
      <c r="F1163">
        <f>IF($Q1163="","",IF(ISNUMBER(INDEX(상세표[시작],$Q1163)),TEXT(INDEX(상세표[시작],$Q1163),"yyyy-mm-dd hh:mm"),INDEX(상세표[시작],$Q1163)&amp;""))</f>
        <v/>
      </c>
      <c r="G1163">
        <f>IF($Q1163="","",IF(ISNUMBER(INDEX(상세표[블록종료],$Q1163)),TEXT(INDEX(상세표[블록종료],$Q1163),"yyyy-mm-dd hh:mm"),INDEX(상세표[블록종료],$Q1163)&amp;""))</f>
        <v/>
      </c>
      <c r="H1163">
        <f>IF($Q1163="","",CHOOSE(WEEKDAY(INDEX(상세표[시작],$Q1163)),"일","월","화","수","목","금","토"))</f>
        <v/>
      </c>
      <c r="I1163" s="20">
        <f>IF($Q1163="","",INDEX(상세표[연속 시간],$Q1163))</f>
        <v/>
      </c>
      <c r="J1163">
        <f>IF($Q1163="","",INDEX(상세표[기록 수],$Q1163))</f>
        <v/>
      </c>
      <c r="K1163" s="20">
        <f>IF($Q1163="","",INDEX(상세표[블록 06~07시],$Q1163))</f>
        <v/>
      </c>
      <c r="L1163" s="20">
        <f>IF($Q1163="","",INDEX(상세표[블록 07~18시],$Q1163))</f>
        <v/>
      </c>
      <c r="M1163" s="20">
        <f>IF($Q1163="","",INDEX(상세표[블록 18~22시],$Q1163))</f>
        <v/>
      </c>
      <c r="N1163" s="20">
        <f>IF($Q1163="","",INDEX(상세표[블록 22~06시],$Q1163))</f>
        <v/>
      </c>
      <c r="O1163">
        <f>IF($Q1163="","",INDEX(상세표[주말·휴일 포함],$Q1163)&amp;"")</f>
        <v/>
      </c>
      <c r="P1163">
        <f>IF($Q1163="","",INDEX(상세표[월 넘김 포함],$Q1163)&amp;"")</f>
        <v/>
      </c>
      <c r="Q1163" s="4">
        <f>IFERROR(MATCH(1158,상세표[연속순번],0),"")</f>
        <v/>
      </c>
    </row>
    <row r="1164">
      <c r="A1164">
        <f>IF($Q1164="","",INDEX(상세표[부서],$Q1164)&amp;"")</f>
        <v/>
      </c>
      <c r="B1164">
        <f>IF($Q1164="","",INDEX(상세표[사번],$Q1164)&amp;"")</f>
        <v/>
      </c>
      <c r="C1164">
        <f>IF($Q1164="","",INDEX(상세표[성명],$Q1164)&amp;"")</f>
        <v/>
      </c>
      <c r="D1164">
        <f>IF($Q1164="","",INDEX(상세표[직위],$Q1164)&amp;"")</f>
        <v/>
      </c>
      <c r="E1164">
        <f>IF($Q1164="","",IF(ISNUMBER(INDEX(상세표[근무일자],$Q1164)),TEXT(INDEX(상세표[근무일자],$Q1164),"yyyy-mm-dd"),INDEX(상세표[근무일자],$Q1164)&amp;""))</f>
        <v/>
      </c>
      <c r="F1164">
        <f>IF($Q1164="","",IF(ISNUMBER(INDEX(상세표[시작],$Q1164)),TEXT(INDEX(상세표[시작],$Q1164),"yyyy-mm-dd hh:mm"),INDEX(상세표[시작],$Q1164)&amp;""))</f>
        <v/>
      </c>
      <c r="G1164">
        <f>IF($Q1164="","",IF(ISNUMBER(INDEX(상세표[블록종료],$Q1164)),TEXT(INDEX(상세표[블록종료],$Q1164),"yyyy-mm-dd hh:mm"),INDEX(상세표[블록종료],$Q1164)&amp;""))</f>
        <v/>
      </c>
      <c r="H1164">
        <f>IF($Q1164="","",CHOOSE(WEEKDAY(INDEX(상세표[시작],$Q1164)),"일","월","화","수","목","금","토"))</f>
        <v/>
      </c>
      <c r="I1164" s="20">
        <f>IF($Q1164="","",INDEX(상세표[연속 시간],$Q1164))</f>
        <v/>
      </c>
      <c r="J1164">
        <f>IF($Q1164="","",INDEX(상세표[기록 수],$Q1164))</f>
        <v/>
      </c>
      <c r="K1164" s="20">
        <f>IF($Q1164="","",INDEX(상세표[블록 06~07시],$Q1164))</f>
        <v/>
      </c>
      <c r="L1164" s="20">
        <f>IF($Q1164="","",INDEX(상세표[블록 07~18시],$Q1164))</f>
        <v/>
      </c>
      <c r="M1164" s="20">
        <f>IF($Q1164="","",INDEX(상세표[블록 18~22시],$Q1164))</f>
        <v/>
      </c>
      <c r="N1164" s="20">
        <f>IF($Q1164="","",INDEX(상세표[블록 22~06시],$Q1164))</f>
        <v/>
      </c>
      <c r="O1164">
        <f>IF($Q1164="","",INDEX(상세표[주말·휴일 포함],$Q1164)&amp;"")</f>
        <v/>
      </c>
      <c r="P1164">
        <f>IF($Q1164="","",INDEX(상세표[월 넘김 포함],$Q1164)&amp;"")</f>
        <v/>
      </c>
      <c r="Q1164" s="4">
        <f>IFERROR(MATCH(1159,상세표[연속순번],0),"")</f>
        <v/>
      </c>
    </row>
    <row r="1165">
      <c r="A1165">
        <f>IF($Q1165="","",INDEX(상세표[부서],$Q1165)&amp;"")</f>
        <v/>
      </c>
      <c r="B1165">
        <f>IF($Q1165="","",INDEX(상세표[사번],$Q1165)&amp;"")</f>
        <v/>
      </c>
      <c r="C1165">
        <f>IF($Q1165="","",INDEX(상세표[성명],$Q1165)&amp;"")</f>
        <v/>
      </c>
      <c r="D1165">
        <f>IF($Q1165="","",INDEX(상세표[직위],$Q1165)&amp;"")</f>
        <v/>
      </c>
      <c r="E1165">
        <f>IF($Q1165="","",IF(ISNUMBER(INDEX(상세표[근무일자],$Q1165)),TEXT(INDEX(상세표[근무일자],$Q1165),"yyyy-mm-dd"),INDEX(상세표[근무일자],$Q1165)&amp;""))</f>
        <v/>
      </c>
      <c r="F1165">
        <f>IF($Q1165="","",IF(ISNUMBER(INDEX(상세표[시작],$Q1165)),TEXT(INDEX(상세표[시작],$Q1165),"yyyy-mm-dd hh:mm"),INDEX(상세표[시작],$Q1165)&amp;""))</f>
        <v/>
      </c>
      <c r="G1165">
        <f>IF($Q1165="","",IF(ISNUMBER(INDEX(상세표[블록종료],$Q1165)),TEXT(INDEX(상세표[블록종료],$Q1165),"yyyy-mm-dd hh:mm"),INDEX(상세표[블록종료],$Q1165)&amp;""))</f>
        <v/>
      </c>
      <c r="H1165">
        <f>IF($Q1165="","",CHOOSE(WEEKDAY(INDEX(상세표[시작],$Q1165)),"일","월","화","수","목","금","토"))</f>
        <v/>
      </c>
      <c r="I1165" s="20">
        <f>IF($Q1165="","",INDEX(상세표[연속 시간],$Q1165))</f>
        <v/>
      </c>
      <c r="J1165">
        <f>IF($Q1165="","",INDEX(상세표[기록 수],$Q1165))</f>
        <v/>
      </c>
      <c r="K1165" s="20">
        <f>IF($Q1165="","",INDEX(상세표[블록 06~07시],$Q1165))</f>
        <v/>
      </c>
      <c r="L1165" s="20">
        <f>IF($Q1165="","",INDEX(상세표[블록 07~18시],$Q1165))</f>
        <v/>
      </c>
      <c r="M1165" s="20">
        <f>IF($Q1165="","",INDEX(상세표[블록 18~22시],$Q1165))</f>
        <v/>
      </c>
      <c r="N1165" s="20">
        <f>IF($Q1165="","",INDEX(상세표[블록 22~06시],$Q1165))</f>
        <v/>
      </c>
      <c r="O1165">
        <f>IF($Q1165="","",INDEX(상세표[주말·휴일 포함],$Q1165)&amp;"")</f>
        <v/>
      </c>
      <c r="P1165">
        <f>IF($Q1165="","",INDEX(상세표[월 넘김 포함],$Q1165)&amp;"")</f>
        <v/>
      </c>
      <c r="Q1165" s="4">
        <f>IFERROR(MATCH(1160,상세표[연속순번],0),"")</f>
        <v/>
      </c>
    </row>
    <row r="1166">
      <c r="A1166">
        <f>IF($Q1166="","",INDEX(상세표[부서],$Q1166)&amp;"")</f>
        <v/>
      </c>
      <c r="B1166">
        <f>IF($Q1166="","",INDEX(상세표[사번],$Q1166)&amp;"")</f>
        <v/>
      </c>
      <c r="C1166">
        <f>IF($Q1166="","",INDEX(상세표[성명],$Q1166)&amp;"")</f>
        <v/>
      </c>
      <c r="D1166">
        <f>IF($Q1166="","",INDEX(상세표[직위],$Q1166)&amp;"")</f>
        <v/>
      </c>
      <c r="E1166">
        <f>IF($Q1166="","",IF(ISNUMBER(INDEX(상세표[근무일자],$Q1166)),TEXT(INDEX(상세표[근무일자],$Q1166),"yyyy-mm-dd"),INDEX(상세표[근무일자],$Q1166)&amp;""))</f>
        <v/>
      </c>
      <c r="F1166">
        <f>IF($Q1166="","",IF(ISNUMBER(INDEX(상세표[시작],$Q1166)),TEXT(INDEX(상세표[시작],$Q1166),"yyyy-mm-dd hh:mm"),INDEX(상세표[시작],$Q1166)&amp;""))</f>
        <v/>
      </c>
      <c r="G1166">
        <f>IF($Q1166="","",IF(ISNUMBER(INDEX(상세표[블록종료],$Q1166)),TEXT(INDEX(상세표[블록종료],$Q1166),"yyyy-mm-dd hh:mm"),INDEX(상세표[블록종료],$Q1166)&amp;""))</f>
        <v/>
      </c>
      <c r="H1166">
        <f>IF($Q1166="","",CHOOSE(WEEKDAY(INDEX(상세표[시작],$Q1166)),"일","월","화","수","목","금","토"))</f>
        <v/>
      </c>
      <c r="I1166" s="20">
        <f>IF($Q1166="","",INDEX(상세표[연속 시간],$Q1166))</f>
        <v/>
      </c>
      <c r="J1166">
        <f>IF($Q1166="","",INDEX(상세표[기록 수],$Q1166))</f>
        <v/>
      </c>
      <c r="K1166" s="20">
        <f>IF($Q1166="","",INDEX(상세표[블록 06~07시],$Q1166))</f>
        <v/>
      </c>
      <c r="L1166" s="20">
        <f>IF($Q1166="","",INDEX(상세표[블록 07~18시],$Q1166))</f>
        <v/>
      </c>
      <c r="M1166" s="20">
        <f>IF($Q1166="","",INDEX(상세표[블록 18~22시],$Q1166))</f>
        <v/>
      </c>
      <c r="N1166" s="20">
        <f>IF($Q1166="","",INDEX(상세표[블록 22~06시],$Q1166))</f>
        <v/>
      </c>
      <c r="O1166">
        <f>IF($Q1166="","",INDEX(상세표[주말·휴일 포함],$Q1166)&amp;"")</f>
        <v/>
      </c>
      <c r="P1166">
        <f>IF($Q1166="","",INDEX(상세표[월 넘김 포함],$Q1166)&amp;"")</f>
        <v/>
      </c>
      <c r="Q1166" s="4">
        <f>IFERROR(MATCH(1161,상세표[연속순번],0),"")</f>
        <v/>
      </c>
    </row>
    <row r="1167">
      <c r="A1167">
        <f>IF($Q1167="","",INDEX(상세표[부서],$Q1167)&amp;"")</f>
        <v/>
      </c>
      <c r="B1167">
        <f>IF($Q1167="","",INDEX(상세표[사번],$Q1167)&amp;"")</f>
        <v/>
      </c>
      <c r="C1167">
        <f>IF($Q1167="","",INDEX(상세표[성명],$Q1167)&amp;"")</f>
        <v/>
      </c>
      <c r="D1167">
        <f>IF($Q1167="","",INDEX(상세표[직위],$Q1167)&amp;"")</f>
        <v/>
      </c>
      <c r="E1167">
        <f>IF($Q1167="","",IF(ISNUMBER(INDEX(상세표[근무일자],$Q1167)),TEXT(INDEX(상세표[근무일자],$Q1167),"yyyy-mm-dd"),INDEX(상세표[근무일자],$Q1167)&amp;""))</f>
        <v/>
      </c>
      <c r="F1167">
        <f>IF($Q1167="","",IF(ISNUMBER(INDEX(상세표[시작],$Q1167)),TEXT(INDEX(상세표[시작],$Q1167),"yyyy-mm-dd hh:mm"),INDEX(상세표[시작],$Q1167)&amp;""))</f>
        <v/>
      </c>
      <c r="G1167">
        <f>IF($Q1167="","",IF(ISNUMBER(INDEX(상세표[블록종료],$Q1167)),TEXT(INDEX(상세표[블록종료],$Q1167),"yyyy-mm-dd hh:mm"),INDEX(상세표[블록종료],$Q1167)&amp;""))</f>
        <v/>
      </c>
      <c r="H1167">
        <f>IF($Q1167="","",CHOOSE(WEEKDAY(INDEX(상세표[시작],$Q1167)),"일","월","화","수","목","금","토"))</f>
        <v/>
      </c>
      <c r="I1167" s="20">
        <f>IF($Q1167="","",INDEX(상세표[연속 시간],$Q1167))</f>
        <v/>
      </c>
      <c r="J1167">
        <f>IF($Q1167="","",INDEX(상세표[기록 수],$Q1167))</f>
        <v/>
      </c>
      <c r="K1167" s="20">
        <f>IF($Q1167="","",INDEX(상세표[블록 06~07시],$Q1167))</f>
        <v/>
      </c>
      <c r="L1167" s="20">
        <f>IF($Q1167="","",INDEX(상세표[블록 07~18시],$Q1167))</f>
        <v/>
      </c>
      <c r="M1167" s="20">
        <f>IF($Q1167="","",INDEX(상세표[블록 18~22시],$Q1167))</f>
        <v/>
      </c>
      <c r="N1167" s="20">
        <f>IF($Q1167="","",INDEX(상세표[블록 22~06시],$Q1167))</f>
        <v/>
      </c>
      <c r="O1167">
        <f>IF($Q1167="","",INDEX(상세표[주말·휴일 포함],$Q1167)&amp;"")</f>
        <v/>
      </c>
      <c r="P1167">
        <f>IF($Q1167="","",INDEX(상세표[월 넘김 포함],$Q1167)&amp;"")</f>
        <v/>
      </c>
      <c r="Q1167" s="4">
        <f>IFERROR(MATCH(1162,상세표[연속순번],0),"")</f>
        <v/>
      </c>
    </row>
    <row r="1168">
      <c r="A1168">
        <f>IF($Q1168="","",INDEX(상세표[부서],$Q1168)&amp;"")</f>
        <v/>
      </c>
      <c r="B1168">
        <f>IF($Q1168="","",INDEX(상세표[사번],$Q1168)&amp;"")</f>
        <v/>
      </c>
      <c r="C1168">
        <f>IF($Q1168="","",INDEX(상세표[성명],$Q1168)&amp;"")</f>
        <v/>
      </c>
      <c r="D1168">
        <f>IF($Q1168="","",INDEX(상세표[직위],$Q1168)&amp;"")</f>
        <v/>
      </c>
      <c r="E1168">
        <f>IF($Q1168="","",IF(ISNUMBER(INDEX(상세표[근무일자],$Q1168)),TEXT(INDEX(상세표[근무일자],$Q1168),"yyyy-mm-dd"),INDEX(상세표[근무일자],$Q1168)&amp;""))</f>
        <v/>
      </c>
      <c r="F1168">
        <f>IF($Q1168="","",IF(ISNUMBER(INDEX(상세표[시작],$Q1168)),TEXT(INDEX(상세표[시작],$Q1168),"yyyy-mm-dd hh:mm"),INDEX(상세표[시작],$Q1168)&amp;""))</f>
        <v/>
      </c>
      <c r="G1168">
        <f>IF($Q1168="","",IF(ISNUMBER(INDEX(상세표[블록종료],$Q1168)),TEXT(INDEX(상세표[블록종료],$Q1168),"yyyy-mm-dd hh:mm"),INDEX(상세표[블록종료],$Q1168)&amp;""))</f>
        <v/>
      </c>
      <c r="H1168">
        <f>IF($Q1168="","",CHOOSE(WEEKDAY(INDEX(상세표[시작],$Q1168)),"일","월","화","수","목","금","토"))</f>
        <v/>
      </c>
      <c r="I1168" s="20">
        <f>IF($Q1168="","",INDEX(상세표[연속 시간],$Q1168))</f>
        <v/>
      </c>
      <c r="J1168">
        <f>IF($Q1168="","",INDEX(상세표[기록 수],$Q1168))</f>
        <v/>
      </c>
      <c r="K1168" s="20">
        <f>IF($Q1168="","",INDEX(상세표[블록 06~07시],$Q1168))</f>
        <v/>
      </c>
      <c r="L1168" s="20">
        <f>IF($Q1168="","",INDEX(상세표[블록 07~18시],$Q1168))</f>
        <v/>
      </c>
      <c r="M1168" s="20">
        <f>IF($Q1168="","",INDEX(상세표[블록 18~22시],$Q1168))</f>
        <v/>
      </c>
      <c r="N1168" s="20">
        <f>IF($Q1168="","",INDEX(상세표[블록 22~06시],$Q1168))</f>
        <v/>
      </c>
      <c r="O1168">
        <f>IF($Q1168="","",INDEX(상세표[주말·휴일 포함],$Q1168)&amp;"")</f>
        <v/>
      </c>
      <c r="P1168">
        <f>IF($Q1168="","",INDEX(상세표[월 넘김 포함],$Q1168)&amp;"")</f>
        <v/>
      </c>
      <c r="Q1168" s="4">
        <f>IFERROR(MATCH(1163,상세표[연속순번],0),"")</f>
        <v/>
      </c>
    </row>
    <row r="1169">
      <c r="A1169">
        <f>IF($Q1169="","",INDEX(상세표[부서],$Q1169)&amp;"")</f>
        <v/>
      </c>
      <c r="B1169">
        <f>IF($Q1169="","",INDEX(상세표[사번],$Q1169)&amp;"")</f>
        <v/>
      </c>
      <c r="C1169">
        <f>IF($Q1169="","",INDEX(상세표[성명],$Q1169)&amp;"")</f>
        <v/>
      </c>
      <c r="D1169">
        <f>IF($Q1169="","",INDEX(상세표[직위],$Q1169)&amp;"")</f>
        <v/>
      </c>
      <c r="E1169">
        <f>IF($Q1169="","",IF(ISNUMBER(INDEX(상세표[근무일자],$Q1169)),TEXT(INDEX(상세표[근무일자],$Q1169),"yyyy-mm-dd"),INDEX(상세표[근무일자],$Q1169)&amp;""))</f>
        <v/>
      </c>
      <c r="F1169">
        <f>IF($Q1169="","",IF(ISNUMBER(INDEX(상세표[시작],$Q1169)),TEXT(INDEX(상세표[시작],$Q1169),"yyyy-mm-dd hh:mm"),INDEX(상세표[시작],$Q1169)&amp;""))</f>
        <v/>
      </c>
      <c r="G1169">
        <f>IF($Q1169="","",IF(ISNUMBER(INDEX(상세표[블록종료],$Q1169)),TEXT(INDEX(상세표[블록종료],$Q1169),"yyyy-mm-dd hh:mm"),INDEX(상세표[블록종료],$Q1169)&amp;""))</f>
        <v/>
      </c>
      <c r="H1169">
        <f>IF($Q1169="","",CHOOSE(WEEKDAY(INDEX(상세표[시작],$Q1169)),"일","월","화","수","목","금","토"))</f>
        <v/>
      </c>
      <c r="I1169" s="20">
        <f>IF($Q1169="","",INDEX(상세표[연속 시간],$Q1169))</f>
        <v/>
      </c>
      <c r="J1169">
        <f>IF($Q1169="","",INDEX(상세표[기록 수],$Q1169))</f>
        <v/>
      </c>
      <c r="K1169" s="20">
        <f>IF($Q1169="","",INDEX(상세표[블록 06~07시],$Q1169))</f>
        <v/>
      </c>
      <c r="L1169" s="20">
        <f>IF($Q1169="","",INDEX(상세표[블록 07~18시],$Q1169))</f>
        <v/>
      </c>
      <c r="M1169" s="20">
        <f>IF($Q1169="","",INDEX(상세표[블록 18~22시],$Q1169))</f>
        <v/>
      </c>
      <c r="N1169" s="20">
        <f>IF($Q1169="","",INDEX(상세표[블록 22~06시],$Q1169))</f>
        <v/>
      </c>
      <c r="O1169">
        <f>IF($Q1169="","",INDEX(상세표[주말·휴일 포함],$Q1169)&amp;"")</f>
        <v/>
      </c>
      <c r="P1169">
        <f>IF($Q1169="","",INDEX(상세표[월 넘김 포함],$Q1169)&amp;"")</f>
        <v/>
      </c>
      <c r="Q1169" s="4">
        <f>IFERROR(MATCH(1164,상세표[연속순번],0),"")</f>
        <v/>
      </c>
    </row>
    <row r="1170">
      <c r="A1170">
        <f>IF($Q1170="","",INDEX(상세표[부서],$Q1170)&amp;"")</f>
        <v/>
      </c>
      <c r="B1170">
        <f>IF($Q1170="","",INDEX(상세표[사번],$Q1170)&amp;"")</f>
        <v/>
      </c>
      <c r="C1170">
        <f>IF($Q1170="","",INDEX(상세표[성명],$Q1170)&amp;"")</f>
        <v/>
      </c>
      <c r="D1170">
        <f>IF($Q1170="","",INDEX(상세표[직위],$Q1170)&amp;"")</f>
        <v/>
      </c>
      <c r="E1170">
        <f>IF($Q1170="","",IF(ISNUMBER(INDEX(상세표[근무일자],$Q1170)),TEXT(INDEX(상세표[근무일자],$Q1170),"yyyy-mm-dd"),INDEX(상세표[근무일자],$Q1170)&amp;""))</f>
        <v/>
      </c>
      <c r="F1170">
        <f>IF($Q1170="","",IF(ISNUMBER(INDEX(상세표[시작],$Q1170)),TEXT(INDEX(상세표[시작],$Q1170),"yyyy-mm-dd hh:mm"),INDEX(상세표[시작],$Q1170)&amp;""))</f>
        <v/>
      </c>
      <c r="G1170">
        <f>IF($Q1170="","",IF(ISNUMBER(INDEX(상세표[블록종료],$Q1170)),TEXT(INDEX(상세표[블록종료],$Q1170),"yyyy-mm-dd hh:mm"),INDEX(상세표[블록종료],$Q1170)&amp;""))</f>
        <v/>
      </c>
      <c r="H1170">
        <f>IF($Q1170="","",CHOOSE(WEEKDAY(INDEX(상세표[시작],$Q1170)),"일","월","화","수","목","금","토"))</f>
        <v/>
      </c>
      <c r="I1170" s="20">
        <f>IF($Q1170="","",INDEX(상세표[연속 시간],$Q1170))</f>
        <v/>
      </c>
      <c r="J1170">
        <f>IF($Q1170="","",INDEX(상세표[기록 수],$Q1170))</f>
        <v/>
      </c>
      <c r="K1170" s="20">
        <f>IF($Q1170="","",INDEX(상세표[블록 06~07시],$Q1170))</f>
        <v/>
      </c>
      <c r="L1170" s="20">
        <f>IF($Q1170="","",INDEX(상세표[블록 07~18시],$Q1170))</f>
        <v/>
      </c>
      <c r="M1170" s="20">
        <f>IF($Q1170="","",INDEX(상세표[블록 18~22시],$Q1170))</f>
        <v/>
      </c>
      <c r="N1170" s="20">
        <f>IF($Q1170="","",INDEX(상세표[블록 22~06시],$Q1170))</f>
        <v/>
      </c>
      <c r="O1170">
        <f>IF($Q1170="","",INDEX(상세표[주말·휴일 포함],$Q1170)&amp;"")</f>
        <v/>
      </c>
      <c r="P1170">
        <f>IF($Q1170="","",INDEX(상세표[월 넘김 포함],$Q1170)&amp;"")</f>
        <v/>
      </c>
      <c r="Q1170" s="4">
        <f>IFERROR(MATCH(1165,상세표[연속순번],0),"")</f>
        <v/>
      </c>
    </row>
    <row r="1171">
      <c r="A1171">
        <f>IF($Q1171="","",INDEX(상세표[부서],$Q1171)&amp;"")</f>
        <v/>
      </c>
      <c r="B1171">
        <f>IF($Q1171="","",INDEX(상세표[사번],$Q1171)&amp;"")</f>
        <v/>
      </c>
      <c r="C1171">
        <f>IF($Q1171="","",INDEX(상세표[성명],$Q1171)&amp;"")</f>
        <v/>
      </c>
      <c r="D1171">
        <f>IF($Q1171="","",INDEX(상세표[직위],$Q1171)&amp;"")</f>
        <v/>
      </c>
      <c r="E1171">
        <f>IF($Q1171="","",IF(ISNUMBER(INDEX(상세표[근무일자],$Q1171)),TEXT(INDEX(상세표[근무일자],$Q1171),"yyyy-mm-dd"),INDEX(상세표[근무일자],$Q1171)&amp;""))</f>
        <v/>
      </c>
      <c r="F1171">
        <f>IF($Q1171="","",IF(ISNUMBER(INDEX(상세표[시작],$Q1171)),TEXT(INDEX(상세표[시작],$Q1171),"yyyy-mm-dd hh:mm"),INDEX(상세표[시작],$Q1171)&amp;""))</f>
        <v/>
      </c>
      <c r="G1171">
        <f>IF($Q1171="","",IF(ISNUMBER(INDEX(상세표[블록종료],$Q1171)),TEXT(INDEX(상세표[블록종료],$Q1171),"yyyy-mm-dd hh:mm"),INDEX(상세표[블록종료],$Q1171)&amp;""))</f>
        <v/>
      </c>
      <c r="H1171">
        <f>IF($Q1171="","",CHOOSE(WEEKDAY(INDEX(상세표[시작],$Q1171)),"일","월","화","수","목","금","토"))</f>
        <v/>
      </c>
      <c r="I1171" s="20">
        <f>IF($Q1171="","",INDEX(상세표[연속 시간],$Q1171))</f>
        <v/>
      </c>
      <c r="J1171">
        <f>IF($Q1171="","",INDEX(상세표[기록 수],$Q1171))</f>
        <v/>
      </c>
      <c r="K1171" s="20">
        <f>IF($Q1171="","",INDEX(상세표[블록 06~07시],$Q1171))</f>
        <v/>
      </c>
      <c r="L1171" s="20">
        <f>IF($Q1171="","",INDEX(상세표[블록 07~18시],$Q1171))</f>
        <v/>
      </c>
      <c r="M1171" s="20">
        <f>IF($Q1171="","",INDEX(상세표[블록 18~22시],$Q1171))</f>
        <v/>
      </c>
      <c r="N1171" s="20">
        <f>IF($Q1171="","",INDEX(상세표[블록 22~06시],$Q1171))</f>
        <v/>
      </c>
      <c r="O1171">
        <f>IF($Q1171="","",INDEX(상세표[주말·휴일 포함],$Q1171)&amp;"")</f>
        <v/>
      </c>
      <c r="P1171">
        <f>IF($Q1171="","",INDEX(상세표[월 넘김 포함],$Q1171)&amp;"")</f>
        <v/>
      </c>
      <c r="Q1171" s="4">
        <f>IFERROR(MATCH(1166,상세표[연속순번],0),"")</f>
        <v/>
      </c>
    </row>
    <row r="1172">
      <c r="A1172">
        <f>IF($Q1172="","",INDEX(상세표[부서],$Q1172)&amp;"")</f>
        <v/>
      </c>
      <c r="B1172">
        <f>IF($Q1172="","",INDEX(상세표[사번],$Q1172)&amp;"")</f>
        <v/>
      </c>
      <c r="C1172">
        <f>IF($Q1172="","",INDEX(상세표[성명],$Q1172)&amp;"")</f>
        <v/>
      </c>
      <c r="D1172">
        <f>IF($Q1172="","",INDEX(상세표[직위],$Q1172)&amp;"")</f>
        <v/>
      </c>
      <c r="E1172">
        <f>IF($Q1172="","",IF(ISNUMBER(INDEX(상세표[근무일자],$Q1172)),TEXT(INDEX(상세표[근무일자],$Q1172),"yyyy-mm-dd"),INDEX(상세표[근무일자],$Q1172)&amp;""))</f>
        <v/>
      </c>
      <c r="F1172">
        <f>IF($Q1172="","",IF(ISNUMBER(INDEX(상세표[시작],$Q1172)),TEXT(INDEX(상세표[시작],$Q1172),"yyyy-mm-dd hh:mm"),INDEX(상세표[시작],$Q1172)&amp;""))</f>
        <v/>
      </c>
      <c r="G1172">
        <f>IF($Q1172="","",IF(ISNUMBER(INDEX(상세표[블록종료],$Q1172)),TEXT(INDEX(상세표[블록종료],$Q1172),"yyyy-mm-dd hh:mm"),INDEX(상세표[블록종료],$Q1172)&amp;""))</f>
        <v/>
      </c>
      <c r="H1172">
        <f>IF($Q1172="","",CHOOSE(WEEKDAY(INDEX(상세표[시작],$Q1172)),"일","월","화","수","목","금","토"))</f>
        <v/>
      </c>
      <c r="I1172" s="20">
        <f>IF($Q1172="","",INDEX(상세표[연속 시간],$Q1172))</f>
        <v/>
      </c>
      <c r="J1172">
        <f>IF($Q1172="","",INDEX(상세표[기록 수],$Q1172))</f>
        <v/>
      </c>
      <c r="K1172" s="20">
        <f>IF($Q1172="","",INDEX(상세표[블록 06~07시],$Q1172))</f>
        <v/>
      </c>
      <c r="L1172" s="20">
        <f>IF($Q1172="","",INDEX(상세표[블록 07~18시],$Q1172))</f>
        <v/>
      </c>
      <c r="M1172" s="20">
        <f>IF($Q1172="","",INDEX(상세표[블록 18~22시],$Q1172))</f>
        <v/>
      </c>
      <c r="N1172" s="20">
        <f>IF($Q1172="","",INDEX(상세표[블록 22~06시],$Q1172))</f>
        <v/>
      </c>
      <c r="O1172">
        <f>IF($Q1172="","",INDEX(상세표[주말·휴일 포함],$Q1172)&amp;"")</f>
        <v/>
      </c>
      <c r="P1172">
        <f>IF($Q1172="","",INDEX(상세표[월 넘김 포함],$Q1172)&amp;"")</f>
        <v/>
      </c>
      <c r="Q1172" s="4">
        <f>IFERROR(MATCH(1167,상세표[연속순번],0),"")</f>
        <v/>
      </c>
    </row>
    <row r="1173">
      <c r="A1173">
        <f>IF($Q1173="","",INDEX(상세표[부서],$Q1173)&amp;"")</f>
        <v/>
      </c>
      <c r="B1173">
        <f>IF($Q1173="","",INDEX(상세표[사번],$Q1173)&amp;"")</f>
        <v/>
      </c>
      <c r="C1173">
        <f>IF($Q1173="","",INDEX(상세표[성명],$Q1173)&amp;"")</f>
        <v/>
      </c>
      <c r="D1173">
        <f>IF($Q1173="","",INDEX(상세표[직위],$Q1173)&amp;"")</f>
        <v/>
      </c>
      <c r="E1173">
        <f>IF($Q1173="","",IF(ISNUMBER(INDEX(상세표[근무일자],$Q1173)),TEXT(INDEX(상세표[근무일자],$Q1173),"yyyy-mm-dd"),INDEX(상세표[근무일자],$Q1173)&amp;""))</f>
        <v/>
      </c>
      <c r="F1173">
        <f>IF($Q1173="","",IF(ISNUMBER(INDEX(상세표[시작],$Q1173)),TEXT(INDEX(상세표[시작],$Q1173),"yyyy-mm-dd hh:mm"),INDEX(상세표[시작],$Q1173)&amp;""))</f>
        <v/>
      </c>
      <c r="G1173">
        <f>IF($Q1173="","",IF(ISNUMBER(INDEX(상세표[블록종료],$Q1173)),TEXT(INDEX(상세표[블록종료],$Q1173),"yyyy-mm-dd hh:mm"),INDEX(상세표[블록종료],$Q1173)&amp;""))</f>
        <v/>
      </c>
      <c r="H1173">
        <f>IF($Q1173="","",CHOOSE(WEEKDAY(INDEX(상세표[시작],$Q1173)),"일","월","화","수","목","금","토"))</f>
        <v/>
      </c>
      <c r="I1173" s="20">
        <f>IF($Q1173="","",INDEX(상세표[연속 시간],$Q1173))</f>
        <v/>
      </c>
      <c r="J1173">
        <f>IF($Q1173="","",INDEX(상세표[기록 수],$Q1173))</f>
        <v/>
      </c>
      <c r="K1173" s="20">
        <f>IF($Q1173="","",INDEX(상세표[블록 06~07시],$Q1173))</f>
        <v/>
      </c>
      <c r="L1173" s="20">
        <f>IF($Q1173="","",INDEX(상세표[블록 07~18시],$Q1173))</f>
        <v/>
      </c>
      <c r="M1173" s="20">
        <f>IF($Q1173="","",INDEX(상세표[블록 18~22시],$Q1173))</f>
        <v/>
      </c>
      <c r="N1173" s="20">
        <f>IF($Q1173="","",INDEX(상세표[블록 22~06시],$Q1173))</f>
        <v/>
      </c>
      <c r="O1173">
        <f>IF($Q1173="","",INDEX(상세표[주말·휴일 포함],$Q1173)&amp;"")</f>
        <v/>
      </c>
      <c r="P1173">
        <f>IF($Q1173="","",INDEX(상세표[월 넘김 포함],$Q1173)&amp;"")</f>
        <v/>
      </c>
      <c r="Q1173" s="4">
        <f>IFERROR(MATCH(1168,상세표[연속순번],0),"")</f>
        <v/>
      </c>
    </row>
    <row r="1174">
      <c r="A1174">
        <f>IF($Q1174="","",INDEX(상세표[부서],$Q1174)&amp;"")</f>
        <v/>
      </c>
      <c r="B1174">
        <f>IF($Q1174="","",INDEX(상세표[사번],$Q1174)&amp;"")</f>
        <v/>
      </c>
      <c r="C1174">
        <f>IF($Q1174="","",INDEX(상세표[성명],$Q1174)&amp;"")</f>
        <v/>
      </c>
      <c r="D1174">
        <f>IF($Q1174="","",INDEX(상세표[직위],$Q1174)&amp;"")</f>
        <v/>
      </c>
      <c r="E1174">
        <f>IF($Q1174="","",IF(ISNUMBER(INDEX(상세표[근무일자],$Q1174)),TEXT(INDEX(상세표[근무일자],$Q1174),"yyyy-mm-dd"),INDEX(상세표[근무일자],$Q1174)&amp;""))</f>
        <v/>
      </c>
      <c r="F1174">
        <f>IF($Q1174="","",IF(ISNUMBER(INDEX(상세표[시작],$Q1174)),TEXT(INDEX(상세표[시작],$Q1174),"yyyy-mm-dd hh:mm"),INDEX(상세표[시작],$Q1174)&amp;""))</f>
        <v/>
      </c>
      <c r="G1174">
        <f>IF($Q1174="","",IF(ISNUMBER(INDEX(상세표[블록종료],$Q1174)),TEXT(INDEX(상세표[블록종료],$Q1174),"yyyy-mm-dd hh:mm"),INDEX(상세표[블록종료],$Q1174)&amp;""))</f>
        <v/>
      </c>
      <c r="H1174">
        <f>IF($Q1174="","",CHOOSE(WEEKDAY(INDEX(상세표[시작],$Q1174)),"일","월","화","수","목","금","토"))</f>
        <v/>
      </c>
      <c r="I1174" s="20">
        <f>IF($Q1174="","",INDEX(상세표[연속 시간],$Q1174))</f>
        <v/>
      </c>
      <c r="J1174">
        <f>IF($Q1174="","",INDEX(상세표[기록 수],$Q1174))</f>
        <v/>
      </c>
      <c r="K1174" s="20">
        <f>IF($Q1174="","",INDEX(상세표[블록 06~07시],$Q1174))</f>
        <v/>
      </c>
      <c r="L1174" s="20">
        <f>IF($Q1174="","",INDEX(상세표[블록 07~18시],$Q1174))</f>
        <v/>
      </c>
      <c r="M1174" s="20">
        <f>IF($Q1174="","",INDEX(상세표[블록 18~22시],$Q1174))</f>
        <v/>
      </c>
      <c r="N1174" s="20">
        <f>IF($Q1174="","",INDEX(상세표[블록 22~06시],$Q1174))</f>
        <v/>
      </c>
      <c r="O1174">
        <f>IF($Q1174="","",INDEX(상세표[주말·휴일 포함],$Q1174)&amp;"")</f>
        <v/>
      </c>
      <c r="P1174">
        <f>IF($Q1174="","",INDEX(상세표[월 넘김 포함],$Q1174)&amp;"")</f>
        <v/>
      </c>
      <c r="Q1174" s="4">
        <f>IFERROR(MATCH(1169,상세표[연속순번],0),"")</f>
        <v/>
      </c>
    </row>
    <row r="1175">
      <c r="A1175">
        <f>IF($Q1175="","",INDEX(상세표[부서],$Q1175)&amp;"")</f>
        <v/>
      </c>
      <c r="B1175">
        <f>IF($Q1175="","",INDEX(상세표[사번],$Q1175)&amp;"")</f>
        <v/>
      </c>
      <c r="C1175">
        <f>IF($Q1175="","",INDEX(상세표[성명],$Q1175)&amp;"")</f>
        <v/>
      </c>
      <c r="D1175">
        <f>IF($Q1175="","",INDEX(상세표[직위],$Q1175)&amp;"")</f>
        <v/>
      </c>
      <c r="E1175">
        <f>IF($Q1175="","",IF(ISNUMBER(INDEX(상세표[근무일자],$Q1175)),TEXT(INDEX(상세표[근무일자],$Q1175),"yyyy-mm-dd"),INDEX(상세표[근무일자],$Q1175)&amp;""))</f>
        <v/>
      </c>
      <c r="F1175">
        <f>IF($Q1175="","",IF(ISNUMBER(INDEX(상세표[시작],$Q1175)),TEXT(INDEX(상세표[시작],$Q1175),"yyyy-mm-dd hh:mm"),INDEX(상세표[시작],$Q1175)&amp;""))</f>
        <v/>
      </c>
      <c r="G1175">
        <f>IF($Q1175="","",IF(ISNUMBER(INDEX(상세표[블록종료],$Q1175)),TEXT(INDEX(상세표[블록종료],$Q1175),"yyyy-mm-dd hh:mm"),INDEX(상세표[블록종료],$Q1175)&amp;""))</f>
        <v/>
      </c>
      <c r="H1175">
        <f>IF($Q1175="","",CHOOSE(WEEKDAY(INDEX(상세표[시작],$Q1175)),"일","월","화","수","목","금","토"))</f>
        <v/>
      </c>
      <c r="I1175" s="20">
        <f>IF($Q1175="","",INDEX(상세표[연속 시간],$Q1175))</f>
        <v/>
      </c>
      <c r="J1175">
        <f>IF($Q1175="","",INDEX(상세표[기록 수],$Q1175))</f>
        <v/>
      </c>
      <c r="K1175" s="20">
        <f>IF($Q1175="","",INDEX(상세표[블록 06~07시],$Q1175))</f>
        <v/>
      </c>
      <c r="L1175" s="20">
        <f>IF($Q1175="","",INDEX(상세표[블록 07~18시],$Q1175))</f>
        <v/>
      </c>
      <c r="M1175" s="20">
        <f>IF($Q1175="","",INDEX(상세표[블록 18~22시],$Q1175))</f>
        <v/>
      </c>
      <c r="N1175" s="20">
        <f>IF($Q1175="","",INDEX(상세표[블록 22~06시],$Q1175))</f>
        <v/>
      </c>
      <c r="O1175">
        <f>IF($Q1175="","",INDEX(상세표[주말·휴일 포함],$Q1175)&amp;"")</f>
        <v/>
      </c>
      <c r="P1175">
        <f>IF($Q1175="","",INDEX(상세표[월 넘김 포함],$Q1175)&amp;"")</f>
        <v/>
      </c>
      <c r="Q1175" s="4">
        <f>IFERROR(MATCH(1170,상세표[연속순번],0),"")</f>
        <v/>
      </c>
    </row>
    <row r="1176">
      <c r="A1176">
        <f>IF($Q1176="","",INDEX(상세표[부서],$Q1176)&amp;"")</f>
        <v/>
      </c>
      <c r="B1176">
        <f>IF($Q1176="","",INDEX(상세표[사번],$Q1176)&amp;"")</f>
        <v/>
      </c>
      <c r="C1176">
        <f>IF($Q1176="","",INDEX(상세표[성명],$Q1176)&amp;"")</f>
        <v/>
      </c>
      <c r="D1176">
        <f>IF($Q1176="","",INDEX(상세표[직위],$Q1176)&amp;"")</f>
        <v/>
      </c>
      <c r="E1176">
        <f>IF($Q1176="","",IF(ISNUMBER(INDEX(상세표[근무일자],$Q1176)),TEXT(INDEX(상세표[근무일자],$Q1176),"yyyy-mm-dd"),INDEX(상세표[근무일자],$Q1176)&amp;""))</f>
        <v/>
      </c>
      <c r="F1176">
        <f>IF($Q1176="","",IF(ISNUMBER(INDEX(상세표[시작],$Q1176)),TEXT(INDEX(상세표[시작],$Q1176),"yyyy-mm-dd hh:mm"),INDEX(상세표[시작],$Q1176)&amp;""))</f>
        <v/>
      </c>
      <c r="G1176">
        <f>IF($Q1176="","",IF(ISNUMBER(INDEX(상세표[블록종료],$Q1176)),TEXT(INDEX(상세표[블록종료],$Q1176),"yyyy-mm-dd hh:mm"),INDEX(상세표[블록종료],$Q1176)&amp;""))</f>
        <v/>
      </c>
      <c r="H1176">
        <f>IF($Q1176="","",CHOOSE(WEEKDAY(INDEX(상세표[시작],$Q1176)),"일","월","화","수","목","금","토"))</f>
        <v/>
      </c>
      <c r="I1176" s="20">
        <f>IF($Q1176="","",INDEX(상세표[연속 시간],$Q1176))</f>
        <v/>
      </c>
      <c r="J1176">
        <f>IF($Q1176="","",INDEX(상세표[기록 수],$Q1176))</f>
        <v/>
      </c>
      <c r="K1176" s="20">
        <f>IF($Q1176="","",INDEX(상세표[블록 06~07시],$Q1176))</f>
        <v/>
      </c>
      <c r="L1176" s="20">
        <f>IF($Q1176="","",INDEX(상세표[블록 07~18시],$Q1176))</f>
        <v/>
      </c>
      <c r="M1176" s="20">
        <f>IF($Q1176="","",INDEX(상세표[블록 18~22시],$Q1176))</f>
        <v/>
      </c>
      <c r="N1176" s="20">
        <f>IF($Q1176="","",INDEX(상세표[블록 22~06시],$Q1176))</f>
        <v/>
      </c>
      <c r="O1176">
        <f>IF($Q1176="","",INDEX(상세표[주말·휴일 포함],$Q1176)&amp;"")</f>
        <v/>
      </c>
      <c r="P1176">
        <f>IF($Q1176="","",INDEX(상세표[월 넘김 포함],$Q1176)&amp;"")</f>
        <v/>
      </c>
      <c r="Q1176" s="4">
        <f>IFERROR(MATCH(1171,상세표[연속순번],0),"")</f>
        <v/>
      </c>
    </row>
    <row r="1177">
      <c r="A1177">
        <f>IF($Q1177="","",INDEX(상세표[부서],$Q1177)&amp;"")</f>
        <v/>
      </c>
      <c r="B1177">
        <f>IF($Q1177="","",INDEX(상세표[사번],$Q1177)&amp;"")</f>
        <v/>
      </c>
      <c r="C1177">
        <f>IF($Q1177="","",INDEX(상세표[성명],$Q1177)&amp;"")</f>
        <v/>
      </c>
      <c r="D1177">
        <f>IF($Q1177="","",INDEX(상세표[직위],$Q1177)&amp;"")</f>
        <v/>
      </c>
      <c r="E1177">
        <f>IF($Q1177="","",IF(ISNUMBER(INDEX(상세표[근무일자],$Q1177)),TEXT(INDEX(상세표[근무일자],$Q1177),"yyyy-mm-dd"),INDEX(상세표[근무일자],$Q1177)&amp;""))</f>
        <v/>
      </c>
      <c r="F1177">
        <f>IF($Q1177="","",IF(ISNUMBER(INDEX(상세표[시작],$Q1177)),TEXT(INDEX(상세표[시작],$Q1177),"yyyy-mm-dd hh:mm"),INDEX(상세표[시작],$Q1177)&amp;""))</f>
        <v/>
      </c>
      <c r="G1177">
        <f>IF($Q1177="","",IF(ISNUMBER(INDEX(상세표[블록종료],$Q1177)),TEXT(INDEX(상세표[블록종료],$Q1177),"yyyy-mm-dd hh:mm"),INDEX(상세표[블록종료],$Q1177)&amp;""))</f>
        <v/>
      </c>
      <c r="H1177">
        <f>IF($Q1177="","",CHOOSE(WEEKDAY(INDEX(상세표[시작],$Q1177)),"일","월","화","수","목","금","토"))</f>
        <v/>
      </c>
      <c r="I1177" s="20">
        <f>IF($Q1177="","",INDEX(상세표[연속 시간],$Q1177))</f>
        <v/>
      </c>
      <c r="J1177">
        <f>IF($Q1177="","",INDEX(상세표[기록 수],$Q1177))</f>
        <v/>
      </c>
      <c r="K1177" s="20">
        <f>IF($Q1177="","",INDEX(상세표[블록 06~07시],$Q1177))</f>
        <v/>
      </c>
      <c r="L1177" s="20">
        <f>IF($Q1177="","",INDEX(상세표[블록 07~18시],$Q1177))</f>
        <v/>
      </c>
      <c r="M1177" s="20">
        <f>IF($Q1177="","",INDEX(상세표[블록 18~22시],$Q1177))</f>
        <v/>
      </c>
      <c r="N1177" s="20">
        <f>IF($Q1177="","",INDEX(상세표[블록 22~06시],$Q1177))</f>
        <v/>
      </c>
      <c r="O1177">
        <f>IF($Q1177="","",INDEX(상세표[주말·휴일 포함],$Q1177)&amp;"")</f>
        <v/>
      </c>
      <c r="P1177">
        <f>IF($Q1177="","",INDEX(상세표[월 넘김 포함],$Q1177)&amp;"")</f>
        <v/>
      </c>
      <c r="Q1177" s="4">
        <f>IFERROR(MATCH(1172,상세표[연속순번],0),"")</f>
        <v/>
      </c>
    </row>
    <row r="1178">
      <c r="A1178">
        <f>IF($Q1178="","",INDEX(상세표[부서],$Q1178)&amp;"")</f>
        <v/>
      </c>
      <c r="B1178">
        <f>IF($Q1178="","",INDEX(상세표[사번],$Q1178)&amp;"")</f>
        <v/>
      </c>
      <c r="C1178">
        <f>IF($Q1178="","",INDEX(상세표[성명],$Q1178)&amp;"")</f>
        <v/>
      </c>
      <c r="D1178">
        <f>IF($Q1178="","",INDEX(상세표[직위],$Q1178)&amp;"")</f>
        <v/>
      </c>
      <c r="E1178">
        <f>IF($Q1178="","",IF(ISNUMBER(INDEX(상세표[근무일자],$Q1178)),TEXT(INDEX(상세표[근무일자],$Q1178),"yyyy-mm-dd"),INDEX(상세표[근무일자],$Q1178)&amp;""))</f>
        <v/>
      </c>
      <c r="F1178">
        <f>IF($Q1178="","",IF(ISNUMBER(INDEX(상세표[시작],$Q1178)),TEXT(INDEX(상세표[시작],$Q1178),"yyyy-mm-dd hh:mm"),INDEX(상세표[시작],$Q1178)&amp;""))</f>
        <v/>
      </c>
      <c r="G1178">
        <f>IF($Q1178="","",IF(ISNUMBER(INDEX(상세표[블록종료],$Q1178)),TEXT(INDEX(상세표[블록종료],$Q1178),"yyyy-mm-dd hh:mm"),INDEX(상세표[블록종료],$Q1178)&amp;""))</f>
        <v/>
      </c>
      <c r="H1178">
        <f>IF($Q1178="","",CHOOSE(WEEKDAY(INDEX(상세표[시작],$Q1178)),"일","월","화","수","목","금","토"))</f>
        <v/>
      </c>
      <c r="I1178" s="20">
        <f>IF($Q1178="","",INDEX(상세표[연속 시간],$Q1178))</f>
        <v/>
      </c>
      <c r="J1178">
        <f>IF($Q1178="","",INDEX(상세표[기록 수],$Q1178))</f>
        <v/>
      </c>
      <c r="K1178" s="20">
        <f>IF($Q1178="","",INDEX(상세표[블록 06~07시],$Q1178))</f>
        <v/>
      </c>
      <c r="L1178" s="20">
        <f>IF($Q1178="","",INDEX(상세표[블록 07~18시],$Q1178))</f>
        <v/>
      </c>
      <c r="M1178" s="20">
        <f>IF($Q1178="","",INDEX(상세표[블록 18~22시],$Q1178))</f>
        <v/>
      </c>
      <c r="N1178" s="20">
        <f>IF($Q1178="","",INDEX(상세표[블록 22~06시],$Q1178))</f>
        <v/>
      </c>
      <c r="O1178">
        <f>IF($Q1178="","",INDEX(상세표[주말·휴일 포함],$Q1178)&amp;"")</f>
        <v/>
      </c>
      <c r="P1178">
        <f>IF($Q1178="","",INDEX(상세표[월 넘김 포함],$Q1178)&amp;"")</f>
        <v/>
      </c>
      <c r="Q1178" s="4">
        <f>IFERROR(MATCH(1173,상세표[연속순번],0),"")</f>
        <v/>
      </c>
    </row>
    <row r="1179">
      <c r="A1179">
        <f>IF($Q1179="","",INDEX(상세표[부서],$Q1179)&amp;"")</f>
        <v/>
      </c>
      <c r="B1179">
        <f>IF($Q1179="","",INDEX(상세표[사번],$Q1179)&amp;"")</f>
        <v/>
      </c>
      <c r="C1179">
        <f>IF($Q1179="","",INDEX(상세표[성명],$Q1179)&amp;"")</f>
        <v/>
      </c>
      <c r="D1179">
        <f>IF($Q1179="","",INDEX(상세표[직위],$Q1179)&amp;"")</f>
        <v/>
      </c>
      <c r="E1179">
        <f>IF($Q1179="","",IF(ISNUMBER(INDEX(상세표[근무일자],$Q1179)),TEXT(INDEX(상세표[근무일자],$Q1179),"yyyy-mm-dd"),INDEX(상세표[근무일자],$Q1179)&amp;""))</f>
        <v/>
      </c>
      <c r="F1179">
        <f>IF($Q1179="","",IF(ISNUMBER(INDEX(상세표[시작],$Q1179)),TEXT(INDEX(상세표[시작],$Q1179),"yyyy-mm-dd hh:mm"),INDEX(상세표[시작],$Q1179)&amp;""))</f>
        <v/>
      </c>
      <c r="G1179">
        <f>IF($Q1179="","",IF(ISNUMBER(INDEX(상세표[블록종료],$Q1179)),TEXT(INDEX(상세표[블록종료],$Q1179),"yyyy-mm-dd hh:mm"),INDEX(상세표[블록종료],$Q1179)&amp;""))</f>
        <v/>
      </c>
      <c r="H1179">
        <f>IF($Q1179="","",CHOOSE(WEEKDAY(INDEX(상세표[시작],$Q1179)),"일","월","화","수","목","금","토"))</f>
        <v/>
      </c>
      <c r="I1179" s="20">
        <f>IF($Q1179="","",INDEX(상세표[연속 시간],$Q1179))</f>
        <v/>
      </c>
      <c r="J1179">
        <f>IF($Q1179="","",INDEX(상세표[기록 수],$Q1179))</f>
        <v/>
      </c>
      <c r="K1179" s="20">
        <f>IF($Q1179="","",INDEX(상세표[블록 06~07시],$Q1179))</f>
        <v/>
      </c>
      <c r="L1179" s="20">
        <f>IF($Q1179="","",INDEX(상세표[블록 07~18시],$Q1179))</f>
        <v/>
      </c>
      <c r="M1179" s="20">
        <f>IF($Q1179="","",INDEX(상세표[블록 18~22시],$Q1179))</f>
        <v/>
      </c>
      <c r="N1179" s="20">
        <f>IF($Q1179="","",INDEX(상세표[블록 22~06시],$Q1179))</f>
        <v/>
      </c>
      <c r="O1179">
        <f>IF($Q1179="","",INDEX(상세표[주말·휴일 포함],$Q1179)&amp;"")</f>
        <v/>
      </c>
      <c r="P1179">
        <f>IF($Q1179="","",INDEX(상세표[월 넘김 포함],$Q1179)&amp;"")</f>
        <v/>
      </c>
      <c r="Q1179" s="4">
        <f>IFERROR(MATCH(1174,상세표[연속순번],0),"")</f>
        <v/>
      </c>
    </row>
    <row r="1180">
      <c r="A1180">
        <f>IF($Q1180="","",INDEX(상세표[부서],$Q1180)&amp;"")</f>
        <v/>
      </c>
      <c r="B1180">
        <f>IF($Q1180="","",INDEX(상세표[사번],$Q1180)&amp;"")</f>
        <v/>
      </c>
      <c r="C1180">
        <f>IF($Q1180="","",INDEX(상세표[성명],$Q1180)&amp;"")</f>
        <v/>
      </c>
      <c r="D1180">
        <f>IF($Q1180="","",INDEX(상세표[직위],$Q1180)&amp;"")</f>
        <v/>
      </c>
      <c r="E1180">
        <f>IF($Q1180="","",IF(ISNUMBER(INDEX(상세표[근무일자],$Q1180)),TEXT(INDEX(상세표[근무일자],$Q1180),"yyyy-mm-dd"),INDEX(상세표[근무일자],$Q1180)&amp;""))</f>
        <v/>
      </c>
      <c r="F1180">
        <f>IF($Q1180="","",IF(ISNUMBER(INDEX(상세표[시작],$Q1180)),TEXT(INDEX(상세표[시작],$Q1180),"yyyy-mm-dd hh:mm"),INDEX(상세표[시작],$Q1180)&amp;""))</f>
        <v/>
      </c>
      <c r="G1180">
        <f>IF($Q1180="","",IF(ISNUMBER(INDEX(상세표[블록종료],$Q1180)),TEXT(INDEX(상세표[블록종료],$Q1180),"yyyy-mm-dd hh:mm"),INDEX(상세표[블록종료],$Q1180)&amp;""))</f>
        <v/>
      </c>
      <c r="H1180">
        <f>IF($Q1180="","",CHOOSE(WEEKDAY(INDEX(상세표[시작],$Q1180)),"일","월","화","수","목","금","토"))</f>
        <v/>
      </c>
      <c r="I1180" s="20">
        <f>IF($Q1180="","",INDEX(상세표[연속 시간],$Q1180))</f>
        <v/>
      </c>
      <c r="J1180">
        <f>IF($Q1180="","",INDEX(상세표[기록 수],$Q1180))</f>
        <v/>
      </c>
      <c r="K1180" s="20">
        <f>IF($Q1180="","",INDEX(상세표[블록 06~07시],$Q1180))</f>
        <v/>
      </c>
      <c r="L1180" s="20">
        <f>IF($Q1180="","",INDEX(상세표[블록 07~18시],$Q1180))</f>
        <v/>
      </c>
      <c r="M1180" s="20">
        <f>IF($Q1180="","",INDEX(상세표[블록 18~22시],$Q1180))</f>
        <v/>
      </c>
      <c r="N1180" s="20">
        <f>IF($Q1180="","",INDEX(상세표[블록 22~06시],$Q1180))</f>
        <v/>
      </c>
      <c r="O1180">
        <f>IF($Q1180="","",INDEX(상세표[주말·휴일 포함],$Q1180)&amp;"")</f>
        <v/>
      </c>
      <c r="P1180">
        <f>IF($Q1180="","",INDEX(상세표[월 넘김 포함],$Q1180)&amp;"")</f>
        <v/>
      </c>
      <c r="Q1180" s="4">
        <f>IFERROR(MATCH(1175,상세표[연속순번],0),"")</f>
        <v/>
      </c>
    </row>
    <row r="1181">
      <c r="A1181">
        <f>IF($Q1181="","",INDEX(상세표[부서],$Q1181)&amp;"")</f>
        <v/>
      </c>
      <c r="B1181">
        <f>IF($Q1181="","",INDEX(상세표[사번],$Q1181)&amp;"")</f>
        <v/>
      </c>
      <c r="C1181">
        <f>IF($Q1181="","",INDEX(상세표[성명],$Q1181)&amp;"")</f>
        <v/>
      </c>
      <c r="D1181">
        <f>IF($Q1181="","",INDEX(상세표[직위],$Q1181)&amp;"")</f>
        <v/>
      </c>
      <c r="E1181">
        <f>IF($Q1181="","",IF(ISNUMBER(INDEX(상세표[근무일자],$Q1181)),TEXT(INDEX(상세표[근무일자],$Q1181),"yyyy-mm-dd"),INDEX(상세표[근무일자],$Q1181)&amp;""))</f>
        <v/>
      </c>
      <c r="F1181">
        <f>IF($Q1181="","",IF(ISNUMBER(INDEX(상세표[시작],$Q1181)),TEXT(INDEX(상세표[시작],$Q1181),"yyyy-mm-dd hh:mm"),INDEX(상세표[시작],$Q1181)&amp;""))</f>
        <v/>
      </c>
      <c r="G1181">
        <f>IF($Q1181="","",IF(ISNUMBER(INDEX(상세표[블록종료],$Q1181)),TEXT(INDEX(상세표[블록종료],$Q1181),"yyyy-mm-dd hh:mm"),INDEX(상세표[블록종료],$Q1181)&amp;""))</f>
        <v/>
      </c>
      <c r="H1181">
        <f>IF($Q1181="","",CHOOSE(WEEKDAY(INDEX(상세표[시작],$Q1181)),"일","월","화","수","목","금","토"))</f>
        <v/>
      </c>
      <c r="I1181" s="20">
        <f>IF($Q1181="","",INDEX(상세표[연속 시간],$Q1181))</f>
        <v/>
      </c>
      <c r="J1181">
        <f>IF($Q1181="","",INDEX(상세표[기록 수],$Q1181))</f>
        <v/>
      </c>
      <c r="K1181" s="20">
        <f>IF($Q1181="","",INDEX(상세표[블록 06~07시],$Q1181))</f>
        <v/>
      </c>
      <c r="L1181" s="20">
        <f>IF($Q1181="","",INDEX(상세표[블록 07~18시],$Q1181))</f>
        <v/>
      </c>
      <c r="M1181" s="20">
        <f>IF($Q1181="","",INDEX(상세표[블록 18~22시],$Q1181))</f>
        <v/>
      </c>
      <c r="N1181" s="20">
        <f>IF($Q1181="","",INDEX(상세표[블록 22~06시],$Q1181))</f>
        <v/>
      </c>
      <c r="O1181">
        <f>IF($Q1181="","",INDEX(상세표[주말·휴일 포함],$Q1181)&amp;"")</f>
        <v/>
      </c>
      <c r="P1181">
        <f>IF($Q1181="","",INDEX(상세표[월 넘김 포함],$Q1181)&amp;"")</f>
        <v/>
      </c>
      <c r="Q1181" s="4">
        <f>IFERROR(MATCH(1176,상세표[연속순번],0),"")</f>
        <v/>
      </c>
    </row>
    <row r="1182">
      <c r="A1182">
        <f>IF($Q1182="","",INDEX(상세표[부서],$Q1182)&amp;"")</f>
        <v/>
      </c>
      <c r="B1182">
        <f>IF($Q1182="","",INDEX(상세표[사번],$Q1182)&amp;"")</f>
        <v/>
      </c>
      <c r="C1182">
        <f>IF($Q1182="","",INDEX(상세표[성명],$Q1182)&amp;"")</f>
        <v/>
      </c>
      <c r="D1182">
        <f>IF($Q1182="","",INDEX(상세표[직위],$Q1182)&amp;"")</f>
        <v/>
      </c>
      <c r="E1182">
        <f>IF($Q1182="","",IF(ISNUMBER(INDEX(상세표[근무일자],$Q1182)),TEXT(INDEX(상세표[근무일자],$Q1182),"yyyy-mm-dd"),INDEX(상세표[근무일자],$Q1182)&amp;""))</f>
        <v/>
      </c>
      <c r="F1182">
        <f>IF($Q1182="","",IF(ISNUMBER(INDEX(상세표[시작],$Q1182)),TEXT(INDEX(상세표[시작],$Q1182),"yyyy-mm-dd hh:mm"),INDEX(상세표[시작],$Q1182)&amp;""))</f>
        <v/>
      </c>
      <c r="G1182">
        <f>IF($Q1182="","",IF(ISNUMBER(INDEX(상세표[블록종료],$Q1182)),TEXT(INDEX(상세표[블록종료],$Q1182),"yyyy-mm-dd hh:mm"),INDEX(상세표[블록종료],$Q1182)&amp;""))</f>
        <v/>
      </c>
      <c r="H1182">
        <f>IF($Q1182="","",CHOOSE(WEEKDAY(INDEX(상세표[시작],$Q1182)),"일","월","화","수","목","금","토"))</f>
        <v/>
      </c>
      <c r="I1182" s="20">
        <f>IF($Q1182="","",INDEX(상세표[연속 시간],$Q1182))</f>
        <v/>
      </c>
      <c r="J1182">
        <f>IF($Q1182="","",INDEX(상세표[기록 수],$Q1182))</f>
        <v/>
      </c>
      <c r="K1182" s="20">
        <f>IF($Q1182="","",INDEX(상세표[블록 06~07시],$Q1182))</f>
        <v/>
      </c>
      <c r="L1182" s="20">
        <f>IF($Q1182="","",INDEX(상세표[블록 07~18시],$Q1182))</f>
        <v/>
      </c>
      <c r="M1182" s="20">
        <f>IF($Q1182="","",INDEX(상세표[블록 18~22시],$Q1182))</f>
        <v/>
      </c>
      <c r="N1182" s="20">
        <f>IF($Q1182="","",INDEX(상세표[블록 22~06시],$Q1182))</f>
        <v/>
      </c>
      <c r="O1182">
        <f>IF($Q1182="","",INDEX(상세표[주말·휴일 포함],$Q1182)&amp;"")</f>
        <v/>
      </c>
      <c r="P1182">
        <f>IF($Q1182="","",INDEX(상세표[월 넘김 포함],$Q1182)&amp;"")</f>
        <v/>
      </c>
      <c r="Q1182" s="4">
        <f>IFERROR(MATCH(1177,상세표[연속순번],0),"")</f>
        <v/>
      </c>
    </row>
    <row r="1183">
      <c r="A1183">
        <f>IF($Q1183="","",INDEX(상세표[부서],$Q1183)&amp;"")</f>
        <v/>
      </c>
      <c r="B1183">
        <f>IF($Q1183="","",INDEX(상세표[사번],$Q1183)&amp;"")</f>
        <v/>
      </c>
      <c r="C1183">
        <f>IF($Q1183="","",INDEX(상세표[성명],$Q1183)&amp;"")</f>
        <v/>
      </c>
      <c r="D1183">
        <f>IF($Q1183="","",INDEX(상세표[직위],$Q1183)&amp;"")</f>
        <v/>
      </c>
      <c r="E1183">
        <f>IF($Q1183="","",IF(ISNUMBER(INDEX(상세표[근무일자],$Q1183)),TEXT(INDEX(상세표[근무일자],$Q1183),"yyyy-mm-dd"),INDEX(상세표[근무일자],$Q1183)&amp;""))</f>
        <v/>
      </c>
      <c r="F1183">
        <f>IF($Q1183="","",IF(ISNUMBER(INDEX(상세표[시작],$Q1183)),TEXT(INDEX(상세표[시작],$Q1183),"yyyy-mm-dd hh:mm"),INDEX(상세표[시작],$Q1183)&amp;""))</f>
        <v/>
      </c>
      <c r="G1183">
        <f>IF($Q1183="","",IF(ISNUMBER(INDEX(상세표[블록종료],$Q1183)),TEXT(INDEX(상세표[블록종료],$Q1183),"yyyy-mm-dd hh:mm"),INDEX(상세표[블록종료],$Q1183)&amp;""))</f>
        <v/>
      </c>
      <c r="H1183">
        <f>IF($Q1183="","",CHOOSE(WEEKDAY(INDEX(상세표[시작],$Q1183)),"일","월","화","수","목","금","토"))</f>
        <v/>
      </c>
      <c r="I1183" s="20">
        <f>IF($Q1183="","",INDEX(상세표[연속 시간],$Q1183))</f>
        <v/>
      </c>
      <c r="J1183">
        <f>IF($Q1183="","",INDEX(상세표[기록 수],$Q1183))</f>
        <v/>
      </c>
      <c r="K1183" s="20">
        <f>IF($Q1183="","",INDEX(상세표[블록 06~07시],$Q1183))</f>
        <v/>
      </c>
      <c r="L1183" s="20">
        <f>IF($Q1183="","",INDEX(상세표[블록 07~18시],$Q1183))</f>
        <v/>
      </c>
      <c r="M1183" s="20">
        <f>IF($Q1183="","",INDEX(상세표[블록 18~22시],$Q1183))</f>
        <v/>
      </c>
      <c r="N1183" s="20">
        <f>IF($Q1183="","",INDEX(상세표[블록 22~06시],$Q1183))</f>
        <v/>
      </c>
      <c r="O1183">
        <f>IF($Q1183="","",INDEX(상세표[주말·휴일 포함],$Q1183)&amp;"")</f>
        <v/>
      </c>
      <c r="P1183">
        <f>IF($Q1183="","",INDEX(상세표[월 넘김 포함],$Q1183)&amp;"")</f>
        <v/>
      </c>
      <c r="Q1183" s="4">
        <f>IFERROR(MATCH(1178,상세표[연속순번],0),"")</f>
        <v/>
      </c>
    </row>
    <row r="1184">
      <c r="A1184">
        <f>IF($Q1184="","",INDEX(상세표[부서],$Q1184)&amp;"")</f>
        <v/>
      </c>
      <c r="B1184">
        <f>IF($Q1184="","",INDEX(상세표[사번],$Q1184)&amp;"")</f>
        <v/>
      </c>
      <c r="C1184">
        <f>IF($Q1184="","",INDEX(상세표[성명],$Q1184)&amp;"")</f>
        <v/>
      </c>
      <c r="D1184">
        <f>IF($Q1184="","",INDEX(상세표[직위],$Q1184)&amp;"")</f>
        <v/>
      </c>
      <c r="E1184">
        <f>IF($Q1184="","",IF(ISNUMBER(INDEX(상세표[근무일자],$Q1184)),TEXT(INDEX(상세표[근무일자],$Q1184),"yyyy-mm-dd"),INDEX(상세표[근무일자],$Q1184)&amp;""))</f>
        <v/>
      </c>
      <c r="F1184">
        <f>IF($Q1184="","",IF(ISNUMBER(INDEX(상세표[시작],$Q1184)),TEXT(INDEX(상세표[시작],$Q1184),"yyyy-mm-dd hh:mm"),INDEX(상세표[시작],$Q1184)&amp;""))</f>
        <v/>
      </c>
      <c r="G1184">
        <f>IF($Q1184="","",IF(ISNUMBER(INDEX(상세표[블록종료],$Q1184)),TEXT(INDEX(상세표[블록종료],$Q1184),"yyyy-mm-dd hh:mm"),INDEX(상세표[블록종료],$Q1184)&amp;""))</f>
        <v/>
      </c>
      <c r="H1184">
        <f>IF($Q1184="","",CHOOSE(WEEKDAY(INDEX(상세표[시작],$Q1184)),"일","월","화","수","목","금","토"))</f>
        <v/>
      </c>
      <c r="I1184" s="20">
        <f>IF($Q1184="","",INDEX(상세표[연속 시간],$Q1184))</f>
        <v/>
      </c>
      <c r="J1184">
        <f>IF($Q1184="","",INDEX(상세표[기록 수],$Q1184))</f>
        <v/>
      </c>
      <c r="K1184" s="20">
        <f>IF($Q1184="","",INDEX(상세표[블록 06~07시],$Q1184))</f>
        <v/>
      </c>
      <c r="L1184" s="20">
        <f>IF($Q1184="","",INDEX(상세표[블록 07~18시],$Q1184))</f>
        <v/>
      </c>
      <c r="M1184" s="20">
        <f>IF($Q1184="","",INDEX(상세표[블록 18~22시],$Q1184))</f>
        <v/>
      </c>
      <c r="N1184" s="20">
        <f>IF($Q1184="","",INDEX(상세표[블록 22~06시],$Q1184))</f>
        <v/>
      </c>
      <c r="O1184">
        <f>IF($Q1184="","",INDEX(상세표[주말·휴일 포함],$Q1184)&amp;"")</f>
        <v/>
      </c>
      <c r="P1184">
        <f>IF($Q1184="","",INDEX(상세표[월 넘김 포함],$Q1184)&amp;"")</f>
        <v/>
      </c>
      <c r="Q1184" s="4">
        <f>IFERROR(MATCH(1179,상세표[연속순번],0),"")</f>
        <v/>
      </c>
    </row>
    <row r="1185">
      <c r="A1185">
        <f>IF($Q1185="","",INDEX(상세표[부서],$Q1185)&amp;"")</f>
        <v/>
      </c>
      <c r="B1185">
        <f>IF($Q1185="","",INDEX(상세표[사번],$Q1185)&amp;"")</f>
        <v/>
      </c>
      <c r="C1185">
        <f>IF($Q1185="","",INDEX(상세표[성명],$Q1185)&amp;"")</f>
        <v/>
      </c>
      <c r="D1185">
        <f>IF($Q1185="","",INDEX(상세표[직위],$Q1185)&amp;"")</f>
        <v/>
      </c>
      <c r="E1185">
        <f>IF($Q1185="","",IF(ISNUMBER(INDEX(상세표[근무일자],$Q1185)),TEXT(INDEX(상세표[근무일자],$Q1185),"yyyy-mm-dd"),INDEX(상세표[근무일자],$Q1185)&amp;""))</f>
        <v/>
      </c>
      <c r="F1185">
        <f>IF($Q1185="","",IF(ISNUMBER(INDEX(상세표[시작],$Q1185)),TEXT(INDEX(상세표[시작],$Q1185),"yyyy-mm-dd hh:mm"),INDEX(상세표[시작],$Q1185)&amp;""))</f>
        <v/>
      </c>
      <c r="G1185">
        <f>IF($Q1185="","",IF(ISNUMBER(INDEX(상세표[블록종료],$Q1185)),TEXT(INDEX(상세표[블록종료],$Q1185),"yyyy-mm-dd hh:mm"),INDEX(상세표[블록종료],$Q1185)&amp;""))</f>
        <v/>
      </c>
      <c r="H1185">
        <f>IF($Q1185="","",CHOOSE(WEEKDAY(INDEX(상세표[시작],$Q1185)),"일","월","화","수","목","금","토"))</f>
        <v/>
      </c>
      <c r="I1185" s="20">
        <f>IF($Q1185="","",INDEX(상세표[연속 시간],$Q1185))</f>
        <v/>
      </c>
      <c r="J1185">
        <f>IF($Q1185="","",INDEX(상세표[기록 수],$Q1185))</f>
        <v/>
      </c>
      <c r="K1185" s="20">
        <f>IF($Q1185="","",INDEX(상세표[블록 06~07시],$Q1185))</f>
        <v/>
      </c>
      <c r="L1185" s="20">
        <f>IF($Q1185="","",INDEX(상세표[블록 07~18시],$Q1185))</f>
        <v/>
      </c>
      <c r="M1185" s="20">
        <f>IF($Q1185="","",INDEX(상세표[블록 18~22시],$Q1185))</f>
        <v/>
      </c>
      <c r="N1185" s="20">
        <f>IF($Q1185="","",INDEX(상세표[블록 22~06시],$Q1185))</f>
        <v/>
      </c>
      <c r="O1185">
        <f>IF($Q1185="","",INDEX(상세표[주말·휴일 포함],$Q1185)&amp;"")</f>
        <v/>
      </c>
      <c r="P1185">
        <f>IF($Q1185="","",INDEX(상세표[월 넘김 포함],$Q1185)&amp;"")</f>
        <v/>
      </c>
      <c r="Q1185" s="4">
        <f>IFERROR(MATCH(1180,상세표[연속순번],0),"")</f>
        <v/>
      </c>
    </row>
    <row r="1186">
      <c r="A1186">
        <f>IF($Q1186="","",INDEX(상세표[부서],$Q1186)&amp;"")</f>
        <v/>
      </c>
      <c r="B1186">
        <f>IF($Q1186="","",INDEX(상세표[사번],$Q1186)&amp;"")</f>
        <v/>
      </c>
      <c r="C1186">
        <f>IF($Q1186="","",INDEX(상세표[성명],$Q1186)&amp;"")</f>
        <v/>
      </c>
      <c r="D1186">
        <f>IF($Q1186="","",INDEX(상세표[직위],$Q1186)&amp;"")</f>
        <v/>
      </c>
      <c r="E1186">
        <f>IF($Q1186="","",IF(ISNUMBER(INDEX(상세표[근무일자],$Q1186)),TEXT(INDEX(상세표[근무일자],$Q1186),"yyyy-mm-dd"),INDEX(상세표[근무일자],$Q1186)&amp;""))</f>
        <v/>
      </c>
      <c r="F1186">
        <f>IF($Q1186="","",IF(ISNUMBER(INDEX(상세표[시작],$Q1186)),TEXT(INDEX(상세표[시작],$Q1186),"yyyy-mm-dd hh:mm"),INDEX(상세표[시작],$Q1186)&amp;""))</f>
        <v/>
      </c>
      <c r="G1186">
        <f>IF($Q1186="","",IF(ISNUMBER(INDEX(상세표[블록종료],$Q1186)),TEXT(INDEX(상세표[블록종료],$Q1186),"yyyy-mm-dd hh:mm"),INDEX(상세표[블록종료],$Q1186)&amp;""))</f>
        <v/>
      </c>
      <c r="H1186">
        <f>IF($Q1186="","",CHOOSE(WEEKDAY(INDEX(상세표[시작],$Q1186)),"일","월","화","수","목","금","토"))</f>
        <v/>
      </c>
      <c r="I1186" s="20">
        <f>IF($Q1186="","",INDEX(상세표[연속 시간],$Q1186))</f>
        <v/>
      </c>
      <c r="J1186">
        <f>IF($Q1186="","",INDEX(상세표[기록 수],$Q1186))</f>
        <v/>
      </c>
      <c r="K1186" s="20">
        <f>IF($Q1186="","",INDEX(상세표[블록 06~07시],$Q1186))</f>
        <v/>
      </c>
      <c r="L1186" s="20">
        <f>IF($Q1186="","",INDEX(상세표[블록 07~18시],$Q1186))</f>
        <v/>
      </c>
      <c r="M1186" s="20">
        <f>IF($Q1186="","",INDEX(상세표[블록 18~22시],$Q1186))</f>
        <v/>
      </c>
      <c r="N1186" s="20">
        <f>IF($Q1186="","",INDEX(상세표[블록 22~06시],$Q1186))</f>
        <v/>
      </c>
      <c r="O1186">
        <f>IF($Q1186="","",INDEX(상세표[주말·휴일 포함],$Q1186)&amp;"")</f>
        <v/>
      </c>
      <c r="P1186">
        <f>IF($Q1186="","",INDEX(상세표[월 넘김 포함],$Q1186)&amp;"")</f>
        <v/>
      </c>
      <c r="Q1186" s="4">
        <f>IFERROR(MATCH(1181,상세표[연속순번],0),"")</f>
        <v/>
      </c>
    </row>
    <row r="1187">
      <c r="A1187">
        <f>IF($Q1187="","",INDEX(상세표[부서],$Q1187)&amp;"")</f>
        <v/>
      </c>
      <c r="B1187">
        <f>IF($Q1187="","",INDEX(상세표[사번],$Q1187)&amp;"")</f>
        <v/>
      </c>
      <c r="C1187">
        <f>IF($Q1187="","",INDEX(상세표[성명],$Q1187)&amp;"")</f>
        <v/>
      </c>
      <c r="D1187">
        <f>IF($Q1187="","",INDEX(상세표[직위],$Q1187)&amp;"")</f>
        <v/>
      </c>
      <c r="E1187">
        <f>IF($Q1187="","",IF(ISNUMBER(INDEX(상세표[근무일자],$Q1187)),TEXT(INDEX(상세표[근무일자],$Q1187),"yyyy-mm-dd"),INDEX(상세표[근무일자],$Q1187)&amp;""))</f>
        <v/>
      </c>
      <c r="F1187">
        <f>IF($Q1187="","",IF(ISNUMBER(INDEX(상세표[시작],$Q1187)),TEXT(INDEX(상세표[시작],$Q1187),"yyyy-mm-dd hh:mm"),INDEX(상세표[시작],$Q1187)&amp;""))</f>
        <v/>
      </c>
      <c r="G1187">
        <f>IF($Q1187="","",IF(ISNUMBER(INDEX(상세표[블록종료],$Q1187)),TEXT(INDEX(상세표[블록종료],$Q1187),"yyyy-mm-dd hh:mm"),INDEX(상세표[블록종료],$Q1187)&amp;""))</f>
        <v/>
      </c>
      <c r="H1187">
        <f>IF($Q1187="","",CHOOSE(WEEKDAY(INDEX(상세표[시작],$Q1187)),"일","월","화","수","목","금","토"))</f>
        <v/>
      </c>
      <c r="I1187" s="20">
        <f>IF($Q1187="","",INDEX(상세표[연속 시간],$Q1187))</f>
        <v/>
      </c>
      <c r="J1187">
        <f>IF($Q1187="","",INDEX(상세표[기록 수],$Q1187))</f>
        <v/>
      </c>
      <c r="K1187" s="20">
        <f>IF($Q1187="","",INDEX(상세표[블록 06~07시],$Q1187))</f>
        <v/>
      </c>
      <c r="L1187" s="20">
        <f>IF($Q1187="","",INDEX(상세표[블록 07~18시],$Q1187))</f>
        <v/>
      </c>
      <c r="M1187" s="20">
        <f>IF($Q1187="","",INDEX(상세표[블록 18~22시],$Q1187))</f>
        <v/>
      </c>
      <c r="N1187" s="20">
        <f>IF($Q1187="","",INDEX(상세표[블록 22~06시],$Q1187))</f>
        <v/>
      </c>
      <c r="O1187">
        <f>IF($Q1187="","",INDEX(상세표[주말·휴일 포함],$Q1187)&amp;"")</f>
        <v/>
      </c>
      <c r="P1187">
        <f>IF($Q1187="","",INDEX(상세표[월 넘김 포함],$Q1187)&amp;"")</f>
        <v/>
      </c>
      <c r="Q1187" s="4">
        <f>IFERROR(MATCH(1182,상세표[연속순번],0),"")</f>
        <v/>
      </c>
    </row>
    <row r="1188">
      <c r="A1188">
        <f>IF($Q1188="","",INDEX(상세표[부서],$Q1188)&amp;"")</f>
        <v/>
      </c>
      <c r="B1188">
        <f>IF($Q1188="","",INDEX(상세표[사번],$Q1188)&amp;"")</f>
        <v/>
      </c>
      <c r="C1188">
        <f>IF($Q1188="","",INDEX(상세표[성명],$Q1188)&amp;"")</f>
        <v/>
      </c>
      <c r="D1188">
        <f>IF($Q1188="","",INDEX(상세표[직위],$Q1188)&amp;"")</f>
        <v/>
      </c>
      <c r="E1188">
        <f>IF($Q1188="","",IF(ISNUMBER(INDEX(상세표[근무일자],$Q1188)),TEXT(INDEX(상세표[근무일자],$Q1188),"yyyy-mm-dd"),INDEX(상세표[근무일자],$Q1188)&amp;""))</f>
        <v/>
      </c>
      <c r="F1188">
        <f>IF($Q1188="","",IF(ISNUMBER(INDEX(상세표[시작],$Q1188)),TEXT(INDEX(상세표[시작],$Q1188),"yyyy-mm-dd hh:mm"),INDEX(상세표[시작],$Q1188)&amp;""))</f>
        <v/>
      </c>
      <c r="G1188">
        <f>IF($Q1188="","",IF(ISNUMBER(INDEX(상세표[블록종료],$Q1188)),TEXT(INDEX(상세표[블록종료],$Q1188),"yyyy-mm-dd hh:mm"),INDEX(상세표[블록종료],$Q1188)&amp;""))</f>
        <v/>
      </c>
      <c r="H1188">
        <f>IF($Q1188="","",CHOOSE(WEEKDAY(INDEX(상세표[시작],$Q1188)),"일","월","화","수","목","금","토"))</f>
        <v/>
      </c>
      <c r="I1188" s="20">
        <f>IF($Q1188="","",INDEX(상세표[연속 시간],$Q1188))</f>
        <v/>
      </c>
      <c r="J1188">
        <f>IF($Q1188="","",INDEX(상세표[기록 수],$Q1188))</f>
        <v/>
      </c>
      <c r="K1188" s="20">
        <f>IF($Q1188="","",INDEX(상세표[블록 06~07시],$Q1188))</f>
        <v/>
      </c>
      <c r="L1188" s="20">
        <f>IF($Q1188="","",INDEX(상세표[블록 07~18시],$Q1188))</f>
        <v/>
      </c>
      <c r="M1188" s="20">
        <f>IF($Q1188="","",INDEX(상세표[블록 18~22시],$Q1188))</f>
        <v/>
      </c>
      <c r="N1188" s="20">
        <f>IF($Q1188="","",INDEX(상세표[블록 22~06시],$Q1188))</f>
        <v/>
      </c>
      <c r="O1188">
        <f>IF($Q1188="","",INDEX(상세표[주말·휴일 포함],$Q1188)&amp;"")</f>
        <v/>
      </c>
      <c r="P1188">
        <f>IF($Q1188="","",INDEX(상세표[월 넘김 포함],$Q1188)&amp;"")</f>
        <v/>
      </c>
      <c r="Q1188" s="4">
        <f>IFERROR(MATCH(1183,상세표[연속순번],0),"")</f>
        <v/>
      </c>
    </row>
    <row r="1189">
      <c r="A1189">
        <f>IF($Q1189="","",INDEX(상세표[부서],$Q1189)&amp;"")</f>
        <v/>
      </c>
      <c r="B1189">
        <f>IF($Q1189="","",INDEX(상세표[사번],$Q1189)&amp;"")</f>
        <v/>
      </c>
      <c r="C1189">
        <f>IF($Q1189="","",INDEX(상세표[성명],$Q1189)&amp;"")</f>
        <v/>
      </c>
      <c r="D1189">
        <f>IF($Q1189="","",INDEX(상세표[직위],$Q1189)&amp;"")</f>
        <v/>
      </c>
      <c r="E1189">
        <f>IF($Q1189="","",IF(ISNUMBER(INDEX(상세표[근무일자],$Q1189)),TEXT(INDEX(상세표[근무일자],$Q1189),"yyyy-mm-dd"),INDEX(상세표[근무일자],$Q1189)&amp;""))</f>
        <v/>
      </c>
      <c r="F1189">
        <f>IF($Q1189="","",IF(ISNUMBER(INDEX(상세표[시작],$Q1189)),TEXT(INDEX(상세표[시작],$Q1189),"yyyy-mm-dd hh:mm"),INDEX(상세표[시작],$Q1189)&amp;""))</f>
        <v/>
      </c>
      <c r="G1189">
        <f>IF($Q1189="","",IF(ISNUMBER(INDEX(상세표[블록종료],$Q1189)),TEXT(INDEX(상세표[블록종료],$Q1189),"yyyy-mm-dd hh:mm"),INDEX(상세표[블록종료],$Q1189)&amp;""))</f>
        <v/>
      </c>
      <c r="H1189">
        <f>IF($Q1189="","",CHOOSE(WEEKDAY(INDEX(상세표[시작],$Q1189)),"일","월","화","수","목","금","토"))</f>
        <v/>
      </c>
      <c r="I1189" s="20">
        <f>IF($Q1189="","",INDEX(상세표[연속 시간],$Q1189))</f>
        <v/>
      </c>
      <c r="J1189">
        <f>IF($Q1189="","",INDEX(상세표[기록 수],$Q1189))</f>
        <v/>
      </c>
      <c r="K1189" s="20">
        <f>IF($Q1189="","",INDEX(상세표[블록 06~07시],$Q1189))</f>
        <v/>
      </c>
      <c r="L1189" s="20">
        <f>IF($Q1189="","",INDEX(상세표[블록 07~18시],$Q1189))</f>
        <v/>
      </c>
      <c r="M1189" s="20">
        <f>IF($Q1189="","",INDEX(상세표[블록 18~22시],$Q1189))</f>
        <v/>
      </c>
      <c r="N1189" s="20">
        <f>IF($Q1189="","",INDEX(상세표[블록 22~06시],$Q1189))</f>
        <v/>
      </c>
      <c r="O1189">
        <f>IF($Q1189="","",INDEX(상세표[주말·휴일 포함],$Q1189)&amp;"")</f>
        <v/>
      </c>
      <c r="P1189">
        <f>IF($Q1189="","",INDEX(상세표[월 넘김 포함],$Q1189)&amp;"")</f>
        <v/>
      </c>
      <c r="Q1189" s="4">
        <f>IFERROR(MATCH(1184,상세표[연속순번],0),"")</f>
        <v/>
      </c>
    </row>
    <row r="1190">
      <c r="A1190">
        <f>IF($Q1190="","",INDEX(상세표[부서],$Q1190)&amp;"")</f>
        <v/>
      </c>
      <c r="B1190">
        <f>IF($Q1190="","",INDEX(상세표[사번],$Q1190)&amp;"")</f>
        <v/>
      </c>
      <c r="C1190">
        <f>IF($Q1190="","",INDEX(상세표[성명],$Q1190)&amp;"")</f>
        <v/>
      </c>
      <c r="D1190">
        <f>IF($Q1190="","",INDEX(상세표[직위],$Q1190)&amp;"")</f>
        <v/>
      </c>
      <c r="E1190">
        <f>IF($Q1190="","",IF(ISNUMBER(INDEX(상세표[근무일자],$Q1190)),TEXT(INDEX(상세표[근무일자],$Q1190),"yyyy-mm-dd"),INDEX(상세표[근무일자],$Q1190)&amp;""))</f>
        <v/>
      </c>
      <c r="F1190">
        <f>IF($Q1190="","",IF(ISNUMBER(INDEX(상세표[시작],$Q1190)),TEXT(INDEX(상세표[시작],$Q1190),"yyyy-mm-dd hh:mm"),INDEX(상세표[시작],$Q1190)&amp;""))</f>
        <v/>
      </c>
      <c r="G1190">
        <f>IF($Q1190="","",IF(ISNUMBER(INDEX(상세표[블록종료],$Q1190)),TEXT(INDEX(상세표[블록종료],$Q1190),"yyyy-mm-dd hh:mm"),INDEX(상세표[블록종료],$Q1190)&amp;""))</f>
        <v/>
      </c>
      <c r="H1190">
        <f>IF($Q1190="","",CHOOSE(WEEKDAY(INDEX(상세표[시작],$Q1190)),"일","월","화","수","목","금","토"))</f>
        <v/>
      </c>
      <c r="I1190" s="20">
        <f>IF($Q1190="","",INDEX(상세표[연속 시간],$Q1190))</f>
        <v/>
      </c>
      <c r="J1190">
        <f>IF($Q1190="","",INDEX(상세표[기록 수],$Q1190))</f>
        <v/>
      </c>
      <c r="K1190" s="20">
        <f>IF($Q1190="","",INDEX(상세표[블록 06~07시],$Q1190))</f>
        <v/>
      </c>
      <c r="L1190" s="20">
        <f>IF($Q1190="","",INDEX(상세표[블록 07~18시],$Q1190))</f>
        <v/>
      </c>
      <c r="M1190" s="20">
        <f>IF($Q1190="","",INDEX(상세표[블록 18~22시],$Q1190))</f>
        <v/>
      </c>
      <c r="N1190" s="20">
        <f>IF($Q1190="","",INDEX(상세표[블록 22~06시],$Q1190))</f>
        <v/>
      </c>
      <c r="O1190">
        <f>IF($Q1190="","",INDEX(상세표[주말·휴일 포함],$Q1190)&amp;"")</f>
        <v/>
      </c>
      <c r="P1190">
        <f>IF($Q1190="","",INDEX(상세표[월 넘김 포함],$Q1190)&amp;"")</f>
        <v/>
      </c>
      <c r="Q1190" s="4">
        <f>IFERROR(MATCH(1185,상세표[연속순번],0),"")</f>
        <v/>
      </c>
    </row>
    <row r="1191">
      <c r="A1191">
        <f>IF($Q1191="","",INDEX(상세표[부서],$Q1191)&amp;"")</f>
        <v/>
      </c>
      <c r="B1191">
        <f>IF($Q1191="","",INDEX(상세표[사번],$Q1191)&amp;"")</f>
        <v/>
      </c>
      <c r="C1191">
        <f>IF($Q1191="","",INDEX(상세표[성명],$Q1191)&amp;"")</f>
        <v/>
      </c>
      <c r="D1191">
        <f>IF($Q1191="","",INDEX(상세표[직위],$Q1191)&amp;"")</f>
        <v/>
      </c>
      <c r="E1191">
        <f>IF($Q1191="","",IF(ISNUMBER(INDEX(상세표[근무일자],$Q1191)),TEXT(INDEX(상세표[근무일자],$Q1191),"yyyy-mm-dd"),INDEX(상세표[근무일자],$Q1191)&amp;""))</f>
        <v/>
      </c>
      <c r="F1191">
        <f>IF($Q1191="","",IF(ISNUMBER(INDEX(상세표[시작],$Q1191)),TEXT(INDEX(상세표[시작],$Q1191),"yyyy-mm-dd hh:mm"),INDEX(상세표[시작],$Q1191)&amp;""))</f>
        <v/>
      </c>
      <c r="G1191">
        <f>IF($Q1191="","",IF(ISNUMBER(INDEX(상세표[블록종료],$Q1191)),TEXT(INDEX(상세표[블록종료],$Q1191),"yyyy-mm-dd hh:mm"),INDEX(상세표[블록종료],$Q1191)&amp;""))</f>
        <v/>
      </c>
      <c r="H1191">
        <f>IF($Q1191="","",CHOOSE(WEEKDAY(INDEX(상세표[시작],$Q1191)),"일","월","화","수","목","금","토"))</f>
        <v/>
      </c>
      <c r="I1191" s="20">
        <f>IF($Q1191="","",INDEX(상세표[연속 시간],$Q1191))</f>
        <v/>
      </c>
      <c r="J1191">
        <f>IF($Q1191="","",INDEX(상세표[기록 수],$Q1191))</f>
        <v/>
      </c>
      <c r="K1191" s="20">
        <f>IF($Q1191="","",INDEX(상세표[블록 06~07시],$Q1191))</f>
        <v/>
      </c>
      <c r="L1191" s="20">
        <f>IF($Q1191="","",INDEX(상세표[블록 07~18시],$Q1191))</f>
        <v/>
      </c>
      <c r="M1191" s="20">
        <f>IF($Q1191="","",INDEX(상세표[블록 18~22시],$Q1191))</f>
        <v/>
      </c>
      <c r="N1191" s="20">
        <f>IF($Q1191="","",INDEX(상세표[블록 22~06시],$Q1191))</f>
        <v/>
      </c>
      <c r="O1191">
        <f>IF($Q1191="","",INDEX(상세표[주말·휴일 포함],$Q1191)&amp;"")</f>
        <v/>
      </c>
      <c r="P1191">
        <f>IF($Q1191="","",INDEX(상세표[월 넘김 포함],$Q1191)&amp;"")</f>
        <v/>
      </c>
      <c r="Q1191" s="4">
        <f>IFERROR(MATCH(1186,상세표[연속순번],0),"")</f>
        <v/>
      </c>
    </row>
    <row r="1192">
      <c r="A1192">
        <f>IF($Q1192="","",INDEX(상세표[부서],$Q1192)&amp;"")</f>
        <v/>
      </c>
      <c r="B1192">
        <f>IF($Q1192="","",INDEX(상세표[사번],$Q1192)&amp;"")</f>
        <v/>
      </c>
      <c r="C1192">
        <f>IF($Q1192="","",INDEX(상세표[성명],$Q1192)&amp;"")</f>
        <v/>
      </c>
      <c r="D1192">
        <f>IF($Q1192="","",INDEX(상세표[직위],$Q1192)&amp;"")</f>
        <v/>
      </c>
      <c r="E1192">
        <f>IF($Q1192="","",IF(ISNUMBER(INDEX(상세표[근무일자],$Q1192)),TEXT(INDEX(상세표[근무일자],$Q1192),"yyyy-mm-dd"),INDEX(상세표[근무일자],$Q1192)&amp;""))</f>
        <v/>
      </c>
      <c r="F1192">
        <f>IF($Q1192="","",IF(ISNUMBER(INDEX(상세표[시작],$Q1192)),TEXT(INDEX(상세표[시작],$Q1192),"yyyy-mm-dd hh:mm"),INDEX(상세표[시작],$Q1192)&amp;""))</f>
        <v/>
      </c>
      <c r="G1192">
        <f>IF($Q1192="","",IF(ISNUMBER(INDEX(상세표[블록종료],$Q1192)),TEXT(INDEX(상세표[블록종료],$Q1192),"yyyy-mm-dd hh:mm"),INDEX(상세표[블록종료],$Q1192)&amp;""))</f>
        <v/>
      </c>
      <c r="H1192">
        <f>IF($Q1192="","",CHOOSE(WEEKDAY(INDEX(상세표[시작],$Q1192)),"일","월","화","수","목","금","토"))</f>
        <v/>
      </c>
      <c r="I1192" s="20">
        <f>IF($Q1192="","",INDEX(상세표[연속 시간],$Q1192))</f>
        <v/>
      </c>
      <c r="J1192">
        <f>IF($Q1192="","",INDEX(상세표[기록 수],$Q1192))</f>
        <v/>
      </c>
      <c r="K1192" s="20">
        <f>IF($Q1192="","",INDEX(상세표[블록 06~07시],$Q1192))</f>
        <v/>
      </c>
      <c r="L1192" s="20">
        <f>IF($Q1192="","",INDEX(상세표[블록 07~18시],$Q1192))</f>
        <v/>
      </c>
      <c r="M1192" s="20">
        <f>IF($Q1192="","",INDEX(상세표[블록 18~22시],$Q1192))</f>
        <v/>
      </c>
      <c r="N1192" s="20">
        <f>IF($Q1192="","",INDEX(상세표[블록 22~06시],$Q1192))</f>
        <v/>
      </c>
      <c r="O1192">
        <f>IF($Q1192="","",INDEX(상세표[주말·휴일 포함],$Q1192)&amp;"")</f>
        <v/>
      </c>
      <c r="P1192">
        <f>IF($Q1192="","",INDEX(상세표[월 넘김 포함],$Q1192)&amp;"")</f>
        <v/>
      </c>
      <c r="Q1192" s="4">
        <f>IFERROR(MATCH(1187,상세표[연속순번],0),"")</f>
        <v/>
      </c>
    </row>
    <row r="1193">
      <c r="A1193">
        <f>IF($Q1193="","",INDEX(상세표[부서],$Q1193)&amp;"")</f>
        <v/>
      </c>
      <c r="B1193">
        <f>IF($Q1193="","",INDEX(상세표[사번],$Q1193)&amp;"")</f>
        <v/>
      </c>
      <c r="C1193">
        <f>IF($Q1193="","",INDEX(상세표[성명],$Q1193)&amp;"")</f>
        <v/>
      </c>
      <c r="D1193">
        <f>IF($Q1193="","",INDEX(상세표[직위],$Q1193)&amp;"")</f>
        <v/>
      </c>
      <c r="E1193">
        <f>IF($Q1193="","",IF(ISNUMBER(INDEX(상세표[근무일자],$Q1193)),TEXT(INDEX(상세표[근무일자],$Q1193),"yyyy-mm-dd"),INDEX(상세표[근무일자],$Q1193)&amp;""))</f>
        <v/>
      </c>
      <c r="F1193">
        <f>IF($Q1193="","",IF(ISNUMBER(INDEX(상세표[시작],$Q1193)),TEXT(INDEX(상세표[시작],$Q1193),"yyyy-mm-dd hh:mm"),INDEX(상세표[시작],$Q1193)&amp;""))</f>
        <v/>
      </c>
      <c r="G1193">
        <f>IF($Q1193="","",IF(ISNUMBER(INDEX(상세표[블록종료],$Q1193)),TEXT(INDEX(상세표[블록종료],$Q1193),"yyyy-mm-dd hh:mm"),INDEX(상세표[블록종료],$Q1193)&amp;""))</f>
        <v/>
      </c>
      <c r="H1193">
        <f>IF($Q1193="","",CHOOSE(WEEKDAY(INDEX(상세표[시작],$Q1193)),"일","월","화","수","목","금","토"))</f>
        <v/>
      </c>
      <c r="I1193" s="20">
        <f>IF($Q1193="","",INDEX(상세표[연속 시간],$Q1193))</f>
        <v/>
      </c>
      <c r="J1193">
        <f>IF($Q1193="","",INDEX(상세표[기록 수],$Q1193))</f>
        <v/>
      </c>
      <c r="K1193" s="20">
        <f>IF($Q1193="","",INDEX(상세표[블록 06~07시],$Q1193))</f>
        <v/>
      </c>
      <c r="L1193" s="20">
        <f>IF($Q1193="","",INDEX(상세표[블록 07~18시],$Q1193))</f>
        <v/>
      </c>
      <c r="M1193" s="20">
        <f>IF($Q1193="","",INDEX(상세표[블록 18~22시],$Q1193))</f>
        <v/>
      </c>
      <c r="N1193" s="20">
        <f>IF($Q1193="","",INDEX(상세표[블록 22~06시],$Q1193))</f>
        <v/>
      </c>
      <c r="O1193">
        <f>IF($Q1193="","",INDEX(상세표[주말·휴일 포함],$Q1193)&amp;"")</f>
        <v/>
      </c>
      <c r="P1193">
        <f>IF($Q1193="","",INDEX(상세표[월 넘김 포함],$Q1193)&amp;"")</f>
        <v/>
      </c>
      <c r="Q1193" s="4">
        <f>IFERROR(MATCH(1188,상세표[연속순번],0),"")</f>
        <v/>
      </c>
    </row>
    <row r="1194">
      <c r="A1194">
        <f>IF($Q1194="","",INDEX(상세표[부서],$Q1194)&amp;"")</f>
        <v/>
      </c>
      <c r="B1194">
        <f>IF($Q1194="","",INDEX(상세표[사번],$Q1194)&amp;"")</f>
        <v/>
      </c>
      <c r="C1194">
        <f>IF($Q1194="","",INDEX(상세표[성명],$Q1194)&amp;"")</f>
        <v/>
      </c>
      <c r="D1194">
        <f>IF($Q1194="","",INDEX(상세표[직위],$Q1194)&amp;"")</f>
        <v/>
      </c>
      <c r="E1194">
        <f>IF($Q1194="","",IF(ISNUMBER(INDEX(상세표[근무일자],$Q1194)),TEXT(INDEX(상세표[근무일자],$Q1194),"yyyy-mm-dd"),INDEX(상세표[근무일자],$Q1194)&amp;""))</f>
        <v/>
      </c>
      <c r="F1194">
        <f>IF($Q1194="","",IF(ISNUMBER(INDEX(상세표[시작],$Q1194)),TEXT(INDEX(상세표[시작],$Q1194),"yyyy-mm-dd hh:mm"),INDEX(상세표[시작],$Q1194)&amp;""))</f>
        <v/>
      </c>
      <c r="G1194">
        <f>IF($Q1194="","",IF(ISNUMBER(INDEX(상세표[블록종료],$Q1194)),TEXT(INDEX(상세표[블록종료],$Q1194),"yyyy-mm-dd hh:mm"),INDEX(상세표[블록종료],$Q1194)&amp;""))</f>
        <v/>
      </c>
      <c r="H1194">
        <f>IF($Q1194="","",CHOOSE(WEEKDAY(INDEX(상세표[시작],$Q1194)),"일","월","화","수","목","금","토"))</f>
        <v/>
      </c>
      <c r="I1194" s="20">
        <f>IF($Q1194="","",INDEX(상세표[연속 시간],$Q1194))</f>
        <v/>
      </c>
      <c r="J1194">
        <f>IF($Q1194="","",INDEX(상세표[기록 수],$Q1194))</f>
        <v/>
      </c>
      <c r="K1194" s="20">
        <f>IF($Q1194="","",INDEX(상세표[블록 06~07시],$Q1194))</f>
        <v/>
      </c>
      <c r="L1194" s="20">
        <f>IF($Q1194="","",INDEX(상세표[블록 07~18시],$Q1194))</f>
        <v/>
      </c>
      <c r="M1194" s="20">
        <f>IF($Q1194="","",INDEX(상세표[블록 18~22시],$Q1194))</f>
        <v/>
      </c>
      <c r="N1194" s="20">
        <f>IF($Q1194="","",INDEX(상세표[블록 22~06시],$Q1194))</f>
        <v/>
      </c>
      <c r="O1194">
        <f>IF($Q1194="","",INDEX(상세표[주말·휴일 포함],$Q1194)&amp;"")</f>
        <v/>
      </c>
      <c r="P1194">
        <f>IF($Q1194="","",INDEX(상세표[월 넘김 포함],$Q1194)&amp;"")</f>
        <v/>
      </c>
      <c r="Q1194" s="4">
        <f>IFERROR(MATCH(1189,상세표[연속순번],0),"")</f>
        <v/>
      </c>
    </row>
    <row r="1195">
      <c r="A1195">
        <f>IF($Q1195="","",INDEX(상세표[부서],$Q1195)&amp;"")</f>
        <v/>
      </c>
      <c r="B1195">
        <f>IF($Q1195="","",INDEX(상세표[사번],$Q1195)&amp;"")</f>
        <v/>
      </c>
      <c r="C1195">
        <f>IF($Q1195="","",INDEX(상세표[성명],$Q1195)&amp;"")</f>
        <v/>
      </c>
      <c r="D1195">
        <f>IF($Q1195="","",INDEX(상세표[직위],$Q1195)&amp;"")</f>
        <v/>
      </c>
      <c r="E1195">
        <f>IF($Q1195="","",IF(ISNUMBER(INDEX(상세표[근무일자],$Q1195)),TEXT(INDEX(상세표[근무일자],$Q1195),"yyyy-mm-dd"),INDEX(상세표[근무일자],$Q1195)&amp;""))</f>
        <v/>
      </c>
      <c r="F1195">
        <f>IF($Q1195="","",IF(ISNUMBER(INDEX(상세표[시작],$Q1195)),TEXT(INDEX(상세표[시작],$Q1195),"yyyy-mm-dd hh:mm"),INDEX(상세표[시작],$Q1195)&amp;""))</f>
        <v/>
      </c>
      <c r="G1195">
        <f>IF($Q1195="","",IF(ISNUMBER(INDEX(상세표[블록종료],$Q1195)),TEXT(INDEX(상세표[블록종료],$Q1195),"yyyy-mm-dd hh:mm"),INDEX(상세표[블록종료],$Q1195)&amp;""))</f>
        <v/>
      </c>
      <c r="H1195">
        <f>IF($Q1195="","",CHOOSE(WEEKDAY(INDEX(상세표[시작],$Q1195)),"일","월","화","수","목","금","토"))</f>
        <v/>
      </c>
      <c r="I1195" s="20">
        <f>IF($Q1195="","",INDEX(상세표[연속 시간],$Q1195))</f>
        <v/>
      </c>
      <c r="J1195">
        <f>IF($Q1195="","",INDEX(상세표[기록 수],$Q1195))</f>
        <v/>
      </c>
      <c r="K1195" s="20">
        <f>IF($Q1195="","",INDEX(상세표[블록 06~07시],$Q1195))</f>
        <v/>
      </c>
      <c r="L1195" s="20">
        <f>IF($Q1195="","",INDEX(상세표[블록 07~18시],$Q1195))</f>
        <v/>
      </c>
      <c r="M1195" s="20">
        <f>IF($Q1195="","",INDEX(상세표[블록 18~22시],$Q1195))</f>
        <v/>
      </c>
      <c r="N1195" s="20">
        <f>IF($Q1195="","",INDEX(상세표[블록 22~06시],$Q1195))</f>
        <v/>
      </c>
      <c r="O1195">
        <f>IF($Q1195="","",INDEX(상세표[주말·휴일 포함],$Q1195)&amp;"")</f>
        <v/>
      </c>
      <c r="P1195">
        <f>IF($Q1195="","",INDEX(상세표[월 넘김 포함],$Q1195)&amp;"")</f>
        <v/>
      </c>
      <c r="Q1195" s="4">
        <f>IFERROR(MATCH(1190,상세표[연속순번],0),"")</f>
        <v/>
      </c>
    </row>
    <row r="1196">
      <c r="A1196">
        <f>IF($Q1196="","",INDEX(상세표[부서],$Q1196)&amp;"")</f>
        <v/>
      </c>
      <c r="B1196">
        <f>IF($Q1196="","",INDEX(상세표[사번],$Q1196)&amp;"")</f>
        <v/>
      </c>
      <c r="C1196">
        <f>IF($Q1196="","",INDEX(상세표[성명],$Q1196)&amp;"")</f>
        <v/>
      </c>
      <c r="D1196">
        <f>IF($Q1196="","",INDEX(상세표[직위],$Q1196)&amp;"")</f>
        <v/>
      </c>
      <c r="E1196">
        <f>IF($Q1196="","",IF(ISNUMBER(INDEX(상세표[근무일자],$Q1196)),TEXT(INDEX(상세표[근무일자],$Q1196),"yyyy-mm-dd"),INDEX(상세표[근무일자],$Q1196)&amp;""))</f>
        <v/>
      </c>
      <c r="F1196">
        <f>IF($Q1196="","",IF(ISNUMBER(INDEX(상세표[시작],$Q1196)),TEXT(INDEX(상세표[시작],$Q1196),"yyyy-mm-dd hh:mm"),INDEX(상세표[시작],$Q1196)&amp;""))</f>
        <v/>
      </c>
      <c r="G1196">
        <f>IF($Q1196="","",IF(ISNUMBER(INDEX(상세표[블록종료],$Q1196)),TEXT(INDEX(상세표[블록종료],$Q1196),"yyyy-mm-dd hh:mm"),INDEX(상세표[블록종료],$Q1196)&amp;""))</f>
        <v/>
      </c>
      <c r="H1196">
        <f>IF($Q1196="","",CHOOSE(WEEKDAY(INDEX(상세표[시작],$Q1196)),"일","월","화","수","목","금","토"))</f>
        <v/>
      </c>
      <c r="I1196" s="20">
        <f>IF($Q1196="","",INDEX(상세표[연속 시간],$Q1196))</f>
        <v/>
      </c>
      <c r="J1196">
        <f>IF($Q1196="","",INDEX(상세표[기록 수],$Q1196))</f>
        <v/>
      </c>
      <c r="K1196" s="20">
        <f>IF($Q1196="","",INDEX(상세표[블록 06~07시],$Q1196))</f>
        <v/>
      </c>
      <c r="L1196" s="20">
        <f>IF($Q1196="","",INDEX(상세표[블록 07~18시],$Q1196))</f>
        <v/>
      </c>
      <c r="M1196" s="20">
        <f>IF($Q1196="","",INDEX(상세표[블록 18~22시],$Q1196))</f>
        <v/>
      </c>
      <c r="N1196" s="20">
        <f>IF($Q1196="","",INDEX(상세표[블록 22~06시],$Q1196))</f>
        <v/>
      </c>
      <c r="O1196">
        <f>IF($Q1196="","",INDEX(상세표[주말·휴일 포함],$Q1196)&amp;"")</f>
        <v/>
      </c>
      <c r="P1196">
        <f>IF($Q1196="","",INDEX(상세표[월 넘김 포함],$Q1196)&amp;"")</f>
        <v/>
      </c>
      <c r="Q1196" s="4">
        <f>IFERROR(MATCH(1191,상세표[연속순번],0),"")</f>
        <v/>
      </c>
    </row>
    <row r="1197">
      <c r="A1197">
        <f>IF($Q1197="","",INDEX(상세표[부서],$Q1197)&amp;"")</f>
        <v/>
      </c>
      <c r="B1197">
        <f>IF($Q1197="","",INDEX(상세표[사번],$Q1197)&amp;"")</f>
        <v/>
      </c>
      <c r="C1197">
        <f>IF($Q1197="","",INDEX(상세표[성명],$Q1197)&amp;"")</f>
        <v/>
      </c>
      <c r="D1197">
        <f>IF($Q1197="","",INDEX(상세표[직위],$Q1197)&amp;"")</f>
        <v/>
      </c>
      <c r="E1197">
        <f>IF($Q1197="","",IF(ISNUMBER(INDEX(상세표[근무일자],$Q1197)),TEXT(INDEX(상세표[근무일자],$Q1197),"yyyy-mm-dd"),INDEX(상세표[근무일자],$Q1197)&amp;""))</f>
        <v/>
      </c>
      <c r="F1197">
        <f>IF($Q1197="","",IF(ISNUMBER(INDEX(상세표[시작],$Q1197)),TEXT(INDEX(상세표[시작],$Q1197),"yyyy-mm-dd hh:mm"),INDEX(상세표[시작],$Q1197)&amp;""))</f>
        <v/>
      </c>
      <c r="G1197">
        <f>IF($Q1197="","",IF(ISNUMBER(INDEX(상세표[블록종료],$Q1197)),TEXT(INDEX(상세표[블록종료],$Q1197),"yyyy-mm-dd hh:mm"),INDEX(상세표[블록종료],$Q1197)&amp;""))</f>
        <v/>
      </c>
      <c r="H1197">
        <f>IF($Q1197="","",CHOOSE(WEEKDAY(INDEX(상세표[시작],$Q1197)),"일","월","화","수","목","금","토"))</f>
        <v/>
      </c>
      <c r="I1197" s="20">
        <f>IF($Q1197="","",INDEX(상세표[연속 시간],$Q1197))</f>
        <v/>
      </c>
      <c r="J1197">
        <f>IF($Q1197="","",INDEX(상세표[기록 수],$Q1197))</f>
        <v/>
      </c>
      <c r="K1197" s="20">
        <f>IF($Q1197="","",INDEX(상세표[블록 06~07시],$Q1197))</f>
        <v/>
      </c>
      <c r="L1197" s="20">
        <f>IF($Q1197="","",INDEX(상세표[블록 07~18시],$Q1197))</f>
        <v/>
      </c>
      <c r="M1197" s="20">
        <f>IF($Q1197="","",INDEX(상세표[블록 18~22시],$Q1197))</f>
        <v/>
      </c>
      <c r="N1197" s="20">
        <f>IF($Q1197="","",INDEX(상세표[블록 22~06시],$Q1197))</f>
        <v/>
      </c>
      <c r="O1197">
        <f>IF($Q1197="","",INDEX(상세표[주말·휴일 포함],$Q1197)&amp;"")</f>
        <v/>
      </c>
      <c r="P1197">
        <f>IF($Q1197="","",INDEX(상세표[월 넘김 포함],$Q1197)&amp;"")</f>
        <v/>
      </c>
      <c r="Q1197" s="4">
        <f>IFERROR(MATCH(1192,상세표[연속순번],0),"")</f>
        <v/>
      </c>
    </row>
    <row r="1198">
      <c r="A1198">
        <f>IF($Q1198="","",INDEX(상세표[부서],$Q1198)&amp;"")</f>
        <v/>
      </c>
      <c r="B1198">
        <f>IF($Q1198="","",INDEX(상세표[사번],$Q1198)&amp;"")</f>
        <v/>
      </c>
      <c r="C1198">
        <f>IF($Q1198="","",INDEX(상세표[성명],$Q1198)&amp;"")</f>
        <v/>
      </c>
      <c r="D1198">
        <f>IF($Q1198="","",INDEX(상세표[직위],$Q1198)&amp;"")</f>
        <v/>
      </c>
      <c r="E1198">
        <f>IF($Q1198="","",IF(ISNUMBER(INDEX(상세표[근무일자],$Q1198)),TEXT(INDEX(상세표[근무일자],$Q1198),"yyyy-mm-dd"),INDEX(상세표[근무일자],$Q1198)&amp;""))</f>
        <v/>
      </c>
      <c r="F1198">
        <f>IF($Q1198="","",IF(ISNUMBER(INDEX(상세표[시작],$Q1198)),TEXT(INDEX(상세표[시작],$Q1198),"yyyy-mm-dd hh:mm"),INDEX(상세표[시작],$Q1198)&amp;""))</f>
        <v/>
      </c>
      <c r="G1198">
        <f>IF($Q1198="","",IF(ISNUMBER(INDEX(상세표[블록종료],$Q1198)),TEXT(INDEX(상세표[블록종료],$Q1198),"yyyy-mm-dd hh:mm"),INDEX(상세표[블록종료],$Q1198)&amp;""))</f>
        <v/>
      </c>
      <c r="H1198">
        <f>IF($Q1198="","",CHOOSE(WEEKDAY(INDEX(상세표[시작],$Q1198)),"일","월","화","수","목","금","토"))</f>
        <v/>
      </c>
      <c r="I1198" s="20">
        <f>IF($Q1198="","",INDEX(상세표[연속 시간],$Q1198))</f>
        <v/>
      </c>
      <c r="J1198">
        <f>IF($Q1198="","",INDEX(상세표[기록 수],$Q1198))</f>
        <v/>
      </c>
      <c r="K1198" s="20">
        <f>IF($Q1198="","",INDEX(상세표[블록 06~07시],$Q1198))</f>
        <v/>
      </c>
      <c r="L1198" s="20">
        <f>IF($Q1198="","",INDEX(상세표[블록 07~18시],$Q1198))</f>
        <v/>
      </c>
      <c r="M1198" s="20">
        <f>IF($Q1198="","",INDEX(상세표[블록 18~22시],$Q1198))</f>
        <v/>
      </c>
      <c r="N1198" s="20">
        <f>IF($Q1198="","",INDEX(상세표[블록 22~06시],$Q1198))</f>
        <v/>
      </c>
      <c r="O1198">
        <f>IF($Q1198="","",INDEX(상세표[주말·휴일 포함],$Q1198)&amp;"")</f>
        <v/>
      </c>
      <c r="P1198">
        <f>IF($Q1198="","",INDEX(상세표[월 넘김 포함],$Q1198)&amp;"")</f>
        <v/>
      </c>
      <c r="Q1198" s="4">
        <f>IFERROR(MATCH(1193,상세표[연속순번],0),"")</f>
        <v/>
      </c>
    </row>
    <row r="1199">
      <c r="A1199">
        <f>IF($Q1199="","",INDEX(상세표[부서],$Q1199)&amp;"")</f>
        <v/>
      </c>
      <c r="B1199">
        <f>IF($Q1199="","",INDEX(상세표[사번],$Q1199)&amp;"")</f>
        <v/>
      </c>
      <c r="C1199">
        <f>IF($Q1199="","",INDEX(상세표[성명],$Q1199)&amp;"")</f>
        <v/>
      </c>
      <c r="D1199">
        <f>IF($Q1199="","",INDEX(상세표[직위],$Q1199)&amp;"")</f>
        <v/>
      </c>
      <c r="E1199">
        <f>IF($Q1199="","",IF(ISNUMBER(INDEX(상세표[근무일자],$Q1199)),TEXT(INDEX(상세표[근무일자],$Q1199),"yyyy-mm-dd"),INDEX(상세표[근무일자],$Q1199)&amp;""))</f>
        <v/>
      </c>
      <c r="F1199">
        <f>IF($Q1199="","",IF(ISNUMBER(INDEX(상세표[시작],$Q1199)),TEXT(INDEX(상세표[시작],$Q1199),"yyyy-mm-dd hh:mm"),INDEX(상세표[시작],$Q1199)&amp;""))</f>
        <v/>
      </c>
      <c r="G1199">
        <f>IF($Q1199="","",IF(ISNUMBER(INDEX(상세표[블록종료],$Q1199)),TEXT(INDEX(상세표[블록종료],$Q1199),"yyyy-mm-dd hh:mm"),INDEX(상세표[블록종료],$Q1199)&amp;""))</f>
        <v/>
      </c>
      <c r="H1199">
        <f>IF($Q1199="","",CHOOSE(WEEKDAY(INDEX(상세표[시작],$Q1199)),"일","월","화","수","목","금","토"))</f>
        <v/>
      </c>
      <c r="I1199" s="20">
        <f>IF($Q1199="","",INDEX(상세표[연속 시간],$Q1199))</f>
        <v/>
      </c>
      <c r="J1199">
        <f>IF($Q1199="","",INDEX(상세표[기록 수],$Q1199))</f>
        <v/>
      </c>
      <c r="K1199" s="20">
        <f>IF($Q1199="","",INDEX(상세표[블록 06~07시],$Q1199))</f>
        <v/>
      </c>
      <c r="L1199" s="20">
        <f>IF($Q1199="","",INDEX(상세표[블록 07~18시],$Q1199))</f>
        <v/>
      </c>
      <c r="M1199" s="20">
        <f>IF($Q1199="","",INDEX(상세표[블록 18~22시],$Q1199))</f>
        <v/>
      </c>
      <c r="N1199" s="20">
        <f>IF($Q1199="","",INDEX(상세표[블록 22~06시],$Q1199))</f>
        <v/>
      </c>
      <c r="O1199">
        <f>IF($Q1199="","",INDEX(상세표[주말·휴일 포함],$Q1199)&amp;"")</f>
        <v/>
      </c>
      <c r="P1199">
        <f>IF($Q1199="","",INDEX(상세표[월 넘김 포함],$Q1199)&amp;"")</f>
        <v/>
      </c>
      <c r="Q1199" s="4">
        <f>IFERROR(MATCH(1194,상세표[연속순번],0),"")</f>
        <v/>
      </c>
    </row>
    <row r="1200">
      <c r="A1200">
        <f>IF($Q1200="","",INDEX(상세표[부서],$Q1200)&amp;"")</f>
        <v/>
      </c>
      <c r="B1200">
        <f>IF($Q1200="","",INDEX(상세표[사번],$Q1200)&amp;"")</f>
        <v/>
      </c>
      <c r="C1200">
        <f>IF($Q1200="","",INDEX(상세표[성명],$Q1200)&amp;"")</f>
        <v/>
      </c>
      <c r="D1200">
        <f>IF($Q1200="","",INDEX(상세표[직위],$Q1200)&amp;"")</f>
        <v/>
      </c>
      <c r="E1200">
        <f>IF($Q1200="","",IF(ISNUMBER(INDEX(상세표[근무일자],$Q1200)),TEXT(INDEX(상세표[근무일자],$Q1200),"yyyy-mm-dd"),INDEX(상세표[근무일자],$Q1200)&amp;""))</f>
        <v/>
      </c>
      <c r="F1200">
        <f>IF($Q1200="","",IF(ISNUMBER(INDEX(상세표[시작],$Q1200)),TEXT(INDEX(상세표[시작],$Q1200),"yyyy-mm-dd hh:mm"),INDEX(상세표[시작],$Q1200)&amp;""))</f>
        <v/>
      </c>
      <c r="G1200">
        <f>IF($Q1200="","",IF(ISNUMBER(INDEX(상세표[블록종료],$Q1200)),TEXT(INDEX(상세표[블록종료],$Q1200),"yyyy-mm-dd hh:mm"),INDEX(상세표[블록종료],$Q1200)&amp;""))</f>
        <v/>
      </c>
      <c r="H1200">
        <f>IF($Q1200="","",CHOOSE(WEEKDAY(INDEX(상세표[시작],$Q1200)),"일","월","화","수","목","금","토"))</f>
        <v/>
      </c>
      <c r="I1200" s="20">
        <f>IF($Q1200="","",INDEX(상세표[연속 시간],$Q1200))</f>
        <v/>
      </c>
      <c r="J1200">
        <f>IF($Q1200="","",INDEX(상세표[기록 수],$Q1200))</f>
        <v/>
      </c>
      <c r="K1200" s="20">
        <f>IF($Q1200="","",INDEX(상세표[블록 06~07시],$Q1200))</f>
        <v/>
      </c>
      <c r="L1200" s="20">
        <f>IF($Q1200="","",INDEX(상세표[블록 07~18시],$Q1200))</f>
        <v/>
      </c>
      <c r="M1200" s="20">
        <f>IF($Q1200="","",INDEX(상세표[블록 18~22시],$Q1200))</f>
        <v/>
      </c>
      <c r="N1200" s="20">
        <f>IF($Q1200="","",INDEX(상세표[블록 22~06시],$Q1200))</f>
        <v/>
      </c>
      <c r="O1200">
        <f>IF($Q1200="","",INDEX(상세표[주말·휴일 포함],$Q1200)&amp;"")</f>
        <v/>
      </c>
      <c r="P1200">
        <f>IF($Q1200="","",INDEX(상세표[월 넘김 포함],$Q1200)&amp;"")</f>
        <v/>
      </c>
      <c r="Q1200" s="4">
        <f>IFERROR(MATCH(1195,상세표[연속순번],0),"")</f>
        <v/>
      </c>
    </row>
    <row r="1201">
      <c r="A1201">
        <f>IF($Q1201="","",INDEX(상세표[부서],$Q1201)&amp;"")</f>
        <v/>
      </c>
      <c r="B1201">
        <f>IF($Q1201="","",INDEX(상세표[사번],$Q1201)&amp;"")</f>
        <v/>
      </c>
      <c r="C1201">
        <f>IF($Q1201="","",INDEX(상세표[성명],$Q1201)&amp;"")</f>
        <v/>
      </c>
      <c r="D1201">
        <f>IF($Q1201="","",INDEX(상세표[직위],$Q1201)&amp;"")</f>
        <v/>
      </c>
      <c r="E1201">
        <f>IF($Q1201="","",IF(ISNUMBER(INDEX(상세표[근무일자],$Q1201)),TEXT(INDEX(상세표[근무일자],$Q1201),"yyyy-mm-dd"),INDEX(상세표[근무일자],$Q1201)&amp;""))</f>
        <v/>
      </c>
      <c r="F1201">
        <f>IF($Q1201="","",IF(ISNUMBER(INDEX(상세표[시작],$Q1201)),TEXT(INDEX(상세표[시작],$Q1201),"yyyy-mm-dd hh:mm"),INDEX(상세표[시작],$Q1201)&amp;""))</f>
        <v/>
      </c>
      <c r="G1201">
        <f>IF($Q1201="","",IF(ISNUMBER(INDEX(상세표[블록종료],$Q1201)),TEXT(INDEX(상세표[블록종료],$Q1201),"yyyy-mm-dd hh:mm"),INDEX(상세표[블록종료],$Q1201)&amp;""))</f>
        <v/>
      </c>
      <c r="H1201">
        <f>IF($Q1201="","",CHOOSE(WEEKDAY(INDEX(상세표[시작],$Q1201)),"일","월","화","수","목","금","토"))</f>
        <v/>
      </c>
      <c r="I1201" s="20">
        <f>IF($Q1201="","",INDEX(상세표[연속 시간],$Q1201))</f>
        <v/>
      </c>
      <c r="J1201">
        <f>IF($Q1201="","",INDEX(상세표[기록 수],$Q1201))</f>
        <v/>
      </c>
      <c r="K1201" s="20">
        <f>IF($Q1201="","",INDEX(상세표[블록 06~07시],$Q1201))</f>
        <v/>
      </c>
      <c r="L1201" s="20">
        <f>IF($Q1201="","",INDEX(상세표[블록 07~18시],$Q1201))</f>
        <v/>
      </c>
      <c r="M1201" s="20">
        <f>IF($Q1201="","",INDEX(상세표[블록 18~22시],$Q1201))</f>
        <v/>
      </c>
      <c r="N1201" s="20">
        <f>IF($Q1201="","",INDEX(상세표[블록 22~06시],$Q1201))</f>
        <v/>
      </c>
      <c r="O1201">
        <f>IF($Q1201="","",INDEX(상세표[주말·휴일 포함],$Q1201)&amp;"")</f>
        <v/>
      </c>
      <c r="P1201">
        <f>IF($Q1201="","",INDEX(상세표[월 넘김 포함],$Q1201)&amp;"")</f>
        <v/>
      </c>
      <c r="Q1201" s="4">
        <f>IFERROR(MATCH(1196,상세표[연속순번],0),"")</f>
        <v/>
      </c>
    </row>
    <row r="1202">
      <c r="A1202">
        <f>IF($Q1202="","",INDEX(상세표[부서],$Q1202)&amp;"")</f>
        <v/>
      </c>
      <c r="B1202">
        <f>IF($Q1202="","",INDEX(상세표[사번],$Q1202)&amp;"")</f>
        <v/>
      </c>
      <c r="C1202">
        <f>IF($Q1202="","",INDEX(상세표[성명],$Q1202)&amp;"")</f>
        <v/>
      </c>
      <c r="D1202">
        <f>IF($Q1202="","",INDEX(상세표[직위],$Q1202)&amp;"")</f>
        <v/>
      </c>
      <c r="E1202">
        <f>IF($Q1202="","",IF(ISNUMBER(INDEX(상세표[근무일자],$Q1202)),TEXT(INDEX(상세표[근무일자],$Q1202),"yyyy-mm-dd"),INDEX(상세표[근무일자],$Q1202)&amp;""))</f>
        <v/>
      </c>
      <c r="F1202">
        <f>IF($Q1202="","",IF(ISNUMBER(INDEX(상세표[시작],$Q1202)),TEXT(INDEX(상세표[시작],$Q1202),"yyyy-mm-dd hh:mm"),INDEX(상세표[시작],$Q1202)&amp;""))</f>
        <v/>
      </c>
      <c r="G1202">
        <f>IF($Q1202="","",IF(ISNUMBER(INDEX(상세표[블록종료],$Q1202)),TEXT(INDEX(상세표[블록종료],$Q1202),"yyyy-mm-dd hh:mm"),INDEX(상세표[블록종료],$Q1202)&amp;""))</f>
        <v/>
      </c>
      <c r="H1202">
        <f>IF($Q1202="","",CHOOSE(WEEKDAY(INDEX(상세표[시작],$Q1202)),"일","월","화","수","목","금","토"))</f>
        <v/>
      </c>
      <c r="I1202" s="20">
        <f>IF($Q1202="","",INDEX(상세표[연속 시간],$Q1202))</f>
        <v/>
      </c>
      <c r="J1202">
        <f>IF($Q1202="","",INDEX(상세표[기록 수],$Q1202))</f>
        <v/>
      </c>
      <c r="K1202" s="20">
        <f>IF($Q1202="","",INDEX(상세표[블록 06~07시],$Q1202))</f>
        <v/>
      </c>
      <c r="L1202" s="20">
        <f>IF($Q1202="","",INDEX(상세표[블록 07~18시],$Q1202))</f>
        <v/>
      </c>
      <c r="M1202" s="20">
        <f>IF($Q1202="","",INDEX(상세표[블록 18~22시],$Q1202))</f>
        <v/>
      </c>
      <c r="N1202" s="20">
        <f>IF($Q1202="","",INDEX(상세표[블록 22~06시],$Q1202))</f>
        <v/>
      </c>
      <c r="O1202">
        <f>IF($Q1202="","",INDEX(상세표[주말·휴일 포함],$Q1202)&amp;"")</f>
        <v/>
      </c>
      <c r="P1202">
        <f>IF($Q1202="","",INDEX(상세표[월 넘김 포함],$Q1202)&amp;"")</f>
        <v/>
      </c>
      <c r="Q1202" s="4">
        <f>IFERROR(MATCH(1197,상세표[연속순번],0),"")</f>
        <v/>
      </c>
    </row>
    <row r="1203">
      <c r="A1203">
        <f>IF($Q1203="","",INDEX(상세표[부서],$Q1203)&amp;"")</f>
        <v/>
      </c>
      <c r="B1203">
        <f>IF($Q1203="","",INDEX(상세표[사번],$Q1203)&amp;"")</f>
        <v/>
      </c>
      <c r="C1203">
        <f>IF($Q1203="","",INDEX(상세표[성명],$Q1203)&amp;"")</f>
        <v/>
      </c>
      <c r="D1203">
        <f>IF($Q1203="","",INDEX(상세표[직위],$Q1203)&amp;"")</f>
        <v/>
      </c>
      <c r="E1203">
        <f>IF($Q1203="","",IF(ISNUMBER(INDEX(상세표[근무일자],$Q1203)),TEXT(INDEX(상세표[근무일자],$Q1203),"yyyy-mm-dd"),INDEX(상세표[근무일자],$Q1203)&amp;""))</f>
        <v/>
      </c>
      <c r="F1203">
        <f>IF($Q1203="","",IF(ISNUMBER(INDEX(상세표[시작],$Q1203)),TEXT(INDEX(상세표[시작],$Q1203),"yyyy-mm-dd hh:mm"),INDEX(상세표[시작],$Q1203)&amp;""))</f>
        <v/>
      </c>
      <c r="G1203">
        <f>IF($Q1203="","",IF(ISNUMBER(INDEX(상세표[블록종료],$Q1203)),TEXT(INDEX(상세표[블록종료],$Q1203),"yyyy-mm-dd hh:mm"),INDEX(상세표[블록종료],$Q1203)&amp;""))</f>
        <v/>
      </c>
      <c r="H1203">
        <f>IF($Q1203="","",CHOOSE(WEEKDAY(INDEX(상세표[시작],$Q1203)),"일","월","화","수","목","금","토"))</f>
        <v/>
      </c>
      <c r="I1203" s="20">
        <f>IF($Q1203="","",INDEX(상세표[연속 시간],$Q1203))</f>
        <v/>
      </c>
      <c r="J1203">
        <f>IF($Q1203="","",INDEX(상세표[기록 수],$Q1203))</f>
        <v/>
      </c>
      <c r="K1203" s="20">
        <f>IF($Q1203="","",INDEX(상세표[블록 06~07시],$Q1203))</f>
        <v/>
      </c>
      <c r="L1203" s="20">
        <f>IF($Q1203="","",INDEX(상세표[블록 07~18시],$Q1203))</f>
        <v/>
      </c>
      <c r="M1203" s="20">
        <f>IF($Q1203="","",INDEX(상세표[블록 18~22시],$Q1203))</f>
        <v/>
      </c>
      <c r="N1203" s="20">
        <f>IF($Q1203="","",INDEX(상세표[블록 22~06시],$Q1203))</f>
        <v/>
      </c>
      <c r="O1203">
        <f>IF($Q1203="","",INDEX(상세표[주말·휴일 포함],$Q1203)&amp;"")</f>
        <v/>
      </c>
      <c r="P1203">
        <f>IF($Q1203="","",INDEX(상세표[월 넘김 포함],$Q1203)&amp;"")</f>
        <v/>
      </c>
      <c r="Q1203" s="4">
        <f>IFERROR(MATCH(1198,상세표[연속순번],0),"")</f>
        <v/>
      </c>
    </row>
    <row r="1204">
      <c r="A1204">
        <f>IF($Q1204="","",INDEX(상세표[부서],$Q1204)&amp;"")</f>
        <v/>
      </c>
      <c r="B1204">
        <f>IF($Q1204="","",INDEX(상세표[사번],$Q1204)&amp;"")</f>
        <v/>
      </c>
      <c r="C1204">
        <f>IF($Q1204="","",INDEX(상세표[성명],$Q1204)&amp;"")</f>
        <v/>
      </c>
      <c r="D1204">
        <f>IF($Q1204="","",INDEX(상세표[직위],$Q1204)&amp;"")</f>
        <v/>
      </c>
      <c r="E1204">
        <f>IF($Q1204="","",IF(ISNUMBER(INDEX(상세표[근무일자],$Q1204)),TEXT(INDEX(상세표[근무일자],$Q1204),"yyyy-mm-dd"),INDEX(상세표[근무일자],$Q1204)&amp;""))</f>
        <v/>
      </c>
      <c r="F1204">
        <f>IF($Q1204="","",IF(ISNUMBER(INDEX(상세표[시작],$Q1204)),TEXT(INDEX(상세표[시작],$Q1204),"yyyy-mm-dd hh:mm"),INDEX(상세표[시작],$Q1204)&amp;""))</f>
        <v/>
      </c>
      <c r="G1204">
        <f>IF($Q1204="","",IF(ISNUMBER(INDEX(상세표[블록종료],$Q1204)),TEXT(INDEX(상세표[블록종료],$Q1204),"yyyy-mm-dd hh:mm"),INDEX(상세표[블록종료],$Q1204)&amp;""))</f>
        <v/>
      </c>
      <c r="H1204">
        <f>IF($Q1204="","",CHOOSE(WEEKDAY(INDEX(상세표[시작],$Q1204)),"일","월","화","수","목","금","토"))</f>
        <v/>
      </c>
      <c r="I1204" s="20">
        <f>IF($Q1204="","",INDEX(상세표[연속 시간],$Q1204))</f>
        <v/>
      </c>
      <c r="J1204">
        <f>IF($Q1204="","",INDEX(상세표[기록 수],$Q1204))</f>
        <v/>
      </c>
      <c r="K1204" s="20">
        <f>IF($Q1204="","",INDEX(상세표[블록 06~07시],$Q1204))</f>
        <v/>
      </c>
      <c r="L1204" s="20">
        <f>IF($Q1204="","",INDEX(상세표[블록 07~18시],$Q1204))</f>
        <v/>
      </c>
      <c r="M1204" s="20">
        <f>IF($Q1204="","",INDEX(상세표[블록 18~22시],$Q1204))</f>
        <v/>
      </c>
      <c r="N1204" s="20">
        <f>IF($Q1204="","",INDEX(상세표[블록 22~06시],$Q1204))</f>
        <v/>
      </c>
      <c r="O1204">
        <f>IF($Q1204="","",INDEX(상세표[주말·휴일 포함],$Q1204)&amp;"")</f>
        <v/>
      </c>
      <c r="P1204">
        <f>IF($Q1204="","",INDEX(상세표[월 넘김 포함],$Q1204)&amp;"")</f>
        <v/>
      </c>
      <c r="Q1204" s="4">
        <f>IFERROR(MATCH(1199,상세표[연속순번],0),"")</f>
        <v/>
      </c>
    </row>
    <row r="1205">
      <c r="A1205">
        <f>IF($Q1205="","",INDEX(상세표[부서],$Q1205)&amp;"")</f>
        <v/>
      </c>
      <c r="B1205">
        <f>IF($Q1205="","",INDEX(상세표[사번],$Q1205)&amp;"")</f>
        <v/>
      </c>
      <c r="C1205">
        <f>IF($Q1205="","",INDEX(상세표[성명],$Q1205)&amp;"")</f>
        <v/>
      </c>
      <c r="D1205">
        <f>IF($Q1205="","",INDEX(상세표[직위],$Q1205)&amp;"")</f>
        <v/>
      </c>
      <c r="E1205">
        <f>IF($Q1205="","",IF(ISNUMBER(INDEX(상세표[근무일자],$Q1205)),TEXT(INDEX(상세표[근무일자],$Q1205),"yyyy-mm-dd"),INDEX(상세표[근무일자],$Q1205)&amp;""))</f>
        <v/>
      </c>
      <c r="F1205">
        <f>IF($Q1205="","",IF(ISNUMBER(INDEX(상세표[시작],$Q1205)),TEXT(INDEX(상세표[시작],$Q1205),"yyyy-mm-dd hh:mm"),INDEX(상세표[시작],$Q1205)&amp;""))</f>
        <v/>
      </c>
      <c r="G1205">
        <f>IF($Q1205="","",IF(ISNUMBER(INDEX(상세표[블록종료],$Q1205)),TEXT(INDEX(상세표[블록종료],$Q1205),"yyyy-mm-dd hh:mm"),INDEX(상세표[블록종료],$Q1205)&amp;""))</f>
        <v/>
      </c>
      <c r="H1205">
        <f>IF($Q1205="","",CHOOSE(WEEKDAY(INDEX(상세표[시작],$Q1205)),"일","월","화","수","목","금","토"))</f>
        <v/>
      </c>
      <c r="I1205" s="20">
        <f>IF($Q1205="","",INDEX(상세표[연속 시간],$Q1205))</f>
        <v/>
      </c>
      <c r="J1205">
        <f>IF($Q1205="","",INDEX(상세표[기록 수],$Q1205))</f>
        <v/>
      </c>
      <c r="K1205" s="20">
        <f>IF($Q1205="","",INDEX(상세표[블록 06~07시],$Q1205))</f>
        <v/>
      </c>
      <c r="L1205" s="20">
        <f>IF($Q1205="","",INDEX(상세표[블록 07~18시],$Q1205))</f>
        <v/>
      </c>
      <c r="M1205" s="20">
        <f>IF($Q1205="","",INDEX(상세표[블록 18~22시],$Q1205))</f>
        <v/>
      </c>
      <c r="N1205" s="20">
        <f>IF($Q1205="","",INDEX(상세표[블록 22~06시],$Q1205))</f>
        <v/>
      </c>
      <c r="O1205">
        <f>IF($Q1205="","",INDEX(상세표[주말·휴일 포함],$Q1205)&amp;"")</f>
        <v/>
      </c>
      <c r="P1205">
        <f>IF($Q1205="","",INDEX(상세표[월 넘김 포함],$Q1205)&amp;"")</f>
        <v/>
      </c>
      <c r="Q1205" s="4">
        <f>IFERROR(MATCH(1200,상세표[연속순번],0),"")</f>
        <v/>
      </c>
    </row>
    <row r="1206">
      <c r="A1206">
        <f>IF($Q1206="","",INDEX(상세표[부서],$Q1206)&amp;"")</f>
        <v/>
      </c>
      <c r="B1206">
        <f>IF($Q1206="","",INDEX(상세표[사번],$Q1206)&amp;"")</f>
        <v/>
      </c>
      <c r="C1206">
        <f>IF($Q1206="","",INDEX(상세표[성명],$Q1206)&amp;"")</f>
        <v/>
      </c>
      <c r="D1206">
        <f>IF($Q1206="","",INDEX(상세표[직위],$Q1206)&amp;"")</f>
        <v/>
      </c>
      <c r="E1206">
        <f>IF($Q1206="","",IF(ISNUMBER(INDEX(상세표[근무일자],$Q1206)),TEXT(INDEX(상세표[근무일자],$Q1206),"yyyy-mm-dd"),INDEX(상세표[근무일자],$Q1206)&amp;""))</f>
        <v/>
      </c>
      <c r="F1206">
        <f>IF($Q1206="","",IF(ISNUMBER(INDEX(상세표[시작],$Q1206)),TEXT(INDEX(상세표[시작],$Q1206),"yyyy-mm-dd hh:mm"),INDEX(상세표[시작],$Q1206)&amp;""))</f>
        <v/>
      </c>
      <c r="G1206">
        <f>IF($Q1206="","",IF(ISNUMBER(INDEX(상세표[블록종료],$Q1206)),TEXT(INDEX(상세표[블록종료],$Q1206),"yyyy-mm-dd hh:mm"),INDEX(상세표[블록종료],$Q1206)&amp;""))</f>
        <v/>
      </c>
      <c r="H1206">
        <f>IF($Q1206="","",CHOOSE(WEEKDAY(INDEX(상세표[시작],$Q1206)),"일","월","화","수","목","금","토"))</f>
        <v/>
      </c>
      <c r="I1206" s="20">
        <f>IF($Q1206="","",INDEX(상세표[연속 시간],$Q1206))</f>
        <v/>
      </c>
      <c r="J1206">
        <f>IF($Q1206="","",INDEX(상세표[기록 수],$Q1206))</f>
        <v/>
      </c>
      <c r="K1206" s="20">
        <f>IF($Q1206="","",INDEX(상세표[블록 06~07시],$Q1206))</f>
        <v/>
      </c>
      <c r="L1206" s="20">
        <f>IF($Q1206="","",INDEX(상세표[블록 07~18시],$Q1206))</f>
        <v/>
      </c>
      <c r="M1206" s="20">
        <f>IF($Q1206="","",INDEX(상세표[블록 18~22시],$Q1206))</f>
        <v/>
      </c>
      <c r="N1206" s="20">
        <f>IF($Q1206="","",INDEX(상세표[블록 22~06시],$Q1206))</f>
        <v/>
      </c>
      <c r="O1206">
        <f>IF($Q1206="","",INDEX(상세표[주말·휴일 포함],$Q1206)&amp;"")</f>
        <v/>
      </c>
      <c r="P1206">
        <f>IF($Q1206="","",INDEX(상세표[월 넘김 포함],$Q1206)&amp;"")</f>
        <v/>
      </c>
      <c r="Q1206" s="4">
        <f>IFERROR(MATCH(1201,상세표[연속순번],0),"")</f>
        <v/>
      </c>
    </row>
    <row r="1207">
      <c r="A1207">
        <f>IF($Q1207="","",INDEX(상세표[부서],$Q1207)&amp;"")</f>
        <v/>
      </c>
      <c r="B1207">
        <f>IF($Q1207="","",INDEX(상세표[사번],$Q1207)&amp;"")</f>
        <v/>
      </c>
      <c r="C1207">
        <f>IF($Q1207="","",INDEX(상세표[성명],$Q1207)&amp;"")</f>
        <v/>
      </c>
      <c r="D1207">
        <f>IF($Q1207="","",INDEX(상세표[직위],$Q1207)&amp;"")</f>
        <v/>
      </c>
      <c r="E1207">
        <f>IF($Q1207="","",IF(ISNUMBER(INDEX(상세표[근무일자],$Q1207)),TEXT(INDEX(상세표[근무일자],$Q1207),"yyyy-mm-dd"),INDEX(상세표[근무일자],$Q1207)&amp;""))</f>
        <v/>
      </c>
      <c r="F1207">
        <f>IF($Q1207="","",IF(ISNUMBER(INDEX(상세표[시작],$Q1207)),TEXT(INDEX(상세표[시작],$Q1207),"yyyy-mm-dd hh:mm"),INDEX(상세표[시작],$Q1207)&amp;""))</f>
        <v/>
      </c>
      <c r="G1207">
        <f>IF($Q1207="","",IF(ISNUMBER(INDEX(상세표[블록종료],$Q1207)),TEXT(INDEX(상세표[블록종료],$Q1207),"yyyy-mm-dd hh:mm"),INDEX(상세표[블록종료],$Q1207)&amp;""))</f>
        <v/>
      </c>
      <c r="H1207">
        <f>IF($Q1207="","",CHOOSE(WEEKDAY(INDEX(상세표[시작],$Q1207)),"일","월","화","수","목","금","토"))</f>
        <v/>
      </c>
      <c r="I1207" s="20">
        <f>IF($Q1207="","",INDEX(상세표[연속 시간],$Q1207))</f>
        <v/>
      </c>
      <c r="J1207">
        <f>IF($Q1207="","",INDEX(상세표[기록 수],$Q1207))</f>
        <v/>
      </c>
      <c r="K1207" s="20">
        <f>IF($Q1207="","",INDEX(상세표[블록 06~07시],$Q1207))</f>
        <v/>
      </c>
      <c r="L1207" s="20">
        <f>IF($Q1207="","",INDEX(상세표[블록 07~18시],$Q1207))</f>
        <v/>
      </c>
      <c r="M1207" s="20">
        <f>IF($Q1207="","",INDEX(상세표[블록 18~22시],$Q1207))</f>
        <v/>
      </c>
      <c r="N1207" s="20">
        <f>IF($Q1207="","",INDEX(상세표[블록 22~06시],$Q1207))</f>
        <v/>
      </c>
      <c r="O1207">
        <f>IF($Q1207="","",INDEX(상세표[주말·휴일 포함],$Q1207)&amp;"")</f>
        <v/>
      </c>
      <c r="P1207">
        <f>IF($Q1207="","",INDEX(상세표[월 넘김 포함],$Q1207)&amp;"")</f>
        <v/>
      </c>
      <c r="Q1207" s="4">
        <f>IFERROR(MATCH(1202,상세표[연속순번],0),"")</f>
        <v/>
      </c>
    </row>
    <row r="1208">
      <c r="A1208">
        <f>IF($Q1208="","",INDEX(상세표[부서],$Q1208)&amp;"")</f>
        <v/>
      </c>
      <c r="B1208">
        <f>IF($Q1208="","",INDEX(상세표[사번],$Q1208)&amp;"")</f>
        <v/>
      </c>
      <c r="C1208">
        <f>IF($Q1208="","",INDEX(상세표[성명],$Q1208)&amp;"")</f>
        <v/>
      </c>
      <c r="D1208">
        <f>IF($Q1208="","",INDEX(상세표[직위],$Q1208)&amp;"")</f>
        <v/>
      </c>
      <c r="E1208">
        <f>IF($Q1208="","",IF(ISNUMBER(INDEX(상세표[근무일자],$Q1208)),TEXT(INDEX(상세표[근무일자],$Q1208),"yyyy-mm-dd"),INDEX(상세표[근무일자],$Q1208)&amp;""))</f>
        <v/>
      </c>
      <c r="F1208">
        <f>IF($Q1208="","",IF(ISNUMBER(INDEX(상세표[시작],$Q1208)),TEXT(INDEX(상세표[시작],$Q1208),"yyyy-mm-dd hh:mm"),INDEX(상세표[시작],$Q1208)&amp;""))</f>
        <v/>
      </c>
      <c r="G1208">
        <f>IF($Q1208="","",IF(ISNUMBER(INDEX(상세표[블록종료],$Q1208)),TEXT(INDEX(상세표[블록종료],$Q1208),"yyyy-mm-dd hh:mm"),INDEX(상세표[블록종료],$Q1208)&amp;""))</f>
        <v/>
      </c>
      <c r="H1208">
        <f>IF($Q1208="","",CHOOSE(WEEKDAY(INDEX(상세표[시작],$Q1208)),"일","월","화","수","목","금","토"))</f>
        <v/>
      </c>
      <c r="I1208" s="20">
        <f>IF($Q1208="","",INDEX(상세표[연속 시간],$Q1208))</f>
        <v/>
      </c>
      <c r="J1208">
        <f>IF($Q1208="","",INDEX(상세표[기록 수],$Q1208))</f>
        <v/>
      </c>
      <c r="K1208" s="20">
        <f>IF($Q1208="","",INDEX(상세표[블록 06~07시],$Q1208))</f>
        <v/>
      </c>
      <c r="L1208" s="20">
        <f>IF($Q1208="","",INDEX(상세표[블록 07~18시],$Q1208))</f>
        <v/>
      </c>
      <c r="M1208" s="20">
        <f>IF($Q1208="","",INDEX(상세표[블록 18~22시],$Q1208))</f>
        <v/>
      </c>
      <c r="N1208" s="20">
        <f>IF($Q1208="","",INDEX(상세표[블록 22~06시],$Q1208))</f>
        <v/>
      </c>
      <c r="O1208">
        <f>IF($Q1208="","",INDEX(상세표[주말·휴일 포함],$Q1208)&amp;"")</f>
        <v/>
      </c>
      <c r="P1208">
        <f>IF($Q1208="","",INDEX(상세표[월 넘김 포함],$Q1208)&amp;"")</f>
        <v/>
      </c>
      <c r="Q1208" s="4">
        <f>IFERROR(MATCH(1203,상세표[연속순번],0),"")</f>
        <v/>
      </c>
    </row>
    <row r="1209">
      <c r="A1209">
        <f>IF($Q1209="","",INDEX(상세표[부서],$Q1209)&amp;"")</f>
        <v/>
      </c>
      <c r="B1209">
        <f>IF($Q1209="","",INDEX(상세표[사번],$Q1209)&amp;"")</f>
        <v/>
      </c>
      <c r="C1209">
        <f>IF($Q1209="","",INDEX(상세표[성명],$Q1209)&amp;"")</f>
        <v/>
      </c>
      <c r="D1209">
        <f>IF($Q1209="","",INDEX(상세표[직위],$Q1209)&amp;"")</f>
        <v/>
      </c>
      <c r="E1209">
        <f>IF($Q1209="","",IF(ISNUMBER(INDEX(상세표[근무일자],$Q1209)),TEXT(INDEX(상세표[근무일자],$Q1209),"yyyy-mm-dd"),INDEX(상세표[근무일자],$Q1209)&amp;""))</f>
        <v/>
      </c>
      <c r="F1209">
        <f>IF($Q1209="","",IF(ISNUMBER(INDEX(상세표[시작],$Q1209)),TEXT(INDEX(상세표[시작],$Q1209),"yyyy-mm-dd hh:mm"),INDEX(상세표[시작],$Q1209)&amp;""))</f>
        <v/>
      </c>
      <c r="G1209">
        <f>IF($Q1209="","",IF(ISNUMBER(INDEX(상세표[블록종료],$Q1209)),TEXT(INDEX(상세표[블록종료],$Q1209),"yyyy-mm-dd hh:mm"),INDEX(상세표[블록종료],$Q1209)&amp;""))</f>
        <v/>
      </c>
      <c r="H1209">
        <f>IF($Q1209="","",CHOOSE(WEEKDAY(INDEX(상세표[시작],$Q1209)),"일","월","화","수","목","금","토"))</f>
        <v/>
      </c>
      <c r="I1209" s="20">
        <f>IF($Q1209="","",INDEX(상세표[연속 시간],$Q1209))</f>
        <v/>
      </c>
      <c r="J1209">
        <f>IF($Q1209="","",INDEX(상세표[기록 수],$Q1209))</f>
        <v/>
      </c>
      <c r="K1209" s="20">
        <f>IF($Q1209="","",INDEX(상세표[블록 06~07시],$Q1209))</f>
        <v/>
      </c>
      <c r="L1209" s="20">
        <f>IF($Q1209="","",INDEX(상세표[블록 07~18시],$Q1209))</f>
        <v/>
      </c>
      <c r="M1209" s="20">
        <f>IF($Q1209="","",INDEX(상세표[블록 18~22시],$Q1209))</f>
        <v/>
      </c>
      <c r="N1209" s="20">
        <f>IF($Q1209="","",INDEX(상세표[블록 22~06시],$Q1209))</f>
        <v/>
      </c>
      <c r="O1209">
        <f>IF($Q1209="","",INDEX(상세표[주말·휴일 포함],$Q1209)&amp;"")</f>
        <v/>
      </c>
      <c r="P1209">
        <f>IF($Q1209="","",INDEX(상세표[월 넘김 포함],$Q1209)&amp;"")</f>
        <v/>
      </c>
      <c r="Q1209" s="4">
        <f>IFERROR(MATCH(1204,상세표[연속순번],0),"")</f>
        <v/>
      </c>
    </row>
    <row r="1210">
      <c r="A1210">
        <f>IF($Q1210="","",INDEX(상세표[부서],$Q1210)&amp;"")</f>
        <v/>
      </c>
      <c r="B1210">
        <f>IF($Q1210="","",INDEX(상세표[사번],$Q1210)&amp;"")</f>
        <v/>
      </c>
      <c r="C1210">
        <f>IF($Q1210="","",INDEX(상세표[성명],$Q1210)&amp;"")</f>
        <v/>
      </c>
      <c r="D1210">
        <f>IF($Q1210="","",INDEX(상세표[직위],$Q1210)&amp;"")</f>
        <v/>
      </c>
      <c r="E1210">
        <f>IF($Q1210="","",IF(ISNUMBER(INDEX(상세표[근무일자],$Q1210)),TEXT(INDEX(상세표[근무일자],$Q1210),"yyyy-mm-dd"),INDEX(상세표[근무일자],$Q1210)&amp;""))</f>
        <v/>
      </c>
      <c r="F1210">
        <f>IF($Q1210="","",IF(ISNUMBER(INDEX(상세표[시작],$Q1210)),TEXT(INDEX(상세표[시작],$Q1210),"yyyy-mm-dd hh:mm"),INDEX(상세표[시작],$Q1210)&amp;""))</f>
        <v/>
      </c>
      <c r="G1210">
        <f>IF($Q1210="","",IF(ISNUMBER(INDEX(상세표[블록종료],$Q1210)),TEXT(INDEX(상세표[블록종료],$Q1210),"yyyy-mm-dd hh:mm"),INDEX(상세표[블록종료],$Q1210)&amp;""))</f>
        <v/>
      </c>
      <c r="H1210">
        <f>IF($Q1210="","",CHOOSE(WEEKDAY(INDEX(상세표[시작],$Q1210)),"일","월","화","수","목","금","토"))</f>
        <v/>
      </c>
      <c r="I1210" s="20">
        <f>IF($Q1210="","",INDEX(상세표[연속 시간],$Q1210))</f>
        <v/>
      </c>
      <c r="J1210">
        <f>IF($Q1210="","",INDEX(상세표[기록 수],$Q1210))</f>
        <v/>
      </c>
      <c r="K1210" s="20">
        <f>IF($Q1210="","",INDEX(상세표[블록 06~07시],$Q1210))</f>
        <v/>
      </c>
      <c r="L1210" s="20">
        <f>IF($Q1210="","",INDEX(상세표[블록 07~18시],$Q1210))</f>
        <v/>
      </c>
      <c r="M1210" s="20">
        <f>IF($Q1210="","",INDEX(상세표[블록 18~22시],$Q1210))</f>
        <v/>
      </c>
      <c r="N1210" s="20">
        <f>IF($Q1210="","",INDEX(상세표[블록 22~06시],$Q1210))</f>
        <v/>
      </c>
      <c r="O1210">
        <f>IF($Q1210="","",INDEX(상세표[주말·휴일 포함],$Q1210)&amp;"")</f>
        <v/>
      </c>
      <c r="P1210">
        <f>IF($Q1210="","",INDEX(상세표[월 넘김 포함],$Q1210)&amp;"")</f>
        <v/>
      </c>
      <c r="Q1210" s="4">
        <f>IFERROR(MATCH(1205,상세표[연속순번],0),"")</f>
        <v/>
      </c>
    </row>
    <row r="1211">
      <c r="A1211">
        <f>IF($Q1211="","",INDEX(상세표[부서],$Q1211)&amp;"")</f>
        <v/>
      </c>
      <c r="B1211">
        <f>IF($Q1211="","",INDEX(상세표[사번],$Q1211)&amp;"")</f>
        <v/>
      </c>
      <c r="C1211">
        <f>IF($Q1211="","",INDEX(상세표[성명],$Q1211)&amp;"")</f>
        <v/>
      </c>
      <c r="D1211">
        <f>IF($Q1211="","",INDEX(상세표[직위],$Q1211)&amp;"")</f>
        <v/>
      </c>
      <c r="E1211">
        <f>IF($Q1211="","",IF(ISNUMBER(INDEX(상세표[근무일자],$Q1211)),TEXT(INDEX(상세표[근무일자],$Q1211),"yyyy-mm-dd"),INDEX(상세표[근무일자],$Q1211)&amp;""))</f>
        <v/>
      </c>
      <c r="F1211">
        <f>IF($Q1211="","",IF(ISNUMBER(INDEX(상세표[시작],$Q1211)),TEXT(INDEX(상세표[시작],$Q1211),"yyyy-mm-dd hh:mm"),INDEX(상세표[시작],$Q1211)&amp;""))</f>
        <v/>
      </c>
      <c r="G1211">
        <f>IF($Q1211="","",IF(ISNUMBER(INDEX(상세표[블록종료],$Q1211)),TEXT(INDEX(상세표[블록종료],$Q1211),"yyyy-mm-dd hh:mm"),INDEX(상세표[블록종료],$Q1211)&amp;""))</f>
        <v/>
      </c>
      <c r="H1211">
        <f>IF($Q1211="","",CHOOSE(WEEKDAY(INDEX(상세표[시작],$Q1211)),"일","월","화","수","목","금","토"))</f>
        <v/>
      </c>
      <c r="I1211" s="20">
        <f>IF($Q1211="","",INDEX(상세표[연속 시간],$Q1211))</f>
        <v/>
      </c>
      <c r="J1211">
        <f>IF($Q1211="","",INDEX(상세표[기록 수],$Q1211))</f>
        <v/>
      </c>
      <c r="K1211" s="20">
        <f>IF($Q1211="","",INDEX(상세표[블록 06~07시],$Q1211))</f>
        <v/>
      </c>
      <c r="L1211" s="20">
        <f>IF($Q1211="","",INDEX(상세표[블록 07~18시],$Q1211))</f>
        <v/>
      </c>
      <c r="M1211" s="20">
        <f>IF($Q1211="","",INDEX(상세표[블록 18~22시],$Q1211))</f>
        <v/>
      </c>
      <c r="N1211" s="20">
        <f>IF($Q1211="","",INDEX(상세표[블록 22~06시],$Q1211))</f>
        <v/>
      </c>
      <c r="O1211">
        <f>IF($Q1211="","",INDEX(상세표[주말·휴일 포함],$Q1211)&amp;"")</f>
        <v/>
      </c>
      <c r="P1211">
        <f>IF($Q1211="","",INDEX(상세표[월 넘김 포함],$Q1211)&amp;"")</f>
        <v/>
      </c>
      <c r="Q1211" s="4">
        <f>IFERROR(MATCH(1206,상세표[연속순번],0),"")</f>
        <v/>
      </c>
    </row>
    <row r="1212">
      <c r="A1212">
        <f>IF($Q1212="","",INDEX(상세표[부서],$Q1212)&amp;"")</f>
        <v/>
      </c>
      <c r="B1212">
        <f>IF($Q1212="","",INDEX(상세표[사번],$Q1212)&amp;"")</f>
        <v/>
      </c>
      <c r="C1212">
        <f>IF($Q1212="","",INDEX(상세표[성명],$Q1212)&amp;"")</f>
        <v/>
      </c>
      <c r="D1212">
        <f>IF($Q1212="","",INDEX(상세표[직위],$Q1212)&amp;"")</f>
        <v/>
      </c>
      <c r="E1212">
        <f>IF($Q1212="","",IF(ISNUMBER(INDEX(상세표[근무일자],$Q1212)),TEXT(INDEX(상세표[근무일자],$Q1212),"yyyy-mm-dd"),INDEX(상세표[근무일자],$Q1212)&amp;""))</f>
        <v/>
      </c>
      <c r="F1212">
        <f>IF($Q1212="","",IF(ISNUMBER(INDEX(상세표[시작],$Q1212)),TEXT(INDEX(상세표[시작],$Q1212),"yyyy-mm-dd hh:mm"),INDEX(상세표[시작],$Q1212)&amp;""))</f>
        <v/>
      </c>
      <c r="G1212">
        <f>IF($Q1212="","",IF(ISNUMBER(INDEX(상세표[블록종료],$Q1212)),TEXT(INDEX(상세표[블록종료],$Q1212),"yyyy-mm-dd hh:mm"),INDEX(상세표[블록종료],$Q1212)&amp;""))</f>
        <v/>
      </c>
      <c r="H1212">
        <f>IF($Q1212="","",CHOOSE(WEEKDAY(INDEX(상세표[시작],$Q1212)),"일","월","화","수","목","금","토"))</f>
        <v/>
      </c>
      <c r="I1212" s="20">
        <f>IF($Q1212="","",INDEX(상세표[연속 시간],$Q1212))</f>
        <v/>
      </c>
      <c r="J1212">
        <f>IF($Q1212="","",INDEX(상세표[기록 수],$Q1212))</f>
        <v/>
      </c>
      <c r="K1212" s="20">
        <f>IF($Q1212="","",INDEX(상세표[블록 06~07시],$Q1212))</f>
        <v/>
      </c>
      <c r="L1212" s="20">
        <f>IF($Q1212="","",INDEX(상세표[블록 07~18시],$Q1212))</f>
        <v/>
      </c>
      <c r="M1212" s="20">
        <f>IF($Q1212="","",INDEX(상세표[블록 18~22시],$Q1212))</f>
        <v/>
      </c>
      <c r="N1212" s="20">
        <f>IF($Q1212="","",INDEX(상세표[블록 22~06시],$Q1212))</f>
        <v/>
      </c>
      <c r="O1212">
        <f>IF($Q1212="","",INDEX(상세표[주말·휴일 포함],$Q1212)&amp;"")</f>
        <v/>
      </c>
      <c r="P1212">
        <f>IF($Q1212="","",INDEX(상세표[월 넘김 포함],$Q1212)&amp;"")</f>
        <v/>
      </c>
      <c r="Q1212" s="4">
        <f>IFERROR(MATCH(1207,상세표[연속순번],0),"")</f>
        <v/>
      </c>
    </row>
    <row r="1213">
      <c r="A1213">
        <f>IF($Q1213="","",INDEX(상세표[부서],$Q1213)&amp;"")</f>
        <v/>
      </c>
      <c r="B1213">
        <f>IF($Q1213="","",INDEX(상세표[사번],$Q1213)&amp;"")</f>
        <v/>
      </c>
      <c r="C1213">
        <f>IF($Q1213="","",INDEX(상세표[성명],$Q1213)&amp;"")</f>
        <v/>
      </c>
      <c r="D1213">
        <f>IF($Q1213="","",INDEX(상세표[직위],$Q1213)&amp;"")</f>
        <v/>
      </c>
      <c r="E1213">
        <f>IF($Q1213="","",IF(ISNUMBER(INDEX(상세표[근무일자],$Q1213)),TEXT(INDEX(상세표[근무일자],$Q1213),"yyyy-mm-dd"),INDEX(상세표[근무일자],$Q1213)&amp;""))</f>
        <v/>
      </c>
      <c r="F1213">
        <f>IF($Q1213="","",IF(ISNUMBER(INDEX(상세표[시작],$Q1213)),TEXT(INDEX(상세표[시작],$Q1213),"yyyy-mm-dd hh:mm"),INDEX(상세표[시작],$Q1213)&amp;""))</f>
        <v/>
      </c>
      <c r="G1213">
        <f>IF($Q1213="","",IF(ISNUMBER(INDEX(상세표[블록종료],$Q1213)),TEXT(INDEX(상세표[블록종료],$Q1213),"yyyy-mm-dd hh:mm"),INDEX(상세표[블록종료],$Q1213)&amp;""))</f>
        <v/>
      </c>
      <c r="H1213">
        <f>IF($Q1213="","",CHOOSE(WEEKDAY(INDEX(상세표[시작],$Q1213)),"일","월","화","수","목","금","토"))</f>
        <v/>
      </c>
      <c r="I1213" s="20">
        <f>IF($Q1213="","",INDEX(상세표[연속 시간],$Q1213))</f>
        <v/>
      </c>
      <c r="J1213">
        <f>IF($Q1213="","",INDEX(상세표[기록 수],$Q1213))</f>
        <v/>
      </c>
      <c r="K1213" s="20">
        <f>IF($Q1213="","",INDEX(상세표[블록 06~07시],$Q1213))</f>
        <v/>
      </c>
      <c r="L1213" s="20">
        <f>IF($Q1213="","",INDEX(상세표[블록 07~18시],$Q1213))</f>
        <v/>
      </c>
      <c r="M1213" s="20">
        <f>IF($Q1213="","",INDEX(상세표[블록 18~22시],$Q1213))</f>
        <v/>
      </c>
      <c r="N1213" s="20">
        <f>IF($Q1213="","",INDEX(상세표[블록 22~06시],$Q1213))</f>
        <v/>
      </c>
      <c r="O1213">
        <f>IF($Q1213="","",INDEX(상세표[주말·휴일 포함],$Q1213)&amp;"")</f>
        <v/>
      </c>
      <c r="P1213">
        <f>IF($Q1213="","",INDEX(상세표[월 넘김 포함],$Q1213)&amp;"")</f>
        <v/>
      </c>
      <c r="Q1213" s="4">
        <f>IFERROR(MATCH(1208,상세표[연속순번],0),"")</f>
        <v/>
      </c>
    </row>
    <row r="1214">
      <c r="A1214">
        <f>IF($Q1214="","",INDEX(상세표[부서],$Q1214)&amp;"")</f>
        <v/>
      </c>
      <c r="B1214">
        <f>IF($Q1214="","",INDEX(상세표[사번],$Q1214)&amp;"")</f>
        <v/>
      </c>
      <c r="C1214">
        <f>IF($Q1214="","",INDEX(상세표[성명],$Q1214)&amp;"")</f>
        <v/>
      </c>
      <c r="D1214">
        <f>IF($Q1214="","",INDEX(상세표[직위],$Q1214)&amp;"")</f>
        <v/>
      </c>
      <c r="E1214">
        <f>IF($Q1214="","",IF(ISNUMBER(INDEX(상세표[근무일자],$Q1214)),TEXT(INDEX(상세표[근무일자],$Q1214),"yyyy-mm-dd"),INDEX(상세표[근무일자],$Q1214)&amp;""))</f>
        <v/>
      </c>
      <c r="F1214">
        <f>IF($Q1214="","",IF(ISNUMBER(INDEX(상세표[시작],$Q1214)),TEXT(INDEX(상세표[시작],$Q1214),"yyyy-mm-dd hh:mm"),INDEX(상세표[시작],$Q1214)&amp;""))</f>
        <v/>
      </c>
      <c r="G1214">
        <f>IF($Q1214="","",IF(ISNUMBER(INDEX(상세표[블록종료],$Q1214)),TEXT(INDEX(상세표[블록종료],$Q1214),"yyyy-mm-dd hh:mm"),INDEX(상세표[블록종료],$Q1214)&amp;""))</f>
        <v/>
      </c>
      <c r="H1214">
        <f>IF($Q1214="","",CHOOSE(WEEKDAY(INDEX(상세표[시작],$Q1214)),"일","월","화","수","목","금","토"))</f>
        <v/>
      </c>
      <c r="I1214" s="20">
        <f>IF($Q1214="","",INDEX(상세표[연속 시간],$Q1214))</f>
        <v/>
      </c>
      <c r="J1214">
        <f>IF($Q1214="","",INDEX(상세표[기록 수],$Q1214))</f>
        <v/>
      </c>
      <c r="K1214" s="20">
        <f>IF($Q1214="","",INDEX(상세표[블록 06~07시],$Q1214))</f>
        <v/>
      </c>
      <c r="L1214" s="20">
        <f>IF($Q1214="","",INDEX(상세표[블록 07~18시],$Q1214))</f>
        <v/>
      </c>
      <c r="M1214" s="20">
        <f>IF($Q1214="","",INDEX(상세표[블록 18~22시],$Q1214))</f>
        <v/>
      </c>
      <c r="N1214" s="20">
        <f>IF($Q1214="","",INDEX(상세표[블록 22~06시],$Q1214))</f>
        <v/>
      </c>
      <c r="O1214">
        <f>IF($Q1214="","",INDEX(상세표[주말·휴일 포함],$Q1214)&amp;"")</f>
        <v/>
      </c>
      <c r="P1214">
        <f>IF($Q1214="","",INDEX(상세표[월 넘김 포함],$Q1214)&amp;"")</f>
        <v/>
      </c>
      <c r="Q1214" s="4">
        <f>IFERROR(MATCH(1209,상세표[연속순번],0),"")</f>
        <v/>
      </c>
    </row>
    <row r="1215">
      <c r="A1215">
        <f>IF($Q1215="","",INDEX(상세표[부서],$Q1215)&amp;"")</f>
        <v/>
      </c>
      <c r="B1215">
        <f>IF($Q1215="","",INDEX(상세표[사번],$Q1215)&amp;"")</f>
        <v/>
      </c>
      <c r="C1215">
        <f>IF($Q1215="","",INDEX(상세표[성명],$Q1215)&amp;"")</f>
        <v/>
      </c>
      <c r="D1215">
        <f>IF($Q1215="","",INDEX(상세표[직위],$Q1215)&amp;"")</f>
        <v/>
      </c>
      <c r="E1215">
        <f>IF($Q1215="","",IF(ISNUMBER(INDEX(상세표[근무일자],$Q1215)),TEXT(INDEX(상세표[근무일자],$Q1215),"yyyy-mm-dd"),INDEX(상세표[근무일자],$Q1215)&amp;""))</f>
        <v/>
      </c>
      <c r="F1215">
        <f>IF($Q1215="","",IF(ISNUMBER(INDEX(상세표[시작],$Q1215)),TEXT(INDEX(상세표[시작],$Q1215),"yyyy-mm-dd hh:mm"),INDEX(상세표[시작],$Q1215)&amp;""))</f>
        <v/>
      </c>
      <c r="G1215">
        <f>IF($Q1215="","",IF(ISNUMBER(INDEX(상세표[블록종료],$Q1215)),TEXT(INDEX(상세표[블록종료],$Q1215),"yyyy-mm-dd hh:mm"),INDEX(상세표[블록종료],$Q1215)&amp;""))</f>
        <v/>
      </c>
      <c r="H1215">
        <f>IF($Q1215="","",CHOOSE(WEEKDAY(INDEX(상세표[시작],$Q1215)),"일","월","화","수","목","금","토"))</f>
        <v/>
      </c>
      <c r="I1215" s="20">
        <f>IF($Q1215="","",INDEX(상세표[연속 시간],$Q1215))</f>
        <v/>
      </c>
      <c r="J1215">
        <f>IF($Q1215="","",INDEX(상세표[기록 수],$Q1215))</f>
        <v/>
      </c>
      <c r="K1215" s="20">
        <f>IF($Q1215="","",INDEX(상세표[블록 06~07시],$Q1215))</f>
        <v/>
      </c>
      <c r="L1215" s="20">
        <f>IF($Q1215="","",INDEX(상세표[블록 07~18시],$Q1215))</f>
        <v/>
      </c>
      <c r="M1215" s="20">
        <f>IF($Q1215="","",INDEX(상세표[블록 18~22시],$Q1215))</f>
        <v/>
      </c>
      <c r="N1215" s="20">
        <f>IF($Q1215="","",INDEX(상세표[블록 22~06시],$Q1215))</f>
        <v/>
      </c>
      <c r="O1215">
        <f>IF($Q1215="","",INDEX(상세표[주말·휴일 포함],$Q1215)&amp;"")</f>
        <v/>
      </c>
      <c r="P1215">
        <f>IF($Q1215="","",INDEX(상세표[월 넘김 포함],$Q1215)&amp;"")</f>
        <v/>
      </c>
      <c r="Q1215" s="4">
        <f>IFERROR(MATCH(1210,상세표[연속순번],0),"")</f>
        <v/>
      </c>
    </row>
    <row r="1216">
      <c r="A1216">
        <f>IF($Q1216="","",INDEX(상세표[부서],$Q1216)&amp;"")</f>
        <v/>
      </c>
      <c r="B1216">
        <f>IF($Q1216="","",INDEX(상세표[사번],$Q1216)&amp;"")</f>
        <v/>
      </c>
      <c r="C1216">
        <f>IF($Q1216="","",INDEX(상세표[성명],$Q1216)&amp;"")</f>
        <v/>
      </c>
      <c r="D1216">
        <f>IF($Q1216="","",INDEX(상세표[직위],$Q1216)&amp;"")</f>
        <v/>
      </c>
      <c r="E1216">
        <f>IF($Q1216="","",IF(ISNUMBER(INDEX(상세표[근무일자],$Q1216)),TEXT(INDEX(상세표[근무일자],$Q1216),"yyyy-mm-dd"),INDEX(상세표[근무일자],$Q1216)&amp;""))</f>
        <v/>
      </c>
      <c r="F1216">
        <f>IF($Q1216="","",IF(ISNUMBER(INDEX(상세표[시작],$Q1216)),TEXT(INDEX(상세표[시작],$Q1216),"yyyy-mm-dd hh:mm"),INDEX(상세표[시작],$Q1216)&amp;""))</f>
        <v/>
      </c>
      <c r="G1216">
        <f>IF($Q1216="","",IF(ISNUMBER(INDEX(상세표[블록종료],$Q1216)),TEXT(INDEX(상세표[블록종료],$Q1216),"yyyy-mm-dd hh:mm"),INDEX(상세표[블록종료],$Q1216)&amp;""))</f>
        <v/>
      </c>
      <c r="H1216">
        <f>IF($Q1216="","",CHOOSE(WEEKDAY(INDEX(상세표[시작],$Q1216)),"일","월","화","수","목","금","토"))</f>
        <v/>
      </c>
      <c r="I1216" s="20">
        <f>IF($Q1216="","",INDEX(상세표[연속 시간],$Q1216))</f>
        <v/>
      </c>
      <c r="J1216">
        <f>IF($Q1216="","",INDEX(상세표[기록 수],$Q1216))</f>
        <v/>
      </c>
      <c r="K1216" s="20">
        <f>IF($Q1216="","",INDEX(상세표[블록 06~07시],$Q1216))</f>
        <v/>
      </c>
      <c r="L1216" s="20">
        <f>IF($Q1216="","",INDEX(상세표[블록 07~18시],$Q1216))</f>
        <v/>
      </c>
      <c r="M1216" s="20">
        <f>IF($Q1216="","",INDEX(상세표[블록 18~22시],$Q1216))</f>
        <v/>
      </c>
      <c r="N1216" s="20">
        <f>IF($Q1216="","",INDEX(상세표[블록 22~06시],$Q1216))</f>
        <v/>
      </c>
      <c r="O1216">
        <f>IF($Q1216="","",INDEX(상세표[주말·휴일 포함],$Q1216)&amp;"")</f>
        <v/>
      </c>
      <c r="P1216">
        <f>IF($Q1216="","",INDEX(상세표[월 넘김 포함],$Q1216)&amp;"")</f>
        <v/>
      </c>
      <c r="Q1216" s="4">
        <f>IFERROR(MATCH(1211,상세표[연속순번],0),"")</f>
        <v/>
      </c>
    </row>
    <row r="1217">
      <c r="A1217">
        <f>IF($Q1217="","",INDEX(상세표[부서],$Q1217)&amp;"")</f>
        <v/>
      </c>
      <c r="B1217">
        <f>IF($Q1217="","",INDEX(상세표[사번],$Q1217)&amp;"")</f>
        <v/>
      </c>
      <c r="C1217">
        <f>IF($Q1217="","",INDEX(상세표[성명],$Q1217)&amp;"")</f>
        <v/>
      </c>
      <c r="D1217">
        <f>IF($Q1217="","",INDEX(상세표[직위],$Q1217)&amp;"")</f>
        <v/>
      </c>
      <c r="E1217">
        <f>IF($Q1217="","",IF(ISNUMBER(INDEX(상세표[근무일자],$Q1217)),TEXT(INDEX(상세표[근무일자],$Q1217),"yyyy-mm-dd"),INDEX(상세표[근무일자],$Q1217)&amp;""))</f>
        <v/>
      </c>
      <c r="F1217">
        <f>IF($Q1217="","",IF(ISNUMBER(INDEX(상세표[시작],$Q1217)),TEXT(INDEX(상세표[시작],$Q1217),"yyyy-mm-dd hh:mm"),INDEX(상세표[시작],$Q1217)&amp;""))</f>
        <v/>
      </c>
      <c r="G1217">
        <f>IF($Q1217="","",IF(ISNUMBER(INDEX(상세표[블록종료],$Q1217)),TEXT(INDEX(상세표[블록종료],$Q1217),"yyyy-mm-dd hh:mm"),INDEX(상세표[블록종료],$Q1217)&amp;""))</f>
        <v/>
      </c>
      <c r="H1217">
        <f>IF($Q1217="","",CHOOSE(WEEKDAY(INDEX(상세표[시작],$Q1217)),"일","월","화","수","목","금","토"))</f>
        <v/>
      </c>
      <c r="I1217" s="20">
        <f>IF($Q1217="","",INDEX(상세표[연속 시간],$Q1217))</f>
        <v/>
      </c>
      <c r="J1217">
        <f>IF($Q1217="","",INDEX(상세표[기록 수],$Q1217))</f>
        <v/>
      </c>
      <c r="K1217" s="20">
        <f>IF($Q1217="","",INDEX(상세표[블록 06~07시],$Q1217))</f>
        <v/>
      </c>
      <c r="L1217" s="20">
        <f>IF($Q1217="","",INDEX(상세표[블록 07~18시],$Q1217))</f>
        <v/>
      </c>
      <c r="M1217" s="20">
        <f>IF($Q1217="","",INDEX(상세표[블록 18~22시],$Q1217))</f>
        <v/>
      </c>
      <c r="N1217" s="20">
        <f>IF($Q1217="","",INDEX(상세표[블록 22~06시],$Q1217))</f>
        <v/>
      </c>
      <c r="O1217">
        <f>IF($Q1217="","",INDEX(상세표[주말·휴일 포함],$Q1217)&amp;"")</f>
        <v/>
      </c>
      <c r="P1217">
        <f>IF($Q1217="","",INDEX(상세표[월 넘김 포함],$Q1217)&amp;"")</f>
        <v/>
      </c>
      <c r="Q1217" s="4">
        <f>IFERROR(MATCH(1212,상세표[연속순번],0),"")</f>
        <v/>
      </c>
    </row>
    <row r="1218">
      <c r="A1218">
        <f>IF($Q1218="","",INDEX(상세표[부서],$Q1218)&amp;"")</f>
        <v/>
      </c>
      <c r="B1218">
        <f>IF($Q1218="","",INDEX(상세표[사번],$Q1218)&amp;"")</f>
        <v/>
      </c>
      <c r="C1218">
        <f>IF($Q1218="","",INDEX(상세표[성명],$Q1218)&amp;"")</f>
        <v/>
      </c>
      <c r="D1218">
        <f>IF($Q1218="","",INDEX(상세표[직위],$Q1218)&amp;"")</f>
        <v/>
      </c>
      <c r="E1218">
        <f>IF($Q1218="","",IF(ISNUMBER(INDEX(상세표[근무일자],$Q1218)),TEXT(INDEX(상세표[근무일자],$Q1218),"yyyy-mm-dd"),INDEX(상세표[근무일자],$Q1218)&amp;""))</f>
        <v/>
      </c>
      <c r="F1218">
        <f>IF($Q1218="","",IF(ISNUMBER(INDEX(상세표[시작],$Q1218)),TEXT(INDEX(상세표[시작],$Q1218),"yyyy-mm-dd hh:mm"),INDEX(상세표[시작],$Q1218)&amp;""))</f>
        <v/>
      </c>
      <c r="G1218">
        <f>IF($Q1218="","",IF(ISNUMBER(INDEX(상세표[블록종료],$Q1218)),TEXT(INDEX(상세표[블록종료],$Q1218),"yyyy-mm-dd hh:mm"),INDEX(상세표[블록종료],$Q1218)&amp;""))</f>
        <v/>
      </c>
      <c r="H1218">
        <f>IF($Q1218="","",CHOOSE(WEEKDAY(INDEX(상세표[시작],$Q1218)),"일","월","화","수","목","금","토"))</f>
        <v/>
      </c>
      <c r="I1218" s="20">
        <f>IF($Q1218="","",INDEX(상세표[연속 시간],$Q1218))</f>
        <v/>
      </c>
      <c r="J1218">
        <f>IF($Q1218="","",INDEX(상세표[기록 수],$Q1218))</f>
        <v/>
      </c>
      <c r="K1218" s="20">
        <f>IF($Q1218="","",INDEX(상세표[블록 06~07시],$Q1218))</f>
        <v/>
      </c>
      <c r="L1218" s="20">
        <f>IF($Q1218="","",INDEX(상세표[블록 07~18시],$Q1218))</f>
        <v/>
      </c>
      <c r="M1218" s="20">
        <f>IF($Q1218="","",INDEX(상세표[블록 18~22시],$Q1218))</f>
        <v/>
      </c>
      <c r="N1218" s="20">
        <f>IF($Q1218="","",INDEX(상세표[블록 22~06시],$Q1218))</f>
        <v/>
      </c>
      <c r="O1218">
        <f>IF($Q1218="","",INDEX(상세표[주말·휴일 포함],$Q1218)&amp;"")</f>
        <v/>
      </c>
      <c r="P1218">
        <f>IF($Q1218="","",INDEX(상세표[월 넘김 포함],$Q1218)&amp;"")</f>
        <v/>
      </c>
      <c r="Q1218" s="4">
        <f>IFERROR(MATCH(1213,상세표[연속순번],0),"")</f>
        <v/>
      </c>
    </row>
    <row r="1219">
      <c r="A1219">
        <f>IF($Q1219="","",INDEX(상세표[부서],$Q1219)&amp;"")</f>
        <v/>
      </c>
      <c r="B1219">
        <f>IF($Q1219="","",INDEX(상세표[사번],$Q1219)&amp;"")</f>
        <v/>
      </c>
      <c r="C1219">
        <f>IF($Q1219="","",INDEX(상세표[성명],$Q1219)&amp;"")</f>
        <v/>
      </c>
      <c r="D1219">
        <f>IF($Q1219="","",INDEX(상세표[직위],$Q1219)&amp;"")</f>
        <v/>
      </c>
      <c r="E1219">
        <f>IF($Q1219="","",IF(ISNUMBER(INDEX(상세표[근무일자],$Q1219)),TEXT(INDEX(상세표[근무일자],$Q1219),"yyyy-mm-dd"),INDEX(상세표[근무일자],$Q1219)&amp;""))</f>
        <v/>
      </c>
      <c r="F1219">
        <f>IF($Q1219="","",IF(ISNUMBER(INDEX(상세표[시작],$Q1219)),TEXT(INDEX(상세표[시작],$Q1219),"yyyy-mm-dd hh:mm"),INDEX(상세표[시작],$Q1219)&amp;""))</f>
        <v/>
      </c>
      <c r="G1219">
        <f>IF($Q1219="","",IF(ISNUMBER(INDEX(상세표[블록종료],$Q1219)),TEXT(INDEX(상세표[블록종료],$Q1219),"yyyy-mm-dd hh:mm"),INDEX(상세표[블록종료],$Q1219)&amp;""))</f>
        <v/>
      </c>
      <c r="H1219">
        <f>IF($Q1219="","",CHOOSE(WEEKDAY(INDEX(상세표[시작],$Q1219)),"일","월","화","수","목","금","토"))</f>
        <v/>
      </c>
      <c r="I1219" s="20">
        <f>IF($Q1219="","",INDEX(상세표[연속 시간],$Q1219))</f>
        <v/>
      </c>
      <c r="J1219">
        <f>IF($Q1219="","",INDEX(상세표[기록 수],$Q1219))</f>
        <v/>
      </c>
      <c r="K1219" s="20">
        <f>IF($Q1219="","",INDEX(상세표[블록 06~07시],$Q1219))</f>
        <v/>
      </c>
      <c r="L1219" s="20">
        <f>IF($Q1219="","",INDEX(상세표[블록 07~18시],$Q1219))</f>
        <v/>
      </c>
      <c r="M1219" s="20">
        <f>IF($Q1219="","",INDEX(상세표[블록 18~22시],$Q1219))</f>
        <v/>
      </c>
      <c r="N1219" s="20">
        <f>IF($Q1219="","",INDEX(상세표[블록 22~06시],$Q1219))</f>
        <v/>
      </c>
      <c r="O1219">
        <f>IF($Q1219="","",INDEX(상세표[주말·휴일 포함],$Q1219)&amp;"")</f>
        <v/>
      </c>
      <c r="P1219">
        <f>IF($Q1219="","",INDEX(상세표[월 넘김 포함],$Q1219)&amp;"")</f>
        <v/>
      </c>
      <c r="Q1219" s="4">
        <f>IFERROR(MATCH(1214,상세표[연속순번],0),"")</f>
        <v/>
      </c>
    </row>
    <row r="1220">
      <c r="A1220">
        <f>IF($Q1220="","",INDEX(상세표[부서],$Q1220)&amp;"")</f>
        <v/>
      </c>
      <c r="B1220">
        <f>IF($Q1220="","",INDEX(상세표[사번],$Q1220)&amp;"")</f>
        <v/>
      </c>
      <c r="C1220">
        <f>IF($Q1220="","",INDEX(상세표[성명],$Q1220)&amp;"")</f>
        <v/>
      </c>
      <c r="D1220">
        <f>IF($Q1220="","",INDEX(상세표[직위],$Q1220)&amp;"")</f>
        <v/>
      </c>
      <c r="E1220">
        <f>IF($Q1220="","",IF(ISNUMBER(INDEX(상세표[근무일자],$Q1220)),TEXT(INDEX(상세표[근무일자],$Q1220),"yyyy-mm-dd"),INDEX(상세표[근무일자],$Q1220)&amp;""))</f>
        <v/>
      </c>
      <c r="F1220">
        <f>IF($Q1220="","",IF(ISNUMBER(INDEX(상세표[시작],$Q1220)),TEXT(INDEX(상세표[시작],$Q1220),"yyyy-mm-dd hh:mm"),INDEX(상세표[시작],$Q1220)&amp;""))</f>
        <v/>
      </c>
      <c r="G1220">
        <f>IF($Q1220="","",IF(ISNUMBER(INDEX(상세표[블록종료],$Q1220)),TEXT(INDEX(상세표[블록종료],$Q1220),"yyyy-mm-dd hh:mm"),INDEX(상세표[블록종료],$Q1220)&amp;""))</f>
        <v/>
      </c>
      <c r="H1220">
        <f>IF($Q1220="","",CHOOSE(WEEKDAY(INDEX(상세표[시작],$Q1220)),"일","월","화","수","목","금","토"))</f>
        <v/>
      </c>
      <c r="I1220" s="20">
        <f>IF($Q1220="","",INDEX(상세표[연속 시간],$Q1220))</f>
        <v/>
      </c>
      <c r="J1220">
        <f>IF($Q1220="","",INDEX(상세표[기록 수],$Q1220))</f>
        <v/>
      </c>
      <c r="K1220" s="20">
        <f>IF($Q1220="","",INDEX(상세표[블록 06~07시],$Q1220))</f>
        <v/>
      </c>
      <c r="L1220" s="20">
        <f>IF($Q1220="","",INDEX(상세표[블록 07~18시],$Q1220))</f>
        <v/>
      </c>
      <c r="M1220" s="20">
        <f>IF($Q1220="","",INDEX(상세표[블록 18~22시],$Q1220))</f>
        <v/>
      </c>
      <c r="N1220" s="20">
        <f>IF($Q1220="","",INDEX(상세표[블록 22~06시],$Q1220))</f>
        <v/>
      </c>
      <c r="O1220">
        <f>IF($Q1220="","",INDEX(상세표[주말·휴일 포함],$Q1220)&amp;"")</f>
        <v/>
      </c>
      <c r="P1220">
        <f>IF($Q1220="","",INDEX(상세표[월 넘김 포함],$Q1220)&amp;"")</f>
        <v/>
      </c>
      <c r="Q1220" s="4">
        <f>IFERROR(MATCH(1215,상세표[연속순번],0),"")</f>
        <v/>
      </c>
    </row>
    <row r="1221">
      <c r="A1221">
        <f>IF($Q1221="","",INDEX(상세표[부서],$Q1221)&amp;"")</f>
        <v/>
      </c>
      <c r="B1221">
        <f>IF($Q1221="","",INDEX(상세표[사번],$Q1221)&amp;"")</f>
        <v/>
      </c>
      <c r="C1221">
        <f>IF($Q1221="","",INDEX(상세표[성명],$Q1221)&amp;"")</f>
        <v/>
      </c>
      <c r="D1221">
        <f>IF($Q1221="","",INDEX(상세표[직위],$Q1221)&amp;"")</f>
        <v/>
      </c>
      <c r="E1221">
        <f>IF($Q1221="","",IF(ISNUMBER(INDEX(상세표[근무일자],$Q1221)),TEXT(INDEX(상세표[근무일자],$Q1221),"yyyy-mm-dd"),INDEX(상세표[근무일자],$Q1221)&amp;""))</f>
        <v/>
      </c>
      <c r="F1221">
        <f>IF($Q1221="","",IF(ISNUMBER(INDEX(상세표[시작],$Q1221)),TEXT(INDEX(상세표[시작],$Q1221),"yyyy-mm-dd hh:mm"),INDEX(상세표[시작],$Q1221)&amp;""))</f>
        <v/>
      </c>
      <c r="G1221">
        <f>IF($Q1221="","",IF(ISNUMBER(INDEX(상세표[블록종료],$Q1221)),TEXT(INDEX(상세표[블록종료],$Q1221),"yyyy-mm-dd hh:mm"),INDEX(상세표[블록종료],$Q1221)&amp;""))</f>
        <v/>
      </c>
      <c r="H1221">
        <f>IF($Q1221="","",CHOOSE(WEEKDAY(INDEX(상세표[시작],$Q1221)),"일","월","화","수","목","금","토"))</f>
        <v/>
      </c>
      <c r="I1221" s="20">
        <f>IF($Q1221="","",INDEX(상세표[연속 시간],$Q1221))</f>
        <v/>
      </c>
      <c r="J1221">
        <f>IF($Q1221="","",INDEX(상세표[기록 수],$Q1221))</f>
        <v/>
      </c>
      <c r="K1221" s="20">
        <f>IF($Q1221="","",INDEX(상세표[블록 06~07시],$Q1221))</f>
        <v/>
      </c>
      <c r="L1221" s="20">
        <f>IF($Q1221="","",INDEX(상세표[블록 07~18시],$Q1221))</f>
        <v/>
      </c>
      <c r="M1221" s="20">
        <f>IF($Q1221="","",INDEX(상세표[블록 18~22시],$Q1221))</f>
        <v/>
      </c>
      <c r="N1221" s="20">
        <f>IF($Q1221="","",INDEX(상세표[블록 22~06시],$Q1221))</f>
        <v/>
      </c>
      <c r="O1221">
        <f>IF($Q1221="","",INDEX(상세표[주말·휴일 포함],$Q1221)&amp;"")</f>
        <v/>
      </c>
      <c r="P1221">
        <f>IF($Q1221="","",INDEX(상세표[월 넘김 포함],$Q1221)&amp;"")</f>
        <v/>
      </c>
      <c r="Q1221" s="4">
        <f>IFERROR(MATCH(1216,상세표[연속순번],0),"")</f>
        <v/>
      </c>
    </row>
    <row r="1222">
      <c r="A1222">
        <f>IF($Q1222="","",INDEX(상세표[부서],$Q1222)&amp;"")</f>
        <v/>
      </c>
      <c r="B1222">
        <f>IF($Q1222="","",INDEX(상세표[사번],$Q1222)&amp;"")</f>
        <v/>
      </c>
      <c r="C1222">
        <f>IF($Q1222="","",INDEX(상세표[성명],$Q1222)&amp;"")</f>
        <v/>
      </c>
      <c r="D1222">
        <f>IF($Q1222="","",INDEX(상세표[직위],$Q1222)&amp;"")</f>
        <v/>
      </c>
      <c r="E1222">
        <f>IF($Q1222="","",IF(ISNUMBER(INDEX(상세표[근무일자],$Q1222)),TEXT(INDEX(상세표[근무일자],$Q1222),"yyyy-mm-dd"),INDEX(상세표[근무일자],$Q1222)&amp;""))</f>
        <v/>
      </c>
      <c r="F1222">
        <f>IF($Q1222="","",IF(ISNUMBER(INDEX(상세표[시작],$Q1222)),TEXT(INDEX(상세표[시작],$Q1222),"yyyy-mm-dd hh:mm"),INDEX(상세표[시작],$Q1222)&amp;""))</f>
        <v/>
      </c>
      <c r="G1222">
        <f>IF($Q1222="","",IF(ISNUMBER(INDEX(상세표[블록종료],$Q1222)),TEXT(INDEX(상세표[블록종료],$Q1222),"yyyy-mm-dd hh:mm"),INDEX(상세표[블록종료],$Q1222)&amp;""))</f>
        <v/>
      </c>
      <c r="H1222">
        <f>IF($Q1222="","",CHOOSE(WEEKDAY(INDEX(상세표[시작],$Q1222)),"일","월","화","수","목","금","토"))</f>
        <v/>
      </c>
      <c r="I1222" s="20">
        <f>IF($Q1222="","",INDEX(상세표[연속 시간],$Q1222))</f>
        <v/>
      </c>
      <c r="J1222">
        <f>IF($Q1222="","",INDEX(상세표[기록 수],$Q1222))</f>
        <v/>
      </c>
      <c r="K1222" s="20">
        <f>IF($Q1222="","",INDEX(상세표[블록 06~07시],$Q1222))</f>
        <v/>
      </c>
      <c r="L1222" s="20">
        <f>IF($Q1222="","",INDEX(상세표[블록 07~18시],$Q1222))</f>
        <v/>
      </c>
      <c r="M1222" s="20">
        <f>IF($Q1222="","",INDEX(상세표[블록 18~22시],$Q1222))</f>
        <v/>
      </c>
      <c r="N1222" s="20">
        <f>IF($Q1222="","",INDEX(상세표[블록 22~06시],$Q1222))</f>
        <v/>
      </c>
      <c r="O1222">
        <f>IF($Q1222="","",INDEX(상세표[주말·휴일 포함],$Q1222)&amp;"")</f>
        <v/>
      </c>
      <c r="P1222">
        <f>IF($Q1222="","",INDEX(상세표[월 넘김 포함],$Q1222)&amp;"")</f>
        <v/>
      </c>
      <c r="Q1222" s="4">
        <f>IFERROR(MATCH(1217,상세표[연속순번],0),"")</f>
        <v/>
      </c>
    </row>
    <row r="1223">
      <c r="A1223">
        <f>IF($Q1223="","",INDEX(상세표[부서],$Q1223)&amp;"")</f>
        <v/>
      </c>
      <c r="B1223">
        <f>IF($Q1223="","",INDEX(상세표[사번],$Q1223)&amp;"")</f>
        <v/>
      </c>
      <c r="C1223">
        <f>IF($Q1223="","",INDEX(상세표[성명],$Q1223)&amp;"")</f>
        <v/>
      </c>
      <c r="D1223">
        <f>IF($Q1223="","",INDEX(상세표[직위],$Q1223)&amp;"")</f>
        <v/>
      </c>
      <c r="E1223">
        <f>IF($Q1223="","",IF(ISNUMBER(INDEX(상세표[근무일자],$Q1223)),TEXT(INDEX(상세표[근무일자],$Q1223),"yyyy-mm-dd"),INDEX(상세표[근무일자],$Q1223)&amp;""))</f>
        <v/>
      </c>
      <c r="F1223">
        <f>IF($Q1223="","",IF(ISNUMBER(INDEX(상세표[시작],$Q1223)),TEXT(INDEX(상세표[시작],$Q1223),"yyyy-mm-dd hh:mm"),INDEX(상세표[시작],$Q1223)&amp;""))</f>
        <v/>
      </c>
      <c r="G1223">
        <f>IF($Q1223="","",IF(ISNUMBER(INDEX(상세표[블록종료],$Q1223)),TEXT(INDEX(상세표[블록종료],$Q1223),"yyyy-mm-dd hh:mm"),INDEX(상세표[블록종료],$Q1223)&amp;""))</f>
        <v/>
      </c>
      <c r="H1223">
        <f>IF($Q1223="","",CHOOSE(WEEKDAY(INDEX(상세표[시작],$Q1223)),"일","월","화","수","목","금","토"))</f>
        <v/>
      </c>
      <c r="I1223" s="20">
        <f>IF($Q1223="","",INDEX(상세표[연속 시간],$Q1223))</f>
        <v/>
      </c>
      <c r="J1223">
        <f>IF($Q1223="","",INDEX(상세표[기록 수],$Q1223))</f>
        <v/>
      </c>
      <c r="K1223" s="20">
        <f>IF($Q1223="","",INDEX(상세표[블록 06~07시],$Q1223))</f>
        <v/>
      </c>
      <c r="L1223" s="20">
        <f>IF($Q1223="","",INDEX(상세표[블록 07~18시],$Q1223))</f>
        <v/>
      </c>
      <c r="M1223" s="20">
        <f>IF($Q1223="","",INDEX(상세표[블록 18~22시],$Q1223))</f>
        <v/>
      </c>
      <c r="N1223" s="20">
        <f>IF($Q1223="","",INDEX(상세표[블록 22~06시],$Q1223))</f>
        <v/>
      </c>
      <c r="O1223">
        <f>IF($Q1223="","",INDEX(상세표[주말·휴일 포함],$Q1223)&amp;"")</f>
        <v/>
      </c>
      <c r="P1223">
        <f>IF($Q1223="","",INDEX(상세표[월 넘김 포함],$Q1223)&amp;"")</f>
        <v/>
      </c>
      <c r="Q1223" s="4">
        <f>IFERROR(MATCH(1218,상세표[연속순번],0),"")</f>
        <v/>
      </c>
    </row>
    <row r="1224">
      <c r="A1224">
        <f>IF($Q1224="","",INDEX(상세표[부서],$Q1224)&amp;"")</f>
        <v/>
      </c>
      <c r="B1224">
        <f>IF($Q1224="","",INDEX(상세표[사번],$Q1224)&amp;"")</f>
        <v/>
      </c>
      <c r="C1224">
        <f>IF($Q1224="","",INDEX(상세표[성명],$Q1224)&amp;"")</f>
        <v/>
      </c>
      <c r="D1224">
        <f>IF($Q1224="","",INDEX(상세표[직위],$Q1224)&amp;"")</f>
        <v/>
      </c>
      <c r="E1224">
        <f>IF($Q1224="","",IF(ISNUMBER(INDEX(상세표[근무일자],$Q1224)),TEXT(INDEX(상세표[근무일자],$Q1224),"yyyy-mm-dd"),INDEX(상세표[근무일자],$Q1224)&amp;""))</f>
        <v/>
      </c>
      <c r="F1224">
        <f>IF($Q1224="","",IF(ISNUMBER(INDEX(상세표[시작],$Q1224)),TEXT(INDEX(상세표[시작],$Q1224),"yyyy-mm-dd hh:mm"),INDEX(상세표[시작],$Q1224)&amp;""))</f>
        <v/>
      </c>
      <c r="G1224">
        <f>IF($Q1224="","",IF(ISNUMBER(INDEX(상세표[블록종료],$Q1224)),TEXT(INDEX(상세표[블록종료],$Q1224),"yyyy-mm-dd hh:mm"),INDEX(상세표[블록종료],$Q1224)&amp;""))</f>
        <v/>
      </c>
      <c r="H1224">
        <f>IF($Q1224="","",CHOOSE(WEEKDAY(INDEX(상세표[시작],$Q1224)),"일","월","화","수","목","금","토"))</f>
        <v/>
      </c>
      <c r="I1224" s="20">
        <f>IF($Q1224="","",INDEX(상세표[연속 시간],$Q1224))</f>
        <v/>
      </c>
      <c r="J1224">
        <f>IF($Q1224="","",INDEX(상세표[기록 수],$Q1224))</f>
        <v/>
      </c>
      <c r="K1224" s="20">
        <f>IF($Q1224="","",INDEX(상세표[블록 06~07시],$Q1224))</f>
        <v/>
      </c>
      <c r="L1224" s="20">
        <f>IF($Q1224="","",INDEX(상세표[블록 07~18시],$Q1224))</f>
        <v/>
      </c>
      <c r="M1224" s="20">
        <f>IF($Q1224="","",INDEX(상세표[블록 18~22시],$Q1224))</f>
        <v/>
      </c>
      <c r="N1224" s="20">
        <f>IF($Q1224="","",INDEX(상세표[블록 22~06시],$Q1224))</f>
        <v/>
      </c>
      <c r="O1224">
        <f>IF($Q1224="","",INDEX(상세표[주말·휴일 포함],$Q1224)&amp;"")</f>
        <v/>
      </c>
      <c r="P1224">
        <f>IF($Q1224="","",INDEX(상세표[월 넘김 포함],$Q1224)&amp;"")</f>
        <v/>
      </c>
      <c r="Q1224" s="4">
        <f>IFERROR(MATCH(1219,상세표[연속순번],0),"")</f>
        <v/>
      </c>
    </row>
    <row r="1225">
      <c r="A1225">
        <f>IF($Q1225="","",INDEX(상세표[부서],$Q1225)&amp;"")</f>
        <v/>
      </c>
      <c r="B1225">
        <f>IF($Q1225="","",INDEX(상세표[사번],$Q1225)&amp;"")</f>
        <v/>
      </c>
      <c r="C1225">
        <f>IF($Q1225="","",INDEX(상세표[성명],$Q1225)&amp;"")</f>
        <v/>
      </c>
      <c r="D1225">
        <f>IF($Q1225="","",INDEX(상세표[직위],$Q1225)&amp;"")</f>
        <v/>
      </c>
      <c r="E1225">
        <f>IF($Q1225="","",IF(ISNUMBER(INDEX(상세표[근무일자],$Q1225)),TEXT(INDEX(상세표[근무일자],$Q1225),"yyyy-mm-dd"),INDEX(상세표[근무일자],$Q1225)&amp;""))</f>
        <v/>
      </c>
      <c r="F1225">
        <f>IF($Q1225="","",IF(ISNUMBER(INDEX(상세표[시작],$Q1225)),TEXT(INDEX(상세표[시작],$Q1225),"yyyy-mm-dd hh:mm"),INDEX(상세표[시작],$Q1225)&amp;""))</f>
        <v/>
      </c>
      <c r="G1225">
        <f>IF($Q1225="","",IF(ISNUMBER(INDEX(상세표[블록종료],$Q1225)),TEXT(INDEX(상세표[블록종료],$Q1225),"yyyy-mm-dd hh:mm"),INDEX(상세표[블록종료],$Q1225)&amp;""))</f>
        <v/>
      </c>
      <c r="H1225">
        <f>IF($Q1225="","",CHOOSE(WEEKDAY(INDEX(상세표[시작],$Q1225)),"일","월","화","수","목","금","토"))</f>
        <v/>
      </c>
      <c r="I1225" s="20">
        <f>IF($Q1225="","",INDEX(상세표[연속 시간],$Q1225))</f>
        <v/>
      </c>
      <c r="J1225">
        <f>IF($Q1225="","",INDEX(상세표[기록 수],$Q1225))</f>
        <v/>
      </c>
      <c r="K1225" s="20">
        <f>IF($Q1225="","",INDEX(상세표[블록 06~07시],$Q1225))</f>
        <v/>
      </c>
      <c r="L1225" s="20">
        <f>IF($Q1225="","",INDEX(상세표[블록 07~18시],$Q1225))</f>
        <v/>
      </c>
      <c r="M1225" s="20">
        <f>IF($Q1225="","",INDEX(상세표[블록 18~22시],$Q1225))</f>
        <v/>
      </c>
      <c r="N1225" s="20">
        <f>IF($Q1225="","",INDEX(상세표[블록 22~06시],$Q1225))</f>
        <v/>
      </c>
      <c r="O1225">
        <f>IF($Q1225="","",INDEX(상세표[주말·휴일 포함],$Q1225)&amp;"")</f>
        <v/>
      </c>
      <c r="P1225">
        <f>IF($Q1225="","",INDEX(상세표[월 넘김 포함],$Q1225)&amp;"")</f>
        <v/>
      </c>
      <c r="Q1225" s="4">
        <f>IFERROR(MATCH(1220,상세표[연속순번],0),"")</f>
        <v/>
      </c>
    </row>
    <row r="1226">
      <c r="A1226">
        <f>IF($Q1226="","",INDEX(상세표[부서],$Q1226)&amp;"")</f>
        <v/>
      </c>
      <c r="B1226">
        <f>IF($Q1226="","",INDEX(상세표[사번],$Q1226)&amp;"")</f>
        <v/>
      </c>
      <c r="C1226">
        <f>IF($Q1226="","",INDEX(상세표[성명],$Q1226)&amp;"")</f>
        <v/>
      </c>
      <c r="D1226">
        <f>IF($Q1226="","",INDEX(상세표[직위],$Q1226)&amp;"")</f>
        <v/>
      </c>
      <c r="E1226">
        <f>IF($Q1226="","",IF(ISNUMBER(INDEX(상세표[근무일자],$Q1226)),TEXT(INDEX(상세표[근무일자],$Q1226),"yyyy-mm-dd"),INDEX(상세표[근무일자],$Q1226)&amp;""))</f>
        <v/>
      </c>
      <c r="F1226">
        <f>IF($Q1226="","",IF(ISNUMBER(INDEX(상세표[시작],$Q1226)),TEXT(INDEX(상세표[시작],$Q1226),"yyyy-mm-dd hh:mm"),INDEX(상세표[시작],$Q1226)&amp;""))</f>
        <v/>
      </c>
      <c r="G1226">
        <f>IF($Q1226="","",IF(ISNUMBER(INDEX(상세표[블록종료],$Q1226)),TEXT(INDEX(상세표[블록종료],$Q1226),"yyyy-mm-dd hh:mm"),INDEX(상세표[블록종료],$Q1226)&amp;""))</f>
        <v/>
      </c>
      <c r="H1226">
        <f>IF($Q1226="","",CHOOSE(WEEKDAY(INDEX(상세표[시작],$Q1226)),"일","월","화","수","목","금","토"))</f>
        <v/>
      </c>
      <c r="I1226" s="20">
        <f>IF($Q1226="","",INDEX(상세표[연속 시간],$Q1226))</f>
        <v/>
      </c>
      <c r="J1226">
        <f>IF($Q1226="","",INDEX(상세표[기록 수],$Q1226))</f>
        <v/>
      </c>
      <c r="K1226" s="20">
        <f>IF($Q1226="","",INDEX(상세표[블록 06~07시],$Q1226))</f>
        <v/>
      </c>
      <c r="L1226" s="20">
        <f>IF($Q1226="","",INDEX(상세표[블록 07~18시],$Q1226))</f>
        <v/>
      </c>
      <c r="M1226" s="20">
        <f>IF($Q1226="","",INDEX(상세표[블록 18~22시],$Q1226))</f>
        <v/>
      </c>
      <c r="N1226" s="20">
        <f>IF($Q1226="","",INDEX(상세표[블록 22~06시],$Q1226))</f>
        <v/>
      </c>
      <c r="O1226">
        <f>IF($Q1226="","",INDEX(상세표[주말·휴일 포함],$Q1226)&amp;"")</f>
        <v/>
      </c>
      <c r="P1226">
        <f>IF($Q1226="","",INDEX(상세표[월 넘김 포함],$Q1226)&amp;"")</f>
        <v/>
      </c>
      <c r="Q1226" s="4">
        <f>IFERROR(MATCH(1221,상세표[연속순번],0),"")</f>
        <v/>
      </c>
    </row>
    <row r="1227">
      <c r="A1227">
        <f>IF($Q1227="","",INDEX(상세표[부서],$Q1227)&amp;"")</f>
        <v/>
      </c>
      <c r="B1227">
        <f>IF($Q1227="","",INDEX(상세표[사번],$Q1227)&amp;"")</f>
        <v/>
      </c>
      <c r="C1227">
        <f>IF($Q1227="","",INDEX(상세표[성명],$Q1227)&amp;"")</f>
        <v/>
      </c>
      <c r="D1227">
        <f>IF($Q1227="","",INDEX(상세표[직위],$Q1227)&amp;"")</f>
        <v/>
      </c>
      <c r="E1227">
        <f>IF($Q1227="","",IF(ISNUMBER(INDEX(상세표[근무일자],$Q1227)),TEXT(INDEX(상세표[근무일자],$Q1227),"yyyy-mm-dd"),INDEX(상세표[근무일자],$Q1227)&amp;""))</f>
        <v/>
      </c>
      <c r="F1227">
        <f>IF($Q1227="","",IF(ISNUMBER(INDEX(상세표[시작],$Q1227)),TEXT(INDEX(상세표[시작],$Q1227),"yyyy-mm-dd hh:mm"),INDEX(상세표[시작],$Q1227)&amp;""))</f>
        <v/>
      </c>
      <c r="G1227">
        <f>IF($Q1227="","",IF(ISNUMBER(INDEX(상세표[블록종료],$Q1227)),TEXT(INDEX(상세표[블록종료],$Q1227),"yyyy-mm-dd hh:mm"),INDEX(상세표[블록종료],$Q1227)&amp;""))</f>
        <v/>
      </c>
      <c r="H1227">
        <f>IF($Q1227="","",CHOOSE(WEEKDAY(INDEX(상세표[시작],$Q1227)),"일","월","화","수","목","금","토"))</f>
        <v/>
      </c>
      <c r="I1227" s="20">
        <f>IF($Q1227="","",INDEX(상세표[연속 시간],$Q1227))</f>
        <v/>
      </c>
      <c r="J1227">
        <f>IF($Q1227="","",INDEX(상세표[기록 수],$Q1227))</f>
        <v/>
      </c>
      <c r="K1227" s="20">
        <f>IF($Q1227="","",INDEX(상세표[블록 06~07시],$Q1227))</f>
        <v/>
      </c>
      <c r="L1227" s="20">
        <f>IF($Q1227="","",INDEX(상세표[블록 07~18시],$Q1227))</f>
        <v/>
      </c>
      <c r="M1227" s="20">
        <f>IF($Q1227="","",INDEX(상세표[블록 18~22시],$Q1227))</f>
        <v/>
      </c>
      <c r="N1227" s="20">
        <f>IF($Q1227="","",INDEX(상세표[블록 22~06시],$Q1227))</f>
        <v/>
      </c>
      <c r="O1227">
        <f>IF($Q1227="","",INDEX(상세표[주말·휴일 포함],$Q1227)&amp;"")</f>
        <v/>
      </c>
      <c r="P1227">
        <f>IF($Q1227="","",INDEX(상세표[월 넘김 포함],$Q1227)&amp;"")</f>
        <v/>
      </c>
      <c r="Q1227" s="4">
        <f>IFERROR(MATCH(1222,상세표[연속순번],0),"")</f>
        <v/>
      </c>
    </row>
    <row r="1228">
      <c r="A1228">
        <f>IF($Q1228="","",INDEX(상세표[부서],$Q1228)&amp;"")</f>
        <v/>
      </c>
      <c r="B1228">
        <f>IF($Q1228="","",INDEX(상세표[사번],$Q1228)&amp;"")</f>
        <v/>
      </c>
      <c r="C1228">
        <f>IF($Q1228="","",INDEX(상세표[성명],$Q1228)&amp;"")</f>
        <v/>
      </c>
      <c r="D1228">
        <f>IF($Q1228="","",INDEX(상세표[직위],$Q1228)&amp;"")</f>
        <v/>
      </c>
      <c r="E1228">
        <f>IF($Q1228="","",IF(ISNUMBER(INDEX(상세표[근무일자],$Q1228)),TEXT(INDEX(상세표[근무일자],$Q1228),"yyyy-mm-dd"),INDEX(상세표[근무일자],$Q1228)&amp;""))</f>
        <v/>
      </c>
      <c r="F1228">
        <f>IF($Q1228="","",IF(ISNUMBER(INDEX(상세표[시작],$Q1228)),TEXT(INDEX(상세표[시작],$Q1228),"yyyy-mm-dd hh:mm"),INDEX(상세표[시작],$Q1228)&amp;""))</f>
        <v/>
      </c>
      <c r="G1228">
        <f>IF($Q1228="","",IF(ISNUMBER(INDEX(상세표[블록종료],$Q1228)),TEXT(INDEX(상세표[블록종료],$Q1228),"yyyy-mm-dd hh:mm"),INDEX(상세표[블록종료],$Q1228)&amp;""))</f>
        <v/>
      </c>
      <c r="H1228">
        <f>IF($Q1228="","",CHOOSE(WEEKDAY(INDEX(상세표[시작],$Q1228)),"일","월","화","수","목","금","토"))</f>
        <v/>
      </c>
      <c r="I1228" s="20">
        <f>IF($Q1228="","",INDEX(상세표[연속 시간],$Q1228))</f>
        <v/>
      </c>
      <c r="J1228">
        <f>IF($Q1228="","",INDEX(상세표[기록 수],$Q1228))</f>
        <v/>
      </c>
      <c r="K1228" s="20">
        <f>IF($Q1228="","",INDEX(상세표[블록 06~07시],$Q1228))</f>
        <v/>
      </c>
      <c r="L1228" s="20">
        <f>IF($Q1228="","",INDEX(상세표[블록 07~18시],$Q1228))</f>
        <v/>
      </c>
      <c r="M1228" s="20">
        <f>IF($Q1228="","",INDEX(상세표[블록 18~22시],$Q1228))</f>
        <v/>
      </c>
      <c r="N1228" s="20">
        <f>IF($Q1228="","",INDEX(상세표[블록 22~06시],$Q1228))</f>
        <v/>
      </c>
      <c r="O1228">
        <f>IF($Q1228="","",INDEX(상세표[주말·휴일 포함],$Q1228)&amp;"")</f>
        <v/>
      </c>
      <c r="P1228">
        <f>IF($Q1228="","",INDEX(상세표[월 넘김 포함],$Q1228)&amp;"")</f>
        <v/>
      </c>
      <c r="Q1228" s="4">
        <f>IFERROR(MATCH(1223,상세표[연속순번],0),"")</f>
        <v/>
      </c>
    </row>
    <row r="1229">
      <c r="A1229">
        <f>IF($Q1229="","",INDEX(상세표[부서],$Q1229)&amp;"")</f>
        <v/>
      </c>
      <c r="B1229">
        <f>IF($Q1229="","",INDEX(상세표[사번],$Q1229)&amp;"")</f>
        <v/>
      </c>
      <c r="C1229">
        <f>IF($Q1229="","",INDEX(상세표[성명],$Q1229)&amp;"")</f>
        <v/>
      </c>
      <c r="D1229">
        <f>IF($Q1229="","",INDEX(상세표[직위],$Q1229)&amp;"")</f>
        <v/>
      </c>
      <c r="E1229">
        <f>IF($Q1229="","",IF(ISNUMBER(INDEX(상세표[근무일자],$Q1229)),TEXT(INDEX(상세표[근무일자],$Q1229),"yyyy-mm-dd"),INDEX(상세표[근무일자],$Q1229)&amp;""))</f>
        <v/>
      </c>
      <c r="F1229">
        <f>IF($Q1229="","",IF(ISNUMBER(INDEX(상세표[시작],$Q1229)),TEXT(INDEX(상세표[시작],$Q1229),"yyyy-mm-dd hh:mm"),INDEX(상세표[시작],$Q1229)&amp;""))</f>
        <v/>
      </c>
      <c r="G1229">
        <f>IF($Q1229="","",IF(ISNUMBER(INDEX(상세표[블록종료],$Q1229)),TEXT(INDEX(상세표[블록종료],$Q1229),"yyyy-mm-dd hh:mm"),INDEX(상세표[블록종료],$Q1229)&amp;""))</f>
        <v/>
      </c>
      <c r="H1229">
        <f>IF($Q1229="","",CHOOSE(WEEKDAY(INDEX(상세표[시작],$Q1229)),"일","월","화","수","목","금","토"))</f>
        <v/>
      </c>
      <c r="I1229" s="20">
        <f>IF($Q1229="","",INDEX(상세표[연속 시간],$Q1229))</f>
        <v/>
      </c>
      <c r="J1229">
        <f>IF($Q1229="","",INDEX(상세표[기록 수],$Q1229))</f>
        <v/>
      </c>
      <c r="K1229" s="20">
        <f>IF($Q1229="","",INDEX(상세표[블록 06~07시],$Q1229))</f>
        <v/>
      </c>
      <c r="L1229" s="20">
        <f>IF($Q1229="","",INDEX(상세표[블록 07~18시],$Q1229))</f>
        <v/>
      </c>
      <c r="M1229" s="20">
        <f>IF($Q1229="","",INDEX(상세표[블록 18~22시],$Q1229))</f>
        <v/>
      </c>
      <c r="N1229" s="20">
        <f>IF($Q1229="","",INDEX(상세표[블록 22~06시],$Q1229))</f>
        <v/>
      </c>
      <c r="O1229">
        <f>IF($Q1229="","",INDEX(상세표[주말·휴일 포함],$Q1229)&amp;"")</f>
        <v/>
      </c>
      <c r="P1229">
        <f>IF($Q1229="","",INDEX(상세표[월 넘김 포함],$Q1229)&amp;"")</f>
        <v/>
      </c>
      <c r="Q1229" s="4">
        <f>IFERROR(MATCH(1224,상세표[연속순번],0),"")</f>
        <v/>
      </c>
    </row>
    <row r="1230">
      <c r="A1230">
        <f>IF($Q1230="","",INDEX(상세표[부서],$Q1230)&amp;"")</f>
        <v/>
      </c>
      <c r="B1230">
        <f>IF($Q1230="","",INDEX(상세표[사번],$Q1230)&amp;"")</f>
        <v/>
      </c>
      <c r="C1230">
        <f>IF($Q1230="","",INDEX(상세표[성명],$Q1230)&amp;"")</f>
        <v/>
      </c>
      <c r="D1230">
        <f>IF($Q1230="","",INDEX(상세표[직위],$Q1230)&amp;"")</f>
        <v/>
      </c>
      <c r="E1230">
        <f>IF($Q1230="","",IF(ISNUMBER(INDEX(상세표[근무일자],$Q1230)),TEXT(INDEX(상세표[근무일자],$Q1230),"yyyy-mm-dd"),INDEX(상세표[근무일자],$Q1230)&amp;""))</f>
        <v/>
      </c>
      <c r="F1230">
        <f>IF($Q1230="","",IF(ISNUMBER(INDEX(상세표[시작],$Q1230)),TEXT(INDEX(상세표[시작],$Q1230),"yyyy-mm-dd hh:mm"),INDEX(상세표[시작],$Q1230)&amp;""))</f>
        <v/>
      </c>
      <c r="G1230">
        <f>IF($Q1230="","",IF(ISNUMBER(INDEX(상세표[블록종료],$Q1230)),TEXT(INDEX(상세표[블록종료],$Q1230),"yyyy-mm-dd hh:mm"),INDEX(상세표[블록종료],$Q1230)&amp;""))</f>
        <v/>
      </c>
      <c r="H1230">
        <f>IF($Q1230="","",CHOOSE(WEEKDAY(INDEX(상세표[시작],$Q1230)),"일","월","화","수","목","금","토"))</f>
        <v/>
      </c>
      <c r="I1230" s="20">
        <f>IF($Q1230="","",INDEX(상세표[연속 시간],$Q1230))</f>
        <v/>
      </c>
      <c r="J1230">
        <f>IF($Q1230="","",INDEX(상세표[기록 수],$Q1230))</f>
        <v/>
      </c>
      <c r="K1230" s="20">
        <f>IF($Q1230="","",INDEX(상세표[블록 06~07시],$Q1230))</f>
        <v/>
      </c>
      <c r="L1230" s="20">
        <f>IF($Q1230="","",INDEX(상세표[블록 07~18시],$Q1230))</f>
        <v/>
      </c>
      <c r="M1230" s="20">
        <f>IF($Q1230="","",INDEX(상세표[블록 18~22시],$Q1230))</f>
        <v/>
      </c>
      <c r="N1230" s="20">
        <f>IF($Q1230="","",INDEX(상세표[블록 22~06시],$Q1230))</f>
        <v/>
      </c>
      <c r="O1230">
        <f>IF($Q1230="","",INDEX(상세표[주말·휴일 포함],$Q1230)&amp;"")</f>
        <v/>
      </c>
      <c r="P1230">
        <f>IF($Q1230="","",INDEX(상세표[월 넘김 포함],$Q1230)&amp;"")</f>
        <v/>
      </c>
      <c r="Q1230" s="4">
        <f>IFERROR(MATCH(1225,상세표[연속순번],0),"")</f>
        <v/>
      </c>
    </row>
    <row r="1231">
      <c r="A1231">
        <f>IF($Q1231="","",INDEX(상세표[부서],$Q1231)&amp;"")</f>
        <v/>
      </c>
      <c r="B1231">
        <f>IF($Q1231="","",INDEX(상세표[사번],$Q1231)&amp;"")</f>
        <v/>
      </c>
      <c r="C1231">
        <f>IF($Q1231="","",INDEX(상세표[성명],$Q1231)&amp;"")</f>
        <v/>
      </c>
      <c r="D1231">
        <f>IF($Q1231="","",INDEX(상세표[직위],$Q1231)&amp;"")</f>
        <v/>
      </c>
      <c r="E1231">
        <f>IF($Q1231="","",IF(ISNUMBER(INDEX(상세표[근무일자],$Q1231)),TEXT(INDEX(상세표[근무일자],$Q1231),"yyyy-mm-dd"),INDEX(상세표[근무일자],$Q1231)&amp;""))</f>
        <v/>
      </c>
      <c r="F1231">
        <f>IF($Q1231="","",IF(ISNUMBER(INDEX(상세표[시작],$Q1231)),TEXT(INDEX(상세표[시작],$Q1231),"yyyy-mm-dd hh:mm"),INDEX(상세표[시작],$Q1231)&amp;""))</f>
        <v/>
      </c>
      <c r="G1231">
        <f>IF($Q1231="","",IF(ISNUMBER(INDEX(상세표[블록종료],$Q1231)),TEXT(INDEX(상세표[블록종료],$Q1231),"yyyy-mm-dd hh:mm"),INDEX(상세표[블록종료],$Q1231)&amp;""))</f>
        <v/>
      </c>
      <c r="H1231">
        <f>IF($Q1231="","",CHOOSE(WEEKDAY(INDEX(상세표[시작],$Q1231)),"일","월","화","수","목","금","토"))</f>
        <v/>
      </c>
      <c r="I1231" s="20">
        <f>IF($Q1231="","",INDEX(상세표[연속 시간],$Q1231))</f>
        <v/>
      </c>
      <c r="J1231">
        <f>IF($Q1231="","",INDEX(상세표[기록 수],$Q1231))</f>
        <v/>
      </c>
      <c r="K1231" s="20">
        <f>IF($Q1231="","",INDEX(상세표[블록 06~07시],$Q1231))</f>
        <v/>
      </c>
      <c r="L1231" s="20">
        <f>IF($Q1231="","",INDEX(상세표[블록 07~18시],$Q1231))</f>
        <v/>
      </c>
      <c r="M1231" s="20">
        <f>IF($Q1231="","",INDEX(상세표[블록 18~22시],$Q1231))</f>
        <v/>
      </c>
      <c r="N1231" s="20">
        <f>IF($Q1231="","",INDEX(상세표[블록 22~06시],$Q1231))</f>
        <v/>
      </c>
      <c r="O1231">
        <f>IF($Q1231="","",INDEX(상세표[주말·휴일 포함],$Q1231)&amp;"")</f>
        <v/>
      </c>
      <c r="P1231">
        <f>IF($Q1231="","",INDEX(상세표[월 넘김 포함],$Q1231)&amp;"")</f>
        <v/>
      </c>
      <c r="Q1231" s="4">
        <f>IFERROR(MATCH(1226,상세표[연속순번],0),"")</f>
        <v/>
      </c>
    </row>
    <row r="1232">
      <c r="A1232">
        <f>IF($Q1232="","",INDEX(상세표[부서],$Q1232)&amp;"")</f>
        <v/>
      </c>
      <c r="B1232">
        <f>IF($Q1232="","",INDEX(상세표[사번],$Q1232)&amp;"")</f>
        <v/>
      </c>
      <c r="C1232">
        <f>IF($Q1232="","",INDEX(상세표[성명],$Q1232)&amp;"")</f>
        <v/>
      </c>
      <c r="D1232">
        <f>IF($Q1232="","",INDEX(상세표[직위],$Q1232)&amp;"")</f>
        <v/>
      </c>
      <c r="E1232">
        <f>IF($Q1232="","",IF(ISNUMBER(INDEX(상세표[근무일자],$Q1232)),TEXT(INDEX(상세표[근무일자],$Q1232),"yyyy-mm-dd"),INDEX(상세표[근무일자],$Q1232)&amp;""))</f>
        <v/>
      </c>
      <c r="F1232">
        <f>IF($Q1232="","",IF(ISNUMBER(INDEX(상세표[시작],$Q1232)),TEXT(INDEX(상세표[시작],$Q1232),"yyyy-mm-dd hh:mm"),INDEX(상세표[시작],$Q1232)&amp;""))</f>
        <v/>
      </c>
      <c r="G1232">
        <f>IF($Q1232="","",IF(ISNUMBER(INDEX(상세표[블록종료],$Q1232)),TEXT(INDEX(상세표[블록종료],$Q1232),"yyyy-mm-dd hh:mm"),INDEX(상세표[블록종료],$Q1232)&amp;""))</f>
        <v/>
      </c>
      <c r="H1232">
        <f>IF($Q1232="","",CHOOSE(WEEKDAY(INDEX(상세표[시작],$Q1232)),"일","월","화","수","목","금","토"))</f>
        <v/>
      </c>
      <c r="I1232" s="20">
        <f>IF($Q1232="","",INDEX(상세표[연속 시간],$Q1232))</f>
        <v/>
      </c>
      <c r="J1232">
        <f>IF($Q1232="","",INDEX(상세표[기록 수],$Q1232))</f>
        <v/>
      </c>
      <c r="K1232" s="20">
        <f>IF($Q1232="","",INDEX(상세표[블록 06~07시],$Q1232))</f>
        <v/>
      </c>
      <c r="L1232" s="20">
        <f>IF($Q1232="","",INDEX(상세표[블록 07~18시],$Q1232))</f>
        <v/>
      </c>
      <c r="M1232" s="20">
        <f>IF($Q1232="","",INDEX(상세표[블록 18~22시],$Q1232))</f>
        <v/>
      </c>
      <c r="N1232" s="20">
        <f>IF($Q1232="","",INDEX(상세표[블록 22~06시],$Q1232))</f>
        <v/>
      </c>
      <c r="O1232">
        <f>IF($Q1232="","",INDEX(상세표[주말·휴일 포함],$Q1232)&amp;"")</f>
        <v/>
      </c>
      <c r="P1232">
        <f>IF($Q1232="","",INDEX(상세표[월 넘김 포함],$Q1232)&amp;"")</f>
        <v/>
      </c>
      <c r="Q1232" s="4">
        <f>IFERROR(MATCH(1227,상세표[연속순번],0),"")</f>
        <v/>
      </c>
    </row>
    <row r="1233">
      <c r="A1233">
        <f>IF($Q1233="","",INDEX(상세표[부서],$Q1233)&amp;"")</f>
        <v/>
      </c>
      <c r="B1233">
        <f>IF($Q1233="","",INDEX(상세표[사번],$Q1233)&amp;"")</f>
        <v/>
      </c>
      <c r="C1233">
        <f>IF($Q1233="","",INDEX(상세표[성명],$Q1233)&amp;"")</f>
        <v/>
      </c>
      <c r="D1233">
        <f>IF($Q1233="","",INDEX(상세표[직위],$Q1233)&amp;"")</f>
        <v/>
      </c>
      <c r="E1233">
        <f>IF($Q1233="","",IF(ISNUMBER(INDEX(상세표[근무일자],$Q1233)),TEXT(INDEX(상세표[근무일자],$Q1233),"yyyy-mm-dd"),INDEX(상세표[근무일자],$Q1233)&amp;""))</f>
        <v/>
      </c>
      <c r="F1233">
        <f>IF($Q1233="","",IF(ISNUMBER(INDEX(상세표[시작],$Q1233)),TEXT(INDEX(상세표[시작],$Q1233),"yyyy-mm-dd hh:mm"),INDEX(상세표[시작],$Q1233)&amp;""))</f>
        <v/>
      </c>
      <c r="G1233">
        <f>IF($Q1233="","",IF(ISNUMBER(INDEX(상세표[블록종료],$Q1233)),TEXT(INDEX(상세표[블록종료],$Q1233),"yyyy-mm-dd hh:mm"),INDEX(상세표[블록종료],$Q1233)&amp;""))</f>
        <v/>
      </c>
      <c r="H1233">
        <f>IF($Q1233="","",CHOOSE(WEEKDAY(INDEX(상세표[시작],$Q1233)),"일","월","화","수","목","금","토"))</f>
        <v/>
      </c>
      <c r="I1233" s="20">
        <f>IF($Q1233="","",INDEX(상세표[연속 시간],$Q1233))</f>
        <v/>
      </c>
      <c r="J1233">
        <f>IF($Q1233="","",INDEX(상세표[기록 수],$Q1233))</f>
        <v/>
      </c>
      <c r="K1233" s="20">
        <f>IF($Q1233="","",INDEX(상세표[블록 06~07시],$Q1233))</f>
        <v/>
      </c>
      <c r="L1233" s="20">
        <f>IF($Q1233="","",INDEX(상세표[블록 07~18시],$Q1233))</f>
        <v/>
      </c>
      <c r="M1233" s="20">
        <f>IF($Q1233="","",INDEX(상세표[블록 18~22시],$Q1233))</f>
        <v/>
      </c>
      <c r="N1233" s="20">
        <f>IF($Q1233="","",INDEX(상세표[블록 22~06시],$Q1233))</f>
        <v/>
      </c>
      <c r="O1233">
        <f>IF($Q1233="","",INDEX(상세표[주말·휴일 포함],$Q1233)&amp;"")</f>
        <v/>
      </c>
      <c r="P1233">
        <f>IF($Q1233="","",INDEX(상세표[월 넘김 포함],$Q1233)&amp;"")</f>
        <v/>
      </c>
      <c r="Q1233" s="4">
        <f>IFERROR(MATCH(1228,상세표[연속순번],0),"")</f>
        <v/>
      </c>
    </row>
    <row r="1234">
      <c r="A1234">
        <f>IF($Q1234="","",INDEX(상세표[부서],$Q1234)&amp;"")</f>
        <v/>
      </c>
      <c r="B1234">
        <f>IF($Q1234="","",INDEX(상세표[사번],$Q1234)&amp;"")</f>
        <v/>
      </c>
      <c r="C1234">
        <f>IF($Q1234="","",INDEX(상세표[성명],$Q1234)&amp;"")</f>
        <v/>
      </c>
      <c r="D1234">
        <f>IF($Q1234="","",INDEX(상세표[직위],$Q1234)&amp;"")</f>
        <v/>
      </c>
      <c r="E1234">
        <f>IF($Q1234="","",IF(ISNUMBER(INDEX(상세표[근무일자],$Q1234)),TEXT(INDEX(상세표[근무일자],$Q1234),"yyyy-mm-dd"),INDEX(상세표[근무일자],$Q1234)&amp;""))</f>
        <v/>
      </c>
      <c r="F1234">
        <f>IF($Q1234="","",IF(ISNUMBER(INDEX(상세표[시작],$Q1234)),TEXT(INDEX(상세표[시작],$Q1234),"yyyy-mm-dd hh:mm"),INDEX(상세표[시작],$Q1234)&amp;""))</f>
        <v/>
      </c>
      <c r="G1234">
        <f>IF($Q1234="","",IF(ISNUMBER(INDEX(상세표[블록종료],$Q1234)),TEXT(INDEX(상세표[블록종료],$Q1234),"yyyy-mm-dd hh:mm"),INDEX(상세표[블록종료],$Q1234)&amp;""))</f>
        <v/>
      </c>
      <c r="H1234">
        <f>IF($Q1234="","",CHOOSE(WEEKDAY(INDEX(상세표[시작],$Q1234)),"일","월","화","수","목","금","토"))</f>
        <v/>
      </c>
      <c r="I1234" s="20">
        <f>IF($Q1234="","",INDEX(상세표[연속 시간],$Q1234))</f>
        <v/>
      </c>
      <c r="J1234">
        <f>IF($Q1234="","",INDEX(상세표[기록 수],$Q1234))</f>
        <v/>
      </c>
      <c r="K1234" s="20">
        <f>IF($Q1234="","",INDEX(상세표[블록 06~07시],$Q1234))</f>
        <v/>
      </c>
      <c r="L1234" s="20">
        <f>IF($Q1234="","",INDEX(상세표[블록 07~18시],$Q1234))</f>
        <v/>
      </c>
      <c r="M1234" s="20">
        <f>IF($Q1234="","",INDEX(상세표[블록 18~22시],$Q1234))</f>
        <v/>
      </c>
      <c r="N1234" s="20">
        <f>IF($Q1234="","",INDEX(상세표[블록 22~06시],$Q1234))</f>
        <v/>
      </c>
      <c r="O1234">
        <f>IF($Q1234="","",INDEX(상세표[주말·휴일 포함],$Q1234)&amp;"")</f>
        <v/>
      </c>
      <c r="P1234">
        <f>IF($Q1234="","",INDEX(상세표[월 넘김 포함],$Q1234)&amp;"")</f>
        <v/>
      </c>
      <c r="Q1234" s="4">
        <f>IFERROR(MATCH(1229,상세표[연속순번],0),"")</f>
        <v/>
      </c>
    </row>
    <row r="1235">
      <c r="A1235">
        <f>IF($Q1235="","",INDEX(상세표[부서],$Q1235)&amp;"")</f>
        <v/>
      </c>
      <c r="B1235">
        <f>IF($Q1235="","",INDEX(상세표[사번],$Q1235)&amp;"")</f>
        <v/>
      </c>
      <c r="C1235">
        <f>IF($Q1235="","",INDEX(상세표[성명],$Q1235)&amp;"")</f>
        <v/>
      </c>
      <c r="D1235">
        <f>IF($Q1235="","",INDEX(상세표[직위],$Q1235)&amp;"")</f>
        <v/>
      </c>
      <c r="E1235">
        <f>IF($Q1235="","",IF(ISNUMBER(INDEX(상세표[근무일자],$Q1235)),TEXT(INDEX(상세표[근무일자],$Q1235),"yyyy-mm-dd"),INDEX(상세표[근무일자],$Q1235)&amp;""))</f>
        <v/>
      </c>
      <c r="F1235">
        <f>IF($Q1235="","",IF(ISNUMBER(INDEX(상세표[시작],$Q1235)),TEXT(INDEX(상세표[시작],$Q1235),"yyyy-mm-dd hh:mm"),INDEX(상세표[시작],$Q1235)&amp;""))</f>
        <v/>
      </c>
      <c r="G1235">
        <f>IF($Q1235="","",IF(ISNUMBER(INDEX(상세표[블록종료],$Q1235)),TEXT(INDEX(상세표[블록종료],$Q1235),"yyyy-mm-dd hh:mm"),INDEX(상세표[블록종료],$Q1235)&amp;""))</f>
        <v/>
      </c>
      <c r="H1235">
        <f>IF($Q1235="","",CHOOSE(WEEKDAY(INDEX(상세표[시작],$Q1235)),"일","월","화","수","목","금","토"))</f>
        <v/>
      </c>
      <c r="I1235" s="20">
        <f>IF($Q1235="","",INDEX(상세표[연속 시간],$Q1235))</f>
        <v/>
      </c>
      <c r="J1235">
        <f>IF($Q1235="","",INDEX(상세표[기록 수],$Q1235))</f>
        <v/>
      </c>
      <c r="K1235" s="20">
        <f>IF($Q1235="","",INDEX(상세표[블록 06~07시],$Q1235))</f>
        <v/>
      </c>
      <c r="L1235" s="20">
        <f>IF($Q1235="","",INDEX(상세표[블록 07~18시],$Q1235))</f>
        <v/>
      </c>
      <c r="M1235" s="20">
        <f>IF($Q1235="","",INDEX(상세표[블록 18~22시],$Q1235))</f>
        <v/>
      </c>
      <c r="N1235" s="20">
        <f>IF($Q1235="","",INDEX(상세표[블록 22~06시],$Q1235))</f>
        <v/>
      </c>
      <c r="O1235">
        <f>IF($Q1235="","",INDEX(상세표[주말·휴일 포함],$Q1235)&amp;"")</f>
        <v/>
      </c>
      <c r="P1235">
        <f>IF($Q1235="","",INDEX(상세표[월 넘김 포함],$Q1235)&amp;"")</f>
        <v/>
      </c>
      <c r="Q1235" s="4">
        <f>IFERROR(MATCH(1230,상세표[연속순번],0),"")</f>
        <v/>
      </c>
    </row>
    <row r="1236">
      <c r="A1236">
        <f>IF($Q1236="","",INDEX(상세표[부서],$Q1236)&amp;"")</f>
        <v/>
      </c>
      <c r="B1236">
        <f>IF($Q1236="","",INDEX(상세표[사번],$Q1236)&amp;"")</f>
        <v/>
      </c>
      <c r="C1236">
        <f>IF($Q1236="","",INDEX(상세표[성명],$Q1236)&amp;"")</f>
        <v/>
      </c>
      <c r="D1236">
        <f>IF($Q1236="","",INDEX(상세표[직위],$Q1236)&amp;"")</f>
        <v/>
      </c>
      <c r="E1236">
        <f>IF($Q1236="","",IF(ISNUMBER(INDEX(상세표[근무일자],$Q1236)),TEXT(INDEX(상세표[근무일자],$Q1236),"yyyy-mm-dd"),INDEX(상세표[근무일자],$Q1236)&amp;""))</f>
        <v/>
      </c>
      <c r="F1236">
        <f>IF($Q1236="","",IF(ISNUMBER(INDEX(상세표[시작],$Q1236)),TEXT(INDEX(상세표[시작],$Q1236),"yyyy-mm-dd hh:mm"),INDEX(상세표[시작],$Q1236)&amp;""))</f>
        <v/>
      </c>
      <c r="G1236">
        <f>IF($Q1236="","",IF(ISNUMBER(INDEX(상세표[블록종료],$Q1236)),TEXT(INDEX(상세표[블록종료],$Q1236),"yyyy-mm-dd hh:mm"),INDEX(상세표[블록종료],$Q1236)&amp;""))</f>
        <v/>
      </c>
      <c r="H1236">
        <f>IF($Q1236="","",CHOOSE(WEEKDAY(INDEX(상세표[시작],$Q1236)),"일","월","화","수","목","금","토"))</f>
        <v/>
      </c>
      <c r="I1236" s="20">
        <f>IF($Q1236="","",INDEX(상세표[연속 시간],$Q1236))</f>
        <v/>
      </c>
      <c r="J1236">
        <f>IF($Q1236="","",INDEX(상세표[기록 수],$Q1236))</f>
        <v/>
      </c>
      <c r="K1236" s="20">
        <f>IF($Q1236="","",INDEX(상세표[블록 06~07시],$Q1236))</f>
        <v/>
      </c>
      <c r="L1236" s="20">
        <f>IF($Q1236="","",INDEX(상세표[블록 07~18시],$Q1236))</f>
        <v/>
      </c>
      <c r="M1236" s="20">
        <f>IF($Q1236="","",INDEX(상세표[블록 18~22시],$Q1236))</f>
        <v/>
      </c>
      <c r="N1236" s="20">
        <f>IF($Q1236="","",INDEX(상세표[블록 22~06시],$Q1236))</f>
        <v/>
      </c>
      <c r="O1236">
        <f>IF($Q1236="","",INDEX(상세표[주말·휴일 포함],$Q1236)&amp;"")</f>
        <v/>
      </c>
      <c r="P1236">
        <f>IF($Q1236="","",INDEX(상세표[월 넘김 포함],$Q1236)&amp;"")</f>
        <v/>
      </c>
      <c r="Q1236" s="4">
        <f>IFERROR(MATCH(1231,상세표[연속순번],0),"")</f>
        <v/>
      </c>
    </row>
    <row r="1237">
      <c r="A1237">
        <f>IF($Q1237="","",INDEX(상세표[부서],$Q1237)&amp;"")</f>
        <v/>
      </c>
      <c r="B1237">
        <f>IF($Q1237="","",INDEX(상세표[사번],$Q1237)&amp;"")</f>
        <v/>
      </c>
      <c r="C1237">
        <f>IF($Q1237="","",INDEX(상세표[성명],$Q1237)&amp;"")</f>
        <v/>
      </c>
      <c r="D1237">
        <f>IF($Q1237="","",INDEX(상세표[직위],$Q1237)&amp;"")</f>
        <v/>
      </c>
      <c r="E1237">
        <f>IF($Q1237="","",IF(ISNUMBER(INDEX(상세표[근무일자],$Q1237)),TEXT(INDEX(상세표[근무일자],$Q1237),"yyyy-mm-dd"),INDEX(상세표[근무일자],$Q1237)&amp;""))</f>
        <v/>
      </c>
      <c r="F1237">
        <f>IF($Q1237="","",IF(ISNUMBER(INDEX(상세표[시작],$Q1237)),TEXT(INDEX(상세표[시작],$Q1237),"yyyy-mm-dd hh:mm"),INDEX(상세표[시작],$Q1237)&amp;""))</f>
        <v/>
      </c>
      <c r="G1237">
        <f>IF($Q1237="","",IF(ISNUMBER(INDEX(상세표[블록종료],$Q1237)),TEXT(INDEX(상세표[블록종료],$Q1237),"yyyy-mm-dd hh:mm"),INDEX(상세표[블록종료],$Q1237)&amp;""))</f>
        <v/>
      </c>
      <c r="H1237">
        <f>IF($Q1237="","",CHOOSE(WEEKDAY(INDEX(상세표[시작],$Q1237)),"일","월","화","수","목","금","토"))</f>
        <v/>
      </c>
      <c r="I1237" s="20">
        <f>IF($Q1237="","",INDEX(상세표[연속 시간],$Q1237))</f>
        <v/>
      </c>
      <c r="J1237">
        <f>IF($Q1237="","",INDEX(상세표[기록 수],$Q1237))</f>
        <v/>
      </c>
      <c r="K1237" s="20">
        <f>IF($Q1237="","",INDEX(상세표[블록 06~07시],$Q1237))</f>
        <v/>
      </c>
      <c r="L1237" s="20">
        <f>IF($Q1237="","",INDEX(상세표[블록 07~18시],$Q1237))</f>
        <v/>
      </c>
      <c r="M1237" s="20">
        <f>IF($Q1237="","",INDEX(상세표[블록 18~22시],$Q1237))</f>
        <v/>
      </c>
      <c r="N1237" s="20">
        <f>IF($Q1237="","",INDEX(상세표[블록 22~06시],$Q1237))</f>
        <v/>
      </c>
      <c r="O1237">
        <f>IF($Q1237="","",INDEX(상세표[주말·휴일 포함],$Q1237)&amp;"")</f>
        <v/>
      </c>
      <c r="P1237">
        <f>IF($Q1237="","",INDEX(상세표[월 넘김 포함],$Q1237)&amp;"")</f>
        <v/>
      </c>
      <c r="Q1237" s="4">
        <f>IFERROR(MATCH(1232,상세표[연속순번],0),"")</f>
        <v/>
      </c>
    </row>
    <row r="1238">
      <c r="A1238">
        <f>IF($Q1238="","",INDEX(상세표[부서],$Q1238)&amp;"")</f>
        <v/>
      </c>
      <c r="B1238">
        <f>IF($Q1238="","",INDEX(상세표[사번],$Q1238)&amp;"")</f>
        <v/>
      </c>
      <c r="C1238">
        <f>IF($Q1238="","",INDEX(상세표[성명],$Q1238)&amp;"")</f>
        <v/>
      </c>
      <c r="D1238">
        <f>IF($Q1238="","",INDEX(상세표[직위],$Q1238)&amp;"")</f>
        <v/>
      </c>
      <c r="E1238">
        <f>IF($Q1238="","",IF(ISNUMBER(INDEX(상세표[근무일자],$Q1238)),TEXT(INDEX(상세표[근무일자],$Q1238),"yyyy-mm-dd"),INDEX(상세표[근무일자],$Q1238)&amp;""))</f>
        <v/>
      </c>
      <c r="F1238">
        <f>IF($Q1238="","",IF(ISNUMBER(INDEX(상세표[시작],$Q1238)),TEXT(INDEX(상세표[시작],$Q1238),"yyyy-mm-dd hh:mm"),INDEX(상세표[시작],$Q1238)&amp;""))</f>
        <v/>
      </c>
      <c r="G1238">
        <f>IF($Q1238="","",IF(ISNUMBER(INDEX(상세표[블록종료],$Q1238)),TEXT(INDEX(상세표[블록종료],$Q1238),"yyyy-mm-dd hh:mm"),INDEX(상세표[블록종료],$Q1238)&amp;""))</f>
        <v/>
      </c>
      <c r="H1238">
        <f>IF($Q1238="","",CHOOSE(WEEKDAY(INDEX(상세표[시작],$Q1238)),"일","월","화","수","목","금","토"))</f>
        <v/>
      </c>
      <c r="I1238" s="20">
        <f>IF($Q1238="","",INDEX(상세표[연속 시간],$Q1238))</f>
        <v/>
      </c>
      <c r="J1238">
        <f>IF($Q1238="","",INDEX(상세표[기록 수],$Q1238))</f>
        <v/>
      </c>
      <c r="K1238" s="20">
        <f>IF($Q1238="","",INDEX(상세표[블록 06~07시],$Q1238))</f>
        <v/>
      </c>
      <c r="L1238" s="20">
        <f>IF($Q1238="","",INDEX(상세표[블록 07~18시],$Q1238))</f>
        <v/>
      </c>
      <c r="M1238" s="20">
        <f>IF($Q1238="","",INDEX(상세표[블록 18~22시],$Q1238))</f>
        <v/>
      </c>
      <c r="N1238" s="20">
        <f>IF($Q1238="","",INDEX(상세표[블록 22~06시],$Q1238))</f>
        <v/>
      </c>
      <c r="O1238">
        <f>IF($Q1238="","",INDEX(상세표[주말·휴일 포함],$Q1238)&amp;"")</f>
        <v/>
      </c>
      <c r="P1238">
        <f>IF($Q1238="","",INDEX(상세표[월 넘김 포함],$Q1238)&amp;"")</f>
        <v/>
      </c>
      <c r="Q1238" s="4">
        <f>IFERROR(MATCH(1233,상세표[연속순번],0),"")</f>
        <v/>
      </c>
    </row>
    <row r="1239">
      <c r="A1239">
        <f>IF($Q1239="","",INDEX(상세표[부서],$Q1239)&amp;"")</f>
        <v/>
      </c>
      <c r="B1239">
        <f>IF($Q1239="","",INDEX(상세표[사번],$Q1239)&amp;"")</f>
        <v/>
      </c>
      <c r="C1239">
        <f>IF($Q1239="","",INDEX(상세표[성명],$Q1239)&amp;"")</f>
        <v/>
      </c>
      <c r="D1239">
        <f>IF($Q1239="","",INDEX(상세표[직위],$Q1239)&amp;"")</f>
        <v/>
      </c>
      <c r="E1239">
        <f>IF($Q1239="","",IF(ISNUMBER(INDEX(상세표[근무일자],$Q1239)),TEXT(INDEX(상세표[근무일자],$Q1239),"yyyy-mm-dd"),INDEX(상세표[근무일자],$Q1239)&amp;""))</f>
        <v/>
      </c>
      <c r="F1239">
        <f>IF($Q1239="","",IF(ISNUMBER(INDEX(상세표[시작],$Q1239)),TEXT(INDEX(상세표[시작],$Q1239),"yyyy-mm-dd hh:mm"),INDEX(상세표[시작],$Q1239)&amp;""))</f>
        <v/>
      </c>
      <c r="G1239">
        <f>IF($Q1239="","",IF(ISNUMBER(INDEX(상세표[블록종료],$Q1239)),TEXT(INDEX(상세표[블록종료],$Q1239),"yyyy-mm-dd hh:mm"),INDEX(상세표[블록종료],$Q1239)&amp;""))</f>
        <v/>
      </c>
      <c r="H1239">
        <f>IF($Q1239="","",CHOOSE(WEEKDAY(INDEX(상세표[시작],$Q1239)),"일","월","화","수","목","금","토"))</f>
        <v/>
      </c>
      <c r="I1239" s="20">
        <f>IF($Q1239="","",INDEX(상세표[연속 시간],$Q1239))</f>
        <v/>
      </c>
      <c r="J1239">
        <f>IF($Q1239="","",INDEX(상세표[기록 수],$Q1239))</f>
        <v/>
      </c>
      <c r="K1239" s="20">
        <f>IF($Q1239="","",INDEX(상세표[블록 06~07시],$Q1239))</f>
        <v/>
      </c>
      <c r="L1239" s="20">
        <f>IF($Q1239="","",INDEX(상세표[블록 07~18시],$Q1239))</f>
        <v/>
      </c>
      <c r="M1239" s="20">
        <f>IF($Q1239="","",INDEX(상세표[블록 18~22시],$Q1239))</f>
        <v/>
      </c>
      <c r="N1239" s="20">
        <f>IF($Q1239="","",INDEX(상세표[블록 22~06시],$Q1239))</f>
        <v/>
      </c>
      <c r="O1239">
        <f>IF($Q1239="","",INDEX(상세표[주말·휴일 포함],$Q1239)&amp;"")</f>
        <v/>
      </c>
      <c r="P1239">
        <f>IF($Q1239="","",INDEX(상세표[월 넘김 포함],$Q1239)&amp;"")</f>
        <v/>
      </c>
      <c r="Q1239" s="4">
        <f>IFERROR(MATCH(1234,상세표[연속순번],0),"")</f>
        <v/>
      </c>
    </row>
    <row r="1240">
      <c r="A1240">
        <f>IF($Q1240="","",INDEX(상세표[부서],$Q1240)&amp;"")</f>
        <v/>
      </c>
      <c r="B1240">
        <f>IF($Q1240="","",INDEX(상세표[사번],$Q1240)&amp;"")</f>
        <v/>
      </c>
      <c r="C1240">
        <f>IF($Q1240="","",INDEX(상세표[성명],$Q1240)&amp;"")</f>
        <v/>
      </c>
      <c r="D1240">
        <f>IF($Q1240="","",INDEX(상세표[직위],$Q1240)&amp;"")</f>
        <v/>
      </c>
      <c r="E1240">
        <f>IF($Q1240="","",IF(ISNUMBER(INDEX(상세표[근무일자],$Q1240)),TEXT(INDEX(상세표[근무일자],$Q1240),"yyyy-mm-dd"),INDEX(상세표[근무일자],$Q1240)&amp;""))</f>
        <v/>
      </c>
      <c r="F1240">
        <f>IF($Q1240="","",IF(ISNUMBER(INDEX(상세표[시작],$Q1240)),TEXT(INDEX(상세표[시작],$Q1240),"yyyy-mm-dd hh:mm"),INDEX(상세표[시작],$Q1240)&amp;""))</f>
        <v/>
      </c>
      <c r="G1240">
        <f>IF($Q1240="","",IF(ISNUMBER(INDEX(상세표[블록종료],$Q1240)),TEXT(INDEX(상세표[블록종료],$Q1240),"yyyy-mm-dd hh:mm"),INDEX(상세표[블록종료],$Q1240)&amp;""))</f>
        <v/>
      </c>
      <c r="H1240">
        <f>IF($Q1240="","",CHOOSE(WEEKDAY(INDEX(상세표[시작],$Q1240)),"일","월","화","수","목","금","토"))</f>
        <v/>
      </c>
      <c r="I1240" s="20">
        <f>IF($Q1240="","",INDEX(상세표[연속 시간],$Q1240))</f>
        <v/>
      </c>
      <c r="J1240">
        <f>IF($Q1240="","",INDEX(상세표[기록 수],$Q1240))</f>
        <v/>
      </c>
      <c r="K1240" s="20">
        <f>IF($Q1240="","",INDEX(상세표[블록 06~07시],$Q1240))</f>
        <v/>
      </c>
      <c r="L1240" s="20">
        <f>IF($Q1240="","",INDEX(상세표[블록 07~18시],$Q1240))</f>
        <v/>
      </c>
      <c r="M1240" s="20">
        <f>IF($Q1240="","",INDEX(상세표[블록 18~22시],$Q1240))</f>
        <v/>
      </c>
      <c r="N1240" s="20">
        <f>IF($Q1240="","",INDEX(상세표[블록 22~06시],$Q1240))</f>
        <v/>
      </c>
      <c r="O1240">
        <f>IF($Q1240="","",INDEX(상세표[주말·휴일 포함],$Q1240)&amp;"")</f>
        <v/>
      </c>
      <c r="P1240">
        <f>IF($Q1240="","",INDEX(상세표[월 넘김 포함],$Q1240)&amp;"")</f>
        <v/>
      </c>
      <c r="Q1240" s="4">
        <f>IFERROR(MATCH(1235,상세표[연속순번],0),"")</f>
        <v/>
      </c>
    </row>
    <row r="1241">
      <c r="A1241">
        <f>IF($Q1241="","",INDEX(상세표[부서],$Q1241)&amp;"")</f>
        <v/>
      </c>
      <c r="B1241">
        <f>IF($Q1241="","",INDEX(상세표[사번],$Q1241)&amp;"")</f>
        <v/>
      </c>
      <c r="C1241">
        <f>IF($Q1241="","",INDEX(상세표[성명],$Q1241)&amp;"")</f>
        <v/>
      </c>
      <c r="D1241">
        <f>IF($Q1241="","",INDEX(상세표[직위],$Q1241)&amp;"")</f>
        <v/>
      </c>
      <c r="E1241">
        <f>IF($Q1241="","",IF(ISNUMBER(INDEX(상세표[근무일자],$Q1241)),TEXT(INDEX(상세표[근무일자],$Q1241),"yyyy-mm-dd"),INDEX(상세표[근무일자],$Q1241)&amp;""))</f>
        <v/>
      </c>
      <c r="F1241">
        <f>IF($Q1241="","",IF(ISNUMBER(INDEX(상세표[시작],$Q1241)),TEXT(INDEX(상세표[시작],$Q1241),"yyyy-mm-dd hh:mm"),INDEX(상세표[시작],$Q1241)&amp;""))</f>
        <v/>
      </c>
      <c r="G1241">
        <f>IF($Q1241="","",IF(ISNUMBER(INDEX(상세표[블록종료],$Q1241)),TEXT(INDEX(상세표[블록종료],$Q1241),"yyyy-mm-dd hh:mm"),INDEX(상세표[블록종료],$Q1241)&amp;""))</f>
        <v/>
      </c>
      <c r="H1241">
        <f>IF($Q1241="","",CHOOSE(WEEKDAY(INDEX(상세표[시작],$Q1241)),"일","월","화","수","목","금","토"))</f>
        <v/>
      </c>
      <c r="I1241" s="20">
        <f>IF($Q1241="","",INDEX(상세표[연속 시간],$Q1241))</f>
        <v/>
      </c>
      <c r="J1241">
        <f>IF($Q1241="","",INDEX(상세표[기록 수],$Q1241))</f>
        <v/>
      </c>
      <c r="K1241" s="20">
        <f>IF($Q1241="","",INDEX(상세표[블록 06~07시],$Q1241))</f>
        <v/>
      </c>
      <c r="L1241" s="20">
        <f>IF($Q1241="","",INDEX(상세표[블록 07~18시],$Q1241))</f>
        <v/>
      </c>
      <c r="M1241" s="20">
        <f>IF($Q1241="","",INDEX(상세표[블록 18~22시],$Q1241))</f>
        <v/>
      </c>
      <c r="N1241" s="20">
        <f>IF($Q1241="","",INDEX(상세표[블록 22~06시],$Q1241))</f>
        <v/>
      </c>
      <c r="O1241">
        <f>IF($Q1241="","",INDEX(상세표[주말·휴일 포함],$Q1241)&amp;"")</f>
        <v/>
      </c>
      <c r="P1241">
        <f>IF($Q1241="","",INDEX(상세표[월 넘김 포함],$Q1241)&amp;"")</f>
        <v/>
      </c>
      <c r="Q1241" s="4">
        <f>IFERROR(MATCH(1236,상세표[연속순번],0),"")</f>
        <v/>
      </c>
    </row>
    <row r="1242">
      <c r="A1242">
        <f>IF($Q1242="","",INDEX(상세표[부서],$Q1242)&amp;"")</f>
        <v/>
      </c>
      <c r="B1242">
        <f>IF($Q1242="","",INDEX(상세표[사번],$Q1242)&amp;"")</f>
        <v/>
      </c>
      <c r="C1242">
        <f>IF($Q1242="","",INDEX(상세표[성명],$Q1242)&amp;"")</f>
        <v/>
      </c>
      <c r="D1242">
        <f>IF($Q1242="","",INDEX(상세표[직위],$Q1242)&amp;"")</f>
        <v/>
      </c>
      <c r="E1242">
        <f>IF($Q1242="","",IF(ISNUMBER(INDEX(상세표[근무일자],$Q1242)),TEXT(INDEX(상세표[근무일자],$Q1242),"yyyy-mm-dd"),INDEX(상세표[근무일자],$Q1242)&amp;""))</f>
        <v/>
      </c>
      <c r="F1242">
        <f>IF($Q1242="","",IF(ISNUMBER(INDEX(상세표[시작],$Q1242)),TEXT(INDEX(상세표[시작],$Q1242),"yyyy-mm-dd hh:mm"),INDEX(상세표[시작],$Q1242)&amp;""))</f>
        <v/>
      </c>
      <c r="G1242">
        <f>IF($Q1242="","",IF(ISNUMBER(INDEX(상세표[블록종료],$Q1242)),TEXT(INDEX(상세표[블록종료],$Q1242),"yyyy-mm-dd hh:mm"),INDEX(상세표[블록종료],$Q1242)&amp;""))</f>
        <v/>
      </c>
      <c r="H1242">
        <f>IF($Q1242="","",CHOOSE(WEEKDAY(INDEX(상세표[시작],$Q1242)),"일","월","화","수","목","금","토"))</f>
        <v/>
      </c>
      <c r="I1242" s="20">
        <f>IF($Q1242="","",INDEX(상세표[연속 시간],$Q1242))</f>
        <v/>
      </c>
      <c r="J1242">
        <f>IF($Q1242="","",INDEX(상세표[기록 수],$Q1242))</f>
        <v/>
      </c>
      <c r="K1242" s="20">
        <f>IF($Q1242="","",INDEX(상세표[블록 06~07시],$Q1242))</f>
        <v/>
      </c>
      <c r="L1242" s="20">
        <f>IF($Q1242="","",INDEX(상세표[블록 07~18시],$Q1242))</f>
        <v/>
      </c>
      <c r="M1242" s="20">
        <f>IF($Q1242="","",INDEX(상세표[블록 18~22시],$Q1242))</f>
        <v/>
      </c>
      <c r="N1242" s="20">
        <f>IF($Q1242="","",INDEX(상세표[블록 22~06시],$Q1242))</f>
        <v/>
      </c>
      <c r="O1242">
        <f>IF($Q1242="","",INDEX(상세표[주말·휴일 포함],$Q1242)&amp;"")</f>
        <v/>
      </c>
      <c r="P1242">
        <f>IF($Q1242="","",INDEX(상세표[월 넘김 포함],$Q1242)&amp;"")</f>
        <v/>
      </c>
      <c r="Q1242" s="4">
        <f>IFERROR(MATCH(1237,상세표[연속순번],0),"")</f>
        <v/>
      </c>
    </row>
    <row r="1243">
      <c r="A1243">
        <f>IF($Q1243="","",INDEX(상세표[부서],$Q1243)&amp;"")</f>
        <v/>
      </c>
      <c r="B1243">
        <f>IF($Q1243="","",INDEX(상세표[사번],$Q1243)&amp;"")</f>
        <v/>
      </c>
      <c r="C1243">
        <f>IF($Q1243="","",INDEX(상세표[성명],$Q1243)&amp;"")</f>
        <v/>
      </c>
      <c r="D1243">
        <f>IF($Q1243="","",INDEX(상세표[직위],$Q1243)&amp;"")</f>
        <v/>
      </c>
      <c r="E1243">
        <f>IF($Q1243="","",IF(ISNUMBER(INDEX(상세표[근무일자],$Q1243)),TEXT(INDEX(상세표[근무일자],$Q1243),"yyyy-mm-dd"),INDEX(상세표[근무일자],$Q1243)&amp;""))</f>
        <v/>
      </c>
      <c r="F1243">
        <f>IF($Q1243="","",IF(ISNUMBER(INDEX(상세표[시작],$Q1243)),TEXT(INDEX(상세표[시작],$Q1243),"yyyy-mm-dd hh:mm"),INDEX(상세표[시작],$Q1243)&amp;""))</f>
        <v/>
      </c>
      <c r="G1243">
        <f>IF($Q1243="","",IF(ISNUMBER(INDEX(상세표[블록종료],$Q1243)),TEXT(INDEX(상세표[블록종료],$Q1243),"yyyy-mm-dd hh:mm"),INDEX(상세표[블록종료],$Q1243)&amp;""))</f>
        <v/>
      </c>
      <c r="H1243">
        <f>IF($Q1243="","",CHOOSE(WEEKDAY(INDEX(상세표[시작],$Q1243)),"일","월","화","수","목","금","토"))</f>
        <v/>
      </c>
      <c r="I1243" s="20">
        <f>IF($Q1243="","",INDEX(상세표[연속 시간],$Q1243))</f>
        <v/>
      </c>
      <c r="J1243">
        <f>IF($Q1243="","",INDEX(상세표[기록 수],$Q1243))</f>
        <v/>
      </c>
      <c r="K1243" s="20">
        <f>IF($Q1243="","",INDEX(상세표[블록 06~07시],$Q1243))</f>
        <v/>
      </c>
      <c r="L1243" s="20">
        <f>IF($Q1243="","",INDEX(상세표[블록 07~18시],$Q1243))</f>
        <v/>
      </c>
      <c r="M1243" s="20">
        <f>IF($Q1243="","",INDEX(상세표[블록 18~22시],$Q1243))</f>
        <v/>
      </c>
      <c r="N1243" s="20">
        <f>IF($Q1243="","",INDEX(상세표[블록 22~06시],$Q1243))</f>
        <v/>
      </c>
      <c r="O1243">
        <f>IF($Q1243="","",INDEX(상세표[주말·휴일 포함],$Q1243)&amp;"")</f>
        <v/>
      </c>
      <c r="P1243">
        <f>IF($Q1243="","",INDEX(상세표[월 넘김 포함],$Q1243)&amp;"")</f>
        <v/>
      </c>
      <c r="Q1243" s="4">
        <f>IFERROR(MATCH(1238,상세표[연속순번],0),"")</f>
        <v/>
      </c>
    </row>
    <row r="1244">
      <c r="A1244">
        <f>IF($Q1244="","",INDEX(상세표[부서],$Q1244)&amp;"")</f>
        <v/>
      </c>
      <c r="B1244">
        <f>IF($Q1244="","",INDEX(상세표[사번],$Q1244)&amp;"")</f>
        <v/>
      </c>
      <c r="C1244">
        <f>IF($Q1244="","",INDEX(상세표[성명],$Q1244)&amp;"")</f>
        <v/>
      </c>
      <c r="D1244">
        <f>IF($Q1244="","",INDEX(상세표[직위],$Q1244)&amp;"")</f>
        <v/>
      </c>
      <c r="E1244">
        <f>IF($Q1244="","",IF(ISNUMBER(INDEX(상세표[근무일자],$Q1244)),TEXT(INDEX(상세표[근무일자],$Q1244),"yyyy-mm-dd"),INDEX(상세표[근무일자],$Q1244)&amp;""))</f>
        <v/>
      </c>
      <c r="F1244">
        <f>IF($Q1244="","",IF(ISNUMBER(INDEX(상세표[시작],$Q1244)),TEXT(INDEX(상세표[시작],$Q1244),"yyyy-mm-dd hh:mm"),INDEX(상세표[시작],$Q1244)&amp;""))</f>
        <v/>
      </c>
      <c r="G1244">
        <f>IF($Q1244="","",IF(ISNUMBER(INDEX(상세표[블록종료],$Q1244)),TEXT(INDEX(상세표[블록종료],$Q1244),"yyyy-mm-dd hh:mm"),INDEX(상세표[블록종료],$Q1244)&amp;""))</f>
        <v/>
      </c>
      <c r="H1244">
        <f>IF($Q1244="","",CHOOSE(WEEKDAY(INDEX(상세표[시작],$Q1244)),"일","월","화","수","목","금","토"))</f>
        <v/>
      </c>
      <c r="I1244" s="20">
        <f>IF($Q1244="","",INDEX(상세표[연속 시간],$Q1244))</f>
        <v/>
      </c>
      <c r="J1244">
        <f>IF($Q1244="","",INDEX(상세표[기록 수],$Q1244))</f>
        <v/>
      </c>
      <c r="K1244" s="20">
        <f>IF($Q1244="","",INDEX(상세표[블록 06~07시],$Q1244))</f>
        <v/>
      </c>
      <c r="L1244" s="20">
        <f>IF($Q1244="","",INDEX(상세표[블록 07~18시],$Q1244))</f>
        <v/>
      </c>
      <c r="M1244" s="20">
        <f>IF($Q1244="","",INDEX(상세표[블록 18~22시],$Q1244))</f>
        <v/>
      </c>
      <c r="N1244" s="20">
        <f>IF($Q1244="","",INDEX(상세표[블록 22~06시],$Q1244))</f>
        <v/>
      </c>
      <c r="O1244">
        <f>IF($Q1244="","",INDEX(상세표[주말·휴일 포함],$Q1244)&amp;"")</f>
        <v/>
      </c>
      <c r="P1244">
        <f>IF($Q1244="","",INDEX(상세표[월 넘김 포함],$Q1244)&amp;"")</f>
        <v/>
      </c>
      <c r="Q1244" s="4">
        <f>IFERROR(MATCH(1239,상세표[연속순번],0),"")</f>
        <v/>
      </c>
    </row>
    <row r="1245">
      <c r="A1245">
        <f>IF($Q1245="","",INDEX(상세표[부서],$Q1245)&amp;"")</f>
        <v/>
      </c>
      <c r="B1245">
        <f>IF($Q1245="","",INDEX(상세표[사번],$Q1245)&amp;"")</f>
        <v/>
      </c>
      <c r="C1245">
        <f>IF($Q1245="","",INDEX(상세표[성명],$Q1245)&amp;"")</f>
        <v/>
      </c>
      <c r="D1245">
        <f>IF($Q1245="","",INDEX(상세표[직위],$Q1245)&amp;"")</f>
        <v/>
      </c>
      <c r="E1245">
        <f>IF($Q1245="","",IF(ISNUMBER(INDEX(상세표[근무일자],$Q1245)),TEXT(INDEX(상세표[근무일자],$Q1245),"yyyy-mm-dd"),INDEX(상세표[근무일자],$Q1245)&amp;""))</f>
        <v/>
      </c>
      <c r="F1245">
        <f>IF($Q1245="","",IF(ISNUMBER(INDEX(상세표[시작],$Q1245)),TEXT(INDEX(상세표[시작],$Q1245),"yyyy-mm-dd hh:mm"),INDEX(상세표[시작],$Q1245)&amp;""))</f>
        <v/>
      </c>
      <c r="G1245">
        <f>IF($Q1245="","",IF(ISNUMBER(INDEX(상세표[블록종료],$Q1245)),TEXT(INDEX(상세표[블록종료],$Q1245),"yyyy-mm-dd hh:mm"),INDEX(상세표[블록종료],$Q1245)&amp;""))</f>
        <v/>
      </c>
      <c r="H1245">
        <f>IF($Q1245="","",CHOOSE(WEEKDAY(INDEX(상세표[시작],$Q1245)),"일","월","화","수","목","금","토"))</f>
        <v/>
      </c>
      <c r="I1245" s="20">
        <f>IF($Q1245="","",INDEX(상세표[연속 시간],$Q1245))</f>
        <v/>
      </c>
      <c r="J1245">
        <f>IF($Q1245="","",INDEX(상세표[기록 수],$Q1245))</f>
        <v/>
      </c>
      <c r="K1245" s="20">
        <f>IF($Q1245="","",INDEX(상세표[블록 06~07시],$Q1245))</f>
        <v/>
      </c>
      <c r="L1245" s="20">
        <f>IF($Q1245="","",INDEX(상세표[블록 07~18시],$Q1245))</f>
        <v/>
      </c>
      <c r="M1245" s="20">
        <f>IF($Q1245="","",INDEX(상세표[블록 18~22시],$Q1245))</f>
        <v/>
      </c>
      <c r="N1245" s="20">
        <f>IF($Q1245="","",INDEX(상세표[블록 22~06시],$Q1245))</f>
        <v/>
      </c>
      <c r="O1245">
        <f>IF($Q1245="","",INDEX(상세표[주말·휴일 포함],$Q1245)&amp;"")</f>
        <v/>
      </c>
      <c r="P1245">
        <f>IF($Q1245="","",INDEX(상세표[월 넘김 포함],$Q1245)&amp;"")</f>
        <v/>
      </c>
      <c r="Q1245" s="4">
        <f>IFERROR(MATCH(1240,상세표[연속순번],0),"")</f>
        <v/>
      </c>
    </row>
    <row r="1246">
      <c r="A1246">
        <f>IF($Q1246="","",INDEX(상세표[부서],$Q1246)&amp;"")</f>
        <v/>
      </c>
      <c r="B1246">
        <f>IF($Q1246="","",INDEX(상세표[사번],$Q1246)&amp;"")</f>
        <v/>
      </c>
      <c r="C1246">
        <f>IF($Q1246="","",INDEX(상세표[성명],$Q1246)&amp;"")</f>
        <v/>
      </c>
      <c r="D1246">
        <f>IF($Q1246="","",INDEX(상세표[직위],$Q1246)&amp;"")</f>
        <v/>
      </c>
      <c r="E1246">
        <f>IF($Q1246="","",IF(ISNUMBER(INDEX(상세표[근무일자],$Q1246)),TEXT(INDEX(상세표[근무일자],$Q1246),"yyyy-mm-dd"),INDEX(상세표[근무일자],$Q1246)&amp;""))</f>
        <v/>
      </c>
      <c r="F1246">
        <f>IF($Q1246="","",IF(ISNUMBER(INDEX(상세표[시작],$Q1246)),TEXT(INDEX(상세표[시작],$Q1246),"yyyy-mm-dd hh:mm"),INDEX(상세표[시작],$Q1246)&amp;""))</f>
        <v/>
      </c>
      <c r="G1246">
        <f>IF($Q1246="","",IF(ISNUMBER(INDEX(상세표[블록종료],$Q1246)),TEXT(INDEX(상세표[블록종료],$Q1246),"yyyy-mm-dd hh:mm"),INDEX(상세표[블록종료],$Q1246)&amp;""))</f>
        <v/>
      </c>
      <c r="H1246">
        <f>IF($Q1246="","",CHOOSE(WEEKDAY(INDEX(상세표[시작],$Q1246)),"일","월","화","수","목","금","토"))</f>
        <v/>
      </c>
      <c r="I1246" s="20">
        <f>IF($Q1246="","",INDEX(상세표[연속 시간],$Q1246))</f>
        <v/>
      </c>
      <c r="J1246">
        <f>IF($Q1246="","",INDEX(상세표[기록 수],$Q1246))</f>
        <v/>
      </c>
      <c r="K1246" s="20">
        <f>IF($Q1246="","",INDEX(상세표[블록 06~07시],$Q1246))</f>
        <v/>
      </c>
      <c r="L1246" s="20">
        <f>IF($Q1246="","",INDEX(상세표[블록 07~18시],$Q1246))</f>
        <v/>
      </c>
      <c r="M1246" s="20">
        <f>IF($Q1246="","",INDEX(상세표[블록 18~22시],$Q1246))</f>
        <v/>
      </c>
      <c r="N1246" s="20">
        <f>IF($Q1246="","",INDEX(상세표[블록 22~06시],$Q1246))</f>
        <v/>
      </c>
      <c r="O1246">
        <f>IF($Q1246="","",INDEX(상세표[주말·휴일 포함],$Q1246)&amp;"")</f>
        <v/>
      </c>
      <c r="P1246">
        <f>IF($Q1246="","",INDEX(상세표[월 넘김 포함],$Q1246)&amp;"")</f>
        <v/>
      </c>
      <c r="Q1246" s="4">
        <f>IFERROR(MATCH(1241,상세표[연속순번],0),"")</f>
        <v/>
      </c>
    </row>
    <row r="1247">
      <c r="A1247">
        <f>IF($Q1247="","",INDEX(상세표[부서],$Q1247)&amp;"")</f>
        <v/>
      </c>
      <c r="B1247">
        <f>IF($Q1247="","",INDEX(상세표[사번],$Q1247)&amp;"")</f>
        <v/>
      </c>
      <c r="C1247">
        <f>IF($Q1247="","",INDEX(상세표[성명],$Q1247)&amp;"")</f>
        <v/>
      </c>
      <c r="D1247">
        <f>IF($Q1247="","",INDEX(상세표[직위],$Q1247)&amp;"")</f>
        <v/>
      </c>
      <c r="E1247">
        <f>IF($Q1247="","",IF(ISNUMBER(INDEX(상세표[근무일자],$Q1247)),TEXT(INDEX(상세표[근무일자],$Q1247),"yyyy-mm-dd"),INDEX(상세표[근무일자],$Q1247)&amp;""))</f>
        <v/>
      </c>
      <c r="F1247">
        <f>IF($Q1247="","",IF(ISNUMBER(INDEX(상세표[시작],$Q1247)),TEXT(INDEX(상세표[시작],$Q1247),"yyyy-mm-dd hh:mm"),INDEX(상세표[시작],$Q1247)&amp;""))</f>
        <v/>
      </c>
      <c r="G1247">
        <f>IF($Q1247="","",IF(ISNUMBER(INDEX(상세표[블록종료],$Q1247)),TEXT(INDEX(상세표[블록종료],$Q1247),"yyyy-mm-dd hh:mm"),INDEX(상세표[블록종료],$Q1247)&amp;""))</f>
        <v/>
      </c>
      <c r="H1247">
        <f>IF($Q1247="","",CHOOSE(WEEKDAY(INDEX(상세표[시작],$Q1247)),"일","월","화","수","목","금","토"))</f>
        <v/>
      </c>
      <c r="I1247" s="20">
        <f>IF($Q1247="","",INDEX(상세표[연속 시간],$Q1247))</f>
        <v/>
      </c>
      <c r="J1247">
        <f>IF($Q1247="","",INDEX(상세표[기록 수],$Q1247))</f>
        <v/>
      </c>
      <c r="K1247" s="20">
        <f>IF($Q1247="","",INDEX(상세표[블록 06~07시],$Q1247))</f>
        <v/>
      </c>
      <c r="L1247" s="20">
        <f>IF($Q1247="","",INDEX(상세표[블록 07~18시],$Q1247))</f>
        <v/>
      </c>
      <c r="M1247" s="20">
        <f>IF($Q1247="","",INDEX(상세표[블록 18~22시],$Q1247))</f>
        <v/>
      </c>
      <c r="N1247" s="20">
        <f>IF($Q1247="","",INDEX(상세표[블록 22~06시],$Q1247))</f>
        <v/>
      </c>
      <c r="O1247">
        <f>IF($Q1247="","",INDEX(상세표[주말·휴일 포함],$Q1247)&amp;"")</f>
        <v/>
      </c>
      <c r="P1247">
        <f>IF($Q1247="","",INDEX(상세표[월 넘김 포함],$Q1247)&amp;"")</f>
        <v/>
      </c>
      <c r="Q1247" s="4">
        <f>IFERROR(MATCH(1242,상세표[연속순번],0),"")</f>
        <v/>
      </c>
    </row>
    <row r="1248">
      <c r="A1248">
        <f>IF($Q1248="","",INDEX(상세표[부서],$Q1248)&amp;"")</f>
        <v/>
      </c>
      <c r="B1248">
        <f>IF($Q1248="","",INDEX(상세표[사번],$Q1248)&amp;"")</f>
        <v/>
      </c>
      <c r="C1248">
        <f>IF($Q1248="","",INDEX(상세표[성명],$Q1248)&amp;"")</f>
        <v/>
      </c>
      <c r="D1248">
        <f>IF($Q1248="","",INDEX(상세표[직위],$Q1248)&amp;"")</f>
        <v/>
      </c>
      <c r="E1248">
        <f>IF($Q1248="","",IF(ISNUMBER(INDEX(상세표[근무일자],$Q1248)),TEXT(INDEX(상세표[근무일자],$Q1248),"yyyy-mm-dd"),INDEX(상세표[근무일자],$Q1248)&amp;""))</f>
        <v/>
      </c>
      <c r="F1248">
        <f>IF($Q1248="","",IF(ISNUMBER(INDEX(상세표[시작],$Q1248)),TEXT(INDEX(상세표[시작],$Q1248),"yyyy-mm-dd hh:mm"),INDEX(상세표[시작],$Q1248)&amp;""))</f>
        <v/>
      </c>
      <c r="G1248">
        <f>IF($Q1248="","",IF(ISNUMBER(INDEX(상세표[블록종료],$Q1248)),TEXT(INDEX(상세표[블록종료],$Q1248),"yyyy-mm-dd hh:mm"),INDEX(상세표[블록종료],$Q1248)&amp;""))</f>
        <v/>
      </c>
      <c r="H1248">
        <f>IF($Q1248="","",CHOOSE(WEEKDAY(INDEX(상세표[시작],$Q1248)),"일","월","화","수","목","금","토"))</f>
        <v/>
      </c>
      <c r="I1248" s="20">
        <f>IF($Q1248="","",INDEX(상세표[연속 시간],$Q1248))</f>
        <v/>
      </c>
      <c r="J1248">
        <f>IF($Q1248="","",INDEX(상세표[기록 수],$Q1248))</f>
        <v/>
      </c>
      <c r="K1248" s="20">
        <f>IF($Q1248="","",INDEX(상세표[블록 06~07시],$Q1248))</f>
        <v/>
      </c>
      <c r="L1248" s="20">
        <f>IF($Q1248="","",INDEX(상세표[블록 07~18시],$Q1248))</f>
        <v/>
      </c>
      <c r="M1248" s="20">
        <f>IF($Q1248="","",INDEX(상세표[블록 18~22시],$Q1248))</f>
        <v/>
      </c>
      <c r="N1248" s="20">
        <f>IF($Q1248="","",INDEX(상세표[블록 22~06시],$Q1248))</f>
        <v/>
      </c>
      <c r="O1248">
        <f>IF($Q1248="","",INDEX(상세표[주말·휴일 포함],$Q1248)&amp;"")</f>
        <v/>
      </c>
      <c r="P1248">
        <f>IF($Q1248="","",INDEX(상세표[월 넘김 포함],$Q1248)&amp;"")</f>
        <v/>
      </c>
      <c r="Q1248" s="4">
        <f>IFERROR(MATCH(1243,상세표[연속순번],0),"")</f>
        <v/>
      </c>
    </row>
    <row r="1249">
      <c r="A1249">
        <f>IF($Q1249="","",INDEX(상세표[부서],$Q1249)&amp;"")</f>
        <v/>
      </c>
      <c r="B1249">
        <f>IF($Q1249="","",INDEX(상세표[사번],$Q1249)&amp;"")</f>
        <v/>
      </c>
      <c r="C1249">
        <f>IF($Q1249="","",INDEX(상세표[성명],$Q1249)&amp;"")</f>
        <v/>
      </c>
      <c r="D1249">
        <f>IF($Q1249="","",INDEX(상세표[직위],$Q1249)&amp;"")</f>
        <v/>
      </c>
      <c r="E1249">
        <f>IF($Q1249="","",IF(ISNUMBER(INDEX(상세표[근무일자],$Q1249)),TEXT(INDEX(상세표[근무일자],$Q1249),"yyyy-mm-dd"),INDEX(상세표[근무일자],$Q1249)&amp;""))</f>
        <v/>
      </c>
      <c r="F1249">
        <f>IF($Q1249="","",IF(ISNUMBER(INDEX(상세표[시작],$Q1249)),TEXT(INDEX(상세표[시작],$Q1249),"yyyy-mm-dd hh:mm"),INDEX(상세표[시작],$Q1249)&amp;""))</f>
        <v/>
      </c>
      <c r="G1249">
        <f>IF($Q1249="","",IF(ISNUMBER(INDEX(상세표[블록종료],$Q1249)),TEXT(INDEX(상세표[블록종료],$Q1249),"yyyy-mm-dd hh:mm"),INDEX(상세표[블록종료],$Q1249)&amp;""))</f>
        <v/>
      </c>
      <c r="H1249">
        <f>IF($Q1249="","",CHOOSE(WEEKDAY(INDEX(상세표[시작],$Q1249)),"일","월","화","수","목","금","토"))</f>
        <v/>
      </c>
      <c r="I1249" s="20">
        <f>IF($Q1249="","",INDEX(상세표[연속 시간],$Q1249))</f>
        <v/>
      </c>
      <c r="J1249">
        <f>IF($Q1249="","",INDEX(상세표[기록 수],$Q1249))</f>
        <v/>
      </c>
      <c r="K1249" s="20">
        <f>IF($Q1249="","",INDEX(상세표[블록 06~07시],$Q1249))</f>
        <v/>
      </c>
      <c r="L1249" s="20">
        <f>IF($Q1249="","",INDEX(상세표[블록 07~18시],$Q1249))</f>
        <v/>
      </c>
      <c r="M1249" s="20">
        <f>IF($Q1249="","",INDEX(상세표[블록 18~22시],$Q1249))</f>
        <v/>
      </c>
      <c r="N1249" s="20">
        <f>IF($Q1249="","",INDEX(상세표[블록 22~06시],$Q1249))</f>
        <v/>
      </c>
      <c r="O1249">
        <f>IF($Q1249="","",INDEX(상세표[주말·휴일 포함],$Q1249)&amp;"")</f>
        <v/>
      </c>
      <c r="P1249">
        <f>IF($Q1249="","",INDEX(상세표[월 넘김 포함],$Q1249)&amp;"")</f>
        <v/>
      </c>
      <c r="Q1249" s="4">
        <f>IFERROR(MATCH(1244,상세표[연속순번],0),"")</f>
        <v/>
      </c>
    </row>
    <row r="1250">
      <c r="A1250">
        <f>IF($Q1250="","",INDEX(상세표[부서],$Q1250)&amp;"")</f>
        <v/>
      </c>
      <c r="B1250">
        <f>IF($Q1250="","",INDEX(상세표[사번],$Q1250)&amp;"")</f>
        <v/>
      </c>
      <c r="C1250">
        <f>IF($Q1250="","",INDEX(상세표[성명],$Q1250)&amp;"")</f>
        <v/>
      </c>
      <c r="D1250">
        <f>IF($Q1250="","",INDEX(상세표[직위],$Q1250)&amp;"")</f>
        <v/>
      </c>
      <c r="E1250">
        <f>IF($Q1250="","",IF(ISNUMBER(INDEX(상세표[근무일자],$Q1250)),TEXT(INDEX(상세표[근무일자],$Q1250),"yyyy-mm-dd"),INDEX(상세표[근무일자],$Q1250)&amp;""))</f>
        <v/>
      </c>
      <c r="F1250">
        <f>IF($Q1250="","",IF(ISNUMBER(INDEX(상세표[시작],$Q1250)),TEXT(INDEX(상세표[시작],$Q1250),"yyyy-mm-dd hh:mm"),INDEX(상세표[시작],$Q1250)&amp;""))</f>
        <v/>
      </c>
      <c r="G1250">
        <f>IF($Q1250="","",IF(ISNUMBER(INDEX(상세표[블록종료],$Q1250)),TEXT(INDEX(상세표[블록종료],$Q1250),"yyyy-mm-dd hh:mm"),INDEX(상세표[블록종료],$Q1250)&amp;""))</f>
        <v/>
      </c>
      <c r="H1250">
        <f>IF($Q1250="","",CHOOSE(WEEKDAY(INDEX(상세표[시작],$Q1250)),"일","월","화","수","목","금","토"))</f>
        <v/>
      </c>
      <c r="I1250" s="20">
        <f>IF($Q1250="","",INDEX(상세표[연속 시간],$Q1250))</f>
        <v/>
      </c>
      <c r="J1250">
        <f>IF($Q1250="","",INDEX(상세표[기록 수],$Q1250))</f>
        <v/>
      </c>
      <c r="K1250" s="20">
        <f>IF($Q1250="","",INDEX(상세표[블록 06~07시],$Q1250))</f>
        <v/>
      </c>
      <c r="L1250" s="20">
        <f>IF($Q1250="","",INDEX(상세표[블록 07~18시],$Q1250))</f>
        <v/>
      </c>
      <c r="M1250" s="20">
        <f>IF($Q1250="","",INDEX(상세표[블록 18~22시],$Q1250))</f>
        <v/>
      </c>
      <c r="N1250" s="20">
        <f>IF($Q1250="","",INDEX(상세표[블록 22~06시],$Q1250))</f>
        <v/>
      </c>
      <c r="O1250">
        <f>IF($Q1250="","",INDEX(상세표[주말·휴일 포함],$Q1250)&amp;"")</f>
        <v/>
      </c>
      <c r="P1250">
        <f>IF($Q1250="","",INDEX(상세표[월 넘김 포함],$Q1250)&amp;"")</f>
        <v/>
      </c>
      <c r="Q1250" s="4">
        <f>IFERROR(MATCH(1245,상세표[연속순번],0),"")</f>
        <v/>
      </c>
    </row>
    <row r="1251">
      <c r="A1251">
        <f>IF($Q1251="","",INDEX(상세표[부서],$Q1251)&amp;"")</f>
        <v/>
      </c>
      <c r="B1251">
        <f>IF($Q1251="","",INDEX(상세표[사번],$Q1251)&amp;"")</f>
        <v/>
      </c>
      <c r="C1251">
        <f>IF($Q1251="","",INDEX(상세표[성명],$Q1251)&amp;"")</f>
        <v/>
      </c>
      <c r="D1251">
        <f>IF($Q1251="","",INDEX(상세표[직위],$Q1251)&amp;"")</f>
        <v/>
      </c>
      <c r="E1251">
        <f>IF($Q1251="","",IF(ISNUMBER(INDEX(상세표[근무일자],$Q1251)),TEXT(INDEX(상세표[근무일자],$Q1251),"yyyy-mm-dd"),INDEX(상세표[근무일자],$Q1251)&amp;""))</f>
        <v/>
      </c>
      <c r="F1251">
        <f>IF($Q1251="","",IF(ISNUMBER(INDEX(상세표[시작],$Q1251)),TEXT(INDEX(상세표[시작],$Q1251),"yyyy-mm-dd hh:mm"),INDEX(상세표[시작],$Q1251)&amp;""))</f>
        <v/>
      </c>
      <c r="G1251">
        <f>IF($Q1251="","",IF(ISNUMBER(INDEX(상세표[블록종료],$Q1251)),TEXT(INDEX(상세표[블록종료],$Q1251),"yyyy-mm-dd hh:mm"),INDEX(상세표[블록종료],$Q1251)&amp;""))</f>
        <v/>
      </c>
      <c r="H1251">
        <f>IF($Q1251="","",CHOOSE(WEEKDAY(INDEX(상세표[시작],$Q1251)),"일","월","화","수","목","금","토"))</f>
        <v/>
      </c>
      <c r="I1251" s="20">
        <f>IF($Q1251="","",INDEX(상세표[연속 시간],$Q1251))</f>
        <v/>
      </c>
      <c r="J1251">
        <f>IF($Q1251="","",INDEX(상세표[기록 수],$Q1251))</f>
        <v/>
      </c>
      <c r="K1251" s="20">
        <f>IF($Q1251="","",INDEX(상세표[블록 06~07시],$Q1251))</f>
        <v/>
      </c>
      <c r="L1251" s="20">
        <f>IF($Q1251="","",INDEX(상세표[블록 07~18시],$Q1251))</f>
        <v/>
      </c>
      <c r="M1251" s="20">
        <f>IF($Q1251="","",INDEX(상세표[블록 18~22시],$Q1251))</f>
        <v/>
      </c>
      <c r="N1251" s="20">
        <f>IF($Q1251="","",INDEX(상세표[블록 22~06시],$Q1251))</f>
        <v/>
      </c>
      <c r="O1251">
        <f>IF($Q1251="","",INDEX(상세표[주말·휴일 포함],$Q1251)&amp;"")</f>
        <v/>
      </c>
      <c r="P1251">
        <f>IF($Q1251="","",INDEX(상세표[월 넘김 포함],$Q1251)&amp;"")</f>
        <v/>
      </c>
      <c r="Q1251" s="4">
        <f>IFERROR(MATCH(1246,상세표[연속순번],0),"")</f>
        <v/>
      </c>
    </row>
    <row r="1252">
      <c r="A1252">
        <f>IF($Q1252="","",INDEX(상세표[부서],$Q1252)&amp;"")</f>
        <v/>
      </c>
      <c r="B1252">
        <f>IF($Q1252="","",INDEX(상세표[사번],$Q1252)&amp;"")</f>
        <v/>
      </c>
      <c r="C1252">
        <f>IF($Q1252="","",INDEX(상세표[성명],$Q1252)&amp;"")</f>
        <v/>
      </c>
      <c r="D1252">
        <f>IF($Q1252="","",INDEX(상세표[직위],$Q1252)&amp;"")</f>
        <v/>
      </c>
      <c r="E1252">
        <f>IF($Q1252="","",IF(ISNUMBER(INDEX(상세표[근무일자],$Q1252)),TEXT(INDEX(상세표[근무일자],$Q1252),"yyyy-mm-dd"),INDEX(상세표[근무일자],$Q1252)&amp;""))</f>
        <v/>
      </c>
      <c r="F1252">
        <f>IF($Q1252="","",IF(ISNUMBER(INDEX(상세표[시작],$Q1252)),TEXT(INDEX(상세표[시작],$Q1252),"yyyy-mm-dd hh:mm"),INDEX(상세표[시작],$Q1252)&amp;""))</f>
        <v/>
      </c>
      <c r="G1252">
        <f>IF($Q1252="","",IF(ISNUMBER(INDEX(상세표[블록종료],$Q1252)),TEXT(INDEX(상세표[블록종료],$Q1252),"yyyy-mm-dd hh:mm"),INDEX(상세표[블록종료],$Q1252)&amp;""))</f>
        <v/>
      </c>
      <c r="H1252">
        <f>IF($Q1252="","",CHOOSE(WEEKDAY(INDEX(상세표[시작],$Q1252)),"일","월","화","수","목","금","토"))</f>
        <v/>
      </c>
      <c r="I1252" s="20">
        <f>IF($Q1252="","",INDEX(상세표[연속 시간],$Q1252))</f>
        <v/>
      </c>
      <c r="J1252">
        <f>IF($Q1252="","",INDEX(상세표[기록 수],$Q1252))</f>
        <v/>
      </c>
      <c r="K1252" s="20">
        <f>IF($Q1252="","",INDEX(상세표[블록 06~07시],$Q1252))</f>
        <v/>
      </c>
      <c r="L1252" s="20">
        <f>IF($Q1252="","",INDEX(상세표[블록 07~18시],$Q1252))</f>
        <v/>
      </c>
      <c r="M1252" s="20">
        <f>IF($Q1252="","",INDEX(상세표[블록 18~22시],$Q1252))</f>
        <v/>
      </c>
      <c r="N1252" s="20">
        <f>IF($Q1252="","",INDEX(상세표[블록 22~06시],$Q1252))</f>
        <v/>
      </c>
      <c r="O1252">
        <f>IF($Q1252="","",INDEX(상세표[주말·휴일 포함],$Q1252)&amp;"")</f>
        <v/>
      </c>
      <c r="P1252">
        <f>IF($Q1252="","",INDEX(상세표[월 넘김 포함],$Q1252)&amp;"")</f>
        <v/>
      </c>
      <c r="Q1252" s="4">
        <f>IFERROR(MATCH(1247,상세표[연속순번],0),"")</f>
        <v/>
      </c>
    </row>
    <row r="1253">
      <c r="A1253">
        <f>IF($Q1253="","",INDEX(상세표[부서],$Q1253)&amp;"")</f>
        <v/>
      </c>
      <c r="B1253">
        <f>IF($Q1253="","",INDEX(상세표[사번],$Q1253)&amp;"")</f>
        <v/>
      </c>
      <c r="C1253">
        <f>IF($Q1253="","",INDEX(상세표[성명],$Q1253)&amp;"")</f>
        <v/>
      </c>
      <c r="D1253">
        <f>IF($Q1253="","",INDEX(상세표[직위],$Q1253)&amp;"")</f>
        <v/>
      </c>
      <c r="E1253">
        <f>IF($Q1253="","",IF(ISNUMBER(INDEX(상세표[근무일자],$Q1253)),TEXT(INDEX(상세표[근무일자],$Q1253),"yyyy-mm-dd"),INDEX(상세표[근무일자],$Q1253)&amp;""))</f>
        <v/>
      </c>
      <c r="F1253">
        <f>IF($Q1253="","",IF(ISNUMBER(INDEX(상세표[시작],$Q1253)),TEXT(INDEX(상세표[시작],$Q1253),"yyyy-mm-dd hh:mm"),INDEX(상세표[시작],$Q1253)&amp;""))</f>
        <v/>
      </c>
      <c r="G1253">
        <f>IF($Q1253="","",IF(ISNUMBER(INDEX(상세표[블록종료],$Q1253)),TEXT(INDEX(상세표[블록종료],$Q1253),"yyyy-mm-dd hh:mm"),INDEX(상세표[블록종료],$Q1253)&amp;""))</f>
        <v/>
      </c>
      <c r="H1253">
        <f>IF($Q1253="","",CHOOSE(WEEKDAY(INDEX(상세표[시작],$Q1253)),"일","월","화","수","목","금","토"))</f>
        <v/>
      </c>
      <c r="I1253" s="20">
        <f>IF($Q1253="","",INDEX(상세표[연속 시간],$Q1253))</f>
        <v/>
      </c>
      <c r="J1253">
        <f>IF($Q1253="","",INDEX(상세표[기록 수],$Q1253))</f>
        <v/>
      </c>
      <c r="K1253" s="20">
        <f>IF($Q1253="","",INDEX(상세표[블록 06~07시],$Q1253))</f>
        <v/>
      </c>
      <c r="L1253" s="20">
        <f>IF($Q1253="","",INDEX(상세표[블록 07~18시],$Q1253))</f>
        <v/>
      </c>
      <c r="M1253" s="20">
        <f>IF($Q1253="","",INDEX(상세표[블록 18~22시],$Q1253))</f>
        <v/>
      </c>
      <c r="N1253" s="20">
        <f>IF($Q1253="","",INDEX(상세표[블록 22~06시],$Q1253))</f>
        <v/>
      </c>
      <c r="O1253">
        <f>IF($Q1253="","",INDEX(상세표[주말·휴일 포함],$Q1253)&amp;"")</f>
        <v/>
      </c>
      <c r="P1253">
        <f>IF($Q1253="","",INDEX(상세표[월 넘김 포함],$Q1253)&amp;"")</f>
        <v/>
      </c>
      <c r="Q1253" s="4">
        <f>IFERROR(MATCH(1248,상세표[연속순번],0),"")</f>
        <v/>
      </c>
    </row>
    <row r="1254">
      <c r="A1254">
        <f>IF($Q1254="","",INDEX(상세표[부서],$Q1254)&amp;"")</f>
        <v/>
      </c>
      <c r="B1254">
        <f>IF($Q1254="","",INDEX(상세표[사번],$Q1254)&amp;"")</f>
        <v/>
      </c>
      <c r="C1254">
        <f>IF($Q1254="","",INDEX(상세표[성명],$Q1254)&amp;"")</f>
        <v/>
      </c>
      <c r="D1254">
        <f>IF($Q1254="","",INDEX(상세표[직위],$Q1254)&amp;"")</f>
        <v/>
      </c>
      <c r="E1254">
        <f>IF($Q1254="","",IF(ISNUMBER(INDEX(상세표[근무일자],$Q1254)),TEXT(INDEX(상세표[근무일자],$Q1254),"yyyy-mm-dd"),INDEX(상세표[근무일자],$Q1254)&amp;""))</f>
        <v/>
      </c>
      <c r="F1254">
        <f>IF($Q1254="","",IF(ISNUMBER(INDEX(상세표[시작],$Q1254)),TEXT(INDEX(상세표[시작],$Q1254),"yyyy-mm-dd hh:mm"),INDEX(상세표[시작],$Q1254)&amp;""))</f>
        <v/>
      </c>
      <c r="G1254">
        <f>IF($Q1254="","",IF(ISNUMBER(INDEX(상세표[블록종료],$Q1254)),TEXT(INDEX(상세표[블록종료],$Q1254),"yyyy-mm-dd hh:mm"),INDEX(상세표[블록종료],$Q1254)&amp;""))</f>
        <v/>
      </c>
      <c r="H1254">
        <f>IF($Q1254="","",CHOOSE(WEEKDAY(INDEX(상세표[시작],$Q1254)),"일","월","화","수","목","금","토"))</f>
        <v/>
      </c>
      <c r="I1254" s="20">
        <f>IF($Q1254="","",INDEX(상세표[연속 시간],$Q1254))</f>
        <v/>
      </c>
      <c r="J1254">
        <f>IF($Q1254="","",INDEX(상세표[기록 수],$Q1254))</f>
        <v/>
      </c>
      <c r="K1254" s="20">
        <f>IF($Q1254="","",INDEX(상세표[블록 06~07시],$Q1254))</f>
        <v/>
      </c>
      <c r="L1254" s="20">
        <f>IF($Q1254="","",INDEX(상세표[블록 07~18시],$Q1254))</f>
        <v/>
      </c>
      <c r="M1254" s="20">
        <f>IF($Q1254="","",INDEX(상세표[블록 18~22시],$Q1254))</f>
        <v/>
      </c>
      <c r="N1254" s="20">
        <f>IF($Q1254="","",INDEX(상세표[블록 22~06시],$Q1254))</f>
        <v/>
      </c>
      <c r="O1254">
        <f>IF($Q1254="","",INDEX(상세표[주말·휴일 포함],$Q1254)&amp;"")</f>
        <v/>
      </c>
      <c r="P1254">
        <f>IF($Q1254="","",INDEX(상세표[월 넘김 포함],$Q1254)&amp;"")</f>
        <v/>
      </c>
      <c r="Q1254" s="4">
        <f>IFERROR(MATCH(1249,상세표[연속순번],0),"")</f>
        <v/>
      </c>
    </row>
    <row r="1255">
      <c r="A1255">
        <f>IF($Q1255="","",INDEX(상세표[부서],$Q1255)&amp;"")</f>
        <v/>
      </c>
      <c r="B1255">
        <f>IF($Q1255="","",INDEX(상세표[사번],$Q1255)&amp;"")</f>
        <v/>
      </c>
      <c r="C1255">
        <f>IF($Q1255="","",INDEX(상세표[성명],$Q1255)&amp;"")</f>
        <v/>
      </c>
      <c r="D1255">
        <f>IF($Q1255="","",INDEX(상세표[직위],$Q1255)&amp;"")</f>
        <v/>
      </c>
      <c r="E1255">
        <f>IF($Q1255="","",IF(ISNUMBER(INDEX(상세표[근무일자],$Q1255)),TEXT(INDEX(상세표[근무일자],$Q1255),"yyyy-mm-dd"),INDEX(상세표[근무일자],$Q1255)&amp;""))</f>
        <v/>
      </c>
      <c r="F1255">
        <f>IF($Q1255="","",IF(ISNUMBER(INDEX(상세표[시작],$Q1255)),TEXT(INDEX(상세표[시작],$Q1255),"yyyy-mm-dd hh:mm"),INDEX(상세표[시작],$Q1255)&amp;""))</f>
        <v/>
      </c>
      <c r="G1255">
        <f>IF($Q1255="","",IF(ISNUMBER(INDEX(상세표[블록종료],$Q1255)),TEXT(INDEX(상세표[블록종료],$Q1255),"yyyy-mm-dd hh:mm"),INDEX(상세표[블록종료],$Q1255)&amp;""))</f>
        <v/>
      </c>
      <c r="H1255">
        <f>IF($Q1255="","",CHOOSE(WEEKDAY(INDEX(상세표[시작],$Q1255)),"일","월","화","수","목","금","토"))</f>
        <v/>
      </c>
      <c r="I1255" s="20">
        <f>IF($Q1255="","",INDEX(상세표[연속 시간],$Q1255))</f>
        <v/>
      </c>
      <c r="J1255">
        <f>IF($Q1255="","",INDEX(상세표[기록 수],$Q1255))</f>
        <v/>
      </c>
      <c r="K1255" s="20">
        <f>IF($Q1255="","",INDEX(상세표[블록 06~07시],$Q1255))</f>
        <v/>
      </c>
      <c r="L1255" s="20">
        <f>IF($Q1255="","",INDEX(상세표[블록 07~18시],$Q1255))</f>
        <v/>
      </c>
      <c r="M1255" s="20">
        <f>IF($Q1255="","",INDEX(상세표[블록 18~22시],$Q1255))</f>
        <v/>
      </c>
      <c r="N1255" s="20">
        <f>IF($Q1255="","",INDEX(상세표[블록 22~06시],$Q1255))</f>
        <v/>
      </c>
      <c r="O1255">
        <f>IF($Q1255="","",INDEX(상세표[주말·휴일 포함],$Q1255)&amp;"")</f>
        <v/>
      </c>
      <c r="P1255">
        <f>IF($Q1255="","",INDEX(상세표[월 넘김 포함],$Q1255)&amp;"")</f>
        <v/>
      </c>
      <c r="Q1255" s="4">
        <f>IFERROR(MATCH(1250,상세표[연속순번],0),"")</f>
        <v/>
      </c>
    </row>
    <row r="1256">
      <c r="A1256">
        <f>IF($Q1256="","",INDEX(상세표[부서],$Q1256)&amp;"")</f>
        <v/>
      </c>
      <c r="B1256">
        <f>IF($Q1256="","",INDEX(상세표[사번],$Q1256)&amp;"")</f>
        <v/>
      </c>
      <c r="C1256">
        <f>IF($Q1256="","",INDEX(상세표[성명],$Q1256)&amp;"")</f>
        <v/>
      </c>
      <c r="D1256">
        <f>IF($Q1256="","",INDEX(상세표[직위],$Q1256)&amp;"")</f>
        <v/>
      </c>
      <c r="E1256">
        <f>IF($Q1256="","",IF(ISNUMBER(INDEX(상세표[근무일자],$Q1256)),TEXT(INDEX(상세표[근무일자],$Q1256),"yyyy-mm-dd"),INDEX(상세표[근무일자],$Q1256)&amp;""))</f>
        <v/>
      </c>
      <c r="F1256">
        <f>IF($Q1256="","",IF(ISNUMBER(INDEX(상세표[시작],$Q1256)),TEXT(INDEX(상세표[시작],$Q1256),"yyyy-mm-dd hh:mm"),INDEX(상세표[시작],$Q1256)&amp;""))</f>
        <v/>
      </c>
      <c r="G1256">
        <f>IF($Q1256="","",IF(ISNUMBER(INDEX(상세표[블록종료],$Q1256)),TEXT(INDEX(상세표[블록종료],$Q1256),"yyyy-mm-dd hh:mm"),INDEX(상세표[블록종료],$Q1256)&amp;""))</f>
        <v/>
      </c>
      <c r="H1256">
        <f>IF($Q1256="","",CHOOSE(WEEKDAY(INDEX(상세표[시작],$Q1256)),"일","월","화","수","목","금","토"))</f>
        <v/>
      </c>
      <c r="I1256" s="20">
        <f>IF($Q1256="","",INDEX(상세표[연속 시간],$Q1256))</f>
        <v/>
      </c>
      <c r="J1256">
        <f>IF($Q1256="","",INDEX(상세표[기록 수],$Q1256))</f>
        <v/>
      </c>
      <c r="K1256" s="20">
        <f>IF($Q1256="","",INDEX(상세표[블록 06~07시],$Q1256))</f>
        <v/>
      </c>
      <c r="L1256" s="20">
        <f>IF($Q1256="","",INDEX(상세표[블록 07~18시],$Q1256))</f>
        <v/>
      </c>
      <c r="M1256" s="20">
        <f>IF($Q1256="","",INDEX(상세표[블록 18~22시],$Q1256))</f>
        <v/>
      </c>
      <c r="N1256" s="20">
        <f>IF($Q1256="","",INDEX(상세표[블록 22~06시],$Q1256))</f>
        <v/>
      </c>
      <c r="O1256">
        <f>IF($Q1256="","",INDEX(상세표[주말·휴일 포함],$Q1256)&amp;"")</f>
        <v/>
      </c>
      <c r="P1256">
        <f>IF($Q1256="","",INDEX(상세표[월 넘김 포함],$Q1256)&amp;"")</f>
        <v/>
      </c>
      <c r="Q1256" s="4">
        <f>IFERROR(MATCH(1251,상세표[연속순번],0),"")</f>
        <v/>
      </c>
    </row>
    <row r="1257">
      <c r="A1257">
        <f>IF($Q1257="","",INDEX(상세표[부서],$Q1257)&amp;"")</f>
        <v/>
      </c>
      <c r="B1257">
        <f>IF($Q1257="","",INDEX(상세표[사번],$Q1257)&amp;"")</f>
        <v/>
      </c>
      <c r="C1257">
        <f>IF($Q1257="","",INDEX(상세표[성명],$Q1257)&amp;"")</f>
        <v/>
      </c>
      <c r="D1257">
        <f>IF($Q1257="","",INDEX(상세표[직위],$Q1257)&amp;"")</f>
        <v/>
      </c>
      <c r="E1257">
        <f>IF($Q1257="","",IF(ISNUMBER(INDEX(상세표[근무일자],$Q1257)),TEXT(INDEX(상세표[근무일자],$Q1257),"yyyy-mm-dd"),INDEX(상세표[근무일자],$Q1257)&amp;""))</f>
        <v/>
      </c>
      <c r="F1257">
        <f>IF($Q1257="","",IF(ISNUMBER(INDEX(상세표[시작],$Q1257)),TEXT(INDEX(상세표[시작],$Q1257),"yyyy-mm-dd hh:mm"),INDEX(상세표[시작],$Q1257)&amp;""))</f>
        <v/>
      </c>
      <c r="G1257">
        <f>IF($Q1257="","",IF(ISNUMBER(INDEX(상세표[블록종료],$Q1257)),TEXT(INDEX(상세표[블록종료],$Q1257),"yyyy-mm-dd hh:mm"),INDEX(상세표[블록종료],$Q1257)&amp;""))</f>
        <v/>
      </c>
      <c r="H1257">
        <f>IF($Q1257="","",CHOOSE(WEEKDAY(INDEX(상세표[시작],$Q1257)),"일","월","화","수","목","금","토"))</f>
        <v/>
      </c>
      <c r="I1257" s="20">
        <f>IF($Q1257="","",INDEX(상세표[연속 시간],$Q1257))</f>
        <v/>
      </c>
      <c r="J1257">
        <f>IF($Q1257="","",INDEX(상세표[기록 수],$Q1257))</f>
        <v/>
      </c>
      <c r="K1257" s="20">
        <f>IF($Q1257="","",INDEX(상세표[블록 06~07시],$Q1257))</f>
        <v/>
      </c>
      <c r="L1257" s="20">
        <f>IF($Q1257="","",INDEX(상세표[블록 07~18시],$Q1257))</f>
        <v/>
      </c>
      <c r="M1257" s="20">
        <f>IF($Q1257="","",INDEX(상세표[블록 18~22시],$Q1257))</f>
        <v/>
      </c>
      <c r="N1257" s="20">
        <f>IF($Q1257="","",INDEX(상세표[블록 22~06시],$Q1257))</f>
        <v/>
      </c>
      <c r="O1257">
        <f>IF($Q1257="","",INDEX(상세표[주말·휴일 포함],$Q1257)&amp;"")</f>
        <v/>
      </c>
      <c r="P1257">
        <f>IF($Q1257="","",INDEX(상세표[월 넘김 포함],$Q1257)&amp;"")</f>
        <v/>
      </c>
      <c r="Q1257" s="4">
        <f>IFERROR(MATCH(1252,상세표[연속순번],0),"")</f>
        <v/>
      </c>
    </row>
    <row r="1258">
      <c r="A1258">
        <f>IF($Q1258="","",INDEX(상세표[부서],$Q1258)&amp;"")</f>
        <v/>
      </c>
      <c r="B1258">
        <f>IF($Q1258="","",INDEX(상세표[사번],$Q1258)&amp;"")</f>
        <v/>
      </c>
      <c r="C1258">
        <f>IF($Q1258="","",INDEX(상세표[성명],$Q1258)&amp;"")</f>
        <v/>
      </c>
      <c r="D1258">
        <f>IF($Q1258="","",INDEX(상세표[직위],$Q1258)&amp;"")</f>
        <v/>
      </c>
      <c r="E1258">
        <f>IF($Q1258="","",IF(ISNUMBER(INDEX(상세표[근무일자],$Q1258)),TEXT(INDEX(상세표[근무일자],$Q1258),"yyyy-mm-dd"),INDEX(상세표[근무일자],$Q1258)&amp;""))</f>
        <v/>
      </c>
      <c r="F1258">
        <f>IF($Q1258="","",IF(ISNUMBER(INDEX(상세표[시작],$Q1258)),TEXT(INDEX(상세표[시작],$Q1258),"yyyy-mm-dd hh:mm"),INDEX(상세표[시작],$Q1258)&amp;""))</f>
        <v/>
      </c>
      <c r="G1258">
        <f>IF($Q1258="","",IF(ISNUMBER(INDEX(상세표[블록종료],$Q1258)),TEXT(INDEX(상세표[블록종료],$Q1258),"yyyy-mm-dd hh:mm"),INDEX(상세표[블록종료],$Q1258)&amp;""))</f>
        <v/>
      </c>
      <c r="H1258">
        <f>IF($Q1258="","",CHOOSE(WEEKDAY(INDEX(상세표[시작],$Q1258)),"일","월","화","수","목","금","토"))</f>
        <v/>
      </c>
      <c r="I1258" s="20">
        <f>IF($Q1258="","",INDEX(상세표[연속 시간],$Q1258))</f>
        <v/>
      </c>
      <c r="J1258">
        <f>IF($Q1258="","",INDEX(상세표[기록 수],$Q1258))</f>
        <v/>
      </c>
      <c r="K1258" s="20">
        <f>IF($Q1258="","",INDEX(상세표[블록 06~07시],$Q1258))</f>
        <v/>
      </c>
      <c r="L1258" s="20">
        <f>IF($Q1258="","",INDEX(상세표[블록 07~18시],$Q1258))</f>
        <v/>
      </c>
      <c r="M1258" s="20">
        <f>IF($Q1258="","",INDEX(상세표[블록 18~22시],$Q1258))</f>
        <v/>
      </c>
      <c r="N1258" s="20">
        <f>IF($Q1258="","",INDEX(상세표[블록 22~06시],$Q1258))</f>
        <v/>
      </c>
      <c r="O1258">
        <f>IF($Q1258="","",INDEX(상세표[주말·휴일 포함],$Q1258)&amp;"")</f>
        <v/>
      </c>
      <c r="P1258">
        <f>IF($Q1258="","",INDEX(상세표[월 넘김 포함],$Q1258)&amp;"")</f>
        <v/>
      </c>
      <c r="Q1258" s="4">
        <f>IFERROR(MATCH(1253,상세표[연속순번],0),"")</f>
        <v/>
      </c>
    </row>
    <row r="1259">
      <c r="A1259">
        <f>IF($Q1259="","",INDEX(상세표[부서],$Q1259)&amp;"")</f>
        <v/>
      </c>
      <c r="B1259">
        <f>IF($Q1259="","",INDEX(상세표[사번],$Q1259)&amp;"")</f>
        <v/>
      </c>
      <c r="C1259">
        <f>IF($Q1259="","",INDEX(상세표[성명],$Q1259)&amp;"")</f>
        <v/>
      </c>
      <c r="D1259">
        <f>IF($Q1259="","",INDEX(상세표[직위],$Q1259)&amp;"")</f>
        <v/>
      </c>
      <c r="E1259">
        <f>IF($Q1259="","",IF(ISNUMBER(INDEX(상세표[근무일자],$Q1259)),TEXT(INDEX(상세표[근무일자],$Q1259),"yyyy-mm-dd"),INDEX(상세표[근무일자],$Q1259)&amp;""))</f>
        <v/>
      </c>
      <c r="F1259">
        <f>IF($Q1259="","",IF(ISNUMBER(INDEX(상세표[시작],$Q1259)),TEXT(INDEX(상세표[시작],$Q1259),"yyyy-mm-dd hh:mm"),INDEX(상세표[시작],$Q1259)&amp;""))</f>
        <v/>
      </c>
      <c r="G1259">
        <f>IF($Q1259="","",IF(ISNUMBER(INDEX(상세표[블록종료],$Q1259)),TEXT(INDEX(상세표[블록종료],$Q1259),"yyyy-mm-dd hh:mm"),INDEX(상세표[블록종료],$Q1259)&amp;""))</f>
        <v/>
      </c>
      <c r="H1259">
        <f>IF($Q1259="","",CHOOSE(WEEKDAY(INDEX(상세표[시작],$Q1259)),"일","월","화","수","목","금","토"))</f>
        <v/>
      </c>
      <c r="I1259" s="20">
        <f>IF($Q1259="","",INDEX(상세표[연속 시간],$Q1259))</f>
        <v/>
      </c>
      <c r="J1259">
        <f>IF($Q1259="","",INDEX(상세표[기록 수],$Q1259))</f>
        <v/>
      </c>
      <c r="K1259" s="20">
        <f>IF($Q1259="","",INDEX(상세표[블록 06~07시],$Q1259))</f>
        <v/>
      </c>
      <c r="L1259" s="20">
        <f>IF($Q1259="","",INDEX(상세표[블록 07~18시],$Q1259))</f>
        <v/>
      </c>
      <c r="M1259" s="20">
        <f>IF($Q1259="","",INDEX(상세표[블록 18~22시],$Q1259))</f>
        <v/>
      </c>
      <c r="N1259" s="20">
        <f>IF($Q1259="","",INDEX(상세표[블록 22~06시],$Q1259))</f>
        <v/>
      </c>
      <c r="O1259">
        <f>IF($Q1259="","",INDEX(상세표[주말·휴일 포함],$Q1259)&amp;"")</f>
        <v/>
      </c>
      <c r="P1259">
        <f>IF($Q1259="","",INDEX(상세표[월 넘김 포함],$Q1259)&amp;"")</f>
        <v/>
      </c>
      <c r="Q1259" s="4">
        <f>IFERROR(MATCH(1254,상세표[연속순번],0),"")</f>
        <v/>
      </c>
    </row>
    <row r="1260">
      <c r="A1260">
        <f>IF($Q1260="","",INDEX(상세표[부서],$Q1260)&amp;"")</f>
        <v/>
      </c>
      <c r="B1260">
        <f>IF($Q1260="","",INDEX(상세표[사번],$Q1260)&amp;"")</f>
        <v/>
      </c>
      <c r="C1260">
        <f>IF($Q1260="","",INDEX(상세표[성명],$Q1260)&amp;"")</f>
        <v/>
      </c>
      <c r="D1260">
        <f>IF($Q1260="","",INDEX(상세표[직위],$Q1260)&amp;"")</f>
        <v/>
      </c>
      <c r="E1260">
        <f>IF($Q1260="","",IF(ISNUMBER(INDEX(상세표[근무일자],$Q1260)),TEXT(INDEX(상세표[근무일자],$Q1260),"yyyy-mm-dd"),INDEX(상세표[근무일자],$Q1260)&amp;""))</f>
        <v/>
      </c>
      <c r="F1260">
        <f>IF($Q1260="","",IF(ISNUMBER(INDEX(상세표[시작],$Q1260)),TEXT(INDEX(상세표[시작],$Q1260),"yyyy-mm-dd hh:mm"),INDEX(상세표[시작],$Q1260)&amp;""))</f>
        <v/>
      </c>
      <c r="G1260">
        <f>IF($Q1260="","",IF(ISNUMBER(INDEX(상세표[블록종료],$Q1260)),TEXT(INDEX(상세표[블록종료],$Q1260),"yyyy-mm-dd hh:mm"),INDEX(상세표[블록종료],$Q1260)&amp;""))</f>
        <v/>
      </c>
      <c r="H1260">
        <f>IF($Q1260="","",CHOOSE(WEEKDAY(INDEX(상세표[시작],$Q1260)),"일","월","화","수","목","금","토"))</f>
        <v/>
      </c>
      <c r="I1260" s="20">
        <f>IF($Q1260="","",INDEX(상세표[연속 시간],$Q1260))</f>
        <v/>
      </c>
      <c r="J1260">
        <f>IF($Q1260="","",INDEX(상세표[기록 수],$Q1260))</f>
        <v/>
      </c>
      <c r="K1260" s="20">
        <f>IF($Q1260="","",INDEX(상세표[블록 06~07시],$Q1260))</f>
        <v/>
      </c>
      <c r="L1260" s="20">
        <f>IF($Q1260="","",INDEX(상세표[블록 07~18시],$Q1260))</f>
        <v/>
      </c>
      <c r="M1260" s="20">
        <f>IF($Q1260="","",INDEX(상세표[블록 18~22시],$Q1260))</f>
        <v/>
      </c>
      <c r="N1260" s="20">
        <f>IF($Q1260="","",INDEX(상세표[블록 22~06시],$Q1260))</f>
        <v/>
      </c>
      <c r="O1260">
        <f>IF($Q1260="","",INDEX(상세표[주말·휴일 포함],$Q1260)&amp;"")</f>
        <v/>
      </c>
      <c r="P1260">
        <f>IF($Q1260="","",INDEX(상세표[월 넘김 포함],$Q1260)&amp;"")</f>
        <v/>
      </c>
      <c r="Q1260" s="4">
        <f>IFERROR(MATCH(1255,상세표[연속순번],0),"")</f>
        <v/>
      </c>
    </row>
    <row r="1261">
      <c r="A1261">
        <f>IF($Q1261="","",INDEX(상세표[부서],$Q1261)&amp;"")</f>
        <v/>
      </c>
      <c r="B1261">
        <f>IF($Q1261="","",INDEX(상세표[사번],$Q1261)&amp;"")</f>
        <v/>
      </c>
      <c r="C1261">
        <f>IF($Q1261="","",INDEX(상세표[성명],$Q1261)&amp;"")</f>
        <v/>
      </c>
      <c r="D1261">
        <f>IF($Q1261="","",INDEX(상세표[직위],$Q1261)&amp;"")</f>
        <v/>
      </c>
      <c r="E1261">
        <f>IF($Q1261="","",IF(ISNUMBER(INDEX(상세표[근무일자],$Q1261)),TEXT(INDEX(상세표[근무일자],$Q1261),"yyyy-mm-dd"),INDEX(상세표[근무일자],$Q1261)&amp;""))</f>
        <v/>
      </c>
      <c r="F1261">
        <f>IF($Q1261="","",IF(ISNUMBER(INDEX(상세표[시작],$Q1261)),TEXT(INDEX(상세표[시작],$Q1261),"yyyy-mm-dd hh:mm"),INDEX(상세표[시작],$Q1261)&amp;""))</f>
        <v/>
      </c>
      <c r="G1261">
        <f>IF($Q1261="","",IF(ISNUMBER(INDEX(상세표[블록종료],$Q1261)),TEXT(INDEX(상세표[블록종료],$Q1261),"yyyy-mm-dd hh:mm"),INDEX(상세표[블록종료],$Q1261)&amp;""))</f>
        <v/>
      </c>
      <c r="H1261">
        <f>IF($Q1261="","",CHOOSE(WEEKDAY(INDEX(상세표[시작],$Q1261)),"일","월","화","수","목","금","토"))</f>
        <v/>
      </c>
      <c r="I1261" s="20">
        <f>IF($Q1261="","",INDEX(상세표[연속 시간],$Q1261))</f>
        <v/>
      </c>
      <c r="J1261">
        <f>IF($Q1261="","",INDEX(상세표[기록 수],$Q1261))</f>
        <v/>
      </c>
      <c r="K1261" s="20">
        <f>IF($Q1261="","",INDEX(상세표[블록 06~07시],$Q1261))</f>
        <v/>
      </c>
      <c r="L1261" s="20">
        <f>IF($Q1261="","",INDEX(상세표[블록 07~18시],$Q1261))</f>
        <v/>
      </c>
      <c r="M1261" s="20">
        <f>IF($Q1261="","",INDEX(상세표[블록 18~22시],$Q1261))</f>
        <v/>
      </c>
      <c r="N1261" s="20">
        <f>IF($Q1261="","",INDEX(상세표[블록 22~06시],$Q1261))</f>
        <v/>
      </c>
      <c r="O1261">
        <f>IF($Q1261="","",INDEX(상세표[주말·휴일 포함],$Q1261)&amp;"")</f>
        <v/>
      </c>
      <c r="P1261">
        <f>IF($Q1261="","",INDEX(상세표[월 넘김 포함],$Q1261)&amp;"")</f>
        <v/>
      </c>
      <c r="Q1261" s="4">
        <f>IFERROR(MATCH(1256,상세표[연속순번],0),"")</f>
        <v/>
      </c>
    </row>
    <row r="1262">
      <c r="A1262">
        <f>IF($Q1262="","",INDEX(상세표[부서],$Q1262)&amp;"")</f>
        <v/>
      </c>
      <c r="B1262">
        <f>IF($Q1262="","",INDEX(상세표[사번],$Q1262)&amp;"")</f>
        <v/>
      </c>
      <c r="C1262">
        <f>IF($Q1262="","",INDEX(상세표[성명],$Q1262)&amp;"")</f>
        <v/>
      </c>
      <c r="D1262">
        <f>IF($Q1262="","",INDEX(상세표[직위],$Q1262)&amp;"")</f>
        <v/>
      </c>
      <c r="E1262">
        <f>IF($Q1262="","",IF(ISNUMBER(INDEX(상세표[근무일자],$Q1262)),TEXT(INDEX(상세표[근무일자],$Q1262),"yyyy-mm-dd"),INDEX(상세표[근무일자],$Q1262)&amp;""))</f>
        <v/>
      </c>
      <c r="F1262">
        <f>IF($Q1262="","",IF(ISNUMBER(INDEX(상세표[시작],$Q1262)),TEXT(INDEX(상세표[시작],$Q1262),"yyyy-mm-dd hh:mm"),INDEX(상세표[시작],$Q1262)&amp;""))</f>
        <v/>
      </c>
      <c r="G1262">
        <f>IF($Q1262="","",IF(ISNUMBER(INDEX(상세표[블록종료],$Q1262)),TEXT(INDEX(상세표[블록종료],$Q1262),"yyyy-mm-dd hh:mm"),INDEX(상세표[블록종료],$Q1262)&amp;""))</f>
        <v/>
      </c>
      <c r="H1262">
        <f>IF($Q1262="","",CHOOSE(WEEKDAY(INDEX(상세표[시작],$Q1262)),"일","월","화","수","목","금","토"))</f>
        <v/>
      </c>
      <c r="I1262" s="20">
        <f>IF($Q1262="","",INDEX(상세표[연속 시간],$Q1262))</f>
        <v/>
      </c>
      <c r="J1262">
        <f>IF($Q1262="","",INDEX(상세표[기록 수],$Q1262))</f>
        <v/>
      </c>
      <c r="K1262" s="20">
        <f>IF($Q1262="","",INDEX(상세표[블록 06~07시],$Q1262))</f>
        <v/>
      </c>
      <c r="L1262" s="20">
        <f>IF($Q1262="","",INDEX(상세표[블록 07~18시],$Q1262))</f>
        <v/>
      </c>
      <c r="M1262" s="20">
        <f>IF($Q1262="","",INDEX(상세표[블록 18~22시],$Q1262))</f>
        <v/>
      </c>
      <c r="N1262" s="20">
        <f>IF($Q1262="","",INDEX(상세표[블록 22~06시],$Q1262))</f>
        <v/>
      </c>
      <c r="O1262">
        <f>IF($Q1262="","",INDEX(상세표[주말·휴일 포함],$Q1262)&amp;"")</f>
        <v/>
      </c>
      <c r="P1262">
        <f>IF($Q1262="","",INDEX(상세표[월 넘김 포함],$Q1262)&amp;"")</f>
        <v/>
      </c>
      <c r="Q1262" s="4">
        <f>IFERROR(MATCH(1257,상세표[연속순번],0),"")</f>
        <v/>
      </c>
    </row>
    <row r="1263">
      <c r="A1263">
        <f>IF($Q1263="","",INDEX(상세표[부서],$Q1263)&amp;"")</f>
        <v/>
      </c>
      <c r="B1263">
        <f>IF($Q1263="","",INDEX(상세표[사번],$Q1263)&amp;"")</f>
        <v/>
      </c>
      <c r="C1263">
        <f>IF($Q1263="","",INDEX(상세표[성명],$Q1263)&amp;"")</f>
        <v/>
      </c>
      <c r="D1263">
        <f>IF($Q1263="","",INDEX(상세표[직위],$Q1263)&amp;"")</f>
        <v/>
      </c>
      <c r="E1263">
        <f>IF($Q1263="","",IF(ISNUMBER(INDEX(상세표[근무일자],$Q1263)),TEXT(INDEX(상세표[근무일자],$Q1263),"yyyy-mm-dd"),INDEX(상세표[근무일자],$Q1263)&amp;""))</f>
        <v/>
      </c>
      <c r="F1263">
        <f>IF($Q1263="","",IF(ISNUMBER(INDEX(상세표[시작],$Q1263)),TEXT(INDEX(상세표[시작],$Q1263),"yyyy-mm-dd hh:mm"),INDEX(상세표[시작],$Q1263)&amp;""))</f>
        <v/>
      </c>
      <c r="G1263">
        <f>IF($Q1263="","",IF(ISNUMBER(INDEX(상세표[블록종료],$Q1263)),TEXT(INDEX(상세표[블록종료],$Q1263),"yyyy-mm-dd hh:mm"),INDEX(상세표[블록종료],$Q1263)&amp;""))</f>
        <v/>
      </c>
      <c r="H1263">
        <f>IF($Q1263="","",CHOOSE(WEEKDAY(INDEX(상세표[시작],$Q1263)),"일","월","화","수","목","금","토"))</f>
        <v/>
      </c>
      <c r="I1263" s="20">
        <f>IF($Q1263="","",INDEX(상세표[연속 시간],$Q1263))</f>
        <v/>
      </c>
      <c r="J1263">
        <f>IF($Q1263="","",INDEX(상세표[기록 수],$Q1263))</f>
        <v/>
      </c>
      <c r="K1263" s="20">
        <f>IF($Q1263="","",INDEX(상세표[블록 06~07시],$Q1263))</f>
        <v/>
      </c>
      <c r="L1263" s="20">
        <f>IF($Q1263="","",INDEX(상세표[블록 07~18시],$Q1263))</f>
        <v/>
      </c>
      <c r="M1263" s="20">
        <f>IF($Q1263="","",INDEX(상세표[블록 18~22시],$Q1263))</f>
        <v/>
      </c>
      <c r="N1263" s="20">
        <f>IF($Q1263="","",INDEX(상세표[블록 22~06시],$Q1263))</f>
        <v/>
      </c>
      <c r="O1263">
        <f>IF($Q1263="","",INDEX(상세표[주말·휴일 포함],$Q1263)&amp;"")</f>
        <v/>
      </c>
      <c r="P1263">
        <f>IF($Q1263="","",INDEX(상세표[월 넘김 포함],$Q1263)&amp;"")</f>
        <v/>
      </c>
      <c r="Q1263" s="4">
        <f>IFERROR(MATCH(1258,상세표[연속순번],0),"")</f>
        <v/>
      </c>
    </row>
    <row r="1264">
      <c r="A1264">
        <f>IF($Q1264="","",INDEX(상세표[부서],$Q1264)&amp;"")</f>
        <v/>
      </c>
      <c r="B1264">
        <f>IF($Q1264="","",INDEX(상세표[사번],$Q1264)&amp;"")</f>
        <v/>
      </c>
      <c r="C1264">
        <f>IF($Q1264="","",INDEX(상세표[성명],$Q1264)&amp;"")</f>
        <v/>
      </c>
      <c r="D1264">
        <f>IF($Q1264="","",INDEX(상세표[직위],$Q1264)&amp;"")</f>
        <v/>
      </c>
      <c r="E1264">
        <f>IF($Q1264="","",IF(ISNUMBER(INDEX(상세표[근무일자],$Q1264)),TEXT(INDEX(상세표[근무일자],$Q1264),"yyyy-mm-dd"),INDEX(상세표[근무일자],$Q1264)&amp;""))</f>
        <v/>
      </c>
      <c r="F1264">
        <f>IF($Q1264="","",IF(ISNUMBER(INDEX(상세표[시작],$Q1264)),TEXT(INDEX(상세표[시작],$Q1264),"yyyy-mm-dd hh:mm"),INDEX(상세표[시작],$Q1264)&amp;""))</f>
        <v/>
      </c>
      <c r="G1264">
        <f>IF($Q1264="","",IF(ISNUMBER(INDEX(상세표[블록종료],$Q1264)),TEXT(INDEX(상세표[블록종료],$Q1264),"yyyy-mm-dd hh:mm"),INDEX(상세표[블록종료],$Q1264)&amp;""))</f>
        <v/>
      </c>
      <c r="H1264">
        <f>IF($Q1264="","",CHOOSE(WEEKDAY(INDEX(상세표[시작],$Q1264)),"일","월","화","수","목","금","토"))</f>
        <v/>
      </c>
      <c r="I1264" s="20">
        <f>IF($Q1264="","",INDEX(상세표[연속 시간],$Q1264))</f>
        <v/>
      </c>
      <c r="J1264">
        <f>IF($Q1264="","",INDEX(상세표[기록 수],$Q1264))</f>
        <v/>
      </c>
      <c r="K1264" s="20">
        <f>IF($Q1264="","",INDEX(상세표[블록 06~07시],$Q1264))</f>
        <v/>
      </c>
      <c r="L1264" s="20">
        <f>IF($Q1264="","",INDEX(상세표[블록 07~18시],$Q1264))</f>
        <v/>
      </c>
      <c r="M1264" s="20">
        <f>IF($Q1264="","",INDEX(상세표[블록 18~22시],$Q1264))</f>
        <v/>
      </c>
      <c r="N1264" s="20">
        <f>IF($Q1264="","",INDEX(상세표[블록 22~06시],$Q1264))</f>
        <v/>
      </c>
      <c r="O1264">
        <f>IF($Q1264="","",INDEX(상세표[주말·휴일 포함],$Q1264)&amp;"")</f>
        <v/>
      </c>
      <c r="P1264">
        <f>IF($Q1264="","",INDEX(상세표[월 넘김 포함],$Q1264)&amp;"")</f>
        <v/>
      </c>
      <c r="Q1264" s="4">
        <f>IFERROR(MATCH(1259,상세표[연속순번],0),"")</f>
        <v/>
      </c>
    </row>
    <row r="1265">
      <c r="A1265">
        <f>IF($Q1265="","",INDEX(상세표[부서],$Q1265)&amp;"")</f>
        <v/>
      </c>
      <c r="B1265">
        <f>IF($Q1265="","",INDEX(상세표[사번],$Q1265)&amp;"")</f>
        <v/>
      </c>
      <c r="C1265">
        <f>IF($Q1265="","",INDEX(상세표[성명],$Q1265)&amp;"")</f>
        <v/>
      </c>
      <c r="D1265">
        <f>IF($Q1265="","",INDEX(상세표[직위],$Q1265)&amp;"")</f>
        <v/>
      </c>
      <c r="E1265">
        <f>IF($Q1265="","",IF(ISNUMBER(INDEX(상세표[근무일자],$Q1265)),TEXT(INDEX(상세표[근무일자],$Q1265),"yyyy-mm-dd"),INDEX(상세표[근무일자],$Q1265)&amp;""))</f>
        <v/>
      </c>
      <c r="F1265">
        <f>IF($Q1265="","",IF(ISNUMBER(INDEX(상세표[시작],$Q1265)),TEXT(INDEX(상세표[시작],$Q1265),"yyyy-mm-dd hh:mm"),INDEX(상세표[시작],$Q1265)&amp;""))</f>
        <v/>
      </c>
      <c r="G1265">
        <f>IF($Q1265="","",IF(ISNUMBER(INDEX(상세표[블록종료],$Q1265)),TEXT(INDEX(상세표[블록종료],$Q1265),"yyyy-mm-dd hh:mm"),INDEX(상세표[블록종료],$Q1265)&amp;""))</f>
        <v/>
      </c>
      <c r="H1265">
        <f>IF($Q1265="","",CHOOSE(WEEKDAY(INDEX(상세표[시작],$Q1265)),"일","월","화","수","목","금","토"))</f>
        <v/>
      </c>
      <c r="I1265" s="20">
        <f>IF($Q1265="","",INDEX(상세표[연속 시간],$Q1265))</f>
        <v/>
      </c>
      <c r="J1265">
        <f>IF($Q1265="","",INDEX(상세표[기록 수],$Q1265))</f>
        <v/>
      </c>
      <c r="K1265" s="20">
        <f>IF($Q1265="","",INDEX(상세표[블록 06~07시],$Q1265))</f>
        <v/>
      </c>
      <c r="L1265" s="20">
        <f>IF($Q1265="","",INDEX(상세표[블록 07~18시],$Q1265))</f>
        <v/>
      </c>
      <c r="M1265" s="20">
        <f>IF($Q1265="","",INDEX(상세표[블록 18~22시],$Q1265))</f>
        <v/>
      </c>
      <c r="N1265" s="20">
        <f>IF($Q1265="","",INDEX(상세표[블록 22~06시],$Q1265))</f>
        <v/>
      </c>
      <c r="O1265">
        <f>IF($Q1265="","",INDEX(상세표[주말·휴일 포함],$Q1265)&amp;"")</f>
        <v/>
      </c>
      <c r="P1265">
        <f>IF($Q1265="","",INDEX(상세표[월 넘김 포함],$Q1265)&amp;"")</f>
        <v/>
      </c>
      <c r="Q1265" s="4">
        <f>IFERROR(MATCH(1260,상세표[연속순번],0),"")</f>
        <v/>
      </c>
    </row>
    <row r="1266">
      <c r="A1266">
        <f>IF($Q1266="","",INDEX(상세표[부서],$Q1266)&amp;"")</f>
        <v/>
      </c>
      <c r="B1266">
        <f>IF($Q1266="","",INDEX(상세표[사번],$Q1266)&amp;"")</f>
        <v/>
      </c>
      <c r="C1266">
        <f>IF($Q1266="","",INDEX(상세표[성명],$Q1266)&amp;"")</f>
        <v/>
      </c>
      <c r="D1266">
        <f>IF($Q1266="","",INDEX(상세표[직위],$Q1266)&amp;"")</f>
        <v/>
      </c>
      <c r="E1266">
        <f>IF($Q1266="","",IF(ISNUMBER(INDEX(상세표[근무일자],$Q1266)),TEXT(INDEX(상세표[근무일자],$Q1266),"yyyy-mm-dd"),INDEX(상세표[근무일자],$Q1266)&amp;""))</f>
        <v/>
      </c>
      <c r="F1266">
        <f>IF($Q1266="","",IF(ISNUMBER(INDEX(상세표[시작],$Q1266)),TEXT(INDEX(상세표[시작],$Q1266),"yyyy-mm-dd hh:mm"),INDEX(상세표[시작],$Q1266)&amp;""))</f>
        <v/>
      </c>
      <c r="G1266">
        <f>IF($Q1266="","",IF(ISNUMBER(INDEX(상세표[블록종료],$Q1266)),TEXT(INDEX(상세표[블록종료],$Q1266),"yyyy-mm-dd hh:mm"),INDEX(상세표[블록종료],$Q1266)&amp;""))</f>
        <v/>
      </c>
      <c r="H1266">
        <f>IF($Q1266="","",CHOOSE(WEEKDAY(INDEX(상세표[시작],$Q1266)),"일","월","화","수","목","금","토"))</f>
        <v/>
      </c>
      <c r="I1266" s="20">
        <f>IF($Q1266="","",INDEX(상세표[연속 시간],$Q1266))</f>
        <v/>
      </c>
      <c r="J1266">
        <f>IF($Q1266="","",INDEX(상세표[기록 수],$Q1266))</f>
        <v/>
      </c>
      <c r="K1266" s="20">
        <f>IF($Q1266="","",INDEX(상세표[블록 06~07시],$Q1266))</f>
        <v/>
      </c>
      <c r="L1266" s="20">
        <f>IF($Q1266="","",INDEX(상세표[블록 07~18시],$Q1266))</f>
        <v/>
      </c>
      <c r="M1266" s="20">
        <f>IF($Q1266="","",INDEX(상세표[블록 18~22시],$Q1266))</f>
        <v/>
      </c>
      <c r="N1266" s="20">
        <f>IF($Q1266="","",INDEX(상세표[블록 22~06시],$Q1266))</f>
        <v/>
      </c>
      <c r="O1266">
        <f>IF($Q1266="","",INDEX(상세표[주말·휴일 포함],$Q1266)&amp;"")</f>
        <v/>
      </c>
      <c r="P1266">
        <f>IF($Q1266="","",INDEX(상세표[월 넘김 포함],$Q1266)&amp;"")</f>
        <v/>
      </c>
      <c r="Q1266" s="4">
        <f>IFERROR(MATCH(1261,상세표[연속순번],0),"")</f>
        <v/>
      </c>
    </row>
    <row r="1267">
      <c r="A1267">
        <f>IF($Q1267="","",INDEX(상세표[부서],$Q1267)&amp;"")</f>
        <v/>
      </c>
      <c r="B1267">
        <f>IF($Q1267="","",INDEX(상세표[사번],$Q1267)&amp;"")</f>
        <v/>
      </c>
      <c r="C1267">
        <f>IF($Q1267="","",INDEX(상세표[성명],$Q1267)&amp;"")</f>
        <v/>
      </c>
      <c r="D1267">
        <f>IF($Q1267="","",INDEX(상세표[직위],$Q1267)&amp;"")</f>
        <v/>
      </c>
      <c r="E1267">
        <f>IF($Q1267="","",IF(ISNUMBER(INDEX(상세표[근무일자],$Q1267)),TEXT(INDEX(상세표[근무일자],$Q1267),"yyyy-mm-dd"),INDEX(상세표[근무일자],$Q1267)&amp;""))</f>
        <v/>
      </c>
      <c r="F1267">
        <f>IF($Q1267="","",IF(ISNUMBER(INDEX(상세표[시작],$Q1267)),TEXT(INDEX(상세표[시작],$Q1267),"yyyy-mm-dd hh:mm"),INDEX(상세표[시작],$Q1267)&amp;""))</f>
        <v/>
      </c>
      <c r="G1267">
        <f>IF($Q1267="","",IF(ISNUMBER(INDEX(상세표[블록종료],$Q1267)),TEXT(INDEX(상세표[블록종료],$Q1267),"yyyy-mm-dd hh:mm"),INDEX(상세표[블록종료],$Q1267)&amp;""))</f>
        <v/>
      </c>
      <c r="H1267">
        <f>IF($Q1267="","",CHOOSE(WEEKDAY(INDEX(상세표[시작],$Q1267)),"일","월","화","수","목","금","토"))</f>
        <v/>
      </c>
      <c r="I1267" s="20">
        <f>IF($Q1267="","",INDEX(상세표[연속 시간],$Q1267))</f>
        <v/>
      </c>
      <c r="J1267">
        <f>IF($Q1267="","",INDEX(상세표[기록 수],$Q1267))</f>
        <v/>
      </c>
      <c r="K1267" s="20">
        <f>IF($Q1267="","",INDEX(상세표[블록 06~07시],$Q1267))</f>
        <v/>
      </c>
      <c r="L1267" s="20">
        <f>IF($Q1267="","",INDEX(상세표[블록 07~18시],$Q1267))</f>
        <v/>
      </c>
      <c r="M1267" s="20">
        <f>IF($Q1267="","",INDEX(상세표[블록 18~22시],$Q1267))</f>
        <v/>
      </c>
      <c r="N1267" s="20">
        <f>IF($Q1267="","",INDEX(상세표[블록 22~06시],$Q1267))</f>
        <v/>
      </c>
      <c r="O1267">
        <f>IF($Q1267="","",INDEX(상세표[주말·휴일 포함],$Q1267)&amp;"")</f>
        <v/>
      </c>
      <c r="P1267">
        <f>IF($Q1267="","",INDEX(상세표[월 넘김 포함],$Q1267)&amp;"")</f>
        <v/>
      </c>
      <c r="Q1267" s="4">
        <f>IFERROR(MATCH(1262,상세표[연속순번],0),"")</f>
        <v/>
      </c>
    </row>
    <row r="1268">
      <c r="A1268">
        <f>IF($Q1268="","",INDEX(상세표[부서],$Q1268)&amp;"")</f>
        <v/>
      </c>
      <c r="B1268">
        <f>IF($Q1268="","",INDEX(상세표[사번],$Q1268)&amp;"")</f>
        <v/>
      </c>
      <c r="C1268">
        <f>IF($Q1268="","",INDEX(상세표[성명],$Q1268)&amp;"")</f>
        <v/>
      </c>
      <c r="D1268">
        <f>IF($Q1268="","",INDEX(상세표[직위],$Q1268)&amp;"")</f>
        <v/>
      </c>
      <c r="E1268">
        <f>IF($Q1268="","",IF(ISNUMBER(INDEX(상세표[근무일자],$Q1268)),TEXT(INDEX(상세표[근무일자],$Q1268),"yyyy-mm-dd"),INDEX(상세표[근무일자],$Q1268)&amp;""))</f>
        <v/>
      </c>
      <c r="F1268">
        <f>IF($Q1268="","",IF(ISNUMBER(INDEX(상세표[시작],$Q1268)),TEXT(INDEX(상세표[시작],$Q1268),"yyyy-mm-dd hh:mm"),INDEX(상세표[시작],$Q1268)&amp;""))</f>
        <v/>
      </c>
      <c r="G1268">
        <f>IF($Q1268="","",IF(ISNUMBER(INDEX(상세표[블록종료],$Q1268)),TEXT(INDEX(상세표[블록종료],$Q1268),"yyyy-mm-dd hh:mm"),INDEX(상세표[블록종료],$Q1268)&amp;""))</f>
        <v/>
      </c>
      <c r="H1268">
        <f>IF($Q1268="","",CHOOSE(WEEKDAY(INDEX(상세표[시작],$Q1268)),"일","월","화","수","목","금","토"))</f>
        <v/>
      </c>
      <c r="I1268" s="20">
        <f>IF($Q1268="","",INDEX(상세표[연속 시간],$Q1268))</f>
        <v/>
      </c>
      <c r="J1268">
        <f>IF($Q1268="","",INDEX(상세표[기록 수],$Q1268))</f>
        <v/>
      </c>
      <c r="K1268" s="20">
        <f>IF($Q1268="","",INDEX(상세표[블록 06~07시],$Q1268))</f>
        <v/>
      </c>
      <c r="L1268" s="20">
        <f>IF($Q1268="","",INDEX(상세표[블록 07~18시],$Q1268))</f>
        <v/>
      </c>
      <c r="M1268" s="20">
        <f>IF($Q1268="","",INDEX(상세표[블록 18~22시],$Q1268))</f>
        <v/>
      </c>
      <c r="N1268" s="20">
        <f>IF($Q1268="","",INDEX(상세표[블록 22~06시],$Q1268))</f>
        <v/>
      </c>
      <c r="O1268">
        <f>IF($Q1268="","",INDEX(상세표[주말·휴일 포함],$Q1268)&amp;"")</f>
        <v/>
      </c>
      <c r="P1268">
        <f>IF($Q1268="","",INDEX(상세표[월 넘김 포함],$Q1268)&amp;"")</f>
        <v/>
      </c>
      <c r="Q1268" s="4">
        <f>IFERROR(MATCH(1263,상세표[연속순번],0),"")</f>
        <v/>
      </c>
    </row>
    <row r="1269">
      <c r="A1269">
        <f>IF($Q1269="","",INDEX(상세표[부서],$Q1269)&amp;"")</f>
        <v/>
      </c>
      <c r="B1269">
        <f>IF($Q1269="","",INDEX(상세표[사번],$Q1269)&amp;"")</f>
        <v/>
      </c>
      <c r="C1269">
        <f>IF($Q1269="","",INDEX(상세표[성명],$Q1269)&amp;"")</f>
        <v/>
      </c>
      <c r="D1269">
        <f>IF($Q1269="","",INDEX(상세표[직위],$Q1269)&amp;"")</f>
        <v/>
      </c>
      <c r="E1269">
        <f>IF($Q1269="","",IF(ISNUMBER(INDEX(상세표[근무일자],$Q1269)),TEXT(INDEX(상세표[근무일자],$Q1269),"yyyy-mm-dd"),INDEX(상세표[근무일자],$Q1269)&amp;""))</f>
        <v/>
      </c>
      <c r="F1269">
        <f>IF($Q1269="","",IF(ISNUMBER(INDEX(상세표[시작],$Q1269)),TEXT(INDEX(상세표[시작],$Q1269),"yyyy-mm-dd hh:mm"),INDEX(상세표[시작],$Q1269)&amp;""))</f>
        <v/>
      </c>
      <c r="G1269">
        <f>IF($Q1269="","",IF(ISNUMBER(INDEX(상세표[블록종료],$Q1269)),TEXT(INDEX(상세표[블록종료],$Q1269),"yyyy-mm-dd hh:mm"),INDEX(상세표[블록종료],$Q1269)&amp;""))</f>
        <v/>
      </c>
      <c r="H1269">
        <f>IF($Q1269="","",CHOOSE(WEEKDAY(INDEX(상세표[시작],$Q1269)),"일","월","화","수","목","금","토"))</f>
        <v/>
      </c>
      <c r="I1269" s="20">
        <f>IF($Q1269="","",INDEX(상세표[연속 시간],$Q1269))</f>
        <v/>
      </c>
      <c r="J1269">
        <f>IF($Q1269="","",INDEX(상세표[기록 수],$Q1269))</f>
        <v/>
      </c>
      <c r="K1269" s="20">
        <f>IF($Q1269="","",INDEX(상세표[블록 06~07시],$Q1269))</f>
        <v/>
      </c>
      <c r="L1269" s="20">
        <f>IF($Q1269="","",INDEX(상세표[블록 07~18시],$Q1269))</f>
        <v/>
      </c>
      <c r="M1269" s="20">
        <f>IF($Q1269="","",INDEX(상세표[블록 18~22시],$Q1269))</f>
        <v/>
      </c>
      <c r="N1269" s="20">
        <f>IF($Q1269="","",INDEX(상세표[블록 22~06시],$Q1269))</f>
        <v/>
      </c>
      <c r="O1269">
        <f>IF($Q1269="","",INDEX(상세표[주말·휴일 포함],$Q1269)&amp;"")</f>
        <v/>
      </c>
      <c r="P1269">
        <f>IF($Q1269="","",INDEX(상세표[월 넘김 포함],$Q1269)&amp;"")</f>
        <v/>
      </c>
      <c r="Q1269" s="4">
        <f>IFERROR(MATCH(1264,상세표[연속순번],0),"")</f>
        <v/>
      </c>
    </row>
    <row r="1270">
      <c r="A1270">
        <f>IF($Q1270="","",INDEX(상세표[부서],$Q1270)&amp;"")</f>
        <v/>
      </c>
      <c r="B1270">
        <f>IF($Q1270="","",INDEX(상세표[사번],$Q1270)&amp;"")</f>
        <v/>
      </c>
      <c r="C1270">
        <f>IF($Q1270="","",INDEX(상세표[성명],$Q1270)&amp;"")</f>
        <v/>
      </c>
      <c r="D1270">
        <f>IF($Q1270="","",INDEX(상세표[직위],$Q1270)&amp;"")</f>
        <v/>
      </c>
      <c r="E1270">
        <f>IF($Q1270="","",IF(ISNUMBER(INDEX(상세표[근무일자],$Q1270)),TEXT(INDEX(상세표[근무일자],$Q1270),"yyyy-mm-dd"),INDEX(상세표[근무일자],$Q1270)&amp;""))</f>
        <v/>
      </c>
      <c r="F1270">
        <f>IF($Q1270="","",IF(ISNUMBER(INDEX(상세표[시작],$Q1270)),TEXT(INDEX(상세표[시작],$Q1270),"yyyy-mm-dd hh:mm"),INDEX(상세표[시작],$Q1270)&amp;""))</f>
        <v/>
      </c>
      <c r="G1270">
        <f>IF($Q1270="","",IF(ISNUMBER(INDEX(상세표[블록종료],$Q1270)),TEXT(INDEX(상세표[블록종료],$Q1270),"yyyy-mm-dd hh:mm"),INDEX(상세표[블록종료],$Q1270)&amp;""))</f>
        <v/>
      </c>
      <c r="H1270">
        <f>IF($Q1270="","",CHOOSE(WEEKDAY(INDEX(상세표[시작],$Q1270)),"일","월","화","수","목","금","토"))</f>
        <v/>
      </c>
      <c r="I1270" s="20">
        <f>IF($Q1270="","",INDEX(상세표[연속 시간],$Q1270))</f>
        <v/>
      </c>
      <c r="J1270">
        <f>IF($Q1270="","",INDEX(상세표[기록 수],$Q1270))</f>
        <v/>
      </c>
      <c r="K1270" s="20">
        <f>IF($Q1270="","",INDEX(상세표[블록 06~07시],$Q1270))</f>
        <v/>
      </c>
      <c r="L1270" s="20">
        <f>IF($Q1270="","",INDEX(상세표[블록 07~18시],$Q1270))</f>
        <v/>
      </c>
      <c r="M1270" s="20">
        <f>IF($Q1270="","",INDEX(상세표[블록 18~22시],$Q1270))</f>
        <v/>
      </c>
      <c r="N1270" s="20">
        <f>IF($Q1270="","",INDEX(상세표[블록 22~06시],$Q1270))</f>
        <v/>
      </c>
      <c r="O1270">
        <f>IF($Q1270="","",INDEX(상세표[주말·휴일 포함],$Q1270)&amp;"")</f>
        <v/>
      </c>
      <c r="P1270">
        <f>IF($Q1270="","",INDEX(상세표[월 넘김 포함],$Q1270)&amp;"")</f>
        <v/>
      </c>
      <c r="Q1270" s="4">
        <f>IFERROR(MATCH(1265,상세표[연속순번],0),"")</f>
        <v/>
      </c>
    </row>
    <row r="1271">
      <c r="A1271">
        <f>IF($Q1271="","",INDEX(상세표[부서],$Q1271)&amp;"")</f>
        <v/>
      </c>
      <c r="B1271">
        <f>IF($Q1271="","",INDEX(상세표[사번],$Q1271)&amp;"")</f>
        <v/>
      </c>
      <c r="C1271">
        <f>IF($Q1271="","",INDEX(상세표[성명],$Q1271)&amp;"")</f>
        <v/>
      </c>
      <c r="D1271">
        <f>IF($Q1271="","",INDEX(상세표[직위],$Q1271)&amp;"")</f>
        <v/>
      </c>
      <c r="E1271">
        <f>IF($Q1271="","",IF(ISNUMBER(INDEX(상세표[근무일자],$Q1271)),TEXT(INDEX(상세표[근무일자],$Q1271),"yyyy-mm-dd"),INDEX(상세표[근무일자],$Q1271)&amp;""))</f>
        <v/>
      </c>
      <c r="F1271">
        <f>IF($Q1271="","",IF(ISNUMBER(INDEX(상세표[시작],$Q1271)),TEXT(INDEX(상세표[시작],$Q1271),"yyyy-mm-dd hh:mm"),INDEX(상세표[시작],$Q1271)&amp;""))</f>
        <v/>
      </c>
      <c r="G1271">
        <f>IF($Q1271="","",IF(ISNUMBER(INDEX(상세표[블록종료],$Q1271)),TEXT(INDEX(상세표[블록종료],$Q1271),"yyyy-mm-dd hh:mm"),INDEX(상세표[블록종료],$Q1271)&amp;""))</f>
        <v/>
      </c>
      <c r="H1271">
        <f>IF($Q1271="","",CHOOSE(WEEKDAY(INDEX(상세표[시작],$Q1271)),"일","월","화","수","목","금","토"))</f>
        <v/>
      </c>
      <c r="I1271" s="20">
        <f>IF($Q1271="","",INDEX(상세표[연속 시간],$Q1271))</f>
        <v/>
      </c>
      <c r="J1271">
        <f>IF($Q1271="","",INDEX(상세표[기록 수],$Q1271))</f>
        <v/>
      </c>
      <c r="K1271" s="20">
        <f>IF($Q1271="","",INDEX(상세표[블록 06~07시],$Q1271))</f>
        <v/>
      </c>
      <c r="L1271" s="20">
        <f>IF($Q1271="","",INDEX(상세표[블록 07~18시],$Q1271))</f>
        <v/>
      </c>
      <c r="M1271" s="20">
        <f>IF($Q1271="","",INDEX(상세표[블록 18~22시],$Q1271))</f>
        <v/>
      </c>
      <c r="N1271" s="20">
        <f>IF($Q1271="","",INDEX(상세표[블록 22~06시],$Q1271))</f>
        <v/>
      </c>
      <c r="O1271">
        <f>IF($Q1271="","",INDEX(상세표[주말·휴일 포함],$Q1271)&amp;"")</f>
        <v/>
      </c>
      <c r="P1271">
        <f>IF($Q1271="","",INDEX(상세표[월 넘김 포함],$Q1271)&amp;"")</f>
        <v/>
      </c>
      <c r="Q1271" s="4">
        <f>IFERROR(MATCH(1266,상세표[연속순번],0),"")</f>
        <v/>
      </c>
    </row>
    <row r="1272">
      <c r="A1272">
        <f>IF($Q1272="","",INDEX(상세표[부서],$Q1272)&amp;"")</f>
        <v/>
      </c>
      <c r="B1272">
        <f>IF($Q1272="","",INDEX(상세표[사번],$Q1272)&amp;"")</f>
        <v/>
      </c>
      <c r="C1272">
        <f>IF($Q1272="","",INDEX(상세표[성명],$Q1272)&amp;"")</f>
        <v/>
      </c>
      <c r="D1272">
        <f>IF($Q1272="","",INDEX(상세표[직위],$Q1272)&amp;"")</f>
        <v/>
      </c>
      <c r="E1272">
        <f>IF($Q1272="","",IF(ISNUMBER(INDEX(상세표[근무일자],$Q1272)),TEXT(INDEX(상세표[근무일자],$Q1272),"yyyy-mm-dd"),INDEX(상세표[근무일자],$Q1272)&amp;""))</f>
        <v/>
      </c>
      <c r="F1272">
        <f>IF($Q1272="","",IF(ISNUMBER(INDEX(상세표[시작],$Q1272)),TEXT(INDEX(상세표[시작],$Q1272),"yyyy-mm-dd hh:mm"),INDEX(상세표[시작],$Q1272)&amp;""))</f>
        <v/>
      </c>
      <c r="G1272">
        <f>IF($Q1272="","",IF(ISNUMBER(INDEX(상세표[블록종료],$Q1272)),TEXT(INDEX(상세표[블록종료],$Q1272),"yyyy-mm-dd hh:mm"),INDEX(상세표[블록종료],$Q1272)&amp;""))</f>
        <v/>
      </c>
      <c r="H1272">
        <f>IF($Q1272="","",CHOOSE(WEEKDAY(INDEX(상세표[시작],$Q1272)),"일","월","화","수","목","금","토"))</f>
        <v/>
      </c>
      <c r="I1272" s="20">
        <f>IF($Q1272="","",INDEX(상세표[연속 시간],$Q1272))</f>
        <v/>
      </c>
      <c r="J1272">
        <f>IF($Q1272="","",INDEX(상세표[기록 수],$Q1272))</f>
        <v/>
      </c>
      <c r="K1272" s="20">
        <f>IF($Q1272="","",INDEX(상세표[블록 06~07시],$Q1272))</f>
        <v/>
      </c>
      <c r="L1272" s="20">
        <f>IF($Q1272="","",INDEX(상세표[블록 07~18시],$Q1272))</f>
        <v/>
      </c>
      <c r="M1272" s="20">
        <f>IF($Q1272="","",INDEX(상세표[블록 18~22시],$Q1272))</f>
        <v/>
      </c>
      <c r="N1272" s="20">
        <f>IF($Q1272="","",INDEX(상세표[블록 22~06시],$Q1272))</f>
        <v/>
      </c>
      <c r="O1272">
        <f>IF($Q1272="","",INDEX(상세표[주말·휴일 포함],$Q1272)&amp;"")</f>
        <v/>
      </c>
      <c r="P1272">
        <f>IF($Q1272="","",INDEX(상세표[월 넘김 포함],$Q1272)&amp;"")</f>
        <v/>
      </c>
      <c r="Q1272" s="4">
        <f>IFERROR(MATCH(1267,상세표[연속순번],0),"")</f>
        <v/>
      </c>
    </row>
    <row r="1273">
      <c r="A1273">
        <f>IF($Q1273="","",INDEX(상세표[부서],$Q1273)&amp;"")</f>
        <v/>
      </c>
      <c r="B1273">
        <f>IF($Q1273="","",INDEX(상세표[사번],$Q1273)&amp;"")</f>
        <v/>
      </c>
      <c r="C1273">
        <f>IF($Q1273="","",INDEX(상세표[성명],$Q1273)&amp;"")</f>
        <v/>
      </c>
      <c r="D1273">
        <f>IF($Q1273="","",INDEX(상세표[직위],$Q1273)&amp;"")</f>
        <v/>
      </c>
      <c r="E1273">
        <f>IF($Q1273="","",IF(ISNUMBER(INDEX(상세표[근무일자],$Q1273)),TEXT(INDEX(상세표[근무일자],$Q1273),"yyyy-mm-dd"),INDEX(상세표[근무일자],$Q1273)&amp;""))</f>
        <v/>
      </c>
      <c r="F1273">
        <f>IF($Q1273="","",IF(ISNUMBER(INDEX(상세표[시작],$Q1273)),TEXT(INDEX(상세표[시작],$Q1273),"yyyy-mm-dd hh:mm"),INDEX(상세표[시작],$Q1273)&amp;""))</f>
        <v/>
      </c>
      <c r="G1273">
        <f>IF($Q1273="","",IF(ISNUMBER(INDEX(상세표[블록종료],$Q1273)),TEXT(INDEX(상세표[블록종료],$Q1273),"yyyy-mm-dd hh:mm"),INDEX(상세표[블록종료],$Q1273)&amp;""))</f>
        <v/>
      </c>
      <c r="H1273">
        <f>IF($Q1273="","",CHOOSE(WEEKDAY(INDEX(상세표[시작],$Q1273)),"일","월","화","수","목","금","토"))</f>
        <v/>
      </c>
      <c r="I1273" s="20">
        <f>IF($Q1273="","",INDEX(상세표[연속 시간],$Q1273))</f>
        <v/>
      </c>
      <c r="J1273">
        <f>IF($Q1273="","",INDEX(상세표[기록 수],$Q1273))</f>
        <v/>
      </c>
      <c r="K1273" s="20">
        <f>IF($Q1273="","",INDEX(상세표[블록 06~07시],$Q1273))</f>
        <v/>
      </c>
      <c r="L1273" s="20">
        <f>IF($Q1273="","",INDEX(상세표[블록 07~18시],$Q1273))</f>
        <v/>
      </c>
      <c r="M1273" s="20">
        <f>IF($Q1273="","",INDEX(상세표[블록 18~22시],$Q1273))</f>
        <v/>
      </c>
      <c r="N1273" s="20">
        <f>IF($Q1273="","",INDEX(상세표[블록 22~06시],$Q1273))</f>
        <v/>
      </c>
      <c r="O1273">
        <f>IF($Q1273="","",INDEX(상세표[주말·휴일 포함],$Q1273)&amp;"")</f>
        <v/>
      </c>
      <c r="P1273">
        <f>IF($Q1273="","",INDEX(상세표[월 넘김 포함],$Q1273)&amp;"")</f>
        <v/>
      </c>
      <c r="Q1273" s="4">
        <f>IFERROR(MATCH(1268,상세표[연속순번],0),"")</f>
        <v/>
      </c>
    </row>
    <row r="1274">
      <c r="A1274">
        <f>IF($Q1274="","",INDEX(상세표[부서],$Q1274)&amp;"")</f>
        <v/>
      </c>
      <c r="B1274">
        <f>IF($Q1274="","",INDEX(상세표[사번],$Q1274)&amp;"")</f>
        <v/>
      </c>
      <c r="C1274">
        <f>IF($Q1274="","",INDEX(상세표[성명],$Q1274)&amp;"")</f>
        <v/>
      </c>
      <c r="D1274">
        <f>IF($Q1274="","",INDEX(상세표[직위],$Q1274)&amp;"")</f>
        <v/>
      </c>
      <c r="E1274">
        <f>IF($Q1274="","",IF(ISNUMBER(INDEX(상세표[근무일자],$Q1274)),TEXT(INDEX(상세표[근무일자],$Q1274),"yyyy-mm-dd"),INDEX(상세표[근무일자],$Q1274)&amp;""))</f>
        <v/>
      </c>
      <c r="F1274">
        <f>IF($Q1274="","",IF(ISNUMBER(INDEX(상세표[시작],$Q1274)),TEXT(INDEX(상세표[시작],$Q1274),"yyyy-mm-dd hh:mm"),INDEX(상세표[시작],$Q1274)&amp;""))</f>
        <v/>
      </c>
      <c r="G1274">
        <f>IF($Q1274="","",IF(ISNUMBER(INDEX(상세표[블록종료],$Q1274)),TEXT(INDEX(상세표[블록종료],$Q1274),"yyyy-mm-dd hh:mm"),INDEX(상세표[블록종료],$Q1274)&amp;""))</f>
        <v/>
      </c>
      <c r="H1274">
        <f>IF($Q1274="","",CHOOSE(WEEKDAY(INDEX(상세표[시작],$Q1274)),"일","월","화","수","목","금","토"))</f>
        <v/>
      </c>
      <c r="I1274" s="20">
        <f>IF($Q1274="","",INDEX(상세표[연속 시간],$Q1274))</f>
        <v/>
      </c>
      <c r="J1274">
        <f>IF($Q1274="","",INDEX(상세표[기록 수],$Q1274))</f>
        <v/>
      </c>
      <c r="K1274" s="20">
        <f>IF($Q1274="","",INDEX(상세표[블록 06~07시],$Q1274))</f>
        <v/>
      </c>
      <c r="L1274" s="20">
        <f>IF($Q1274="","",INDEX(상세표[블록 07~18시],$Q1274))</f>
        <v/>
      </c>
      <c r="M1274" s="20">
        <f>IF($Q1274="","",INDEX(상세표[블록 18~22시],$Q1274))</f>
        <v/>
      </c>
      <c r="N1274" s="20">
        <f>IF($Q1274="","",INDEX(상세표[블록 22~06시],$Q1274))</f>
        <v/>
      </c>
      <c r="O1274">
        <f>IF($Q1274="","",INDEX(상세표[주말·휴일 포함],$Q1274)&amp;"")</f>
        <v/>
      </c>
      <c r="P1274">
        <f>IF($Q1274="","",INDEX(상세표[월 넘김 포함],$Q1274)&amp;"")</f>
        <v/>
      </c>
      <c r="Q1274" s="4">
        <f>IFERROR(MATCH(1269,상세표[연속순번],0),"")</f>
        <v/>
      </c>
    </row>
    <row r="1275">
      <c r="A1275">
        <f>IF($Q1275="","",INDEX(상세표[부서],$Q1275)&amp;"")</f>
        <v/>
      </c>
      <c r="B1275">
        <f>IF($Q1275="","",INDEX(상세표[사번],$Q1275)&amp;"")</f>
        <v/>
      </c>
      <c r="C1275">
        <f>IF($Q1275="","",INDEX(상세표[성명],$Q1275)&amp;"")</f>
        <v/>
      </c>
      <c r="D1275">
        <f>IF($Q1275="","",INDEX(상세표[직위],$Q1275)&amp;"")</f>
        <v/>
      </c>
      <c r="E1275">
        <f>IF($Q1275="","",IF(ISNUMBER(INDEX(상세표[근무일자],$Q1275)),TEXT(INDEX(상세표[근무일자],$Q1275),"yyyy-mm-dd"),INDEX(상세표[근무일자],$Q1275)&amp;""))</f>
        <v/>
      </c>
      <c r="F1275">
        <f>IF($Q1275="","",IF(ISNUMBER(INDEX(상세표[시작],$Q1275)),TEXT(INDEX(상세표[시작],$Q1275),"yyyy-mm-dd hh:mm"),INDEX(상세표[시작],$Q1275)&amp;""))</f>
        <v/>
      </c>
      <c r="G1275">
        <f>IF($Q1275="","",IF(ISNUMBER(INDEX(상세표[블록종료],$Q1275)),TEXT(INDEX(상세표[블록종료],$Q1275),"yyyy-mm-dd hh:mm"),INDEX(상세표[블록종료],$Q1275)&amp;""))</f>
        <v/>
      </c>
      <c r="H1275">
        <f>IF($Q1275="","",CHOOSE(WEEKDAY(INDEX(상세표[시작],$Q1275)),"일","월","화","수","목","금","토"))</f>
        <v/>
      </c>
      <c r="I1275" s="20">
        <f>IF($Q1275="","",INDEX(상세표[연속 시간],$Q1275))</f>
        <v/>
      </c>
      <c r="J1275">
        <f>IF($Q1275="","",INDEX(상세표[기록 수],$Q1275))</f>
        <v/>
      </c>
      <c r="K1275" s="20">
        <f>IF($Q1275="","",INDEX(상세표[블록 06~07시],$Q1275))</f>
        <v/>
      </c>
      <c r="L1275" s="20">
        <f>IF($Q1275="","",INDEX(상세표[블록 07~18시],$Q1275))</f>
        <v/>
      </c>
      <c r="M1275" s="20">
        <f>IF($Q1275="","",INDEX(상세표[블록 18~22시],$Q1275))</f>
        <v/>
      </c>
      <c r="N1275" s="20">
        <f>IF($Q1275="","",INDEX(상세표[블록 22~06시],$Q1275))</f>
        <v/>
      </c>
      <c r="O1275">
        <f>IF($Q1275="","",INDEX(상세표[주말·휴일 포함],$Q1275)&amp;"")</f>
        <v/>
      </c>
      <c r="P1275">
        <f>IF($Q1275="","",INDEX(상세표[월 넘김 포함],$Q1275)&amp;"")</f>
        <v/>
      </c>
      <c r="Q1275" s="4">
        <f>IFERROR(MATCH(1270,상세표[연속순번],0),"")</f>
        <v/>
      </c>
    </row>
    <row r="1276">
      <c r="A1276">
        <f>IF($Q1276="","",INDEX(상세표[부서],$Q1276)&amp;"")</f>
        <v/>
      </c>
      <c r="B1276">
        <f>IF($Q1276="","",INDEX(상세표[사번],$Q1276)&amp;"")</f>
        <v/>
      </c>
      <c r="C1276">
        <f>IF($Q1276="","",INDEX(상세표[성명],$Q1276)&amp;"")</f>
        <v/>
      </c>
      <c r="D1276">
        <f>IF($Q1276="","",INDEX(상세표[직위],$Q1276)&amp;"")</f>
        <v/>
      </c>
      <c r="E1276">
        <f>IF($Q1276="","",IF(ISNUMBER(INDEX(상세표[근무일자],$Q1276)),TEXT(INDEX(상세표[근무일자],$Q1276),"yyyy-mm-dd"),INDEX(상세표[근무일자],$Q1276)&amp;""))</f>
        <v/>
      </c>
      <c r="F1276">
        <f>IF($Q1276="","",IF(ISNUMBER(INDEX(상세표[시작],$Q1276)),TEXT(INDEX(상세표[시작],$Q1276),"yyyy-mm-dd hh:mm"),INDEX(상세표[시작],$Q1276)&amp;""))</f>
        <v/>
      </c>
      <c r="G1276">
        <f>IF($Q1276="","",IF(ISNUMBER(INDEX(상세표[블록종료],$Q1276)),TEXT(INDEX(상세표[블록종료],$Q1276),"yyyy-mm-dd hh:mm"),INDEX(상세표[블록종료],$Q1276)&amp;""))</f>
        <v/>
      </c>
      <c r="H1276">
        <f>IF($Q1276="","",CHOOSE(WEEKDAY(INDEX(상세표[시작],$Q1276)),"일","월","화","수","목","금","토"))</f>
        <v/>
      </c>
      <c r="I1276" s="20">
        <f>IF($Q1276="","",INDEX(상세표[연속 시간],$Q1276))</f>
        <v/>
      </c>
      <c r="J1276">
        <f>IF($Q1276="","",INDEX(상세표[기록 수],$Q1276))</f>
        <v/>
      </c>
      <c r="K1276" s="20">
        <f>IF($Q1276="","",INDEX(상세표[블록 06~07시],$Q1276))</f>
        <v/>
      </c>
      <c r="L1276" s="20">
        <f>IF($Q1276="","",INDEX(상세표[블록 07~18시],$Q1276))</f>
        <v/>
      </c>
      <c r="M1276" s="20">
        <f>IF($Q1276="","",INDEX(상세표[블록 18~22시],$Q1276))</f>
        <v/>
      </c>
      <c r="N1276" s="20">
        <f>IF($Q1276="","",INDEX(상세표[블록 22~06시],$Q1276))</f>
        <v/>
      </c>
      <c r="O1276">
        <f>IF($Q1276="","",INDEX(상세표[주말·휴일 포함],$Q1276)&amp;"")</f>
        <v/>
      </c>
      <c r="P1276">
        <f>IF($Q1276="","",INDEX(상세표[월 넘김 포함],$Q1276)&amp;"")</f>
        <v/>
      </c>
      <c r="Q1276" s="4">
        <f>IFERROR(MATCH(1271,상세표[연속순번],0),"")</f>
        <v/>
      </c>
    </row>
    <row r="1277">
      <c r="A1277">
        <f>IF($Q1277="","",INDEX(상세표[부서],$Q1277)&amp;"")</f>
        <v/>
      </c>
      <c r="B1277">
        <f>IF($Q1277="","",INDEX(상세표[사번],$Q1277)&amp;"")</f>
        <v/>
      </c>
      <c r="C1277">
        <f>IF($Q1277="","",INDEX(상세표[성명],$Q1277)&amp;"")</f>
        <v/>
      </c>
      <c r="D1277">
        <f>IF($Q1277="","",INDEX(상세표[직위],$Q1277)&amp;"")</f>
        <v/>
      </c>
      <c r="E1277">
        <f>IF($Q1277="","",IF(ISNUMBER(INDEX(상세표[근무일자],$Q1277)),TEXT(INDEX(상세표[근무일자],$Q1277),"yyyy-mm-dd"),INDEX(상세표[근무일자],$Q1277)&amp;""))</f>
        <v/>
      </c>
      <c r="F1277">
        <f>IF($Q1277="","",IF(ISNUMBER(INDEX(상세표[시작],$Q1277)),TEXT(INDEX(상세표[시작],$Q1277),"yyyy-mm-dd hh:mm"),INDEX(상세표[시작],$Q1277)&amp;""))</f>
        <v/>
      </c>
      <c r="G1277">
        <f>IF($Q1277="","",IF(ISNUMBER(INDEX(상세표[블록종료],$Q1277)),TEXT(INDEX(상세표[블록종료],$Q1277),"yyyy-mm-dd hh:mm"),INDEX(상세표[블록종료],$Q1277)&amp;""))</f>
        <v/>
      </c>
      <c r="H1277">
        <f>IF($Q1277="","",CHOOSE(WEEKDAY(INDEX(상세표[시작],$Q1277)),"일","월","화","수","목","금","토"))</f>
        <v/>
      </c>
      <c r="I1277" s="20">
        <f>IF($Q1277="","",INDEX(상세표[연속 시간],$Q1277))</f>
        <v/>
      </c>
      <c r="J1277">
        <f>IF($Q1277="","",INDEX(상세표[기록 수],$Q1277))</f>
        <v/>
      </c>
      <c r="K1277" s="20">
        <f>IF($Q1277="","",INDEX(상세표[블록 06~07시],$Q1277))</f>
        <v/>
      </c>
      <c r="L1277" s="20">
        <f>IF($Q1277="","",INDEX(상세표[블록 07~18시],$Q1277))</f>
        <v/>
      </c>
      <c r="M1277" s="20">
        <f>IF($Q1277="","",INDEX(상세표[블록 18~22시],$Q1277))</f>
        <v/>
      </c>
      <c r="N1277" s="20">
        <f>IF($Q1277="","",INDEX(상세표[블록 22~06시],$Q1277))</f>
        <v/>
      </c>
      <c r="O1277">
        <f>IF($Q1277="","",INDEX(상세표[주말·휴일 포함],$Q1277)&amp;"")</f>
        <v/>
      </c>
      <c r="P1277">
        <f>IF($Q1277="","",INDEX(상세표[월 넘김 포함],$Q1277)&amp;"")</f>
        <v/>
      </c>
      <c r="Q1277" s="4">
        <f>IFERROR(MATCH(1272,상세표[연속순번],0),"")</f>
        <v/>
      </c>
    </row>
    <row r="1278">
      <c r="A1278">
        <f>IF($Q1278="","",INDEX(상세표[부서],$Q1278)&amp;"")</f>
        <v/>
      </c>
      <c r="B1278">
        <f>IF($Q1278="","",INDEX(상세표[사번],$Q1278)&amp;"")</f>
        <v/>
      </c>
      <c r="C1278">
        <f>IF($Q1278="","",INDEX(상세표[성명],$Q1278)&amp;"")</f>
        <v/>
      </c>
      <c r="D1278">
        <f>IF($Q1278="","",INDEX(상세표[직위],$Q1278)&amp;"")</f>
        <v/>
      </c>
      <c r="E1278">
        <f>IF($Q1278="","",IF(ISNUMBER(INDEX(상세표[근무일자],$Q1278)),TEXT(INDEX(상세표[근무일자],$Q1278),"yyyy-mm-dd"),INDEX(상세표[근무일자],$Q1278)&amp;""))</f>
        <v/>
      </c>
      <c r="F1278">
        <f>IF($Q1278="","",IF(ISNUMBER(INDEX(상세표[시작],$Q1278)),TEXT(INDEX(상세표[시작],$Q1278),"yyyy-mm-dd hh:mm"),INDEX(상세표[시작],$Q1278)&amp;""))</f>
        <v/>
      </c>
      <c r="G1278">
        <f>IF($Q1278="","",IF(ISNUMBER(INDEX(상세표[블록종료],$Q1278)),TEXT(INDEX(상세표[블록종료],$Q1278),"yyyy-mm-dd hh:mm"),INDEX(상세표[블록종료],$Q1278)&amp;""))</f>
        <v/>
      </c>
      <c r="H1278">
        <f>IF($Q1278="","",CHOOSE(WEEKDAY(INDEX(상세표[시작],$Q1278)),"일","월","화","수","목","금","토"))</f>
        <v/>
      </c>
      <c r="I1278" s="20">
        <f>IF($Q1278="","",INDEX(상세표[연속 시간],$Q1278))</f>
        <v/>
      </c>
      <c r="J1278">
        <f>IF($Q1278="","",INDEX(상세표[기록 수],$Q1278))</f>
        <v/>
      </c>
      <c r="K1278" s="20">
        <f>IF($Q1278="","",INDEX(상세표[블록 06~07시],$Q1278))</f>
        <v/>
      </c>
      <c r="L1278" s="20">
        <f>IF($Q1278="","",INDEX(상세표[블록 07~18시],$Q1278))</f>
        <v/>
      </c>
      <c r="M1278" s="20">
        <f>IF($Q1278="","",INDEX(상세표[블록 18~22시],$Q1278))</f>
        <v/>
      </c>
      <c r="N1278" s="20">
        <f>IF($Q1278="","",INDEX(상세표[블록 22~06시],$Q1278))</f>
        <v/>
      </c>
      <c r="O1278">
        <f>IF($Q1278="","",INDEX(상세표[주말·휴일 포함],$Q1278)&amp;"")</f>
        <v/>
      </c>
      <c r="P1278">
        <f>IF($Q1278="","",INDEX(상세표[월 넘김 포함],$Q1278)&amp;"")</f>
        <v/>
      </c>
      <c r="Q1278" s="4">
        <f>IFERROR(MATCH(1273,상세표[연속순번],0),"")</f>
        <v/>
      </c>
    </row>
    <row r="1279">
      <c r="A1279">
        <f>IF($Q1279="","",INDEX(상세표[부서],$Q1279)&amp;"")</f>
        <v/>
      </c>
      <c r="B1279">
        <f>IF($Q1279="","",INDEX(상세표[사번],$Q1279)&amp;"")</f>
        <v/>
      </c>
      <c r="C1279">
        <f>IF($Q1279="","",INDEX(상세표[성명],$Q1279)&amp;"")</f>
        <v/>
      </c>
      <c r="D1279">
        <f>IF($Q1279="","",INDEX(상세표[직위],$Q1279)&amp;"")</f>
        <v/>
      </c>
      <c r="E1279">
        <f>IF($Q1279="","",IF(ISNUMBER(INDEX(상세표[근무일자],$Q1279)),TEXT(INDEX(상세표[근무일자],$Q1279),"yyyy-mm-dd"),INDEX(상세표[근무일자],$Q1279)&amp;""))</f>
        <v/>
      </c>
      <c r="F1279">
        <f>IF($Q1279="","",IF(ISNUMBER(INDEX(상세표[시작],$Q1279)),TEXT(INDEX(상세표[시작],$Q1279),"yyyy-mm-dd hh:mm"),INDEX(상세표[시작],$Q1279)&amp;""))</f>
        <v/>
      </c>
      <c r="G1279">
        <f>IF($Q1279="","",IF(ISNUMBER(INDEX(상세표[블록종료],$Q1279)),TEXT(INDEX(상세표[블록종료],$Q1279),"yyyy-mm-dd hh:mm"),INDEX(상세표[블록종료],$Q1279)&amp;""))</f>
        <v/>
      </c>
      <c r="H1279">
        <f>IF($Q1279="","",CHOOSE(WEEKDAY(INDEX(상세표[시작],$Q1279)),"일","월","화","수","목","금","토"))</f>
        <v/>
      </c>
      <c r="I1279" s="20">
        <f>IF($Q1279="","",INDEX(상세표[연속 시간],$Q1279))</f>
        <v/>
      </c>
      <c r="J1279">
        <f>IF($Q1279="","",INDEX(상세표[기록 수],$Q1279))</f>
        <v/>
      </c>
      <c r="K1279" s="20">
        <f>IF($Q1279="","",INDEX(상세표[블록 06~07시],$Q1279))</f>
        <v/>
      </c>
      <c r="L1279" s="20">
        <f>IF($Q1279="","",INDEX(상세표[블록 07~18시],$Q1279))</f>
        <v/>
      </c>
      <c r="M1279" s="20">
        <f>IF($Q1279="","",INDEX(상세표[블록 18~22시],$Q1279))</f>
        <v/>
      </c>
      <c r="N1279" s="20">
        <f>IF($Q1279="","",INDEX(상세표[블록 22~06시],$Q1279))</f>
        <v/>
      </c>
      <c r="O1279">
        <f>IF($Q1279="","",INDEX(상세표[주말·휴일 포함],$Q1279)&amp;"")</f>
        <v/>
      </c>
      <c r="P1279">
        <f>IF($Q1279="","",INDEX(상세표[월 넘김 포함],$Q1279)&amp;"")</f>
        <v/>
      </c>
      <c r="Q1279" s="4">
        <f>IFERROR(MATCH(1274,상세표[연속순번],0),"")</f>
        <v/>
      </c>
    </row>
    <row r="1280">
      <c r="A1280">
        <f>IF($Q1280="","",INDEX(상세표[부서],$Q1280)&amp;"")</f>
        <v/>
      </c>
      <c r="B1280">
        <f>IF($Q1280="","",INDEX(상세표[사번],$Q1280)&amp;"")</f>
        <v/>
      </c>
      <c r="C1280">
        <f>IF($Q1280="","",INDEX(상세표[성명],$Q1280)&amp;"")</f>
        <v/>
      </c>
      <c r="D1280">
        <f>IF($Q1280="","",INDEX(상세표[직위],$Q1280)&amp;"")</f>
        <v/>
      </c>
      <c r="E1280">
        <f>IF($Q1280="","",IF(ISNUMBER(INDEX(상세표[근무일자],$Q1280)),TEXT(INDEX(상세표[근무일자],$Q1280),"yyyy-mm-dd"),INDEX(상세표[근무일자],$Q1280)&amp;""))</f>
        <v/>
      </c>
      <c r="F1280">
        <f>IF($Q1280="","",IF(ISNUMBER(INDEX(상세표[시작],$Q1280)),TEXT(INDEX(상세표[시작],$Q1280),"yyyy-mm-dd hh:mm"),INDEX(상세표[시작],$Q1280)&amp;""))</f>
        <v/>
      </c>
      <c r="G1280">
        <f>IF($Q1280="","",IF(ISNUMBER(INDEX(상세표[블록종료],$Q1280)),TEXT(INDEX(상세표[블록종료],$Q1280),"yyyy-mm-dd hh:mm"),INDEX(상세표[블록종료],$Q1280)&amp;""))</f>
        <v/>
      </c>
      <c r="H1280">
        <f>IF($Q1280="","",CHOOSE(WEEKDAY(INDEX(상세표[시작],$Q1280)),"일","월","화","수","목","금","토"))</f>
        <v/>
      </c>
      <c r="I1280" s="20">
        <f>IF($Q1280="","",INDEX(상세표[연속 시간],$Q1280))</f>
        <v/>
      </c>
      <c r="J1280">
        <f>IF($Q1280="","",INDEX(상세표[기록 수],$Q1280))</f>
        <v/>
      </c>
      <c r="K1280" s="20">
        <f>IF($Q1280="","",INDEX(상세표[블록 06~07시],$Q1280))</f>
        <v/>
      </c>
      <c r="L1280" s="20">
        <f>IF($Q1280="","",INDEX(상세표[블록 07~18시],$Q1280))</f>
        <v/>
      </c>
      <c r="M1280" s="20">
        <f>IF($Q1280="","",INDEX(상세표[블록 18~22시],$Q1280))</f>
        <v/>
      </c>
      <c r="N1280" s="20">
        <f>IF($Q1280="","",INDEX(상세표[블록 22~06시],$Q1280))</f>
        <v/>
      </c>
      <c r="O1280">
        <f>IF($Q1280="","",INDEX(상세표[주말·휴일 포함],$Q1280)&amp;"")</f>
        <v/>
      </c>
      <c r="P1280">
        <f>IF($Q1280="","",INDEX(상세표[월 넘김 포함],$Q1280)&amp;"")</f>
        <v/>
      </c>
      <c r="Q1280" s="4">
        <f>IFERROR(MATCH(1275,상세표[연속순번],0),"")</f>
        <v/>
      </c>
    </row>
    <row r="1281">
      <c r="A1281">
        <f>IF($Q1281="","",INDEX(상세표[부서],$Q1281)&amp;"")</f>
        <v/>
      </c>
      <c r="B1281">
        <f>IF($Q1281="","",INDEX(상세표[사번],$Q1281)&amp;"")</f>
        <v/>
      </c>
      <c r="C1281">
        <f>IF($Q1281="","",INDEX(상세표[성명],$Q1281)&amp;"")</f>
        <v/>
      </c>
      <c r="D1281">
        <f>IF($Q1281="","",INDEX(상세표[직위],$Q1281)&amp;"")</f>
        <v/>
      </c>
      <c r="E1281">
        <f>IF($Q1281="","",IF(ISNUMBER(INDEX(상세표[근무일자],$Q1281)),TEXT(INDEX(상세표[근무일자],$Q1281),"yyyy-mm-dd"),INDEX(상세표[근무일자],$Q1281)&amp;""))</f>
        <v/>
      </c>
      <c r="F1281">
        <f>IF($Q1281="","",IF(ISNUMBER(INDEX(상세표[시작],$Q1281)),TEXT(INDEX(상세표[시작],$Q1281),"yyyy-mm-dd hh:mm"),INDEX(상세표[시작],$Q1281)&amp;""))</f>
        <v/>
      </c>
      <c r="G1281">
        <f>IF($Q1281="","",IF(ISNUMBER(INDEX(상세표[블록종료],$Q1281)),TEXT(INDEX(상세표[블록종료],$Q1281),"yyyy-mm-dd hh:mm"),INDEX(상세표[블록종료],$Q1281)&amp;""))</f>
        <v/>
      </c>
      <c r="H1281">
        <f>IF($Q1281="","",CHOOSE(WEEKDAY(INDEX(상세표[시작],$Q1281)),"일","월","화","수","목","금","토"))</f>
        <v/>
      </c>
      <c r="I1281" s="20">
        <f>IF($Q1281="","",INDEX(상세표[연속 시간],$Q1281))</f>
        <v/>
      </c>
      <c r="J1281">
        <f>IF($Q1281="","",INDEX(상세표[기록 수],$Q1281))</f>
        <v/>
      </c>
      <c r="K1281" s="20">
        <f>IF($Q1281="","",INDEX(상세표[블록 06~07시],$Q1281))</f>
        <v/>
      </c>
      <c r="L1281" s="20">
        <f>IF($Q1281="","",INDEX(상세표[블록 07~18시],$Q1281))</f>
        <v/>
      </c>
      <c r="M1281" s="20">
        <f>IF($Q1281="","",INDEX(상세표[블록 18~22시],$Q1281))</f>
        <v/>
      </c>
      <c r="N1281" s="20">
        <f>IF($Q1281="","",INDEX(상세표[블록 22~06시],$Q1281))</f>
        <v/>
      </c>
      <c r="O1281">
        <f>IF($Q1281="","",INDEX(상세표[주말·휴일 포함],$Q1281)&amp;"")</f>
        <v/>
      </c>
      <c r="P1281">
        <f>IF($Q1281="","",INDEX(상세표[월 넘김 포함],$Q1281)&amp;"")</f>
        <v/>
      </c>
      <c r="Q1281" s="4">
        <f>IFERROR(MATCH(1276,상세표[연속순번],0),"")</f>
        <v/>
      </c>
    </row>
    <row r="1282">
      <c r="A1282">
        <f>IF($Q1282="","",INDEX(상세표[부서],$Q1282)&amp;"")</f>
        <v/>
      </c>
      <c r="B1282">
        <f>IF($Q1282="","",INDEX(상세표[사번],$Q1282)&amp;"")</f>
        <v/>
      </c>
      <c r="C1282">
        <f>IF($Q1282="","",INDEX(상세표[성명],$Q1282)&amp;"")</f>
        <v/>
      </c>
      <c r="D1282">
        <f>IF($Q1282="","",INDEX(상세표[직위],$Q1282)&amp;"")</f>
        <v/>
      </c>
      <c r="E1282">
        <f>IF($Q1282="","",IF(ISNUMBER(INDEX(상세표[근무일자],$Q1282)),TEXT(INDEX(상세표[근무일자],$Q1282),"yyyy-mm-dd"),INDEX(상세표[근무일자],$Q1282)&amp;""))</f>
        <v/>
      </c>
      <c r="F1282">
        <f>IF($Q1282="","",IF(ISNUMBER(INDEX(상세표[시작],$Q1282)),TEXT(INDEX(상세표[시작],$Q1282),"yyyy-mm-dd hh:mm"),INDEX(상세표[시작],$Q1282)&amp;""))</f>
        <v/>
      </c>
      <c r="G1282">
        <f>IF($Q1282="","",IF(ISNUMBER(INDEX(상세표[블록종료],$Q1282)),TEXT(INDEX(상세표[블록종료],$Q1282),"yyyy-mm-dd hh:mm"),INDEX(상세표[블록종료],$Q1282)&amp;""))</f>
        <v/>
      </c>
      <c r="H1282">
        <f>IF($Q1282="","",CHOOSE(WEEKDAY(INDEX(상세표[시작],$Q1282)),"일","월","화","수","목","금","토"))</f>
        <v/>
      </c>
      <c r="I1282" s="20">
        <f>IF($Q1282="","",INDEX(상세표[연속 시간],$Q1282))</f>
        <v/>
      </c>
      <c r="J1282">
        <f>IF($Q1282="","",INDEX(상세표[기록 수],$Q1282))</f>
        <v/>
      </c>
      <c r="K1282" s="20">
        <f>IF($Q1282="","",INDEX(상세표[블록 06~07시],$Q1282))</f>
        <v/>
      </c>
      <c r="L1282" s="20">
        <f>IF($Q1282="","",INDEX(상세표[블록 07~18시],$Q1282))</f>
        <v/>
      </c>
      <c r="M1282" s="20">
        <f>IF($Q1282="","",INDEX(상세표[블록 18~22시],$Q1282))</f>
        <v/>
      </c>
      <c r="N1282" s="20">
        <f>IF($Q1282="","",INDEX(상세표[블록 22~06시],$Q1282))</f>
        <v/>
      </c>
      <c r="O1282">
        <f>IF($Q1282="","",INDEX(상세표[주말·휴일 포함],$Q1282)&amp;"")</f>
        <v/>
      </c>
      <c r="P1282">
        <f>IF($Q1282="","",INDEX(상세표[월 넘김 포함],$Q1282)&amp;"")</f>
        <v/>
      </c>
      <c r="Q1282" s="4">
        <f>IFERROR(MATCH(1277,상세표[연속순번],0),"")</f>
        <v/>
      </c>
    </row>
    <row r="1283">
      <c r="A1283">
        <f>IF($Q1283="","",INDEX(상세표[부서],$Q1283)&amp;"")</f>
        <v/>
      </c>
      <c r="B1283">
        <f>IF($Q1283="","",INDEX(상세표[사번],$Q1283)&amp;"")</f>
        <v/>
      </c>
      <c r="C1283">
        <f>IF($Q1283="","",INDEX(상세표[성명],$Q1283)&amp;"")</f>
        <v/>
      </c>
      <c r="D1283">
        <f>IF($Q1283="","",INDEX(상세표[직위],$Q1283)&amp;"")</f>
        <v/>
      </c>
      <c r="E1283">
        <f>IF($Q1283="","",IF(ISNUMBER(INDEX(상세표[근무일자],$Q1283)),TEXT(INDEX(상세표[근무일자],$Q1283),"yyyy-mm-dd"),INDEX(상세표[근무일자],$Q1283)&amp;""))</f>
        <v/>
      </c>
      <c r="F1283">
        <f>IF($Q1283="","",IF(ISNUMBER(INDEX(상세표[시작],$Q1283)),TEXT(INDEX(상세표[시작],$Q1283),"yyyy-mm-dd hh:mm"),INDEX(상세표[시작],$Q1283)&amp;""))</f>
        <v/>
      </c>
      <c r="G1283">
        <f>IF($Q1283="","",IF(ISNUMBER(INDEX(상세표[블록종료],$Q1283)),TEXT(INDEX(상세표[블록종료],$Q1283),"yyyy-mm-dd hh:mm"),INDEX(상세표[블록종료],$Q1283)&amp;""))</f>
        <v/>
      </c>
      <c r="H1283">
        <f>IF($Q1283="","",CHOOSE(WEEKDAY(INDEX(상세표[시작],$Q1283)),"일","월","화","수","목","금","토"))</f>
        <v/>
      </c>
      <c r="I1283" s="20">
        <f>IF($Q1283="","",INDEX(상세표[연속 시간],$Q1283))</f>
        <v/>
      </c>
      <c r="J1283">
        <f>IF($Q1283="","",INDEX(상세표[기록 수],$Q1283))</f>
        <v/>
      </c>
      <c r="K1283" s="20">
        <f>IF($Q1283="","",INDEX(상세표[블록 06~07시],$Q1283))</f>
        <v/>
      </c>
      <c r="L1283" s="20">
        <f>IF($Q1283="","",INDEX(상세표[블록 07~18시],$Q1283))</f>
        <v/>
      </c>
      <c r="M1283" s="20">
        <f>IF($Q1283="","",INDEX(상세표[블록 18~22시],$Q1283))</f>
        <v/>
      </c>
      <c r="N1283" s="20">
        <f>IF($Q1283="","",INDEX(상세표[블록 22~06시],$Q1283))</f>
        <v/>
      </c>
      <c r="O1283">
        <f>IF($Q1283="","",INDEX(상세표[주말·휴일 포함],$Q1283)&amp;"")</f>
        <v/>
      </c>
      <c r="P1283">
        <f>IF($Q1283="","",INDEX(상세표[월 넘김 포함],$Q1283)&amp;"")</f>
        <v/>
      </c>
      <c r="Q1283" s="4">
        <f>IFERROR(MATCH(1278,상세표[연속순번],0),"")</f>
        <v/>
      </c>
    </row>
    <row r="1284">
      <c r="A1284">
        <f>IF($Q1284="","",INDEX(상세표[부서],$Q1284)&amp;"")</f>
        <v/>
      </c>
      <c r="B1284">
        <f>IF($Q1284="","",INDEX(상세표[사번],$Q1284)&amp;"")</f>
        <v/>
      </c>
      <c r="C1284">
        <f>IF($Q1284="","",INDEX(상세표[성명],$Q1284)&amp;"")</f>
        <v/>
      </c>
      <c r="D1284">
        <f>IF($Q1284="","",INDEX(상세표[직위],$Q1284)&amp;"")</f>
        <v/>
      </c>
      <c r="E1284">
        <f>IF($Q1284="","",IF(ISNUMBER(INDEX(상세표[근무일자],$Q1284)),TEXT(INDEX(상세표[근무일자],$Q1284),"yyyy-mm-dd"),INDEX(상세표[근무일자],$Q1284)&amp;""))</f>
        <v/>
      </c>
      <c r="F1284">
        <f>IF($Q1284="","",IF(ISNUMBER(INDEX(상세표[시작],$Q1284)),TEXT(INDEX(상세표[시작],$Q1284),"yyyy-mm-dd hh:mm"),INDEX(상세표[시작],$Q1284)&amp;""))</f>
        <v/>
      </c>
      <c r="G1284">
        <f>IF($Q1284="","",IF(ISNUMBER(INDEX(상세표[블록종료],$Q1284)),TEXT(INDEX(상세표[블록종료],$Q1284),"yyyy-mm-dd hh:mm"),INDEX(상세표[블록종료],$Q1284)&amp;""))</f>
        <v/>
      </c>
      <c r="H1284">
        <f>IF($Q1284="","",CHOOSE(WEEKDAY(INDEX(상세표[시작],$Q1284)),"일","월","화","수","목","금","토"))</f>
        <v/>
      </c>
      <c r="I1284" s="20">
        <f>IF($Q1284="","",INDEX(상세표[연속 시간],$Q1284))</f>
        <v/>
      </c>
      <c r="J1284">
        <f>IF($Q1284="","",INDEX(상세표[기록 수],$Q1284))</f>
        <v/>
      </c>
      <c r="K1284" s="20">
        <f>IF($Q1284="","",INDEX(상세표[블록 06~07시],$Q1284))</f>
        <v/>
      </c>
      <c r="L1284" s="20">
        <f>IF($Q1284="","",INDEX(상세표[블록 07~18시],$Q1284))</f>
        <v/>
      </c>
      <c r="M1284" s="20">
        <f>IF($Q1284="","",INDEX(상세표[블록 18~22시],$Q1284))</f>
        <v/>
      </c>
      <c r="N1284" s="20">
        <f>IF($Q1284="","",INDEX(상세표[블록 22~06시],$Q1284))</f>
        <v/>
      </c>
      <c r="O1284">
        <f>IF($Q1284="","",INDEX(상세표[주말·휴일 포함],$Q1284)&amp;"")</f>
        <v/>
      </c>
      <c r="P1284">
        <f>IF($Q1284="","",INDEX(상세표[월 넘김 포함],$Q1284)&amp;"")</f>
        <v/>
      </c>
      <c r="Q1284" s="4">
        <f>IFERROR(MATCH(1279,상세표[연속순번],0),"")</f>
        <v/>
      </c>
    </row>
    <row r="1285">
      <c r="A1285">
        <f>IF($Q1285="","",INDEX(상세표[부서],$Q1285)&amp;"")</f>
        <v/>
      </c>
      <c r="B1285">
        <f>IF($Q1285="","",INDEX(상세표[사번],$Q1285)&amp;"")</f>
        <v/>
      </c>
      <c r="C1285">
        <f>IF($Q1285="","",INDEX(상세표[성명],$Q1285)&amp;"")</f>
        <v/>
      </c>
      <c r="D1285">
        <f>IF($Q1285="","",INDEX(상세표[직위],$Q1285)&amp;"")</f>
        <v/>
      </c>
      <c r="E1285">
        <f>IF($Q1285="","",IF(ISNUMBER(INDEX(상세표[근무일자],$Q1285)),TEXT(INDEX(상세표[근무일자],$Q1285),"yyyy-mm-dd"),INDEX(상세표[근무일자],$Q1285)&amp;""))</f>
        <v/>
      </c>
      <c r="F1285">
        <f>IF($Q1285="","",IF(ISNUMBER(INDEX(상세표[시작],$Q1285)),TEXT(INDEX(상세표[시작],$Q1285),"yyyy-mm-dd hh:mm"),INDEX(상세표[시작],$Q1285)&amp;""))</f>
        <v/>
      </c>
      <c r="G1285">
        <f>IF($Q1285="","",IF(ISNUMBER(INDEX(상세표[블록종료],$Q1285)),TEXT(INDEX(상세표[블록종료],$Q1285),"yyyy-mm-dd hh:mm"),INDEX(상세표[블록종료],$Q1285)&amp;""))</f>
        <v/>
      </c>
      <c r="H1285">
        <f>IF($Q1285="","",CHOOSE(WEEKDAY(INDEX(상세표[시작],$Q1285)),"일","월","화","수","목","금","토"))</f>
        <v/>
      </c>
      <c r="I1285" s="20">
        <f>IF($Q1285="","",INDEX(상세표[연속 시간],$Q1285))</f>
        <v/>
      </c>
      <c r="J1285">
        <f>IF($Q1285="","",INDEX(상세표[기록 수],$Q1285))</f>
        <v/>
      </c>
      <c r="K1285" s="20">
        <f>IF($Q1285="","",INDEX(상세표[블록 06~07시],$Q1285))</f>
        <v/>
      </c>
      <c r="L1285" s="20">
        <f>IF($Q1285="","",INDEX(상세표[블록 07~18시],$Q1285))</f>
        <v/>
      </c>
      <c r="M1285" s="20">
        <f>IF($Q1285="","",INDEX(상세표[블록 18~22시],$Q1285))</f>
        <v/>
      </c>
      <c r="N1285" s="20">
        <f>IF($Q1285="","",INDEX(상세표[블록 22~06시],$Q1285))</f>
        <v/>
      </c>
      <c r="O1285">
        <f>IF($Q1285="","",INDEX(상세표[주말·휴일 포함],$Q1285)&amp;"")</f>
        <v/>
      </c>
      <c r="P1285">
        <f>IF($Q1285="","",INDEX(상세표[월 넘김 포함],$Q1285)&amp;"")</f>
        <v/>
      </c>
      <c r="Q1285" s="4">
        <f>IFERROR(MATCH(1280,상세표[연속순번],0),"")</f>
        <v/>
      </c>
    </row>
    <row r="1286">
      <c r="A1286">
        <f>IF($Q1286="","",INDEX(상세표[부서],$Q1286)&amp;"")</f>
        <v/>
      </c>
      <c r="B1286">
        <f>IF($Q1286="","",INDEX(상세표[사번],$Q1286)&amp;"")</f>
        <v/>
      </c>
      <c r="C1286">
        <f>IF($Q1286="","",INDEX(상세표[성명],$Q1286)&amp;"")</f>
        <v/>
      </c>
      <c r="D1286">
        <f>IF($Q1286="","",INDEX(상세표[직위],$Q1286)&amp;"")</f>
        <v/>
      </c>
      <c r="E1286">
        <f>IF($Q1286="","",IF(ISNUMBER(INDEX(상세표[근무일자],$Q1286)),TEXT(INDEX(상세표[근무일자],$Q1286),"yyyy-mm-dd"),INDEX(상세표[근무일자],$Q1286)&amp;""))</f>
        <v/>
      </c>
      <c r="F1286">
        <f>IF($Q1286="","",IF(ISNUMBER(INDEX(상세표[시작],$Q1286)),TEXT(INDEX(상세표[시작],$Q1286),"yyyy-mm-dd hh:mm"),INDEX(상세표[시작],$Q1286)&amp;""))</f>
        <v/>
      </c>
      <c r="G1286">
        <f>IF($Q1286="","",IF(ISNUMBER(INDEX(상세표[블록종료],$Q1286)),TEXT(INDEX(상세표[블록종료],$Q1286),"yyyy-mm-dd hh:mm"),INDEX(상세표[블록종료],$Q1286)&amp;""))</f>
        <v/>
      </c>
      <c r="H1286">
        <f>IF($Q1286="","",CHOOSE(WEEKDAY(INDEX(상세표[시작],$Q1286)),"일","월","화","수","목","금","토"))</f>
        <v/>
      </c>
      <c r="I1286" s="20">
        <f>IF($Q1286="","",INDEX(상세표[연속 시간],$Q1286))</f>
        <v/>
      </c>
      <c r="J1286">
        <f>IF($Q1286="","",INDEX(상세표[기록 수],$Q1286))</f>
        <v/>
      </c>
      <c r="K1286" s="20">
        <f>IF($Q1286="","",INDEX(상세표[블록 06~07시],$Q1286))</f>
        <v/>
      </c>
      <c r="L1286" s="20">
        <f>IF($Q1286="","",INDEX(상세표[블록 07~18시],$Q1286))</f>
        <v/>
      </c>
      <c r="M1286" s="20">
        <f>IF($Q1286="","",INDEX(상세표[블록 18~22시],$Q1286))</f>
        <v/>
      </c>
      <c r="N1286" s="20">
        <f>IF($Q1286="","",INDEX(상세표[블록 22~06시],$Q1286))</f>
        <v/>
      </c>
      <c r="O1286">
        <f>IF($Q1286="","",INDEX(상세표[주말·휴일 포함],$Q1286)&amp;"")</f>
        <v/>
      </c>
      <c r="P1286">
        <f>IF($Q1286="","",INDEX(상세표[월 넘김 포함],$Q1286)&amp;"")</f>
        <v/>
      </c>
      <c r="Q1286" s="4">
        <f>IFERROR(MATCH(1281,상세표[연속순번],0),"")</f>
        <v/>
      </c>
    </row>
    <row r="1287">
      <c r="A1287">
        <f>IF($Q1287="","",INDEX(상세표[부서],$Q1287)&amp;"")</f>
        <v/>
      </c>
      <c r="B1287">
        <f>IF($Q1287="","",INDEX(상세표[사번],$Q1287)&amp;"")</f>
        <v/>
      </c>
      <c r="C1287">
        <f>IF($Q1287="","",INDEX(상세표[성명],$Q1287)&amp;"")</f>
        <v/>
      </c>
      <c r="D1287">
        <f>IF($Q1287="","",INDEX(상세표[직위],$Q1287)&amp;"")</f>
        <v/>
      </c>
      <c r="E1287">
        <f>IF($Q1287="","",IF(ISNUMBER(INDEX(상세표[근무일자],$Q1287)),TEXT(INDEX(상세표[근무일자],$Q1287),"yyyy-mm-dd"),INDEX(상세표[근무일자],$Q1287)&amp;""))</f>
        <v/>
      </c>
      <c r="F1287">
        <f>IF($Q1287="","",IF(ISNUMBER(INDEX(상세표[시작],$Q1287)),TEXT(INDEX(상세표[시작],$Q1287),"yyyy-mm-dd hh:mm"),INDEX(상세표[시작],$Q1287)&amp;""))</f>
        <v/>
      </c>
      <c r="G1287">
        <f>IF($Q1287="","",IF(ISNUMBER(INDEX(상세표[블록종료],$Q1287)),TEXT(INDEX(상세표[블록종료],$Q1287),"yyyy-mm-dd hh:mm"),INDEX(상세표[블록종료],$Q1287)&amp;""))</f>
        <v/>
      </c>
      <c r="H1287">
        <f>IF($Q1287="","",CHOOSE(WEEKDAY(INDEX(상세표[시작],$Q1287)),"일","월","화","수","목","금","토"))</f>
        <v/>
      </c>
      <c r="I1287" s="20">
        <f>IF($Q1287="","",INDEX(상세표[연속 시간],$Q1287))</f>
        <v/>
      </c>
      <c r="J1287">
        <f>IF($Q1287="","",INDEX(상세표[기록 수],$Q1287))</f>
        <v/>
      </c>
      <c r="K1287" s="20">
        <f>IF($Q1287="","",INDEX(상세표[블록 06~07시],$Q1287))</f>
        <v/>
      </c>
      <c r="L1287" s="20">
        <f>IF($Q1287="","",INDEX(상세표[블록 07~18시],$Q1287))</f>
        <v/>
      </c>
      <c r="M1287" s="20">
        <f>IF($Q1287="","",INDEX(상세표[블록 18~22시],$Q1287))</f>
        <v/>
      </c>
      <c r="N1287" s="20">
        <f>IF($Q1287="","",INDEX(상세표[블록 22~06시],$Q1287))</f>
        <v/>
      </c>
      <c r="O1287">
        <f>IF($Q1287="","",INDEX(상세표[주말·휴일 포함],$Q1287)&amp;"")</f>
        <v/>
      </c>
      <c r="P1287">
        <f>IF($Q1287="","",INDEX(상세표[월 넘김 포함],$Q1287)&amp;"")</f>
        <v/>
      </c>
      <c r="Q1287" s="4">
        <f>IFERROR(MATCH(1282,상세표[연속순번],0),"")</f>
        <v/>
      </c>
    </row>
    <row r="1288">
      <c r="A1288">
        <f>IF($Q1288="","",INDEX(상세표[부서],$Q1288)&amp;"")</f>
        <v/>
      </c>
      <c r="B1288">
        <f>IF($Q1288="","",INDEX(상세표[사번],$Q1288)&amp;"")</f>
        <v/>
      </c>
      <c r="C1288">
        <f>IF($Q1288="","",INDEX(상세표[성명],$Q1288)&amp;"")</f>
        <v/>
      </c>
      <c r="D1288">
        <f>IF($Q1288="","",INDEX(상세표[직위],$Q1288)&amp;"")</f>
        <v/>
      </c>
      <c r="E1288">
        <f>IF($Q1288="","",IF(ISNUMBER(INDEX(상세표[근무일자],$Q1288)),TEXT(INDEX(상세표[근무일자],$Q1288),"yyyy-mm-dd"),INDEX(상세표[근무일자],$Q1288)&amp;""))</f>
        <v/>
      </c>
      <c r="F1288">
        <f>IF($Q1288="","",IF(ISNUMBER(INDEX(상세표[시작],$Q1288)),TEXT(INDEX(상세표[시작],$Q1288),"yyyy-mm-dd hh:mm"),INDEX(상세표[시작],$Q1288)&amp;""))</f>
        <v/>
      </c>
      <c r="G1288">
        <f>IF($Q1288="","",IF(ISNUMBER(INDEX(상세표[블록종료],$Q1288)),TEXT(INDEX(상세표[블록종료],$Q1288),"yyyy-mm-dd hh:mm"),INDEX(상세표[블록종료],$Q1288)&amp;""))</f>
        <v/>
      </c>
      <c r="H1288">
        <f>IF($Q1288="","",CHOOSE(WEEKDAY(INDEX(상세표[시작],$Q1288)),"일","월","화","수","목","금","토"))</f>
        <v/>
      </c>
      <c r="I1288" s="20">
        <f>IF($Q1288="","",INDEX(상세표[연속 시간],$Q1288))</f>
        <v/>
      </c>
      <c r="J1288">
        <f>IF($Q1288="","",INDEX(상세표[기록 수],$Q1288))</f>
        <v/>
      </c>
      <c r="K1288" s="20">
        <f>IF($Q1288="","",INDEX(상세표[블록 06~07시],$Q1288))</f>
        <v/>
      </c>
      <c r="L1288" s="20">
        <f>IF($Q1288="","",INDEX(상세표[블록 07~18시],$Q1288))</f>
        <v/>
      </c>
      <c r="M1288" s="20">
        <f>IF($Q1288="","",INDEX(상세표[블록 18~22시],$Q1288))</f>
        <v/>
      </c>
      <c r="N1288" s="20">
        <f>IF($Q1288="","",INDEX(상세표[블록 22~06시],$Q1288))</f>
        <v/>
      </c>
      <c r="O1288">
        <f>IF($Q1288="","",INDEX(상세표[주말·휴일 포함],$Q1288)&amp;"")</f>
        <v/>
      </c>
      <c r="P1288">
        <f>IF($Q1288="","",INDEX(상세표[월 넘김 포함],$Q1288)&amp;"")</f>
        <v/>
      </c>
      <c r="Q1288" s="4">
        <f>IFERROR(MATCH(1283,상세표[연속순번],0),"")</f>
        <v/>
      </c>
    </row>
    <row r="1289">
      <c r="A1289">
        <f>IF($Q1289="","",INDEX(상세표[부서],$Q1289)&amp;"")</f>
        <v/>
      </c>
      <c r="B1289">
        <f>IF($Q1289="","",INDEX(상세표[사번],$Q1289)&amp;"")</f>
        <v/>
      </c>
      <c r="C1289">
        <f>IF($Q1289="","",INDEX(상세표[성명],$Q1289)&amp;"")</f>
        <v/>
      </c>
      <c r="D1289">
        <f>IF($Q1289="","",INDEX(상세표[직위],$Q1289)&amp;"")</f>
        <v/>
      </c>
      <c r="E1289">
        <f>IF($Q1289="","",IF(ISNUMBER(INDEX(상세표[근무일자],$Q1289)),TEXT(INDEX(상세표[근무일자],$Q1289),"yyyy-mm-dd"),INDEX(상세표[근무일자],$Q1289)&amp;""))</f>
        <v/>
      </c>
      <c r="F1289">
        <f>IF($Q1289="","",IF(ISNUMBER(INDEX(상세표[시작],$Q1289)),TEXT(INDEX(상세표[시작],$Q1289),"yyyy-mm-dd hh:mm"),INDEX(상세표[시작],$Q1289)&amp;""))</f>
        <v/>
      </c>
      <c r="G1289">
        <f>IF($Q1289="","",IF(ISNUMBER(INDEX(상세표[블록종료],$Q1289)),TEXT(INDEX(상세표[블록종료],$Q1289),"yyyy-mm-dd hh:mm"),INDEX(상세표[블록종료],$Q1289)&amp;""))</f>
        <v/>
      </c>
      <c r="H1289">
        <f>IF($Q1289="","",CHOOSE(WEEKDAY(INDEX(상세표[시작],$Q1289)),"일","월","화","수","목","금","토"))</f>
        <v/>
      </c>
      <c r="I1289" s="20">
        <f>IF($Q1289="","",INDEX(상세표[연속 시간],$Q1289))</f>
        <v/>
      </c>
      <c r="J1289">
        <f>IF($Q1289="","",INDEX(상세표[기록 수],$Q1289))</f>
        <v/>
      </c>
      <c r="K1289" s="20">
        <f>IF($Q1289="","",INDEX(상세표[블록 06~07시],$Q1289))</f>
        <v/>
      </c>
      <c r="L1289" s="20">
        <f>IF($Q1289="","",INDEX(상세표[블록 07~18시],$Q1289))</f>
        <v/>
      </c>
      <c r="M1289" s="20">
        <f>IF($Q1289="","",INDEX(상세표[블록 18~22시],$Q1289))</f>
        <v/>
      </c>
      <c r="N1289" s="20">
        <f>IF($Q1289="","",INDEX(상세표[블록 22~06시],$Q1289))</f>
        <v/>
      </c>
      <c r="O1289">
        <f>IF($Q1289="","",INDEX(상세표[주말·휴일 포함],$Q1289)&amp;"")</f>
        <v/>
      </c>
      <c r="P1289">
        <f>IF($Q1289="","",INDEX(상세표[월 넘김 포함],$Q1289)&amp;"")</f>
        <v/>
      </c>
      <c r="Q1289" s="4">
        <f>IFERROR(MATCH(1284,상세표[연속순번],0),"")</f>
        <v/>
      </c>
    </row>
    <row r="1290">
      <c r="A1290">
        <f>IF($Q1290="","",INDEX(상세표[부서],$Q1290)&amp;"")</f>
        <v/>
      </c>
      <c r="B1290">
        <f>IF($Q1290="","",INDEX(상세표[사번],$Q1290)&amp;"")</f>
        <v/>
      </c>
      <c r="C1290">
        <f>IF($Q1290="","",INDEX(상세표[성명],$Q1290)&amp;"")</f>
        <v/>
      </c>
      <c r="D1290">
        <f>IF($Q1290="","",INDEX(상세표[직위],$Q1290)&amp;"")</f>
        <v/>
      </c>
      <c r="E1290">
        <f>IF($Q1290="","",IF(ISNUMBER(INDEX(상세표[근무일자],$Q1290)),TEXT(INDEX(상세표[근무일자],$Q1290),"yyyy-mm-dd"),INDEX(상세표[근무일자],$Q1290)&amp;""))</f>
        <v/>
      </c>
      <c r="F1290">
        <f>IF($Q1290="","",IF(ISNUMBER(INDEX(상세표[시작],$Q1290)),TEXT(INDEX(상세표[시작],$Q1290),"yyyy-mm-dd hh:mm"),INDEX(상세표[시작],$Q1290)&amp;""))</f>
        <v/>
      </c>
      <c r="G1290">
        <f>IF($Q1290="","",IF(ISNUMBER(INDEX(상세표[블록종료],$Q1290)),TEXT(INDEX(상세표[블록종료],$Q1290),"yyyy-mm-dd hh:mm"),INDEX(상세표[블록종료],$Q1290)&amp;""))</f>
        <v/>
      </c>
      <c r="H1290">
        <f>IF($Q1290="","",CHOOSE(WEEKDAY(INDEX(상세표[시작],$Q1290)),"일","월","화","수","목","금","토"))</f>
        <v/>
      </c>
      <c r="I1290" s="20">
        <f>IF($Q1290="","",INDEX(상세표[연속 시간],$Q1290))</f>
        <v/>
      </c>
      <c r="J1290">
        <f>IF($Q1290="","",INDEX(상세표[기록 수],$Q1290))</f>
        <v/>
      </c>
      <c r="K1290" s="20">
        <f>IF($Q1290="","",INDEX(상세표[블록 06~07시],$Q1290))</f>
        <v/>
      </c>
      <c r="L1290" s="20">
        <f>IF($Q1290="","",INDEX(상세표[블록 07~18시],$Q1290))</f>
        <v/>
      </c>
      <c r="M1290" s="20">
        <f>IF($Q1290="","",INDEX(상세표[블록 18~22시],$Q1290))</f>
        <v/>
      </c>
      <c r="N1290" s="20">
        <f>IF($Q1290="","",INDEX(상세표[블록 22~06시],$Q1290))</f>
        <v/>
      </c>
      <c r="O1290">
        <f>IF($Q1290="","",INDEX(상세표[주말·휴일 포함],$Q1290)&amp;"")</f>
        <v/>
      </c>
      <c r="P1290">
        <f>IF($Q1290="","",INDEX(상세표[월 넘김 포함],$Q1290)&amp;"")</f>
        <v/>
      </c>
      <c r="Q1290" s="4">
        <f>IFERROR(MATCH(1285,상세표[연속순번],0),"")</f>
        <v/>
      </c>
    </row>
    <row r="1291">
      <c r="A1291">
        <f>IF($Q1291="","",INDEX(상세표[부서],$Q1291)&amp;"")</f>
        <v/>
      </c>
      <c r="B1291">
        <f>IF($Q1291="","",INDEX(상세표[사번],$Q1291)&amp;"")</f>
        <v/>
      </c>
      <c r="C1291">
        <f>IF($Q1291="","",INDEX(상세표[성명],$Q1291)&amp;"")</f>
        <v/>
      </c>
      <c r="D1291">
        <f>IF($Q1291="","",INDEX(상세표[직위],$Q1291)&amp;"")</f>
        <v/>
      </c>
      <c r="E1291">
        <f>IF($Q1291="","",IF(ISNUMBER(INDEX(상세표[근무일자],$Q1291)),TEXT(INDEX(상세표[근무일자],$Q1291),"yyyy-mm-dd"),INDEX(상세표[근무일자],$Q1291)&amp;""))</f>
        <v/>
      </c>
      <c r="F1291">
        <f>IF($Q1291="","",IF(ISNUMBER(INDEX(상세표[시작],$Q1291)),TEXT(INDEX(상세표[시작],$Q1291),"yyyy-mm-dd hh:mm"),INDEX(상세표[시작],$Q1291)&amp;""))</f>
        <v/>
      </c>
      <c r="G1291">
        <f>IF($Q1291="","",IF(ISNUMBER(INDEX(상세표[블록종료],$Q1291)),TEXT(INDEX(상세표[블록종료],$Q1291),"yyyy-mm-dd hh:mm"),INDEX(상세표[블록종료],$Q1291)&amp;""))</f>
        <v/>
      </c>
      <c r="H1291">
        <f>IF($Q1291="","",CHOOSE(WEEKDAY(INDEX(상세표[시작],$Q1291)),"일","월","화","수","목","금","토"))</f>
        <v/>
      </c>
      <c r="I1291" s="20">
        <f>IF($Q1291="","",INDEX(상세표[연속 시간],$Q1291))</f>
        <v/>
      </c>
      <c r="J1291">
        <f>IF($Q1291="","",INDEX(상세표[기록 수],$Q1291))</f>
        <v/>
      </c>
      <c r="K1291" s="20">
        <f>IF($Q1291="","",INDEX(상세표[블록 06~07시],$Q1291))</f>
        <v/>
      </c>
      <c r="L1291" s="20">
        <f>IF($Q1291="","",INDEX(상세표[블록 07~18시],$Q1291))</f>
        <v/>
      </c>
      <c r="M1291" s="20">
        <f>IF($Q1291="","",INDEX(상세표[블록 18~22시],$Q1291))</f>
        <v/>
      </c>
      <c r="N1291" s="20">
        <f>IF($Q1291="","",INDEX(상세표[블록 22~06시],$Q1291))</f>
        <v/>
      </c>
      <c r="O1291">
        <f>IF($Q1291="","",INDEX(상세표[주말·휴일 포함],$Q1291)&amp;"")</f>
        <v/>
      </c>
      <c r="P1291">
        <f>IF($Q1291="","",INDEX(상세표[월 넘김 포함],$Q1291)&amp;"")</f>
        <v/>
      </c>
      <c r="Q1291" s="4">
        <f>IFERROR(MATCH(1286,상세표[연속순번],0),"")</f>
        <v/>
      </c>
    </row>
    <row r="1292">
      <c r="A1292">
        <f>IF($Q1292="","",INDEX(상세표[부서],$Q1292)&amp;"")</f>
        <v/>
      </c>
      <c r="B1292">
        <f>IF($Q1292="","",INDEX(상세표[사번],$Q1292)&amp;"")</f>
        <v/>
      </c>
      <c r="C1292">
        <f>IF($Q1292="","",INDEX(상세표[성명],$Q1292)&amp;"")</f>
        <v/>
      </c>
      <c r="D1292">
        <f>IF($Q1292="","",INDEX(상세표[직위],$Q1292)&amp;"")</f>
        <v/>
      </c>
      <c r="E1292">
        <f>IF($Q1292="","",IF(ISNUMBER(INDEX(상세표[근무일자],$Q1292)),TEXT(INDEX(상세표[근무일자],$Q1292),"yyyy-mm-dd"),INDEX(상세표[근무일자],$Q1292)&amp;""))</f>
        <v/>
      </c>
      <c r="F1292">
        <f>IF($Q1292="","",IF(ISNUMBER(INDEX(상세표[시작],$Q1292)),TEXT(INDEX(상세표[시작],$Q1292),"yyyy-mm-dd hh:mm"),INDEX(상세표[시작],$Q1292)&amp;""))</f>
        <v/>
      </c>
      <c r="G1292">
        <f>IF($Q1292="","",IF(ISNUMBER(INDEX(상세표[블록종료],$Q1292)),TEXT(INDEX(상세표[블록종료],$Q1292),"yyyy-mm-dd hh:mm"),INDEX(상세표[블록종료],$Q1292)&amp;""))</f>
        <v/>
      </c>
      <c r="H1292">
        <f>IF($Q1292="","",CHOOSE(WEEKDAY(INDEX(상세표[시작],$Q1292)),"일","월","화","수","목","금","토"))</f>
        <v/>
      </c>
      <c r="I1292" s="20">
        <f>IF($Q1292="","",INDEX(상세표[연속 시간],$Q1292))</f>
        <v/>
      </c>
      <c r="J1292">
        <f>IF($Q1292="","",INDEX(상세표[기록 수],$Q1292))</f>
        <v/>
      </c>
      <c r="K1292" s="20">
        <f>IF($Q1292="","",INDEX(상세표[블록 06~07시],$Q1292))</f>
        <v/>
      </c>
      <c r="L1292" s="20">
        <f>IF($Q1292="","",INDEX(상세표[블록 07~18시],$Q1292))</f>
        <v/>
      </c>
      <c r="M1292" s="20">
        <f>IF($Q1292="","",INDEX(상세표[블록 18~22시],$Q1292))</f>
        <v/>
      </c>
      <c r="N1292" s="20">
        <f>IF($Q1292="","",INDEX(상세표[블록 22~06시],$Q1292))</f>
        <v/>
      </c>
      <c r="O1292">
        <f>IF($Q1292="","",INDEX(상세표[주말·휴일 포함],$Q1292)&amp;"")</f>
        <v/>
      </c>
      <c r="P1292">
        <f>IF($Q1292="","",INDEX(상세표[월 넘김 포함],$Q1292)&amp;"")</f>
        <v/>
      </c>
      <c r="Q1292" s="4">
        <f>IFERROR(MATCH(1287,상세표[연속순번],0),"")</f>
        <v/>
      </c>
    </row>
    <row r="1293">
      <c r="A1293">
        <f>IF($Q1293="","",INDEX(상세표[부서],$Q1293)&amp;"")</f>
        <v/>
      </c>
      <c r="B1293">
        <f>IF($Q1293="","",INDEX(상세표[사번],$Q1293)&amp;"")</f>
        <v/>
      </c>
      <c r="C1293">
        <f>IF($Q1293="","",INDEX(상세표[성명],$Q1293)&amp;"")</f>
        <v/>
      </c>
      <c r="D1293">
        <f>IF($Q1293="","",INDEX(상세표[직위],$Q1293)&amp;"")</f>
        <v/>
      </c>
      <c r="E1293">
        <f>IF($Q1293="","",IF(ISNUMBER(INDEX(상세표[근무일자],$Q1293)),TEXT(INDEX(상세표[근무일자],$Q1293),"yyyy-mm-dd"),INDEX(상세표[근무일자],$Q1293)&amp;""))</f>
        <v/>
      </c>
      <c r="F1293">
        <f>IF($Q1293="","",IF(ISNUMBER(INDEX(상세표[시작],$Q1293)),TEXT(INDEX(상세표[시작],$Q1293),"yyyy-mm-dd hh:mm"),INDEX(상세표[시작],$Q1293)&amp;""))</f>
        <v/>
      </c>
      <c r="G1293">
        <f>IF($Q1293="","",IF(ISNUMBER(INDEX(상세표[블록종료],$Q1293)),TEXT(INDEX(상세표[블록종료],$Q1293),"yyyy-mm-dd hh:mm"),INDEX(상세표[블록종료],$Q1293)&amp;""))</f>
        <v/>
      </c>
      <c r="H1293">
        <f>IF($Q1293="","",CHOOSE(WEEKDAY(INDEX(상세표[시작],$Q1293)),"일","월","화","수","목","금","토"))</f>
        <v/>
      </c>
      <c r="I1293" s="20">
        <f>IF($Q1293="","",INDEX(상세표[연속 시간],$Q1293))</f>
        <v/>
      </c>
      <c r="J1293">
        <f>IF($Q1293="","",INDEX(상세표[기록 수],$Q1293))</f>
        <v/>
      </c>
      <c r="K1293" s="20">
        <f>IF($Q1293="","",INDEX(상세표[블록 06~07시],$Q1293))</f>
        <v/>
      </c>
      <c r="L1293" s="20">
        <f>IF($Q1293="","",INDEX(상세표[블록 07~18시],$Q1293))</f>
        <v/>
      </c>
      <c r="M1293" s="20">
        <f>IF($Q1293="","",INDEX(상세표[블록 18~22시],$Q1293))</f>
        <v/>
      </c>
      <c r="N1293" s="20">
        <f>IF($Q1293="","",INDEX(상세표[블록 22~06시],$Q1293))</f>
        <v/>
      </c>
      <c r="O1293">
        <f>IF($Q1293="","",INDEX(상세표[주말·휴일 포함],$Q1293)&amp;"")</f>
        <v/>
      </c>
      <c r="P1293">
        <f>IF($Q1293="","",INDEX(상세표[월 넘김 포함],$Q1293)&amp;"")</f>
        <v/>
      </c>
      <c r="Q1293" s="4">
        <f>IFERROR(MATCH(1288,상세표[연속순번],0),"")</f>
        <v/>
      </c>
    </row>
    <row r="1294">
      <c r="A1294">
        <f>IF($Q1294="","",INDEX(상세표[부서],$Q1294)&amp;"")</f>
        <v/>
      </c>
      <c r="B1294">
        <f>IF($Q1294="","",INDEX(상세표[사번],$Q1294)&amp;"")</f>
        <v/>
      </c>
      <c r="C1294">
        <f>IF($Q1294="","",INDEX(상세표[성명],$Q1294)&amp;"")</f>
        <v/>
      </c>
      <c r="D1294">
        <f>IF($Q1294="","",INDEX(상세표[직위],$Q1294)&amp;"")</f>
        <v/>
      </c>
      <c r="E1294">
        <f>IF($Q1294="","",IF(ISNUMBER(INDEX(상세표[근무일자],$Q1294)),TEXT(INDEX(상세표[근무일자],$Q1294),"yyyy-mm-dd"),INDEX(상세표[근무일자],$Q1294)&amp;""))</f>
        <v/>
      </c>
      <c r="F1294">
        <f>IF($Q1294="","",IF(ISNUMBER(INDEX(상세표[시작],$Q1294)),TEXT(INDEX(상세표[시작],$Q1294),"yyyy-mm-dd hh:mm"),INDEX(상세표[시작],$Q1294)&amp;""))</f>
        <v/>
      </c>
      <c r="G1294">
        <f>IF($Q1294="","",IF(ISNUMBER(INDEX(상세표[블록종료],$Q1294)),TEXT(INDEX(상세표[블록종료],$Q1294),"yyyy-mm-dd hh:mm"),INDEX(상세표[블록종료],$Q1294)&amp;""))</f>
        <v/>
      </c>
      <c r="H1294">
        <f>IF($Q1294="","",CHOOSE(WEEKDAY(INDEX(상세표[시작],$Q1294)),"일","월","화","수","목","금","토"))</f>
        <v/>
      </c>
      <c r="I1294" s="20">
        <f>IF($Q1294="","",INDEX(상세표[연속 시간],$Q1294))</f>
        <v/>
      </c>
      <c r="J1294">
        <f>IF($Q1294="","",INDEX(상세표[기록 수],$Q1294))</f>
        <v/>
      </c>
      <c r="K1294" s="20">
        <f>IF($Q1294="","",INDEX(상세표[블록 06~07시],$Q1294))</f>
        <v/>
      </c>
      <c r="L1294" s="20">
        <f>IF($Q1294="","",INDEX(상세표[블록 07~18시],$Q1294))</f>
        <v/>
      </c>
      <c r="M1294" s="20">
        <f>IF($Q1294="","",INDEX(상세표[블록 18~22시],$Q1294))</f>
        <v/>
      </c>
      <c r="N1294" s="20">
        <f>IF($Q1294="","",INDEX(상세표[블록 22~06시],$Q1294))</f>
        <v/>
      </c>
      <c r="O1294">
        <f>IF($Q1294="","",INDEX(상세표[주말·휴일 포함],$Q1294)&amp;"")</f>
        <v/>
      </c>
      <c r="P1294">
        <f>IF($Q1294="","",INDEX(상세표[월 넘김 포함],$Q1294)&amp;"")</f>
        <v/>
      </c>
      <c r="Q1294" s="4">
        <f>IFERROR(MATCH(1289,상세표[연속순번],0),"")</f>
        <v/>
      </c>
    </row>
    <row r="1295">
      <c r="A1295">
        <f>IF($Q1295="","",INDEX(상세표[부서],$Q1295)&amp;"")</f>
        <v/>
      </c>
      <c r="B1295">
        <f>IF($Q1295="","",INDEX(상세표[사번],$Q1295)&amp;"")</f>
        <v/>
      </c>
      <c r="C1295">
        <f>IF($Q1295="","",INDEX(상세표[성명],$Q1295)&amp;"")</f>
        <v/>
      </c>
      <c r="D1295">
        <f>IF($Q1295="","",INDEX(상세표[직위],$Q1295)&amp;"")</f>
        <v/>
      </c>
      <c r="E1295">
        <f>IF($Q1295="","",IF(ISNUMBER(INDEX(상세표[근무일자],$Q1295)),TEXT(INDEX(상세표[근무일자],$Q1295),"yyyy-mm-dd"),INDEX(상세표[근무일자],$Q1295)&amp;""))</f>
        <v/>
      </c>
      <c r="F1295">
        <f>IF($Q1295="","",IF(ISNUMBER(INDEX(상세표[시작],$Q1295)),TEXT(INDEX(상세표[시작],$Q1295),"yyyy-mm-dd hh:mm"),INDEX(상세표[시작],$Q1295)&amp;""))</f>
        <v/>
      </c>
      <c r="G1295">
        <f>IF($Q1295="","",IF(ISNUMBER(INDEX(상세표[블록종료],$Q1295)),TEXT(INDEX(상세표[블록종료],$Q1295),"yyyy-mm-dd hh:mm"),INDEX(상세표[블록종료],$Q1295)&amp;""))</f>
        <v/>
      </c>
      <c r="H1295">
        <f>IF($Q1295="","",CHOOSE(WEEKDAY(INDEX(상세표[시작],$Q1295)),"일","월","화","수","목","금","토"))</f>
        <v/>
      </c>
      <c r="I1295" s="20">
        <f>IF($Q1295="","",INDEX(상세표[연속 시간],$Q1295))</f>
        <v/>
      </c>
      <c r="J1295">
        <f>IF($Q1295="","",INDEX(상세표[기록 수],$Q1295))</f>
        <v/>
      </c>
      <c r="K1295" s="20">
        <f>IF($Q1295="","",INDEX(상세표[블록 06~07시],$Q1295))</f>
        <v/>
      </c>
      <c r="L1295" s="20">
        <f>IF($Q1295="","",INDEX(상세표[블록 07~18시],$Q1295))</f>
        <v/>
      </c>
      <c r="M1295" s="20">
        <f>IF($Q1295="","",INDEX(상세표[블록 18~22시],$Q1295))</f>
        <v/>
      </c>
      <c r="N1295" s="20">
        <f>IF($Q1295="","",INDEX(상세표[블록 22~06시],$Q1295))</f>
        <v/>
      </c>
      <c r="O1295">
        <f>IF($Q1295="","",INDEX(상세표[주말·휴일 포함],$Q1295)&amp;"")</f>
        <v/>
      </c>
      <c r="P1295">
        <f>IF($Q1295="","",INDEX(상세표[월 넘김 포함],$Q1295)&amp;"")</f>
        <v/>
      </c>
      <c r="Q1295" s="4">
        <f>IFERROR(MATCH(1290,상세표[연속순번],0),"")</f>
        <v/>
      </c>
    </row>
    <row r="1296">
      <c r="A1296">
        <f>IF($Q1296="","",INDEX(상세표[부서],$Q1296)&amp;"")</f>
        <v/>
      </c>
      <c r="B1296">
        <f>IF($Q1296="","",INDEX(상세표[사번],$Q1296)&amp;"")</f>
        <v/>
      </c>
      <c r="C1296">
        <f>IF($Q1296="","",INDEX(상세표[성명],$Q1296)&amp;"")</f>
        <v/>
      </c>
      <c r="D1296">
        <f>IF($Q1296="","",INDEX(상세표[직위],$Q1296)&amp;"")</f>
        <v/>
      </c>
      <c r="E1296">
        <f>IF($Q1296="","",IF(ISNUMBER(INDEX(상세표[근무일자],$Q1296)),TEXT(INDEX(상세표[근무일자],$Q1296),"yyyy-mm-dd"),INDEX(상세표[근무일자],$Q1296)&amp;""))</f>
        <v/>
      </c>
      <c r="F1296">
        <f>IF($Q1296="","",IF(ISNUMBER(INDEX(상세표[시작],$Q1296)),TEXT(INDEX(상세표[시작],$Q1296),"yyyy-mm-dd hh:mm"),INDEX(상세표[시작],$Q1296)&amp;""))</f>
        <v/>
      </c>
      <c r="G1296">
        <f>IF($Q1296="","",IF(ISNUMBER(INDEX(상세표[블록종료],$Q1296)),TEXT(INDEX(상세표[블록종료],$Q1296),"yyyy-mm-dd hh:mm"),INDEX(상세표[블록종료],$Q1296)&amp;""))</f>
        <v/>
      </c>
      <c r="H1296">
        <f>IF($Q1296="","",CHOOSE(WEEKDAY(INDEX(상세표[시작],$Q1296)),"일","월","화","수","목","금","토"))</f>
        <v/>
      </c>
      <c r="I1296" s="20">
        <f>IF($Q1296="","",INDEX(상세표[연속 시간],$Q1296))</f>
        <v/>
      </c>
      <c r="J1296">
        <f>IF($Q1296="","",INDEX(상세표[기록 수],$Q1296))</f>
        <v/>
      </c>
      <c r="K1296" s="20">
        <f>IF($Q1296="","",INDEX(상세표[블록 06~07시],$Q1296))</f>
        <v/>
      </c>
      <c r="L1296" s="20">
        <f>IF($Q1296="","",INDEX(상세표[블록 07~18시],$Q1296))</f>
        <v/>
      </c>
      <c r="M1296" s="20">
        <f>IF($Q1296="","",INDEX(상세표[블록 18~22시],$Q1296))</f>
        <v/>
      </c>
      <c r="N1296" s="20">
        <f>IF($Q1296="","",INDEX(상세표[블록 22~06시],$Q1296))</f>
        <v/>
      </c>
      <c r="O1296">
        <f>IF($Q1296="","",INDEX(상세표[주말·휴일 포함],$Q1296)&amp;"")</f>
        <v/>
      </c>
      <c r="P1296">
        <f>IF($Q1296="","",INDEX(상세표[월 넘김 포함],$Q1296)&amp;"")</f>
        <v/>
      </c>
      <c r="Q1296" s="4">
        <f>IFERROR(MATCH(1291,상세표[연속순번],0),"")</f>
        <v/>
      </c>
    </row>
    <row r="1297">
      <c r="A1297">
        <f>IF($Q1297="","",INDEX(상세표[부서],$Q1297)&amp;"")</f>
        <v/>
      </c>
      <c r="B1297">
        <f>IF($Q1297="","",INDEX(상세표[사번],$Q1297)&amp;"")</f>
        <v/>
      </c>
      <c r="C1297">
        <f>IF($Q1297="","",INDEX(상세표[성명],$Q1297)&amp;"")</f>
        <v/>
      </c>
      <c r="D1297">
        <f>IF($Q1297="","",INDEX(상세표[직위],$Q1297)&amp;"")</f>
        <v/>
      </c>
      <c r="E1297">
        <f>IF($Q1297="","",IF(ISNUMBER(INDEX(상세표[근무일자],$Q1297)),TEXT(INDEX(상세표[근무일자],$Q1297),"yyyy-mm-dd"),INDEX(상세표[근무일자],$Q1297)&amp;""))</f>
        <v/>
      </c>
      <c r="F1297">
        <f>IF($Q1297="","",IF(ISNUMBER(INDEX(상세표[시작],$Q1297)),TEXT(INDEX(상세표[시작],$Q1297),"yyyy-mm-dd hh:mm"),INDEX(상세표[시작],$Q1297)&amp;""))</f>
        <v/>
      </c>
      <c r="G1297">
        <f>IF($Q1297="","",IF(ISNUMBER(INDEX(상세표[블록종료],$Q1297)),TEXT(INDEX(상세표[블록종료],$Q1297),"yyyy-mm-dd hh:mm"),INDEX(상세표[블록종료],$Q1297)&amp;""))</f>
        <v/>
      </c>
      <c r="H1297">
        <f>IF($Q1297="","",CHOOSE(WEEKDAY(INDEX(상세표[시작],$Q1297)),"일","월","화","수","목","금","토"))</f>
        <v/>
      </c>
      <c r="I1297" s="20">
        <f>IF($Q1297="","",INDEX(상세표[연속 시간],$Q1297))</f>
        <v/>
      </c>
      <c r="J1297">
        <f>IF($Q1297="","",INDEX(상세표[기록 수],$Q1297))</f>
        <v/>
      </c>
      <c r="K1297" s="20">
        <f>IF($Q1297="","",INDEX(상세표[블록 06~07시],$Q1297))</f>
        <v/>
      </c>
      <c r="L1297" s="20">
        <f>IF($Q1297="","",INDEX(상세표[블록 07~18시],$Q1297))</f>
        <v/>
      </c>
      <c r="M1297" s="20">
        <f>IF($Q1297="","",INDEX(상세표[블록 18~22시],$Q1297))</f>
        <v/>
      </c>
      <c r="N1297" s="20">
        <f>IF($Q1297="","",INDEX(상세표[블록 22~06시],$Q1297))</f>
        <v/>
      </c>
      <c r="O1297">
        <f>IF($Q1297="","",INDEX(상세표[주말·휴일 포함],$Q1297)&amp;"")</f>
        <v/>
      </c>
      <c r="P1297">
        <f>IF($Q1297="","",INDEX(상세표[월 넘김 포함],$Q1297)&amp;"")</f>
        <v/>
      </c>
      <c r="Q1297" s="4">
        <f>IFERROR(MATCH(1292,상세표[연속순번],0),"")</f>
        <v/>
      </c>
    </row>
    <row r="1298">
      <c r="A1298">
        <f>IF($Q1298="","",INDEX(상세표[부서],$Q1298)&amp;"")</f>
        <v/>
      </c>
      <c r="B1298">
        <f>IF($Q1298="","",INDEX(상세표[사번],$Q1298)&amp;"")</f>
        <v/>
      </c>
      <c r="C1298">
        <f>IF($Q1298="","",INDEX(상세표[성명],$Q1298)&amp;"")</f>
        <v/>
      </c>
      <c r="D1298">
        <f>IF($Q1298="","",INDEX(상세표[직위],$Q1298)&amp;"")</f>
        <v/>
      </c>
      <c r="E1298">
        <f>IF($Q1298="","",IF(ISNUMBER(INDEX(상세표[근무일자],$Q1298)),TEXT(INDEX(상세표[근무일자],$Q1298),"yyyy-mm-dd"),INDEX(상세표[근무일자],$Q1298)&amp;""))</f>
        <v/>
      </c>
      <c r="F1298">
        <f>IF($Q1298="","",IF(ISNUMBER(INDEX(상세표[시작],$Q1298)),TEXT(INDEX(상세표[시작],$Q1298),"yyyy-mm-dd hh:mm"),INDEX(상세표[시작],$Q1298)&amp;""))</f>
        <v/>
      </c>
      <c r="G1298">
        <f>IF($Q1298="","",IF(ISNUMBER(INDEX(상세표[블록종료],$Q1298)),TEXT(INDEX(상세표[블록종료],$Q1298),"yyyy-mm-dd hh:mm"),INDEX(상세표[블록종료],$Q1298)&amp;""))</f>
        <v/>
      </c>
      <c r="H1298">
        <f>IF($Q1298="","",CHOOSE(WEEKDAY(INDEX(상세표[시작],$Q1298)),"일","월","화","수","목","금","토"))</f>
        <v/>
      </c>
      <c r="I1298" s="20">
        <f>IF($Q1298="","",INDEX(상세표[연속 시간],$Q1298))</f>
        <v/>
      </c>
      <c r="J1298">
        <f>IF($Q1298="","",INDEX(상세표[기록 수],$Q1298))</f>
        <v/>
      </c>
      <c r="K1298" s="20">
        <f>IF($Q1298="","",INDEX(상세표[블록 06~07시],$Q1298))</f>
        <v/>
      </c>
      <c r="L1298" s="20">
        <f>IF($Q1298="","",INDEX(상세표[블록 07~18시],$Q1298))</f>
        <v/>
      </c>
      <c r="M1298" s="20">
        <f>IF($Q1298="","",INDEX(상세표[블록 18~22시],$Q1298))</f>
        <v/>
      </c>
      <c r="N1298" s="20">
        <f>IF($Q1298="","",INDEX(상세표[블록 22~06시],$Q1298))</f>
        <v/>
      </c>
      <c r="O1298">
        <f>IF($Q1298="","",INDEX(상세표[주말·휴일 포함],$Q1298)&amp;"")</f>
        <v/>
      </c>
      <c r="P1298">
        <f>IF($Q1298="","",INDEX(상세표[월 넘김 포함],$Q1298)&amp;"")</f>
        <v/>
      </c>
      <c r="Q1298" s="4">
        <f>IFERROR(MATCH(1293,상세표[연속순번],0),"")</f>
        <v/>
      </c>
    </row>
    <row r="1299">
      <c r="A1299">
        <f>IF($Q1299="","",INDEX(상세표[부서],$Q1299)&amp;"")</f>
        <v/>
      </c>
      <c r="B1299">
        <f>IF($Q1299="","",INDEX(상세표[사번],$Q1299)&amp;"")</f>
        <v/>
      </c>
      <c r="C1299">
        <f>IF($Q1299="","",INDEX(상세표[성명],$Q1299)&amp;"")</f>
        <v/>
      </c>
      <c r="D1299">
        <f>IF($Q1299="","",INDEX(상세표[직위],$Q1299)&amp;"")</f>
        <v/>
      </c>
      <c r="E1299">
        <f>IF($Q1299="","",IF(ISNUMBER(INDEX(상세표[근무일자],$Q1299)),TEXT(INDEX(상세표[근무일자],$Q1299),"yyyy-mm-dd"),INDEX(상세표[근무일자],$Q1299)&amp;""))</f>
        <v/>
      </c>
      <c r="F1299">
        <f>IF($Q1299="","",IF(ISNUMBER(INDEX(상세표[시작],$Q1299)),TEXT(INDEX(상세표[시작],$Q1299),"yyyy-mm-dd hh:mm"),INDEX(상세표[시작],$Q1299)&amp;""))</f>
        <v/>
      </c>
      <c r="G1299">
        <f>IF($Q1299="","",IF(ISNUMBER(INDEX(상세표[블록종료],$Q1299)),TEXT(INDEX(상세표[블록종료],$Q1299),"yyyy-mm-dd hh:mm"),INDEX(상세표[블록종료],$Q1299)&amp;""))</f>
        <v/>
      </c>
      <c r="H1299">
        <f>IF($Q1299="","",CHOOSE(WEEKDAY(INDEX(상세표[시작],$Q1299)),"일","월","화","수","목","금","토"))</f>
        <v/>
      </c>
      <c r="I1299" s="20">
        <f>IF($Q1299="","",INDEX(상세표[연속 시간],$Q1299))</f>
        <v/>
      </c>
      <c r="J1299">
        <f>IF($Q1299="","",INDEX(상세표[기록 수],$Q1299))</f>
        <v/>
      </c>
      <c r="K1299" s="20">
        <f>IF($Q1299="","",INDEX(상세표[블록 06~07시],$Q1299))</f>
        <v/>
      </c>
      <c r="L1299" s="20">
        <f>IF($Q1299="","",INDEX(상세표[블록 07~18시],$Q1299))</f>
        <v/>
      </c>
      <c r="M1299" s="20">
        <f>IF($Q1299="","",INDEX(상세표[블록 18~22시],$Q1299))</f>
        <v/>
      </c>
      <c r="N1299" s="20">
        <f>IF($Q1299="","",INDEX(상세표[블록 22~06시],$Q1299))</f>
        <v/>
      </c>
      <c r="O1299">
        <f>IF($Q1299="","",INDEX(상세표[주말·휴일 포함],$Q1299)&amp;"")</f>
        <v/>
      </c>
      <c r="P1299">
        <f>IF($Q1299="","",INDEX(상세표[월 넘김 포함],$Q1299)&amp;"")</f>
        <v/>
      </c>
      <c r="Q1299" s="4">
        <f>IFERROR(MATCH(1294,상세표[연속순번],0),"")</f>
        <v/>
      </c>
    </row>
    <row r="1300">
      <c r="A1300">
        <f>IF($Q1300="","",INDEX(상세표[부서],$Q1300)&amp;"")</f>
        <v/>
      </c>
      <c r="B1300">
        <f>IF($Q1300="","",INDEX(상세표[사번],$Q1300)&amp;"")</f>
        <v/>
      </c>
      <c r="C1300">
        <f>IF($Q1300="","",INDEX(상세표[성명],$Q1300)&amp;"")</f>
        <v/>
      </c>
      <c r="D1300">
        <f>IF($Q1300="","",INDEX(상세표[직위],$Q1300)&amp;"")</f>
        <v/>
      </c>
      <c r="E1300">
        <f>IF($Q1300="","",IF(ISNUMBER(INDEX(상세표[근무일자],$Q1300)),TEXT(INDEX(상세표[근무일자],$Q1300),"yyyy-mm-dd"),INDEX(상세표[근무일자],$Q1300)&amp;""))</f>
        <v/>
      </c>
      <c r="F1300">
        <f>IF($Q1300="","",IF(ISNUMBER(INDEX(상세표[시작],$Q1300)),TEXT(INDEX(상세표[시작],$Q1300),"yyyy-mm-dd hh:mm"),INDEX(상세표[시작],$Q1300)&amp;""))</f>
        <v/>
      </c>
      <c r="G1300">
        <f>IF($Q1300="","",IF(ISNUMBER(INDEX(상세표[블록종료],$Q1300)),TEXT(INDEX(상세표[블록종료],$Q1300),"yyyy-mm-dd hh:mm"),INDEX(상세표[블록종료],$Q1300)&amp;""))</f>
        <v/>
      </c>
      <c r="H1300">
        <f>IF($Q1300="","",CHOOSE(WEEKDAY(INDEX(상세표[시작],$Q1300)),"일","월","화","수","목","금","토"))</f>
        <v/>
      </c>
      <c r="I1300" s="20">
        <f>IF($Q1300="","",INDEX(상세표[연속 시간],$Q1300))</f>
        <v/>
      </c>
      <c r="J1300">
        <f>IF($Q1300="","",INDEX(상세표[기록 수],$Q1300))</f>
        <v/>
      </c>
      <c r="K1300" s="20">
        <f>IF($Q1300="","",INDEX(상세표[블록 06~07시],$Q1300))</f>
        <v/>
      </c>
      <c r="L1300" s="20">
        <f>IF($Q1300="","",INDEX(상세표[블록 07~18시],$Q1300))</f>
        <v/>
      </c>
      <c r="M1300" s="20">
        <f>IF($Q1300="","",INDEX(상세표[블록 18~22시],$Q1300))</f>
        <v/>
      </c>
      <c r="N1300" s="20">
        <f>IF($Q1300="","",INDEX(상세표[블록 22~06시],$Q1300))</f>
        <v/>
      </c>
      <c r="O1300">
        <f>IF($Q1300="","",INDEX(상세표[주말·휴일 포함],$Q1300)&amp;"")</f>
        <v/>
      </c>
      <c r="P1300">
        <f>IF($Q1300="","",INDEX(상세표[월 넘김 포함],$Q1300)&amp;"")</f>
        <v/>
      </c>
      <c r="Q1300" s="4">
        <f>IFERROR(MATCH(1295,상세표[연속순번],0),"")</f>
        <v/>
      </c>
    </row>
    <row r="1301">
      <c r="A1301">
        <f>IF($Q1301="","",INDEX(상세표[부서],$Q1301)&amp;"")</f>
        <v/>
      </c>
      <c r="B1301">
        <f>IF($Q1301="","",INDEX(상세표[사번],$Q1301)&amp;"")</f>
        <v/>
      </c>
      <c r="C1301">
        <f>IF($Q1301="","",INDEX(상세표[성명],$Q1301)&amp;"")</f>
        <v/>
      </c>
      <c r="D1301">
        <f>IF($Q1301="","",INDEX(상세표[직위],$Q1301)&amp;"")</f>
        <v/>
      </c>
      <c r="E1301">
        <f>IF($Q1301="","",IF(ISNUMBER(INDEX(상세표[근무일자],$Q1301)),TEXT(INDEX(상세표[근무일자],$Q1301),"yyyy-mm-dd"),INDEX(상세표[근무일자],$Q1301)&amp;""))</f>
        <v/>
      </c>
      <c r="F1301">
        <f>IF($Q1301="","",IF(ISNUMBER(INDEX(상세표[시작],$Q1301)),TEXT(INDEX(상세표[시작],$Q1301),"yyyy-mm-dd hh:mm"),INDEX(상세표[시작],$Q1301)&amp;""))</f>
        <v/>
      </c>
      <c r="G1301">
        <f>IF($Q1301="","",IF(ISNUMBER(INDEX(상세표[블록종료],$Q1301)),TEXT(INDEX(상세표[블록종료],$Q1301),"yyyy-mm-dd hh:mm"),INDEX(상세표[블록종료],$Q1301)&amp;""))</f>
        <v/>
      </c>
      <c r="H1301">
        <f>IF($Q1301="","",CHOOSE(WEEKDAY(INDEX(상세표[시작],$Q1301)),"일","월","화","수","목","금","토"))</f>
        <v/>
      </c>
      <c r="I1301" s="20">
        <f>IF($Q1301="","",INDEX(상세표[연속 시간],$Q1301))</f>
        <v/>
      </c>
      <c r="J1301">
        <f>IF($Q1301="","",INDEX(상세표[기록 수],$Q1301))</f>
        <v/>
      </c>
      <c r="K1301" s="20">
        <f>IF($Q1301="","",INDEX(상세표[블록 06~07시],$Q1301))</f>
        <v/>
      </c>
      <c r="L1301" s="20">
        <f>IF($Q1301="","",INDEX(상세표[블록 07~18시],$Q1301))</f>
        <v/>
      </c>
      <c r="M1301" s="20">
        <f>IF($Q1301="","",INDEX(상세표[블록 18~22시],$Q1301))</f>
        <v/>
      </c>
      <c r="N1301" s="20">
        <f>IF($Q1301="","",INDEX(상세표[블록 22~06시],$Q1301))</f>
        <v/>
      </c>
      <c r="O1301">
        <f>IF($Q1301="","",INDEX(상세표[주말·휴일 포함],$Q1301)&amp;"")</f>
        <v/>
      </c>
      <c r="P1301">
        <f>IF($Q1301="","",INDEX(상세표[월 넘김 포함],$Q1301)&amp;"")</f>
        <v/>
      </c>
      <c r="Q1301" s="4">
        <f>IFERROR(MATCH(1296,상세표[연속순번],0),"")</f>
        <v/>
      </c>
    </row>
    <row r="1302">
      <c r="A1302">
        <f>IF($Q1302="","",INDEX(상세표[부서],$Q1302)&amp;"")</f>
        <v/>
      </c>
      <c r="B1302">
        <f>IF($Q1302="","",INDEX(상세표[사번],$Q1302)&amp;"")</f>
        <v/>
      </c>
      <c r="C1302">
        <f>IF($Q1302="","",INDEX(상세표[성명],$Q1302)&amp;"")</f>
        <v/>
      </c>
      <c r="D1302">
        <f>IF($Q1302="","",INDEX(상세표[직위],$Q1302)&amp;"")</f>
        <v/>
      </c>
      <c r="E1302">
        <f>IF($Q1302="","",IF(ISNUMBER(INDEX(상세표[근무일자],$Q1302)),TEXT(INDEX(상세표[근무일자],$Q1302),"yyyy-mm-dd"),INDEX(상세표[근무일자],$Q1302)&amp;""))</f>
        <v/>
      </c>
      <c r="F1302">
        <f>IF($Q1302="","",IF(ISNUMBER(INDEX(상세표[시작],$Q1302)),TEXT(INDEX(상세표[시작],$Q1302),"yyyy-mm-dd hh:mm"),INDEX(상세표[시작],$Q1302)&amp;""))</f>
        <v/>
      </c>
      <c r="G1302">
        <f>IF($Q1302="","",IF(ISNUMBER(INDEX(상세표[블록종료],$Q1302)),TEXT(INDEX(상세표[블록종료],$Q1302),"yyyy-mm-dd hh:mm"),INDEX(상세표[블록종료],$Q1302)&amp;""))</f>
        <v/>
      </c>
      <c r="H1302">
        <f>IF($Q1302="","",CHOOSE(WEEKDAY(INDEX(상세표[시작],$Q1302)),"일","월","화","수","목","금","토"))</f>
        <v/>
      </c>
      <c r="I1302" s="20">
        <f>IF($Q1302="","",INDEX(상세표[연속 시간],$Q1302))</f>
        <v/>
      </c>
      <c r="J1302">
        <f>IF($Q1302="","",INDEX(상세표[기록 수],$Q1302))</f>
        <v/>
      </c>
      <c r="K1302" s="20">
        <f>IF($Q1302="","",INDEX(상세표[블록 06~07시],$Q1302))</f>
        <v/>
      </c>
      <c r="L1302" s="20">
        <f>IF($Q1302="","",INDEX(상세표[블록 07~18시],$Q1302))</f>
        <v/>
      </c>
      <c r="M1302" s="20">
        <f>IF($Q1302="","",INDEX(상세표[블록 18~22시],$Q1302))</f>
        <v/>
      </c>
      <c r="N1302" s="20">
        <f>IF($Q1302="","",INDEX(상세표[블록 22~06시],$Q1302))</f>
        <v/>
      </c>
      <c r="O1302">
        <f>IF($Q1302="","",INDEX(상세표[주말·휴일 포함],$Q1302)&amp;"")</f>
        <v/>
      </c>
      <c r="P1302">
        <f>IF($Q1302="","",INDEX(상세표[월 넘김 포함],$Q1302)&amp;"")</f>
        <v/>
      </c>
      <c r="Q1302" s="4">
        <f>IFERROR(MATCH(1297,상세표[연속순번],0),"")</f>
        <v/>
      </c>
    </row>
    <row r="1303">
      <c r="A1303">
        <f>IF($Q1303="","",INDEX(상세표[부서],$Q1303)&amp;"")</f>
        <v/>
      </c>
      <c r="B1303">
        <f>IF($Q1303="","",INDEX(상세표[사번],$Q1303)&amp;"")</f>
        <v/>
      </c>
      <c r="C1303">
        <f>IF($Q1303="","",INDEX(상세표[성명],$Q1303)&amp;"")</f>
        <v/>
      </c>
      <c r="D1303">
        <f>IF($Q1303="","",INDEX(상세표[직위],$Q1303)&amp;"")</f>
        <v/>
      </c>
      <c r="E1303">
        <f>IF($Q1303="","",IF(ISNUMBER(INDEX(상세표[근무일자],$Q1303)),TEXT(INDEX(상세표[근무일자],$Q1303),"yyyy-mm-dd"),INDEX(상세표[근무일자],$Q1303)&amp;""))</f>
        <v/>
      </c>
      <c r="F1303">
        <f>IF($Q1303="","",IF(ISNUMBER(INDEX(상세표[시작],$Q1303)),TEXT(INDEX(상세표[시작],$Q1303),"yyyy-mm-dd hh:mm"),INDEX(상세표[시작],$Q1303)&amp;""))</f>
        <v/>
      </c>
      <c r="G1303">
        <f>IF($Q1303="","",IF(ISNUMBER(INDEX(상세표[블록종료],$Q1303)),TEXT(INDEX(상세표[블록종료],$Q1303),"yyyy-mm-dd hh:mm"),INDEX(상세표[블록종료],$Q1303)&amp;""))</f>
        <v/>
      </c>
      <c r="H1303">
        <f>IF($Q1303="","",CHOOSE(WEEKDAY(INDEX(상세표[시작],$Q1303)),"일","월","화","수","목","금","토"))</f>
        <v/>
      </c>
      <c r="I1303" s="20">
        <f>IF($Q1303="","",INDEX(상세표[연속 시간],$Q1303))</f>
        <v/>
      </c>
      <c r="J1303">
        <f>IF($Q1303="","",INDEX(상세표[기록 수],$Q1303))</f>
        <v/>
      </c>
      <c r="K1303" s="20">
        <f>IF($Q1303="","",INDEX(상세표[블록 06~07시],$Q1303))</f>
        <v/>
      </c>
      <c r="L1303" s="20">
        <f>IF($Q1303="","",INDEX(상세표[블록 07~18시],$Q1303))</f>
        <v/>
      </c>
      <c r="M1303" s="20">
        <f>IF($Q1303="","",INDEX(상세표[블록 18~22시],$Q1303))</f>
        <v/>
      </c>
      <c r="N1303" s="20">
        <f>IF($Q1303="","",INDEX(상세표[블록 22~06시],$Q1303))</f>
        <v/>
      </c>
      <c r="O1303">
        <f>IF($Q1303="","",INDEX(상세표[주말·휴일 포함],$Q1303)&amp;"")</f>
        <v/>
      </c>
      <c r="P1303">
        <f>IF($Q1303="","",INDEX(상세표[월 넘김 포함],$Q1303)&amp;"")</f>
        <v/>
      </c>
      <c r="Q1303" s="4">
        <f>IFERROR(MATCH(1298,상세표[연속순번],0),"")</f>
        <v/>
      </c>
    </row>
    <row r="1304">
      <c r="A1304">
        <f>IF($Q1304="","",INDEX(상세표[부서],$Q1304)&amp;"")</f>
        <v/>
      </c>
      <c r="B1304">
        <f>IF($Q1304="","",INDEX(상세표[사번],$Q1304)&amp;"")</f>
        <v/>
      </c>
      <c r="C1304">
        <f>IF($Q1304="","",INDEX(상세표[성명],$Q1304)&amp;"")</f>
        <v/>
      </c>
      <c r="D1304">
        <f>IF($Q1304="","",INDEX(상세표[직위],$Q1304)&amp;"")</f>
        <v/>
      </c>
      <c r="E1304">
        <f>IF($Q1304="","",IF(ISNUMBER(INDEX(상세표[근무일자],$Q1304)),TEXT(INDEX(상세표[근무일자],$Q1304),"yyyy-mm-dd"),INDEX(상세표[근무일자],$Q1304)&amp;""))</f>
        <v/>
      </c>
      <c r="F1304">
        <f>IF($Q1304="","",IF(ISNUMBER(INDEX(상세표[시작],$Q1304)),TEXT(INDEX(상세표[시작],$Q1304),"yyyy-mm-dd hh:mm"),INDEX(상세표[시작],$Q1304)&amp;""))</f>
        <v/>
      </c>
      <c r="G1304">
        <f>IF($Q1304="","",IF(ISNUMBER(INDEX(상세표[블록종료],$Q1304)),TEXT(INDEX(상세표[블록종료],$Q1304),"yyyy-mm-dd hh:mm"),INDEX(상세표[블록종료],$Q1304)&amp;""))</f>
        <v/>
      </c>
      <c r="H1304">
        <f>IF($Q1304="","",CHOOSE(WEEKDAY(INDEX(상세표[시작],$Q1304)),"일","월","화","수","목","금","토"))</f>
        <v/>
      </c>
      <c r="I1304" s="20">
        <f>IF($Q1304="","",INDEX(상세표[연속 시간],$Q1304))</f>
        <v/>
      </c>
      <c r="J1304">
        <f>IF($Q1304="","",INDEX(상세표[기록 수],$Q1304))</f>
        <v/>
      </c>
      <c r="K1304" s="20">
        <f>IF($Q1304="","",INDEX(상세표[블록 06~07시],$Q1304))</f>
        <v/>
      </c>
      <c r="L1304" s="20">
        <f>IF($Q1304="","",INDEX(상세표[블록 07~18시],$Q1304))</f>
        <v/>
      </c>
      <c r="M1304" s="20">
        <f>IF($Q1304="","",INDEX(상세표[블록 18~22시],$Q1304))</f>
        <v/>
      </c>
      <c r="N1304" s="20">
        <f>IF($Q1304="","",INDEX(상세표[블록 22~06시],$Q1304))</f>
        <v/>
      </c>
      <c r="O1304">
        <f>IF($Q1304="","",INDEX(상세표[주말·휴일 포함],$Q1304)&amp;"")</f>
        <v/>
      </c>
      <c r="P1304">
        <f>IF($Q1304="","",INDEX(상세표[월 넘김 포함],$Q1304)&amp;"")</f>
        <v/>
      </c>
      <c r="Q1304" s="4">
        <f>IFERROR(MATCH(1299,상세표[연속순번],0),"")</f>
        <v/>
      </c>
    </row>
    <row r="1305">
      <c r="A1305">
        <f>IF($Q1305="","",INDEX(상세표[부서],$Q1305)&amp;"")</f>
        <v/>
      </c>
      <c r="B1305">
        <f>IF($Q1305="","",INDEX(상세표[사번],$Q1305)&amp;"")</f>
        <v/>
      </c>
      <c r="C1305">
        <f>IF($Q1305="","",INDEX(상세표[성명],$Q1305)&amp;"")</f>
        <v/>
      </c>
      <c r="D1305">
        <f>IF($Q1305="","",INDEX(상세표[직위],$Q1305)&amp;"")</f>
        <v/>
      </c>
      <c r="E1305">
        <f>IF($Q1305="","",IF(ISNUMBER(INDEX(상세표[근무일자],$Q1305)),TEXT(INDEX(상세표[근무일자],$Q1305),"yyyy-mm-dd"),INDEX(상세표[근무일자],$Q1305)&amp;""))</f>
        <v/>
      </c>
      <c r="F1305">
        <f>IF($Q1305="","",IF(ISNUMBER(INDEX(상세표[시작],$Q1305)),TEXT(INDEX(상세표[시작],$Q1305),"yyyy-mm-dd hh:mm"),INDEX(상세표[시작],$Q1305)&amp;""))</f>
        <v/>
      </c>
      <c r="G1305">
        <f>IF($Q1305="","",IF(ISNUMBER(INDEX(상세표[블록종료],$Q1305)),TEXT(INDEX(상세표[블록종료],$Q1305),"yyyy-mm-dd hh:mm"),INDEX(상세표[블록종료],$Q1305)&amp;""))</f>
        <v/>
      </c>
      <c r="H1305">
        <f>IF($Q1305="","",CHOOSE(WEEKDAY(INDEX(상세표[시작],$Q1305)),"일","월","화","수","목","금","토"))</f>
        <v/>
      </c>
      <c r="I1305" s="20">
        <f>IF($Q1305="","",INDEX(상세표[연속 시간],$Q1305))</f>
        <v/>
      </c>
      <c r="J1305">
        <f>IF($Q1305="","",INDEX(상세표[기록 수],$Q1305))</f>
        <v/>
      </c>
      <c r="K1305" s="20">
        <f>IF($Q1305="","",INDEX(상세표[블록 06~07시],$Q1305))</f>
        <v/>
      </c>
      <c r="L1305" s="20">
        <f>IF($Q1305="","",INDEX(상세표[블록 07~18시],$Q1305))</f>
        <v/>
      </c>
      <c r="M1305" s="20">
        <f>IF($Q1305="","",INDEX(상세표[블록 18~22시],$Q1305))</f>
        <v/>
      </c>
      <c r="N1305" s="20">
        <f>IF($Q1305="","",INDEX(상세표[블록 22~06시],$Q1305))</f>
        <v/>
      </c>
      <c r="O1305">
        <f>IF($Q1305="","",INDEX(상세표[주말·휴일 포함],$Q1305)&amp;"")</f>
        <v/>
      </c>
      <c r="P1305">
        <f>IF($Q1305="","",INDEX(상세표[월 넘김 포함],$Q1305)&amp;"")</f>
        <v/>
      </c>
      <c r="Q1305" s="4">
        <f>IFERROR(MATCH(1300,상세표[연속순번],0),"")</f>
        <v/>
      </c>
    </row>
    <row r="1306">
      <c r="A1306">
        <f>IF($Q1306="","",INDEX(상세표[부서],$Q1306)&amp;"")</f>
        <v/>
      </c>
      <c r="B1306">
        <f>IF($Q1306="","",INDEX(상세표[사번],$Q1306)&amp;"")</f>
        <v/>
      </c>
      <c r="C1306">
        <f>IF($Q1306="","",INDEX(상세표[성명],$Q1306)&amp;"")</f>
        <v/>
      </c>
      <c r="D1306">
        <f>IF($Q1306="","",INDEX(상세표[직위],$Q1306)&amp;"")</f>
        <v/>
      </c>
      <c r="E1306">
        <f>IF($Q1306="","",IF(ISNUMBER(INDEX(상세표[근무일자],$Q1306)),TEXT(INDEX(상세표[근무일자],$Q1306),"yyyy-mm-dd"),INDEX(상세표[근무일자],$Q1306)&amp;""))</f>
        <v/>
      </c>
      <c r="F1306">
        <f>IF($Q1306="","",IF(ISNUMBER(INDEX(상세표[시작],$Q1306)),TEXT(INDEX(상세표[시작],$Q1306),"yyyy-mm-dd hh:mm"),INDEX(상세표[시작],$Q1306)&amp;""))</f>
        <v/>
      </c>
      <c r="G1306">
        <f>IF($Q1306="","",IF(ISNUMBER(INDEX(상세표[블록종료],$Q1306)),TEXT(INDEX(상세표[블록종료],$Q1306),"yyyy-mm-dd hh:mm"),INDEX(상세표[블록종료],$Q1306)&amp;""))</f>
        <v/>
      </c>
      <c r="H1306">
        <f>IF($Q1306="","",CHOOSE(WEEKDAY(INDEX(상세표[시작],$Q1306)),"일","월","화","수","목","금","토"))</f>
        <v/>
      </c>
      <c r="I1306" s="20">
        <f>IF($Q1306="","",INDEX(상세표[연속 시간],$Q1306))</f>
        <v/>
      </c>
      <c r="J1306">
        <f>IF($Q1306="","",INDEX(상세표[기록 수],$Q1306))</f>
        <v/>
      </c>
      <c r="K1306" s="20">
        <f>IF($Q1306="","",INDEX(상세표[블록 06~07시],$Q1306))</f>
        <v/>
      </c>
      <c r="L1306" s="20">
        <f>IF($Q1306="","",INDEX(상세표[블록 07~18시],$Q1306))</f>
        <v/>
      </c>
      <c r="M1306" s="20">
        <f>IF($Q1306="","",INDEX(상세표[블록 18~22시],$Q1306))</f>
        <v/>
      </c>
      <c r="N1306" s="20">
        <f>IF($Q1306="","",INDEX(상세표[블록 22~06시],$Q1306))</f>
        <v/>
      </c>
      <c r="O1306">
        <f>IF($Q1306="","",INDEX(상세표[주말·휴일 포함],$Q1306)&amp;"")</f>
        <v/>
      </c>
      <c r="P1306">
        <f>IF($Q1306="","",INDEX(상세표[월 넘김 포함],$Q1306)&amp;"")</f>
        <v/>
      </c>
      <c r="Q1306" s="4">
        <f>IFERROR(MATCH(1301,상세표[연속순번],0),"")</f>
        <v/>
      </c>
    </row>
    <row r="1307">
      <c r="A1307">
        <f>IF($Q1307="","",INDEX(상세표[부서],$Q1307)&amp;"")</f>
        <v/>
      </c>
      <c r="B1307">
        <f>IF($Q1307="","",INDEX(상세표[사번],$Q1307)&amp;"")</f>
        <v/>
      </c>
      <c r="C1307">
        <f>IF($Q1307="","",INDEX(상세표[성명],$Q1307)&amp;"")</f>
        <v/>
      </c>
      <c r="D1307">
        <f>IF($Q1307="","",INDEX(상세표[직위],$Q1307)&amp;"")</f>
        <v/>
      </c>
      <c r="E1307">
        <f>IF($Q1307="","",IF(ISNUMBER(INDEX(상세표[근무일자],$Q1307)),TEXT(INDEX(상세표[근무일자],$Q1307),"yyyy-mm-dd"),INDEX(상세표[근무일자],$Q1307)&amp;""))</f>
        <v/>
      </c>
      <c r="F1307">
        <f>IF($Q1307="","",IF(ISNUMBER(INDEX(상세표[시작],$Q1307)),TEXT(INDEX(상세표[시작],$Q1307),"yyyy-mm-dd hh:mm"),INDEX(상세표[시작],$Q1307)&amp;""))</f>
        <v/>
      </c>
      <c r="G1307">
        <f>IF($Q1307="","",IF(ISNUMBER(INDEX(상세표[블록종료],$Q1307)),TEXT(INDEX(상세표[블록종료],$Q1307),"yyyy-mm-dd hh:mm"),INDEX(상세표[블록종료],$Q1307)&amp;""))</f>
        <v/>
      </c>
      <c r="H1307">
        <f>IF($Q1307="","",CHOOSE(WEEKDAY(INDEX(상세표[시작],$Q1307)),"일","월","화","수","목","금","토"))</f>
        <v/>
      </c>
      <c r="I1307" s="20">
        <f>IF($Q1307="","",INDEX(상세표[연속 시간],$Q1307))</f>
        <v/>
      </c>
      <c r="J1307">
        <f>IF($Q1307="","",INDEX(상세표[기록 수],$Q1307))</f>
        <v/>
      </c>
      <c r="K1307" s="20">
        <f>IF($Q1307="","",INDEX(상세표[블록 06~07시],$Q1307))</f>
        <v/>
      </c>
      <c r="L1307" s="20">
        <f>IF($Q1307="","",INDEX(상세표[블록 07~18시],$Q1307))</f>
        <v/>
      </c>
      <c r="M1307" s="20">
        <f>IF($Q1307="","",INDEX(상세표[블록 18~22시],$Q1307))</f>
        <v/>
      </c>
      <c r="N1307" s="20">
        <f>IF($Q1307="","",INDEX(상세표[블록 22~06시],$Q1307))</f>
        <v/>
      </c>
      <c r="O1307">
        <f>IF($Q1307="","",INDEX(상세표[주말·휴일 포함],$Q1307)&amp;"")</f>
        <v/>
      </c>
      <c r="P1307">
        <f>IF($Q1307="","",INDEX(상세표[월 넘김 포함],$Q1307)&amp;"")</f>
        <v/>
      </c>
      <c r="Q1307" s="4">
        <f>IFERROR(MATCH(1302,상세표[연속순번],0),"")</f>
        <v/>
      </c>
    </row>
    <row r="1308">
      <c r="A1308">
        <f>IF($Q1308="","",INDEX(상세표[부서],$Q1308)&amp;"")</f>
        <v/>
      </c>
      <c r="B1308">
        <f>IF($Q1308="","",INDEX(상세표[사번],$Q1308)&amp;"")</f>
        <v/>
      </c>
      <c r="C1308">
        <f>IF($Q1308="","",INDEX(상세표[성명],$Q1308)&amp;"")</f>
        <v/>
      </c>
      <c r="D1308">
        <f>IF($Q1308="","",INDEX(상세표[직위],$Q1308)&amp;"")</f>
        <v/>
      </c>
      <c r="E1308">
        <f>IF($Q1308="","",IF(ISNUMBER(INDEX(상세표[근무일자],$Q1308)),TEXT(INDEX(상세표[근무일자],$Q1308),"yyyy-mm-dd"),INDEX(상세표[근무일자],$Q1308)&amp;""))</f>
        <v/>
      </c>
      <c r="F1308">
        <f>IF($Q1308="","",IF(ISNUMBER(INDEX(상세표[시작],$Q1308)),TEXT(INDEX(상세표[시작],$Q1308),"yyyy-mm-dd hh:mm"),INDEX(상세표[시작],$Q1308)&amp;""))</f>
        <v/>
      </c>
      <c r="G1308">
        <f>IF($Q1308="","",IF(ISNUMBER(INDEX(상세표[블록종료],$Q1308)),TEXT(INDEX(상세표[블록종료],$Q1308),"yyyy-mm-dd hh:mm"),INDEX(상세표[블록종료],$Q1308)&amp;""))</f>
        <v/>
      </c>
      <c r="H1308">
        <f>IF($Q1308="","",CHOOSE(WEEKDAY(INDEX(상세표[시작],$Q1308)),"일","월","화","수","목","금","토"))</f>
        <v/>
      </c>
      <c r="I1308" s="20">
        <f>IF($Q1308="","",INDEX(상세표[연속 시간],$Q1308))</f>
        <v/>
      </c>
      <c r="J1308">
        <f>IF($Q1308="","",INDEX(상세표[기록 수],$Q1308))</f>
        <v/>
      </c>
      <c r="K1308" s="20">
        <f>IF($Q1308="","",INDEX(상세표[블록 06~07시],$Q1308))</f>
        <v/>
      </c>
      <c r="L1308" s="20">
        <f>IF($Q1308="","",INDEX(상세표[블록 07~18시],$Q1308))</f>
        <v/>
      </c>
      <c r="M1308" s="20">
        <f>IF($Q1308="","",INDEX(상세표[블록 18~22시],$Q1308))</f>
        <v/>
      </c>
      <c r="N1308" s="20">
        <f>IF($Q1308="","",INDEX(상세표[블록 22~06시],$Q1308))</f>
        <v/>
      </c>
      <c r="O1308">
        <f>IF($Q1308="","",INDEX(상세표[주말·휴일 포함],$Q1308)&amp;"")</f>
        <v/>
      </c>
      <c r="P1308">
        <f>IF($Q1308="","",INDEX(상세표[월 넘김 포함],$Q1308)&amp;"")</f>
        <v/>
      </c>
      <c r="Q1308" s="4">
        <f>IFERROR(MATCH(1303,상세표[연속순번],0),"")</f>
        <v/>
      </c>
    </row>
    <row r="1309">
      <c r="A1309">
        <f>IF($Q1309="","",INDEX(상세표[부서],$Q1309)&amp;"")</f>
        <v/>
      </c>
      <c r="B1309">
        <f>IF($Q1309="","",INDEX(상세표[사번],$Q1309)&amp;"")</f>
        <v/>
      </c>
      <c r="C1309">
        <f>IF($Q1309="","",INDEX(상세표[성명],$Q1309)&amp;"")</f>
        <v/>
      </c>
      <c r="D1309">
        <f>IF($Q1309="","",INDEX(상세표[직위],$Q1309)&amp;"")</f>
        <v/>
      </c>
      <c r="E1309">
        <f>IF($Q1309="","",IF(ISNUMBER(INDEX(상세표[근무일자],$Q1309)),TEXT(INDEX(상세표[근무일자],$Q1309),"yyyy-mm-dd"),INDEX(상세표[근무일자],$Q1309)&amp;""))</f>
        <v/>
      </c>
      <c r="F1309">
        <f>IF($Q1309="","",IF(ISNUMBER(INDEX(상세표[시작],$Q1309)),TEXT(INDEX(상세표[시작],$Q1309),"yyyy-mm-dd hh:mm"),INDEX(상세표[시작],$Q1309)&amp;""))</f>
        <v/>
      </c>
      <c r="G1309">
        <f>IF($Q1309="","",IF(ISNUMBER(INDEX(상세표[블록종료],$Q1309)),TEXT(INDEX(상세표[블록종료],$Q1309),"yyyy-mm-dd hh:mm"),INDEX(상세표[블록종료],$Q1309)&amp;""))</f>
        <v/>
      </c>
      <c r="H1309">
        <f>IF($Q1309="","",CHOOSE(WEEKDAY(INDEX(상세표[시작],$Q1309)),"일","월","화","수","목","금","토"))</f>
        <v/>
      </c>
      <c r="I1309" s="20">
        <f>IF($Q1309="","",INDEX(상세표[연속 시간],$Q1309))</f>
        <v/>
      </c>
      <c r="J1309">
        <f>IF($Q1309="","",INDEX(상세표[기록 수],$Q1309))</f>
        <v/>
      </c>
      <c r="K1309" s="20">
        <f>IF($Q1309="","",INDEX(상세표[블록 06~07시],$Q1309))</f>
        <v/>
      </c>
      <c r="L1309" s="20">
        <f>IF($Q1309="","",INDEX(상세표[블록 07~18시],$Q1309))</f>
        <v/>
      </c>
      <c r="M1309" s="20">
        <f>IF($Q1309="","",INDEX(상세표[블록 18~22시],$Q1309))</f>
        <v/>
      </c>
      <c r="N1309" s="20">
        <f>IF($Q1309="","",INDEX(상세표[블록 22~06시],$Q1309))</f>
        <v/>
      </c>
      <c r="O1309">
        <f>IF($Q1309="","",INDEX(상세표[주말·휴일 포함],$Q1309)&amp;"")</f>
        <v/>
      </c>
      <c r="P1309">
        <f>IF($Q1309="","",INDEX(상세표[월 넘김 포함],$Q1309)&amp;"")</f>
        <v/>
      </c>
      <c r="Q1309" s="4">
        <f>IFERROR(MATCH(1304,상세표[연속순번],0),"")</f>
        <v/>
      </c>
    </row>
    <row r="1310">
      <c r="A1310">
        <f>IF($Q1310="","",INDEX(상세표[부서],$Q1310)&amp;"")</f>
        <v/>
      </c>
      <c r="B1310">
        <f>IF($Q1310="","",INDEX(상세표[사번],$Q1310)&amp;"")</f>
        <v/>
      </c>
      <c r="C1310">
        <f>IF($Q1310="","",INDEX(상세표[성명],$Q1310)&amp;"")</f>
        <v/>
      </c>
      <c r="D1310">
        <f>IF($Q1310="","",INDEX(상세표[직위],$Q1310)&amp;"")</f>
        <v/>
      </c>
      <c r="E1310">
        <f>IF($Q1310="","",IF(ISNUMBER(INDEX(상세표[근무일자],$Q1310)),TEXT(INDEX(상세표[근무일자],$Q1310),"yyyy-mm-dd"),INDEX(상세표[근무일자],$Q1310)&amp;""))</f>
        <v/>
      </c>
      <c r="F1310">
        <f>IF($Q1310="","",IF(ISNUMBER(INDEX(상세표[시작],$Q1310)),TEXT(INDEX(상세표[시작],$Q1310),"yyyy-mm-dd hh:mm"),INDEX(상세표[시작],$Q1310)&amp;""))</f>
        <v/>
      </c>
      <c r="G1310">
        <f>IF($Q1310="","",IF(ISNUMBER(INDEX(상세표[블록종료],$Q1310)),TEXT(INDEX(상세표[블록종료],$Q1310),"yyyy-mm-dd hh:mm"),INDEX(상세표[블록종료],$Q1310)&amp;""))</f>
        <v/>
      </c>
      <c r="H1310">
        <f>IF($Q1310="","",CHOOSE(WEEKDAY(INDEX(상세표[시작],$Q1310)),"일","월","화","수","목","금","토"))</f>
        <v/>
      </c>
      <c r="I1310" s="20">
        <f>IF($Q1310="","",INDEX(상세표[연속 시간],$Q1310))</f>
        <v/>
      </c>
      <c r="J1310">
        <f>IF($Q1310="","",INDEX(상세표[기록 수],$Q1310))</f>
        <v/>
      </c>
      <c r="K1310" s="20">
        <f>IF($Q1310="","",INDEX(상세표[블록 06~07시],$Q1310))</f>
        <v/>
      </c>
      <c r="L1310" s="20">
        <f>IF($Q1310="","",INDEX(상세표[블록 07~18시],$Q1310))</f>
        <v/>
      </c>
      <c r="M1310" s="20">
        <f>IF($Q1310="","",INDEX(상세표[블록 18~22시],$Q1310))</f>
        <v/>
      </c>
      <c r="N1310" s="20">
        <f>IF($Q1310="","",INDEX(상세표[블록 22~06시],$Q1310))</f>
        <v/>
      </c>
      <c r="O1310">
        <f>IF($Q1310="","",INDEX(상세표[주말·휴일 포함],$Q1310)&amp;"")</f>
        <v/>
      </c>
      <c r="P1310">
        <f>IF($Q1310="","",INDEX(상세표[월 넘김 포함],$Q1310)&amp;"")</f>
        <v/>
      </c>
      <c r="Q1310" s="4">
        <f>IFERROR(MATCH(1305,상세표[연속순번],0),"")</f>
        <v/>
      </c>
    </row>
    <row r="1311">
      <c r="A1311">
        <f>IF($Q1311="","",INDEX(상세표[부서],$Q1311)&amp;"")</f>
        <v/>
      </c>
      <c r="B1311">
        <f>IF($Q1311="","",INDEX(상세표[사번],$Q1311)&amp;"")</f>
        <v/>
      </c>
      <c r="C1311">
        <f>IF($Q1311="","",INDEX(상세표[성명],$Q1311)&amp;"")</f>
        <v/>
      </c>
      <c r="D1311">
        <f>IF($Q1311="","",INDEX(상세표[직위],$Q1311)&amp;"")</f>
        <v/>
      </c>
      <c r="E1311">
        <f>IF($Q1311="","",IF(ISNUMBER(INDEX(상세표[근무일자],$Q1311)),TEXT(INDEX(상세표[근무일자],$Q1311),"yyyy-mm-dd"),INDEX(상세표[근무일자],$Q1311)&amp;""))</f>
        <v/>
      </c>
      <c r="F1311">
        <f>IF($Q1311="","",IF(ISNUMBER(INDEX(상세표[시작],$Q1311)),TEXT(INDEX(상세표[시작],$Q1311),"yyyy-mm-dd hh:mm"),INDEX(상세표[시작],$Q1311)&amp;""))</f>
        <v/>
      </c>
      <c r="G1311">
        <f>IF($Q1311="","",IF(ISNUMBER(INDEX(상세표[블록종료],$Q1311)),TEXT(INDEX(상세표[블록종료],$Q1311),"yyyy-mm-dd hh:mm"),INDEX(상세표[블록종료],$Q1311)&amp;""))</f>
        <v/>
      </c>
      <c r="H1311">
        <f>IF($Q1311="","",CHOOSE(WEEKDAY(INDEX(상세표[시작],$Q1311)),"일","월","화","수","목","금","토"))</f>
        <v/>
      </c>
      <c r="I1311" s="20">
        <f>IF($Q1311="","",INDEX(상세표[연속 시간],$Q1311))</f>
        <v/>
      </c>
      <c r="J1311">
        <f>IF($Q1311="","",INDEX(상세표[기록 수],$Q1311))</f>
        <v/>
      </c>
      <c r="K1311" s="20">
        <f>IF($Q1311="","",INDEX(상세표[블록 06~07시],$Q1311))</f>
        <v/>
      </c>
      <c r="L1311" s="20">
        <f>IF($Q1311="","",INDEX(상세표[블록 07~18시],$Q1311))</f>
        <v/>
      </c>
      <c r="M1311" s="20">
        <f>IF($Q1311="","",INDEX(상세표[블록 18~22시],$Q1311))</f>
        <v/>
      </c>
      <c r="N1311" s="20">
        <f>IF($Q1311="","",INDEX(상세표[블록 22~06시],$Q1311))</f>
        <v/>
      </c>
      <c r="O1311">
        <f>IF($Q1311="","",INDEX(상세표[주말·휴일 포함],$Q1311)&amp;"")</f>
        <v/>
      </c>
      <c r="P1311">
        <f>IF($Q1311="","",INDEX(상세표[월 넘김 포함],$Q1311)&amp;"")</f>
        <v/>
      </c>
      <c r="Q1311" s="4">
        <f>IFERROR(MATCH(1306,상세표[연속순번],0),"")</f>
        <v/>
      </c>
    </row>
    <row r="1312">
      <c r="A1312">
        <f>IF($Q1312="","",INDEX(상세표[부서],$Q1312)&amp;"")</f>
        <v/>
      </c>
      <c r="B1312">
        <f>IF($Q1312="","",INDEX(상세표[사번],$Q1312)&amp;"")</f>
        <v/>
      </c>
      <c r="C1312">
        <f>IF($Q1312="","",INDEX(상세표[성명],$Q1312)&amp;"")</f>
        <v/>
      </c>
      <c r="D1312">
        <f>IF($Q1312="","",INDEX(상세표[직위],$Q1312)&amp;"")</f>
        <v/>
      </c>
      <c r="E1312">
        <f>IF($Q1312="","",IF(ISNUMBER(INDEX(상세표[근무일자],$Q1312)),TEXT(INDEX(상세표[근무일자],$Q1312),"yyyy-mm-dd"),INDEX(상세표[근무일자],$Q1312)&amp;""))</f>
        <v/>
      </c>
      <c r="F1312">
        <f>IF($Q1312="","",IF(ISNUMBER(INDEX(상세표[시작],$Q1312)),TEXT(INDEX(상세표[시작],$Q1312),"yyyy-mm-dd hh:mm"),INDEX(상세표[시작],$Q1312)&amp;""))</f>
        <v/>
      </c>
      <c r="G1312">
        <f>IF($Q1312="","",IF(ISNUMBER(INDEX(상세표[블록종료],$Q1312)),TEXT(INDEX(상세표[블록종료],$Q1312),"yyyy-mm-dd hh:mm"),INDEX(상세표[블록종료],$Q1312)&amp;""))</f>
        <v/>
      </c>
      <c r="H1312">
        <f>IF($Q1312="","",CHOOSE(WEEKDAY(INDEX(상세표[시작],$Q1312)),"일","월","화","수","목","금","토"))</f>
        <v/>
      </c>
      <c r="I1312" s="20">
        <f>IF($Q1312="","",INDEX(상세표[연속 시간],$Q1312))</f>
        <v/>
      </c>
      <c r="J1312">
        <f>IF($Q1312="","",INDEX(상세표[기록 수],$Q1312))</f>
        <v/>
      </c>
      <c r="K1312" s="20">
        <f>IF($Q1312="","",INDEX(상세표[블록 06~07시],$Q1312))</f>
        <v/>
      </c>
      <c r="L1312" s="20">
        <f>IF($Q1312="","",INDEX(상세표[블록 07~18시],$Q1312))</f>
        <v/>
      </c>
      <c r="M1312" s="20">
        <f>IF($Q1312="","",INDEX(상세표[블록 18~22시],$Q1312))</f>
        <v/>
      </c>
      <c r="N1312" s="20">
        <f>IF($Q1312="","",INDEX(상세표[블록 22~06시],$Q1312))</f>
        <v/>
      </c>
      <c r="O1312">
        <f>IF($Q1312="","",INDEX(상세표[주말·휴일 포함],$Q1312)&amp;"")</f>
        <v/>
      </c>
      <c r="P1312">
        <f>IF($Q1312="","",INDEX(상세표[월 넘김 포함],$Q1312)&amp;"")</f>
        <v/>
      </c>
      <c r="Q1312" s="4">
        <f>IFERROR(MATCH(1307,상세표[연속순번],0),"")</f>
        <v/>
      </c>
    </row>
    <row r="1313">
      <c r="A1313">
        <f>IF($Q1313="","",INDEX(상세표[부서],$Q1313)&amp;"")</f>
        <v/>
      </c>
      <c r="B1313">
        <f>IF($Q1313="","",INDEX(상세표[사번],$Q1313)&amp;"")</f>
        <v/>
      </c>
      <c r="C1313">
        <f>IF($Q1313="","",INDEX(상세표[성명],$Q1313)&amp;"")</f>
        <v/>
      </c>
      <c r="D1313">
        <f>IF($Q1313="","",INDEX(상세표[직위],$Q1313)&amp;"")</f>
        <v/>
      </c>
      <c r="E1313">
        <f>IF($Q1313="","",IF(ISNUMBER(INDEX(상세표[근무일자],$Q1313)),TEXT(INDEX(상세표[근무일자],$Q1313),"yyyy-mm-dd"),INDEX(상세표[근무일자],$Q1313)&amp;""))</f>
        <v/>
      </c>
      <c r="F1313">
        <f>IF($Q1313="","",IF(ISNUMBER(INDEX(상세표[시작],$Q1313)),TEXT(INDEX(상세표[시작],$Q1313),"yyyy-mm-dd hh:mm"),INDEX(상세표[시작],$Q1313)&amp;""))</f>
        <v/>
      </c>
      <c r="G1313">
        <f>IF($Q1313="","",IF(ISNUMBER(INDEX(상세표[블록종료],$Q1313)),TEXT(INDEX(상세표[블록종료],$Q1313),"yyyy-mm-dd hh:mm"),INDEX(상세표[블록종료],$Q1313)&amp;""))</f>
        <v/>
      </c>
      <c r="H1313">
        <f>IF($Q1313="","",CHOOSE(WEEKDAY(INDEX(상세표[시작],$Q1313)),"일","월","화","수","목","금","토"))</f>
        <v/>
      </c>
      <c r="I1313" s="20">
        <f>IF($Q1313="","",INDEX(상세표[연속 시간],$Q1313))</f>
        <v/>
      </c>
      <c r="J1313">
        <f>IF($Q1313="","",INDEX(상세표[기록 수],$Q1313))</f>
        <v/>
      </c>
      <c r="K1313" s="20">
        <f>IF($Q1313="","",INDEX(상세표[블록 06~07시],$Q1313))</f>
        <v/>
      </c>
      <c r="L1313" s="20">
        <f>IF($Q1313="","",INDEX(상세표[블록 07~18시],$Q1313))</f>
        <v/>
      </c>
      <c r="M1313" s="20">
        <f>IF($Q1313="","",INDEX(상세표[블록 18~22시],$Q1313))</f>
        <v/>
      </c>
      <c r="N1313" s="20">
        <f>IF($Q1313="","",INDEX(상세표[블록 22~06시],$Q1313))</f>
        <v/>
      </c>
      <c r="O1313">
        <f>IF($Q1313="","",INDEX(상세표[주말·휴일 포함],$Q1313)&amp;"")</f>
        <v/>
      </c>
      <c r="P1313">
        <f>IF($Q1313="","",INDEX(상세표[월 넘김 포함],$Q1313)&amp;"")</f>
        <v/>
      </c>
      <c r="Q1313" s="4">
        <f>IFERROR(MATCH(1308,상세표[연속순번],0),"")</f>
        <v/>
      </c>
    </row>
    <row r="1314">
      <c r="A1314">
        <f>IF($Q1314="","",INDEX(상세표[부서],$Q1314)&amp;"")</f>
        <v/>
      </c>
      <c r="B1314">
        <f>IF($Q1314="","",INDEX(상세표[사번],$Q1314)&amp;"")</f>
        <v/>
      </c>
      <c r="C1314">
        <f>IF($Q1314="","",INDEX(상세표[성명],$Q1314)&amp;"")</f>
        <v/>
      </c>
      <c r="D1314">
        <f>IF($Q1314="","",INDEX(상세표[직위],$Q1314)&amp;"")</f>
        <v/>
      </c>
      <c r="E1314">
        <f>IF($Q1314="","",IF(ISNUMBER(INDEX(상세표[근무일자],$Q1314)),TEXT(INDEX(상세표[근무일자],$Q1314),"yyyy-mm-dd"),INDEX(상세표[근무일자],$Q1314)&amp;""))</f>
        <v/>
      </c>
      <c r="F1314">
        <f>IF($Q1314="","",IF(ISNUMBER(INDEX(상세표[시작],$Q1314)),TEXT(INDEX(상세표[시작],$Q1314),"yyyy-mm-dd hh:mm"),INDEX(상세표[시작],$Q1314)&amp;""))</f>
        <v/>
      </c>
      <c r="G1314">
        <f>IF($Q1314="","",IF(ISNUMBER(INDEX(상세표[블록종료],$Q1314)),TEXT(INDEX(상세표[블록종료],$Q1314),"yyyy-mm-dd hh:mm"),INDEX(상세표[블록종료],$Q1314)&amp;""))</f>
        <v/>
      </c>
      <c r="H1314">
        <f>IF($Q1314="","",CHOOSE(WEEKDAY(INDEX(상세표[시작],$Q1314)),"일","월","화","수","목","금","토"))</f>
        <v/>
      </c>
      <c r="I1314" s="20">
        <f>IF($Q1314="","",INDEX(상세표[연속 시간],$Q1314))</f>
        <v/>
      </c>
      <c r="J1314">
        <f>IF($Q1314="","",INDEX(상세표[기록 수],$Q1314))</f>
        <v/>
      </c>
      <c r="K1314" s="20">
        <f>IF($Q1314="","",INDEX(상세표[블록 06~07시],$Q1314))</f>
        <v/>
      </c>
      <c r="L1314" s="20">
        <f>IF($Q1314="","",INDEX(상세표[블록 07~18시],$Q1314))</f>
        <v/>
      </c>
      <c r="M1314" s="20">
        <f>IF($Q1314="","",INDEX(상세표[블록 18~22시],$Q1314))</f>
        <v/>
      </c>
      <c r="N1314" s="20">
        <f>IF($Q1314="","",INDEX(상세표[블록 22~06시],$Q1314))</f>
        <v/>
      </c>
      <c r="O1314">
        <f>IF($Q1314="","",INDEX(상세표[주말·휴일 포함],$Q1314)&amp;"")</f>
        <v/>
      </c>
      <c r="P1314">
        <f>IF($Q1314="","",INDEX(상세표[월 넘김 포함],$Q1314)&amp;"")</f>
        <v/>
      </c>
      <c r="Q1314" s="4">
        <f>IFERROR(MATCH(1309,상세표[연속순번],0),"")</f>
        <v/>
      </c>
    </row>
    <row r="1315">
      <c r="A1315">
        <f>IF($Q1315="","",INDEX(상세표[부서],$Q1315)&amp;"")</f>
        <v/>
      </c>
      <c r="B1315">
        <f>IF($Q1315="","",INDEX(상세표[사번],$Q1315)&amp;"")</f>
        <v/>
      </c>
      <c r="C1315">
        <f>IF($Q1315="","",INDEX(상세표[성명],$Q1315)&amp;"")</f>
        <v/>
      </c>
      <c r="D1315">
        <f>IF($Q1315="","",INDEX(상세표[직위],$Q1315)&amp;"")</f>
        <v/>
      </c>
      <c r="E1315">
        <f>IF($Q1315="","",IF(ISNUMBER(INDEX(상세표[근무일자],$Q1315)),TEXT(INDEX(상세표[근무일자],$Q1315),"yyyy-mm-dd"),INDEX(상세표[근무일자],$Q1315)&amp;""))</f>
        <v/>
      </c>
      <c r="F1315">
        <f>IF($Q1315="","",IF(ISNUMBER(INDEX(상세표[시작],$Q1315)),TEXT(INDEX(상세표[시작],$Q1315),"yyyy-mm-dd hh:mm"),INDEX(상세표[시작],$Q1315)&amp;""))</f>
        <v/>
      </c>
      <c r="G1315">
        <f>IF($Q1315="","",IF(ISNUMBER(INDEX(상세표[블록종료],$Q1315)),TEXT(INDEX(상세표[블록종료],$Q1315),"yyyy-mm-dd hh:mm"),INDEX(상세표[블록종료],$Q1315)&amp;""))</f>
        <v/>
      </c>
      <c r="H1315">
        <f>IF($Q1315="","",CHOOSE(WEEKDAY(INDEX(상세표[시작],$Q1315)),"일","월","화","수","목","금","토"))</f>
        <v/>
      </c>
      <c r="I1315" s="20">
        <f>IF($Q1315="","",INDEX(상세표[연속 시간],$Q1315))</f>
        <v/>
      </c>
      <c r="J1315">
        <f>IF($Q1315="","",INDEX(상세표[기록 수],$Q1315))</f>
        <v/>
      </c>
      <c r="K1315" s="20">
        <f>IF($Q1315="","",INDEX(상세표[블록 06~07시],$Q1315))</f>
        <v/>
      </c>
      <c r="L1315" s="20">
        <f>IF($Q1315="","",INDEX(상세표[블록 07~18시],$Q1315))</f>
        <v/>
      </c>
      <c r="M1315" s="20">
        <f>IF($Q1315="","",INDEX(상세표[블록 18~22시],$Q1315))</f>
        <v/>
      </c>
      <c r="N1315" s="20">
        <f>IF($Q1315="","",INDEX(상세표[블록 22~06시],$Q1315))</f>
        <v/>
      </c>
      <c r="O1315">
        <f>IF($Q1315="","",INDEX(상세표[주말·휴일 포함],$Q1315)&amp;"")</f>
        <v/>
      </c>
      <c r="P1315">
        <f>IF($Q1315="","",INDEX(상세표[월 넘김 포함],$Q1315)&amp;"")</f>
        <v/>
      </c>
      <c r="Q1315" s="4">
        <f>IFERROR(MATCH(1310,상세표[연속순번],0),"")</f>
        <v/>
      </c>
    </row>
    <row r="1316">
      <c r="A1316">
        <f>IF($Q1316="","",INDEX(상세표[부서],$Q1316)&amp;"")</f>
        <v/>
      </c>
      <c r="B1316">
        <f>IF($Q1316="","",INDEX(상세표[사번],$Q1316)&amp;"")</f>
        <v/>
      </c>
      <c r="C1316">
        <f>IF($Q1316="","",INDEX(상세표[성명],$Q1316)&amp;"")</f>
        <v/>
      </c>
      <c r="D1316">
        <f>IF($Q1316="","",INDEX(상세표[직위],$Q1316)&amp;"")</f>
        <v/>
      </c>
      <c r="E1316">
        <f>IF($Q1316="","",IF(ISNUMBER(INDEX(상세표[근무일자],$Q1316)),TEXT(INDEX(상세표[근무일자],$Q1316),"yyyy-mm-dd"),INDEX(상세표[근무일자],$Q1316)&amp;""))</f>
        <v/>
      </c>
      <c r="F1316">
        <f>IF($Q1316="","",IF(ISNUMBER(INDEX(상세표[시작],$Q1316)),TEXT(INDEX(상세표[시작],$Q1316),"yyyy-mm-dd hh:mm"),INDEX(상세표[시작],$Q1316)&amp;""))</f>
        <v/>
      </c>
      <c r="G1316">
        <f>IF($Q1316="","",IF(ISNUMBER(INDEX(상세표[블록종료],$Q1316)),TEXT(INDEX(상세표[블록종료],$Q1316),"yyyy-mm-dd hh:mm"),INDEX(상세표[블록종료],$Q1316)&amp;""))</f>
        <v/>
      </c>
      <c r="H1316">
        <f>IF($Q1316="","",CHOOSE(WEEKDAY(INDEX(상세표[시작],$Q1316)),"일","월","화","수","목","금","토"))</f>
        <v/>
      </c>
      <c r="I1316" s="20">
        <f>IF($Q1316="","",INDEX(상세표[연속 시간],$Q1316))</f>
        <v/>
      </c>
      <c r="J1316">
        <f>IF($Q1316="","",INDEX(상세표[기록 수],$Q1316))</f>
        <v/>
      </c>
      <c r="K1316" s="20">
        <f>IF($Q1316="","",INDEX(상세표[블록 06~07시],$Q1316))</f>
        <v/>
      </c>
      <c r="L1316" s="20">
        <f>IF($Q1316="","",INDEX(상세표[블록 07~18시],$Q1316))</f>
        <v/>
      </c>
      <c r="M1316" s="20">
        <f>IF($Q1316="","",INDEX(상세표[블록 18~22시],$Q1316))</f>
        <v/>
      </c>
      <c r="N1316" s="20">
        <f>IF($Q1316="","",INDEX(상세표[블록 22~06시],$Q1316))</f>
        <v/>
      </c>
      <c r="O1316">
        <f>IF($Q1316="","",INDEX(상세표[주말·휴일 포함],$Q1316)&amp;"")</f>
        <v/>
      </c>
      <c r="P1316">
        <f>IF($Q1316="","",INDEX(상세표[월 넘김 포함],$Q1316)&amp;"")</f>
        <v/>
      </c>
      <c r="Q1316" s="4">
        <f>IFERROR(MATCH(1311,상세표[연속순번],0),"")</f>
        <v/>
      </c>
    </row>
    <row r="1317">
      <c r="A1317">
        <f>IF($Q1317="","",INDEX(상세표[부서],$Q1317)&amp;"")</f>
        <v/>
      </c>
      <c r="B1317">
        <f>IF($Q1317="","",INDEX(상세표[사번],$Q1317)&amp;"")</f>
        <v/>
      </c>
      <c r="C1317">
        <f>IF($Q1317="","",INDEX(상세표[성명],$Q1317)&amp;"")</f>
        <v/>
      </c>
      <c r="D1317">
        <f>IF($Q1317="","",INDEX(상세표[직위],$Q1317)&amp;"")</f>
        <v/>
      </c>
      <c r="E1317">
        <f>IF($Q1317="","",IF(ISNUMBER(INDEX(상세표[근무일자],$Q1317)),TEXT(INDEX(상세표[근무일자],$Q1317),"yyyy-mm-dd"),INDEX(상세표[근무일자],$Q1317)&amp;""))</f>
        <v/>
      </c>
      <c r="F1317">
        <f>IF($Q1317="","",IF(ISNUMBER(INDEX(상세표[시작],$Q1317)),TEXT(INDEX(상세표[시작],$Q1317),"yyyy-mm-dd hh:mm"),INDEX(상세표[시작],$Q1317)&amp;""))</f>
        <v/>
      </c>
      <c r="G1317">
        <f>IF($Q1317="","",IF(ISNUMBER(INDEX(상세표[블록종료],$Q1317)),TEXT(INDEX(상세표[블록종료],$Q1317),"yyyy-mm-dd hh:mm"),INDEX(상세표[블록종료],$Q1317)&amp;""))</f>
        <v/>
      </c>
      <c r="H1317">
        <f>IF($Q1317="","",CHOOSE(WEEKDAY(INDEX(상세표[시작],$Q1317)),"일","월","화","수","목","금","토"))</f>
        <v/>
      </c>
      <c r="I1317" s="20">
        <f>IF($Q1317="","",INDEX(상세표[연속 시간],$Q1317))</f>
        <v/>
      </c>
      <c r="J1317">
        <f>IF($Q1317="","",INDEX(상세표[기록 수],$Q1317))</f>
        <v/>
      </c>
      <c r="K1317" s="20">
        <f>IF($Q1317="","",INDEX(상세표[블록 06~07시],$Q1317))</f>
        <v/>
      </c>
      <c r="L1317" s="20">
        <f>IF($Q1317="","",INDEX(상세표[블록 07~18시],$Q1317))</f>
        <v/>
      </c>
      <c r="M1317" s="20">
        <f>IF($Q1317="","",INDEX(상세표[블록 18~22시],$Q1317))</f>
        <v/>
      </c>
      <c r="N1317" s="20">
        <f>IF($Q1317="","",INDEX(상세표[블록 22~06시],$Q1317))</f>
        <v/>
      </c>
      <c r="O1317">
        <f>IF($Q1317="","",INDEX(상세표[주말·휴일 포함],$Q1317)&amp;"")</f>
        <v/>
      </c>
      <c r="P1317">
        <f>IF($Q1317="","",INDEX(상세표[월 넘김 포함],$Q1317)&amp;"")</f>
        <v/>
      </c>
      <c r="Q1317" s="4">
        <f>IFERROR(MATCH(1312,상세표[연속순번],0),"")</f>
        <v/>
      </c>
    </row>
    <row r="1318">
      <c r="A1318">
        <f>IF($Q1318="","",INDEX(상세표[부서],$Q1318)&amp;"")</f>
        <v/>
      </c>
      <c r="B1318">
        <f>IF($Q1318="","",INDEX(상세표[사번],$Q1318)&amp;"")</f>
        <v/>
      </c>
      <c r="C1318">
        <f>IF($Q1318="","",INDEX(상세표[성명],$Q1318)&amp;"")</f>
        <v/>
      </c>
      <c r="D1318">
        <f>IF($Q1318="","",INDEX(상세표[직위],$Q1318)&amp;"")</f>
        <v/>
      </c>
      <c r="E1318">
        <f>IF($Q1318="","",IF(ISNUMBER(INDEX(상세표[근무일자],$Q1318)),TEXT(INDEX(상세표[근무일자],$Q1318),"yyyy-mm-dd"),INDEX(상세표[근무일자],$Q1318)&amp;""))</f>
        <v/>
      </c>
      <c r="F1318">
        <f>IF($Q1318="","",IF(ISNUMBER(INDEX(상세표[시작],$Q1318)),TEXT(INDEX(상세표[시작],$Q1318),"yyyy-mm-dd hh:mm"),INDEX(상세표[시작],$Q1318)&amp;""))</f>
        <v/>
      </c>
      <c r="G1318">
        <f>IF($Q1318="","",IF(ISNUMBER(INDEX(상세표[블록종료],$Q1318)),TEXT(INDEX(상세표[블록종료],$Q1318),"yyyy-mm-dd hh:mm"),INDEX(상세표[블록종료],$Q1318)&amp;""))</f>
        <v/>
      </c>
      <c r="H1318">
        <f>IF($Q1318="","",CHOOSE(WEEKDAY(INDEX(상세표[시작],$Q1318)),"일","월","화","수","목","금","토"))</f>
        <v/>
      </c>
      <c r="I1318" s="20">
        <f>IF($Q1318="","",INDEX(상세표[연속 시간],$Q1318))</f>
        <v/>
      </c>
      <c r="J1318">
        <f>IF($Q1318="","",INDEX(상세표[기록 수],$Q1318))</f>
        <v/>
      </c>
      <c r="K1318" s="20">
        <f>IF($Q1318="","",INDEX(상세표[블록 06~07시],$Q1318))</f>
        <v/>
      </c>
      <c r="L1318" s="20">
        <f>IF($Q1318="","",INDEX(상세표[블록 07~18시],$Q1318))</f>
        <v/>
      </c>
      <c r="M1318" s="20">
        <f>IF($Q1318="","",INDEX(상세표[블록 18~22시],$Q1318))</f>
        <v/>
      </c>
      <c r="N1318" s="20">
        <f>IF($Q1318="","",INDEX(상세표[블록 22~06시],$Q1318))</f>
        <v/>
      </c>
      <c r="O1318">
        <f>IF($Q1318="","",INDEX(상세표[주말·휴일 포함],$Q1318)&amp;"")</f>
        <v/>
      </c>
      <c r="P1318">
        <f>IF($Q1318="","",INDEX(상세표[월 넘김 포함],$Q1318)&amp;"")</f>
        <v/>
      </c>
      <c r="Q1318" s="4">
        <f>IFERROR(MATCH(1313,상세표[연속순번],0),"")</f>
        <v/>
      </c>
    </row>
    <row r="1319">
      <c r="A1319">
        <f>IF($Q1319="","",INDEX(상세표[부서],$Q1319)&amp;"")</f>
        <v/>
      </c>
      <c r="B1319">
        <f>IF($Q1319="","",INDEX(상세표[사번],$Q1319)&amp;"")</f>
        <v/>
      </c>
      <c r="C1319">
        <f>IF($Q1319="","",INDEX(상세표[성명],$Q1319)&amp;"")</f>
        <v/>
      </c>
      <c r="D1319">
        <f>IF($Q1319="","",INDEX(상세표[직위],$Q1319)&amp;"")</f>
        <v/>
      </c>
      <c r="E1319">
        <f>IF($Q1319="","",IF(ISNUMBER(INDEX(상세표[근무일자],$Q1319)),TEXT(INDEX(상세표[근무일자],$Q1319),"yyyy-mm-dd"),INDEX(상세표[근무일자],$Q1319)&amp;""))</f>
        <v/>
      </c>
      <c r="F1319">
        <f>IF($Q1319="","",IF(ISNUMBER(INDEX(상세표[시작],$Q1319)),TEXT(INDEX(상세표[시작],$Q1319),"yyyy-mm-dd hh:mm"),INDEX(상세표[시작],$Q1319)&amp;""))</f>
        <v/>
      </c>
      <c r="G1319">
        <f>IF($Q1319="","",IF(ISNUMBER(INDEX(상세표[블록종료],$Q1319)),TEXT(INDEX(상세표[블록종료],$Q1319),"yyyy-mm-dd hh:mm"),INDEX(상세표[블록종료],$Q1319)&amp;""))</f>
        <v/>
      </c>
      <c r="H1319">
        <f>IF($Q1319="","",CHOOSE(WEEKDAY(INDEX(상세표[시작],$Q1319)),"일","월","화","수","목","금","토"))</f>
        <v/>
      </c>
      <c r="I1319" s="20">
        <f>IF($Q1319="","",INDEX(상세표[연속 시간],$Q1319))</f>
        <v/>
      </c>
      <c r="J1319">
        <f>IF($Q1319="","",INDEX(상세표[기록 수],$Q1319))</f>
        <v/>
      </c>
      <c r="K1319" s="20">
        <f>IF($Q1319="","",INDEX(상세표[블록 06~07시],$Q1319))</f>
        <v/>
      </c>
      <c r="L1319" s="20">
        <f>IF($Q1319="","",INDEX(상세표[블록 07~18시],$Q1319))</f>
        <v/>
      </c>
      <c r="M1319" s="20">
        <f>IF($Q1319="","",INDEX(상세표[블록 18~22시],$Q1319))</f>
        <v/>
      </c>
      <c r="N1319" s="20">
        <f>IF($Q1319="","",INDEX(상세표[블록 22~06시],$Q1319))</f>
        <v/>
      </c>
      <c r="O1319">
        <f>IF($Q1319="","",INDEX(상세표[주말·휴일 포함],$Q1319)&amp;"")</f>
        <v/>
      </c>
      <c r="P1319">
        <f>IF($Q1319="","",INDEX(상세표[월 넘김 포함],$Q1319)&amp;"")</f>
        <v/>
      </c>
      <c r="Q1319" s="4">
        <f>IFERROR(MATCH(1314,상세표[연속순번],0),"")</f>
        <v/>
      </c>
    </row>
    <row r="1320">
      <c r="A1320">
        <f>IF($Q1320="","",INDEX(상세표[부서],$Q1320)&amp;"")</f>
        <v/>
      </c>
      <c r="B1320">
        <f>IF($Q1320="","",INDEX(상세표[사번],$Q1320)&amp;"")</f>
        <v/>
      </c>
      <c r="C1320">
        <f>IF($Q1320="","",INDEX(상세표[성명],$Q1320)&amp;"")</f>
        <v/>
      </c>
      <c r="D1320">
        <f>IF($Q1320="","",INDEX(상세표[직위],$Q1320)&amp;"")</f>
        <v/>
      </c>
      <c r="E1320">
        <f>IF($Q1320="","",IF(ISNUMBER(INDEX(상세표[근무일자],$Q1320)),TEXT(INDEX(상세표[근무일자],$Q1320),"yyyy-mm-dd"),INDEX(상세표[근무일자],$Q1320)&amp;""))</f>
        <v/>
      </c>
      <c r="F1320">
        <f>IF($Q1320="","",IF(ISNUMBER(INDEX(상세표[시작],$Q1320)),TEXT(INDEX(상세표[시작],$Q1320),"yyyy-mm-dd hh:mm"),INDEX(상세표[시작],$Q1320)&amp;""))</f>
        <v/>
      </c>
      <c r="G1320">
        <f>IF($Q1320="","",IF(ISNUMBER(INDEX(상세표[블록종료],$Q1320)),TEXT(INDEX(상세표[블록종료],$Q1320),"yyyy-mm-dd hh:mm"),INDEX(상세표[블록종료],$Q1320)&amp;""))</f>
        <v/>
      </c>
      <c r="H1320">
        <f>IF($Q1320="","",CHOOSE(WEEKDAY(INDEX(상세표[시작],$Q1320)),"일","월","화","수","목","금","토"))</f>
        <v/>
      </c>
      <c r="I1320" s="20">
        <f>IF($Q1320="","",INDEX(상세표[연속 시간],$Q1320))</f>
        <v/>
      </c>
      <c r="J1320">
        <f>IF($Q1320="","",INDEX(상세표[기록 수],$Q1320))</f>
        <v/>
      </c>
      <c r="K1320" s="20">
        <f>IF($Q1320="","",INDEX(상세표[블록 06~07시],$Q1320))</f>
        <v/>
      </c>
      <c r="L1320" s="20">
        <f>IF($Q1320="","",INDEX(상세표[블록 07~18시],$Q1320))</f>
        <v/>
      </c>
      <c r="M1320" s="20">
        <f>IF($Q1320="","",INDEX(상세표[블록 18~22시],$Q1320))</f>
        <v/>
      </c>
      <c r="N1320" s="20">
        <f>IF($Q1320="","",INDEX(상세표[블록 22~06시],$Q1320))</f>
        <v/>
      </c>
      <c r="O1320">
        <f>IF($Q1320="","",INDEX(상세표[주말·휴일 포함],$Q1320)&amp;"")</f>
        <v/>
      </c>
      <c r="P1320">
        <f>IF($Q1320="","",INDEX(상세표[월 넘김 포함],$Q1320)&amp;"")</f>
        <v/>
      </c>
      <c r="Q1320" s="4">
        <f>IFERROR(MATCH(1315,상세표[연속순번],0),"")</f>
        <v/>
      </c>
    </row>
    <row r="1321">
      <c r="A1321">
        <f>IF($Q1321="","",INDEX(상세표[부서],$Q1321)&amp;"")</f>
        <v/>
      </c>
      <c r="B1321">
        <f>IF($Q1321="","",INDEX(상세표[사번],$Q1321)&amp;"")</f>
        <v/>
      </c>
      <c r="C1321">
        <f>IF($Q1321="","",INDEX(상세표[성명],$Q1321)&amp;"")</f>
        <v/>
      </c>
      <c r="D1321">
        <f>IF($Q1321="","",INDEX(상세표[직위],$Q1321)&amp;"")</f>
        <v/>
      </c>
      <c r="E1321">
        <f>IF($Q1321="","",IF(ISNUMBER(INDEX(상세표[근무일자],$Q1321)),TEXT(INDEX(상세표[근무일자],$Q1321),"yyyy-mm-dd"),INDEX(상세표[근무일자],$Q1321)&amp;""))</f>
        <v/>
      </c>
      <c r="F1321">
        <f>IF($Q1321="","",IF(ISNUMBER(INDEX(상세표[시작],$Q1321)),TEXT(INDEX(상세표[시작],$Q1321),"yyyy-mm-dd hh:mm"),INDEX(상세표[시작],$Q1321)&amp;""))</f>
        <v/>
      </c>
      <c r="G1321">
        <f>IF($Q1321="","",IF(ISNUMBER(INDEX(상세표[블록종료],$Q1321)),TEXT(INDEX(상세표[블록종료],$Q1321),"yyyy-mm-dd hh:mm"),INDEX(상세표[블록종료],$Q1321)&amp;""))</f>
        <v/>
      </c>
      <c r="H1321">
        <f>IF($Q1321="","",CHOOSE(WEEKDAY(INDEX(상세표[시작],$Q1321)),"일","월","화","수","목","금","토"))</f>
        <v/>
      </c>
      <c r="I1321" s="20">
        <f>IF($Q1321="","",INDEX(상세표[연속 시간],$Q1321))</f>
        <v/>
      </c>
      <c r="J1321">
        <f>IF($Q1321="","",INDEX(상세표[기록 수],$Q1321))</f>
        <v/>
      </c>
      <c r="K1321" s="20">
        <f>IF($Q1321="","",INDEX(상세표[블록 06~07시],$Q1321))</f>
        <v/>
      </c>
      <c r="L1321" s="20">
        <f>IF($Q1321="","",INDEX(상세표[블록 07~18시],$Q1321))</f>
        <v/>
      </c>
      <c r="M1321" s="20">
        <f>IF($Q1321="","",INDEX(상세표[블록 18~22시],$Q1321))</f>
        <v/>
      </c>
      <c r="N1321" s="20">
        <f>IF($Q1321="","",INDEX(상세표[블록 22~06시],$Q1321))</f>
        <v/>
      </c>
      <c r="O1321">
        <f>IF($Q1321="","",INDEX(상세표[주말·휴일 포함],$Q1321)&amp;"")</f>
        <v/>
      </c>
      <c r="P1321">
        <f>IF($Q1321="","",INDEX(상세표[월 넘김 포함],$Q1321)&amp;"")</f>
        <v/>
      </c>
      <c r="Q1321" s="4">
        <f>IFERROR(MATCH(1316,상세표[연속순번],0),"")</f>
        <v/>
      </c>
    </row>
    <row r="1322">
      <c r="A1322">
        <f>IF($Q1322="","",INDEX(상세표[부서],$Q1322)&amp;"")</f>
        <v/>
      </c>
      <c r="B1322">
        <f>IF($Q1322="","",INDEX(상세표[사번],$Q1322)&amp;"")</f>
        <v/>
      </c>
      <c r="C1322">
        <f>IF($Q1322="","",INDEX(상세표[성명],$Q1322)&amp;"")</f>
        <v/>
      </c>
      <c r="D1322">
        <f>IF($Q1322="","",INDEX(상세표[직위],$Q1322)&amp;"")</f>
        <v/>
      </c>
      <c r="E1322">
        <f>IF($Q1322="","",IF(ISNUMBER(INDEX(상세표[근무일자],$Q1322)),TEXT(INDEX(상세표[근무일자],$Q1322),"yyyy-mm-dd"),INDEX(상세표[근무일자],$Q1322)&amp;""))</f>
        <v/>
      </c>
      <c r="F1322">
        <f>IF($Q1322="","",IF(ISNUMBER(INDEX(상세표[시작],$Q1322)),TEXT(INDEX(상세표[시작],$Q1322),"yyyy-mm-dd hh:mm"),INDEX(상세표[시작],$Q1322)&amp;""))</f>
        <v/>
      </c>
      <c r="G1322">
        <f>IF($Q1322="","",IF(ISNUMBER(INDEX(상세표[블록종료],$Q1322)),TEXT(INDEX(상세표[블록종료],$Q1322),"yyyy-mm-dd hh:mm"),INDEX(상세표[블록종료],$Q1322)&amp;""))</f>
        <v/>
      </c>
      <c r="H1322">
        <f>IF($Q1322="","",CHOOSE(WEEKDAY(INDEX(상세표[시작],$Q1322)),"일","월","화","수","목","금","토"))</f>
        <v/>
      </c>
      <c r="I1322" s="20">
        <f>IF($Q1322="","",INDEX(상세표[연속 시간],$Q1322))</f>
        <v/>
      </c>
      <c r="J1322">
        <f>IF($Q1322="","",INDEX(상세표[기록 수],$Q1322))</f>
        <v/>
      </c>
      <c r="K1322" s="20">
        <f>IF($Q1322="","",INDEX(상세표[블록 06~07시],$Q1322))</f>
        <v/>
      </c>
      <c r="L1322" s="20">
        <f>IF($Q1322="","",INDEX(상세표[블록 07~18시],$Q1322))</f>
        <v/>
      </c>
      <c r="M1322" s="20">
        <f>IF($Q1322="","",INDEX(상세표[블록 18~22시],$Q1322))</f>
        <v/>
      </c>
      <c r="N1322" s="20">
        <f>IF($Q1322="","",INDEX(상세표[블록 22~06시],$Q1322))</f>
        <v/>
      </c>
      <c r="O1322">
        <f>IF($Q1322="","",INDEX(상세표[주말·휴일 포함],$Q1322)&amp;"")</f>
        <v/>
      </c>
      <c r="P1322">
        <f>IF($Q1322="","",INDEX(상세표[월 넘김 포함],$Q1322)&amp;"")</f>
        <v/>
      </c>
      <c r="Q1322" s="4">
        <f>IFERROR(MATCH(1317,상세표[연속순번],0),"")</f>
        <v/>
      </c>
    </row>
    <row r="1323">
      <c r="A1323">
        <f>IF($Q1323="","",INDEX(상세표[부서],$Q1323)&amp;"")</f>
        <v/>
      </c>
      <c r="B1323">
        <f>IF($Q1323="","",INDEX(상세표[사번],$Q1323)&amp;"")</f>
        <v/>
      </c>
      <c r="C1323">
        <f>IF($Q1323="","",INDEX(상세표[성명],$Q1323)&amp;"")</f>
        <v/>
      </c>
      <c r="D1323">
        <f>IF($Q1323="","",INDEX(상세표[직위],$Q1323)&amp;"")</f>
        <v/>
      </c>
      <c r="E1323">
        <f>IF($Q1323="","",IF(ISNUMBER(INDEX(상세표[근무일자],$Q1323)),TEXT(INDEX(상세표[근무일자],$Q1323),"yyyy-mm-dd"),INDEX(상세표[근무일자],$Q1323)&amp;""))</f>
        <v/>
      </c>
      <c r="F1323">
        <f>IF($Q1323="","",IF(ISNUMBER(INDEX(상세표[시작],$Q1323)),TEXT(INDEX(상세표[시작],$Q1323),"yyyy-mm-dd hh:mm"),INDEX(상세표[시작],$Q1323)&amp;""))</f>
        <v/>
      </c>
      <c r="G1323">
        <f>IF($Q1323="","",IF(ISNUMBER(INDEX(상세표[블록종료],$Q1323)),TEXT(INDEX(상세표[블록종료],$Q1323),"yyyy-mm-dd hh:mm"),INDEX(상세표[블록종료],$Q1323)&amp;""))</f>
        <v/>
      </c>
      <c r="H1323">
        <f>IF($Q1323="","",CHOOSE(WEEKDAY(INDEX(상세표[시작],$Q1323)),"일","월","화","수","목","금","토"))</f>
        <v/>
      </c>
      <c r="I1323" s="20">
        <f>IF($Q1323="","",INDEX(상세표[연속 시간],$Q1323))</f>
        <v/>
      </c>
      <c r="J1323">
        <f>IF($Q1323="","",INDEX(상세표[기록 수],$Q1323))</f>
        <v/>
      </c>
      <c r="K1323" s="20">
        <f>IF($Q1323="","",INDEX(상세표[블록 06~07시],$Q1323))</f>
        <v/>
      </c>
      <c r="L1323" s="20">
        <f>IF($Q1323="","",INDEX(상세표[블록 07~18시],$Q1323))</f>
        <v/>
      </c>
      <c r="M1323" s="20">
        <f>IF($Q1323="","",INDEX(상세표[블록 18~22시],$Q1323))</f>
        <v/>
      </c>
      <c r="N1323" s="20">
        <f>IF($Q1323="","",INDEX(상세표[블록 22~06시],$Q1323))</f>
        <v/>
      </c>
      <c r="O1323">
        <f>IF($Q1323="","",INDEX(상세표[주말·휴일 포함],$Q1323)&amp;"")</f>
        <v/>
      </c>
      <c r="P1323">
        <f>IF($Q1323="","",INDEX(상세표[월 넘김 포함],$Q1323)&amp;"")</f>
        <v/>
      </c>
      <c r="Q1323" s="4">
        <f>IFERROR(MATCH(1318,상세표[연속순번],0),"")</f>
        <v/>
      </c>
    </row>
    <row r="1324">
      <c r="A1324">
        <f>IF($Q1324="","",INDEX(상세표[부서],$Q1324)&amp;"")</f>
        <v/>
      </c>
      <c r="B1324">
        <f>IF($Q1324="","",INDEX(상세표[사번],$Q1324)&amp;"")</f>
        <v/>
      </c>
      <c r="C1324">
        <f>IF($Q1324="","",INDEX(상세표[성명],$Q1324)&amp;"")</f>
        <v/>
      </c>
      <c r="D1324">
        <f>IF($Q1324="","",INDEX(상세표[직위],$Q1324)&amp;"")</f>
        <v/>
      </c>
      <c r="E1324">
        <f>IF($Q1324="","",IF(ISNUMBER(INDEX(상세표[근무일자],$Q1324)),TEXT(INDEX(상세표[근무일자],$Q1324),"yyyy-mm-dd"),INDEX(상세표[근무일자],$Q1324)&amp;""))</f>
        <v/>
      </c>
      <c r="F1324">
        <f>IF($Q1324="","",IF(ISNUMBER(INDEX(상세표[시작],$Q1324)),TEXT(INDEX(상세표[시작],$Q1324),"yyyy-mm-dd hh:mm"),INDEX(상세표[시작],$Q1324)&amp;""))</f>
        <v/>
      </c>
      <c r="G1324">
        <f>IF($Q1324="","",IF(ISNUMBER(INDEX(상세표[블록종료],$Q1324)),TEXT(INDEX(상세표[블록종료],$Q1324),"yyyy-mm-dd hh:mm"),INDEX(상세표[블록종료],$Q1324)&amp;""))</f>
        <v/>
      </c>
      <c r="H1324">
        <f>IF($Q1324="","",CHOOSE(WEEKDAY(INDEX(상세표[시작],$Q1324)),"일","월","화","수","목","금","토"))</f>
        <v/>
      </c>
      <c r="I1324" s="20">
        <f>IF($Q1324="","",INDEX(상세표[연속 시간],$Q1324))</f>
        <v/>
      </c>
      <c r="J1324">
        <f>IF($Q1324="","",INDEX(상세표[기록 수],$Q1324))</f>
        <v/>
      </c>
      <c r="K1324" s="20">
        <f>IF($Q1324="","",INDEX(상세표[블록 06~07시],$Q1324))</f>
        <v/>
      </c>
      <c r="L1324" s="20">
        <f>IF($Q1324="","",INDEX(상세표[블록 07~18시],$Q1324))</f>
        <v/>
      </c>
      <c r="M1324" s="20">
        <f>IF($Q1324="","",INDEX(상세표[블록 18~22시],$Q1324))</f>
        <v/>
      </c>
      <c r="N1324" s="20">
        <f>IF($Q1324="","",INDEX(상세표[블록 22~06시],$Q1324))</f>
        <v/>
      </c>
      <c r="O1324">
        <f>IF($Q1324="","",INDEX(상세표[주말·휴일 포함],$Q1324)&amp;"")</f>
        <v/>
      </c>
      <c r="P1324">
        <f>IF($Q1324="","",INDEX(상세표[월 넘김 포함],$Q1324)&amp;"")</f>
        <v/>
      </c>
      <c r="Q1324" s="4">
        <f>IFERROR(MATCH(1319,상세표[연속순번],0),"")</f>
        <v/>
      </c>
    </row>
    <row r="1325">
      <c r="A1325">
        <f>IF($Q1325="","",INDEX(상세표[부서],$Q1325)&amp;"")</f>
        <v/>
      </c>
      <c r="B1325">
        <f>IF($Q1325="","",INDEX(상세표[사번],$Q1325)&amp;"")</f>
        <v/>
      </c>
      <c r="C1325">
        <f>IF($Q1325="","",INDEX(상세표[성명],$Q1325)&amp;"")</f>
        <v/>
      </c>
      <c r="D1325">
        <f>IF($Q1325="","",INDEX(상세표[직위],$Q1325)&amp;"")</f>
        <v/>
      </c>
      <c r="E1325">
        <f>IF($Q1325="","",IF(ISNUMBER(INDEX(상세표[근무일자],$Q1325)),TEXT(INDEX(상세표[근무일자],$Q1325),"yyyy-mm-dd"),INDEX(상세표[근무일자],$Q1325)&amp;""))</f>
        <v/>
      </c>
      <c r="F1325">
        <f>IF($Q1325="","",IF(ISNUMBER(INDEX(상세표[시작],$Q1325)),TEXT(INDEX(상세표[시작],$Q1325),"yyyy-mm-dd hh:mm"),INDEX(상세표[시작],$Q1325)&amp;""))</f>
        <v/>
      </c>
      <c r="G1325">
        <f>IF($Q1325="","",IF(ISNUMBER(INDEX(상세표[블록종료],$Q1325)),TEXT(INDEX(상세표[블록종료],$Q1325),"yyyy-mm-dd hh:mm"),INDEX(상세표[블록종료],$Q1325)&amp;""))</f>
        <v/>
      </c>
      <c r="H1325">
        <f>IF($Q1325="","",CHOOSE(WEEKDAY(INDEX(상세표[시작],$Q1325)),"일","월","화","수","목","금","토"))</f>
        <v/>
      </c>
      <c r="I1325" s="20">
        <f>IF($Q1325="","",INDEX(상세표[연속 시간],$Q1325))</f>
        <v/>
      </c>
      <c r="J1325">
        <f>IF($Q1325="","",INDEX(상세표[기록 수],$Q1325))</f>
        <v/>
      </c>
      <c r="K1325" s="20">
        <f>IF($Q1325="","",INDEX(상세표[블록 06~07시],$Q1325))</f>
        <v/>
      </c>
      <c r="L1325" s="20">
        <f>IF($Q1325="","",INDEX(상세표[블록 07~18시],$Q1325))</f>
        <v/>
      </c>
      <c r="M1325" s="20">
        <f>IF($Q1325="","",INDEX(상세표[블록 18~22시],$Q1325))</f>
        <v/>
      </c>
      <c r="N1325" s="20">
        <f>IF($Q1325="","",INDEX(상세표[블록 22~06시],$Q1325))</f>
        <v/>
      </c>
      <c r="O1325">
        <f>IF($Q1325="","",INDEX(상세표[주말·휴일 포함],$Q1325)&amp;"")</f>
        <v/>
      </c>
      <c r="P1325">
        <f>IF($Q1325="","",INDEX(상세표[월 넘김 포함],$Q1325)&amp;"")</f>
        <v/>
      </c>
      <c r="Q1325" s="4">
        <f>IFERROR(MATCH(1320,상세표[연속순번],0),"")</f>
        <v/>
      </c>
    </row>
    <row r="1326">
      <c r="A1326">
        <f>IF($Q1326="","",INDEX(상세표[부서],$Q1326)&amp;"")</f>
        <v/>
      </c>
      <c r="B1326">
        <f>IF($Q1326="","",INDEX(상세표[사번],$Q1326)&amp;"")</f>
        <v/>
      </c>
      <c r="C1326">
        <f>IF($Q1326="","",INDEX(상세표[성명],$Q1326)&amp;"")</f>
        <v/>
      </c>
      <c r="D1326">
        <f>IF($Q1326="","",INDEX(상세표[직위],$Q1326)&amp;"")</f>
        <v/>
      </c>
      <c r="E1326">
        <f>IF($Q1326="","",IF(ISNUMBER(INDEX(상세표[근무일자],$Q1326)),TEXT(INDEX(상세표[근무일자],$Q1326),"yyyy-mm-dd"),INDEX(상세표[근무일자],$Q1326)&amp;""))</f>
        <v/>
      </c>
      <c r="F1326">
        <f>IF($Q1326="","",IF(ISNUMBER(INDEX(상세표[시작],$Q1326)),TEXT(INDEX(상세표[시작],$Q1326),"yyyy-mm-dd hh:mm"),INDEX(상세표[시작],$Q1326)&amp;""))</f>
        <v/>
      </c>
      <c r="G1326">
        <f>IF($Q1326="","",IF(ISNUMBER(INDEX(상세표[블록종료],$Q1326)),TEXT(INDEX(상세표[블록종료],$Q1326),"yyyy-mm-dd hh:mm"),INDEX(상세표[블록종료],$Q1326)&amp;""))</f>
        <v/>
      </c>
      <c r="H1326">
        <f>IF($Q1326="","",CHOOSE(WEEKDAY(INDEX(상세표[시작],$Q1326)),"일","월","화","수","목","금","토"))</f>
        <v/>
      </c>
      <c r="I1326" s="20">
        <f>IF($Q1326="","",INDEX(상세표[연속 시간],$Q1326))</f>
        <v/>
      </c>
      <c r="J1326">
        <f>IF($Q1326="","",INDEX(상세표[기록 수],$Q1326))</f>
        <v/>
      </c>
      <c r="K1326" s="20">
        <f>IF($Q1326="","",INDEX(상세표[블록 06~07시],$Q1326))</f>
        <v/>
      </c>
      <c r="L1326" s="20">
        <f>IF($Q1326="","",INDEX(상세표[블록 07~18시],$Q1326))</f>
        <v/>
      </c>
      <c r="M1326" s="20">
        <f>IF($Q1326="","",INDEX(상세표[블록 18~22시],$Q1326))</f>
        <v/>
      </c>
      <c r="N1326" s="20">
        <f>IF($Q1326="","",INDEX(상세표[블록 22~06시],$Q1326))</f>
        <v/>
      </c>
      <c r="O1326">
        <f>IF($Q1326="","",INDEX(상세표[주말·휴일 포함],$Q1326)&amp;"")</f>
        <v/>
      </c>
      <c r="P1326">
        <f>IF($Q1326="","",INDEX(상세표[월 넘김 포함],$Q1326)&amp;"")</f>
        <v/>
      </c>
      <c r="Q1326" s="4">
        <f>IFERROR(MATCH(1321,상세표[연속순번],0),"")</f>
        <v/>
      </c>
    </row>
    <row r="1327">
      <c r="A1327">
        <f>IF($Q1327="","",INDEX(상세표[부서],$Q1327)&amp;"")</f>
        <v/>
      </c>
      <c r="B1327">
        <f>IF($Q1327="","",INDEX(상세표[사번],$Q1327)&amp;"")</f>
        <v/>
      </c>
      <c r="C1327">
        <f>IF($Q1327="","",INDEX(상세표[성명],$Q1327)&amp;"")</f>
        <v/>
      </c>
      <c r="D1327">
        <f>IF($Q1327="","",INDEX(상세표[직위],$Q1327)&amp;"")</f>
        <v/>
      </c>
      <c r="E1327">
        <f>IF($Q1327="","",IF(ISNUMBER(INDEX(상세표[근무일자],$Q1327)),TEXT(INDEX(상세표[근무일자],$Q1327),"yyyy-mm-dd"),INDEX(상세표[근무일자],$Q1327)&amp;""))</f>
        <v/>
      </c>
      <c r="F1327">
        <f>IF($Q1327="","",IF(ISNUMBER(INDEX(상세표[시작],$Q1327)),TEXT(INDEX(상세표[시작],$Q1327),"yyyy-mm-dd hh:mm"),INDEX(상세표[시작],$Q1327)&amp;""))</f>
        <v/>
      </c>
      <c r="G1327">
        <f>IF($Q1327="","",IF(ISNUMBER(INDEX(상세표[블록종료],$Q1327)),TEXT(INDEX(상세표[블록종료],$Q1327),"yyyy-mm-dd hh:mm"),INDEX(상세표[블록종료],$Q1327)&amp;""))</f>
        <v/>
      </c>
      <c r="H1327">
        <f>IF($Q1327="","",CHOOSE(WEEKDAY(INDEX(상세표[시작],$Q1327)),"일","월","화","수","목","금","토"))</f>
        <v/>
      </c>
      <c r="I1327" s="20">
        <f>IF($Q1327="","",INDEX(상세표[연속 시간],$Q1327))</f>
        <v/>
      </c>
      <c r="J1327">
        <f>IF($Q1327="","",INDEX(상세표[기록 수],$Q1327))</f>
        <v/>
      </c>
      <c r="K1327" s="20">
        <f>IF($Q1327="","",INDEX(상세표[블록 06~07시],$Q1327))</f>
        <v/>
      </c>
      <c r="L1327" s="20">
        <f>IF($Q1327="","",INDEX(상세표[블록 07~18시],$Q1327))</f>
        <v/>
      </c>
      <c r="M1327" s="20">
        <f>IF($Q1327="","",INDEX(상세표[블록 18~22시],$Q1327))</f>
        <v/>
      </c>
      <c r="N1327" s="20">
        <f>IF($Q1327="","",INDEX(상세표[블록 22~06시],$Q1327))</f>
        <v/>
      </c>
      <c r="O1327">
        <f>IF($Q1327="","",INDEX(상세표[주말·휴일 포함],$Q1327)&amp;"")</f>
        <v/>
      </c>
      <c r="P1327">
        <f>IF($Q1327="","",INDEX(상세표[월 넘김 포함],$Q1327)&amp;"")</f>
        <v/>
      </c>
      <c r="Q1327" s="4">
        <f>IFERROR(MATCH(1322,상세표[연속순번],0),"")</f>
        <v/>
      </c>
    </row>
    <row r="1328">
      <c r="A1328">
        <f>IF($Q1328="","",INDEX(상세표[부서],$Q1328)&amp;"")</f>
        <v/>
      </c>
      <c r="B1328">
        <f>IF($Q1328="","",INDEX(상세표[사번],$Q1328)&amp;"")</f>
        <v/>
      </c>
      <c r="C1328">
        <f>IF($Q1328="","",INDEX(상세표[성명],$Q1328)&amp;"")</f>
        <v/>
      </c>
      <c r="D1328">
        <f>IF($Q1328="","",INDEX(상세표[직위],$Q1328)&amp;"")</f>
        <v/>
      </c>
      <c r="E1328">
        <f>IF($Q1328="","",IF(ISNUMBER(INDEX(상세표[근무일자],$Q1328)),TEXT(INDEX(상세표[근무일자],$Q1328),"yyyy-mm-dd"),INDEX(상세표[근무일자],$Q1328)&amp;""))</f>
        <v/>
      </c>
      <c r="F1328">
        <f>IF($Q1328="","",IF(ISNUMBER(INDEX(상세표[시작],$Q1328)),TEXT(INDEX(상세표[시작],$Q1328),"yyyy-mm-dd hh:mm"),INDEX(상세표[시작],$Q1328)&amp;""))</f>
        <v/>
      </c>
      <c r="G1328">
        <f>IF($Q1328="","",IF(ISNUMBER(INDEX(상세표[블록종료],$Q1328)),TEXT(INDEX(상세표[블록종료],$Q1328),"yyyy-mm-dd hh:mm"),INDEX(상세표[블록종료],$Q1328)&amp;""))</f>
        <v/>
      </c>
      <c r="H1328">
        <f>IF($Q1328="","",CHOOSE(WEEKDAY(INDEX(상세표[시작],$Q1328)),"일","월","화","수","목","금","토"))</f>
        <v/>
      </c>
      <c r="I1328" s="20">
        <f>IF($Q1328="","",INDEX(상세표[연속 시간],$Q1328))</f>
        <v/>
      </c>
      <c r="J1328">
        <f>IF($Q1328="","",INDEX(상세표[기록 수],$Q1328))</f>
        <v/>
      </c>
      <c r="K1328" s="20">
        <f>IF($Q1328="","",INDEX(상세표[블록 06~07시],$Q1328))</f>
        <v/>
      </c>
      <c r="L1328" s="20">
        <f>IF($Q1328="","",INDEX(상세표[블록 07~18시],$Q1328))</f>
        <v/>
      </c>
      <c r="M1328" s="20">
        <f>IF($Q1328="","",INDEX(상세표[블록 18~22시],$Q1328))</f>
        <v/>
      </c>
      <c r="N1328" s="20">
        <f>IF($Q1328="","",INDEX(상세표[블록 22~06시],$Q1328))</f>
        <v/>
      </c>
      <c r="O1328">
        <f>IF($Q1328="","",INDEX(상세표[주말·휴일 포함],$Q1328)&amp;"")</f>
        <v/>
      </c>
      <c r="P1328">
        <f>IF($Q1328="","",INDEX(상세표[월 넘김 포함],$Q1328)&amp;"")</f>
        <v/>
      </c>
      <c r="Q1328" s="4">
        <f>IFERROR(MATCH(1323,상세표[연속순번],0),"")</f>
        <v/>
      </c>
    </row>
    <row r="1329">
      <c r="A1329">
        <f>IF($Q1329="","",INDEX(상세표[부서],$Q1329)&amp;"")</f>
        <v/>
      </c>
      <c r="B1329">
        <f>IF($Q1329="","",INDEX(상세표[사번],$Q1329)&amp;"")</f>
        <v/>
      </c>
      <c r="C1329">
        <f>IF($Q1329="","",INDEX(상세표[성명],$Q1329)&amp;"")</f>
        <v/>
      </c>
      <c r="D1329">
        <f>IF($Q1329="","",INDEX(상세표[직위],$Q1329)&amp;"")</f>
        <v/>
      </c>
      <c r="E1329">
        <f>IF($Q1329="","",IF(ISNUMBER(INDEX(상세표[근무일자],$Q1329)),TEXT(INDEX(상세표[근무일자],$Q1329),"yyyy-mm-dd"),INDEX(상세표[근무일자],$Q1329)&amp;""))</f>
        <v/>
      </c>
      <c r="F1329">
        <f>IF($Q1329="","",IF(ISNUMBER(INDEX(상세표[시작],$Q1329)),TEXT(INDEX(상세표[시작],$Q1329),"yyyy-mm-dd hh:mm"),INDEX(상세표[시작],$Q1329)&amp;""))</f>
        <v/>
      </c>
      <c r="G1329">
        <f>IF($Q1329="","",IF(ISNUMBER(INDEX(상세표[블록종료],$Q1329)),TEXT(INDEX(상세표[블록종료],$Q1329),"yyyy-mm-dd hh:mm"),INDEX(상세표[블록종료],$Q1329)&amp;""))</f>
        <v/>
      </c>
      <c r="H1329">
        <f>IF($Q1329="","",CHOOSE(WEEKDAY(INDEX(상세표[시작],$Q1329)),"일","월","화","수","목","금","토"))</f>
        <v/>
      </c>
      <c r="I1329" s="20">
        <f>IF($Q1329="","",INDEX(상세표[연속 시간],$Q1329))</f>
        <v/>
      </c>
      <c r="J1329">
        <f>IF($Q1329="","",INDEX(상세표[기록 수],$Q1329))</f>
        <v/>
      </c>
      <c r="K1329" s="20">
        <f>IF($Q1329="","",INDEX(상세표[블록 06~07시],$Q1329))</f>
        <v/>
      </c>
      <c r="L1329" s="20">
        <f>IF($Q1329="","",INDEX(상세표[블록 07~18시],$Q1329))</f>
        <v/>
      </c>
      <c r="M1329" s="20">
        <f>IF($Q1329="","",INDEX(상세표[블록 18~22시],$Q1329))</f>
        <v/>
      </c>
      <c r="N1329" s="20">
        <f>IF($Q1329="","",INDEX(상세표[블록 22~06시],$Q1329))</f>
        <v/>
      </c>
      <c r="O1329">
        <f>IF($Q1329="","",INDEX(상세표[주말·휴일 포함],$Q1329)&amp;"")</f>
        <v/>
      </c>
      <c r="P1329">
        <f>IF($Q1329="","",INDEX(상세표[월 넘김 포함],$Q1329)&amp;"")</f>
        <v/>
      </c>
      <c r="Q1329" s="4">
        <f>IFERROR(MATCH(1324,상세표[연속순번],0),"")</f>
        <v/>
      </c>
    </row>
    <row r="1330">
      <c r="A1330">
        <f>IF($Q1330="","",INDEX(상세표[부서],$Q1330)&amp;"")</f>
        <v/>
      </c>
      <c r="B1330">
        <f>IF($Q1330="","",INDEX(상세표[사번],$Q1330)&amp;"")</f>
        <v/>
      </c>
      <c r="C1330">
        <f>IF($Q1330="","",INDEX(상세표[성명],$Q1330)&amp;"")</f>
        <v/>
      </c>
      <c r="D1330">
        <f>IF($Q1330="","",INDEX(상세표[직위],$Q1330)&amp;"")</f>
        <v/>
      </c>
      <c r="E1330">
        <f>IF($Q1330="","",IF(ISNUMBER(INDEX(상세표[근무일자],$Q1330)),TEXT(INDEX(상세표[근무일자],$Q1330),"yyyy-mm-dd"),INDEX(상세표[근무일자],$Q1330)&amp;""))</f>
        <v/>
      </c>
      <c r="F1330">
        <f>IF($Q1330="","",IF(ISNUMBER(INDEX(상세표[시작],$Q1330)),TEXT(INDEX(상세표[시작],$Q1330),"yyyy-mm-dd hh:mm"),INDEX(상세표[시작],$Q1330)&amp;""))</f>
        <v/>
      </c>
      <c r="G1330">
        <f>IF($Q1330="","",IF(ISNUMBER(INDEX(상세표[블록종료],$Q1330)),TEXT(INDEX(상세표[블록종료],$Q1330),"yyyy-mm-dd hh:mm"),INDEX(상세표[블록종료],$Q1330)&amp;""))</f>
        <v/>
      </c>
      <c r="H1330">
        <f>IF($Q1330="","",CHOOSE(WEEKDAY(INDEX(상세표[시작],$Q1330)),"일","월","화","수","목","금","토"))</f>
        <v/>
      </c>
      <c r="I1330" s="20">
        <f>IF($Q1330="","",INDEX(상세표[연속 시간],$Q1330))</f>
        <v/>
      </c>
      <c r="J1330">
        <f>IF($Q1330="","",INDEX(상세표[기록 수],$Q1330))</f>
        <v/>
      </c>
      <c r="K1330" s="20">
        <f>IF($Q1330="","",INDEX(상세표[블록 06~07시],$Q1330))</f>
        <v/>
      </c>
      <c r="L1330" s="20">
        <f>IF($Q1330="","",INDEX(상세표[블록 07~18시],$Q1330))</f>
        <v/>
      </c>
      <c r="M1330" s="20">
        <f>IF($Q1330="","",INDEX(상세표[블록 18~22시],$Q1330))</f>
        <v/>
      </c>
      <c r="N1330" s="20">
        <f>IF($Q1330="","",INDEX(상세표[블록 22~06시],$Q1330))</f>
        <v/>
      </c>
      <c r="O1330">
        <f>IF($Q1330="","",INDEX(상세표[주말·휴일 포함],$Q1330)&amp;"")</f>
        <v/>
      </c>
      <c r="P1330">
        <f>IF($Q1330="","",INDEX(상세표[월 넘김 포함],$Q1330)&amp;"")</f>
        <v/>
      </c>
      <c r="Q1330" s="4">
        <f>IFERROR(MATCH(1325,상세표[연속순번],0),"")</f>
        <v/>
      </c>
    </row>
    <row r="1331">
      <c r="A1331">
        <f>IF($Q1331="","",INDEX(상세표[부서],$Q1331)&amp;"")</f>
        <v/>
      </c>
      <c r="B1331">
        <f>IF($Q1331="","",INDEX(상세표[사번],$Q1331)&amp;"")</f>
        <v/>
      </c>
      <c r="C1331">
        <f>IF($Q1331="","",INDEX(상세표[성명],$Q1331)&amp;"")</f>
        <v/>
      </c>
      <c r="D1331">
        <f>IF($Q1331="","",INDEX(상세표[직위],$Q1331)&amp;"")</f>
        <v/>
      </c>
      <c r="E1331">
        <f>IF($Q1331="","",IF(ISNUMBER(INDEX(상세표[근무일자],$Q1331)),TEXT(INDEX(상세표[근무일자],$Q1331),"yyyy-mm-dd"),INDEX(상세표[근무일자],$Q1331)&amp;""))</f>
        <v/>
      </c>
      <c r="F1331">
        <f>IF($Q1331="","",IF(ISNUMBER(INDEX(상세표[시작],$Q1331)),TEXT(INDEX(상세표[시작],$Q1331),"yyyy-mm-dd hh:mm"),INDEX(상세표[시작],$Q1331)&amp;""))</f>
        <v/>
      </c>
      <c r="G1331">
        <f>IF($Q1331="","",IF(ISNUMBER(INDEX(상세표[블록종료],$Q1331)),TEXT(INDEX(상세표[블록종료],$Q1331),"yyyy-mm-dd hh:mm"),INDEX(상세표[블록종료],$Q1331)&amp;""))</f>
        <v/>
      </c>
      <c r="H1331">
        <f>IF($Q1331="","",CHOOSE(WEEKDAY(INDEX(상세표[시작],$Q1331)),"일","월","화","수","목","금","토"))</f>
        <v/>
      </c>
      <c r="I1331" s="20">
        <f>IF($Q1331="","",INDEX(상세표[연속 시간],$Q1331))</f>
        <v/>
      </c>
      <c r="J1331">
        <f>IF($Q1331="","",INDEX(상세표[기록 수],$Q1331))</f>
        <v/>
      </c>
      <c r="K1331" s="20">
        <f>IF($Q1331="","",INDEX(상세표[블록 06~07시],$Q1331))</f>
        <v/>
      </c>
      <c r="L1331" s="20">
        <f>IF($Q1331="","",INDEX(상세표[블록 07~18시],$Q1331))</f>
        <v/>
      </c>
      <c r="M1331" s="20">
        <f>IF($Q1331="","",INDEX(상세표[블록 18~22시],$Q1331))</f>
        <v/>
      </c>
      <c r="N1331" s="20">
        <f>IF($Q1331="","",INDEX(상세표[블록 22~06시],$Q1331))</f>
        <v/>
      </c>
      <c r="O1331">
        <f>IF($Q1331="","",INDEX(상세표[주말·휴일 포함],$Q1331)&amp;"")</f>
        <v/>
      </c>
      <c r="P1331">
        <f>IF($Q1331="","",INDEX(상세표[월 넘김 포함],$Q1331)&amp;"")</f>
        <v/>
      </c>
      <c r="Q1331" s="4">
        <f>IFERROR(MATCH(1326,상세표[연속순번],0),"")</f>
        <v/>
      </c>
    </row>
    <row r="1332">
      <c r="A1332">
        <f>IF($Q1332="","",INDEX(상세표[부서],$Q1332)&amp;"")</f>
        <v/>
      </c>
      <c r="B1332">
        <f>IF($Q1332="","",INDEX(상세표[사번],$Q1332)&amp;"")</f>
        <v/>
      </c>
      <c r="C1332">
        <f>IF($Q1332="","",INDEX(상세표[성명],$Q1332)&amp;"")</f>
        <v/>
      </c>
      <c r="D1332">
        <f>IF($Q1332="","",INDEX(상세표[직위],$Q1332)&amp;"")</f>
        <v/>
      </c>
      <c r="E1332">
        <f>IF($Q1332="","",IF(ISNUMBER(INDEX(상세표[근무일자],$Q1332)),TEXT(INDEX(상세표[근무일자],$Q1332),"yyyy-mm-dd"),INDEX(상세표[근무일자],$Q1332)&amp;""))</f>
        <v/>
      </c>
      <c r="F1332">
        <f>IF($Q1332="","",IF(ISNUMBER(INDEX(상세표[시작],$Q1332)),TEXT(INDEX(상세표[시작],$Q1332),"yyyy-mm-dd hh:mm"),INDEX(상세표[시작],$Q1332)&amp;""))</f>
        <v/>
      </c>
      <c r="G1332">
        <f>IF($Q1332="","",IF(ISNUMBER(INDEX(상세표[블록종료],$Q1332)),TEXT(INDEX(상세표[블록종료],$Q1332),"yyyy-mm-dd hh:mm"),INDEX(상세표[블록종료],$Q1332)&amp;""))</f>
        <v/>
      </c>
      <c r="H1332">
        <f>IF($Q1332="","",CHOOSE(WEEKDAY(INDEX(상세표[시작],$Q1332)),"일","월","화","수","목","금","토"))</f>
        <v/>
      </c>
      <c r="I1332" s="20">
        <f>IF($Q1332="","",INDEX(상세표[연속 시간],$Q1332))</f>
        <v/>
      </c>
      <c r="J1332">
        <f>IF($Q1332="","",INDEX(상세표[기록 수],$Q1332))</f>
        <v/>
      </c>
      <c r="K1332" s="20">
        <f>IF($Q1332="","",INDEX(상세표[블록 06~07시],$Q1332))</f>
        <v/>
      </c>
      <c r="L1332" s="20">
        <f>IF($Q1332="","",INDEX(상세표[블록 07~18시],$Q1332))</f>
        <v/>
      </c>
      <c r="M1332" s="20">
        <f>IF($Q1332="","",INDEX(상세표[블록 18~22시],$Q1332))</f>
        <v/>
      </c>
      <c r="N1332" s="20">
        <f>IF($Q1332="","",INDEX(상세표[블록 22~06시],$Q1332))</f>
        <v/>
      </c>
      <c r="O1332">
        <f>IF($Q1332="","",INDEX(상세표[주말·휴일 포함],$Q1332)&amp;"")</f>
        <v/>
      </c>
      <c r="P1332">
        <f>IF($Q1332="","",INDEX(상세표[월 넘김 포함],$Q1332)&amp;"")</f>
        <v/>
      </c>
      <c r="Q1332" s="4">
        <f>IFERROR(MATCH(1327,상세표[연속순번],0),"")</f>
        <v/>
      </c>
    </row>
    <row r="1333">
      <c r="A1333">
        <f>IF($Q1333="","",INDEX(상세표[부서],$Q1333)&amp;"")</f>
        <v/>
      </c>
      <c r="B1333">
        <f>IF($Q1333="","",INDEX(상세표[사번],$Q1333)&amp;"")</f>
        <v/>
      </c>
      <c r="C1333">
        <f>IF($Q1333="","",INDEX(상세표[성명],$Q1333)&amp;"")</f>
        <v/>
      </c>
      <c r="D1333">
        <f>IF($Q1333="","",INDEX(상세표[직위],$Q1333)&amp;"")</f>
        <v/>
      </c>
      <c r="E1333">
        <f>IF($Q1333="","",IF(ISNUMBER(INDEX(상세표[근무일자],$Q1333)),TEXT(INDEX(상세표[근무일자],$Q1333),"yyyy-mm-dd"),INDEX(상세표[근무일자],$Q1333)&amp;""))</f>
        <v/>
      </c>
      <c r="F1333">
        <f>IF($Q1333="","",IF(ISNUMBER(INDEX(상세표[시작],$Q1333)),TEXT(INDEX(상세표[시작],$Q1333),"yyyy-mm-dd hh:mm"),INDEX(상세표[시작],$Q1333)&amp;""))</f>
        <v/>
      </c>
      <c r="G1333">
        <f>IF($Q1333="","",IF(ISNUMBER(INDEX(상세표[블록종료],$Q1333)),TEXT(INDEX(상세표[블록종료],$Q1333),"yyyy-mm-dd hh:mm"),INDEX(상세표[블록종료],$Q1333)&amp;""))</f>
        <v/>
      </c>
      <c r="H1333">
        <f>IF($Q1333="","",CHOOSE(WEEKDAY(INDEX(상세표[시작],$Q1333)),"일","월","화","수","목","금","토"))</f>
        <v/>
      </c>
      <c r="I1333" s="20">
        <f>IF($Q1333="","",INDEX(상세표[연속 시간],$Q1333))</f>
        <v/>
      </c>
      <c r="J1333">
        <f>IF($Q1333="","",INDEX(상세표[기록 수],$Q1333))</f>
        <v/>
      </c>
      <c r="K1333" s="20">
        <f>IF($Q1333="","",INDEX(상세표[블록 06~07시],$Q1333))</f>
        <v/>
      </c>
      <c r="L1333" s="20">
        <f>IF($Q1333="","",INDEX(상세표[블록 07~18시],$Q1333))</f>
        <v/>
      </c>
      <c r="M1333" s="20">
        <f>IF($Q1333="","",INDEX(상세표[블록 18~22시],$Q1333))</f>
        <v/>
      </c>
      <c r="N1333" s="20">
        <f>IF($Q1333="","",INDEX(상세표[블록 22~06시],$Q1333))</f>
        <v/>
      </c>
      <c r="O1333">
        <f>IF($Q1333="","",INDEX(상세표[주말·휴일 포함],$Q1333)&amp;"")</f>
        <v/>
      </c>
      <c r="P1333">
        <f>IF($Q1333="","",INDEX(상세표[월 넘김 포함],$Q1333)&amp;"")</f>
        <v/>
      </c>
      <c r="Q1333" s="4">
        <f>IFERROR(MATCH(1328,상세표[연속순번],0),"")</f>
        <v/>
      </c>
    </row>
    <row r="1334">
      <c r="A1334">
        <f>IF($Q1334="","",INDEX(상세표[부서],$Q1334)&amp;"")</f>
        <v/>
      </c>
      <c r="B1334">
        <f>IF($Q1334="","",INDEX(상세표[사번],$Q1334)&amp;"")</f>
        <v/>
      </c>
      <c r="C1334">
        <f>IF($Q1334="","",INDEX(상세표[성명],$Q1334)&amp;"")</f>
        <v/>
      </c>
      <c r="D1334">
        <f>IF($Q1334="","",INDEX(상세표[직위],$Q1334)&amp;"")</f>
        <v/>
      </c>
      <c r="E1334">
        <f>IF($Q1334="","",IF(ISNUMBER(INDEX(상세표[근무일자],$Q1334)),TEXT(INDEX(상세표[근무일자],$Q1334),"yyyy-mm-dd"),INDEX(상세표[근무일자],$Q1334)&amp;""))</f>
        <v/>
      </c>
      <c r="F1334">
        <f>IF($Q1334="","",IF(ISNUMBER(INDEX(상세표[시작],$Q1334)),TEXT(INDEX(상세표[시작],$Q1334),"yyyy-mm-dd hh:mm"),INDEX(상세표[시작],$Q1334)&amp;""))</f>
        <v/>
      </c>
      <c r="G1334">
        <f>IF($Q1334="","",IF(ISNUMBER(INDEX(상세표[블록종료],$Q1334)),TEXT(INDEX(상세표[블록종료],$Q1334),"yyyy-mm-dd hh:mm"),INDEX(상세표[블록종료],$Q1334)&amp;""))</f>
        <v/>
      </c>
      <c r="H1334">
        <f>IF($Q1334="","",CHOOSE(WEEKDAY(INDEX(상세표[시작],$Q1334)),"일","월","화","수","목","금","토"))</f>
        <v/>
      </c>
      <c r="I1334" s="20">
        <f>IF($Q1334="","",INDEX(상세표[연속 시간],$Q1334))</f>
        <v/>
      </c>
      <c r="J1334">
        <f>IF($Q1334="","",INDEX(상세표[기록 수],$Q1334))</f>
        <v/>
      </c>
      <c r="K1334" s="20">
        <f>IF($Q1334="","",INDEX(상세표[블록 06~07시],$Q1334))</f>
        <v/>
      </c>
      <c r="L1334" s="20">
        <f>IF($Q1334="","",INDEX(상세표[블록 07~18시],$Q1334))</f>
        <v/>
      </c>
      <c r="M1334" s="20">
        <f>IF($Q1334="","",INDEX(상세표[블록 18~22시],$Q1334))</f>
        <v/>
      </c>
      <c r="N1334" s="20">
        <f>IF($Q1334="","",INDEX(상세표[블록 22~06시],$Q1334))</f>
        <v/>
      </c>
      <c r="O1334">
        <f>IF($Q1334="","",INDEX(상세표[주말·휴일 포함],$Q1334)&amp;"")</f>
        <v/>
      </c>
      <c r="P1334">
        <f>IF($Q1334="","",INDEX(상세표[월 넘김 포함],$Q1334)&amp;"")</f>
        <v/>
      </c>
      <c r="Q1334" s="4">
        <f>IFERROR(MATCH(1329,상세표[연속순번],0),"")</f>
        <v/>
      </c>
    </row>
    <row r="1335">
      <c r="A1335">
        <f>IF($Q1335="","",INDEX(상세표[부서],$Q1335)&amp;"")</f>
        <v/>
      </c>
      <c r="B1335">
        <f>IF($Q1335="","",INDEX(상세표[사번],$Q1335)&amp;"")</f>
        <v/>
      </c>
      <c r="C1335">
        <f>IF($Q1335="","",INDEX(상세표[성명],$Q1335)&amp;"")</f>
        <v/>
      </c>
      <c r="D1335">
        <f>IF($Q1335="","",INDEX(상세표[직위],$Q1335)&amp;"")</f>
        <v/>
      </c>
      <c r="E1335">
        <f>IF($Q1335="","",IF(ISNUMBER(INDEX(상세표[근무일자],$Q1335)),TEXT(INDEX(상세표[근무일자],$Q1335),"yyyy-mm-dd"),INDEX(상세표[근무일자],$Q1335)&amp;""))</f>
        <v/>
      </c>
      <c r="F1335">
        <f>IF($Q1335="","",IF(ISNUMBER(INDEX(상세표[시작],$Q1335)),TEXT(INDEX(상세표[시작],$Q1335),"yyyy-mm-dd hh:mm"),INDEX(상세표[시작],$Q1335)&amp;""))</f>
        <v/>
      </c>
      <c r="G1335">
        <f>IF($Q1335="","",IF(ISNUMBER(INDEX(상세표[블록종료],$Q1335)),TEXT(INDEX(상세표[블록종료],$Q1335),"yyyy-mm-dd hh:mm"),INDEX(상세표[블록종료],$Q1335)&amp;""))</f>
        <v/>
      </c>
      <c r="H1335">
        <f>IF($Q1335="","",CHOOSE(WEEKDAY(INDEX(상세표[시작],$Q1335)),"일","월","화","수","목","금","토"))</f>
        <v/>
      </c>
      <c r="I1335" s="20">
        <f>IF($Q1335="","",INDEX(상세표[연속 시간],$Q1335))</f>
        <v/>
      </c>
      <c r="J1335">
        <f>IF($Q1335="","",INDEX(상세표[기록 수],$Q1335))</f>
        <v/>
      </c>
      <c r="K1335" s="20">
        <f>IF($Q1335="","",INDEX(상세표[블록 06~07시],$Q1335))</f>
        <v/>
      </c>
      <c r="L1335" s="20">
        <f>IF($Q1335="","",INDEX(상세표[블록 07~18시],$Q1335))</f>
        <v/>
      </c>
      <c r="M1335" s="20">
        <f>IF($Q1335="","",INDEX(상세표[블록 18~22시],$Q1335))</f>
        <v/>
      </c>
      <c r="N1335" s="20">
        <f>IF($Q1335="","",INDEX(상세표[블록 22~06시],$Q1335))</f>
        <v/>
      </c>
      <c r="O1335">
        <f>IF($Q1335="","",INDEX(상세표[주말·휴일 포함],$Q1335)&amp;"")</f>
        <v/>
      </c>
      <c r="P1335">
        <f>IF($Q1335="","",INDEX(상세표[월 넘김 포함],$Q1335)&amp;"")</f>
        <v/>
      </c>
      <c r="Q1335" s="4">
        <f>IFERROR(MATCH(1330,상세표[연속순번],0),"")</f>
        <v/>
      </c>
    </row>
    <row r="1336">
      <c r="A1336">
        <f>IF($Q1336="","",INDEX(상세표[부서],$Q1336)&amp;"")</f>
        <v/>
      </c>
      <c r="B1336">
        <f>IF($Q1336="","",INDEX(상세표[사번],$Q1336)&amp;"")</f>
        <v/>
      </c>
      <c r="C1336">
        <f>IF($Q1336="","",INDEX(상세표[성명],$Q1336)&amp;"")</f>
        <v/>
      </c>
      <c r="D1336">
        <f>IF($Q1336="","",INDEX(상세표[직위],$Q1336)&amp;"")</f>
        <v/>
      </c>
      <c r="E1336">
        <f>IF($Q1336="","",IF(ISNUMBER(INDEX(상세표[근무일자],$Q1336)),TEXT(INDEX(상세표[근무일자],$Q1336),"yyyy-mm-dd"),INDEX(상세표[근무일자],$Q1336)&amp;""))</f>
        <v/>
      </c>
      <c r="F1336">
        <f>IF($Q1336="","",IF(ISNUMBER(INDEX(상세표[시작],$Q1336)),TEXT(INDEX(상세표[시작],$Q1336),"yyyy-mm-dd hh:mm"),INDEX(상세표[시작],$Q1336)&amp;""))</f>
        <v/>
      </c>
      <c r="G1336">
        <f>IF($Q1336="","",IF(ISNUMBER(INDEX(상세표[블록종료],$Q1336)),TEXT(INDEX(상세표[블록종료],$Q1336),"yyyy-mm-dd hh:mm"),INDEX(상세표[블록종료],$Q1336)&amp;""))</f>
        <v/>
      </c>
      <c r="H1336">
        <f>IF($Q1336="","",CHOOSE(WEEKDAY(INDEX(상세표[시작],$Q1336)),"일","월","화","수","목","금","토"))</f>
        <v/>
      </c>
      <c r="I1336" s="20">
        <f>IF($Q1336="","",INDEX(상세표[연속 시간],$Q1336))</f>
        <v/>
      </c>
      <c r="J1336">
        <f>IF($Q1336="","",INDEX(상세표[기록 수],$Q1336))</f>
        <v/>
      </c>
      <c r="K1336" s="20">
        <f>IF($Q1336="","",INDEX(상세표[블록 06~07시],$Q1336))</f>
        <v/>
      </c>
      <c r="L1336" s="20">
        <f>IF($Q1336="","",INDEX(상세표[블록 07~18시],$Q1336))</f>
        <v/>
      </c>
      <c r="M1336" s="20">
        <f>IF($Q1336="","",INDEX(상세표[블록 18~22시],$Q1336))</f>
        <v/>
      </c>
      <c r="N1336" s="20">
        <f>IF($Q1336="","",INDEX(상세표[블록 22~06시],$Q1336))</f>
        <v/>
      </c>
      <c r="O1336">
        <f>IF($Q1336="","",INDEX(상세표[주말·휴일 포함],$Q1336)&amp;"")</f>
        <v/>
      </c>
      <c r="P1336">
        <f>IF($Q1336="","",INDEX(상세표[월 넘김 포함],$Q1336)&amp;"")</f>
        <v/>
      </c>
      <c r="Q1336" s="4">
        <f>IFERROR(MATCH(1331,상세표[연속순번],0),"")</f>
        <v/>
      </c>
    </row>
    <row r="1337">
      <c r="A1337">
        <f>IF($Q1337="","",INDEX(상세표[부서],$Q1337)&amp;"")</f>
        <v/>
      </c>
      <c r="B1337">
        <f>IF($Q1337="","",INDEX(상세표[사번],$Q1337)&amp;"")</f>
        <v/>
      </c>
      <c r="C1337">
        <f>IF($Q1337="","",INDEX(상세표[성명],$Q1337)&amp;"")</f>
        <v/>
      </c>
      <c r="D1337">
        <f>IF($Q1337="","",INDEX(상세표[직위],$Q1337)&amp;"")</f>
        <v/>
      </c>
      <c r="E1337">
        <f>IF($Q1337="","",IF(ISNUMBER(INDEX(상세표[근무일자],$Q1337)),TEXT(INDEX(상세표[근무일자],$Q1337),"yyyy-mm-dd"),INDEX(상세표[근무일자],$Q1337)&amp;""))</f>
        <v/>
      </c>
      <c r="F1337">
        <f>IF($Q1337="","",IF(ISNUMBER(INDEX(상세표[시작],$Q1337)),TEXT(INDEX(상세표[시작],$Q1337),"yyyy-mm-dd hh:mm"),INDEX(상세표[시작],$Q1337)&amp;""))</f>
        <v/>
      </c>
      <c r="G1337">
        <f>IF($Q1337="","",IF(ISNUMBER(INDEX(상세표[블록종료],$Q1337)),TEXT(INDEX(상세표[블록종료],$Q1337),"yyyy-mm-dd hh:mm"),INDEX(상세표[블록종료],$Q1337)&amp;""))</f>
        <v/>
      </c>
      <c r="H1337">
        <f>IF($Q1337="","",CHOOSE(WEEKDAY(INDEX(상세표[시작],$Q1337)),"일","월","화","수","목","금","토"))</f>
        <v/>
      </c>
      <c r="I1337" s="20">
        <f>IF($Q1337="","",INDEX(상세표[연속 시간],$Q1337))</f>
        <v/>
      </c>
      <c r="J1337">
        <f>IF($Q1337="","",INDEX(상세표[기록 수],$Q1337))</f>
        <v/>
      </c>
      <c r="K1337" s="20">
        <f>IF($Q1337="","",INDEX(상세표[블록 06~07시],$Q1337))</f>
        <v/>
      </c>
      <c r="L1337" s="20">
        <f>IF($Q1337="","",INDEX(상세표[블록 07~18시],$Q1337))</f>
        <v/>
      </c>
      <c r="M1337" s="20">
        <f>IF($Q1337="","",INDEX(상세표[블록 18~22시],$Q1337))</f>
        <v/>
      </c>
      <c r="N1337" s="20">
        <f>IF($Q1337="","",INDEX(상세표[블록 22~06시],$Q1337))</f>
        <v/>
      </c>
      <c r="O1337">
        <f>IF($Q1337="","",INDEX(상세표[주말·휴일 포함],$Q1337)&amp;"")</f>
        <v/>
      </c>
      <c r="P1337">
        <f>IF($Q1337="","",INDEX(상세표[월 넘김 포함],$Q1337)&amp;"")</f>
        <v/>
      </c>
      <c r="Q1337" s="4">
        <f>IFERROR(MATCH(1332,상세표[연속순번],0),"")</f>
        <v/>
      </c>
    </row>
    <row r="1338">
      <c r="A1338">
        <f>IF($Q1338="","",INDEX(상세표[부서],$Q1338)&amp;"")</f>
        <v/>
      </c>
      <c r="B1338">
        <f>IF($Q1338="","",INDEX(상세표[사번],$Q1338)&amp;"")</f>
        <v/>
      </c>
      <c r="C1338">
        <f>IF($Q1338="","",INDEX(상세표[성명],$Q1338)&amp;"")</f>
        <v/>
      </c>
      <c r="D1338">
        <f>IF($Q1338="","",INDEX(상세표[직위],$Q1338)&amp;"")</f>
        <v/>
      </c>
      <c r="E1338">
        <f>IF($Q1338="","",IF(ISNUMBER(INDEX(상세표[근무일자],$Q1338)),TEXT(INDEX(상세표[근무일자],$Q1338),"yyyy-mm-dd"),INDEX(상세표[근무일자],$Q1338)&amp;""))</f>
        <v/>
      </c>
      <c r="F1338">
        <f>IF($Q1338="","",IF(ISNUMBER(INDEX(상세표[시작],$Q1338)),TEXT(INDEX(상세표[시작],$Q1338),"yyyy-mm-dd hh:mm"),INDEX(상세표[시작],$Q1338)&amp;""))</f>
        <v/>
      </c>
      <c r="G1338">
        <f>IF($Q1338="","",IF(ISNUMBER(INDEX(상세표[블록종료],$Q1338)),TEXT(INDEX(상세표[블록종료],$Q1338),"yyyy-mm-dd hh:mm"),INDEX(상세표[블록종료],$Q1338)&amp;""))</f>
        <v/>
      </c>
      <c r="H1338">
        <f>IF($Q1338="","",CHOOSE(WEEKDAY(INDEX(상세표[시작],$Q1338)),"일","월","화","수","목","금","토"))</f>
        <v/>
      </c>
      <c r="I1338" s="20">
        <f>IF($Q1338="","",INDEX(상세표[연속 시간],$Q1338))</f>
        <v/>
      </c>
      <c r="J1338">
        <f>IF($Q1338="","",INDEX(상세표[기록 수],$Q1338))</f>
        <v/>
      </c>
      <c r="K1338" s="20">
        <f>IF($Q1338="","",INDEX(상세표[블록 06~07시],$Q1338))</f>
        <v/>
      </c>
      <c r="L1338" s="20">
        <f>IF($Q1338="","",INDEX(상세표[블록 07~18시],$Q1338))</f>
        <v/>
      </c>
      <c r="M1338" s="20">
        <f>IF($Q1338="","",INDEX(상세표[블록 18~22시],$Q1338))</f>
        <v/>
      </c>
      <c r="N1338" s="20">
        <f>IF($Q1338="","",INDEX(상세표[블록 22~06시],$Q1338))</f>
        <v/>
      </c>
      <c r="O1338">
        <f>IF($Q1338="","",INDEX(상세표[주말·휴일 포함],$Q1338)&amp;"")</f>
        <v/>
      </c>
      <c r="P1338">
        <f>IF($Q1338="","",INDEX(상세표[월 넘김 포함],$Q1338)&amp;"")</f>
        <v/>
      </c>
      <c r="Q1338" s="4">
        <f>IFERROR(MATCH(1333,상세표[연속순번],0),"")</f>
        <v/>
      </c>
    </row>
    <row r="1339">
      <c r="A1339">
        <f>IF($Q1339="","",INDEX(상세표[부서],$Q1339)&amp;"")</f>
        <v/>
      </c>
      <c r="B1339">
        <f>IF($Q1339="","",INDEX(상세표[사번],$Q1339)&amp;"")</f>
        <v/>
      </c>
      <c r="C1339">
        <f>IF($Q1339="","",INDEX(상세표[성명],$Q1339)&amp;"")</f>
        <v/>
      </c>
      <c r="D1339">
        <f>IF($Q1339="","",INDEX(상세표[직위],$Q1339)&amp;"")</f>
        <v/>
      </c>
      <c r="E1339">
        <f>IF($Q1339="","",IF(ISNUMBER(INDEX(상세표[근무일자],$Q1339)),TEXT(INDEX(상세표[근무일자],$Q1339),"yyyy-mm-dd"),INDEX(상세표[근무일자],$Q1339)&amp;""))</f>
        <v/>
      </c>
      <c r="F1339">
        <f>IF($Q1339="","",IF(ISNUMBER(INDEX(상세표[시작],$Q1339)),TEXT(INDEX(상세표[시작],$Q1339),"yyyy-mm-dd hh:mm"),INDEX(상세표[시작],$Q1339)&amp;""))</f>
        <v/>
      </c>
      <c r="G1339">
        <f>IF($Q1339="","",IF(ISNUMBER(INDEX(상세표[블록종료],$Q1339)),TEXT(INDEX(상세표[블록종료],$Q1339),"yyyy-mm-dd hh:mm"),INDEX(상세표[블록종료],$Q1339)&amp;""))</f>
        <v/>
      </c>
      <c r="H1339">
        <f>IF($Q1339="","",CHOOSE(WEEKDAY(INDEX(상세표[시작],$Q1339)),"일","월","화","수","목","금","토"))</f>
        <v/>
      </c>
      <c r="I1339" s="20">
        <f>IF($Q1339="","",INDEX(상세표[연속 시간],$Q1339))</f>
        <v/>
      </c>
      <c r="J1339">
        <f>IF($Q1339="","",INDEX(상세표[기록 수],$Q1339))</f>
        <v/>
      </c>
      <c r="K1339" s="20">
        <f>IF($Q1339="","",INDEX(상세표[블록 06~07시],$Q1339))</f>
        <v/>
      </c>
      <c r="L1339" s="20">
        <f>IF($Q1339="","",INDEX(상세표[블록 07~18시],$Q1339))</f>
        <v/>
      </c>
      <c r="M1339" s="20">
        <f>IF($Q1339="","",INDEX(상세표[블록 18~22시],$Q1339))</f>
        <v/>
      </c>
      <c r="N1339" s="20">
        <f>IF($Q1339="","",INDEX(상세표[블록 22~06시],$Q1339))</f>
        <v/>
      </c>
      <c r="O1339">
        <f>IF($Q1339="","",INDEX(상세표[주말·휴일 포함],$Q1339)&amp;"")</f>
        <v/>
      </c>
      <c r="P1339">
        <f>IF($Q1339="","",INDEX(상세표[월 넘김 포함],$Q1339)&amp;"")</f>
        <v/>
      </c>
      <c r="Q1339" s="4">
        <f>IFERROR(MATCH(1334,상세표[연속순번],0),"")</f>
        <v/>
      </c>
    </row>
    <row r="1340">
      <c r="A1340">
        <f>IF($Q1340="","",INDEX(상세표[부서],$Q1340)&amp;"")</f>
        <v/>
      </c>
      <c r="B1340">
        <f>IF($Q1340="","",INDEX(상세표[사번],$Q1340)&amp;"")</f>
        <v/>
      </c>
      <c r="C1340">
        <f>IF($Q1340="","",INDEX(상세표[성명],$Q1340)&amp;"")</f>
        <v/>
      </c>
      <c r="D1340">
        <f>IF($Q1340="","",INDEX(상세표[직위],$Q1340)&amp;"")</f>
        <v/>
      </c>
      <c r="E1340">
        <f>IF($Q1340="","",IF(ISNUMBER(INDEX(상세표[근무일자],$Q1340)),TEXT(INDEX(상세표[근무일자],$Q1340),"yyyy-mm-dd"),INDEX(상세표[근무일자],$Q1340)&amp;""))</f>
        <v/>
      </c>
      <c r="F1340">
        <f>IF($Q1340="","",IF(ISNUMBER(INDEX(상세표[시작],$Q1340)),TEXT(INDEX(상세표[시작],$Q1340),"yyyy-mm-dd hh:mm"),INDEX(상세표[시작],$Q1340)&amp;""))</f>
        <v/>
      </c>
      <c r="G1340">
        <f>IF($Q1340="","",IF(ISNUMBER(INDEX(상세표[블록종료],$Q1340)),TEXT(INDEX(상세표[블록종료],$Q1340),"yyyy-mm-dd hh:mm"),INDEX(상세표[블록종료],$Q1340)&amp;""))</f>
        <v/>
      </c>
      <c r="H1340">
        <f>IF($Q1340="","",CHOOSE(WEEKDAY(INDEX(상세표[시작],$Q1340)),"일","월","화","수","목","금","토"))</f>
        <v/>
      </c>
      <c r="I1340" s="20">
        <f>IF($Q1340="","",INDEX(상세표[연속 시간],$Q1340))</f>
        <v/>
      </c>
      <c r="J1340">
        <f>IF($Q1340="","",INDEX(상세표[기록 수],$Q1340))</f>
        <v/>
      </c>
      <c r="K1340" s="20">
        <f>IF($Q1340="","",INDEX(상세표[블록 06~07시],$Q1340))</f>
        <v/>
      </c>
      <c r="L1340" s="20">
        <f>IF($Q1340="","",INDEX(상세표[블록 07~18시],$Q1340))</f>
        <v/>
      </c>
      <c r="M1340" s="20">
        <f>IF($Q1340="","",INDEX(상세표[블록 18~22시],$Q1340))</f>
        <v/>
      </c>
      <c r="N1340" s="20">
        <f>IF($Q1340="","",INDEX(상세표[블록 22~06시],$Q1340))</f>
        <v/>
      </c>
      <c r="O1340">
        <f>IF($Q1340="","",INDEX(상세표[주말·휴일 포함],$Q1340)&amp;"")</f>
        <v/>
      </c>
      <c r="P1340">
        <f>IF($Q1340="","",INDEX(상세표[월 넘김 포함],$Q1340)&amp;"")</f>
        <v/>
      </c>
      <c r="Q1340" s="4">
        <f>IFERROR(MATCH(1335,상세표[연속순번],0),"")</f>
        <v/>
      </c>
    </row>
    <row r="1341">
      <c r="A1341">
        <f>IF($Q1341="","",INDEX(상세표[부서],$Q1341)&amp;"")</f>
        <v/>
      </c>
      <c r="B1341">
        <f>IF($Q1341="","",INDEX(상세표[사번],$Q1341)&amp;"")</f>
        <v/>
      </c>
      <c r="C1341">
        <f>IF($Q1341="","",INDEX(상세표[성명],$Q1341)&amp;"")</f>
        <v/>
      </c>
      <c r="D1341">
        <f>IF($Q1341="","",INDEX(상세표[직위],$Q1341)&amp;"")</f>
        <v/>
      </c>
      <c r="E1341">
        <f>IF($Q1341="","",IF(ISNUMBER(INDEX(상세표[근무일자],$Q1341)),TEXT(INDEX(상세표[근무일자],$Q1341),"yyyy-mm-dd"),INDEX(상세표[근무일자],$Q1341)&amp;""))</f>
        <v/>
      </c>
      <c r="F1341">
        <f>IF($Q1341="","",IF(ISNUMBER(INDEX(상세표[시작],$Q1341)),TEXT(INDEX(상세표[시작],$Q1341),"yyyy-mm-dd hh:mm"),INDEX(상세표[시작],$Q1341)&amp;""))</f>
        <v/>
      </c>
      <c r="G1341">
        <f>IF($Q1341="","",IF(ISNUMBER(INDEX(상세표[블록종료],$Q1341)),TEXT(INDEX(상세표[블록종료],$Q1341),"yyyy-mm-dd hh:mm"),INDEX(상세표[블록종료],$Q1341)&amp;""))</f>
        <v/>
      </c>
      <c r="H1341">
        <f>IF($Q1341="","",CHOOSE(WEEKDAY(INDEX(상세표[시작],$Q1341)),"일","월","화","수","목","금","토"))</f>
        <v/>
      </c>
      <c r="I1341" s="20">
        <f>IF($Q1341="","",INDEX(상세표[연속 시간],$Q1341))</f>
        <v/>
      </c>
      <c r="J1341">
        <f>IF($Q1341="","",INDEX(상세표[기록 수],$Q1341))</f>
        <v/>
      </c>
      <c r="K1341" s="20">
        <f>IF($Q1341="","",INDEX(상세표[블록 06~07시],$Q1341))</f>
        <v/>
      </c>
      <c r="L1341" s="20">
        <f>IF($Q1341="","",INDEX(상세표[블록 07~18시],$Q1341))</f>
        <v/>
      </c>
      <c r="M1341" s="20">
        <f>IF($Q1341="","",INDEX(상세표[블록 18~22시],$Q1341))</f>
        <v/>
      </c>
      <c r="N1341" s="20">
        <f>IF($Q1341="","",INDEX(상세표[블록 22~06시],$Q1341))</f>
        <v/>
      </c>
      <c r="O1341">
        <f>IF($Q1341="","",INDEX(상세표[주말·휴일 포함],$Q1341)&amp;"")</f>
        <v/>
      </c>
      <c r="P1341">
        <f>IF($Q1341="","",INDEX(상세표[월 넘김 포함],$Q1341)&amp;"")</f>
        <v/>
      </c>
      <c r="Q1341" s="4">
        <f>IFERROR(MATCH(1336,상세표[연속순번],0),"")</f>
        <v/>
      </c>
    </row>
    <row r="1342">
      <c r="A1342">
        <f>IF($Q1342="","",INDEX(상세표[부서],$Q1342)&amp;"")</f>
        <v/>
      </c>
      <c r="B1342">
        <f>IF($Q1342="","",INDEX(상세표[사번],$Q1342)&amp;"")</f>
        <v/>
      </c>
      <c r="C1342">
        <f>IF($Q1342="","",INDEX(상세표[성명],$Q1342)&amp;"")</f>
        <v/>
      </c>
      <c r="D1342">
        <f>IF($Q1342="","",INDEX(상세표[직위],$Q1342)&amp;"")</f>
        <v/>
      </c>
      <c r="E1342">
        <f>IF($Q1342="","",IF(ISNUMBER(INDEX(상세표[근무일자],$Q1342)),TEXT(INDEX(상세표[근무일자],$Q1342),"yyyy-mm-dd"),INDEX(상세표[근무일자],$Q1342)&amp;""))</f>
        <v/>
      </c>
      <c r="F1342">
        <f>IF($Q1342="","",IF(ISNUMBER(INDEX(상세표[시작],$Q1342)),TEXT(INDEX(상세표[시작],$Q1342),"yyyy-mm-dd hh:mm"),INDEX(상세표[시작],$Q1342)&amp;""))</f>
        <v/>
      </c>
      <c r="G1342">
        <f>IF($Q1342="","",IF(ISNUMBER(INDEX(상세표[블록종료],$Q1342)),TEXT(INDEX(상세표[블록종료],$Q1342),"yyyy-mm-dd hh:mm"),INDEX(상세표[블록종료],$Q1342)&amp;""))</f>
        <v/>
      </c>
      <c r="H1342">
        <f>IF($Q1342="","",CHOOSE(WEEKDAY(INDEX(상세표[시작],$Q1342)),"일","월","화","수","목","금","토"))</f>
        <v/>
      </c>
      <c r="I1342" s="20">
        <f>IF($Q1342="","",INDEX(상세표[연속 시간],$Q1342))</f>
        <v/>
      </c>
      <c r="J1342">
        <f>IF($Q1342="","",INDEX(상세표[기록 수],$Q1342))</f>
        <v/>
      </c>
      <c r="K1342" s="20">
        <f>IF($Q1342="","",INDEX(상세표[블록 06~07시],$Q1342))</f>
        <v/>
      </c>
      <c r="L1342" s="20">
        <f>IF($Q1342="","",INDEX(상세표[블록 07~18시],$Q1342))</f>
        <v/>
      </c>
      <c r="M1342" s="20">
        <f>IF($Q1342="","",INDEX(상세표[블록 18~22시],$Q1342))</f>
        <v/>
      </c>
      <c r="N1342" s="20">
        <f>IF($Q1342="","",INDEX(상세표[블록 22~06시],$Q1342))</f>
        <v/>
      </c>
      <c r="O1342">
        <f>IF($Q1342="","",INDEX(상세표[주말·휴일 포함],$Q1342)&amp;"")</f>
        <v/>
      </c>
      <c r="P1342">
        <f>IF($Q1342="","",INDEX(상세표[월 넘김 포함],$Q1342)&amp;"")</f>
        <v/>
      </c>
      <c r="Q1342" s="4">
        <f>IFERROR(MATCH(1337,상세표[연속순번],0),"")</f>
        <v/>
      </c>
    </row>
    <row r="1343">
      <c r="A1343">
        <f>IF($Q1343="","",INDEX(상세표[부서],$Q1343)&amp;"")</f>
        <v/>
      </c>
      <c r="B1343">
        <f>IF($Q1343="","",INDEX(상세표[사번],$Q1343)&amp;"")</f>
        <v/>
      </c>
      <c r="C1343">
        <f>IF($Q1343="","",INDEX(상세표[성명],$Q1343)&amp;"")</f>
        <v/>
      </c>
      <c r="D1343">
        <f>IF($Q1343="","",INDEX(상세표[직위],$Q1343)&amp;"")</f>
        <v/>
      </c>
      <c r="E1343">
        <f>IF($Q1343="","",IF(ISNUMBER(INDEX(상세표[근무일자],$Q1343)),TEXT(INDEX(상세표[근무일자],$Q1343),"yyyy-mm-dd"),INDEX(상세표[근무일자],$Q1343)&amp;""))</f>
        <v/>
      </c>
      <c r="F1343">
        <f>IF($Q1343="","",IF(ISNUMBER(INDEX(상세표[시작],$Q1343)),TEXT(INDEX(상세표[시작],$Q1343),"yyyy-mm-dd hh:mm"),INDEX(상세표[시작],$Q1343)&amp;""))</f>
        <v/>
      </c>
      <c r="G1343">
        <f>IF($Q1343="","",IF(ISNUMBER(INDEX(상세표[블록종료],$Q1343)),TEXT(INDEX(상세표[블록종료],$Q1343),"yyyy-mm-dd hh:mm"),INDEX(상세표[블록종료],$Q1343)&amp;""))</f>
        <v/>
      </c>
      <c r="H1343">
        <f>IF($Q1343="","",CHOOSE(WEEKDAY(INDEX(상세표[시작],$Q1343)),"일","월","화","수","목","금","토"))</f>
        <v/>
      </c>
      <c r="I1343" s="20">
        <f>IF($Q1343="","",INDEX(상세표[연속 시간],$Q1343))</f>
        <v/>
      </c>
      <c r="J1343">
        <f>IF($Q1343="","",INDEX(상세표[기록 수],$Q1343))</f>
        <v/>
      </c>
      <c r="K1343" s="20">
        <f>IF($Q1343="","",INDEX(상세표[블록 06~07시],$Q1343))</f>
        <v/>
      </c>
      <c r="L1343" s="20">
        <f>IF($Q1343="","",INDEX(상세표[블록 07~18시],$Q1343))</f>
        <v/>
      </c>
      <c r="M1343" s="20">
        <f>IF($Q1343="","",INDEX(상세표[블록 18~22시],$Q1343))</f>
        <v/>
      </c>
      <c r="N1343" s="20">
        <f>IF($Q1343="","",INDEX(상세표[블록 22~06시],$Q1343))</f>
        <v/>
      </c>
      <c r="O1343">
        <f>IF($Q1343="","",INDEX(상세표[주말·휴일 포함],$Q1343)&amp;"")</f>
        <v/>
      </c>
      <c r="P1343">
        <f>IF($Q1343="","",INDEX(상세표[월 넘김 포함],$Q1343)&amp;"")</f>
        <v/>
      </c>
      <c r="Q1343" s="4">
        <f>IFERROR(MATCH(1338,상세표[연속순번],0),"")</f>
        <v/>
      </c>
    </row>
    <row r="1344">
      <c r="A1344">
        <f>IF($Q1344="","",INDEX(상세표[부서],$Q1344)&amp;"")</f>
        <v/>
      </c>
      <c r="B1344">
        <f>IF($Q1344="","",INDEX(상세표[사번],$Q1344)&amp;"")</f>
        <v/>
      </c>
      <c r="C1344">
        <f>IF($Q1344="","",INDEX(상세표[성명],$Q1344)&amp;"")</f>
        <v/>
      </c>
      <c r="D1344">
        <f>IF($Q1344="","",INDEX(상세표[직위],$Q1344)&amp;"")</f>
        <v/>
      </c>
      <c r="E1344">
        <f>IF($Q1344="","",IF(ISNUMBER(INDEX(상세표[근무일자],$Q1344)),TEXT(INDEX(상세표[근무일자],$Q1344),"yyyy-mm-dd"),INDEX(상세표[근무일자],$Q1344)&amp;""))</f>
        <v/>
      </c>
      <c r="F1344">
        <f>IF($Q1344="","",IF(ISNUMBER(INDEX(상세표[시작],$Q1344)),TEXT(INDEX(상세표[시작],$Q1344),"yyyy-mm-dd hh:mm"),INDEX(상세표[시작],$Q1344)&amp;""))</f>
        <v/>
      </c>
      <c r="G1344">
        <f>IF($Q1344="","",IF(ISNUMBER(INDEX(상세표[블록종료],$Q1344)),TEXT(INDEX(상세표[블록종료],$Q1344),"yyyy-mm-dd hh:mm"),INDEX(상세표[블록종료],$Q1344)&amp;""))</f>
        <v/>
      </c>
      <c r="H1344">
        <f>IF($Q1344="","",CHOOSE(WEEKDAY(INDEX(상세표[시작],$Q1344)),"일","월","화","수","목","금","토"))</f>
        <v/>
      </c>
      <c r="I1344" s="20">
        <f>IF($Q1344="","",INDEX(상세표[연속 시간],$Q1344))</f>
        <v/>
      </c>
      <c r="J1344">
        <f>IF($Q1344="","",INDEX(상세표[기록 수],$Q1344))</f>
        <v/>
      </c>
      <c r="K1344" s="20">
        <f>IF($Q1344="","",INDEX(상세표[블록 06~07시],$Q1344))</f>
        <v/>
      </c>
      <c r="L1344" s="20">
        <f>IF($Q1344="","",INDEX(상세표[블록 07~18시],$Q1344))</f>
        <v/>
      </c>
      <c r="M1344" s="20">
        <f>IF($Q1344="","",INDEX(상세표[블록 18~22시],$Q1344))</f>
        <v/>
      </c>
      <c r="N1344" s="20">
        <f>IF($Q1344="","",INDEX(상세표[블록 22~06시],$Q1344))</f>
        <v/>
      </c>
      <c r="O1344">
        <f>IF($Q1344="","",INDEX(상세표[주말·휴일 포함],$Q1344)&amp;"")</f>
        <v/>
      </c>
      <c r="P1344">
        <f>IF($Q1344="","",INDEX(상세표[월 넘김 포함],$Q1344)&amp;"")</f>
        <v/>
      </c>
      <c r="Q1344" s="4">
        <f>IFERROR(MATCH(1339,상세표[연속순번],0),"")</f>
        <v/>
      </c>
    </row>
    <row r="1345">
      <c r="A1345">
        <f>IF($Q1345="","",INDEX(상세표[부서],$Q1345)&amp;"")</f>
        <v/>
      </c>
      <c r="B1345">
        <f>IF($Q1345="","",INDEX(상세표[사번],$Q1345)&amp;"")</f>
        <v/>
      </c>
      <c r="C1345">
        <f>IF($Q1345="","",INDEX(상세표[성명],$Q1345)&amp;"")</f>
        <v/>
      </c>
      <c r="D1345">
        <f>IF($Q1345="","",INDEX(상세표[직위],$Q1345)&amp;"")</f>
        <v/>
      </c>
      <c r="E1345">
        <f>IF($Q1345="","",IF(ISNUMBER(INDEX(상세표[근무일자],$Q1345)),TEXT(INDEX(상세표[근무일자],$Q1345),"yyyy-mm-dd"),INDEX(상세표[근무일자],$Q1345)&amp;""))</f>
        <v/>
      </c>
      <c r="F1345">
        <f>IF($Q1345="","",IF(ISNUMBER(INDEX(상세표[시작],$Q1345)),TEXT(INDEX(상세표[시작],$Q1345),"yyyy-mm-dd hh:mm"),INDEX(상세표[시작],$Q1345)&amp;""))</f>
        <v/>
      </c>
      <c r="G1345">
        <f>IF($Q1345="","",IF(ISNUMBER(INDEX(상세표[블록종료],$Q1345)),TEXT(INDEX(상세표[블록종료],$Q1345),"yyyy-mm-dd hh:mm"),INDEX(상세표[블록종료],$Q1345)&amp;""))</f>
        <v/>
      </c>
      <c r="H1345">
        <f>IF($Q1345="","",CHOOSE(WEEKDAY(INDEX(상세표[시작],$Q1345)),"일","월","화","수","목","금","토"))</f>
        <v/>
      </c>
      <c r="I1345" s="20">
        <f>IF($Q1345="","",INDEX(상세표[연속 시간],$Q1345))</f>
        <v/>
      </c>
      <c r="J1345">
        <f>IF($Q1345="","",INDEX(상세표[기록 수],$Q1345))</f>
        <v/>
      </c>
      <c r="K1345" s="20">
        <f>IF($Q1345="","",INDEX(상세표[블록 06~07시],$Q1345))</f>
        <v/>
      </c>
      <c r="L1345" s="20">
        <f>IF($Q1345="","",INDEX(상세표[블록 07~18시],$Q1345))</f>
        <v/>
      </c>
      <c r="M1345" s="20">
        <f>IF($Q1345="","",INDEX(상세표[블록 18~22시],$Q1345))</f>
        <v/>
      </c>
      <c r="N1345" s="20">
        <f>IF($Q1345="","",INDEX(상세표[블록 22~06시],$Q1345))</f>
        <v/>
      </c>
      <c r="O1345">
        <f>IF($Q1345="","",INDEX(상세표[주말·휴일 포함],$Q1345)&amp;"")</f>
        <v/>
      </c>
      <c r="P1345">
        <f>IF($Q1345="","",INDEX(상세표[월 넘김 포함],$Q1345)&amp;"")</f>
        <v/>
      </c>
      <c r="Q1345" s="4">
        <f>IFERROR(MATCH(1340,상세표[연속순번],0),"")</f>
        <v/>
      </c>
    </row>
    <row r="1346">
      <c r="A1346">
        <f>IF($Q1346="","",INDEX(상세표[부서],$Q1346)&amp;"")</f>
        <v/>
      </c>
      <c r="B1346">
        <f>IF($Q1346="","",INDEX(상세표[사번],$Q1346)&amp;"")</f>
        <v/>
      </c>
      <c r="C1346">
        <f>IF($Q1346="","",INDEX(상세표[성명],$Q1346)&amp;"")</f>
        <v/>
      </c>
      <c r="D1346">
        <f>IF($Q1346="","",INDEX(상세표[직위],$Q1346)&amp;"")</f>
        <v/>
      </c>
      <c r="E1346">
        <f>IF($Q1346="","",IF(ISNUMBER(INDEX(상세표[근무일자],$Q1346)),TEXT(INDEX(상세표[근무일자],$Q1346),"yyyy-mm-dd"),INDEX(상세표[근무일자],$Q1346)&amp;""))</f>
        <v/>
      </c>
      <c r="F1346">
        <f>IF($Q1346="","",IF(ISNUMBER(INDEX(상세표[시작],$Q1346)),TEXT(INDEX(상세표[시작],$Q1346),"yyyy-mm-dd hh:mm"),INDEX(상세표[시작],$Q1346)&amp;""))</f>
        <v/>
      </c>
      <c r="G1346">
        <f>IF($Q1346="","",IF(ISNUMBER(INDEX(상세표[블록종료],$Q1346)),TEXT(INDEX(상세표[블록종료],$Q1346),"yyyy-mm-dd hh:mm"),INDEX(상세표[블록종료],$Q1346)&amp;""))</f>
        <v/>
      </c>
      <c r="H1346">
        <f>IF($Q1346="","",CHOOSE(WEEKDAY(INDEX(상세표[시작],$Q1346)),"일","월","화","수","목","금","토"))</f>
        <v/>
      </c>
      <c r="I1346" s="20">
        <f>IF($Q1346="","",INDEX(상세표[연속 시간],$Q1346))</f>
        <v/>
      </c>
      <c r="J1346">
        <f>IF($Q1346="","",INDEX(상세표[기록 수],$Q1346))</f>
        <v/>
      </c>
      <c r="K1346" s="20">
        <f>IF($Q1346="","",INDEX(상세표[블록 06~07시],$Q1346))</f>
        <v/>
      </c>
      <c r="L1346" s="20">
        <f>IF($Q1346="","",INDEX(상세표[블록 07~18시],$Q1346))</f>
        <v/>
      </c>
      <c r="M1346" s="20">
        <f>IF($Q1346="","",INDEX(상세표[블록 18~22시],$Q1346))</f>
        <v/>
      </c>
      <c r="N1346" s="20">
        <f>IF($Q1346="","",INDEX(상세표[블록 22~06시],$Q1346))</f>
        <v/>
      </c>
      <c r="O1346">
        <f>IF($Q1346="","",INDEX(상세표[주말·휴일 포함],$Q1346)&amp;"")</f>
        <v/>
      </c>
      <c r="P1346">
        <f>IF($Q1346="","",INDEX(상세표[월 넘김 포함],$Q1346)&amp;"")</f>
        <v/>
      </c>
      <c r="Q1346" s="4">
        <f>IFERROR(MATCH(1341,상세표[연속순번],0),"")</f>
        <v/>
      </c>
    </row>
    <row r="1347">
      <c r="A1347">
        <f>IF($Q1347="","",INDEX(상세표[부서],$Q1347)&amp;"")</f>
        <v/>
      </c>
      <c r="B1347">
        <f>IF($Q1347="","",INDEX(상세표[사번],$Q1347)&amp;"")</f>
        <v/>
      </c>
      <c r="C1347">
        <f>IF($Q1347="","",INDEX(상세표[성명],$Q1347)&amp;"")</f>
        <v/>
      </c>
      <c r="D1347">
        <f>IF($Q1347="","",INDEX(상세표[직위],$Q1347)&amp;"")</f>
        <v/>
      </c>
      <c r="E1347">
        <f>IF($Q1347="","",IF(ISNUMBER(INDEX(상세표[근무일자],$Q1347)),TEXT(INDEX(상세표[근무일자],$Q1347),"yyyy-mm-dd"),INDEX(상세표[근무일자],$Q1347)&amp;""))</f>
        <v/>
      </c>
      <c r="F1347">
        <f>IF($Q1347="","",IF(ISNUMBER(INDEX(상세표[시작],$Q1347)),TEXT(INDEX(상세표[시작],$Q1347),"yyyy-mm-dd hh:mm"),INDEX(상세표[시작],$Q1347)&amp;""))</f>
        <v/>
      </c>
      <c r="G1347">
        <f>IF($Q1347="","",IF(ISNUMBER(INDEX(상세표[블록종료],$Q1347)),TEXT(INDEX(상세표[블록종료],$Q1347),"yyyy-mm-dd hh:mm"),INDEX(상세표[블록종료],$Q1347)&amp;""))</f>
        <v/>
      </c>
      <c r="H1347">
        <f>IF($Q1347="","",CHOOSE(WEEKDAY(INDEX(상세표[시작],$Q1347)),"일","월","화","수","목","금","토"))</f>
        <v/>
      </c>
      <c r="I1347" s="20">
        <f>IF($Q1347="","",INDEX(상세표[연속 시간],$Q1347))</f>
        <v/>
      </c>
      <c r="J1347">
        <f>IF($Q1347="","",INDEX(상세표[기록 수],$Q1347))</f>
        <v/>
      </c>
      <c r="K1347" s="20">
        <f>IF($Q1347="","",INDEX(상세표[블록 06~07시],$Q1347))</f>
        <v/>
      </c>
      <c r="L1347" s="20">
        <f>IF($Q1347="","",INDEX(상세표[블록 07~18시],$Q1347))</f>
        <v/>
      </c>
      <c r="M1347" s="20">
        <f>IF($Q1347="","",INDEX(상세표[블록 18~22시],$Q1347))</f>
        <v/>
      </c>
      <c r="N1347" s="20">
        <f>IF($Q1347="","",INDEX(상세표[블록 22~06시],$Q1347))</f>
        <v/>
      </c>
      <c r="O1347">
        <f>IF($Q1347="","",INDEX(상세표[주말·휴일 포함],$Q1347)&amp;"")</f>
        <v/>
      </c>
      <c r="P1347">
        <f>IF($Q1347="","",INDEX(상세표[월 넘김 포함],$Q1347)&amp;"")</f>
        <v/>
      </c>
      <c r="Q1347" s="4">
        <f>IFERROR(MATCH(1342,상세표[연속순번],0),"")</f>
        <v/>
      </c>
    </row>
    <row r="1348">
      <c r="A1348">
        <f>IF($Q1348="","",INDEX(상세표[부서],$Q1348)&amp;"")</f>
        <v/>
      </c>
      <c r="B1348">
        <f>IF($Q1348="","",INDEX(상세표[사번],$Q1348)&amp;"")</f>
        <v/>
      </c>
      <c r="C1348">
        <f>IF($Q1348="","",INDEX(상세표[성명],$Q1348)&amp;"")</f>
        <v/>
      </c>
      <c r="D1348">
        <f>IF($Q1348="","",INDEX(상세표[직위],$Q1348)&amp;"")</f>
        <v/>
      </c>
      <c r="E1348">
        <f>IF($Q1348="","",IF(ISNUMBER(INDEX(상세표[근무일자],$Q1348)),TEXT(INDEX(상세표[근무일자],$Q1348),"yyyy-mm-dd"),INDEX(상세표[근무일자],$Q1348)&amp;""))</f>
        <v/>
      </c>
      <c r="F1348">
        <f>IF($Q1348="","",IF(ISNUMBER(INDEX(상세표[시작],$Q1348)),TEXT(INDEX(상세표[시작],$Q1348),"yyyy-mm-dd hh:mm"),INDEX(상세표[시작],$Q1348)&amp;""))</f>
        <v/>
      </c>
      <c r="G1348">
        <f>IF($Q1348="","",IF(ISNUMBER(INDEX(상세표[블록종료],$Q1348)),TEXT(INDEX(상세표[블록종료],$Q1348),"yyyy-mm-dd hh:mm"),INDEX(상세표[블록종료],$Q1348)&amp;""))</f>
        <v/>
      </c>
      <c r="H1348">
        <f>IF($Q1348="","",CHOOSE(WEEKDAY(INDEX(상세표[시작],$Q1348)),"일","월","화","수","목","금","토"))</f>
        <v/>
      </c>
      <c r="I1348" s="20">
        <f>IF($Q1348="","",INDEX(상세표[연속 시간],$Q1348))</f>
        <v/>
      </c>
      <c r="J1348">
        <f>IF($Q1348="","",INDEX(상세표[기록 수],$Q1348))</f>
        <v/>
      </c>
      <c r="K1348" s="20">
        <f>IF($Q1348="","",INDEX(상세표[블록 06~07시],$Q1348))</f>
        <v/>
      </c>
      <c r="L1348" s="20">
        <f>IF($Q1348="","",INDEX(상세표[블록 07~18시],$Q1348))</f>
        <v/>
      </c>
      <c r="M1348" s="20">
        <f>IF($Q1348="","",INDEX(상세표[블록 18~22시],$Q1348))</f>
        <v/>
      </c>
      <c r="N1348" s="20">
        <f>IF($Q1348="","",INDEX(상세표[블록 22~06시],$Q1348))</f>
        <v/>
      </c>
      <c r="O1348">
        <f>IF($Q1348="","",INDEX(상세표[주말·휴일 포함],$Q1348)&amp;"")</f>
        <v/>
      </c>
      <c r="P1348">
        <f>IF($Q1348="","",INDEX(상세표[월 넘김 포함],$Q1348)&amp;"")</f>
        <v/>
      </c>
      <c r="Q1348" s="4">
        <f>IFERROR(MATCH(1343,상세표[연속순번],0),"")</f>
        <v/>
      </c>
    </row>
    <row r="1349">
      <c r="A1349">
        <f>IF($Q1349="","",INDEX(상세표[부서],$Q1349)&amp;"")</f>
        <v/>
      </c>
      <c r="B1349">
        <f>IF($Q1349="","",INDEX(상세표[사번],$Q1349)&amp;"")</f>
        <v/>
      </c>
      <c r="C1349">
        <f>IF($Q1349="","",INDEX(상세표[성명],$Q1349)&amp;"")</f>
        <v/>
      </c>
      <c r="D1349">
        <f>IF($Q1349="","",INDEX(상세표[직위],$Q1349)&amp;"")</f>
        <v/>
      </c>
      <c r="E1349">
        <f>IF($Q1349="","",IF(ISNUMBER(INDEX(상세표[근무일자],$Q1349)),TEXT(INDEX(상세표[근무일자],$Q1349),"yyyy-mm-dd"),INDEX(상세표[근무일자],$Q1349)&amp;""))</f>
        <v/>
      </c>
      <c r="F1349">
        <f>IF($Q1349="","",IF(ISNUMBER(INDEX(상세표[시작],$Q1349)),TEXT(INDEX(상세표[시작],$Q1349),"yyyy-mm-dd hh:mm"),INDEX(상세표[시작],$Q1349)&amp;""))</f>
        <v/>
      </c>
      <c r="G1349">
        <f>IF($Q1349="","",IF(ISNUMBER(INDEX(상세표[블록종료],$Q1349)),TEXT(INDEX(상세표[블록종료],$Q1349),"yyyy-mm-dd hh:mm"),INDEX(상세표[블록종료],$Q1349)&amp;""))</f>
        <v/>
      </c>
      <c r="H1349">
        <f>IF($Q1349="","",CHOOSE(WEEKDAY(INDEX(상세표[시작],$Q1349)),"일","월","화","수","목","금","토"))</f>
        <v/>
      </c>
      <c r="I1349" s="20">
        <f>IF($Q1349="","",INDEX(상세표[연속 시간],$Q1349))</f>
        <v/>
      </c>
      <c r="J1349">
        <f>IF($Q1349="","",INDEX(상세표[기록 수],$Q1349))</f>
        <v/>
      </c>
      <c r="K1349" s="20">
        <f>IF($Q1349="","",INDEX(상세표[블록 06~07시],$Q1349))</f>
        <v/>
      </c>
      <c r="L1349" s="20">
        <f>IF($Q1349="","",INDEX(상세표[블록 07~18시],$Q1349))</f>
        <v/>
      </c>
      <c r="M1349" s="20">
        <f>IF($Q1349="","",INDEX(상세표[블록 18~22시],$Q1349))</f>
        <v/>
      </c>
      <c r="N1349" s="20">
        <f>IF($Q1349="","",INDEX(상세표[블록 22~06시],$Q1349))</f>
        <v/>
      </c>
      <c r="O1349">
        <f>IF($Q1349="","",INDEX(상세표[주말·휴일 포함],$Q1349)&amp;"")</f>
        <v/>
      </c>
      <c r="P1349">
        <f>IF($Q1349="","",INDEX(상세표[월 넘김 포함],$Q1349)&amp;"")</f>
        <v/>
      </c>
      <c r="Q1349" s="4">
        <f>IFERROR(MATCH(1344,상세표[연속순번],0),"")</f>
        <v/>
      </c>
    </row>
    <row r="1350">
      <c r="A1350">
        <f>IF($Q1350="","",INDEX(상세표[부서],$Q1350)&amp;"")</f>
        <v/>
      </c>
      <c r="B1350">
        <f>IF($Q1350="","",INDEX(상세표[사번],$Q1350)&amp;"")</f>
        <v/>
      </c>
      <c r="C1350">
        <f>IF($Q1350="","",INDEX(상세표[성명],$Q1350)&amp;"")</f>
        <v/>
      </c>
      <c r="D1350">
        <f>IF($Q1350="","",INDEX(상세표[직위],$Q1350)&amp;"")</f>
        <v/>
      </c>
      <c r="E1350">
        <f>IF($Q1350="","",IF(ISNUMBER(INDEX(상세표[근무일자],$Q1350)),TEXT(INDEX(상세표[근무일자],$Q1350),"yyyy-mm-dd"),INDEX(상세표[근무일자],$Q1350)&amp;""))</f>
        <v/>
      </c>
      <c r="F1350">
        <f>IF($Q1350="","",IF(ISNUMBER(INDEX(상세표[시작],$Q1350)),TEXT(INDEX(상세표[시작],$Q1350),"yyyy-mm-dd hh:mm"),INDEX(상세표[시작],$Q1350)&amp;""))</f>
        <v/>
      </c>
      <c r="G1350">
        <f>IF($Q1350="","",IF(ISNUMBER(INDEX(상세표[블록종료],$Q1350)),TEXT(INDEX(상세표[블록종료],$Q1350),"yyyy-mm-dd hh:mm"),INDEX(상세표[블록종료],$Q1350)&amp;""))</f>
        <v/>
      </c>
      <c r="H1350">
        <f>IF($Q1350="","",CHOOSE(WEEKDAY(INDEX(상세표[시작],$Q1350)),"일","월","화","수","목","금","토"))</f>
        <v/>
      </c>
      <c r="I1350" s="20">
        <f>IF($Q1350="","",INDEX(상세표[연속 시간],$Q1350))</f>
        <v/>
      </c>
      <c r="J1350">
        <f>IF($Q1350="","",INDEX(상세표[기록 수],$Q1350))</f>
        <v/>
      </c>
      <c r="K1350" s="20">
        <f>IF($Q1350="","",INDEX(상세표[블록 06~07시],$Q1350))</f>
        <v/>
      </c>
      <c r="L1350" s="20">
        <f>IF($Q1350="","",INDEX(상세표[블록 07~18시],$Q1350))</f>
        <v/>
      </c>
      <c r="M1350" s="20">
        <f>IF($Q1350="","",INDEX(상세표[블록 18~22시],$Q1350))</f>
        <v/>
      </c>
      <c r="N1350" s="20">
        <f>IF($Q1350="","",INDEX(상세표[블록 22~06시],$Q1350))</f>
        <v/>
      </c>
      <c r="O1350">
        <f>IF($Q1350="","",INDEX(상세표[주말·휴일 포함],$Q1350)&amp;"")</f>
        <v/>
      </c>
      <c r="P1350">
        <f>IF($Q1350="","",INDEX(상세표[월 넘김 포함],$Q1350)&amp;"")</f>
        <v/>
      </c>
      <c r="Q1350" s="4">
        <f>IFERROR(MATCH(1345,상세표[연속순번],0),"")</f>
        <v/>
      </c>
    </row>
    <row r="1351">
      <c r="A1351">
        <f>IF($Q1351="","",INDEX(상세표[부서],$Q1351)&amp;"")</f>
        <v/>
      </c>
      <c r="B1351">
        <f>IF($Q1351="","",INDEX(상세표[사번],$Q1351)&amp;"")</f>
        <v/>
      </c>
      <c r="C1351">
        <f>IF($Q1351="","",INDEX(상세표[성명],$Q1351)&amp;"")</f>
        <v/>
      </c>
      <c r="D1351">
        <f>IF($Q1351="","",INDEX(상세표[직위],$Q1351)&amp;"")</f>
        <v/>
      </c>
      <c r="E1351">
        <f>IF($Q1351="","",IF(ISNUMBER(INDEX(상세표[근무일자],$Q1351)),TEXT(INDEX(상세표[근무일자],$Q1351),"yyyy-mm-dd"),INDEX(상세표[근무일자],$Q1351)&amp;""))</f>
        <v/>
      </c>
      <c r="F1351">
        <f>IF($Q1351="","",IF(ISNUMBER(INDEX(상세표[시작],$Q1351)),TEXT(INDEX(상세표[시작],$Q1351),"yyyy-mm-dd hh:mm"),INDEX(상세표[시작],$Q1351)&amp;""))</f>
        <v/>
      </c>
      <c r="G1351">
        <f>IF($Q1351="","",IF(ISNUMBER(INDEX(상세표[블록종료],$Q1351)),TEXT(INDEX(상세표[블록종료],$Q1351),"yyyy-mm-dd hh:mm"),INDEX(상세표[블록종료],$Q1351)&amp;""))</f>
        <v/>
      </c>
      <c r="H1351">
        <f>IF($Q1351="","",CHOOSE(WEEKDAY(INDEX(상세표[시작],$Q1351)),"일","월","화","수","목","금","토"))</f>
        <v/>
      </c>
      <c r="I1351" s="20">
        <f>IF($Q1351="","",INDEX(상세표[연속 시간],$Q1351))</f>
        <v/>
      </c>
      <c r="J1351">
        <f>IF($Q1351="","",INDEX(상세표[기록 수],$Q1351))</f>
        <v/>
      </c>
      <c r="K1351" s="20">
        <f>IF($Q1351="","",INDEX(상세표[블록 06~07시],$Q1351))</f>
        <v/>
      </c>
      <c r="L1351" s="20">
        <f>IF($Q1351="","",INDEX(상세표[블록 07~18시],$Q1351))</f>
        <v/>
      </c>
      <c r="M1351" s="20">
        <f>IF($Q1351="","",INDEX(상세표[블록 18~22시],$Q1351))</f>
        <v/>
      </c>
      <c r="N1351" s="20">
        <f>IF($Q1351="","",INDEX(상세표[블록 22~06시],$Q1351))</f>
        <v/>
      </c>
      <c r="O1351">
        <f>IF($Q1351="","",INDEX(상세표[주말·휴일 포함],$Q1351)&amp;"")</f>
        <v/>
      </c>
      <c r="P1351">
        <f>IF($Q1351="","",INDEX(상세표[월 넘김 포함],$Q1351)&amp;"")</f>
        <v/>
      </c>
      <c r="Q1351" s="4">
        <f>IFERROR(MATCH(1346,상세표[연속순번],0),"")</f>
        <v/>
      </c>
    </row>
    <row r="1352">
      <c r="A1352">
        <f>IF($Q1352="","",INDEX(상세표[부서],$Q1352)&amp;"")</f>
        <v/>
      </c>
      <c r="B1352">
        <f>IF($Q1352="","",INDEX(상세표[사번],$Q1352)&amp;"")</f>
        <v/>
      </c>
      <c r="C1352">
        <f>IF($Q1352="","",INDEX(상세표[성명],$Q1352)&amp;"")</f>
        <v/>
      </c>
      <c r="D1352">
        <f>IF($Q1352="","",INDEX(상세표[직위],$Q1352)&amp;"")</f>
        <v/>
      </c>
      <c r="E1352">
        <f>IF($Q1352="","",IF(ISNUMBER(INDEX(상세표[근무일자],$Q1352)),TEXT(INDEX(상세표[근무일자],$Q1352),"yyyy-mm-dd"),INDEX(상세표[근무일자],$Q1352)&amp;""))</f>
        <v/>
      </c>
      <c r="F1352">
        <f>IF($Q1352="","",IF(ISNUMBER(INDEX(상세표[시작],$Q1352)),TEXT(INDEX(상세표[시작],$Q1352),"yyyy-mm-dd hh:mm"),INDEX(상세표[시작],$Q1352)&amp;""))</f>
        <v/>
      </c>
      <c r="G1352">
        <f>IF($Q1352="","",IF(ISNUMBER(INDEX(상세표[블록종료],$Q1352)),TEXT(INDEX(상세표[블록종료],$Q1352),"yyyy-mm-dd hh:mm"),INDEX(상세표[블록종료],$Q1352)&amp;""))</f>
        <v/>
      </c>
      <c r="H1352">
        <f>IF($Q1352="","",CHOOSE(WEEKDAY(INDEX(상세표[시작],$Q1352)),"일","월","화","수","목","금","토"))</f>
        <v/>
      </c>
      <c r="I1352" s="20">
        <f>IF($Q1352="","",INDEX(상세표[연속 시간],$Q1352))</f>
        <v/>
      </c>
      <c r="J1352">
        <f>IF($Q1352="","",INDEX(상세표[기록 수],$Q1352))</f>
        <v/>
      </c>
      <c r="K1352" s="20">
        <f>IF($Q1352="","",INDEX(상세표[블록 06~07시],$Q1352))</f>
        <v/>
      </c>
      <c r="L1352" s="20">
        <f>IF($Q1352="","",INDEX(상세표[블록 07~18시],$Q1352))</f>
        <v/>
      </c>
      <c r="M1352" s="20">
        <f>IF($Q1352="","",INDEX(상세표[블록 18~22시],$Q1352))</f>
        <v/>
      </c>
      <c r="N1352" s="20">
        <f>IF($Q1352="","",INDEX(상세표[블록 22~06시],$Q1352))</f>
        <v/>
      </c>
      <c r="O1352">
        <f>IF($Q1352="","",INDEX(상세표[주말·휴일 포함],$Q1352)&amp;"")</f>
        <v/>
      </c>
      <c r="P1352">
        <f>IF($Q1352="","",INDEX(상세표[월 넘김 포함],$Q1352)&amp;"")</f>
        <v/>
      </c>
      <c r="Q1352" s="4">
        <f>IFERROR(MATCH(1347,상세표[연속순번],0),"")</f>
        <v/>
      </c>
    </row>
    <row r="1353">
      <c r="A1353">
        <f>IF($Q1353="","",INDEX(상세표[부서],$Q1353)&amp;"")</f>
        <v/>
      </c>
      <c r="B1353">
        <f>IF($Q1353="","",INDEX(상세표[사번],$Q1353)&amp;"")</f>
        <v/>
      </c>
      <c r="C1353">
        <f>IF($Q1353="","",INDEX(상세표[성명],$Q1353)&amp;"")</f>
        <v/>
      </c>
      <c r="D1353">
        <f>IF($Q1353="","",INDEX(상세표[직위],$Q1353)&amp;"")</f>
        <v/>
      </c>
      <c r="E1353">
        <f>IF($Q1353="","",IF(ISNUMBER(INDEX(상세표[근무일자],$Q1353)),TEXT(INDEX(상세표[근무일자],$Q1353),"yyyy-mm-dd"),INDEX(상세표[근무일자],$Q1353)&amp;""))</f>
        <v/>
      </c>
      <c r="F1353">
        <f>IF($Q1353="","",IF(ISNUMBER(INDEX(상세표[시작],$Q1353)),TEXT(INDEX(상세표[시작],$Q1353),"yyyy-mm-dd hh:mm"),INDEX(상세표[시작],$Q1353)&amp;""))</f>
        <v/>
      </c>
      <c r="G1353">
        <f>IF($Q1353="","",IF(ISNUMBER(INDEX(상세표[블록종료],$Q1353)),TEXT(INDEX(상세표[블록종료],$Q1353),"yyyy-mm-dd hh:mm"),INDEX(상세표[블록종료],$Q1353)&amp;""))</f>
        <v/>
      </c>
      <c r="H1353">
        <f>IF($Q1353="","",CHOOSE(WEEKDAY(INDEX(상세표[시작],$Q1353)),"일","월","화","수","목","금","토"))</f>
        <v/>
      </c>
      <c r="I1353" s="20">
        <f>IF($Q1353="","",INDEX(상세표[연속 시간],$Q1353))</f>
        <v/>
      </c>
      <c r="J1353">
        <f>IF($Q1353="","",INDEX(상세표[기록 수],$Q1353))</f>
        <v/>
      </c>
      <c r="K1353" s="20">
        <f>IF($Q1353="","",INDEX(상세표[블록 06~07시],$Q1353))</f>
        <v/>
      </c>
      <c r="L1353" s="20">
        <f>IF($Q1353="","",INDEX(상세표[블록 07~18시],$Q1353))</f>
        <v/>
      </c>
      <c r="M1353" s="20">
        <f>IF($Q1353="","",INDEX(상세표[블록 18~22시],$Q1353))</f>
        <v/>
      </c>
      <c r="N1353" s="20">
        <f>IF($Q1353="","",INDEX(상세표[블록 22~06시],$Q1353))</f>
        <v/>
      </c>
      <c r="O1353">
        <f>IF($Q1353="","",INDEX(상세표[주말·휴일 포함],$Q1353)&amp;"")</f>
        <v/>
      </c>
      <c r="P1353">
        <f>IF($Q1353="","",INDEX(상세표[월 넘김 포함],$Q1353)&amp;"")</f>
        <v/>
      </c>
      <c r="Q1353" s="4">
        <f>IFERROR(MATCH(1348,상세표[연속순번],0),"")</f>
        <v/>
      </c>
    </row>
    <row r="1354">
      <c r="A1354">
        <f>IF($Q1354="","",INDEX(상세표[부서],$Q1354)&amp;"")</f>
        <v/>
      </c>
      <c r="B1354">
        <f>IF($Q1354="","",INDEX(상세표[사번],$Q1354)&amp;"")</f>
        <v/>
      </c>
      <c r="C1354">
        <f>IF($Q1354="","",INDEX(상세표[성명],$Q1354)&amp;"")</f>
        <v/>
      </c>
      <c r="D1354">
        <f>IF($Q1354="","",INDEX(상세표[직위],$Q1354)&amp;"")</f>
        <v/>
      </c>
      <c r="E1354">
        <f>IF($Q1354="","",IF(ISNUMBER(INDEX(상세표[근무일자],$Q1354)),TEXT(INDEX(상세표[근무일자],$Q1354),"yyyy-mm-dd"),INDEX(상세표[근무일자],$Q1354)&amp;""))</f>
        <v/>
      </c>
      <c r="F1354">
        <f>IF($Q1354="","",IF(ISNUMBER(INDEX(상세표[시작],$Q1354)),TEXT(INDEX(상세표[시작],$Q1354),"yyyy-mm-dd hh:mm"),INDEX(상세표[시작],$Q1354)&amp;""))</f>
        <v/>
      </c>
      <c r="G1354">
        <f>IF($Q1354="","",IF(ISNUMBER(INDEX(상세표[블록종료],$Q1354)),TEXT(INDEX(상세표[블록종료],$Q1354),"yyyy-mm-dd hh:mm"),INDEX(상세표[블록종료],$Q1354)&amp;""))</f>
        <v/>
      </c>
      <c r="H1354">
        <f>IF($Q1354="","",CHOOSE(WEEKDAY(INDEX(상세표[시작],$Q1354)),"일","월","화","수","목","금","토"))</f>
        <v/>
      </c>
      <c r="I1354" s="20">
        <f>IF($Q1354="","",INDEX(상세표[연속 시간],$Q1354))</f>
        <v/>
      </c>
      <c r="J1354">
        <f>IF($Q1354="","",INDEX(상세표[기록 수],$Q1354))</f>
        <v/>
      </c>
      <c r="K1354" s="20">
        <f>IF($Q1354="","",INDEX(상세표[블록 06~07시],$Q1354))</f>
        <v/>
      </c>
      <c r="L1354" s="20">
        <f>IF($Q1354="","",INDEX(상세표[블록 07~18시],$Q1354))</f>
        <v/>
      </c>
      <c r="M1354" s="20">
        <f>IF($Q1354="","",INDEX(상세표[블록 18~22시],$Q1354))</f>
        <v/>
      </c>
      <c r="N1354" s="20">
        <f>IF($Q1354="","",INDEX(상세표[블록 22~06시],$Q1354))</f>
        <v/>
      </c>
      <c r="O1354">
        <f>IF($Q1354="","",INDEX(상세표[주말·휴일 포함],$Q1354)&amp;"")</f>
        <v/>
      </c>
      <c r="P1354">
        <f>IF($Q1354="","",INDEX(상세표[월 넘김 포함],$Q1354)&amp;"")</f>
        <v/>
      </c>
      <c r="Q1354" s="4">
        <f>IFERROR(MATCH(1349,상세표[연속순번],0),"")</f>
        <v/>
      </c>
    </row>
    <row r="1355">
      <c r="A1355">
        <f>IF($Q1355="","",INDEX(상세표[부서],$Q1355)&amp;"")</f>
        <v/>
      </c>
      <c r="B1355">
        <f>IF($Q1355="","",INDEX(상세표[사번],$Q1355)&amp;"")</f>
        <v/>
      </c>
      <c r="C1355">
        <f>IF($Q1355="","",INDEX(상세표[성명],$Q1355)&amp;"")</f>
        <v/>
      </c>
      <c r="D1355">
        <f>IF($Q1355="","",INDEX(상세표[직위],$Q1355)&amp;"")</f>
        <v/>
      </c>
      <c r="E1355">
        <f>IF($Q1355="","",IF(ISNUMBER(INDEX(상세표[근무일자],$Q1355)),TEXT(INDEX(상세표[근무일자],$Q1355),"yyyy-mm-dd"),INDEX(상세표[근무일자],$Q1355)&amp;""))</f>
        <v/>
      </c>
      <c r="F1355">
        <f>IF($Q1355="","",IF(ISNUMBER(INDEX(상세표[시작],$Q1355)),TEXT(INDEX(상세표[시작],$Q1355),"yyyy-mm-dd hh:mm"),INDEX(상세표[시작],$Q1355)&amp;""))</f>
        <v/>
      </c>
      <c r="G1355">
        <f>IF($Q1355="","",IF(ISNUMBER(INDEX(상세표[블록종료],$Q1355)),TEXT(INDEX(상세표[블록종료],$Q1355),"yyyy-mm-dd hh:mm"),INDEX(상세표[블록종료],$Q1355)&amp;""))</f>
        <v/>
      </c>
      <c r="H1355">
        <f>IF($Q1355="","",CHOOSE(WEEKDAY(INDEX(상세표[시작],$Q1355)),"일","월","화","수","목","금","토"))</f>
        <v/>
      </c>
      <c r="I1355" s="20">
        <f>IF($Q1355="","",INDEX(상세표[연속 시간],$Q1355))</f>
        <v/>
      </c>
      <c r="J1355">
        <f>IF($Q1355="","",INDEX(상세표[기록 수],$Q1355))</f>
        <v/>
      </c>
      <c r="K1355" s="20">
        <f>IF($Q1355="","",INDEX(상세표[블록 06~07시],$Q1355))</f>
        <v/>
      </c>
      <c r="L1355" s="20">
        <f>IF($Q1355="","",INDEX(상세표[블록 07~18시],$Q1355))</f>
        <v/>
      </c>
      <c r="M1355" s="20">
        <f>IF($Q1355="","",INDEX(상세표[블록 18~22시],$Q1355))</f>
        <v/>
      </c>
      <c r="N1355" s="20">
        <f>IF($Q1355="","",INDEX(상세표[블록 22~06시],$Q1355))</f>
        <v/>
      </c>
      <c r="O1355">
        <f>IF($Q1355="","",INDEX(상세표[주말·휴일 포함],$Q1355)&amp;"")</f>
        <v/>
      </c>
      <c r="P1355">
        <f>IF($Q1355="","",INDEX(상세표[월 넘김 포함],$Q1355)&amp;"")</f>
        <v/>
      </c>
      <c r="Q1355" s="4">
        <f>IFERROR(MATCH(1350,상세표[연속순번],0),"")</f>
        <v/>
      </c>
    </row>
    <row r="1356">
      <c r="A1356">
        <f>IF($Q1356="","",INDEX(상세표[부서],$Q1356)&amp;"")</f>
        <v/>
      </c>
      <c r="B1356">
        <f>IF($Q1356="","",INDEX(상세표[사번],$Q1356)&amp;"")</f>
        <v/>
      </c>
      <c r="C1356">
        <f>IF($Q1356="","",INDEX(상세표[성명],$Q1356)&amp;"")</f>
        <v/>
      </c>
      <c r="D1356">
        <f>IF($Q1356="","",INDEX(상세표[직위],$Q1356)&amp;"")</f>
        <v/>
      </c>
      <c r="E1356">
        <f>IF($Q1356="","",IF(ISNUMBER(INDEX(상세표[근무일자],$Q1356)),TEXT(INDEX(상세표[근무일자],$Q1356),"yyyy-mm-dd"),INDEX(상세표[근무일자],$Q1356)&amp;""))</f>
        <v/>
      </c>
      <c r="F1356">
        <f>IF($Q1356="","",IF(ISNUMBER(INDEX(상세표[시작],$Q1356)),TEXT(INDEX(상세표[시작],$Q1356),"yyyy-mm-dd hh:mm"),INDEX(상세표[시작],$Q1356)&amp;""))</f>
        <v/>
      </c>
      <c r="G1356">
        <f>IF($Q1356="","",IF(ISNUMBER(INDEX(상세표[블록종료],$Q1356)),TEXT(INDEX(상세표[블록종료],$Q1356),"yyyy-mm-dd hh:mm"),INDEX(상세표[블록종료],$Q1356)&amp;""))</f>
        <v/>
      </c>
      <c r="H1356">
        <f>IF($Q1356="","",CHOOSE(WEEKDAY(INDEX(상세표[시작],$Q1356)),"일","월","화","수","목","금","토"))</f>
        <v/>
      </c>
      <c r="I1356" s="20">
        <f>IF($Q1356="","",INDEX(상세표[연속 시간],$Q1356))</f>
        <v/>
      </c>
      <c r="J1356">
        <f>IF($Q1356="","",INDEX(상세표[기록 수],$Q1356))</f>
        <v/>
      </c>
      <c r="K1356" s="20">
        <f>IF($Q1356="","",INDEX(상세표[블록 06~07시],$Q1356))</f>
        <v/>
      </c>
      <c r="L1356" s="20">
        <f>IF($Q1356="","",INDEX(상세표[블록 07~18시],$Q1356))</f>
        <v/>
      </c>
      <c r="M1356" s="20">
        <f>IF($Q1356="","",INDEX(상세표[블록 18~22시],$Q1356))</f>
        <v/>
      </c>
      <c r="N1356" s="20">
        <f>IF($Q1356="","",INDEX(상세표[블록 22~06시],$Q1356))</f>
        <v/>
      </c>
      <c r="O1356">
        <f>IF($Q1356="","",INDEX(상세표[주말·휴일 포함],$Q1356)&amp;"")</f>
        <v/>
      </c>
      <c r="P1356">
        <f>IF($Q1356="","",INDEX(상세표[월 넘김 포함],$Q1356)&amp;"")</f>
        <v/>
      </c>
      <c r="Q1356" s="4">
        <f>IFERROR(MATCH(1351,상세표[연속순번],0),"")</f>
        <v/>
      </c>
    </row>
    <row r="1357">
      <c r="A1357">
        <f>IF($Q1357="","",INDEX(상세표[부서],$Q1357)&amp;"")</f>
        <v/>
      </c>
      <c r="B1357">
        <f>IF($Q1357="","",INDEX(상세표[사번],$Q1357)&amp;"")</f>
        <v/>
      </c>
      <c r="C1357">
        <f>IF($Q1357="","",INDEX(상세표[성명],$Q1357)&amp;"")</f>
        <v/>
      </c>
      <c r="D1357">
        <f>IF($Q1357="","",INDEX(상세표[직위],$Q1357)&amp;"")</f>
        <v/>
      </c>
      <c r="E1357">
        <f>IF($Q1357="","",IF(ISNUMBER(INDEX(상세표[근무일자],$Q1357)),TEXT(INDEX(상세표[근무일자],$Q1357),"yyyy-mm-dd"),INDEX(상세표[근무일자],$Q1357)&amp;""))</f>
        <v/>
      </c>
      <c r="F1357">
        <f>IF($Q1357="","",IF(ISNUMBER(INDEX(상세표[시작],$Q1357)),TEXT(INDEX(상세표[시작],$Q1357),"yyyy-mm-dd hh:mm"),INDEX(상세표[시작],$Q1357)&amp;""))</f>
        <v/>
      </c>
      <c r="G1357">
        <f>IF($Q1357="","",IF(ISNUMBER(INDEX(상세표[블록종료],$Q1357)),TEXT(INDEX(상세표[블록종료],$Q1357),"yyyy-mm-dd hh:mm"),INDEX(상세표[블록종료],$Q1357)&amp;""))</f>
        <v/>
      </c>
      <c r="H1357">
        <f>IF($Q1357="","",CHOOSE(WEEKDAY(INDEX(상세표[시작],$Q1357)),"일","월","화","수","목","금","토"))</f>
        <v/>
      </c>
      <c r="I1357" s="20">
        <f>IF($Q1357="","",INDEX(상세표[연속 시간],$Q1357))</f>
        <v/>
      </c>
      <c r="J1357">
        <f>IF($Q1357="","",INDEX(상세표[기록 수],$Q1357))</f>
        <v/>
      </c>
      <c r="K1357" s="20">
        <f>IF($Q1357="","",INDEX(상세표[블록 06~07시],$Q1357))</f>
        <v/>
      </c>
      <c r="L1357" s="20">
        <f>IF($Q1357="","",INDEX(상세표[블록 07~18시],$Q1357))</f>
        <v/>
      </c>
      <c r="M1357" s="20">
        <f>IF($Q1357="","",INDEX(상세표[블록 18~22시],$Q1357))</f>
        <v/>
      </c>
      <c r="N1357" s="20">
        <f>IF($Q1357="","",INDEX(상세표[블록 22~06시],$Q1357))</f>
        <v/>
      </c>
      <c r="O1357">
        <f>IF($Q1357="","",INDEX(상세표[주말·휴일 포함],$Q1357)&amp;"")</f>
        <v/>
      </c>
      <c r="P1357">
        <f>IF($Q1357="","",INDEX(상세표[월 넘김 포함],$Q1357)&amp;"")</f>
        <v/>
      </c>
      <c r="Q1357" s="4">
        <f>IFERROR(MATCH(1352,상세표[연속순번],0),"")</f>
        <v/>
      </c>
    </row>
    <row r="1358">
      <c r="A1358">
        <f>IF($Q1358="","",INDEX(상세표[부서],$Q1358)&amp;"")</f>
        <v/>
      </c>
      <c r="B1358">
        <f>IF($Q1358="","",INDEX(상세표[사번],$Q1358)&amp;"")</f>
        <v/>
      </c>
      <c r="C1358">
        <f>IF($Q1358="","",INDEX(상세표[성명],$Q1358)&amp;"")</f>
        <v/>
      </c>
      <c r="D1358">
        <f>IF($Q1358="","",INDEX(상세표[직위],$Q1358)&amp;"")</f>
        <v/>
      </c>
      <c r="E1358">
        <f>IF($Q1358="","",IF(ISNUMBER(INDEX(상세표[근무일자],$Q1358)),TEXT(INDEX(상세표[근무일자],$Q1358),"yyyy-mm-dd"),INDEX(상세표[근무일자],$Q1358)&amp;""))</f>
        <v/>
      </c>
      <c r="F1358">
        <f>IF($Q1358="","",IF(ISNUMBER(INDEX(상세표[시작],$Q1358)),TEXT(INDEX(상세표[시작],$Q1358),"yyyy-mm-dd hh:mm"),INDEX(상세표[시작],$Q1358)&amp;""))</f>
        <v/>
      </c>
      <c r="G1358">
        <f>IF($Q1358="","",IF(ISNUMBER(INDEX(상세표[블록종료],$Q1358)),TEXT(INDEX(상세표[블록종료],$Q1358),"yyyy-mm-dd hh:mm"),INDEX(상세표[블록종료],$Q1358)&amp;""))</f>
        <v/>
      </c>
      <c r="H1358">
        <f>IF($Q1358="","",CHOOSE(WEEKDAY(INDEX(상세표[시작],$Q1358)),"일","월","화","수","목","금","토"))</f>
        <v/>
      </c>
      <c r="I1358" s="20">
        <f>IF($Q1358="","",INDEX(상세표[연속 시간],$Q1358))</f>
        <v/>
      </c>
      <c r="J1358">
        <f>IF($Q1358="","",INDEX(상세표[기록 수],$Q1358))</f>
        <v/>
      </c>
      <c r="K1358" s="20">
        <f>IF($Q1358="","",INDEX(상세표[블록 06~07시],$Q1358))</f>
        <v/>
      </c>
      <c r="L1358" s="20">
        <f>IF($Q1358="","",INDEX(상세표[블록 07~18시],$Q1358))</f>
        <v/>
      </c>
      <c r="M1358" s="20">
        <f>IF($Q1358="","",INDEX(상세표[블록 18~22시],$Q1358))</f>
        <v/>
      </c>
      <c r="N1358" s="20">
        <f>IF($Q1358="","",INDEX(상세표[블록 22~06시],$Q1358))</f>
        <v/>
      </c>
      <c r="O1358">
        <f>IF($Q1358="","",INDEX(상세표[주말·휴일 포함],$Q1358)&amp;"")</f>
        <v/>
      </c>
      <c r="P1358">
        <f>IF($Q1358="","",INDEX(상세표[월 넘김 포함],$Q1358)&amp;"")</f>
        <v/>
      </c>
      <c r="Q1358" s="4">
        <f>IFERROR(MATCH(1353,상세표[연속순번],0),"")</f>
        <v/>
      </c>
    </row>
    <row r="1359">
      <c r="A1359">
        <f>IF($Q1359="","",INDEX(상세표[부서],$Q1359)&amp;"")</f>
        <v/>
      </c>
      <c r="B1359">
        <f>IF($Q1359="","",INDEX(상세표[사번],$Q1359)&amp;"")</f>
        <v/>
      </c>
      <c r="C1359">
        <f>IF($Q1359="","",INDEX(상세표[성명],$Q1359)&amp;"")</f>
        <v/>
      </c>
      <c r="D1359">
        <f>IF($Q1359="","",INDEX(상세표[직위],$Q1359)&amp;"")</f>
        <v/>
      </c>
      <c r="E1359">
        <f>IF($Q1359="","",IF(ISNUMBER(INDEX(상세표[근무일자],$Q1359)),TEXT(INDEX(상세표[근무일자],$Q1359),"yyyy-mm-dd"),INDEX(상세표[근무일자],$Q1359)&amp;""))</f>
        <v/>
      </c>
      <c r="F1359">
        <f>IF($Q1359="","",IF(ISNUMBER(INDEX(상세표[시작],$Q1359)),TEXT(INDEX(상세표[시작],$Q1359),"yyyy-mm-dd hh:mm"),INDEX(상세표[시작],$Q1359)&amp;""))</f>
        <v/>
      </c>
      <c r="G1359">
        <f>IF($Q1359="","",IF(ISNUMBER(INDEX(상세표[블록종료],$Q1359)),TEXT(INDEX(상세표[블록종료],$Q1359),"yyyy-mm-dd hh:mm"),INDEX(상세표[블록종료],$Q1359)&amp;""))</f>
        <v/>
      </c>
      <c r="H1359">
        <f>IF($Q1359="","",CHOOSE(WEEKDAY(INDEX(상세표[시작],$Q1359)),"일","월","화","수","목","금","토"))</f>
        <v/>
      </c>
      <c r="I1359" s="20">
        <f>IF($Q1359="","",INDEX(상세표[연속 시간],$Q1359))</f>
        <v/>
      </c>
      <c r="J1359">
        <f>IF($Q1359="","",INDEX(상세표[기록 수],$Q1359))</f>
        <v/>
      </c>
      <c r="K1359" s="20">
        <f>IF($Q1359="","",INDEX(상세표[블록 06~07시],$Q1359))</f>
        <v/>
      </c>
      <c r="L1359" s="20">
        <f>IF($Q1359="","",INDEX(상세표[블록 07~18시],$Q1359))</f>
        <v/>
      </c>
      <c r="M1359" s="20">
        <f>IF($Q1359="","",INDEX(상세표[블록 18~22시],$Q1359))</f>
        <v/>
      </c>
      <c r="N1359" s="20">
        <f>IF($Q1359="","",INDEX(상세표[블록 22~06시],$Q1359))</f>
        <v/>
      </c>
      <c r="O1359">
        <f>IF($Q1359="","",INDEX(상세표[주말·휴일 포함],$Q1359)&amp;"")</f>
        <v/>
      </c>
      <c r="P1359">
        <f>IF($Q1359="","",INDEX(상세표[월 넘김 포함],$Q1359)&amp;"")</f>
        <v/>
      </c>
      <c r="Q1359" s="4">
        <f>IFERROR(MATCH(1354,상세표[연속순번],0),"")</f>
        <v/>
      </c>
    </row>
    <row r="1360">
      <c r="A1360">
        <f>IF($Q1360="","",INDEX(상세표[부서],$Q1360)&amp;"")</f>
        <v/>
      </c>
      <c r="B1360">
        <f>IF($Q1360="","",INDEX(상세표[사번],$Q1360)&amp;"")</f>
        <v/>
      </c>
      <c r="C1360">
        <f>IF($Q1360="","",INDEX(상세표[성명],$Q1360)&amp;"")</f>
        <v/>
      </c>
      <c r="D1360">
        <f>IF($Q1360="","",INDEX(상세표[직위],$Q1360)&amp;"")</f>
        <v/>
      </c>
      <c r="E1360">
        <f>IF($Q1360="","",IF(ISNUMBER(INDEX(상세표[근무일자],$Q1360)),TEXT(INDEX(상세표[근무일자],$Q1360),"yyyy-mm-dd"),INDEX(상세표[근무일자],$Q1360)&amp;""))</f>
        <v/>
      </c>
      <c r="F1360">
        <f>IF($Q1360="","",IF(ISNUMBER(INDEX(상세표[시작],$Q1360)),TEXT(INDEX(상세표[시작],$Q1360),"yyyy-mm-dd hh:mm"),INDEX(상세표[시작],$Q1360)&amp;""))</f>
        <v/>
      </c>
      <c r="G1360">
        <f>IF($Q1360="","",IF(ISNUMBER(INDEX(상세표[블록종료],$Q1360)),TEXT(INDEX(상세표[블록종료],$Q1360),"yyyy-mm-dd hh:mm"),INDEX(상세표[블록종료],$Q1360)&amp;""))</f>
        <v/>
      </c>
      <c r="H1360">
        <f>IF($Q1360="","",CHOOSE(WEEKDAY(INDEX(상세표[시작],$Q1360)),"일","월","화","수","목","금","토"))</f>
        <v/>
      </c>
      <c r="I1360" s="20">
        <f>IF($Q1360="","",INDEX(상세표[연속 시간],$Q1360))</f>
        <v/>
      </c>
      <c r="J1360">
        <f>IF($Q1360="","",INDEX(상세표[기록 수],$Q1360))</f>
        <v/>
      </c>
      <c r="K1360" s="20">
        <f>IF($Q1360="","",INDEX(상세표[블록 06~07시],$Q1360))</f>
        <v/>
      </c>
      <c r="L1360" s="20">
        <f>IF($Q1360="","",INDEX(상세표[블록 07~18시],$Q1360))</f>
        <v/>
      </c>
      <c r="M1360" s="20">
        <f>IF($Q1360="","",INDEX(상세표[블록 18~22시],$Q1360))</f>
        <v/>
      </c>
      <c r="N1360" s="20">
        <f>IF($Q1360="","",INDEX(상세표[블록 22~06시],$Q1360))</f>
        <v/>
      </c>
      <c r="O1360">
        <f>IF($Q1360="","",INDEX(상세표[주말·휴일 포함],$Q1360)&amp;"")</f>
        <v/>
      </c>
      <c r="P1360">
        <f>IF($Q1360="","",INDEX(상세표[월 넘김 포함],$Q1360)&amp;"")</f>
        <v/>
      </c>
      <c r="Q1360" s="4">
        <f>IFERROR(MATCH(1355,상세표[연속순번],0),"")</f>
        <v/>
      </c>
    </row>
    <row r="1361">
      <c r="A1361">
        <f>IF($Q1361="","",INDEX(상세표[부서],$Q1361)&amp;"")</f>
        <v/>
      </c>
      <c r="B1361">
        <f>IF($Q1361="","",INDEX(상세표[사번],$Q1361)&amp;"")</f>
        <v/>
      </c>
      <c r="C1361">
        <f>IF($Q1361="","",INDEX(상세표[성명],$Q1361)&amp;"")</f>
        <v/>
      </c>
      <c r="D1361">
        <f>IF($Q1361="","",INDEX(상세표[직위],$Q1361)&amp;"")</f>
        <v/>
      </c>
      <c r="E1361">
        <f>IF($Q1361="","",IF(ISNUMBER(INDEX(상세표[근무일자],$Q1361)),TEXT(INDEX(상세표[근무일자],$Q1361),"yyyy-mm-dd"),INDEX(상세표[근무일자],$Q1361)&amp;""))</f>
        <v/>
      </c>
      <c r="F1361">
        <f>IF($Q1361="","",IF(ISNUMBER(INDEX(상세표[시작],$Q1361)),TEXT(INDEX(상세표[시작],$Q1361),"yyyy-mm-dd hh:mm"),INDEX(상세표[시작],$Q1361)&amp;""))</f>
        <v/>
      </c>
      <c r="G1361">
        <f>IF($Q1361="","",IF(ISNUMBER(INDEX(상세표[블록종료],$Q1361)),TEXT(INDEX(상세표[블록종료],$Q1361),"yyyy-mm-dd hh:mm"),INDEX(상세표[블록종료],$Q1361)&amp;""))</f>
        <v/>
      </c>
      <c r="H1361">
        <f>IF($Q1361="","",CHOOSE(WEEKDAY(INDEX(상세표[시작],$Q1361)),"일","월","화","수","목","금","토"))</f>
        <v/>
      </c>
      <c r="I1361" s="20">
        <f>IF($Q1361="","",INDEX(상세표[연속 시간],$Q1361))</f>
        <v/>
      </c>
      <c r="J1361">
        <f>IF($Q1361="","",INDEX(상세표[기록 수],$Q1361))</f>
        <v/>
      </c>
      <c r="K1361" s="20">
        <f>IF($Q1361="","",INDEX(상세표[블록 06~07시],$Q1361))</f>
        <v/>
      </c>
      <c r="L1361" s="20">
        <f>IF($Q1361="","",INDEX(상세표[블록 07~18시],$Q1361))</f>
        <v/>
      </c>
      <c r="M1361" s="20">
        <f>IF($Q1361="","",INDEX(상세표[블록 18~22시],$Q1361))</f>
        <v/>
      </c>
      <c r="N1361" s="20">
        <f>IF($Q1361="","",INDEX(상세표[블록 22~06시],$Q1361))</f>
        <v/>
      </c>
      <c r="O1361">
        <f>IF($Q1361="","",INDEX(상세표[주말·휴일 포함],$Q1361)&amp;"")</f>
        <v/>
      </c>
      <c r="P1361">
        <f>IF($Q1361="","",INDEX(상세표[월 넘김 포함],$Q1361)&amp;"")</f>
        <v/>
      </c>
      <c r="Q1361" s="4">
        <f>IFERROR(MATCH(1356,상세표[연속순번],0),"")</f>
        <v/>
      </c>
    </row>
    <row r="1362">
      <c r="A1362">
        <f>IF($Q1362="","",INDEX(상세표[부서],$Q1362)&amp;"")</f>
        <v/>
      </c>
      <c r="B1362">
        <f>IF($Q1362="","",INDEX(상세표[사번],$Q1362)&amp;"")</f>
        <v/>
      </c>
      <c r="C1362">
        <f>IF($Q1362="","",INDEX(상세표[성명],$Q1362)&amp;"")</f>
        <v/>
      </c>
      <c r="D1362">
        <f>IF($Q1362="","",INDEX(상세표[직위],$Q1362)&amp;"")</f>
        <v/>
      </c>
      <c r="E1362">
        <f>IF($Q1362="","",IF(ISNUMBER(INDEX(상세표[근무일자],$Q1362)),TEXT(INDEX(상세표[근무일자],$Q1362),"yyyy-mm-dd"),INDEX(상세표[근무일자],$Q1362)&amp;""))</f>
        <v/>
      </c>
      <c r="F1362">
        <f>IF($Q1362="","",IF(ISNUMBER(INDEX(상세표[시작],$Q1362)),TEXT(INDEX(상세표[시작],$Q1362),"yyyy-mm-dd hh:mm"),INDEX(상세표[시작],$Q1362)&amp;""))</f>
        <v/>
      </c>
      <c r="G1362">
        <f>IF($Q1362="","",IF(ISNUMBER(INDEX(상세표[블록종료],$Q1362)),TEXT(INDEX(상세표[블록종료],$Q1362),"yyyy-mm-dd hh:mm"),INDEX(상세표[블록종료],$Q1362)&amp;""))</f>
        <v/>
      </c>
      <c r="H1362">
        <f>IF($Q1362="","",CHOOSE(WEEKDAY(INDEX(상세표[시작],$Q1362)),"일","월","화","수","목","금","토"))</f>
        <v/>
      </c>
      <c r="I1362" s="20">
        <f>IF($Q1362="","",INDEX(상세표[연속 시간],$Q1362))</f>
        <v/>
      </c>
      <c r="J1362">
        <f>IF($Q1362="","",INDEX(상세표[기록 수],$Q1362))</f>
        <v/>
      </c>
      <c r="K1362" s="20">
        <f>IF($Q1362="","",INDEX(상세표[블록 06~07시],$Q1362))</f>
        <v/>
      </c>
      <c r="L1362" s="20">
        <f>IF($Q1362="","",INDEX(상세표[블록 07~18시],$Q1362))</f>
        <v/>
      </c>
      <c r="M1362" s="20">
        <f>IF($Q1362="","",INDEX(상세표[블록 18~22시],$Q1362))</f>
        <v/>
      </c>
      <c r="N1362" s="20">
        <f>IF($Q1362="","",INDEX(상세표[블록 22~06시],$Q1362))</f>
        <v/>
      </c>
      <c r="O1362">
        <f>IF($Q1362="","",INDEX(상세표[주말·휴일 포함],$Q1362)&amp;"")</f>
        <v/>
      </c>
      <c r="P1362">
        <f>IF($Q1362="","",INDEX(상세표[월 넘김 포함],$Q1362)&amp;"")</f>
        <v/>
      </c>
      <c r="Q1362" s="4">
        <f>IFERROR(MATCH(1357,상세표[연속순번],0),"")</f>
        <v/>
      </c>
    </row>
    <row r="1363">
      <c r="A1363">
        <f>IF($Q1363="","",INDEX(상세표[부서],$Q1363)&amp;"")</f>
        <v/>
      </c>
      <c r="B1363">
        <f>IF($Q1363="","",INDEX(상세표[사번],$Q1363)&amp;"")</f>
        <v/>
      </c>
      <c r="C1363">
        <f>IF($Q1363="","",INDEX(상세표[성명],$Q1363)&amp;"")</f>
        <v/>
      </c>
      <c r="D1363">
        <f>IF($Q1363="","",INDEX(상세표[직위],$Q1363)&amp;"")</f>
        <v/>
      </c>
      <c r="E1363">
        <f>IF($Q1363="","",IF(ISNUMBER(INDEX(상세표[근무일자],$Q1363)),TEXT(INDEX(상세표[근무일자],$Q1363),"yyyy-mm-dd"),INDEX(상세표[근무일자],$Q1363)&amp;""))</f>
        <v/>
      </c>
      <c r="F1363">
        <f>IF($Q1363="","",IF(ISNUMBER(INDEX(상세표[시작],$Q1363)),TEXT(INDEX(상세표[시작],$Q1363),"yyyy-mm-dd hh:mm"),INDEX(상세표[시작],$Q1363)&amp;""))</f>
        <v/>
      </c>
      <c r="G1363">
        <f>IF($Q1363="","",IF(ISNUMBER(INDEX(상세표[블록종료],$Q1363)),TEXT(INDEX(상세표[블록종료],$Q1363),"yyyy-mm-dd hh:mm"),INDEX(상세표[블록종료],$Q1363)&amp;""))</f>
        <v/>
      </c>
      <c r="H1363">
        <f>IF($Q1363="","",CHOOSE(WEEKDAY(INDEX(상세표[시작],$Q1363)),"일","월","화","수","목","금","토"))</f>
        <v/>
      </c>
      <c r="I1363" s="20">
        <f>IF($Q1363="","",INDEX(상세표[연속 시간],$Q1363))</f>
        <v/>
      </c>
      <c r="J1363">
        <f>IF($Q1363="","",INDEX(상세표[기록 수],$Q1363))</f>
        <v/>
      </c>
      <c r="K1363" s="20">
        <f>IF($Q1363="","",INDEX(상세표[블록 06~07시],$Q1363))</f>
        <v/>
      </c>
      <c r="L1363" s="20">
        <f>IF($Q1363="","",INDEX(상세표[블록 07~18시],$Q1363))</f>
        <v/>
      </c>
      <c r="M1363" s="20">
        <f>IF($Q1363="","",INDEX(상세표[블록 18~22시],$Q1363))</f>
        <v/>
      </c>
      <c r="N1363" s="20">
        <f>IF($Q1363="","",INDEX(상세표[블록 22~06시],$Q1363))</f>
        <v/>
      </c>
      <c r="O1363">
        <f>IF($Q1363="","",INDEX(상세표[주말·휴일 포함],$Q1363)&amp;"")</f>
        <v/>
      </c>
      <c r="P1363">
        <f>IF($Q1363="","",INDEX(상세표[월 넘김 포함],$Q1363)&amp;"")</f>
        <v/>
      </c>
      <c r="Q1363" s="4">
        <f>IFERROR(MATCH(1358,상세표[연속순번],0),"")</f>
        <v/>
      </c>
    </row>
    <row r="1364">
      <c r="A1364">
        <f>IF($Q1364="","",INDEX(상세표[부서],$Q1364)&amp;"")</f>
        <v/>
      </c>
      <c r="B1364">
        <f>IF($Q1364="","",INDEX(상세표[사번],$Q1364)&amp;"")</f>
        <v/>
      </c>
      <c r="C1364">
        <f>IF($Q1364="","",INDEX(상세표[성명],$Q1364)&amp;"")</f>
        <v/>
      </c>
      <c r="D1364">
        <f>IF($Q1364="","",INDEX(상세표[직위],$Q1364)&amp;"")</f>
        <v/>
      </c>
      <c r="E1364">
        <f>IF($Q1364="","",IF(ISNUMBER(INDEX(상세표[근무일자],$Q1364)),TEXT(INDEX(상세표[근무일자],$Q1364),"yyyy-mm-dd"),INDEX(상세표[근무일자],$Q1364)&amp;""))</f>
        <v/>
      </c>
      <c r="F1364">
        <f>IF($Q1364="","",IF(ISNUMBER(INDEX(상세표[시작],$Q1364)),TEXT(INDEX(상세표[시작],$Q1364),"yyyy-mm-dd hh:mm"),INDEX(상세표[시작],$Q1364)&amp;""))</f>
        <v/>
      </c>
      <c r="G1364">
        <f>IF($Q1364="","",IF(ISNUMBER(INDEX(상세표[블록종료],$Q1364)),TEXT(INDEX(상세표[블록종료],$Q1364),"yyyy-mm-dd hh:mm"),INDEX(상세표[블록종료],$Q1364)&amp;""))</f>
        <v/>
      </c>
      <c r="H1364">
        <f>IF($Q1364="","",CHOOSE(WEEKDAY(INDEX(상세표[시작],$Q1364)),"일","월","화","수","목","금","토"))</f>
        <v/>
      </c>
      <c r="I1364" s="20">
        <f>IF($Q1364="","",INDEX(상세표[연속 시간],$Q1364))</f>
        <v/>
      </c>
      <c r="J1364">
        <f>IF($Q1364="","",INDEX(상세표[기록 수],$Q1364))</f>
        <v/>
      </c>
      <c r="K1364" s="20">
        <f>IF($Q1364="","",INDEX(상세표[블록 06~07시],$Q1364))</f>
        <v/>
      </c>
      <c r="L1364" s="20">
        <f>IF($Q1364="","",INDEX(상세표[블록 07~18시],$Q1364))</f>
        <v/>
      </c>
      <c r="M1364" s="20">
        <f>IF($Q1364="","",INDEX(상세표[블록 18~22시],$Q1364))</f>
        <v/>
      </c>
      <c r="N1364" s="20">
        <f>IF($Q1364="","",INDEX(상세표[블록 22~06시],$Q1364))</f>
        <v/>
      </c>
      <c r="O1364">
        <f>IF($Q1364="","",INDEX(상세표[주말·휴일 포함],$Q1364)&amp;"")</f>
        <v/>
      </c>
      <c r="P1364">
        <f>IF($Q1364="","",INDEX(상세표[월 넘김 포함],$Q1364)&amp;"")</f>
        <v/>
      </c>
      <c r="Q1364" s="4">
        <f>IFERROR(MATCH(1359,상세표[연속순번],0),"")</f>
        <v/>
      </c>
    </row>
    <row r="1365">
      <c r="A1365">
        <f>IF($Q1365="","",INDEX(상세표[부서],$Q1365)&amp;"")</f>
        <v/>
      </c>
      <c r="B1365">
        <f>IF($Q1365="","",INDEX(상세표[사번],$Q1365)&amp;"")</f>
        <v/>
      </c>
      <c r="C1365">
        <f>IF($Q1365="","",INDEX(상세표[성명],$Q1365)&amp;"")</f>
        <v/>
      </c>
      <c r="D1365">
        <f>IF($Q1365="","",INDEX(상세표[직위],$Q1365)&amp;"")</f>
        <v/>
      </c>
      <c r="E1365">
        <f>IF($Q1365="","",IF(ISNUMBER(INDEX(상세표[근무일자],$Q1365)),TEXT(INDEX(상세표[근무일자],$Q1365),"yyyy-mm-dd"),INDEX(상세표[근무일자],$Q1365)&amp;""))</f>
        <v/>
      </c>
      <c r="F1365">
        <f>IF($Q1365="","",IF(ISNUMBER(INDEX(상세표[시작],$Q1365)),TEXT(INDEX(상세표[시작],$Q1365),"yyyy-mm-dd hh:mm"),INDEX(상세표[시작],$Q1365)&amp;""))</f>
        <v/>
      </c>
      <c r="G1365">
        <f>IF($Q1365="","",IF(ISNUMBER(INDEX(상세표[블록종료],$Q1365)),TEXT(INDEX(상세표[블록종료],$Q1365),"yyyy-mm-dd hh:mm"),INDEX(상세표[블록종료],$Q1365)&amp;""))</f>
        <v/>
      </c>
      <c r="H1365">
        <f>IF($Q1365="","",CHOOSE(WEEKDAY(INDEX(상세표[시작],$Q1365)),"일","월","화","수","목","금","토"))</f>
        <v/>
      </c>
      <c r="I1365" s="20">
        <f>IF($Q1365="","",INDEX(상세표[연속 시간],$Q1365))</f>
        <v/>
      </c>
      <c r="J1365">
        <f>IF($Q1365="","",INDEX(상세표[기록 수],$Q1365))</f>
        <v/>
      </c>
      <c r="K1365" s="20">
        <f>IF($Q1365="","",INDEX(상세표[블록 06~07시],$Q1365))</f>
        <v/>
      </c>
      <c r="L1365" s="20">
        <f>IF($Q1365="","",INDEX(상세표[블록 07~18시],$Q1365))</f>
        <v/>
      </c>
      <c r="M1365" s="20">
        <f>IF($Q1365="","",INDEX(상세표[블록 18~22시],$Q1365))</f>
        <v/>
      </c>
      <c r="N1365" s="20">
        <f>IF($Q1365="","",INDEX(상세표[블록 22~06시],$Q1365))</f>
        <v/>
      </c>
      <c r="O1365">
        <f>IF($Q1365="","",INDEX(상세표[주말·휴일 포함],$Q1365)&amp;"")</f>
        <v/>
      </c>
      <c r="P1365">
        <f>IF($Q1365="","",INDEX(상세표[월 넘김 포함],$Q1365)&amp;"")</f>
        <v/>
      </c>
      <c r="Q1365" s="4">
        <f>IFERROR(MATCH(1360,상세표[연속순번],0),"")</f>
        <v/>
      </c>
    </row>
    <row r="1366">
      <c r="A1366">
        <f>IF($Q1366="","",INDEX(상세표[부서],$Q1366)&amp;"")</f>
        <v/>
      </c>
      <c r="B1366">
        <f>IF($Q1366="","",INDEX(상세표[사번],$Q1366)&amp;"")</f>
        <v/>
      </c>
      <c r="C1366">
        <f>IF($Q1366="","",INDEX(상세표[성명],$Q1366)&amp;"")</f>
        <v/>
      </c>
      <c r="D1366">
        <f>IF($Q1366="","",INDEX(상세표[직위],$Q1366)&amp;"")</f>
        <v/>
      </c>
      <c r="E1366">
        <f>IF($Q1366="","",IF(ISNUMBER(INDEX(상세표[근무일자],$Q1366)),TEXT(INDEX(상세표[근무일자],$Q1366),"yyyy-mm-dd"),INDEX(상세표[근무일자],$Q1366)&amp;""))</f>
        <v/>
      </c>
      <c r="F1366">
        <f>IF($Q1366="","",IF(ISNUMBER(INDEX(상세표[시작],$Q1366)),TEXT(INDEX(상세표[시작],$Q1366),"yyyy-mm-dd hh:mm"),INDEX(상세표[시작],$Q1366)&amp;""))</f>
        <v/>
      </c>
      <c r="G1366">
        <f>IF($Q1366="","",IF(ISNUMBER(INDEX(상세표[블록종료],$Q1366)),TEXT(INDEX(상세표[블록종료],$Q1366),"yyyy-mm-dd hh:mm"),INDEX(상세표[블록종료],$Q1366)&amp;""))</f>
        <v/>
      </c>
      <c r="H1366">
        <f>IF($Q1366="","",CHOOSE(WEEKDAY(INDEX(상세표[시작],$Q1366)),"일","월","화","수","목","금","토"))</f>
        <v/>
      </c>
      <c r="I1366" s="20">
        <f>IF($Q1366="","",INDEX(상세표[연속 시간],$Q1366))</f>
        <v/>
      </c>
      <c r="J1366">
        <f>IF($Q1366="","",INDEX(상세표[기록 수],$Q1366))</f>
        <v/>
      </c>
      <c r="K1366" s="20">
        <f>IF($Q1366="","",INDEX(상세표[블록 06~07시],$Q1366))</f>
        <v/>
      </c>
      <c r="L1366" s="20">
        <f>IF($Q1366="","",INDEX(상세표[블록 07~18시],$Q1366))</f>
        <v/>
      </c>
      <c r="M1366" s="20">
        <f>IF($Q1366="","",INDEX(상세표[블록 18~22시],$Q1366))</f>
        <v/>
      </c>
      <c r="N1366" s="20">
        <f>IF($Q1366="","",INDEX(상세표[블록 22~06시],$Q1366))</f>
        <v/>
      </c>
      <c r="O1366">
        <f>IF($Q1366="","",INDEX(상세표[주말·휴일 포함],$Q1366)&amp;"")</f>
        <v/>
      </c>
      <c r="P1366">
        <f>IF($Q1366="","",INDEX(상세표[월 넘김 포함],$Q1366)&amp;"")</f>
        <v/>
      </c>
      <c r="Q1366" s="4">
        <f>IFERROR(MATCH(1361,상세표[연속순번],0),"")</f>
        <v/>
      </c>
    </row>
    <row r="1367">
      <c r="A1367">
        <f>IF($Q1367="","",INDEX(상세표[부서],$Q1367)&amp;"")</f>
        <v/>
      </c>
      <c r="B1367">
        <f>IF($Q1367="","",INDEX(상세표[사번],$Q1367)&amp;"")</f>
        <v/>
      </c>
      <c r="C1367">
        <f>IF($Q1367="","",INDEX(상세표[성명],$Q1367)&amp;"")</f>
        <v/>
      </c>
      <c r="D1367">
        <f>IF($Q1367="","",INDEX(상세표[직위],$Q1367)&amp;"")</f>
        <v/>
      </c>
      <c r="E1367">
        <f>IF($Q1367="","",IF(ISNUMBER(INDEX(상세표[근무일자],$Q1367)),TEXT(INDEX(상세표[근무일자],$Q1367),"yyyy-mm-dd"),INDEX(상세표[근무일자],$Q1367)&amp;""))</f>
        <v/>
      </c>
      <c r="F1367">
        <f>IF($Q1367="","",IF(ISNUMBER(INDEX(상세표[시작],$Q1367)),TEXT(INDEX(상세표[시작],$Q1367),"yyyy-mm-dd hh:mm"),INDEX(상세표[시작],$Q1367)&amp;""))</f>
        <v/>
      </c>
      <c r="G1367">
        <f>IF($Q1367="","",IF(ISNUMBER(INDEX(상세표[블록종료],$Q1367)),TEXT(INDEX(상세표[블록종료],$Q1367),"yyyy-mm-dd hh:mm"),INDEX(상세표[블록종료],$Q1367)&amp;""))</f>
        <v/>
      </c>
      <c r="H1367">
        <f>IF($Q1367="","",CHOOSE(WEEKDAY(INDEX(상세표[시작],$Q1367)),"일","월","화","수","목","금","토"))</f>
        <v/>
      </c>
      <c r="I1367" s="20">
        <f>IF($Q1367="","",INDEX(상세표[연속 시간],$Q1367))</f>
        <v/>
      </c>
      <c r="J1367">
        <f>IF($Q1367="","",INDEX(상세표[기록 수],$Q1367))</f>
        <v/>
      </c>
      <c r="K1367" s="20">
        <f>IF($Q1367="","",INDEX(상세표[블록 06~07시],$Q1367))</f>
        <v/>
      </c>
      <c r="L1367" s="20">
        <f>IF($Q1367="","",INDEX(상세표[블록 07~18시],$Q1367))</f>
        <v/>
      </c>
      <c r="M1367" s="20">
        <f>IF($Q1367="","",INDEX(상세표[블록 18~22시],$Q1367))</f>
        <v/>
      </c>
      <c r="N1367" s="20">
        <f>IF($Q1367="","",INDEX(상세표[블록 22~06시],$Q1367))</f>
        <v/>
      </c>
      <c r="O1367">
        <f>IF($Q1367="","",INDEX(상세표[주말·휴일 포함],$Q1367)&amp;"")</f>
        <v/>
      </c>
      <c r="P1367">
        <f>IF($Q1367="","",INDEX(상세표[월 넘김 포함],$Q1367)&amp;"")</f>
        <v/>
      </c>
      <c r="Q1367" s="4">
        <f>IFERROR(MATCH(1362,상세표[연속순번],0),"")</f>
        <v/>
      </c>
    </row>
    <row r="1368">
      <c r="A1368">
        <f>IF($Q1368="","",INDEX(상세표[부서],$Q1368)&amp;"")</f>
        <v/>
      </c>
      <c r="B1368">
        <f>IF($Q1368="","",INDEX(상세표[사번],$Q1368)&amp;"")</f>
        <v/>
      </c>
      <c r="C1368">
        <f>IF($Q1368="","",INDEX(상세표[성명],$Q1368)&amp;"")</f>
        <v/>
      </c>
      <c r="D1368">
        <f>IF($Q1368="","",INDEX(상세표[직위],$Q1368)&amp;"")</f>
        <v/>
      </c>
      <c r="E1368">
        <f>IF($Q1368="","",IF(ISNUMBER(INDEX(상세표[근무일자],$Q1368)),TEXT(INDEX(상세표[근무일자],$Q1368),"yyyy-mm-dd"),INDEX(상세표[근무일자],$Q1368)&amp;""))</f>
        <v/>
      </c>
      <c r="F1368">
        <f>IF($Q1368="","",IF(ISNUMBER(INDEX(상세표[시작],$Q1368)),TEXT(INDEX(상세표[시작],$Q1368),"yyyy-mm-dd hh:mm"),INDEX(상세표[시작],$Q1368)&amp;""))</f>
        <v/>
      </c>
      <c r="G1368">
        <f>IF($Q1368="","",IF(ISNUMBER(INDEX(상세표[블록종료],$Q1368)),TEXT(INDEX(상세표[블록종료],$Q1368),"yyyy-mm-dd hh:mm"),INDEX(상세표[블록종료],$Q1368)&amp;""))</f>
        <v/>
      </c>
      <c r="H1368">
        <f>IF($Q1368="","",CHOOSE(WEEKDAY(INDEX(상세표[시작],$Q1368)),"일","월","화","수","목","금","토"))</f>
        <v/>
      </c>
      <c r="I1368" s="20">
        <f>IF($Q1368="","",INDEX(상세표[연속 시간],$Q1368))</f>
        <v/>
      </c>
      <c r="J1368">
        <f>IF($Q1368="","",INDEX(상세표[기록 수],$Q1368))</f>
        <v/>
      </c>
      <c r="K1368" s="20">
        <f>IF($Q1368="","",INDEX(상세표[블록 06~07시],$Q1368))</f>
        <v/>
      </c>
      <c r="L1368" s="20">
        <f>IF($Q1368="","",INDEX(상세표[블록 07~18시],$Q1368))</f>
        <v/>
      </c>
      <c r="M1368" s="20">
        <f>IF($Q1368="","",INDEX(상세표[블록 18~22시],$Q1368))</f>
        <v/>
      </c>
      <c r="N1368" s="20">
        <f>IF($Q1368="","",INDEX(상세표[블록 22~06시],$Q1368))</f>
        <v/>
      </c>
      <c r="O1368">
        <f>IF($Q1368="","",INDEX(상세표[주말·휴일 포함],$Q1368)&amp;"")</f>
        <v/>
      </c>
      <c r="P1368">
        <f>IF($Q1368="","",INDEX(상세표[월 넘김 포함],$Q1368)&amp;"")</f>
        <v/>
      </c>
      <c r="Q1368" s="4">
        <f>IFERROR(MATCH(1363,상세표[연속순번],0),"")</f>
        <v/>
      </c>
    </row>
    <row r="1369">
      <c r="A1369">
        <f>IF($Q1369="","",INDEX(상세표[부서],$Q1369)&amp;"")</f>
        <v/>
      </c>
      <c r="B1369">
        <f>IF($Q1369="","",INDEX(상세표[사번],$Q1369)&amp;"")</f>
        <v/>
      </c>
      <c r="C1369">
        <f>IF($Q1369="","",INDEX(상세표[성명],$Q1369)&amp;"")</f>
        <v/>
      </c>
      <c r="D1369">
        <f>IF($Q1369="","",INDEX(상세표[직위],$Q1369)&amp;"")</f>
        <v/>
      </c>
      <c r="E1369">
        <f>IF($Q1369="","",IF(ISNUMBER(INDEX(상세표[근무일자],$Q1369)),TEXT(INDEX(상세표[근무일자],$Q1369),"yyyy-mm-dd"),INDEX(상세표[근무일자],$Q1369)&amp;""))</f>
        <v/>
      </c>
      <c r="F1369">
        <f>IF($Q1369="","",IF(ISNUMBER(INDEX(상세표[시작],$Q1369)),TEXT(INDEX(상세표[시작],$Q1369),"yyyy-mm-dd hh:mm"),INDEX(상세표[시작],$Q1369)&amp;""))</f>
        <v/>
      </c>
      <c r="G1369">
        <f>IF($Q1369="","",IF(ISNUMBER(INDEX(상세표[블록종료],$Q1369)),TEXT(INDEX(상세표[블록종료],$Q1369),"yyyy-mm-dd hh:mm"),INDEX(상세표[블록종료],$Q1369)&amp;""))</f>
        <v/>
      </c>
      <c r="H1369">
        <f>IF($Q1369="","",CHOOSE(WEEKDAY(INDEX(상세표[시작],$Q1369)),"일","월","화","수","목","금","토"))</f>
        <v/>
      </c>
      <c r="I1369" s="20">
        <f>IF($Q1369="","",INDEX(상세표[연속 시간],$Q1369))</f>
        <v/>
      </c>
      <c r="J1369">
        <f>IF($Q1369="","",INDEX(상세표[기록 수],$Q1369))</f>
        <v/>
      </c>
      <c r="K1369" s="20">
        <f>IF($Q1369="","",INDEX(상세표[블록 06~07시],$Q1369))</f>
        <v/>
      </c>
      <c r="L1369" s="20">
        <f>IF($Q1369="","",INDEX(상세표[블록 07~18시],$Q1369))</f>
        <v/>
      </c>
      <c r="M1369" s="20">
        <f>IF($Q1369="","",INDEX(상세표[블록 18~22시],$Q1369))</f>
        <v/>
      </c>
      <c r="N1369" s="20">
        <f>IF($Q1369="","",INDEX(상세표[블록 22~06시],$Q1369))</f>
        <v/>
      </c>
      <c r="O1369">
        <f>IF($Q1369="","",INDEX(상세표[주말·휴일 포함],$Q1369)&amp;"")</f>
        <v/>
      </c>
      <c r="P1369">
        <f>IF($Q1369="","",INDEX(상세표[월 넘김 포함],$Q1369)&amp;"")</f>
        <v/>
      </c>
      <c r="Q1369" s="4">
        <f>IFERROR(MATCH(1364,상세표[연속순번],0),"")</f>
        <v/>
      </c>
    </row>
    <row r="1370">
      <c r="A1370">
        <f>IF($Q1370="","",INDEX(상세표[부서],$Q1370)&amp;"")</f>
        <v/>
      </c>
      <c r="B1370">
        <f>IF($Q1370="","",INDEX(상세표[사번],$Q1370)&amp;"")</f>
        <v/>
      </c>
      <c r="C1370">
        <f>IF($Q1370="","",INDEX(상세표[성명],$Q1370)&amp;"")</f>
        <v/>
      </c>
      <c r="D1370">
        <f>IF($Q1370="","",INDEX(상세표[직위],$Q1370)&amp;"")</f>
        <v/>
      </c>
      <c r="E1370">
        <f>IF($Q1370="","",IF(ISNUMBER(INDEX(상세표[근무일자],$Q1370)),TEXT(INDEX(상세표[근무일자],$Q1370),"yyyy-mm-dd"),INDEX(상세표[근무일자],$Q1370)&amp;""))</f>
        <v/>
      </c>
      <c r="F1370">
        <f>IF($Q1370="","",IF(ISNUMBER(INDEX(상세표[시작],$Q1370)),TEXT(INDEX(상세표[시작],$Q1370),"yyyy-mm-dd hh:mm"),INDEX(상세표[시작],$Q1370)&amp;""))</f>
        <v/>
      </c>
      <c r="G1370">
        <f>IF($Q1370="","",IF(ISNUMBER(INDEX(상세표[블록종료],$Q1370)),TEXT(INDEX(상세표[블록종료],$Q1370),"yyyy-mm-dd hh:mm"),INDEX(상세표[블록종료],$Q1370)&amp;""))</f>
        <v/>
      </c>
      <c r="H1370">
        <f>IF($Q1370="","",CHOOSE(WEEKDAY(INDEX(상세표[시작],$Q1370)),"일","월","화","수","목","금","토"))</f>
        <v/>
      </c>
      <c r="I1370" s="20">
        <f>IF($Q1370="","",INDEX(상세표[연속 시간],$Q1370))</f>
        <v/>
      </c>
      <c r="J1370">
        <f>IF($Q1370="","",INDEX(상세표[기록 수],$Q1370))</f>
        <v/>
      </c>
      <c r="K1370" s="20">
        <f>IF($Q1370="","",INDEX(상세표[블록 06~07시],$Q1370))</f>
        <v/>
      </c>
      <c r="L1370" s="20">
        <f>IF($Q1370="","",INDEX(상세표[블록 07~18시],$Q1370))</f>
        <v/>
      </c>
      <c r="M1370" s="20">
        <f>IF($Q1370="","",INDEX(상세표[블록 18~22시],$Q1370))</f>
        <v/>
      </c>
      <c r="N1370" s="20">
        <f>IF($Q1370="","",INDEX(상세표[블록 22~06시],$Q1370))</f>
        <v/>
      </c>
      <c r="O1370">
        <f>IF($Q1370="","",INDEX(상세표[주말·휴일 포함],$Q1370)&amp;"")</f>
        <v/>
      </c>
      <c r="P1370">
        <f>IF($Q1370="","",INDEX(상세표[월 넘김 포함],$Q1370)&amp;"")</f>
        <v/>
      </c>
      <c r="Q1370" s="4">
        <f>IFERROR(MATCH(1365,상세표[연속순번],0),"")</f>
        <v/>
      </c>
    </row>
    <row r="1371">
      <c r="A1371">
        <f>IF($Q1371="","",INDEX(상세표[부서],$Q1371)&amp;"")</f>
        <v/>
      </c>
      <c r="B1371">
        <f>IF($Q1371="","",INDEX(상세표[사번],$Q1371)&amp;"")</f>
        <v/>
      </c>
      <c r="C1371">
        <f>IF($Q1371="","",INDEX(상세표[성명],$Q1371)&amp;"")</f>
        <v/>
      </c>
      <c r="D1371">
        <f>IF($Q1371="","",INDEX(상세표[직위],$Q1371)&amp;"")</f>
        <v/>
      </c>
      <c r="E1371">
        <f>IF($Q1371="","",IF(ISNUMBER(INDEX(상세표[근무일자],$Q1371)),TEXT(INDEX(상세표[근무일자],$Q1371),"yyyy-mm-dd"),INDEX(상세표[근무일자],$Q1371)&amp;""))</f>
        <v/>
      </c>
      <c r="F1371">
        <f>IF($Q1371="","",IF(ISNUMBER(INDEX(상세표[시작],$Q1371)),TEXT(INDEX(상세표[시작],$Q1371),"yyyy-mm-dd hh:mm"),INDEX(상세표[시작],$Q1371)&amp;""))</f>
        <v/>
      </c>
      <c r="G1371">
        <f>IF($Q1371="","",IF(ISNUMBER(INDEX(상세표[블록종료],$Q1371)),TEXT(INDEX(상세표[블록종료],$Q1371),"yyyy-mm-dd hh:mm"),INDEX(상세표[블록종료],$Q1371)&amp;""))</f>
        <v/>
      </c>
      <c r="H1371">
        <f>IF($Q1371="","",CHOOSE(WEEKDAY(INDEX(상세표[시작],$Q1371)),"일","월","화","수","목","금","토"))</f>
        <v/>
      </c>
      <c r="I1371" s="20">
        <f>IF($Q1371="","",INDEX(상세표[연속 시간],$Q1371))</f>
        <v/>
      </c>
      <c r="J1371">
        <f>IF($Q1371="","",INDEX(상세표[기록 수],$Q1371))</f>
        <v/>
      </c>
      <c r="K1371" s="20">
        <f>IF($Q1371="","",INDEX(상세표[블록 06~07시],$Q1371))</f>
        <v/>
      </c>
      <c r="L1371" s="20">
        <f>IF($Q1371="","",INDEX(상세표[블록 07~18시],$Q1371))</f>
        <v/>
      </c>
      <c r="M1371" s="20">
        <f>IF($Q1371="","",INDEX(상세표[블록 18~22시],$Q1371))</f>
        <v/>
      </c>
      <c r="N1371" s="20">
        <f>IF($Q1371="","",INDEX(상세표[블록 22~06시],$Q1371))</f>
        <v/>
      </c>
      <c r="O1371">
        <f>IF($Q1371="","",INDEX(상세표[주말·휴일 포함],$Q1371)&amp;"")</f>
        <v/>
      </c>
      <c r="P1371">
        <f>IF($Q1371="","",INDEX(상세표[월 넘김 포함],$Q1371)&amp;"")</f>
        <v/>
      </c>
      <c r="Q1371" s="4">
        <f>IFERROR(MATCH(1366,상세표[연속순번],0),"")</f>
        <v/>
      </c>
    </row>
    <row r="1372">
      <c r="A1372">
        <f>IF($Q1372="","",INDEX(상세표[부서],$Q1372)&amp;"")</f>
        <v/>
      </c>
      <c r="B1372">
        <f>IF($Q1372="","",INDEX(상세표[사번],$Q1372)&amp;"")</f>
        <v/>
      </c>
      <c r="C1372">
        <f>IF($Q1372="","",INDEX(상세표[성명],$Q1372)&amp;"")</f>
        <v/>
      </c>
      <c r="D1372">
        <f>IF($Q1372="","",INDEX(상세표[직위],$Q1372)&amp;"")</f>
        <v/>
      </c>
      <c r="E1372">
        <f>IF($Q1372="","",IF(ISNUMBER(INDEX(상세표[근무일자],$Q1372)),TEXT(INDEX(상세표[근무일자],$Q1372),"yyyy-mm-dd"),INDEX(상세표[근무일자],$Q1372)&amp;""))</f>
        <v/>
      </c>
      <c r="F1372">
        <f>IF($Q1372="","",IF(ISNUMBER(INDEX(상세표[시작],$Q1372)),TEXT(INDEX(상세표[시작],$Q1372),"yyyy-mm-dd hh:mm"),INDEX(상세표[시작],$Q1372)&amp;""))</f>
        <v/>
      </c>
      <c r="G1372">
        <f>IF($Q1372="","",IF(ISNUMBER(INDEX(상세표[블록종료],$Q1372)),TEXT(INDEX(상세표[블록종료],$Q1372),"yyyy-mm-dd hh:mm"),INDEX(상세표[블록종료],$Q1372)&amp;""))</f>
        <v/>
      </c>
      <c r="H1372">
        <f>IF($Q1372="","",CHOOSE(WEEKDAY(INDEX(상세표[시작],$Q1372)),"일","월","화","수","목","금","토"))</f>
        <v/>
      </c>
      <c r="I1372" s="20">
        <f>IF($Q1372="","",INDEX(상세표[연속 시간],$Q1372))</f>
        <v/>
      </c>
      <c r="J1372">
        <f>IF($Q1372="","",INDEX(상세표[기록 수],$Q1372))</f>
        <v/>
      </c>
      <c r="K1372" s="20">
        <f>IF($Q1372="","",INDEX(상세표[블록 06~07시],$Q1372))</f>
        <v/>
      </c>
      <c r="L1372" s="20">
        <f>IF($Q1372="","",INDEX(상세표[블록 07~18시],$Q1372))</f>
        <v/>
      </c>
      <c r="M1372" s="20">
        <f>IF($Q1372="","",INDEX(상세표[블록 18~22시],$Q1372))</f>
        <v/>
      </c>
      <c r="N1372" s="20">
        <f>IF($Q1372="","",INDEX(상세표[블록 22~06시],$Q1372))</f>
        <v/>
      </c>
      <c r="O1372">
        <f>IF($Q1372="","",INDEX(상세표[주말·휴일 포함],$Q1372)&amp;"")</f>
        <v/>
      </c>
      <c r="P1372">
        <f>IF($Q1372="","",INDEX(상세표[월 넘김 포함],$Q1372)&amp;"")</f>
        <v/>
      </c>
      <c r="Q1372" s="4">
        <f>IFERROR(MATCH(1367,상세표[연속순번],0),"")</f>
        <v/>
      </c>
    </row>
    <row r="1373">
      <c r="A1373">
        <f>IF($Q1373="","",INDEX(상세표[부서],$Q1373)&amp;"")</f>
        <v/>
      </c>
      <c r="B1373">
        <f>IF($Q1373="","",INDEX(상세표[사번],$Q1373)&amp;"")</f>
        <v/>
      </c>
      <c r="C1373">
        <f>IF($Q1373="","",INDEX(상세표[성명],$Q1373)&amp;"")</f>
        <v/>
      </c>
      <c r="D1373">
        <f>IF($Q1373="","",INDEX(상세표[직위],$Q1373)&amp;"")</f>
        <v/>
      </c>
      <c r="E1373">
        <f>IF($Q1373="","",IF(ISNUMBER(INDEX(상세표[근무일자],$Q1373)),TEXT(INDEX(상세표[근무일자],$Q1373),"yyyy-mm-dd"),INDEX(상세표[근무일자],$Q1373)&amp;""))</f>
        <v/>
      </c>
      <c r="F1373">
        <f>IF($Q1373="","",IF(ISNUMBER(INDEX(상세표[시작],$Q1373)),TEXT(INDEX(상세표[시작],$Q1373),"yyyy-mm-dd hh:mm"),INDEX(상세표[시작],$Q1373)&amp;""))</f>
        <v/>
      </c>
      <c r="G1373">
        <f>IF($Q1373="","",IF(ISNUMBER(INDEX(상세표[블록종료],$Q1373)),TEXT(INDEX(상세표[블록종료],$Q1373),"yyyy-mm-dd hh:mm"),INDEX(상세표[블록종료],$Q1373)&amp;""))</f>
        <v/>
      </c>
      <c r="H1373">
        <f>IF($Q1373="","",CHOOSE(WEEKDAY(INDEX(상세표[시작],$Q1373)),"일","월","화","수","목","금","토"))</f>
        <v/>
      </c>
      <c r="I1373" s="20">
        <f>IF($Q1373="","",INDEX(상세표[연속 시간],$Q1373))</f>
        <v/>
      </c>
      <c r="J1373">
        <f>IF($Q1373="","",INDEX(상세표[기록 수],$Q1373))</f>
        <v/>
      </c>
      <c r="K1373" s="20">
        <f>IF($Q1373="","",INDEX(상세표[블록 06~07시],$Q1373))</f>
        <v/>
      </c>
      <c r="L1373" s="20">
        <f>IF($Q1373="","",INDEX(상세표[블록 07~18시],$Q1373))</f>
        <v/>
      </c>
      <c r="M1373" s="20">
        <f>IF($Q1373="","",INDEX(상세표[블록 18~22시],$Q1373))</f>
        <v/>
      </c>
      <c r="N1373" s="20">
        <f>IF($Q1373="","",INDEX(상세표[블록 22~06시],$Q1373))</f>
        <v/>
      </c>
      <c r="O1373">
        <f>IF($Q1373="","",INDEX(상세표[주말·휴일 포함],$Q1373)&amp;"")</f>
        <v/>
      </c>
      <c r="P1373">
        <f>IF($Q1373="","",INDEX(상세표[월 넘김 포함],$Q1373)&amp;"")</f>
        <v/>
      </c>
      <c r="Q1373" s="4">
        <f>IFERROR(MATCH(1368,상세표[연속순번],0),"")</f>
        <v/>
      </c>
    </row>
    <row r="1374">
      <c r="A1374">
        <f>IF($Q1374="","",INDEX(상세표[부서],$Q1374)&amp;"")</f>
        <v/>
      </c>
      <c r="B1374">
        <f>IF($Q1374="","",INDEX(상세표[사번],$Q1374)&amp;"")</f>
        <v/>
      </c>
      <c r="C1374">
        <f>IF($Q1374="","",INDEX(상세표[성명],$Q1374)&amp;"")</f>
        <v/>
      </c>
      <c r="D1374">
        <f>IF($Q1374="","",INDEX(상세표[직위],$Q1374)&amp;"")</f>
        <v/>
      </c>
      <c r="E1374">
        <f>IF($Q1374="","",IF(ISNUMBER(INDEX(상세표[근무일자],$Q1374)),TEXT(INDEX(상세표[근무일자],$Q1374),"yyyy-mm-dd"),INDEX(상세표[근무일자],$Q1374)&amp;""))</f>
        <v/>
      </c>
      <c r="F1374">
        <f>IF($Q1374="","",IF(ISNUMBER(INDEX(상세표[시작],$Q1374)),TEXT(INDEX(상세표[시작],$Q1374),"yyyy-mm-dd hh:mm"),INDEX(상세표[시작],$Q1374)&amp;""))</f>
        <v/>
      </c>
      <c r="G1374">
        <f>IF($Q1374="","",IF(ISNUMBER(INDEX(상세표[블록종료],$Q1374)),TEXT(INDEX(상세표[블록종료],$Q1374),"yyyy-mm-dd hh:mm"),INDEX(상세표[블록종료],$Q1374)&amp;""))</f>
        <v/>
      </c>
      <c r="H1374">
        <f>IF($Q1374="","",CHOOSE(WEEKDAY(INDEX(상세표[시작],$Q1374)),"일","월","화","수","목","금","토"))</f>
        <v/>
      </c>
      <c r="I1374" s="20">
        <f>IF($Q1374="","",INDEX(상세표[연속 시간],$Q1374))</f>
        <v/>
      </c>
      <c r="J1374">
        <f>IF($Q1374="","",INDEX(상세표[기록 수],$Q1374))</f>
        <v/>
      </c>
      <c r="K1374" s="20">
        <f>IF($Q1374="","",INDEX(상세표[블록 06~07시],$Q1374))</f>
        <v/>
      </c>
      <c r="L1374" s="20">
        <f>IF($Q1374="","",INDEX(상세표[블록 07~18시],$Q1374))</f>
        <v/>
      </c>
      <c r="M1374" s="20">
        <f>IF($Q1374="","",INDEX(상세표[블록 18~22시],$Q1374))</f>
        <v/>
      </c>
      <c r="N1374" s="20">
        <f>IF($Q1374="","",INDEX(상세표[블록 22~06시],$Q1374))</f>
        <v/>
      </c>
      <c r="O1374">
        <f>IF($Q1374="","",INDEX(상세표[주말·휴일 포함],$Q1374)&amp;"")</f>
        <v/>
      </c>
      <c r="P1374">
        <f>IF($Q1374="","",INDEX(상세표[월 넘김 포함],$Q1374)&amp;"")</f>
        <v/>
      </c>
      <c r="Q1374" s="4">
        <f>IFERROR(MATCH(1369,상세표[연속순번],0),"")</f>
        <v/>
      </c>
    </row>
    <row r="1375">
      <c r="A1375">
        <f>IF($Q1375="","",INDEX(상세표[부서],$Q1375)&amp;"")</f>
        <v/>
      </c>
      <c r="B1375">
        <f>IF($Q1375="","",INDEX(상세표[사번],$Q1375)&amp;"")</f>
        <v/>
      </c>
      <c r="C1375">
        <f>IF($Q1375="","",INDEX(상세표[성명],$Q1375)&amp;"")</f>
        <v/>
      </c>
      <c r="D1375">
        <f>IF($Q1375="","",INDEX(상세표[직위],$Q1375)&amp;"")</f>
        <v/>
      </c>
      <c r="E1375">
        <f>IF($Q1375="","",IF(ISNUMBER(INDEX(상세표[근무일자],$Q1375)),TEXT(INDEX(상세표[근무일자],$Q1375),"yyyy-mm-dd"),INDEX(상세표[근무일자],$Q1375)&amp;""))</f>
        <v/>
      </c>
      <c r="F1375">
        <f>IF($Q1375="","",IF(ISNUMBER(INDEX(상세표[시작],$Q1375)),TEXT(INDEX(상세표[시작],$Q1375),"yyyy-mm-dd hh:mm"),INDEX(상세표[시작],$Q1375)&amp;""))</f>
        <v/>
      </c>
      <c r="G1375">
        <f>IF($Q1375="","",IF(ISNUMBER(INDEX(상세표[블록종료],$Q1375)),TEXT(INDEX(상세표[블록종료],$Q1375),"yyyy-mm-dd hh:mm"),INDEX(상세표[블록종료],$Q1375)&amp;""))</f>
        <v/>
      </c>
      <c r="H1375">
        <f>IF($Q1375="","",CHOOSE(WEEKDAY(INDEX(상세표[시작],$Q1375)),"일","월","화","수","목","금","토"))</f>
        <v/>
      </c>
      <c r="I1375" s="20">
        <f>IF($Q1375="","",INDEX(상세표[연속 시간],$Q1375))</f>
        <v/>
      </c>
      <c r="J1375">
        <f>IF($Q1375="","",INDEX(상세표[기록 수],$Q1375))</f>
        <v/>
      </c>
      <c r="K1375" s="20">
        <f>IF($Q1375="","",INDEX(상세표[블록 06~07시],$Q1375))</f>
        <v/>
      </c>
      <c r="L1375" s="20">
        <f>IF($Q1375="","",INDEX(상세표[블록 07~18시],$Q1375))</f>
        <v/>
      </c>
      <c r="M1375" s="20">
        <f>IF($Q1375="","",INDEX(상세표[블록 18~22시],$Q1375))</f>
        <v/>
      </c>
      <c r="N1375" s="20">
        <f>IF($Q1375="","",INDEX(상세표[블록 22~06시],$Q1375))</f>
        <v/>
      </c>
      <c r="O1375">
        <f>IF($Q1375="","",INDEX(상세표[주말·휴일 포함],$Q1375)&amp;"")</f>
        <v/>
      </c>
      <c r="P1375">
        <f>IF($Q1375="","",INDEX(상세표[월 넘김 포함],$Q1375)&amp;"")</f>
        <v/>
      </c>
      <c r="Q1375" s="4">
        <f>IFERROR(MATCH(1370,상세표[연속순번],0),"")</f>
        <v/>
      </c>
    </row>
    <row r="1376">
      <c r="A1376">
        <f>IF($Q1376="","",INDEX(상세표[부서],$Q1376)&amp;"")</f>
        <v/>
      </c>
      <c r="B1376">
        <f>IF($Q1376="","",INDEX(상세표[사번],$Q1376)&amp;"")</f>
        <v/>
      </c>
      <c r="C1376">
        <f>IF($Q1376="","",INDEX(상세표[성명],$Q1376)&amp;"")</f>
        <v/>
      </c>
      <c r="D1376">
        <f>IF($Q1376="","",INDEX(상세표[직위],$Q1376)&amp;"")</f>
        <v/>
      </c>
      <c r="E1376">
        <f>IF($Q1376="","",IF(ISNUMBER(INDEX(상세표[근무일자],$Q1376)),TEXT(INDEX(상세표[근무일자],$Q1376),"yyyy-mm-dd"),INDEX(상세표[근무일자],$Q1376)&amp;""))</f>
        <v/>
      </c>
      <c r="F1376">
        <f>IF($Q1376="","",IF(ISNUMBER(INDEX(상세표[시작],$Q1376)),TEXT(INDEX(상세표[시작],$Q1376),"yyyy-mm-dd hh:mm"),INDEX(상세표[시작],$Q1376)&amp;""))</f>
        <v/>
      </c>
      <c r="G1376">
        <f>IF($Q1376="","",IF(ISNUMBER(INDEX(상세표[블록종료],$Q1376)),TEXT(INDEX(상세표[블록종료],$Q1376),"yyyy-mm-dd hh:mm"),INDEX(상세표[블록종료],$Q1376)&amp;""))</f>
        <v/>
      </c>
      <c r="H1376">
        <f>IF($Q1376="","",CHOOSE(WEEKDAY(INDEX(상세표[시작],$Q1376)),"일","월","화","수","목","금","토"))</f>
        <v/>
      </c>
      <c r="I1376" s="20">
        <f>IF($Q1376="","",INDEX(상세표[연속 시간],$Q1376))</f>
        <v/>
      </c>
      <c r="J1376">
        <f>IF($Q1376="","",INDEX(상세표[기록 수],$Q1376))</f>
        <v/>
      </c>
      <c r="K1376" s="20">
        <f>IF($Q1376="","",INDEX(상세표[블록 06~07시],$Q1376))</f>
        <v/>
      </c>
      <c r="L1376" s="20">
        <f>IF($Q1376="","",INDEX(상세표[블록 07~18시],$Q1376))</f>
        <v/>
      </c>
      <c r="M1376" s="20">
        <f>IF($Q1376="","",INDEX(상세표[블록 18~22시],$Q1376))</f>
        <v/>
      </c>
      <c r="N1376" s="20">
        <f>IF($Q1376="","",INDEX(상세표[블록 22~06시],$Q1376))</f>
        <v/>
      </c>
      <c r="O1376">
        <f>IF($Q1376="","",INDEX(상세표[주말·휴일 포함],$Q1376)&amp;"")</f>
        <v/>
      </c>
      <c r="P1376">
        <f>IF($Q1376="","",INDEX(상세표[월 넘김 포함],$Q1376)&amp;"")</f>
        <v/>
      </c>
      <c r="Q1376" s="4">
        <f>IFERROR(MATCH(1371,상세표[연속순번],0),"")</f>
        <v/>
      </c>
    </row>
    <row r="1377">
      <c r="A1377">
        <f>IF($Q1377="","",INDEX(상세표[부서],$Q1377)&amp;"")</f>
        <v/>
      </c>
      <c r="B1377">
        <f>IF($Q1377="","",INDEX(상세표[사번],$Q1377)&amp;"")</f>
        <v/>
      </c>
      <c r="C1377">
        <f>IF($Q1377="","",INDEX(상세표[성명],$Q1377)&amp;"")</f>
        <v/>
      </c>
      <c r="D1377">
        <f>IF($Q1377="","",INDEX(상세표[직위],$Q1377)&amp;"")</f>
        <v/>
      </c>
      <c r="E1377">
        <f>IF($Q1377="","",IF(ISNUMBER(INDEX(상세표[근무일자],$Q1377)),TEXT(INDEX(상세표[근무일자],$Q1377),"yyyy-mm-dd"),INDEX(상세표[근무일자],$Q1377)&amp;""))</f>
        <v/>
      </c>
      <c r="F1377">
        <f>IF($Q1377="","",IF(ISNUMBER(INDEX(상세표[시작],$Q1377)),TEXT(INDEX(상세표[시작],$Q1377),"yyyy-mm-dd hh:mm"),INDEX(상세표[시작],$Q1377)&amp;""))</f>
        <v/>
      </c>
      <c r="G1377">
        <f>IF($Q1377="","",IF(ISNUMBER(INDEX(상세표[블록종료],$Q1377)),TEXT(INDEX(상세표[블록종료],$Q1377),"yyyy-mm-dd hh:mm"),INDEX(상세표[블록종료],$Q1377)&amp;""))</f>
        <v/>
      </c>
      <c r="H1377">
        <f>IF($Q1377="","",CHOOSE(WEEKDAY(INDEX(상세표[시작],$Q1377)),"일","월","화","수","목","금","토"))</f>
        <v/>
      </c>
      <c r="I1377" s="20">
        <f>IF($Q1377="","",INDEX(상세표[연속 시간],$Q1377))</f>
        <v/>
      </c>
      <c r="J1377">
        <f>IF($Q1377="","",INDEX(상세표[기록 수],$Q1377))</f>
        <v/>
      </c>
      <c r="K1377" s="20">
        <f>IF($Q1377="","",INDEX(상세표[블록 06~07시],$Q1377))</f>
        <v/>
      </c>
      <c r="L1377" s="20">
        <f>IF($Q1377="","",INDEX(상세표[블록 07~18시],$Q1377))</f>
        <v/>
      </c>
      <c r="M1377" s="20">
        <f>IF($Q1377="","",INDEX(상세표[블록 18~22시],$Q1377))</f>
        <v/>
      </c>
      <c r="N1377" s="20">
        <f>IF($Q1377="","",INDEX(상세표[블록 22~06시],$Q1377))</f>
        <v/>
      </c>
      <c r="O1377">
        <f>IF($Q1377="","",INDEX(상세표[주말·휴일 포함],$Q1377)&amp;"")</f>
        <v/>
      </c>
      <c r="P1377">
        <f>IF($Q1377="","",INDEX(상세표[월 넘김 포함],$Q1377)&amp;"")</f>
        <v/>
      </c>
      <c r="Q1377" s="4">
        <f>IFERROR(MATCH(1372,상세표[연속순번],0),"")</f>
        <v/>
      </c>
    </row>
    <row r="1378">
      <c r="A1378">
        <f>IF($Q1378="","",INDEX(상세표[부서],$Q1378)&amp;"")</f>
        <v/>
      </c>
      <c r="B1378">
        <f>IF($Q1378="","",INDEX(상세표[사번],$Q1378)&amp;"")</f>
        <v/>
      </c>
      <c r="C1378">
        <f>IF($Q1378="","",INDEX(상세표[성명],$Q1378)&amp;"")</f>
        <v/>
      </c>
      <c r="D1378">
        <f>IF($Q1378="","",INDEX(상세표[직위],$Q1378)&amp;"")</f>
        <v/>
      </c>
      <c r="E1378">
        <f>IF($Q1378="","",IF(ISNUMBER(INDEX(상세표[근무일자],$Q1378)),TEXT(INDEX(상세표[근무일자],$Q1378),"yyyy-mm-dd"),INDEX(상세표[근무일자],$Q1378)&amp;""))</f>
        <v/>
      </c>
      <c r="F1378">
        <f>IF($Q1378="","",IF(ISNUMBER(INDEX(상세표[시작],$Q1378)),TEXT(INDEX(상세표[시작],$Q1378),"yyyy-mm-dd hh:mm"),INDEX(상세표[시작],$Q1378)&amp;""))</f>
        <v/>
      </c>
      <c r="G1378">
        <f>IF($Q1378="","",IF(ISNUMBER(INDEX(상세표[블록종료],$Q1378)),TEXT(INDEX(상세표[블록종료],$Q1378),"yyyy-mm-dd hh:mm"),INDEX(상세표[블록종료],$Q1378)&amp;""))</f>
        <v/>
      </c>
      <c r="H1378">
        <f>IF($Q1378="","",CHOOSE(WEEKDAY(INDEX(상세표[시작],$Q1378)),"일","월","화","수","목","금","토"))</f>
        <v/>
      </c>
      <c r="I1378" s="20">
        <f>IF($Q1378="","",INDEX(상세표[연속 시간],$Q1378))</f>
        <v/>
      </c>
      <c r="J1378">
        <f>IF($Q1378="","",INDEX(상세표[기록 수],$Q1378))</f>
        <v/>
      </c>
      <c r="K1378" s="20">
        <f>IF($Q1378="","",INDEX(상세표[블록 06~07시],$Q1378))</f>
        <v/>
      </c>
      <c r="L1378" s="20">
        <f>IF($Q1378="","",INDEX(상세표[블록 07~18시],$Q1378))</f>
        <v/>
      </c>
      <c r="M1378" s="20">
        <f>IF($Q1378="","",INDEX(상세표[블록 18~22시],$Q1378))</f>
        <v/>
      </c>
      <c r="N1378" s="20">
        <f>IF($Q1378="","",INDEX(상세표[블록 22~06시],$Q1378))</f>
        <v/>
      </c>
      <c r="O1378">
        <f>IF($Q1378="","",INDEX(상세표[주말·휴일 포함],$Q1378)&amp;"")</f>
        <v/>
      </c>
      <c r="P1378">
        <f>IF($Q1378="","",INDEX(상세표[월 넘김 포함],$Q1378)&amp;"")</f>
        <v/>
      </c>
      <c r="Q1378" s="4">
        <f>IFERROR(MATCH(1373,상세표[연속순번],0),"")</f>
        <v/>
      </c>
    </row>
    <row r="1379">
      <c r="A1379">
        <f>IF($Q1379="","",INDEX(상세표[부서],$Q1379)&amp;"")</f>
        <v/>
      </c>
      <c r="B1379">
        <f>IF($Q1379="","",INDEX(상세표[사번],$Q1379)&amp;"")</f>
        <v/>
      </c>
      <c r="C1379">
        <f>IF($Q1379="","",INDEX(상세표[성명],$Q1379)&amp;"")</f>
        <v/>
      </c>
      <c r="D1379">
        <f>IF($Q1379="","",INDEX(상세표[직위],$Q1379)&amp;"")</f>
        <v/>
      </c>
      <c r="E1379">
        <f>IF($Q1379="","",IF(ISNUMBER(INDEX(상세표[근무일자],$Q1379)),TEXT(INDEX(상세표[근무일자],$Q1379),"yyyy-mm-dd"),INDEX(상세표[근무일자],$Q1379)&amp;""))</f>
        <v/>
      </c>
      <c r="F1379">
        <f>IF($Q1379="","",IF(ISNUMBER(INDEX(상세표[시작],$Q1379)),TEXT(INDEX(상세표[시작],$Q1379),"yyyy-mm-dd hh:mm"),INDEX(상세표[시작],$Q1379)&amp;""))</f>
        <v/>
      </c>
      <c r="G1379">
        <f>IF($Q1379="","",IF(ISNUMBER(INDEX(상세표[블록종료],$Q1379)),TEXT(INDEX(상세표[블록종료],$Q1379),"yyyy-mm-dd hh:mm"),INDEX(상세표[블록종료],$Q1379)&amp;""))</f>
        <v/>
      </c>
      <c r="H1379">
        <f>IF($Q1379="","",CHOOSE(WEEKDAY(INDEX(상세표[시작],$Q1379)),"일","월","화","수","목","금","토"))</f>
        <v/>
      </c>
      <c r="I1379" s="20">
        <f>IF($Q1379="","",INDEX(상세표[연속 시간],$Q1379))</f>
        <v/>
      </c>
      <c r="J1379">
        <f>IF($Q1379="","",INDEX(상세표[기록 수],$Q1379))</f>
        <v/>
      </c>
      <c r="K1379" s="20">
        <f>IF($Q1379="","",INDEX(상세표[블록 06~07시],$Q1379))</f>
        <v/>
      </c>
      <c r="L1379" s="20">
        <f>IF($Q1379="","",INDEX(상세표[블록 07~18시],$Q1379))</f>
        <v/>
      </c>
      <c r="M1379" s="20">
        <f>IF($Q1379="","",INDEX(상세표[블록 18~22시],$Q1379))</f>
        <v/>
      </c>
      <c r="N1379" s="20">
        <f>IF($Q1379="","",INDEX(상세표[블록 22~06시],$Q1379))</f>
        <v/>
      </c>
      <c r="O1379">
        <f>IF($Q1379="","",INDEX(상세표[주말·휴일 포함],$Q1379)&amp;"")</f>
        <v/>
      </c>
      <c r="P1379">
        <f>IF($Q1379="","",INDEX(상세표[월 넘김 포함],$Q1379)&amp;"")</f>
        <v/>
      </c>
      <c r="Q1379" s="4">
        <f>IFERROR(MATCH(1374,상세표[연속순번],0),"")</f>
        <v/>
      </c>
    </row>
    <row r="1380">
      <c r="A1380">
        <f>IF($Q1380="","",INDEX(상세표[부서],$Q1380)&amp;"")</f>
        <v/>
      </c>
      <c r="B1380">
        <f>IF($Q1380="","",INDEX(상세표[사번],$Q1380)&amp;"")</f>
        <v/>
      </c>
      <c r="C1380">
        <f>IF($Q1380="","",INDEX(상세표[성명],$Q1380)&amp;"")</f>
        <v/>
      </c>
      <c r="D1380">
        <f>IF($Q1380="","",INDEX(상세표[직위],$Q1380)&amp;"")</f>
        <v/>
      </c>
      <c r="E1380">
        <f>IF($Q1380="","",IF(ISNUMBER(INDEX(상세표[근무일자],$Q1380)),TEXT(INDEX(상세표[근무일자],$Q1380),"yyyy-mm-dd"),INDEX(상세표[근무일자],$Q1380)&amp;""))</f>
        <v/>
      </c>
      <c r="F1380">
        <f>IF($Q1380="","",IF(ISNUMBER(INDEX(상세표[시작],$Q1380)),TEXT(INDEX(상세표[시작],$Q1380),"yyyy-mm-dd hh:mm"),INDEX(상세표[시작],$Q1380)&amp;""))</f>
        <v/>
      </c>
      <c r="G1380">
        <f>IF($Q1380="","",IF(ISNUMBER(INDEX(상세표[블록종료],$Q1380)),TEXT(INDEX(상세표[블록종료],$Q1380),"yyyy-mm-dd hh:mm"),INDEX(상세표[블록종료],$Q1380)&amp;""))</f>
        <v/>
      </c>
      <c r="H1380">
        <f>IF($Q1380="","",CHOOSE(WEEKDAY(INDEX(상세표[시작],$Q1380)),"일","월","화","수","목","금","토"))</f>
        <v/>
      </c>
      <c r="I1380" s="20">
        <f>IF($Q1380="","",INDEX(상세표[연속 시간],$Q1380))</f>
        <v/>
      </c>
      <c r="J1380">
        <f>IF($Q1380="","",INDEX(상세표[기록 수],$Q1380))</f>
        <v/>
      </c>
      <c r="K1380" s="20">
        <f>IF($Q1380="","",INDEX(상세표[블록 06~07시],$Q1380))</f>
        <v/>
      </c>
      <c r="L1380" s="20">
        <f>IF($Q1380="","",INDEX(상세표[블록 07~18시],$Q1380))</f>
        <v/>
      </c>
      <c r="M1380" s="20">
        <f>IF($Q1380="","",INDEX(상세표[블록 18~22시],$Q1380))</f>
        <v/>
      </c>
      <c r="N1380" s="20">
        <f>IF($Q1380="","",INDEX(상세표[블록 22~06시],$Q1380))</f>
        <v/>
      </c>
      <c r="O1380">
        <f>IF($Q1380="","",INDEX(상세표[주말·휴일 포함],$Q1380)&amp;"")</f>
        <v/>
      </c>
      <c r="P1380">
        <f>IF($Q1380="","",INDEX(상세표[월 넘김 포함],$Q1380)&amp;"")</f>
        <v/>
      </c>
      <c r="Q1380" s="4">
        <f>IFERROR(MATCH(1375,상세표[연속순번],0),"")</f>
        <v/>
      </c>
    </row>
    <row r="1381">
      <c r="A1381">
        <f>IF($Q1381="","",INDEX(상세표[부서],$Q1381)&amp;"")</f>
        <v/>
      </c>
      <c r="B1381">
        <f>IF($Q1381="","",INDEX(상세표[사번],$Q1381)&amp;"")</f>
        <v/>
      </c>
      <c r="C1381">
        <f>IF($Q1381="","",INDEX(상세표[성명],$Q1381)&amp;"")</f>
        <v/>
      </c>
      <c r="D1381">
        <f>IF($Q1381="","",INDEX(상세표[직위],$Q1381)&amp;"")</f>
        <v/>
      </c>
      <c r="E1381">
        <f>IF($Q1381="","",IF(ISNUMBER(INDEX(상세표[근무일자],$Q1381)),TEXT(INDEX(상세표[근무일자],$Q1381),"yyyy-mm-dd"),INDEX(상세표[근무일자],$Q1381)&amp;""))</f>
        <v/>
      </c>
      <c r="F1381">
        <f>IF($Q1381="","",IF(ISNUMBER(INDEX(상세표[시작],$Q1381)),TEXT(INDEX(상세표[시작],$Q1381),"yyyy-mm-dd hh:mm"),INDEX(상세표[시작],$Q1381)&amp;""))</f>
        <v/>
      </c>
      <c r="G1381">
        <f>IF($Q1381="","",IF(ISNUMBER(INDEX(상세표[블록종료],$Q1381)),TEXT(INDEX(상세표[블록종료],$Q1381),"yyyy-mm-dd hh:mm"),INDEX(상세표[블록종료],$Q1381)&amp;""))</f>
        <v/>
      </c>
      <c r="H1381">
        <f>IF($Q1381="","",CHOOSE(WEEKDAY(INDEX(상세표[시작],$Q1381)),"일","월","화","수","목","금","토"))</f>
        <v/>
      </c>
      <c r="I1381" s="20">
        <f>IF($Q1381="","",INDEX(상세표[연속 시간],$Q1381))</f>
        <v/>
      </c>
      <c r="J1381">
        <f>IF($Q1381="","",INDEX(상세표[기록 수],$Q1381))</f>
        <v/>
      </c>
      <c r="K1381" s="20">
        <f>IF($Q1381="","",INDEX(상세표[블록 06~07시],$Q1381))</f>
        <v/>
      </c>
      <c r="L1381" s="20">
        <f>IF($Q1381="","",INDEX(상세표[블록 07~18시],$Q1381))</f>
        <v/>
      </c>
      <c r="M1381" s="20">
        <f>IF($Q1381="","",INDEX(상세표[블록 18~22시],$Q1381))</f>
        <v/>
      </c>
      <c r="N1381" s="20">
        <f>IF($Q1381="","",INDEX(상세표[블록 22~06시],$Q1381))</f>
        <v/>
      </c>
      <c r="O1381">
        <f>IF($Q1381="","",INDEX(상세표[주말·휴일 포함],$Q1381)&amp;"")</f>
        <v/>
      </c>
      <c r="P1381">
        <f>IF($Q1381="","",INDEX(상세표[월 넘김 포함],$Q1381)&amp;"")</f>
        <v/>
      </c>
      <c r="Q1381" s="4">
        <f>IFERROR(MATCH(1376,상세표[연속순번],0),"")</f>
        <v/>
      </c>
    </row>
    <row r="1382">
      <c r="A1382">
        <f>IF($Q1382="","",INDEX(상세표[부서],$Q1382)&amp;"")</f>
        <v/>
      </c>
      <c r="B1382">
        <f>IF($Q1382="","",INDEX(상세표[사번],$Q1382)&amp;"")</f>
        <v/>
      </c>
      <c r="C1382">
        <f>IF($Q1382="","",INDEX(상세표[성명],$Q1382)&amp;"")</f>
        <v/>
      </c>
      <c r="D1382">
        <f>IF($Q1382="","",INDEX(상세표[직위],$Q1382)&amp;"")</f>
        <v/>
      </c>
      <c r="E1382">
        <f>IF($Q1382="","",IF(ISNUMBER(INDEX(상세표[근무일자],$Q1382)),TEXT(INDEX(상세표[근무일자],$Q1382),"yyyy-mm-dd"),INDEX(상세표[근무일자],$Q1382)&amp;""))</f>
        <v/>
      </c>
      <c r="F1382">
        <f>IF($Q1382="","",IF(ISNUMBER(INDEX(상세표[시작],$Q1382)),TEXT(INDEX(상세표[시작],$Q1382),"yyyy-mm-dd hh:mm"),INDEX(상세표[시작],$Q1382)&amp;""))</f>
        <v/>
      </c>
      <c r="G1382">
        <f>IF($Q1382="","",IF(ISNUMBER(INDEX(상세표[블록종료],$Q1382)),TEXT(INDEX(상세표[블록종료],$Q1382),"yyyy-mm-dd hh:mm"),INDEX(상세표[블록종료],$Q1382)&amp;""))</f>
        <v/>
      </c>
      <c r="H1382">
        <f>IF($Q1382="","",CHOOSE(WEEKDAY(INDEX(상세표[시작],$Q1382)),"일","월","화","수","목","금","토"))</f>
        <v/>
      </c>
      <c r="I1382" s="20">
        <f>IF($Q1382="","",INDEX(상세표[연속 시간],$Q1382))</f>
        <v/>
      </c>
      <c r="J1382">
        <f>IF($Q1382="","",INDEX(상세표[기록 수],$Q1382))</f>
        <v/>
      </c>
      <c r="K1382" s="20">
        <f>IF($Q1382="","",INDEX(상세표[블록 06~07시],$Q1382))</f>
        <v/>
      </c>
      <c r="L1382" s="20">
        <f>IF($Q1382="","",INDEX(상세표[블록 07~18시],$Q1382))</f>
        <v/>
      </c>
      <c r="M1382" s="20">
        <f>IF($Q1382="","",INDEX(상세표[블록 18~22시],$Q1382))</f>
        <v/>
      </c>
      <c r="N1382" s="20">
        <f>IF($Q1382="","",INDEX(상세표[블록 22~06시],$Q1382))</f>
        <v/>
      </c>
      <c r="O1382">
        <f>IF($Q1382="","",INDEX(상세표[주말·휴일 포함],$Q1382)&amp;"")</f>
        <v/>
      </c>
      <c r="P1382">
        <f>IF($Q1382="","",INDEX(상세표[월 넘김 포함],$Q1382)&amp;"")</f>
        <v/>
      </c>
      <c r="Q1382" s="4">
        <f>IFERROR(MATCH(1377,상세표[연속순번],0),"")</f>
        <v/>
      </c>
    </row>
    <row r="1383">
      <c r="A1383">
        <f>IF($Q1383="","",INDEX(상세표[부서],$Q1383)&amp;"")</f>
        <v/>
      </c>
      <c r="B1383">
        <f>IF($Q1383="","",INDEX(상세표[사번],$Q1383)&amp;"")</f>
        <v/>
      </c>
      <c r="C1383">
        <f>IF($Q1383="","",INDEX(상세표[성명],$Q1383)&amp;"")</f>
        <v/>
      </c>
      <c r="D1383">
        <f>IF($Q1383="","",INDEX(상세표[직위],$Q1383)&amp;"")</f>
        <v/>
      </c>
      <c r="E1383">
        <f>IF($Q1383="","",IF(ISNUMBER(INDEX(상세표[근무일자],$Q1383)),TEXT(INDEX(상세표[근무일자],$Q1383),"yyyy-mm-dd"),INDEX(상세표[근무일자],$Q1383)&amp;""))</f>
        <v/>
      </c>
      <c r="F1383">
        <f>IF($Q1383="","",IF(ISNUMBER(INDEX(상세표[시작],$Q1383)),TEXT(INDEX(상세표[시작],$Q1383),"yyyy-mm-dd hh:mm"),INDEX(상세표[시작],$Q1383)&amp;""))</f>
        <v/>
      </c>
      <c r="G1383">
        <f>IF($Q1383="","",IF(ISNUMBER(INDEX(상세표[블록종료],$Q1383)),TEXT(INDEX(상세표[블록종료],$Q1383),"yyyy-mm-dd hh:mm"),INDEX(상세표[블록종료],$Q1383)&amp;""))</f>
        <v/>
      </c>
      <c r="H1383">
        <f>IF($Q1383="","",CHOOSE(WEEKDAY(INDEX(상세표[시작],$Q1383)),"일","월","화","수","목","금","토"))</f>
        <v/>
      </c>
      <c r="I1383" s="20">
        <f>IF($Q1383="","",INDEX(상세표[연속 시간],$Q1383))</f>
        <v/>
      </c>
      <c r="J1383">
        <f>IF($Q1383="","",INDEX(상세표[기록 수],$Q1383))</f>
        <v/>
      </c>
      <c r="K1383" s="20">
        <f>IF($Q1383="","",INDEX(상세표[블록 06~07시],$Q1383))</f>
        <v/>
      </c>
      <c r="L1383" s="20">
        <f>IF($Q1383="","",INDEX(상세표[블록 07~18시],$Q1383))</f>
        <v/>
      </c>
      <c r="M1383" s="20">
        <f>IF($Q1383="","",INDEX(상세표[블록 18~22시],$Q1383))</f>
        <v/>
      </c>
      <c r="N1383" s="20">
        <f>IF($Q1383="","",INDEX(상세표[블록 22~06시],$Q1383))</f>
        <v/>
      </c>
      <c r="O1383">
        <f>IF($Q1383="","",INDEX(상세표[주말·휴일 포함],$Q1383)&amp;"")</f>
        <v/>
      </c>
      <c r="P1383">
        <f>IF($Q1383="","",INDEX(상세표[월 넘김 포함],$Q1383)&amp;"")</f>
        <v/>
      </c>
      <c r="Q1383" s="4">
        <f>IFERROR(MATCH(1378,상세표[연속순번],0),"")</f>
        <v/>
      </c>
    </row>
    <row r="1384">
      <c r="A1384">
        <f>IF($Q1384="","",INDEX(상세표[부서],$Q1384)&amp;"")</f>
        <v/>
      </c>
      <c r="B1384">
        <f>IF($Q1384="","",INDEX(상세표[사번],$Q1384)&amp;"")</f>
        <v/>
      </c>
      <c r="C1384">
        <f>IF($Q1384="","",INDEX(상세표[성명],$Q1384)&amp;"")</f>
        <v/>
      </c>
      <c r="D1384">
        <f>IF($Q1384="","",INDEX(상세표[직위],$Q1384)&amp;"")</f>
        <v/>
      </c>
      <c r="E1384">
        <f>IF($Q1384="","",IF(ISNUMBER(INDEX(상세표[근무일자],$Q1384)),TEXT(INDEX(상세표[근무일자],$Q1384),"yyyy-mm-dd"),INDEX(상세표[근무일자],$Q1384)&amp;""))</f>
        <v/>
      </c>
      <c r="F1384">
        <f>IF($Q1384="","",IF(ISNUMBER(INDEX(상세표[시작],$Q1384)),TEXT(INDEX(상세표[시작],$Q1384),"yyyy-mm-dd hh:mm"),INDEX(상세표[시작],$Q1384)&amp;""))</f>
        <v/>
      </c>
      <c r="G1384">
        <f>IF($Q1384="","",IF(ISNUMBER(INDEX(상세표[블록종료],$Q1384)),TEXT(INDEX(상세표[블록종료],$Q1384),"yyyy-mm-dd hh:mm"),INDEX(상세표[블록종료],$Q1384)&amp;""))</f>
        <v/>
      </c>
      <c r="H1384">
        <f>IF($Q1384="","",CHOOSE(WEEKDAY(INDEX(상세표[시작],$Q1384)),"일","월","화","수","목","금","토"))</f>
        <v/>
      </c>
      <c r="I1384" s="20">
        <f>IF($Q1384="","",INDEX(상세표[연속 시간],$Q1384))</f>
        <v/>
      </c>
      <c r="J1384">
        <f>IF($Q1384="","",INDEX(상세표[기록 수],$Q1384))</f>
        <v/>
      </c>
      <c r="K1384" s="20">
        <f>IF($Q1384="","",INDEX(상세표[블록 06~07시],$Q1384))</f>
        <v/>
      </c>
      <c r="L1384" s="20">
        <f>IF($Q1384="","",INDEX(상세표[블록 07~18시],$Q1384))</f>
        <v/>
      </c>
      <c r="M1384" s="20">
        <f>IF($Q1384="","",INDEX(상세표[블록 18~22시],$Q1384))</f>
        <v/>
      </c>
      <c r="N1384" s="20">
        <f>IF($Q1384="","",INDEX(상세표[블록 22~06시],$Q1384))</f>
        <v/>
      </c>
      <c r="O1384">
        <f>IF($Q1384="","",INDEX(상세표[주말·휴일 포함],$Q1384)&amp;"")</f>
        <v/>
      </c>
      <c r="P1384">
        <f>IF($Q1384="","",INDEX(상세표[월 넘김 포함],$Q1384)&amp;"")</f>
        <v/>
      </c>
      <c r="Q1384" s="4">
        <f>IFERROR(MATCH(1379,상세표[연속순번],0),"")</f>
        <v/>
      </c>
    </row>
    <row r="1385">
      <c r="A1385">
        <f>IF($Q1385="","",INDEX(상세표[부서],$Q1385)&amp;"")</f>
        <v/>
      </c>
      <c r="B1385">
        <f>IF($Q1385="","",INDEX(상세표[사번],$Q1385)&amp;"")</f>
        <v/>
      </c>
      <c r="C1385">
        <f>IF($Q1385="","",INDEX(상세표[성명],$Q1385)&amp;"")</f>
        <v/>
      </c>
      <c r="D1385">
        <f>IF($Q1385="","",INDEX(상세표[직위],$Q1385)&amp;"")</f>
        <v/>
      </c>
      <c r="E1385">
        <f>IF($Q1385="","",IF(ISNUMBER(INDEX(상세표[근무일자],$Q1385)),TEXT(INDEX(상세표[근무일자],$Q1385),"yyyy-mm-dd"),INDEX(상세표[근무일자],$Q1385)&amp;""))</f>
        <v/>
      </c>
      <c r="F1385">
        <f>IF($Q1385="","",IF(ISNUMBER(INDEX(상세표[시작],$Q1385)),TEXT(INDEX(상세표[시작],$Q1385),"yyyy-mm-dd hh:mm"),INDEX(상세표[시작],$Q1385)&amp;""))</f>
        <v/>
      </c>
      <c r="G1385">
        <f>IF($Q1385="","",IF(ISNUMBER(INDEX(상세표[블록종료],$Q1385)),TEXT(INDEX(상세표[블록종료],$Q1385),"yyyy-mm-dd hh:mm"),INDEX(상세표[블록종료],$Q1385)&amp;""))</f>
        <v/>
      </c>
      <c r="H1385">
        <f>IF($Q1385="","",CHOOSE(WEEKDAY(INDEX(상세표[시작],$Q1385)),"일","월","화","수","목","금","토"))</f>
        <v/>
      </c>
      <c r="I1385" s="20">
        <f>IF($Q1385="","",INDEX(상세표[연속 시간],$Q1385))</f>
        <v/>
      </c>
      <c r="J1385">
        <f>IF($Q1385="","",INDEX(상세표[기록 수],$Q1385))</f>
        <v/>
      </c>
      <c r="K1385" s="20">
        <f>IF($Q1385="","",INDEX(상세표[블록 06~07시],$Q1385))</f>
        <v/>
      </c>
      <c r="L1385" s="20">
        <f>IF($Q1385="","",INDEX(상세표[블록 07~18시],$Q1385))</f>
        <v/>
      </c>
      <c r="M1385" s="20">
        <f>IF($Q1385="","",INDEX(상세표[블록 18~22시],$Q1385))</f>
        <v/>
      </c>
      <c r="N1385" s="20">
        <f>IF($Q1385="","",INDEX(상세표[블록 22~06시],$Q1385))</f>
        <v/>
      </c>
      <c r="O1385">
        <f>IF($Q1385="","",INDEX(상세표[주말·휴일 포함],$Q1385)&amp;"")</f>
        <v/>
      </c>
      <c r="P1385">
        <f>IF($Q1385="","",INDEX(상세표[월 넘김 포함],$Q1385)&amp;"")</f>
        <v/>
      </c>
      <c r="Q1385" s="4">
        <f>IFERROR(MATCH(1380,상세표[연속순번],0),"")</f>
        <v/>
      </c>
    </row>
    <row r="1386">
      <c r="A1386">
        <f>IF($Q1386="","",INDEX(상세표[부서],$Q1386)&amp;"")</f>
        <v/>
      </c>
      <c r="B1386">
        <f>IF($Q1386="","",INDEX(상세표[사번],$Q1386)&amp;"")</f>
        <v/>
      </c>
      <c r="C1386">
        <f>IF($Q1386="","",INDEX(상세표[성명],$Q1386)&amp;"")</f>
        <v/>
      </c>
      <c r="D1386">
        <f>IF($Q1386="","",INDEX(상세표[직위],$Q1386)&amp;"")</f>
        <v/>
      </c>
      <c r="E1386">
        <f>IF($Q1386="","",IF(ISNUMBER(INDEX(상세표[근무일자],$Q1386)),TEXT(INDEX(상세표[근무일자],$Q1386),"yyyy-mm-dd"),INDEX(상세표[근무일자],$Q1386)&amp;""))</f>
        <v/>
      </c>
      <c r="F1386">
        <f>IF($Q1386="","",IF(ISNUMBER(INDEX(상세표[시작],$Q1386)),TEXT(INDEX(상세표[시작],$Q1386),"yyyy-mm-dd hh:mm"),INDEX(상세표[시작],$Q1386)&amp;""))</f>
        <v/>
      </c>
      <c r="G1386">
        <f>IF($Q1386="","",IF(ISNUMBER(INDEX(상세표[블록종료],$Q1386)),TEXT(INDEX(상세표[블록종료],$Q1386),"yyyy-mm-dd hh:mm"),INDEX(상세표[블록종료],$Q1386)&amp;""))</f>
        <v/>
      </c>
      <c r="H1386">
        <f>IF($Q1386="","",CHOOSE(WEEKDAY(INDEX(상세표[시작],$Q1386)),"일","월","화","수","목","금","토"))</f>
        <v/>
      </c>
      <c r="I1386" s="20">
        <f>IF($Q1386="","",INDEX(상세표[연속 시간],$Q1386))</f>
        <v/>
      </c>
      <c r="J1386">
        <f>IF($Q1386="","",INDEX(상세표[기록 수],$Q1386))</f>
        <v/>
      </c>
      <c r="K1386" s="20">
        <f>IF($Q1386="","",INDEX(상세표[블록 06~07시],$Q1386))</f>
        <v/>
      </c>
      <c r="L1386" s="20">
        <f>IF($Q1386="","",INDEX(상세표[블록 07~18시],$Q1386))</f>
        <v/>
      </c>
      <c r="M1386" s="20">
        <f>IF($Q1386="","",INDEX(상세표[블록 18~22시],$Q1386))</f>
        <v/>
      </c>
      <c r="N1386" s="20">
        <f>IF($Q1386="","",INDEX(상세표[블록 22~06시],$Q1386))</f>
        <v/>
      </c>
      <c r="O1386">
        <f>IF($Q1386="","",INDEX(상세표[주말·휴일 포함],$Q1386)&amp;"")</f>
        <v/>
      </c>
      <c r="P1386">
        <f>IF($Q1386="","",INDEX(상세표[월 넘김 포함],$Q1386)&amp;"")</f>
        <v/>
      </c>
      <c r="Q1386" s="4">
        <f>IFERROR(MATCH(1381,상세표[연속순번],0),"")</f>
        <v/>
      </c>
    </row>
    <row r="1387">
      <c r="A1387">
        <f>IF($Q1387="","",INDEX(상세표[부서],$Q1387)&amp;"")</f>
        <v/>
      </c>
      <c r="B1387">
        <f>IF($Q1387="","",INDEX(상세표[사번],$Q1387)&amp;"")</f>
        <v/>
      </c>
      <c r="C1387">
        <f>IF($Q1387="","",INDEX(상세표[성명],$Q1387)&amp;"")</f>
        <v/>
      </c>
      <c r="D1387">
        <f>IF($Q1387="","",INDEX(상세표[직위],$Q1387)&amp;"")</f>
        <v/>
      </c>
      <c r="E1387">
        <f>IF($Q1387="","",IF(ISNUMBER(INDEX(상세표[근무일자],$Q1387)),TEXT(INDEX(상세표[근무일자],$Q1387),"yyyy-mm-dd"),INDEX(상세표[근무일자],$Q1387)&amp;""))</f>
        <v/>
      </c>
      <c r="F1387">
        <f>IF($Q1387="","",IF(ISNUMBER(INDEX(상세표[시작],$Q1387)),TEXT(INDEX(상세표[시작],$Q1387),"yyyy-mm-dd hh:mm"),INDEX(상세표[시작],$Q1387)&amp;""))</f>
        <v/>
      </c>
      <c r="G1387">
        <f>IF($Q1387="","",IF(ISNUMBER(INDEX(상세표[블록종료],$Q1387)),TEXT(INDEX(상세표[블록종료],$Q1387),"yyyy-mm-dd hh:mm"),INDEX(상세표[블록종료],$Q1387)&amp;""))</f>
        <v/>
      </c>
      <c r="H1387">
        <f>IF($Q1387="","",CHOOSE(WEEKDAY(INDEX(상세표[시작],$Q1387)),"일","월","화","수","목","금","토"))</f>
        <v/>
      </c>
      <c r="I1387" s="20">
        <f>IF($Q1387="","",INDEX(상세표[연속 시간],$Q1387))</f>
        <v/>
      </c>
      <c r="J1387">
        <f>IF($Q1387="","",INDEX(상세표[기록 수],$Q1387))</f>
        <v/>
      </c>
      <c r="K1387" s="20">
        <f>IF($Q1387="","",INDEX(상세표[블록 06~07시],$Q1387))</f>
        <v/>
      </c>
      <c r="L1387" s="20">
        <f>IF($Q1387="","",INDEX(상세표[블록 07~18시],$Q1387))</f>
        <v/>
      </c>
      <c r="M1387" s="20">
        <f>IF($Q1387="","",INDEX(상세표[블록 18~22시],$Q1387))</f>
        <v/>
      </c>
      <c r="N1387" s="20">
        <f>IF($Q1387="","",INDEX(상세표[블록 22~06시],$Q1387))</f>
        <v/>
      </c>
      <c r="O1387">
        <f>IF($Q1387="","",INDEX(상세표[주말·휴일 포함],$Q1387)&amp;"")</f>
        <v/>
      </c>
      <c r="P1387">
        <f>IF($Q1387="","",INDEX(상세표[월 넘김 포함],$Q1387)&amp;"")</f>
        <v/>
      </c>
      <c r="Q1387" s="4">
        <f>IFERROR(MATCH(1382,상세표[연속순번],0),"")</f>
        <v/>
      </c>
    </row>
    <row r="1388">
      <c r="A1388">
        <f>IF($Q1388="","",INDEX(상세표[부서],$Q1388)&amp;"")</f>
        <v/>
      </c>
      <c r="B1388">
        <f>IF($Q1388="","",INDEX(상세표[사번],$Q1388)&amp;"")</f>
        <v/>
      </c>
      <c r="C1388">
        <f>IF($Q1388="","",INDEX(상세표[성명],$Q1388)&amp;"")</f>
        <v/>
      </c>
      <c r="D1388">
        <f>IF($Q1388="","",INDEX(상세표[직위],$Q1388)&amp;"")</f>
        <v/>
      </c>
      <c r="E1388">
        <f>IF($Q1388="","",IF(ISNUMBER(INDEX(상세표[근무일자],$Q1388)),TEXT(INDEX(상세표[근무일자],$Q1388),"yyyy-mm-dd"),INDEX(상세표[근무일자],$Q1388)&amp;""))</f>
        <v/>
      </c>
      <c r="F1388">
        <f>IF($Q1388="","",IF(ISNUMBER(INDEX(상세표[시작],$Q1388)),TEXT(INDEX(상세표[시작],$Q1388),"yyyy-mm-dd hh:mm"),INDEX(상세표[시작],$Q1388)&amp;""))</f>
        <v/>
      </c>
      <c r="G1388">
        <f>IF($Q1388="","",IF(ISNUMBER(INDEX(상세표[블록종료],$Q1388)),TEXT(INDEX(상세표[블록종료],$Q1388),"yyyy-mm-dd hh:mm"),INDEX(상세표[블록종료],$Q1388)&amp;""))</f>
        <v/>
      </c>
      <c r="H1388">
        <f>IF($Q1388="","",CHOOSE(WEEKDAY(INDEX(상세표[시작],$Q1388)),"일","월","화","수","목","금","토"))</f>
        <v/>
      </c>
      <c r="I1388" s="20">
        <f>IF($Q1388="","",INDEX(상세표[연속 시간],$Q1388))</f>
        <v/>
      </c>
      <c r="J1388">
        <f>IF($Q1388="","",INDEX(상세표[기록 수],$Q1388))</f>
        <v/>
      </c>
      <c r="K1388" s="20">
        <f>IF($Q1388="","",INDEX(상세표[블록 06~07시],$Q1388))</f>
        <v/>
      </c>
      <c r="L1388" s="20">
        <f>IF($Q1388="","",INDEX(상세표[블록 07~18시],$Q1388))</f>
        <v/>
      </c>
      <c r="M1388" s="20">
        <f>IF($Q1388="","",INDEX(상세표[블록 18~22시],$Q1388))</f>
        <v/>
      </c>
      <c r="N1388" s="20">
        <f>IF($Q1388="","",INDEX(상세표[블록 22~06시],$Q1388))</f>
        <v/>
      </c>
      <c r="O1388">
        <f>IF($Q1388="","",INDEX(상세표[주말·휴일 포함],$Q1388)&amp;"")</f>
        <v/>
      </c>
      <c r="P1388">
        <f>IF($Q1388="","",INDEX(상세표[월 넘김 포함],$Q1388)&amp;"")</f>
        <v/>
      </c>
      <c r="Q1388" s="4">
        <f>IFERROR(MATCH(1383,상세표[연속순번],0),"")</f>
        <v/>
      </c>
    </row>
    <row r="1389">
      <c r="A1389">
        <f>IF($Q1389="","",INDEX(상세표[부서],$Q1389)&amp;"")</f>
        <v/>
      </c>
      <c r="B1389">
        <f>IF($Q1389="","",INDEX(상세표[사번],$Q1389)&amp;"")</f>
        <v/>
      </c>
      <c r="C1389">
        <f>IF($Q1389="","",INDEX(상세표[성명],$Q1389)&amp;"")</f>
        <v/>
      </c>
      <c r="D1389">
        <f>IF($Q1389="","",INDEX(상세표[직위],$Q1389)&amp;"")</f>
        <v/>
      </c>
      <c r="E1389">
        <f>IF($Q1389="","",IF(ISNUMBER(INDEX(상세표[근무일자],$Q1389)),TEXT(INDEX(상세표[근무일자],$Q1389),"yyyy-mm-dd"),INDEX(상세표[근무일자],$Q1389)&amp;""))</f>
        <v/>
      </c>
      <c r="F1389">
        <f>IF($Q1389="","",IF(ISNUMBER(INDEX(상세표[시작],$Q1389)),TEXT(INDEX(상세표[시작],$Q1389),"yyyy-mm-dd hh:mm"),INDEX(상세표[시작],$Q1389)&amp;""))</f>
        <v/>
      </c>
      <c r="G1389">
        <f>IF($Q1389="","",IF(ISNUMBER(INDEX(상세표[블록종료],$Q1389)),TEXT(INDEX(상세표[블록종료],$Q1389),"yyyy-mm-dd hh:mm"),INDEX(상세표[블록종료],$Q1389)&amp;""))</f>
        <v/>
      </c>
      <c r="H1389">
        <f>IF($Q1389="","",CHOOSE(WEEKDAY(INDEX(상세표[시작],$Q1389)),"일","월","화","수","목","금","토"))</f>
        <v/>
      </c>
      <c r="I1389" s="20">
        <f>IF($Q1389="","",INDEX(상세표[연속 시간],$Q1389))</f>
        <v/>
      </c>
      <c r="J1389">
        <f>IF($Q1389="","",INDEX(상세표[기록 수],$Q1389))</f>
        <v/>
      </c>
      <c r="K1389" s="20">
        <f>IF($Q1389="","",INDEX(상세표[블록 06~07시],$Q1389))</f>
        <v/>
      </c>
      <c r="L1389" s="20">
        <f>IF($Q1389="","",INDEX(상세표[블록 07~18시],$Q1389))</f>
        <v/>
      </c>
      <c r="M1389" s="20">
        <f>IF($Q1389="","",INDEX(상세표[블록 18~22시],$Q1389))</f>
        <v/>
      </c>
      <c r="N1389" s="20">
        <f>IF($Q1389="","",INDEX(상세표[블록 22~06시],$Q1389))</f>
        <v/>
      </c>
      <c r="O1389">
        <f>IF($Q1389="","",INDEX(상세표[주말·휴일 포함],$Q1389)&amp;"")</f>
        <v/>
      </c>
      <c r="P1389">
        <f>IF($Q1389="","",INDEX(상세표[월 넘김 포함],$Q1389)&amp;"")</f>
        <v/>
      </c>
      <c r="Q1389" s="4">
        <f>IFERROR(MATCH(1384,상세표[연속순번],0),"")</f>
        <v/>
      </c>
    </row>
    <row r="1390">
      <c r="A1390">
        <f>IF($Q1390="","",INDEX(상세표[부서],$Q1390)&amp;"")</f>
        <v/>
      </c>
      <c r="B1390">
        <f>IF($Q1390="","",INDEX(상세표[사번],$Q1390)&amp;"")</f>
        <v/>
      </c>
      <c r="C1390">
        <f>IF($Q1390="","",INDEX(상세표[성명],$Q1390)&amp;"")</f>
        <v/>
      </c>
      <c r="D1390">
        <f>IF($Q1390="","",INDEX(상세표[직위],$Q1390)&amp;"")</f>
        <v/>
      </c>
      <c r="E1390">
        <f>IF($Q1390="","",IF(ISNUMBER(INDEX(상세표[근무일자],$Q1390)),TEXT(INDEX(상세표[근무일자],$Q1390),"yyyy-mm-dd"),INDEX(상세표[근무일자],$Q1390)&amp;""))</f>
        <v/>
      </c>
      <c r="F1390">
        <f>IF($Q1390="","",IF(ISNUMBER(INDEX(상세표[시작],$Q1390)),TEXT(INDEX(상세표[시작],$Q1390),"yyyy-mm-dd hh:mm"),INDEX(상세표[시작],$Q1390)&amp;""))</f>
        <v/>
      </c>
      <c r="G1390">
        <f>IF($Q1390="","",IF(ISNUMBER(INDEX(상세표[블록종료],$Q1390)),TEXT(INDEX(상세표[블록종료],$Q1390),"yyyy-mm-dd hh:mm"),INDEX(상세표[블록종료],$Q1390)&amp;""))</f>
        <v/>
      </c>
      <c r="H1390">
        <f>IF($Q1390="","",CHOOSE(WEEKDAY(INDEX(상세표[시작],$Q1390)),"일","월","화","수","목","금","토"))</f>
        <v/>
      </c>
      <c r="I1390" s="20">
        <f>IF($Q1390="","",INDEX(상세표[연속 시간],$Q1390))</f>
        <v/>
      </c>
      <c r="J1390">
        <f>IF($Q1390="","",INDEX(상세표[기록 수],$Q1390))</f>
        <v/>
      </c>
      <c r="K1390" s="20">
        <f>IF($Q1390="","",INDEX(상세표[블록 06~07시],$Q1390))</f>
        <v/>
      </c>
      <c r="L1390" s="20">
        <f>IF($Q1390="","",INDEX(상세표[블록 07~18시],$Q1390))</f>
        <v/>
      </c>
      <c r="M1390" s="20">
        <f>IF($Q1390="","",INDEX(상세표[블록 18~22시],$Q1390))</f>
        <v/>
      </c>
      <c r="N1390" s="20">
        <f>IF($Q1390="","",INDEX(상세표[블록 22~06시],$Q1390))</f>
        <v/>
      </c>
      <c r="O1390">
        <f>IF($Q1390="","",INDEX(상세표[주말·휴일 포함],$Q1390)&amp;"")</f>
        <v/>
      </c>
      <c r="P1390">
        <f>IF($Q1390="","",INDEX(상세표[월 넘김 포함],$Q1390)&amp;"")</f>
        <v/>
      </c>
      <c r="Q1390" s="4">
        <f>IFERROR(MATCH(1385,상세표[연속순번],0),"")</f>
        <v/>
      </c>
    </row>
    <row r="1391">
      <c r="A1391">
        <f>IF($Q1391="","",INDEX(상세표[부서],$Q1391)&amp;"")</f>
        <v/>
      </c>
      <c r="B1391">
        <f>IF($Q1391="","",INDEX(상세표[사번],$Q1391)&amp;"")</f>
        <v/>
      </c>
      <c r="C1391">
        <f>IF($Q1391="","",INDEX(상세표[성명],$Q1391)&amp;"")</f>
        <v/>
      </c>
      <c r="D1391">
        <f>IF($Q1391="","",INDEX(상세표[직위],$Q1391)&amp;"")</f>
        <v/>
      </c>
      <c r="E1391">
        <f>IF($Q1391="","",IF(ISNUMBER(INDEX(상세표[근무일자],$Q1391)),TEXT(INDEX(상세표[근무일자],$Q1391),"yyyy-mm-dd"),INDEX(상세표[근무일자],$Q1391)&amp;""))</f>
        <v/>
      </c>
      <c r="F1391">
        <f>IF($Q1391="","",IF(ISNUMBER(INDEX(상세표[시작],$Q1391)),TEXT(INDEX(상세표[시작],$Q1391),"yyyy-mm-dd hh:mm"),INDEX(상세표[시작],$Q1391)&amp;""))</f>
        <v/>
      </c>
      <c r="G1391">
        <f>IF($Q1391="","",IF(ISNUMBER(INDEX(상세표[블록종료],$Q1391)),TEXT(INDEX(상세표[블록종료],$Q1391),"yyyy-mm-dd hh:mm"),INDEX(상세표[블록종료],$Q1391)&amp;""))</f>
        <v/>
      </c>
      <c r="H1391">
        <f>IF($Q1391="","",CHOOSE(WEEKDAY(INDEX(상세표[시작],$Q1391)),"일","월","화","수","목","금","토"))</f>
        <v/>
      </c>
      <c r="I1391" s="20">
        <f>IF($Q1391="","",INDEX(상세표[연속 시간],$Q1391))</f>
        <v/>
      </c>
      <c r="J1391">
        <f>IF($Q1391="","",INDEX(상세표[기록 수],$Q1391))</f>
        <v/>
      </c>
      <c r="K1391" s="20">
        <f>IF($Q1391="","",INDEX(상세표[블록 06~07시],$Q1391))</f>
        <v/>
      </c>
      <c r="L1391" s="20">
        <f>IF($Q1391="","",INDEX(상세표[블록 07~18시],$Q1391))</f>
        <v/>
      </c>
      <c r="M1391" s="20">
        <f>IF($Q1391="","",INDEX(상세표[블록 18~22시],$Q1391))</f>
        <v/>
      </c>
      <c r="N1391" s="20">
        <f>IF($Q1391="","",INDEX(상세표[블록 22~06시],$Q1391))</f>
        <v/>
      </c>
      <c r="O1391">
        <f>IF($Q1391="","",INDEX(상세표[주말·휴일 포함],$Q1391)&amp;"")</f>
        <v/>
      </c>
      <c r="P1391">
        <f>IF($Q1391="","",INDEX(상세표[월 넘김 포함],$Q1391)&amp;"")</f>
        <v/>
      </c>
      <c r="Q1391" s="4">
        <f>IFERROR(MATCH(1386,상세표[연속순번],0),"")</f>
        <v/>
      </c>
    </row>
    <row r="1392">
      <c r="A1392">
        <f>IF($Q1392="","",INDEX(상세표[부서],$Q1392)&amp;"")</f>
        <v/>
      </c>
      <c r="B1392">
        <f>IF($Q1392="","",INDEX(상세표[사번],$Q1392)&amp;"")</f>
        <v/>
      </c>
      <c r="C1392">
        <f>IF($Q1392="","",INDEX(상세표[성명],$Q1392)&amp;"")</f>
        <v/>
      </c>
      <c r="D1392">
        <f>IF($Q1392="","",INDEX(상세표[직위],$Q1392)&amp;"")</f>
        <v/>
      </c>
      <c r="E1392">
        <f>IF($Q1392="","",IF(ISNUMBER(INDEX(상세표[근무일자],$Q1392)),TEXT(INDEX(상세표[근무일자],$Q1392),"yyyy-mm-dd"),INDEX(상세표[근무일자],$Q1392)&amp;""))</f>
        <v/>
      </c>
      <c r="F1392">
        <f>IF($Q1392="","",IF(ISNUMBER(INDEX(상세표[시작],$Q1392)),TEXT(INDEX(상세표[시작],$Q1392),"yyyy-mm-dd hh:mm"),INDEX(상세표[시작],$Q1392)&amp;""))</f>
        <v/>
      </c>
      <c r="G1392">
        <f>IF($Q1392="","",IF(ISNUMBER(INDEX(상세표[블록종료],$Q1392)),TEXT(INDEX(상세표[블록종료],$Q1392),"yyyy-mm-dd hh:mm"),INDEX(상세표[블록종료],$Q1392)&amp;""))</f>
        <v/>
      </c>
      <c r="H1392">
        <f>IF($Q1392="","",CHOOSE(WEEKDAY(INDEX(상세표[시작],$Q1392)),"일","월","화","수","목","금","토"))</f>
        <v/>
      </c>
      <c r="I1392" s="20">
        <f>IF($Q1392="","",INDEX(상세표[연속 시간],$Q1392))</f>
        <v/>
      </c>
      <c r="J1392">
        <f>IF($Q1392="","",INDEX(상세표[기록 수],$Q1392))</f>
        <v/>
      </c>
      <c r="K1392" s="20">
        <f>IF($Q1392="","",INDEX(상세표[블록 06~07시],$Q1392))</f>
        <v/>
      </c>
      <c r="L1392" s="20">
        <f>IF($Q1392="","",INDEX(상세표[블록 07~18시],$Q1392))</f>
        <v/>
      </c>
      <c r="M1392" s="20">
        <f>IF($Q1392="","",INDEX(상세표[블록 18~22시],$Q1392))</f>
        <v/>
      </c>
      <c r="N1392" s="20">
        <f>IF($Q1392="","",INDEX(상세표[블록 22~06시],$Q1392))</f>
        <v/>
      </c>
      <c r="O1392">
        <f>IF($Q1392="","",INDEX(상세표[주말·휴일 포함],$Q1392)&amp;"")</f>
        <v/>
      </c>
      <c r="P1392">
        <f>IF($Q1392="","",INDEX(상세표[월 넘김 포함],$Q1392)&amp;"")</f>
        <v/>
      </c>
      <c r="Q1392" s="4">
        <f>IFERROR(MATCH(1387,상세표[연속순번],0),"")</f>
        <v/>
      </c>
    </row>
    <row r="1393">
      <c r="A1393">
        <f>IF($Q1393="","",INDEX(상세표[부서],$Q1393)&amp;"")</f>
        <v/>
      </c>
      <c r="B1393">
        <f>IF($Q1393="","",INDEX(상세표[사번],$Q1393)&amp;"")</f>
        <v/>
      </c>
      <c r="C1393">
        <f>IF($Q1393="","",INDEX(상세표[성명],$Q1393)&amp;"")</f>
        <v/>
      </c>
      <c r="D1393">
        <f>IF($Q1393="","",INDEX(상세표[직위],$Q1393)&amp;"")</f>
        <v/>
      </c>
      <c r="E1393">
        <f>IF($Q1393="","",IF(ISNUMBER(INDEX(상세표[근무일자],$Q1393)),TEXT(INDEX(상세표[근무일자],$Q1393),"yyyy-mm-dd"),INDEX(상세표[근무일자],$Q1393)&amp;""))</f>
        <v/>
      </c>
      <c r="F1393">
        <f>IF($Q1393="","",IF(ISNUMBER(INDEX(상세표[시작],$Q1393)),TEXT(INDEX(상세표[시작],$Q1393),"yyyy-mm-dd hh:mm"),INDEX(상세표[시작],$Q1393)&amp;""))</f>
        <v/>
      </c>
      <c r="G1393">
        <f>IF($Q1393="","",IF(ISNUMBER(INDEX(상세표[블록종료],$Q1393)),TEXT(INDEX(상세표[블록종료],$Q1393),"yyyy-mm-dd hh:mm"),INDEX(상세표[블록종료],$Q1393)&amp;""))</f>
        <v/>
      </c>
      <c r="H1393">
        <f>IF($Q1393="","",CHOOSE(WEEKDAY(INDEX(상세표[시작],$Q1393)),"일","월","화","수","목","금","토"))</f>
        <v/>
      </c>
      <c r="I1393" s="20">
        <f>IF($Q1393="","",INDEX(상세표[연속 시간],$Q1393))</f>
        <v/>
      </c>
      <c r="J1393">
        <f>IF($Q1393="","",INDEX(상세표[기록 수],$Q1393))</f>
        <v/>
      </c>
      <c r="K1393" s="20">
        <f>IF($Q1393="","",INDEX(상세표[블록 06~07시],$Q1393))</f>
        <v/>
      </c>
      <c r="L1393" s="20">
        <f>IF($Q1393="","",INDEX(상세표[블록 07~18시],$Q1393))</f>
        <v/>
      </c>
      <c r="M1393" s="20">
        <f>IF($Q1393="","",INDEX(상세표[블록 18~22시],$Q1393))</f>
        <v/>
      </c>
      <c r="N1393" s="20">
        <f>IF($Q1393="","",INDEX(상세표[블록 22~06시],$Q1393))</f>
        <v/>
      </c>
      <c r="O1393">
        <f>IF($Q1393="","",INDEX(상세표[주말·휴일 포함],$Q1393)&amp;"")</f>
        <v/>
      </c>
      <c r="P1393">
        <f>IF($Q1393="","",INDEX(상세표[월 넘김 포함],$Q1393)&amp;"")</f>
        <v/>
      </c>
      <c r="Q1393" s="4">
        <f>IFERROR(MATCH(1388,상세표[연속순번],0),"")</f>
        <v/>
      </c>
    </row>
    <row r="1394">
      <c r="A1394">
        <f>IF($Q1394="","",INDEX(상세표[부서],$Q1394)&amp;"")</f>
        <v/>
      </c>
      <c r="B1394">
        <f>IF($Q1394="","",INDEX(상세표[사번],$Q1394)&amp;"")</f>
        <v/>
      </c>
      <c r="C1394">
        <f>IF($Q1394="","",INDEX(상세표[성명],$Q1394)&amp;"")</f>
        <v/>
      </c>
      <c r="D1394">
        <f>IF($Q1394="","",INDEX(상세표[직위],$Q1394)&amp;"")</f>
        <v/>
      </c>
      <c r="E1394">
        <f>IF($Q1394="","",IF(ISNUMBER(INDEX(상세표[근무일자],$Q1394)),TEXT(INDEX(상세표[근무일자],$Q1394),"yyyy-mm-dd"),INDEX(상세표[근무일자],$Q1394)&amp;""))</f>
        <v/>
      </c>
      <c r="F1394">
        <f>IF($Q1394="","",IF(ISNUMBER(INDEX(상세표[시작],$Q1394)),TEXT(INDEX(상세표[시작],$Q1394),"yyyy-mm-dd hh:mm"),INDEX(상세표[시작],$Q1394)&amp;""))</f>
        <v/>
      </c>
      <c r="G1394">
        <f>IF($Q1394="","",IF(ISNUMBER(INDEX(상세표[블록종료],$Q1394)),TEXT(INDEX(상세표[블록종료],$Q1394),"yyyy-mm-dd hh:mm"),INDEX(상세표[블록종료],$Q1394)&amp;""))</f>
        <v/>
      </c>
      <c r="H1394">
        <f>IF($Q1394="","",CHOOSE(WEEKDAY(INDEX(상세표[시작],$Q1394)),"일","월","화","수","목","금","토"))</f>
        <v/>
      </c>
      <c r="I1394" s="20">
        <f>IF($Q1394="","",INDEX(상세표[연속 시간],$Q1394))</f>
        <v/>
      </c>
      <c r="J1394">
        <f>IF($Q1394="","",INDEX(상세표[기록 수],$Q1394))</f>
        <v/>
      </c>
      <c r="K1394" s="20">
        <f>IF($Q1394="","",INDEX(상세표[블록 06~07시],$Q1394))</f>
        <v/>
      </c>
      <c r="L1394" s="20">
        <f>IF($Q1394="","",INDEX(상세표[블록 07~18시],$Q1394))</f>
        <v/>
      </c>
      <c r="M1394" s="20">
        <f>IF($Q1394="","",INDEX(상세표[블록 18~22시],$Q1394))</f>
        <v/>
      </c>
      <c r="N1394" s="20">
        <f>IF($Q1394="","",INDEX(상세표[블록 22~06시],$Q1394))</f>
        <v/>
      </c>
      <c r="O1394">
        <f>IF($Q1394="","",INDEX(상세표[주말·휴일 포함],$Q1394)&amp;"")</f>
        <v/>
      </c>
      <c r="P1394">
        <f>IF($Q1394="","",INDEX(상세표[월 넘김 포함],$Q1394)&amp;"")</f>
        <v/>
      </c>
      <c r="Q1394" s="4">
        <f>IFERROR(MATCH(1389,상세표[연속순번],0),"")</f>
        <v/>
      </c>
    </row>
    <row r="1395">
      <c r="A1395">
        <f>IF($Q1395="","",INDEX(상세표[부서],$Q1395)&amp;"")</f>
        <v/>
      </c>
      <c r="B1395">
        <f>IF($Q1395="","",INDEX(상세표[사번],$Q1395)&amp;"")</f>
        <v/>
      </c>
      <c r="C1395">
        <f>IF($Q1395="","",INDEX(상세표[성명],$Q1395)&amp;"")</f>
        <v/>
      </c>
      <c r="D1395">
        <f>IF($Q1395="","",INDEX(상세표[직위],$Q1395)&amp;"")</f>
        <v/>
      </c>
      <c r="E1395">
        <f>IF($Q1395="","",IF(ISNUMBER(INDEX(상세표[근무일자],$Q1395)),TEXT(INDEX(상세표[근무일자],$Q1395),"yyyy-mm-dd"),INDEX(상세표[근무일자],$Q1395)&amp;""))</f>
        <v/>
      </c>
      <c r="F1395">
        <f>IF($Q1395="","",IF(ISNUMBER(INDEX(상세표[시작],$Q1395)),TEXT(INDEX(상세표[시작],$Q1395),"yyyy-mm-dd hh:mm"),INDEX(상세표[시작],$Q1395)&amp;""))</f>
        <v/>
      </c>
      <c r="G1395">
        <f>IF($Q1395="","",IF(ISNUMBER(INDEX(상세표[블록종료],$Q1395)),TEXT(INDEX(상세표[블록종료],$Q1395),"yyyy-mm-dd hh:mm"),INDEX(상세표[블록종료],$Q1395)&amp;""))</f>
        <v/>
      </c>
      <c r="H1395">
        <f>IF($Q1395="","",CHOOSE(WEEKDAY(INDEX(상세표[시작],$Q1395)),"일","월","화","수","목","금","토"))</f>
        <v/>
      </c>
      <c r="I1395" s="20">
        <f>IF($Q1395="","",INDEX(상세표[연속 시간],$Q1395))</f>
        <v/>
      </c>
      <c r="J1395">
        <f>IF($Q1395="","",INDEX(상세표[기록 수],$Q1395))</f>
        <v/>
      </c>
      <c r="K1395" s="20">
        <f>IF($Q1395="","",INDEX(상세표[블록 06~07시],$Q1395))</f>
        <v/>
      </c>
      <c r="L1395" s="20">
        <f>IF($Q1395="","",INDEX(상세표[블록 07~18시],$Q1395))</f>
        <v/>
      </c>
      <c r="M1395" s="20">
        <f>IF($Q1395="","",INDEX(상세표[블록 18~22시],$Q1395))</f>
        <v/>
      </c>
      <c r="N1395" s="20">
        <f>IF($Q1395="","",INDEX(상세표[블록 22~06시],$Q1395))</f>
        <v/>
      </c>
      <c r="O1395">
        <f>IF($Q1395="","",INDEX(상세표[주말·휴일 포함],$Q1395)&amp;"")</f>
        <v/>
      </c>
      <c r="P1395">
        <f>IF($Q1395="","",INDEX(상세표[월 넘김 포함],$Q1395)&amp;"")</f>
        <v/>
      </c>
      <c r="Q1395" s="4">
        <f>IFERROR(MATCH(1390,상세표[연속순번],0),"")</f>
        <v/>
      </c>
    </row>
    <row r="1396">
      <c r="A1396">
        <f>IF($Q1396="","",INDEX(상세표[부서],$Q1396)&amp;"")</f>
        <v/>
      </c>
      <c r="B1396">
        <f>IF($Q1396="","",INDEX(상세표[사번],$Q1396)&amp;"")</f>
        <v/>
      </c>
      <c r="C1396">
        <f>IF($Q1396="","",INDEX(상세표[성명],$Q1396)&amp;"")</f>
        <v/>
      </c>
      <c r="D1396">
        <f>IF($Q1396="","",INDEX(상세표[직위],$Q1396)&amp;"")</f>
        <v/>
      </c>
      <c r="E1396">
        <f>IF($Q1396="","",IF(ISNUMBER(INDEX(상세표[근무일자],$Q1396)),TEXT(INDEX(상세표[근무일자],$Q1396),"yyyy-mm-dd"),INDEX(상세표[근무일자],$Q1396)&amp;""))</f>
        <v/>
      </c>
      <c r="F1396">
        <f>IF($Q1396="","",IF(ISNUMBER(INDEX(상세표[시작],$Q1396)),TEXT(INDEX(상세표[시작],$Q1396),"yyyy-mm-dd hh:mm"),INDEX(상세표[시작],$Q1396)&amp;""))</f>
        <v/>
      </c>
      <c r="G1396">
        <f>IF($Q1396="","",IF(ISNUMBER(INDEX(상세표[블록종료],$Q1396)),TEXT(INDEX(상세표[블록종료],$Q1396),"yyyy-mm-dd hh:mm"),INDEX(상세표[블록종료],$Q1396)&amp;""))</f>
        <v/>
      </c>
      <c r="H1396">
        <f>IF($Q1396="","",CHOOSE(WEEKDAY(INDEX(상세표[시작],$Q1396)),"일","월","화","수","목","금","토"))</f>
        <v/>
      </c>
      <c r="I1396" s="20">
        <f>IF($Q1396="","",INDEX(상세표[연속 시간],$Q1396))</f>
        <v/>
      </c>
      <c r="J1396">
        <f>IF($Q1396="","",INDEX(상세표[기록 수],$Q1396))</f>
        <v/>
      </c>
      <c r="K1396" s="20">
        <f>IF($Q1396="","",INDEX(상세표[블록 06~07시],$Q1396))</f>
        <v/>
      </c>
      <c r="L1396" s="20">
        <f>IF($Q1396="","",INDEX(상세표[블록 07~18시],$Q1396))</f>
        <v/>
      </c>
      <c r="M1396" s="20">
        <f>IF($Q1396="","",INDEX(상세표[블록 18~22시],$Q1396))</f>
        <v/>
      </c>
      <c r="N1396" s="20">
        <f>IF($Q1396="","",INDEX(상세표[블록 22~06시],$Q1396))</f>
        <v/>
      </c>
      <c r="O1396">
        <f>IF($Q1396="","",INDEX(상세표[주말·휴일 포함],$Q1396)&amp;"")</f>
        <v/>
      </c>
      <c r="P1396">
        <f>IF($Q1396="","",INDEX(상세표[월 넘김 포함],$Q1396)&amp;"")</f>
        <v/>
      </c>
      <c r="Q1396" s="4">
        <f>IFERROR(MATCH(1391,상세표[연속순번],0),"")</f>
        <v/>
      </c>
    </row>
    <row r="1397">
      <c r="A1397">
        <f>IF($Q1397="","",INDEX(상세표[부서],$Q1397)&amp;"")</f>
        <v/>
      </c>
      <c r="B1397">
        <f>IF($Q1397="","",INDEX(상세표[사번],$Q1397)&amp;"")</f>
        <v/>
      </c>
      <c r="C1397">
        <f>IF($Q1397="","",INDEX(상세표[성명],$Q1397)&amp;"")</f>
        <v/>
      </c>
      <c r="D1397">
        <f>IF($Q1397="","",INDEX(상세표[직위],$Q1397)&amp;"")</f>
        <v/>
      </c>
      <c r="E1397">
        <f>IF($Q1397="","",IF(ISNUMBER(INDEX(상세표[근무일자],$Q1397)),TEXT(INDEX(상세표[근무일자],$Q1397),"yyyy-mm-dd"),INDEX(상세표[근무일자],$Q1397)&amp;""))</f>
        <v/>
      </c>
      <c r="F1397">
        <f>IF($Q1397="","",IF(ISNUMBER(INDEX(상세표[시작],$Q1397)),TEXT(INDEX(상세표[시작],$Q1397),"yyyy-mm-dd hh:mm"),INDEX(상세표[시작],$Q1397)&amp;""))</f>
        <v/>
      </c>
      <c r="G1397">
        <f>IF($Q1397="","",IF(ISNUMBER(INDEX(상세표[블록종료],$Q1397)),TEXT(INDEX(상세표[블록종료],$Q1397),"yyyy-mm-dd hh:mm"),INDEX(상세표[블록종료],$Q1397)&amp;""))</f>
        <v/>
      </c>
      <c r="H1397">
        <f>IF($Q1397="","",CHOOSE(WEEKDAY(INDEX(상세표[시작],$Q1397)),"일","월","화","수","목","금","토"))</f>
        <v/>
      </c>
      <c r="I1397" s="20">
        <f>IF($Q1397="","",INDEX(상세표[연속 시간],$Q1397))</f>
        <v/>
      </c>
      <c r="J1397">
        <f>IF($Q1397="","",INDEX(상세표[기록 수],$Q1397))</f>
        <v/>
      </c>
      <c r="K1397" s="20">
        <f>IF($Q1397="","",INDEX(상세표[블록 06~07시],$Q1397))</f>
        <v/>
      </c>
      <c r="L1397" s="20">
        <f>IF($Q1397="","",INDEX(상세표[블록 07~18시],$Q1397))</f>
        <v/>
      </c>
      <c r="M1397" s="20">
        <f>IF($Q1397="","",INDEX(상세표[블록 18~22시],$Q1397))</f>
        <v/>
      </c>
      <c r="N1397" s="20">
        <f>IF($Q1397="","",INDEX(상세표[블록 22~06시],$Q1397))</f>
        <v/>
      </c>
      <c r="O1397">
        <f>IF($Q1397="","",INDEX(상세표[주말·휴일 포함],$Q1397)&amp;"")</f>
        <v/>
      </c>
      <c r="P1397">
        <f>IF($Q1397="","",INDEX(상세표[월 넘김 포함],$Q1397)&amp;"")</f>
        <v/>
      </c>
      <c r="Q1397" s="4">
        <f>IFERROR(MATCH(1392,상세표[연속순번],0),"")</f>
        <v/>
      </c>
    </row>
    <row r="1398">
      <c r="A1398">
        <f>IF($Q1398="","",INDEX(상세표[부서],$Q1398)&amp;"")</f>
        <v/>
      </c>
      <c r="B1398">
        <f>IF($Q1398="","",INDEX(상세표[사번],$Q1398)&amp;"")</f>
        <v/>
      </c>
      <c r="C1398">
        <f>IF($Q1398="","",INDEX(상세표[성명],$Q1398)&amp;"")</f>
        <v/>
      </c>
      <c r="D1398">
        <f>IF($Q1398="","",INDEX(상세표[직위],$Q1398)&amp;"")</f>
        <v/>
      </c>
      <c r="E1398">
        <f>IF($Q1398="","",IF(ISNUMBER(INDEX(상세표[근무일자],$Q1398)),TEXT(INDEX(상세표[근무일자],$Q1398),"yyyy-mm-dd"),INDEX(상세표[근무일자],$Q1398)&amp;""))</f>
        <v/>
      </c>
      <c r="F1398">
        <f>IF($Q1398="","",IF(ISNUMBER(INDEX(상세표[시작],$Q1398)),TEXT(INDEX(상세표[시작],$Q1398),"yyyy-mm-dd hh:mm"),INDEX(상세표[시작],$Q1398)&amp;""))</f>
        <v/>
      </c>
      <c r="G1398">
        <f>IF($Q1398="","",IF(ISNUMBER(INDEX(상세표[블록종료],$Q1398)),TEXT(INDEX(상세표[블록종료],$Q1398),"yyyy-mm-dd hh:mm"),INDEX(상세표[블록종료],$Q1398)&amp;""))</f>
        <v/>
      </c>
      <c r="H1398">
        <f>IF($Q1398="","",CHOOSE(WEEKDAY(INDEX(상세표[시작],$Q1398)),"일","월","화","수","목","금","토"))</f>
        <v/>
      </c>
      <c r="I1398" s="20">
        <f>IF($Q1398="","",INDEX(상세표[연속 시간],$Q1398))</f>
        <v/>
      </c>
      <c r="J1398">
        <f>IF($Q1398="","",INDEX(상세표[기록 수],$Q1398))</f>
        <v/>
      </c>
      <c r="K1398" s="20">
        <f>IF($Q1398="","",INDEX(상세표[블록 06~07시],$Q1398))</f>
        <v/>
      </c>
      <c r="L1398" s="20">
        <f>IF($Q1398="","",INDEX(상세표[블록 07~18시],$Q1398))</f>
        <v/>
      </c>
      <c r="M1398" s="20">
        <f>IF($Q1398="","",INDEX(상세표[블록 18~22시],$Q1398))</f>
        <v/>
      </c>
      <c r="N1398" s="20">
        <f>IF($Q1398="","",INDEX(상세표[블록 22~06시],$Q1398))</f>
        <v/>
      </c>
      <c r="O1398">
        <f>IF($Q1398="","",INDEX(상세표[주말·휴일 포함],$Q1398)&amp;"")</f>
        <v/>
      </c>
      <c r="P1398">
        <f>IF($Q1398="","",INDEX(상세표[월 넘김 포함],$Q1398)&amp;"")</f>
        <v/>
      </c>
      <c r="Q1398" s="4">
        <f>IFERROR(MATCH(1393,상세표[연속순번],0),"")</f>
        <v/>
      </c>
    </row>
    <row r="1399">
      <c r="A1399">
        <f>IF($Q1399="","",INDEX(상세표[부서],$Q1399)&amp;"")</f>
        <v/>
      </c>
      <c r="B1399">
        <f>IF($Q1399="","",INDEX(상세표[사번],$Q1399)&amp;"")</f>
        <v/>
      </c>
      <c r="C1399">
        <f>IF($Q1399="","",INDEX(상세표[성명],$Q1399)&amp;"")</f>
        <v/>
      </c>
      <c r="D1399">
        <f>IF($Q1399="","",INDEX(상세표[직위],$Q1399)&amp;"")</f>
        <v/>
      </c>
      <c r="E1399">
        <f>IF($Q1399="","",IF(ISNUMBER(INDEX(상세표[근무일자],$Q1399)),TEXT(INDEX(상세표[근무일자],$Q1399),"yyyy-mm-dd"),INDEX(상세표[근무일자],$Q1399)&amp;""))</f>
        <v/>
      </c>
      <c r="F1399">
        <f>IF($Q1399="","",IF(ISNUMBER(INDEX(상세표[시작],$Q1399)),TEXT(INDEX(상세표[시작],$Q1399),"yyyy-mm-dd hh:mm"),INDEX(상세표[시작],$Q1399)&amp;""))</f>
        <v/>
      </c>
      <c r="G1399">
        <f>IF($Q1399="","",IF(ISNUMBER(INDEX(상세표[블록종료],$Q1399)),TEXT(INDEX(상세표[블록종료],$Q1399),"yyyy-mm-dd hh:mm"),INDEX(상세표[블록종료],$Q1399)&amp;""))</f>
        <v/>
      </c>
      <c r="H1399">
        <f>IF($Q1399="","",CHOOSE(WEEKDAY(INDEX(상세표[시작],$Q1399)),"일","월","화","수","목","금","토"))</f>
        <v/>
      </c>
      <c r="I1399" s="20">
        <f>IF($Q1399="","",INDEX(상세표[연속 시간],$Q1399))</f>
        <v/>
      </c>
      <c r="J1399">
        <f>IF($Q1399="","",INDEX(상세표[기록 수],$Q1399))</f>
        <v/>
      </c>
      <c r="K1399" s="20">
        <f>IF($Q1399="","",INDEX(상세표[블록 06~07시],$Q1399))</f>
        <v/>
      </c>
      <c r="L1399" s="20">
        <f>IF($Q1399="","",INDEX(상세표[블록 07~18시],$Q1399))</f>
        <v/>
      </c>
      <c r="M1399" s="20">
        <f>IF($Q1399="","",INDEX(상세표[블록 18~22시],$Q1399))</f>
        <v/>
      </c>
      <c r="N1399" s="20">
        <f>IF($Q1399="","",INDEX(상세표[블록 22~06시],$Q1399))</f>
        <v/>
      </c>
      <c r="O1399">
        <f>IF($Q1399="","",INDEX(상세표[주말·휴일 포함],$Q1399)&amp;"")</f>
        <v/>
      </c>
      <c r="P1399">
        <f>IF($Q1399="","",INDEX(상세표[월 넘김 포함],$Q1399)&amp;"")</f>
        <v/>
      </c>
      <c r="Q1399" s="4">
        <f>IFERROR(MATCH(1394,상세표[연속순번],0),"")</f>
        <v/>
      </c>
    </row>
    <row r="1400">
      <c r="A1400">
        <f>IF($Q1400="","",INDEX(상세표[부서],$Q1400)&amp;"")</f>
        <v/>
      </c>
      <c r="B1400">
        <f>IF($Q1400="","",INDEX(상세표[사번],$Q1400)&amp;"")</f>
        <v/>
      </c>
      <c r="C1400">
        <f>IF($Q1400="","",INDEX(상세표[성명],$Q1400)&amp;"")</f>
        <v/>
      </c>
      <c r="D1400">
        <f>IF($Q1400="","",INDEX(상세표[직위],$Q1400)&amp;"")</f>
        <v/>
      </c>
      <c r="E1400">
        <f>IF($Q1400="","",IF(ISNUMBER(INDEX(상세표[근무일자],$Q1400)),TEXT(INDEX(상세표[근무일자],$Q1400),"yyyy-mm-dd"),INDEX(상세표[근무일자],$Q1400)&amp;""))</f>
        <v/>
      </c>
      <c r="F1400">
        <f>IF($Q1400="","",IF(ISNUMBER(INDEX(상세표[시작],$Q1400)),TEXT(INDEX(상세표[시작],$Q1400),"yyyy-mm-dd hh:mm"),INDEX(상세표[시작],$Q1400)&amp;""))</f>
        <v/>
      </c>
      <c r="G1400">
        <f>IF($Q1400="","",IF(ISNUMBER(INDEX(상세표[블록종료],$Q1400)),TEXT(INDEX(상세표[블록종료],$Q1400),"yyyy-mm-dd hh:mm"),INDEX(상세표[블록종료],$Q1400)&amp;""))</f>
        <v/>
      </c>
      <c r="H1400">
        <f>IF($Q1400="","",CHOOSE(WEEKDAY(INDEX(상세표[시작],$Q1400)),"일","월","화","수","목","금","토"))</f>
        <v/>
      </c>
      <c r="I1400" s="20">
        <f>IF($Q1400="","",INDEX(상세표[연속 시간],$Q1400))</f>
        <v/>
      </c>
      <c r="J1400">
        <f>IF($Q1400="","",INDEX(상세표[기록 수],$Q1400))</f>
        <v/>
      </c>
      <c r="K1400" s="20">
        <f>IF($Q1400="","",INDEX(상세표[블록 06~07시],$Q1400))</f>
        <v/>
      </c>
      <c r="L1400" s="20">
        <f>IF($Q1400="","",INDEX(상세표[블록 07~18시],$Q1400))</f>
        <v/>
      </c>
      <c r="M1400" s="20">
        <f>IF($Q1400="","",INDEX(상세표[블록 18~22시],$Q1400))</f>
        <v/>
      </c>
      <c r="N1400" s="20">
        <f>IF($Q1400="","",INDEX(상세표[블록 22~06시],$Q1400))</f>
        <v/>
      </c>
      <c r="O1400">
        <f>IF($Q1400="","",INDEX(상세표[주말·휴일 포함],$Q1400)&amp;"")</f>
        <v/>
      </c>
      <c r="P1400">
        <f>IF($Q1400="","",INDEX(상세표[월 넘김 포함],$Q1400)&amp;"")</f>
        <v/>
      </c>
      <c r="Q1400" s="4">
        <f>IFERROR(MATCH(1395,상세표[연속순번],0),"")</f>
        <v/>
      </c>
    </row>
    <row r="1401">
      <c r="A1401">
        <f>IF($Q1401="","",INDEX(상세표[부서],$Q1401)&amp;"")</f>
        <v/>
      </c>
      <c r="B1401">
        <f>IF($Q1401="","",INDEX(상세표[사번],$Q1401)&amp;"")</f>
        <v/>
      </c>
      <c r="C1401">
        <f>IF($Q1401="","",INDEX(상세표[성명],$Q1401)&amp;"")</f>
        <v/>
      </c>
      <c r="D1401">
        <f>IF($Q1401="","",INDEX(상세표[직위],$Q1401)&amp;"")</f>
        <v/>
      </c>
      <c r="E1401">
        <f>IF($Q1401="","",IF(ISNUMBER(INDEX(상세표[근무일자],$Q1401)),TEXT(INDEX(상세표[근무일자],$Q1401),"yyyy-mm-dd"),INDEX(상세표[근무일자],$Q1401)&amp;""))</f>
        <v/>
      </c>
      <c r="F1401">
        <f>IF($Q1401="","",IF(ISNUMBER(INDEX(상세표[시작],$Q1401)),TEXT(INDEX(상세표[시작],$Q1401),"yyyy-mm-dd hh:mm"),INDEX(상세표[시작],$Q1401)&amp;""))</f>
        <v/>
      </c>
      <c r="G1401">
        <f>IF($Q1401="","",IF(ISNUMBER(INDEX(상세표[블록종료],$Q1401)),TEXT(INDEX(상세표[블록종료],$Q1401),"yyyy-mm-dd hh:mm"),INDEX(상세표[블록종료],$Q1401)&amp;""))</f>
        <v/>
      </c>
      <c r="H1401">
        <f>IF($Q1401="","",CHOOSE(WEEKDAY(INDEX(상세표[시작],$Q1401)),"일","월","화","수","목","금","토"))</f>
        <v/>
      </c>
      <c r="I1401" s="20">
        <f>IF($Q1401="","",INDEX(상세표[연속 시간],$Q1401))</f>
        <v/>
      </c>
      <c r="J1401">
        <f>IF($Q1401="","",INDEX(상세표[기록 수],$Q1401))</f>
        <v/>
      </c>
      <c r="K1401" s="20">
        <f>IF($Q1401="","",INDEX(상세표[블록 06~07시],$Q1401))</f>
        <v/>
      </c>
      <c r="L1401" s="20">
        <f>IF($Q1401="","",INDEX(상세표[블록 07~18시],$Q1401))</f>
        <v/>
      </c>
      <c r="M1401" s="20">
        <f>IF($Q1401="","",INDEX(상세표[블록 18~22시],$Q1401))</f>
        <v/>
      </c>
      <c r="N1401" s="20">
        <f>IF($Q1401="","",INDEX(상세표[블록 22~06시],$Q1401))</f>
        <v/>
      </c>
      <c r="O1401">
        <f>IF($Q1401="","",INDEX(상세표[주말·휴일 포함],$Q1401)&amp;"")</f>
        <v/>
      </c>
      <c r="P1401">
        <f>IF($Q1401="","",INDEX(상세표[월 넘김 포함],$Q1401)&amp;"")</f>
        <v/>
      </c>
      <c r="Q1401" s="4">
        <f>IFERROR(MATCH(1396,상세표[연속순번],0),"")</f>
        <v/>
      </c>
    </row>
    <row r="1402">
      <c r="A1402">
        <f>IF($Q1402="","",INDEX(상세표[부서],$Q1402)&amp;"")</f>
        <v/>
      </c>
      <c r="B1402">
        <f>IF($Q1402="","",INDEX(상세표[사번],$Q1402)&amp;"")</f>
        <v/>
      </c>
      <c r="C1402">
        <f>IF($Q1402="","",INDEX(상세표[성명],$Q1402)&amp;"")</f>
        <v/>
      </c>
      <c r="D1402">
        <f>IF($Q1402="","",INDEX(상세표[직위],$Q1402)&amp;"")</f>
        <v/>
      </c>
      <c r="E1402">
        <f>IF($Q1402="","",IF(ISNUMBER(INDEX(상세표[근무일자],$Q1402)),TEXT(INDEX(상세표[근무일자],$Q1402),"yyyy-mm-dd"),INDEX(상세표[근무일자],$Q1402)&amp;""))</f>
        <v/>
      </c>
      <c r="F1402">
        <f>IF($Q1402="","",IF(ISNUMBER(INDEX(상세표[시작],$Q1402)),TEXT(INDEX(상세표[시작],$Q1402),"yyyy-mm-dd hh:mm"),INDEX(상세표[시작],$Q1402)&amp;""))</f>
        <v/>
      </c>
      <c r="G1402">
        <f>IF($Q1402="","",IF(ISNUMBER(INDEX(상세표[블록종료],$Q1402)),TEXT(INDEX(상세표[블록종료],$Q1402),"yyyy-mm-dd hh:mm"),INDEX(상세표[블록종료],$Q1402)&amp;""))</f>
        <v/>
      </c>
      <c r="H1402">
        <f>IF($Q1402="","",CHOOSE(WEEKDAY(INDEX(상세표[시작],$Q1402)),"일","월","화","수","목","금","토"))</f>
        <v/>
      </c>
      <c r="I1402" s="20">
        <f>IF($Q1402="","",INDEX(상세표[연속 시간],$Q1402))</f>
        <v/>
      </c>
      <c r="J1402">
        <f>IF($Q1402="","",INDEX(상세표[기록 수],$Q1402))</f>
        <v/>
      </c>
      <c r="K1402" s="20">
        <f>IF($Q1402="","",INDEX(상세표[블록 06~07시],$Q1402))</f>
        <v/>
      </c>
      <c r="L1402" s="20">
        <f>IF($Q1402="","",INDEX(상세표[블록 07~18시],$Q1402))</f>
        <v/>
      </c>
      <c r="M1402" s="20">
        <f>IF($Q1402="","",INDEX(상세표[블록 18~22시],$Q1402))</f>
        <v/>
      </c>
      <c r="N1402" s="20">
        <f>IF($Q1402="","",INDEX(상세표[블록 22~06시],$Q1402))</f>
        <v/>
      </c>
      <c r="O1402">
        <f>IF($Q1402="","",INDEX(상세표[주말·휴일 포함],$Q1402)&amp;"")</f>
        <v/>
      </c>
      <c r="P1402">
        <f>IF($Q1402="","",INDEX(상세표[월 넘김 포함],$Q1402)&amp;"")</f>
        <v/>
      </c>
      <c r="Q1402" s="4">
        <f>IFERROR(MATCH(1397,상세표[연속순번],0),"")</f>
        <v/>
      </c>
    </row>
    <row r="1403">
      <c r="A1403">
        <f>IF($Q1403="","",INDEX(상세표[부서],$Q1403)&amp;"")</f>
        <v/>
      </c>
      <c r="B1403">
        <f>IF($Q1403="","",INDEX(상세표[사번],$Q1403)&amp;"")</f>
        <v/>
      </c>
      <c r="C1403">
        <f>IF($Q1403="","",INDEX(상세표[성명],$Q1403)&amp;"")</f>
        <v/>
      </c>
      <c r="D1403">
        <f>IF($Q1403="","",INDEX(상세표[직위],$Q1403)&amp;"")</f>
        <v/>
      </c>
      <c r="E1403">
        <f>IF($Q1403="","",IF(ISNUMBER(INDEX(상세표[근무일자],$Q1403)),TEXT(INDEX(상세표[근무일자],$Q1403),"yyyy-mm-dd"),INDEX(상세표[근무일자],$Q1403)&amp;""))</f>
        <v/>
      </c>
      <c r="F1403">
        <f>IF($Q1403="","",IF(ISNUMBER(INDEX(상세표[시작],$Q1403)),TEXT(INDEX(상세표[시작],$Q1403),"yyyy-mm-dd hh:mm"),INDEX(상세표[시작],$Q1403)&amp;""))</f>
        <v/>
      </c>
      <c r="G1403">
        <f>IF($Q1403="","",IF(ISNUMBER(INDEX(상세표[블록종료],$Q1403)),TEXT(INDEX(상세표[블록종료],$Q1403),"yyyy-mm-dd hh:mm"),INDEX(상세표[블록종료],$Q1403)&amp;""))</f>
        <v/>
      </c>
      <c r="H1403">
        <f>IF($Q1403="","",CHOOSE(WEEKDAY(INDEX(상세표[시작],$Q1403)),"일","월","화","수","목","금","토"))</f>
        <v/>
      </c>
      <c r="I1403" s="20">
        <f>IF($Q1403="","",INDEX(상세표[연속 시간],$Q1403))</f>
        <v/>
      </c>
      <c r="J1403">
        <f>IF($Q1403="","",INDEX(상세표[기록 수],$Q1403))</f>
        <v/>
      </c>
      <c r="K1403" s="20">
        <f>IF($Q1403="","",INDEX(상세표[블록 06~07시],$Q1403))</f>
        <v/>
      </c>
      <c r="L1403" s="20">
        <f>IF($Q1403="","",INDEX(상세표[블록 07~18시],$Q1403))</f>
        <v/>
      </c>
      <c r="M1403" s="20">
        <f>IF($Q1403="","",INDEX(상세표[블록 18~22시],$Q1403))</f>
        <v/>
      </c>
      <c r="N1403" s="20">
        <f>IF($Q1403="","",INDEX(상세표[블록 22~06시],$Q1403))</f>
        <v/>
      </c>
      <c r="O1403">
        <f>IF($Q1403="","",INDEX(상세표[주말·휴일 포함],$Q1403)&amp;"")</f>
        <v/>
      </c>
      <c r="P1403">
        <f>IF($Q1403="","",INDEX(상세표[월 넘김 포함],$Q1403)&amp;"")</f>
        <v/>
      </c>
      <c r="Q1403" s="4">
        <f>IFERROR(MATCH(1398,상세표[연속순번],0),"")</f>
        <v/>
      </c>
    </row>
    <row r="1404">
      <c r="A1404">
        <f>IF($Q1404="","",INDEX(상세표[부서],$Q1404)&amp;"")</f>
        <v/>
      </c>
      <c r="B1404">
        <f>IF($Q1404="","",INDEX(상세표[사번],$Q1404)&amp;"")</f>
        <v/>
      </c>
      <c r="C1404">
        <f>IF($Q1404="","",INDEX(상세표[성명],$Q1404)&amp;"")</f>
        <v/>
      </c>
      <c r="D1404">
        <f>IF($Q1404="","",INDEX(상세표[직위],$Q1404)&amp;"")</f>
        <v/>
      </c>
      <c r="E1404">
        <f>IF($Q1404="","",IF(ISNUMBER(INDEX(상세표[근무일자],$Q1404)),TEXT(INDEX(상세표[근무일자],$Q1404),"yyyy-mm-dd"),INDEX(상세표[근무일자],$Q1404)&amp;""))</f>
        <v/>
      </c>
      <c r="F1404">
        <f>IF($Q1404="","",IF(ISNUMBER(INDEX(상세표[시작],$Q1404)),TEXT(INDEX(상세표[시작],$Q1404),"yyyy-mm-dd hh:mm"),INDEX(상세표[시작],$Q1404)&amp;""))</f>
        <v/>
      </c>
      <c r="G1404">
        <f>IF($Q1404="","",IF(ISNUMBER(INDEX(상세표[블록종료],$Q1404)),TEXT(INDEX(상세표[블록종료],$Q1404),"yyyy-mm-dd hh:mm"),INDEX(상세표[블록종료],$Q1404)&amp;""))</f>
        <v/>
      </c>
      <c r="H1404">
        <f>IF($Q1404="","",CHOOSE(WEEKDAY(INDEX(상세표[시작],$Q1404)),"일","월","화","수","목","금","토"))</f>
        <v/>
      </c>
      <c r="I1404" s="20">
        <f>IF($Q1404="","",INDEX(상세표[연속 시간],$Q1404))</f>
        <v/>
      </c>
      <c r="J1404">
        <f>IF($Q1404="","",INDEX(상세표[기록 수],$Q1404))</f>
        <v/>
      </c>
      <c r="K1404" s="20">
        <f>IF($Q1404="","",INDEX(상세표[블록 06~07시],$Q1404))</f>
        <v/>
      </c>
      <c r="L1404" s="20">
        <f>IF($Q1404="","",INDEX(상세표[블록 07~18시],$Q1404))</f>
        <v/>
      </c>
      <c r="M1404" s="20">
        <f>IF($Q1404="","",INDEX(상세표[블록 18~22시],$Q1404))</f>
        <v/>
      </c>
      <c r="N1404" s="20">
        <f>IF($Q1404="","",INDEX(상세표[블록 22~06시],$Q1404))</f>
        <v/>
      </c>
      <c r="O1404">
        <f>IF($Q1404="","",INDEX(상세표[주말·휴일 포함],$Q1404)&amp;"")</f>
        <v/>
      </c>
      <c r="P1404">
        <f>IF($Q1404="","",INDEX(상세표[월 넘김 포함],$Q1404)&amp;"")</f>
        <v/>
      </c>
      <c r="Q1404" s="4">
        <f>IFERROR(MATCH(1399,상세표[연속순번],0),"")</f>
        <v/>
      </c>
    </row>
    <row r="1405">
      <c r="A1405">
        <f>IF($Q1405="","",INDEX(상세표[부서],$Q1405)&amp;"")</f>
        <v/>
      </c>
      <c r="B1405">
        <f>IF($Q1405="","",INDEX(상세표[사번],$Q1405)&amp;"")</f>
        <v/>
      </c>
      <c r="C1405">
        <f>IF($Q1405="","",INDEX(상세표[성명],$Q1405)&amp;"")</f>
        <v/>
      </c>
      <c r="D1405">
        <f>IF($Q1405="","",INDEX(상세표[직위],$Q1405)&amp;"")</f>
        <v/>
      </c>
      <c r="E1405">
        <f>IF($Q1405="","",IF(ISNUMBER(INDEX(상세표[근무일자],$Q1405)),TEXT(INDEX(상세표[근무일자],$Q1405),"yyyy-mm-dd"),INDEX(상세표[근무일자],$Q1405)&amp;""))</f>
        <v/>
      </c>
      <c r="F1405">
        <f>IF($Q1405="","",IF(ISNUMBER(INDEX(상세표[시작],$Q1405)),TEXT(INDEX(상세표[시작],$Q1405),"yyyy-mm-dd hh:mm"),INDEX(상세표[시작],$Q1405)&amp;""))</f>
        <v/>
      </c>
      <c r="G1405">
        <f>IF($Q1405="","",IF(ISNUMBER(INDEX(상세표[블록종료],$Q1405)),TEXT(INDEX(상세표[블록종료],$Q1405),"yyyy-mm-dd hh:mm"),INDEX(상세표[블록종료],$Q1405)&amp;""))</f>
        <v/>
      </c>
      <c r="H1405">
        <f>IF($Q1405="","",CHOOSE(WEEKDAY(INDEX(상세표[시작],$Q1405)),"일","월","화","수","목","금","토"))</f>
        <v/>
      </c>
      <c r="I1405" s="20">
        <f>IF($Q1405="","",INDEX(상세표[연속 시간],$Q1405))</f>
        <v/>
      </c>
      <c r="J1405">
        <f>IF($Q1405="","",INDEX(상세표[기록 수],$Q1405))</f>
        <v/>
      </c>
      <c r="K1405" s="20">
        <f>IF($Q1405="","",INDEX(상세표[블록 06~07시],$Q1405))</f>
        <v/>
      </c>
      <c r="L1405" s="20">
        <f>IF($Q1405="","",INDEX(상세표[블록 07~18시],$Q1405))</f>
        <v/>
      </c>
      <c r="M1405" s="20">
        <f>IF($Q1405="","",INDEX(상세표[블록 18~22시],$Q1405))</f>
        <v/>
      </c>
      <c r="N1405" s="20">
        <f>IF($Q1405="","",INDEX(상세표[블록 22~06시],$Q1405))</f>
        <v/>
      </c>
      <c r="O1405">
        <f>IF($Q1405="","",INDEX(상세표[주말·휴일 포함],$Q1405)&amp;"")</f>
        <v/>
      </c>
      <c r="P1405">
        <f>IF($Q1405="","",INDEX(상세표[월 넘김 포함],$Q1405)&amp;"")</f>
        <v/>
      </c>
      <c r="Q1405" s="4">
        <f>IFERROR(MATCH(1400,상세표[연속순번],0),"")</f>
        <v/>
      </c>
    </row>
    <row r="1406">
      <c r="A1406">
        <f>IF($Q1406="","",INDEX(상세표[부서],$Q1406)&amp;"")</f>
        <v/>
      </c>
      <c r="B1406">
        <f>IF($Q1406="","",INDEX(상세표[사번],$Q1406)&amp;"")</f>
        <v/>
      </c>
      <c r="C1406">
        <f>IF($Q1406="","",INDEX(상세표[성명],$Q1406)&amp;"")</f>
        <v/>
      </c>
      <c r="D1406">
        <f>IF($Q1406="","",INDEX(상세표[직위],$Q1406)&amp;"")</f>
        <v/>
      </c>
      <c r="E1406">
        <f>IF($Q1406="","",IF(ISNUMBER(INDEX(상세표[근무일자],$Q1406)),TEXT(INDEX(상세표[근무일자],$Q1406),"yyyy-mm-dd"),INDEX(상세표[근무일자],$Q1406)&amp;""))</f>
        <v/>
      </c>
      <c r="F1406">
        <f>IF($Q1406="","",IF(ISNUMBER(INDEX(상세표[시작],$Q1406)),TEXT(INDEX(상세표[시작],$Q1406),"yyyy-mm-dd hh:mm"),INDEX(상세표[시작],$Q1406)&amp;""))</f>
        <v/>
      </c>
      <c r="G1406">
        <f>IF($Q1406="","",IF(ISNUMBER(INDEX(상세표[블록종료],$Q1406)),TEXT(INDEX(상세표[블록종료],$Q1406),"yyyy-mm-dd hh:mm"),INDEX(상세표[블록종료],$Q1406)&amp;""))</f>
        <v/>
      </c>
      <c r="H1406">
        <f>IF($Q1406="","",CHOOSE(WEEKDAY(INDEX(상세표[시작],$Q1406)),"일","월","화","수","목","금","토"))</f>
        <v/>
      </c>
      <c r="I1406" s="20">
        <f>IF($Q1406="","",INDEX(상세표[연속 시간],$Q1406))</f>
        <v/>
      </c>
      <c r="J1406">
        <f>IF($Q1406="","",INDEX(상세표[기록 수],$Q1406))</f>
        <v/>
      </c>
      <c r="K1406" s="20">
        <f>IF($Q1406="","",INDEX(상세표[블록 06~07시],$Q1406))</f>
        <v/>
      </c>
      <c r="L1406" s="20">
        <f>IF($Q1406="","",INDEX(상세표[블록 07~18시],$Q1406))</f>
        <v/>
      </c>
      <c r="M1406" s="20">
        <f>IF($Q1406="","",INDEX(상세표[블록 18~22시],$Q1406))</f>
        <v/>
      </c>
      <c r="N1406" s="20">
        <f>IF($Q1406="","",INDEX(상세표[블록 22~06시],$Q1406))</f>
        <v/>
      </c>
      <c r="O1406">
        <f>IF($Q1406="","",INDEX(상세표[주말·휴일 포함],$Q1406)&amp;"")</f>
        <v/>
      </c>
      <c r="P1406">
        <f>IF($Q1406="","",INDEX(상세표[월 넘김 포함],$Q1406)&amp;"")</f>
        <v/>
      </c>
      <c r="Q1406" s="4">
        <f>IFERROR(MATCH(1401,상세표[연속순번],0),"")</f>
        <v/>
      </c>
    </row>
    <row r="1407">
      <c r="A1407">
        <f>IF($Q1407="","",INDEX(상세표[부서],$Q1407)&amp;"")</f>
        <v/>
      </c>
      <c r="B1407">
        <f>IF($Q1407="","",INDEX(상세표[사번],$Q1407)&amp;"")</f>
        <v/>
      </c>
      <c r="C1407">
        <f>IF($Q1407="","",INDEX(상세표[성명],$Q1407)&amp;"")</f>
        <v/>
      </c>
      <c r="D1407">
        <f>IF($Q1407="","",INDEX(상세표[직위],$Q1407)&amp;"")</f>
        <v/>
      </c>
      <c r="E1407">
        <f>IF($Q1407="","",IF(ISNUMBER(INDEX(상세표[근무일자],$Q1407)),TEXT(INDEX(상세표[근무일자],$Q1407),"yyyy-mm-dd"),INDEX(상세표[근무일자],$Q1407)&amp;""))</f>
        <v/>
      </c>
      <c r="F1407">
        <f>IF($Q1407="","",IF(ISNUMBER(INDEX(상세표[시작],$Q1407)),TEXT(INDEX(상세표[시작],$Q1407),"yyyy-mm-dd hh:mm"),INDEX(상세표[시작],$Q1407)&amp;""))</f>
        <v/>
      </c>
      <c r="G1407">
        <f>IF($Q1407="","",IF(ISNUMBER(INDEX(상세표[블록종료],$Q1407)),TEXT(INDEX(상세표[블록종료],$Q1407),"yyyy-mm-dd hh:mm"),INDEX(상세표[블록종료],$Q1407)&amp;""))</f>
        <v/>
      </c>
      <c r="H1407">
        <f>IF($Q1407="","",CHOOSE(WEEKDAY(INDEX(상세표[시작],$Q1407)),"일","월","화","수","목","금","토"))</f>
        <v/>
      </c>
      <c r="I1407" s="20">
        <f>IF($Q1407="","",INDEX(상세표[연속 시간],$Q1407))</f>
        <v/>
      </c>
      <c r="J1407">
        <f>IF($Q1407="","",INDEX(상세표[기록 수],$Q1407))</f>
        <v/>
      </c>
      <c r="K1407" s="20">
        <f>IF($Q1407="","",INDEX(상세표[블록 06~07시],$Q1407))</f>
        <v/>
      </c>
      <c r="L1407" s="20">
        <f>IF($Q1407="","",INDEX(상세표[블록 07~18시],$Q1407))</f>
        <v/>
      </c>
      <c r="M1407" s="20">
        <f>IF($Q1407="","",INDEX(상세표[블록 18~22시],$Q1407))</f>
        <v/>
      </c>
      <c r="N1407" s="20">
        <f>IF($Q1407="","",INDEX(상세표[블록 22~06시],$Q1407))</f>
        <v/>
      </c>
      <c r="O1407">
        <f>IF($Q1407="","",INDEX(상세표[주말·휴일 포함],$Q1407)&amp;"")</f>
        <v/>
      </c>
      <c r="P1407">
        <f>IF($Q1407="","",INDEX(상세표[월 넘김 포함],$Q1407)&amp;"")</f>
        <v/>
      </c>
      <c r="Q1407" s="4">
        <f>IFERROR(MATCH(1402,상세표[연속순번],0),"")</f>
        <v/>
      </c>
    </row>
    <row r="1408">
      <c r="A1408">
        <f>IF($Q1408="","",INDEX(상세표[부서],$Q1408)&amp;"")</f>
        <v/>
      </c>
      <c r="B1408">
        <f>IF($Q1408="","",INDEX(상세표[사번],$Q1408)&amp;"")</f>
        <v/>
      </c>
      <c r="C1408">
        <f>IF($Q1408="","",INDEX(상세표[성명],$Q1408)&amp;"")</f>
        <v/>
      </c>
      <c r="D1408">
        <f>IF($Q1408="","",INDEX(상세표[직위],$Q1408)&amp;"")</f>
        <v/>
      </c>
      <c r="E1408">
        <f>IF($Q1408="","",IF(ISNUMBER(INDEX(상세표[근무일자],$Q1408)),TEXT(INDEX(상세표[근무일자],$Q1408),"yyyy-mm-dd"),INDEX(상세표[근무일자],$Q1408)&amp;""))</f>
        <v/>
      </c>
      <c r="F1408">
        <f>IF($Q1408="","",IF(ISNUMBER(INDEX(상세표[시작],$Q1408)),TEXT(INDEX(상세표[시작],$Q1408),"yyyy-mm-dd hh:mm"),INDEX(상세표[시작],$Q1408)&amp;""))</f>
        <v/>
      </c>
      <c r="G1408">
        <f>IF($Q1408="","",IF(ISNUMBER(INDEX(상세표[블록종료],$Q1408)),TEXT(INDEX(상세표[블록종료],$Q1408),"yyyy-mm-dd hh:mm"),INDEX(상세표[블록종료],$Q1408)&amp;""))</f>
        <v/>
      </c>
      <c r="H1408">
        <f>IF($Q1408="","",CHOOSE(WEEKDAY(INDEX(상세표[시작],$Q1408)),"일","월","화","수","목","금","토"))</f>
        <v/>
      </c>
      <c r="I1408" s="20">
        <f>IF($Q1408="","",INDEX(상세표[연속 시간],$Q1408))</f>
        <v/>
      </c>
      <c r="J1408">
        <f>IF($Q1408="","",INDEX(상세표[기록 수],$Q1408))</f>
        <v/>
      </c>
      <c r="K1408" s="20">
        <f>IF($Q1408="","",INDEX(상세표[블록 06~07시],$Q1408))</f>
        <v/>
      </c>
      <c r="L1408" s="20">
        <f>IF($Q1408="","",INDEX(상세표[블록 07~18시],$Q1408))</f>
        <v/>
      </c>
      <c r="M1408" s="20">
        <f>IF($Q1408="","",INDEX(상세표[블록 18~22시],$Q1408))</f>
        <v/>
      </c>
      <c r="N1408" s="20">
        <f>IF($Q1408="","",INDEX(상세표[블록 22~06시],$Q1408))</f>
        <v/>
      </c>
      <c r="O1408">
        <f>IF($Q1408="","",INDEX(상세표[주말·휴일 포함],$Q1408)&amp;"")</f>
        <v/>
      </c>
      <c r="P1408">
        <f>IF($Q1408="","",INDEX(상세표[월 넘김 포함],$Q1408)&amp;"")</f>
        <v/>
      </c>
      <c r="Q1408" s="4">
        <f>IFERROR(MATCH(1403,상세표[연속순번],0),"")</f>
        <v/>
      </c>
    </row>
    <row r="1409">
      <c r="A1409">
        <f>IF($Q1409="","",INDEX(상세표[부서],$Q1409)&amp;"")</f>
        <v/>
      </c>
      <c r="B1409">
        <f>IF($Q1409="","",INDEX(상세표[사번],$Q1409)&amp;"")</f>
        <v/>
      </c>
      <c r="C1409">
        <f>IF($Q1409="","",INDEX(상세표[성명],$Q1409)&amp;"")</f>
        <v/>
      </c>
      <c r="D1409">
        <f>IF($Q1409="","",INDEX(상세표[직위],$Q1409)&amp;"")</f>
        <v/>
      </c>
      <c r="E1409">
        <f>IF($Q1409="","",IF(ISNUMBER(INDEX(상세표[근무일자],$Q1409)),TEXT(INDEX(상세표[근무일자],$Q1409),"yyyy-mm-dd"),INDEX(상세표[근무일자],$Q1409)&amp;""))</f>
        <v/>
      </c>
      <c r="F1409">
        <f>IF($Q1409="","",IF(ISNUMBER(INDEX(상세표[시작],$Q1409)),TEXT(INDEX(상세표[시작],$Q1409),"yyyy-mm-dd hh:mm"),INDEX(상세표[시작],$Q1409)&amp;""))</f>
        <v/>
      </c>
      <c r="G1409">
        <f>IF($Q1409="","",IF(ISNUMBER(INDEX(상세표[블록종료],$Q1409)),TEXT(INDEX(상세표[블록종료],$Q1409),"yyyy-mm-dd hh:mm"),INDEX(상세표[블록종료],$Q1409)&amp;""))</f>
        <v/>
      </c>
      <c r="H1409">
        <f>IF($Q1409="","",CHOOSE(WEEKDAY(INDEX(상세표[시작],$Q1409)),"일","월","화","수","목","금","토"))</f>
        <v/>
      </c>
      <c r="I1409" s="20">
        <f>IF($Q1409="","",INDEX(상세표[연속 시간],$Q1409))</f>
        <v/>
      </c>
      <c r="J1409">
        <f>IF($Q1409="","",INDEX(상세표[기록 수],$Q1409))</f>
        <v/>
      </c>
      <c r="K1409" s="20">
        <f>IF($Q1409="","",INDEX(상세표[블록 06~07시],$Q1409))</f>
        <v/>
      </c>
      <c r="L1409" s="20">
        <f>IF($Q1409="","",INDEX(상세표[블록 07~18시],$Q1409))</f>
        <v/>
      </c>
      <c r="M1409" s="20">
        <f>IF($Q1409="","",INDEX(상세표[블록 18~22시],$Q1409))</f>
        <v/>
      </c>
      <c r="N1409" s="20">
        <f>IF($Q1409="","",INDEX(상세표[블록 22~06시],$Q1409))</f>
        <v/>
      </c>
      <c r="O1409">
        <f>IF($Q1409="","",INDEX(상세표[주말·휴일 포함],$Q1409)&amp;"")</f>
        <v/>
      </c>
      <c r="P1409">
        <f>IF($Q1409="","",INDEX(상세표[월 넘김 포함],$Q1409)&amp;"")</f>
        <v/>
      </c>
      <c r="Q1409" s="4">
        <f>IFERROR(MATCH(1404,상세표[연속순번],0),"")</f>
        <v/>
      </c>
    </row>
    <row r="1410">
      <c r="A1410">
        <f>IF($Q1410="","",INDEX(상세표[부서],$Q1410)&amp;"")</f>
        <v/>
      </c>
      <c r="B1410">
        <f>IF($Q1410="","",INDEX(상세표[사번],$Q1410)&amp;"")</f>
        <v/>
      </c>
      <c r="C1410">
        <f>IF($Q1410="","",INDEX(상세표[성명],$Q1410)&amp;"")</f>
        <v/>
      </c>
      <c r="D1410">
        <f>IF($Q1410="","",INDEX(상세표[직위],$Q1410)&amp;"")</f>
        <v/>
      </c>
      <c r="E1410">
        <f>IF($Q1410="","",IF(ISNUMBER(INDEX(상세표[근무일자],$Q1410)),TEXT(INDEX(상세표[근무일자],$Q1410),"yyyy-mm-dd"),INDEX(상세표[근무일자],$Q1410)&amp;""))</f>
        <v/>
      </c>
      <c r="F1410">
        <f>IF($Q1410="","",IF(ISNUMBER(INDEX(상세표[시작],$Q1410)),TEXT(INDEX(상세표[시작],$Q1410),"yyyy-mm-dd hh:mm"),INDEX(상세표[시작],$Q1410)&amp;""))</f>
        <v/>
      </c>
      <c r="G1410">
        <f>IF($Q1410="","",IF(ISNUMBER(INDEX(상세표[블록종료],$Q1410)),TEXT(INDEX(상세표[블록종료],$Q1410),"yyyy-mm-dd hh:mm"),INDEX(상세표[블록종료],$Q1410)&amp;""))</f>
        <v/>
      </c>
      <c r="H1410">
        <f>IF($Q1410="","",CHOOSE(WEEKDAY(INDEX(상세표[시작],$Q1410)),"일","월","화","수","목","금","토"))</f>
        <v/>
      </c>
      <c r="I1410" s="20">
        <f>IF($Q1410="","",INDEX(상세표[연속 시간],$Q1410))</f>
        <v/>
      </c>
      <c r="J1410">
        <f>IF($Q1410="","",INDEX(상세표[기록 수],$Q1410))</f>
        <v/>
      </c>
      <c r="K1410" s="20">
        <f>IF($Q1410="","",INDEX(상세표[블록 06~07시],$Q1410))</f>
        <v/>
      </c>
      <c r="L1410" s="20">
        <f>IF($Q1410="","",INDEX(상세표[블록 07~18시],$Q1410))</f>
        <v/>
      </c>
      <c r="M1410" s="20">
        <f>IF($Q1410="","",INDEX(상세표[블록 18~22시],$Q1410))</f>
        <v/>
      </c>
      <c r="N1410" s="20">
        <f>IF($Q1410="","",INDEX(상세표[블록 22~06시],$Q1410))</f>
        <v/>
      </c>
      <c r="O1410">
        <f>IF($Q1410="","",INDEX(상세표[주말·휴일 포함],$Q1410)&amp;"")</f>
        <v/>
      </c>
      <c r="P1410">
        <f>IF($Q1410="","",INDEX(상세표[월 넘김 포함],$Q1410)&amp;"")</f>
        <v/>
      </c>
      <c r="Q1410" s="4">
        <f>IFERROR(MATCH(1405,상세표[연속순번],0),"")</f>
        <v/>
      </c>
    </row>
    <row r="1411">
      <c r="A1411">
        <f>IF($Q1411="","",INDEX(상세표[부서],$Q1411)&amp;"")</f>
        <v/>
      </c>
      <c r="B1411">
        <f>IF($Q1411="","",INDEX(상세표[사번],$Q1411)&amp;"")</f>
        <v/>
      </c>
      <c r="C1411">
        <f>IF($Q1411="","",INDEX(상세표[성명],$Q1411)&amp;"")</f>
        <v/>
      </c>
      <c r="D1411">
        <f>IF($Q1411="","",INDEX(상세표[직위],$Q1411)&amp;"")</f>
        <v/>
      </c>
      <c r="E1411">
        <f>IF($Q1411="","",IF(ISNUMBER(INDEX(상세표[근무일자],$Q1411)),TEXT(INDEX(상세표[근무일자],$Q1411),"yyyy-mm-dd"),INDEX(상세표[근무일자],$Q1411)&amp;""))</f>
        <v/>
      </c>
      <c r="F1411">
        <f>IF($Q1411="","",IF(ISNUMBER(INDEX(상세표[시작],$Q1411)),TEXT(INDEX(상세표[시작],$Q1411),"yyyy-mm-dd hh:mm"),INDEX(상세표[시작],$Q1411)&amp;""))</f>
        <v/>
      </c>
      <c r="G1411">
        <f>IF($Q1411="","",IF(ISNUMBER(INDEX(상세표[블록종료],$Q1411)),TEXT(INDEX(상세표[블록종료],$Q1411),"yyyy-mm-dd hh:mm"),INDEX(상세표[블록종료],$Q1411)&amp;""))</f>
        <v/>
      </c>
      <c r="H1411">
        <f>IF($Q1411="","",CHOOSE(WEEKDAY(INDEX(상세표[시작],$Q1411)),"일","월","화","수","목","금","토"))</f>
        <v/>
      </c>
      <c r="I1411" s="20">
        <f>IF($Q1411="","",INDEX(상세표[연속 시간],$Q1411))</f>
        <v/>
      </c>
      <c r="J1411">
        <f>IF($Q1411="","",INDEX(상세표[기록 수],$Q1411))</f>
        <v/>
      </c>
      <c r="K1411" s="20">
        <f>IF($Q1411="","",INDEX(상세표[블록 06~07시],$Q1411))</f>
        <v/>
      </c>
      <c r="L1411" s="20">
        <f>IF($Q1411="","",INDEX(상세표[블록 07~18시],$Q1411))</f>
        <v/>
      </c>
      <c r="M1411" s="20">
        <f>IF($Q1411="","",INDEX(상세표[블록 18~22시],$Q1411))</f>
        <v/>
      </c>
      <c r="N1411" s="20">
        <f>IF($Q1411="","",INDEX(상세표[블록 22~06시],$Q1411))</f>
        <v/>
      </c>
      <c r="O1411">
        <f>IF($Q1411="","",INDEX(상세표[주말·휴일 포함],$Q1411)&amp;"")</f>
        <v/>
      </c>
      <c r="P1411">
        <f>IF($Q1411="","",INDEX(상세표[월 넘김 포함],$Q1411)&amp;"")</f>
        <v/>
      </c>
      <c r="Q1411" s="4">
        <f>IFERROR(MATCH(1406,상세표[연속순번],0),"")</f>
        <v/>
      </c>
    </row>
    <row r="1412">
      <c r="A1412">
        <f>IF($Q1412="","",INDEX(상세표[부서],$Q1412)&amp;"")</f>
        <v/>
      </c>
      <c r="B1412">
        <f>IF($Q1412="","",INDEX(상세표[사번],$Q1412)&amp;"")</f>
        <v/>
      </c>
      <c r="C1412">
        <f>IF($Q1412="","",INDEX(상세표[성명],$Q1412)&amp;"")</f>
        <v/>
      </c>
      <c r="D1412">
        <f>IF($Q1412="","",INDEX(상세표[직위],$Q1412)&amp;"")</f>
        <v/>
      </c>
      <c r="E1412">
        <f>IF($Q1412="","",IF(ISNUMBER(INDEX(상세표[근무일자],$Q1412)),TEXT(INDEX(상세표[근무일자],$Q1412),"yyyy-mm-dd"),INDEX(상세표[근무일자],$Q1412)&amp;""))</f>
        <v/>
      </c>
      <c r="F1412">
        <f>IF($Q1412="","",IF(ISNUMBER(INDEX(상세표[시작],$Q1412)),TEXT(INDEX(상세표[시작],$Q1412),"yyyy-mm-dd hh:mm"),INDEX(상세표[시작],$Q1412)&amp;""))</f>
        <v/>
      </c>
      <c r="G1412">
        <f>IF($Q1412="","",IF(ISNUMBER(INDEX(상세표[블록종료],$Q1412)),TEXT(INDEX(상세표[블록종료],$Q1412),"yyyy-mm-dd hh:mm"),INDEX(상세표[블록종료],$Q1412)&amp;""))</f>
        <v/>
      </c>
      <c r="H1412">
        <f>IF($Q1412="","",CHOOSE(WEEKDAY(INDEX(상세표[시작],$Q1412)),"일","월","화","수","목","금","토"))</f>
        <v/>
      </c>
      <c r="I1412" s="20">
        <f>IF($Q1412="","",INDEX(상세표[연속 시간],$Q1412))</f>
        <v/>
      </c>
      <c r="J1412">
        <f>IF($Q1412="","",INDEX(상세표[기록 수],$Q1412))</f>
        <v/>
      </c>
      <c r="K1412" s="20">
        <f>IF($Q1412="","",INDEX(상세표[블록 06~07시],$Q1412))</f>
        <v/>
      </c>
      <c r="L1412" s="20">
        <f>IF($Q1412="","",INDEX(상세표[블록 07~18시],$Q1412))</f>
        <v/>
      </c>
      <c r="M1412" s="20">
        <f>IF($Q1412="","",INDEX(상세표[블록 18~22시],$Q1412))</f>
        <v/>
      </c>
      <c r="N1412" s="20">
        <f>IF($Q1412="","",INDEX(상세표[블록 22~06시],$Q1412))</f>
        <v/>
      </c>
      <c r="O1412">
        <f>IF($Q1412="","",INDEX(상세표[주말·휴일 포함],$Q1412)&amp;"")</f>
        <v/>
      </c>
      <c r="P1412">
        <f>IF($Q1412="","",INDEX(상세표[월 넘김 포함],$Q1412)&amp;"")</f>
        <v/>
      </c>
      <c r="Q1412" s="4">
        <f>IFERROR(MATCH(1407,상세표[연속순번],0),"")</f>
        <v/>
      </c>
    </row>
    <row r="1413">
      <c r="A1413">
        <f>IF($Q1413="","",INDEX(상세표[부서],$Q1413)&amp;"")</f>
        <v/>
      </c>
      <c r="B1413">
        <f>IF($Q1413="","",INDEX(상세표[사번],$Q1413)&amp;"")</f>
        <v/>
      </c>
      <c r="C1413">
        <f>IF($Q1413="","",INDEX(상세표[성명],$Q1413)&amp;"")</f>
        <v/>
      </c>
      <c r="D1413">
        <f>IF($Q1413="","",INDEX(상세표[직위],$Q1413)&amp;"")</f>
        <v/>
      </c>
      <c r="E1413">
        <f>IF($Q1413="","",IF(ISNUMBER(INDEX(상세표[근무일자],$Q1413)),TEXT(INDEX(상세표[근무일자],$Q1413),"yyyy-mm-dd"),INDEX(상세표[근무일자],$Q1413)&amp;""))</f>
        <v/>
      </c>
      <c r="F1413">
        <f>IF($Q1413="","",IF(ISNUMBER(INDEX(상세표[시작],$Q1413)),TEXT(INDEX(상세표[시작],$Q1413),"yyyy-mm-dd hh:mm"),INDEX(상세표[시작],$Q1413)&amp;""))</f>
        <v/>
      </c>
      <c r="G1413">
        <f>IF($Q1413="","",IF(ISNUMBER(INDEX(상세표[블록종료],$Q1413)),TEXT(INDEX(상세표[블록종료],$Q1413),"yyyy-mm-dd hh:mm"),INDEX(상세표[블록종료],$Q1413)&amp;""))</f>
        <v/>
      </c>
      <c r="H1413">
        <f>IF($Q1413="","",CHOOSE(WEEKDAY(INDEX(상세표[시작],$Q1413)),"일","월","화","수","목","금","토"))</f>
        <v/>
      </c>
      <c r="I1413" s="20">
        <f>IF($Q1413="","",INDEX(상세표[연속 시간],$Q1413))</f>
        <v/>
      </c>
      <c r="J1413">
        <f>IF($Q1413="","",INDEX(상세표[기록 수],$Q1413))</f>
        <v/>
      </c>
      <c r="K1413" s="20">
        <f>IF($Q1413="","",INDEX(상세표[블록 06~07시],$Q1413))</f>
        <v/>
      </c>
      <c r="L1413" s="20">
        <f>IF($Q1413="","",INDEX(상세표[블록 07~18시],$Q1413))</f>
        <v/>
      </c>
      <c r="M1413" s="20">
        <f>IF($Q1413="","",INDEX(상세표[블록 18~22시],$Q1413))</f>
        <v/>
      </c>
      <c r="N1413" s="20">
        <f>IF($Q1413="","",INDEX(상세표[블록 22~06시],$Q1413))</f>
        <v/>
      </c>
      <c r="O1413">
        <f>IF($Q1413="","",INDEX(상세표[주말·휴일 포함],$Q1413)&amp;"")</f>
        <v/>
      </c>
      <c r="P1413">
        <f>IF($Q1413="","",INDEX(상세표[월 넘김 포함],$Q1413)&amp;"")</f>
        <v/>
      </c>
      <c r="Q1413" s="4">
        <f>IFERROR(MATCH(1408,상세표[연속순번],0),"")</f>
        <v/>
      </c>
    </row>
    <row r="1414">
      <c r="A1414">
        <f>IF($Q1414="","",INDEX(상세표[부서],$Q1414)&amp;"")</f>
        <v/>
      </c>
      <c r="B1414">
        <f>IF($Q1414="","",INDEX(상세표[사번],$Q1414)&amp;"")</f>
        <v/>
      </c>
      <c r="C1414">
        <f>IF($Q1414="","",INDEX(상세표[성명],$Q1414)&amp;"")</f>
        <v/>
      </c>
      <c r="D1414">
        <f>IF($Q1414="","",INDEX(상세표[직위],$Q1414)&amp;"")</f>
        <v/>
      </c>
      <c r="E1414">
        <f>IF($Q1414="","",IF(ISNUMBER(INDEX(상세표[근무일자],$Q1414)),TEXT(INDEX(상세표[근무일자],$Q1414),"yyyy-mm-dd"),INDEX(상세표[근무일자],$Q1414)&amp;""))</f>
        <v/>
      </c>
      <c r="F1414">
        <f>IF($Q1414="","",IF(ISNUMBER(INDEX(상세표[시작],$Q1414)),TEXT(INDEX(상세표[시작],$Q1414),"yyyy-mm-dd hh:mm"),INDEX(상세표[시작],$Q1414)&amp;""))</f>
        <v/>
      </c>
      <c r="G1414">
        <f>IF($Q1414="","",IF(ISNUMBER(INDEX(상세표[블록종료],$Q1414)),TEXT(INDEX(상세표[블록종료],$Q1414),"yyyy-mm-dd hh:mm"),INDEX(상세표[블록종료],$Q1414)&amp;""))</f>
        <v/>
      </c>
      <c r="H1414">
        <f>IF($Q1414="","",CHOOSE(WEEKDAY(INDEX(상세표[시작],$Q1414)),"일","월","화","수","목","금","토"))</f>
        <v/>
      </c>
      <c r="I1414" s="20">
        <f>IF($Q1414="","",INDEX(상세표[연속 시간],$Q1414))</f>
        <v/>
      </c>
      <c r="J1414">
        <f>IF($Q1414="","",INDEX(상세표[기록 수],$Q1414))</f>
        <v/>
      </c>
      <c r="K1414" s="20">
        <f>IF($Q1414="","",INDEX(상세표[블록 06~07시],$Q1414))</f>
        <v/>
      </c>
      <c r="L1414" s="20">
        <f>IF($Q1414="","",INDEX(상세표[블록 07~18시],$Q1414))</f>
        <v/>
      </c>
      <c r="M1414" s="20">
        <f>IF($Q1414="","",INDEX(상세표[블록 18~22시],$Q1414))</f>
        <v/>
      </c>
      <c r="N1414" s="20">
        <f>IF($Q1414="","",INDEX(상세표[블록 22~06시],$Q1414))</f>
        <v/>
      </c>
      <c r="O1414">
        <f>IF($Q1414="","",INDEX(상세표[주말·휴일 포함],$Q1414)&amp;"")</f>
        <v/>
      </c>
      <c r="P1414">
        <f>IF($Q1414="","",INDEX(상세표[월 넘김 포함],$Q1414)&amp;"")</f>
        <v/>
      </c>
      <c r="Q1414" s="4">
        <f>IFERROR(MATCH(1409,상세표[연속순번],0),"")</f>
        <v/>
      </c>
    </row>
    <row r="1415">
      <c r="A1415">
        <f>IF($Q1415="","",INDEX(상세표[부서],$Q1415)&amp;"")</f>
        <v/>
      </c>
      <c r="B1415">
        <f>IF($Q1415="","",INDEX(상세표[사번],$Q1415)&amp;"")</f>
        <v/>
      </c>
      <c r="C1415">
        <f>IF($Q1415="","",INDEX(상세표[성명],$Q1415)&amp;"")</f>
        <v/>
      </c>
      <c r="D1415">
        <f>IF($Q1415="","",INDEX(상세표[직위],$Q1415)&amp;"")</f>
        <v/>
      </c>
      <c r="E1415">
        <f>IF($Q1415="","",IF(ISNUMBER(INDEX(상세표[근무일자],$Q1415)),TEXT(INDEX(상세표[근무일자],$Q1415),"yyyy-mm-dd"),INDEX(상세표[근무일자],$Q1415)&amp;""))</f>
        <v/>
      </c>
      <c r="F1415">
        <f>IF($Q1415="","",IF(ISNUMBER(INDEX(상세표[시작],$Q1415)),TEXT(INDEX(상세표[시작],$Q1415),"yyyy-mm-dd hh:mm"),INDEX(상세표[시작],$Q1415)&amp;""))</f>
        <v/>
      </c>
      <c r="G1415">
        <f>IF($Q1415="","",IF(ISNUMBER(INDEX(상세표[블록종료],$Q1415)),TEXT(INDEX(상세표[블록종료],$Q1415),"yyyy-mm-dd hh:mm"),INDEX(상세표[블록종료],$Q1415)&amp;""))</f>
        <v/>
      </c>
      <c r="H1415">
        <f>IF($Q1415="","",CHOOSE(WEEKDAY(INDEX(상세표[시작],$Q1415)),"일","월","화","수","목","금","토"))</f>
        <v/>
      </c>
      <c r="I1415" s="20">
        <f>IF($Q1415="","",INDEX(상세표[연속 시간],$Q1415))</f>
        <v/>
      </c>
      <c r="J1415">
        <f>IF($Q1415="","",INDEX(상세표[기록 수],$Q1415))</f>
        <v/>
      </c>
      <c r="K1415" s="20">
        <f>IF($Q1415="","",INDEX(상세표[블록 06~07시],$Q1415))</f>
        <v/>
      </c>
      <c r="L1415" s="20">
        <f>IF($Q1415="","",INDEX(상세표[블록 07~18시],$Q1415))</f>
        <v/>
      </c>
      <c r="M1415" s="20">
        <f>IF($Q1415="","",INDEX(상세표[블록 18~22시],$Q1415))</f>
        <v/>
      </c>
      <c r="N1415" s="20">
        <f>IF($Q1415="","",INDEX(상세표[블록 22~06시],$Q1415))</f>
        <v/>
      </c>
      <c r="O1415">
        <f>IF($Q1415="","",INDEX(상세표[주말·휴일 포함],$Q1415)&amp;"")</f>
        <v/>
      </c>
      <c r="P1415">
        <f>IF($Q1415="","",INDEX(상세표[월 넘김 포함],$Q1415)&amp;"")</f>
        <v/>
      </c>
      <c r="Q1415" s="4">
        <f>IFERROR(MATCH(1410,상세표[연속순번],0),"")</f>
        <v/>
      </c>
    </row>
    <row r="1416">
      <c r="A1416">
        <f>IF($Q1416="","",INDEX(상세표[부서],$Q1416)&amp;"")</f>
        <v/>
      </c>
      <c r="B1416">
        <f>IF($Q1416="","",INDEX(상세표[사번],$Q1416)&amp;"")</f>
        <v/>
      </c>
      <c r="C1416">
        <f>IF($Q1416="","",INDEX(상세표[성명],$Q1416)&amp;"")</f>
        <v/>
      </c>
      <c r="D1416">
        <f>IF($Q1416="","",INDEX(상세표[직위],$Q1416)&amp;"")</f>
        <v/>
      </c>
      <c r="E1416">
        <f>IF($Q1416="","",IF(ISNUMBER(INDEX(상세표[근무일자],$Q1416)),TEXT(INDEX(상세표[근무일자],$Q1416),"yyyy-mm-dd"),INDEX(상세표[근무일자],$Q1416)&amp;""))</f>
        <v/>
      </c>
      <c r="F1416">
        <f>IF($Q1416="","",IF(ISNUMBER(INDEX(상세표[시작],$Q1416)),TEXT(INDEX(상세표[시작],$Q1416),"yyyy-mm-dd hh:mm"),INDEX(상세표[시작],$Q1416)&amp;""))</f>
        <v/>
      </c>
      <c r="G1416">
        <f>IF($Q1416="","",IF(ISNUMBER(INDEX(상세표[블록종료],$Q1416)),TEXT(INDEX(상세표[블록종료],$Q1416),"yyyy-mm-dd hh:mm"),INDEX(상세표[블록종료],$Q1416)&amp;""))</f>
        <v/>
      </c>
      <c r="H1416">
        <f>IF($Q1416="","",CHOOSE(WEEKDAY(INDEX(상세표[시작],$Q1416)),"일","월","화","수","목","금","토"))</f>
        <v/>
      </c>
      <c r="I1416" s="20">
        <f>IF($Q1416="","",INDEX(상세표[연속 시간],$Q1416))</f>
        <v/>
      </c>
      <c r="J1416">
        <f>IF($Q1416="","",INDEX(상세표[기록 수],$Q1416))</f>
        <v/>
      </c>
      <c r="K1416" s="20">
        <f>IF($Q1416="","",INDEX(상세표[블록 06~07시],$Q1416))</f>
        <v/>
      </c>
      <c r="L1416" s="20">
        <f>IF($Q1416="","",INDEX(상세표[블록 07~18시],$Q1416))</f>
        <v/>
      </c>
      <c r="M1416" s="20">
        <f>IF($Q1416="","",INDEX(상세표[블록 18~22시],$Q1416))</f>
        <v/>
      </c>
      <c r="N1416" s="20">
        <f>IF($Q1416="","",INDEX(상세표[블록 22~06시],$Q1416))</f>
        <v/>
      </c>
      <c r="O1416">
        <f>IF($Q1416="","",INDEX(상세표[주말·휴일 포함],$Q1416)&amp;"")</f>
        <v/>
      </c>
      <c r="P1416">
        <f>IF($Q1416="","",INDEX(상세표[월 넘김 포함],$Q1416)&amp;"")</f>
        <v/>
      </c>
      <c r="Q1416" s="4">
        <f>IFERROR(MATCH(1411,상세표[연속순번],0),"")</f>
        <v/>
      </c>
    </row>
    <row r="1417">
      <c r="A1417">
        <f>IF($Q1417="","",INDEX(상세표[부서],$Q1417)&amp;"")</f>
        <v/>
      </c>
      <c r="B1417">
        <f>IF($Q1417="","",INDEX(상세표[사번],$Q1417)&amp;"")</f>
        <v/>
      </c>
      <c r="C1417">
        <f>IF($Q1417="","",INDEX(상세표[성명],$Q1417)&amp;"")</f>
        <v/>
      </c>
      <c r="D1417">
        <f>IF($Q1417="","",INDEX(상세표[직위],$Q1417)&amp;"")</f>
        <v/>
      </c>
      <c r="E1417">
        <f>IF($Q1417="","",IF(ISNUMBER(INDEX(상세표[근무일자],$Q1417)),TEXT(INDEX(상세표[근무일자],$Q1417),"yyyy-mm-dd"),INDEX(상세표[근무일자],$Q1417)&amp;""))</f>
        <v/>
      </c>
      <c r="F1417">
        <f>IF($Q1417="","",IF(ISNUMBER(INDEX(상세표[시작],$Q1417)),TEXT(INDEX(상세표[시작],$Q1417),"yyyy-mm-dd hh:mm"),INDEX(상세표[시작],$Q1417)&amp;""))</f>
        <v/>
      </c>
      <c r="G1417">
        <f>IF($Q1417="","",IF(ISNUMBER(INDEX(상세표[블록종료],$Q1417)),TEXT(INDEX(상세표[블록종료],$Q1417),"yyyy-mm-dd hh:mm"),INDEX(상세표[블록종료],$Q1417)&amp;""))</f>
        <v/>
      </c>
      <c r="H1417">
        <f>IF($Q1417="","",CHOOSE(WEEKDAY(INDEX(상세표[시작],$Q1417)),"일","월","화","수","목","금","토"))</f>
        <v/>
      </c>
      <c r="I1417" s="20">
        <f>IF($Q1417="","",INDEX(상세표[연속 시간],$Q1417))</f>
        <v/>
      </c>
      <c r="J1417">
        <f>IF($Q1417="","",INDEX(상세표[기록 수],$Q1417))</f>
        <v/>
      </c>
      <c r="K1417" s="20">
        <f>IF($Q1417="","",INDEX(상세표[블록 06~07시],$Q1417))</f>
        <v/>
      </c>
      <c r="L1417" s="20">
        <f>IF($Q1417="","",INDEX(상세표[블록 07~18시],$Q1417))</f>
        <v/>
      </c>
      <c r="M1417" s="20">
        <f>IF($Q1417="","",INDEX(상세표[블록 18~22시],$Q1417))</f>
        <v/>
      </c>
      <c r="N1417" s="20">
        <f>IF($Q1417="","",INDEX(상세표[블록 22~06시],$Q1417))</f>
        <v/>
      </c>
      <c r="O1417">
        <f>IF($Q1417="","",INDEX(상세표[주말·휴일 포함],$Q1417)&amp;"")</f>
        <v/>
      </c>
      <c r="P1417">
        <f>IF($Q1417="","",INDEX(상세표[월 넘김 포함],$Q1417)&amp;"")</f>
        <v/>
      </c>
      <c r="Q1417" s="4">
        <f>IFERROR(MATCH(1412,상세표[연속순번],0),"")</f>
        <v/>
      </c>
    </row>
    <row r="1418">
      <c r="A1418">
        <f>IF($Q1418="","",INDEX(상세표[부서],$Q1418)&amp;"")</f>
        <v/>
      </c>
      <c r="B1418">
        <f>IF($Q1418="","",INDEX(상세표[사번],$Q1418)&amp;"")</f>
        <v/>
      </c>
      <c r="C1418">
        <f>IF($Q1418="","",INDEX(상세표[성명],$Q1418)&amp;"")</f>
        <v/>
      </c>
      <c r="D1418">
        <f>IF($Q1418="","",INDEX(상세표[직위],$Q1418)&amp;"")</f>
        <v/>
      </c>
      <c r="E1418">
        <f>IF($Q1418="","",IF(ISNUMBER(INDEX(상세표[근무일자],$Q1418)),TEXT(INDEX(상세표[근무일자],$Q1418),"yyyy-mm-dd"),INDEX(상세표[근무일자],$Q1418)&amp;""))</f>
        <v/>
      </c>
      <c r="F1418">
        <f>IF($Q1418="","",IF(ISNUMBER(INDEX(상세표[시작],$Q1418)),TEXT(INDEX(상세표[시작],$Q1418),"yyyy-mm-dd hh:mm"),INDEX(상세표[시작],$Q1418)&amp;""))</f>
        <v/>
      </c>
      <c r="G1418">
        <f>IF($Q1418="","",IF(ISNUMBER(INDEX(상세표[블록종료],$Q1418)),TEXT(INDEX(상세표[블록종료],$Q1418),"yyyy-mm-dd hh:mm"),INDEX(상세표[블록종료],$Q1418)&amp;""))</f>
        <v/>
      </c>
      <c r="H1418">
        <f>IF($Q1418="","",CHOOSE(WEEKDAY(INDEX(상세표[시작],$Q1418)),"일","월","화","수","목","금","토"))</f>
        <v/>
      </c>
      <c r="I1418" s="20">
        <f>IF($Q1418="","",INDEX(상세표[연속 시간],$Q1418))</f>
        <v/>
      </c>
      <c r="J1418">
        <f>IF($Q1418="","",INDEX(상세표[기록 수],$Q1418))</f>
        <v/>
      </c>
      <c r="K1418" s="20">
        <f>IF($Q1418="","",INDEX(상세표[블록 06~07시],$Q1418))</f>
        <v/>
      </c>
      <c r="L1418" s="20">
        <f>IF($Q1418="","",INDEX(상세표[블록 07~18시],$Q1418))</f>
        <v/>
      </c>
      <c r="M1418" s="20">
        <f>IF($Q1418="","",INDEX(상세표[블록 18~22시],$Q1418))</f>
        <v/>
      </c>
      <c r="N1418" s="20">
        <f>IF($Q1418="","",INDEX(상세표[블록 22~06시],$Q1418))</f>
        <v/>
      </c>
      <c r="O1418">
        <f>IF($Q1418="","",INDEX(상세표[주말·휴일 포함],$Q1418)&amp;"")</f>
        <v/>
      </c>
      <c r="P1418">
        <f>IF($Q1418="","",INDEX(상세표[월 넘김 포함],$Q1418)&amp;"")</f>
        <v/>
      </c>
      <c r="Q1418" s="4">
        <f>IFERROR(MATCH(1413,상세표[연속순번],0),"")</f>
        <v/>
      </c>
    </row>
    <row r="1419">
      <c r="A1419">
        <f>IF($Q1419="","",INDEX(상세표[부서],$Q1419)&amp;"")</f>
        <v/>
      </c>
      <c r="B1419">
        <f>IF($Q1419="","",INDEX(상세표[사번],$Q1419)&amp;"")</f>
        <v/>
      </c>
      <c r="C1419">
        <f>IF($Q1419="","",INDEX(상세표[성명],$Q1419)&amp;"")</f>
        <v/>
      </c>
      <c r="D1419">
        <f>IF($Q1419="","",INDEX(상세표[직위],$Q1419)&amp;"")</f>
        <v/>
      </c>
      <c r="E1419">
        <f>IF($Q1419="","",IF(ISNUMBER(INDEX(상세표[근무일자],$Q1419)),TEXT(INDEX(상세표[근무일자],$Q1419),"yyyy-mm-dd"),INDEX(상세표[근무일자],$Q1419)&amp;""))</f>
        <v/>
      </c>
      <c r="F1419">
        <f>IF($Q1419="","",IF(ISNUMBER(INDEX(상세표[시작],$Q1419)),TEXT(INDEX(상세표[시작],$Q1419),"yyyy-mm-dd hh:mm"),INDEX(상세표[시작],$Q1419)&amp;""))</f>
        <v/>
      </c>
      <c r="G1419">
        <f>IF($Q1419="","",IF(ISNUMBER(INDEX(상세표[블록종료],$Q1419)),TEXT(INDEX(상세표[블록종료],$Q1419),"yyyy-mm-dd hh:mm"),INDEX(상세표[블록종료],$Q1419)&amp;""))</f>
        <v/>
      </c>
      <c r="H1419">
        <f>IF($Q1419="","",CHOOSE(WEEKDAY(INDEX(상세표[시작],$Q1419)),"일","월","화","수","목","금","토"))</f>
        <v/>
      </c>
      <c r="I1419" s="20">
        <f>IF($Q1419="","",INDEX(상세표[연속 시간],$Q1419))</f>
        <v/>
      </c>
      <c r="J1419">
        <f>IF($Q1419="","",INDEX(상세표[기록 수],$Q1419))</f>
        <v/>
      </c>
      <c r="K1419" s="20">
        <f>IF($Q1419="","",INDEX(상세표[블록 06~07시],$Q1419))</f>
        <v/>
      </c>
      <c r="L1419" s="20">
        <f>IF($Q1419="","",INDEX(상세표[블록 07~18시],$Q1419))</f>
        <v/>
      </c>
      <c r="M1419" s="20">
        <f>IF($Q1419="","",INDEX(상세표[블록 18~22시],$Q1419))</f>
        <v/>
      </c>
      <c r="N1419" s="20">
        <f>IF($Q1419="","",INDEX(상세표[블록 22~06시],$Q1419))</f>
        <v/>
      </c>
      <c r="O1419">
        <f>IF($Q1419="","",INDEX(상세표[주말·휴일 포함],$Q1419)&amp;"")</f>
        <v/>
      </c>
      <c r="P1419">
        <f>IF($Q1419="","",INDEX(상세표[월 넘김 포함],$Q1419)&amp;"")</f>
        <v/>
      </c>
      <c r="Q1419" s="4">
        <f>IFERROR(MATCH(1414,상세표[연속순번],0),"")</f>
        <v/>
      </c>
    </row>
    <row r="1420">
      <c r="A1420">
        <f>IF($Q1420="","",INDEX(상세표[부서],$Q1420)&amp;"")</f>
        <v/>
      </c>
      <c r="B1420">
        <f>IF($Q1420="","",INDEX(상세표[사번],$Q1420)&amp;"")</f>
        <v/>
      </c>
      <c r="C1420">
        <f>IF($Q1420="","",INDEX(상세표[성명],$Q1420)&amp;"")</f>
        <v/>
      </c>
      <c r="D1420">
        <f>IF($Q1420="","",INDEX(상세표[직위],$Q1420)&amp;"")</f>
        <v/>
      </c>
      <c r="E1420">
        <f>IF($Q1420="","",IF(ISNUMBER(INDEX(상세표[근무일자],$Q1420)),TEXT(INDEX(상세표[근무일자],$Q1420),"yyyy-mm-dd"),INDEX(상세표[근무일자],$Q1420)&amp;""))</f>
        <v/>
      </c>
      <c r="F1420">
        <f>IF($Q1420="","",IF(ISNUMBER(INDEX(상세표[시작],$Q1420)),TEXT(INDEX(상세표[시작],$Q1420),"yyyy-mm-dd hh:mm"),INDEX(상세표[시작],$Q1420)&amp;""))</f>
        <v/>
      </c>
      <c r="G1420">
        <f>IF($Q1420="","",IF(ISNUMBER(INDEX(상세표[블록종료],$Q1420)),TEXT(INDEX(상세표[블록종료],$Q1420),"yyyy-mm-dd hh:mm"),INDEX(상세표[블록종료],$Q1420)&amp;""))</f>
        <v/>
      </c>
      <c r="H1420">
        <f>IF($Q1420="","",CHOOSE(WEEKDAY(INDEX(상세표[시작],$Q1420)),"일","월","화","수","목","금","토"))</f>
        <v/>
      </c>
      <c r="I1420" s="20">
        <f>IF($Q1420="","",INDEX(상세표[연속 시간],$Q1420))</f>
        <v/>
      </c>
      <c r="J1420">
        <f>IF($Q1420="","",INDEX(상세표[기록 수],$Q1420))</f>
        <v/>
      </c>
      <c r="K1420" s="20">
        <f>IF($Q1420="","",INDEX(상세표[블록 06~07시],$Q1420))</f>
        <v/>
      </c>
      <c r="L1420" s="20">
        <f>IF($Q1420="","",INDEX(상세표[블록 07~18시],$Q1420))</f>
        <v/>
      </c>
      <c r="M1420" s="20">
        <f>IF($Q1420="","",INDEX(상세표[블록 18~22시],$Q1420))</f>
        <v/>
      </c>
      <c r="N1420" s="20">
        <f>IF($Q1420="","",INDEX(상세표[블록 22~06시],$Q1420))</f>
        <v/>
      </c>
      <c r="O1420">
        <f>IF($Q1420="","",INDEX(상세표[주말·휴일 포함],$Q1420)&amp;"")</f>
        <v/>
      </c>
      <c r="P1420">
        <f>IF($Q1420="","",INDEX(상세표[월 넘김 포함],$Q1420)&amp;"")</f>
        <v/>
      </c>
      <c r="Q1420" s="4">
        <f>IFERROR(MATCH(1415,상세표[연속순번],0),"")</f>
        <v/>
      </c>
    </row>
    <row r="1421">
      <c r="A1421">
        <f>IF($Q1421="","",INDEX(상세표[부서],$Q1421)&amp;"")</f>
        <v/>
      </c>
      <c r="B1421">
        <f>IF($Q1421="","",INDEX(상세표[사번],$Q1421)&amp;"")</f>
        <v/>
      </c>
      <c r="C1421">
        <f>IF($Q1421="","",INDEX(상세표[성명],$Q1421)&amp;"")</f>
        <v/>
      </c>
      <c r="D1421">
        <f>IF($Q1421="","",INDEX(상세표[직위],$Q1421)&amp;"")</f>
        <v/>
      </c>
      <c r="E1421">
        <f>IF($Q1421="","",IF(ISNUMBER(INDEX(상세표[근무일자],$Q1421)),TEXT(INDEX(상세표[근무일자],$Q1421),"yyyy-mm-dd"),INDEX(상세표[근무일자],$Q1421)&amp;""))</f>
        <v/>
      </c>
      <c r="F1421">
        <f>IF($Q1421="","",IF(ISNUMBER(INDEX(상세표[시작],$Q1421)),TEXT(INDEX(상세표[시작],$Q1421),"yyyy-mm-dd hh:mm"),INDEX(상세표[시작],$Q1421)&amp;""))</f>
        <v/>
      </c>
      <c r="G1421">
        <f>IF($Q1421="","",IF(ISNUMBER(INDEX(상세표[블록종료],$Q1421)),TEXT(INDEX(상세표[블록종료],$Q1421),"yyyy-mm-dd hh:mm"),INDEX(상세표[블록종료],$Q1421)&amp;""))</f>
        <v/>
      </c>
      <c r="H1421">
        <f>IF($Q1421="","",CHOOSE(WEEKDAY(INDEX(상세표[시작],$Q1421)),"일","월","화","수","목","금","토"))</f>
        <v/>
      </c>
      <c r="I1421" s="20">
        <f>IF($Q1421="","",INDEX(상세표[연속 시간],$Q1421))</f>
        <v/>
      </c>
      <c r="J1421">
        <f>IF($Q1421="","",INDEX(상세표[기록 수],$Q1421))</f>
        <v/>
      </c>
      <c r="K1421" s="20">
        <f>IF($Q1421="","",INDEX(상세표[블록 06~07시],$Q1421))</f>
        <v/>
      </c>
      <c r="L1421" s="20">
        <f>IF($Q1421="","",INDEX(상세표[블록 07~18시],$Q1421))</f>
        <v/>
      </c>
      <c r="M1421" s="20">
        <f>IF($Q1421="","",INDEX(상세표[블록 18~22시],$Q1421))</f>
        <v/>
      </c>
      <c r="N1421" s="20">
        <f>IF($Q1421="","",INDEX(상세표[블록 22~06시],$Q1421))</f>
        <v/>
      </c>
      <c r="O1421">
        <f>IF($Q1421="","",INDEX(상세표[주말·휴일 포함],$Q1421)&amp;"")</f>
        <v/>
      </c>
      <c r="P1421">
        <f>IF($Q1421="","",INDEX(상세표[월 넘김 포함],$Q1421)&amp;"")</f>
        <v/>
      </c>
      <c r="Q1421" s="4">
        <f>IFERROR(MATCH(1416,상세표[연속순번],0),"")</f>
        <v/>
      </c>
    </row>
    <row r="1422">
      <c r="A1422">
        <f>IF($Q1422="","",INDEX(상세표[부서],$Q1422)&amp;"")</f>
        <v/>
      </c>
      <c r="B1422">
        <f>IF($Q1422="","",INDEX(상세표[사번],$Q1422)&amp;"")</f>
        <v/>
      </c>
      <c r="C1422">
        <f>IF($Q1422="","",INDEX(상세표[성명],$Q1422)&amp;"")</f>
        <v/>
      </c>
      <c r="D1422">
        <f>IF($Q1422="","",INDEX(상세표[직위],$Q1422)&amp;"")</f>
        <v/>
      </c>
      <c r="E1422">
        <f>IF($Q1422="","",IF(ISNUMBER(INDEX(상세표[근무일자],$Q1422)),TEXT(INDEX(상세표[근무일자],$Q1422),"yyyy-mm-dd"),INDEX(상세표[근무일자],$Q1422)&amp;""))</f>
        <v/>
      </c>
      <c r="F1422">
        <f>IF($Q1422="","",IF(ISNUMBER(INDEX(상세표[시작],$Q1422)),TEXT(INDEX(상세표[시작],$Q1422),"yyyy-mm-dd hh:mm"),INDEX(상세표[시작],$Q1422)&amp;""))</f>
        <v/>
      </c>
      <c r="G1422">
        <f>IF($Q1422="","",IF(ISNUMBER(INDEX(상세표[블록종료],$Q1422)),TEXT(INDEX(상세표[블록종료],$Q1422),"yyyy-mm-dd hh:mm"),INDEX(상세표[블록종료],$Q1422)&amp;""))</f>
        <v/>
      </c>
      <c r="H1422">
        <f>IF($Q1422="","",CHOOSE(WEEKDAY(INDEX(상세표[시작],$Q1422)),"일","월","화","수","목","금","토"))</f>
        <v/>
      </c>
      <c r="I1422" s="20">
        <f>IF($Q1422="","",INDEX(상세표[연속 시간],$Q1422))</f>
        <v/>
      </c>
      <c r="J1422">
        <f>IF($Q1422="","",INDEX(상세표[기록 수],$Q1422))</f>
        <v/>
      </c>
      <c r="K1422" s="20">
        <f>IF($Q1422="","",INDEX(상세표[블록 06~07시],$Q1422))</f>
        <v/>
      </c>
      <c r="L1422" s="20">
        <f>IF($Q1422="","",INDEX(상세표[블록 07~18시],$Q1422))</f>
        <v/>
      </c>
      <c r="M1422" s="20">
        <f>IF($Q1422="","",INDEX(상세표[블록 18~22시],$Q1422))</f>
        <v/>
      </c>
      <c r="N1422" s="20">
        <f>IF($Q1422="","",INDEX(상세표[블록 22~06시],$Q1422))</f>
        <v/>
      </c>
      <c r="O1422">
        <f>IF($Q1422="","",INDEX(상세표[주말·휴일 포함],$Q1422)&amp;"")</f>
        <v/>
      </c>
      <c r="P1422">
        <f>IF($Q1422="","",INDEX(상세표[월 넘김 포함],$Q1422)&amp;"")</f>
        <v/>
      </c>
      <c r="Q1422" s="4">
        <f>IFERROR(MATCH(1417,상세표[연속순번],0),"")</f>
        <v/>
      </c>
    </row>
    <row r="1423">
      <c r="A1423">
        <f>IF($Q1423="","",INDEX(상세표[부서],$Q1423)&amp;"")</f>
        <v/>
      </c>
      <c r="B1423">
        <f>IF($Q1423="","",INDEX(상세표[사번],$Q1423)&amp;"")</f>
        <v/>
      </c>
      <c r="C1423">
        <f>IF($Q1423="","",INDEX(상세표[성명],$Q1423)&amp;"")</f>
        <v/>
      </c>
      <c r="D1423">
        <f>IF($Q1423="","",INDEX(상세표[직위],$Q1423)&amp;"")</f>
        <v/>
      </c>
      <c r="E1423">
        <f>IF($Q1423="","",IF(ISNUMBER(INDEX(상세표[근무일자],$Q1423)),TEXT(INDEX(상세표[근무일자],$Q1423),"yyyy-mm-dd"),INDEX(상세표[근무일자],$Q1423)&amp;""))</f>
        <v/>
      </c>
      <c r="F1423">
        <f>IF($Q1423="","",IF(ISNUMBER(INDEX(상세표[시작],$Q1423)),TEXT(INDEX(상세표[시작],$Q1423),"yyyy-mm-dd hh:mm"),INDEX(상세표[시작],$Q1423)&amp;""))</f>
        <v/>
      </c>
      <c r="G1423">
        <f>IF($Q1423="","",IF(ISNUMBER(INDEX(상세표[블록종료],$Q1423)),TEXT(INDEX(상세표[블록종료],$Q1423),"yyyy-mm-dd hh:mm"),INDEX(상세표[블록종료],$Q1423)&amp;""))</f>
        <v/>
      </c>
      <c r="H1423">
        <f>IF($Q1423="","",CHOOSE(WEEKDAY(INDEX(상세표[시작],$Q1423)),"일","월","화","수","목","금","토"))</f>
        <v/>
      </c>
      <c r="I1423" s="20">
        <f>IF($Q1423="","",INDEX(상세표[연속 시간],$Q1423))</f>
        <v/>
      </c>
      <c r="J1423">
        <f>IF($Q1423="","",INDEX(상세표[기록 수],$Q1423))</f>
        <v/>
      </c>
      <c r="K1423" s="20">
        <f>IF($Q1423="","",INDEX(상세표[블록 06~07시],$Q1423))</f>
        <v/>
      </c>
      <c r="L1423" s="20">
        <f>IF($Q1423="","",INDEX(상세표[블록 07~18시],$Q1423))</f>
        <v/>
      </c>
      <c r="M1423" s="20">
        <f>IF($Q1423="","",INDEX(상세표[블록 18~22시],$Q1423))</f>
        <v/>
      </c>
      <c r="N1423" s="20">
        <f>IF($Q1423="","",INDEX(상세표[블록 22~06시],$Q1423))</f>
        <v/>
      </c>
      <c r="O1423">
        <f>IF($Q1423="","",INDEX(상세표[주말·휴일 포함],$Q1423)&amp;"")</f>
        <v/>
      </c>
      <c r="P1423">
        <f>IF($Q1423="","",INDEX(상세표[월 넘김 포함],$Q1423)&amp;"")</f>
        <v/>
      </c>
      <c r="Q1423" s="4">
        <f>IFERROR(MATCH(1418,상세표[연속순번],0),"")</f>
        <v/>
      </c>
    </row>
    <row r="1424">
      <c r="A1424">
        <f>IF($Q1424="","",INDEX(상세표[부서],$Q1424)&amp;"")</f>
        <v/>
      </c>
      <c r="B1424">
        <f>IF($Q1424="","",INDEX(상세표[사번],$Q1424)&amp;"")</f>
        <v/>
      </c>
      <c r="C1424">
        <f>IF($Q1424="","",INDEX(상세표[성명],$Q1424)&amp;"")</f>
        <v/>
      </c>
      <c r="D1424">
        <f>IF($Q1424="","",INDEX(상세표[직위],$Q1424)&amp;"")</f>
        <v/>
      </c>
      <c r="E1424">
        <f>IF($Q1424="","",IF(ISNUMBER(INDEX(상세표[근무일자],$Q1424)),TEXT(INDEX(상세표[근무일자],$Q1424),"yyyy-mm-dd"),INDEX(상세표[근무일자],$Q1424)&amp;""))</f>
        <v/>
      </c>
      <c r="F1424">
        <f>IF($Q1424="","",IF(ISNUMBER(INDEX(상세표[시작],$Q1424)),TEXT(INDEX(상세표[시작],$Q1424),"yyyy-mm-dd hh:mm"),INDEX(상세표[시작],$Q1424)&amp;""))</f>
        <v/>
      </c>
      <c r="G1424">
        <f>IF($Q1424="","",IF(ISNUMBER(INDEX(상세표[블록종료],$Q1424)),TEXT(INDEX(상세표[블록종료],$Q1424),"yyyy-mm-dd hh:mm"),INDEX(상세표[블록종료],$Q1424)&amp;""))</f>
        <v/>
      </c>
      <c r="H1424">
        <f>IF($Q1424="","",CHOOSE(WEEKDAY(INDEX(상세표[시작],$Q1424)),"일","월","화","수","목","금","토"))</f>
        <v/>
      </c>
      <c r="I1424" s="20">
        <f>IF($Q1424="","",INDEX(상세표[연속 시간],$Q1424))</f>
        <v/>
      </c>
      <c r="J1424">
        <f>IF($Q1424="","",INDEX(상세표[기록 수],$Q1424))</f>
        <v/>
      </c>
      <c r="K1424" s="20">
        <f>IF($Q1424="","",INDEX(상세표[블록 06~07시],$Q1424))</f>
        <v/>
      </c>
      <c r="L1424" s="20">
        <f>IF($Q1424="","",INDEX(상세표[블록 07~18시],$Q1424))</f>
        <v/>
      </c>
      <c r="M1424" s="20">
        <f>IF($Q1424="","",INDEX(상세표[블록 18~22시],$Q1424))</f>
        <v/>
      </c>
      <c r="N1424" s="20">
        <f>IF($Q1424="","",INDEX(상세표[블록 22~06시],$Q1424))</f>
        <v/>
      </c>
      <c r="O1424">
        <f>IF($Q1424="","",INDEX(상세표[주말·휴일 포함],$Q1424)&amp;"")</f>
        <v/>
      </c>
      <c r="P1424">
        <f>IF($Q1424="","",INDEX(상세표[월 넘김 포함],$Q1424)&amp;"")</f>
        <v/>
      </c>
      <c r="Q1424" s="4">
        <f>IFERROR(MATCH(1419,상세표[연속순번],0),"")</f>
        <v/>
      </c>
    </row>
    <row r="1425">
      <c r="A1425">
        <f>IF($Q1425="","",INDEX(상세표[부서],$Q1425)&amp;"")</f>
        <v/>
      </c>
      <c r="B1425">
        <f>IF($Q1425="","",INDEX(상세표[사번],$Q1425)&amp;"")</f>
        <v/>
      </c>
      <c r="C1425">
        <f>IF($Q1425="","",INDEX(상세표[성명],$Q1425)&amp;"")</f>
        <v/>
      </c>
      <c r="D1425">
        <f>IF($Q1425="","",INDEX(상세표[직위],$Q1425)&amp;"")</f>
        <v/>
      </c>
      <c r="E1425">
        <f>IF($Q1425="","",IF(ISNUMBER(INDEX(상세표[근무일자],$Q1425)),TEXT(INDEX(상세표[근무일자],$Q1425),"yyyy-mm-dd"),INDEX(상세표[근무일자],$Q1425)&amp;""))</f>
        <v/>
      </c>
      <c r="F1425">
        <f>IF($Q1425="","",IF(ISNUMBER(INDEX(상세표[시작],$Q1425)),TEXT(INDEX(상세표[시작],$Q1425),"yyyy-mm-dd hh:mm"),INDEX(상세표[시작],$Q1425)&amp;""))</f>
        <v/>
      </c>
      <c r="G1425">
        <f>IF($Q1425="","",IF(ISNUMBER(INDEX(상세표[블록종료],$Q1425)),TEXT(INDEX(상세표[블록종료],$Q1425),"yyyy-mm-dd hh:mm"),INDEX(상세표[블록종료],$Q1425)&amp;""))</f>
        <v/>
      </c>
      <c r="H1425">
        <f>IF($Q1425="","",CHOOSE(WEEKDAY(INDEX(상세표[시작],$Q1425)),"일","월","화","수","목","금","토"))</f>
        <v/>
      </c>
      <c r="I1425" s="20">
        <f>IF($Q1425="","",INDEX(상세표[연속 시간],$Q1425))</f>
        <v/>
      </c>
      <c r="J1425">
        <f>IF($Q1425="","",INDEX(상세표[기록 수],$Q1425))</f>
        <v/>
      </c>
      <c r="K1425" s="20">
        <f>IF($Q1425="","",INDEX(상세표[블록 06~07시],$Q1425))</f>
        <v/>
      </c>
      <c r="L1425" s="20">
        <f>IF($Q1425="","",INDEX(상세표[블록 07~18시],$Q1425))</f>
        <v/>
      </c>
      <c r="M1425" s="20">
        <f>IF($Q1425="","",INDEX(상세표[블록 18~22시],$Q1425))</f>
        <v/>
      </c>
      <c r="N1425" s="20">
        <f>IF($Q1425="","",INDEX(상세표[블록 22~06시],$Q1425))</f>
        <v/>
      </c>
      <c r="O1425">
        <f>IF($Q1425="","",INDEX(상세표[주말·휴일 포함],$Q1425)&amp;"")</f>
        <v/>
      </c>
      <c r="P1425">
        <f>IF($Q1425="","",INDEX(상세표[월 넘김 포함],$Q1425)&amp;"")</f>
        <v/>
      </c>
      <c r="Q1425" s="4">
        <f>IFERROR(MATCH(1420,상세표[연속순번],0),"")</f>
        <v/>
      </c>
    </row>
    <row r="1426">
      <c r="A1426">
        <f>IF($Q1426="","",INDEX(상세표[부서],$Q1426)&amp;"")</f>
        <v/>
      </c>
      <c r="B1426">
        <f>IF($Q1426="","",INDEX(상세표[사번],$Q1426)&amp;"")</f>
        <v/>
      </c>
      <c r="C1426">
        <f>IF($Q1426="","",INDEX(상세표[성명],$Q1426)&amp;"")</f>
        <v/>
      </c>
      <c r="D1426">
        <f>IF($Q1426="","",INDEX(상세표[직위],$Q1426)&amp;"")</f>
        <v/>
      </c>
      <c r="E1426">
        <f>IF($Q1426="","",IF(ISNUMBER(INDEX(상세표[근무일자],$Q1426)),TEXT(INDEX(상세표[근무일자],$Q1426),"yyyy-mm-dd"),INDEX(상세표[근무일자],$Q1426)&amp;""))</f>
        <v/>
      </c>
      <c r="F1426">
        <f>IF($Q1426="","",IF(ISNUMBER(INDEX(상세표[시작],$Q1426)),TEXT(INDEX(상세표[시작],$Q1426),"yyyy-mm-dd hh:mm"),INDEX(상세표[시작],$Q1426)&amp;""))</f>
        <v/>
      </c>
      <c r="G1426">
        <f>IF($Q1426="","",IF(ISNUMBER(INDEX(상세표[블록종료],$Q1426)),TEXT(INDEX(상세표[블록종료],$Q1426),"yyyy-mm-dd hh:mm"),INDEX(상세표[블록종료],$Q1426)&amp;""))</f>
        <v/>
      </c>
      <c r="H1426">
        <f>IF($Q1426="","",CHOOSE(WEEKDAY(INDEX(상세표[시작],$Q1426)),"일","월","화","수","목","금","토"))</f>
        <v/>
      </c>
      <c r="I1426" s="20">
        <f>IF($Q1426="","",INDEX(상세표[연속 시간],$Q1426))</f>
        <v/>
      </c>
      <c r="J1426">
        <f>IF($Q1426="","",INDEX(상세표[기록 수],$Q1426))</f>
        <v/>
      </c>
      <c r="K1426" s="20">
        <f>IF($Q1426="","",INDEX(상세표[블록 06~07시],$Q1426))</f>
        <v/>
      </c>
      <c r="L1426" s="20">
        <f>IF($Q1426="","",INDEX(상세표[블록 07~18시],$Q1426))</f>
        <v/>
      </c>
      <c r="M1426" s="20">
        <f>IF($Q1426="","",INDEX(상세표[블록 18~22시],$Q1426))</f>
        <v/>
      </c>
      <c r="N1426" s="20">
        <f>IF($Q1426="","",INDEX(상세표[블록 22~06시],$Q1426))</f>
        <v/>
      </c>
      <c r="O1426">
        <f>IF($Q1426="","",INDEX(상세표[주말·휴일 포함],$Q1426)&amp;"")</f>
        <v/>
      </c>
      <c r="P1426">
        <f>IF($Q1426="","",INDEX(상세표[월 넘김 포함],$Q1426)&amp;"")</f>
        <v/>
      </c>
      <c r="Q1426" s="4">
        <f>IFERROR(MATCH(1421,상세표[연속순번],0),"")</f>
        <v/>
      </c>
    </row>
    <row r="1427">
      <c r="A1427">
        <f>IF($Q1427="","",INDEX(상세표[부서],$Q1427)&amp;"")</f>
        <v/>
      </c>
      <c r="B1427">
        <f>IF($Q1427="","",INDEX(상세표[사번],$Q1427)&amp;"")</f>
        <v/>
      </c>
      <c r="C1427">
        <f>IF($Q1427="","",INDEX(상세표[성명],$Q1427)&amp;"")</f>
        <v/>
      </c>
      <c r="D1427">
        <f>IF($Q1427="","",INDEX(상세표[직위],$Q1427)&amp;"")</f>
        <v/>
      </c>
      <c r="E1427">
        <f>IF($Q1427="","",IF(ISNUMBER(INDEX(상세표[근무일자],$Q1427)),TEXT(INDEX(상세표[근무일자],$Q1427),"yyyy-mm-dd"),INDEX(상세표[근무일자],$Q1427)&amp;""))</f>
        <v/>
      </c>
      <c r="F1427">
        <f>IF($Q1427="","",IF(ISNUMBER(INDEX(상세표[시작],$Q1427)),TEXT(INDEX(상세표[시작],$Q1427),"yyyy-mm-dd hh:mm"),INDEX(상세표[시작],$Q1427)&amp;""))</f>
        <v/>
      </c>
      <c r="G1427">
        <f>IF($Q1427="","",IF(ISNUMBER(INDEX(상세표[블록종료],$Q1427)),TEXT(INDEX(상세표[블록종료],$Q1427),"yyyy-mm-dd hh:mm"),INDEX(상세표[블록종료],$Q1427)&amp;""))</f>
        <v/>
      </c>
      <c r="H1427">
        <f>IF($Q1427="","",CHOOSE(WEEKDAY(INDEX(상세표[시작],$Q1427)),"일","월","화","수","목","금","토"))</f>
        <v/>
      </c>
      <c r="I1427" s="20">
        <f>IF($Q1427="","",INDEX(상세표[연속 시간],$Q1427))</f>
        <v/>
      </c>
      <c r="J1427">
        <f>IF($Q1427="","",INDEX(상세표[기록 수],$Q1427))</f>
        <v/>
      </c>
      <c r="K1427" s="20">
        <f>IF($Q1427="","",INDEX(상세표[블록 06~07시],$Q1427))</f>
        <v/>
      </c>
      <c r="L1427" s="20">
        <f>IF($Q1427="","",INDEX(상세표[블록 07~18시],$Q1427))</f>
        <v/>
      </c>
      <c r="M1427" s="20">
        <f>IF($Q1427="","",INDEX(상세표[블록 18~22시],$Q1427))</f>
        <v/>
      </c>
      <c r="N1427" s="20">
        <f>IF($Q1427="","",INDEX(상세표[블록 22~06시],$Q1427))</f>
        <v/>
      </c>
      <c r="O1427">
        <f>IF($Q1427="","",INDEX(상세표[주말·휴일 포함],$Q1427)&amp;"")</f>
        <v/>
      </c>
      <c r="P1427">
        <f>IF($Q1427="","",INDEX(상세표[월 넘김 포함],$Q1427)&amp;"")</f>
        <v/>
      </c>
      <c r="Q1427" s="4">
        <f>IFERROR(MATCH(1422,상세표[연속순번],0),"")</f>
        <v/>
      </c>
    </row>
    <row r="1428">
      <c r="A1428">
        <f>IF($Q1428="","",INDEX(상세표[부서],$Q1428)&amp;"")</f>
        <v/>
      </c>
      <c r="B1428">
        <f>IF($Q1428="","",INDEX(상세표[사번],$Q1428)&amp;"")</f>
        <v/>
      </c>
      <c r="C1428">
        <f>IF($Q1428="","",INDEX(상세표[성명],$Q1428)&amp;"")</f>
        <v/>
      </c>
      <c r="D1428">
        <f>IF($Q1428="","",INDEX(상세표[직위],$Q1428)&amp;"")</f>
        <v/>
      </c>
      <c r="E1428">
        <f>IF($Q1428="","",IF(ISNUMBER(INDEX(상세표[근무일자],$Q1428)),TEXT(INDEX(상세표[근무일자],$Q1428),"yyyy-mm-dd"),INDEX(상세표[근무일자],$Q1428)&amp;""))</f>
        <v/>
      </c>
      <c r="F1428">
        <f>IF($Q1428="","",IF(ISNUMBER(INDEX(상세표[시작],$Q1428)),TEXT(INDEX(상세표[시작],$Q1428),"yyyy-mm-dd hh:mm"),INDEX(상세표[시작],$Q1428)&amp;""))</f>
        <v/>
      </c>
      <c r="G1428">
        <f>IF($Q1428="","",IF(ISNUMBER(INDEX(상세표[블록종료],$Q1428)),TEXT(INDEX(상세표[블록종료],$Q1428),"yyyy-mm-dd hh:mm"),INDEX(상세표[블록종료],$Q1428)&amp;""))</f>
        <v/>
      </c>
      <c r="H1428">
        <f>IF($Q1428="","",CHOOSE(WEEKDAY(INDEX(상세표[시작],$Q1428)),"일","월","화","수","목","금","토"))</f>
        <v/>
      </c>
      <c r="I1428" s="20">
        <f>IF($Q1428="","",INDEX(상세표[연속 시간],$Q1428))</f>
        <v/>
      </c>
      <c r="J1428">
        <f>IF($Q1428="","",INDEX(상세표[기록 수],$Q1428))</f>
        <v/>
      </c>
      <c r="K1428" s="20">
        <f>IF($Q1428="","",INDEX(상세표[블록 06~07시],$Q1428))</f>
        <v/>
      </c>
      <c r="L1428" s="20">
        <f>IF($Q1428="","",INDEX(상세표[블록 07~18시],$Q1428))</f>
        <v/>
      </c>
      <c r="M1428" s="20">
        <f>IF($Q1428="","",INDEX(상세표[블록 18~22시],$Q1428))</f>
        <v/>
      </c>
      <c r="N1428" s="20">
        <f>IF($Q1428="","",INDEX(상세표[블록 22~06시],$Q1428))</f>
        <v/>
      </c>
      <c r="O1428">
        <f>IF($Q1428="","",INDEX(상세표[주말·휴일 포함],$Q1428)&amp;"")</f>
        <v/>
      </c>
      <c r="P1428">
        <f>IF($Q1428="","",INDEX(상세표[월 넘김 포함],$Q1428)&amp;"")</f>
        <v/>
      </c>
      <c r="Q1428" s="4">
        <f>IFERROR(MATCH(1423,상세표[연속순번],0),"")</f>
        <v/>
      </c>
    </row>
    <row r="1429">
      <c r="A1429">
        <f>IF($Q1429="","",INDEX(상세표[부서],$Q1429)&amp;"")</f>
        <v/>
      </c>
      <c r="B1429">
        <f>IF($Q1429="","",INDEX(상세표[사번],$Q1429)&amp;"")</f>
        <v/>
      </c>
      <c r="C1429">
        <f>IF($Q1429="","",INDEX(상세표[성명],$Q1429)&amp;"")</f>
        <v/>
      </c>
      <c r="D1429">
        <f>IF($Q1429="","",INDEX(상세표[직위],$Q1429)&amp;"")</f>
        <v/>
      </c>
      <c r="E1429">
        <f>IF($Q1429="","",IF(ISNUMBER(INDEX(상세표[근무일자],$Q1429)),TEXT(INDEX(상세표[근무일자],$Q1429),"yyyy-mm-dd"),INDEX(상세표[근무일자],$Q1429)&amp;""))</f>
        <v/>
      </c>
      <c r="F1429">
        <f>IF($Q1429="","",IF(ISNUMBER(INDEX(상세표[시작],$Q1429)),TEXT(INDEX(상세표[시작],$Q1429),"yyyy-mm-dd hh:mm"),INDEX(상세표[시작],$Q1429)&amp;""))</f>
        <v/>
      </c>
      <c r="G1429">
        <f>IF($Q1429="","",IF(ISNUMBER(INDEX(상세표[블록종료],$Q1429)),TEXT(INDEX(상세표[블록종료],$Q1429),"yyyy-mm-dd hh:mm"),INDEX(상세표[블록종료],$Q1429)&amp;""))</f>
        <v/>
      </c>
      <c r="H1429">
        <f>IF($Q1429="","",CHOOSE(WEEKDAY(INDEX(상세표[시작],$Q1429)),"일","월","화","수","목","금","토"))</f>
        <v/>
      </c>
      <c r="I1429" s="20">
        <f>IF($Q1429="","",INDEX(상세표[연속 시간],$Q1429))</f>
        <v/>
      </c>
      <c r="J1429">
        <f>IF($Q1429="","",INDEX(상세표[기록 수],$Q1429))</f>
        <v/>
      </c>
      <c r="K1429" s="20">
        <f>IF($Q1429="","",INDEX(상세표[블록 06~07시],$Q1429))</f>
        <v/>
      </c>
      <c r="L1429" s="20">
        <f>IF($Q1429="","",INDEX(상세표[블록 07~18시],$Q1429))</f>
        <v/>
      </c>
      <c r="M1429" s="20">
        <f>IF($Q1429="","",INDEX(상세표[블록 18~22시],$Q1429))</f>
        <v/>
      </c>
      <c r="N1429" s="20">
        <f>IF($Q1429="","",INDEX(상세표[블록 22~06시],$Q1429))</f>
        <v/>
      </c>
      <c r="O1429">
        <f>IF($Q1429="","",INDEX(상세표[주말·휴일 포함],$Q1429)&amp;"")</f>
        <v/>
      </c>
      <c r="P1429">
        <f>IF($Q1429="","",INDEX(상세표[월 넘김 포함],$Q1429)&amp;"")</f>
        <v/>
      </c>
      <c r="Q1429" s="4">
        <f>IFERROR(MATCH(1424,상세표[연속순번],0),"")</f>
        <v/>
      </c>
    </row>
    <row r="1430">
      <c r="A1430">
        <f>IF($Q1430="","",INDEX(상세표[부서],$Q1430)&amp;"")</f>
        <v/>
      </c>
      <c r="B1430">
        <f>IF($Q1430="","",INDEX(상세표[사번],$Q1430)&amp;"")</f>
        <v/>
      </c>
      <c r="C1430">
        <f>IF($Q1430="","",INDEX(상세표[성명],$Q1430)&amp;"")</f>
        <v/>
      </c>
      <c r="D1430">
        <f>IF($Q1430="","",INDEX(상세표[직위],$Q1430)&amp;"")</f>
        <v/>
      </c>
      <c r="E1430">
        <f>IF($Q1430="","",IF(ISNUMBER(INDEX(상세표[근무일자],$Q1430)),TEXT(INDEX(상세표[근무일자],$Q1430),"yyyy-mm-dd"),INDEX(상세표[근무일자],$Q1430)&amp;""))</f>
        <v/>
      </c>
      <c r="F1430">
        <f>IF($Q1430="","",IF(ISNUMBER(INDEX(상세표[시작],$Q1430)),TEXT(INDEX(상세표[시작],$Q1430),"yyyy-mm-dd hh:mm"),INDEX(상세표[시작],$Q1430)&amp;""))</f>
        <v/>
      </c>
      <c r="G1430">
        <f>IF($Q1430="","",IF(ISNUMBER(INDEX(상세표[블록종료],$Q1430)),TEXT(INDEX(상세표[블록종료],$Q1430),"yyyy-mm-dd hh:mm"),INDEX(상세표[블록종료],$Q1430)&amp;""))</f>
        <v/>
      </c>
      <c r="H1430">
        <f>IF($Q1430="","",CHOOSE(WEEKDAY(INDEX(상세표[시작],$Q1430)),"일","월","화","수","목","금","토"))</f>
        <v/>
      </c>
      <c r="I1430" s="20">
        <f>IF($Q1430="","",INDEX(상세표[연속 시간],$Q1430))</f>
        <v/>
      </c>
      <c r="J1430">
        <f>IF($Q1430="","",INDEX(상세표[기록 수],$Q1430))</f>
        <v/>
      </c>
      <c r="K1430" s="20">
        <f>IF($Q1430="","",INDEX(상세표[블록 06~07시],$Q1430))</f>
        <v/>
      </c>
      <c r="L1430" s="20">
        <f>IF($Q1430="","",INDEX(상세표[블록 07~18시],$Q1430))</f>
        <v/>
      </c>
      <c r="M1430" s="20">
        <f>IF($Q1430="","",INDEX(상세표[블록 18~22시],$Q1430))</f>
        <v/>
      </c>
      <c r="N1430" s="20">
        <f>IF($Q1430="","",INDEX(상세표[블록 22~06시],$Q1430))</f>
        <v/>
      </c>
      <c r="O1430">
        <f>IF($Q1430="","",INDEX(상세표[주말·휴일 포함],$Q1430)&amp;"")</f>
        <v/>
      </c>
      <c r="P1430">
        <f>IF($Q1430="","",INDEX(상세표[월 넘김 포함],$Q1430)&amp;"")</f>
        <v/>
      </c>
      <c r="Q1430" s="4">
        <f>IFERROR(MATCH(1425,상세표[연속순번],0),"")</f>
        <v/>
      </c>
    </row>
    <row r="1431">
      <c r="A1431">
        <f>IF($Q1431="","",INDEX(상세표[부서],$Q1431)&amp;"")</f>
        <v/>
      </c>
      <c r="B1431">
        <f>IF($Q1431="","",INDEX(상세표[사번],$Q1431)&amp;"")</f>
        <v/>
      </c>
      <c r="C1431">
        <f>IF($Q1431="","",INDEX(상세표[성명],$Q1431)&amp;"")</f>
        <v/>
      </c>
      <c r="D1431">
        <f>IF($Q1431="","",INDEX(상세표[직위],$Q1431)&amp;"")</f>
        <v/>
      </c>
      <c r="E1431">
        <f>IF($Q1431="","",IF(ISNUMBER(INDEX(상세표[근무일자],$Q1431)),TEXT(INDEX(상세표[근무일자],$Q1431),"yyyy-mm-dd"),INDEX(상세표[근무일자],$Q1431)&amp;""))</f>
        <v/>
      </c>
      <c r="F1431">
        <f>IF($Q1431="","",IF(ISNUMBER(INDEX(상세표[시작],$Q1431)),TEXT(INDEX(상세표[시작],$Q1431),"yyyy-mm-dd hh:mm"),INDEX(상세표[시작],$Q1431)&amp;""))</f>
        <v/>
      </c>
      <c r="G1431">
        <f>IF($Q1431="","",IF(ISNUMBER(INDEX(상세표[블록종료],$Q1431)),TEXT(INDEX(상세표[블록종료],$Q1431),"yyyy-mm-dd hh:mm"),INDEX(상세표[블록종료],$Q1431)&amp;""))</f>
        <v/>
      </c>
      <c r="H1431">
        <f>IF($Q1431="","",CHOOSE(WEEKDAY(INDEX(상세표[시작],$Q1431)),"일","월","화","수","목","금","토"))</f>
        <v/>
      </c>
      <c r="I1431" s="20">
        <f>IF($Q1431="","",INDEX(상세표[연속 시간],$Q1431))</f>
        <v/>
      </c>
      <c r="J1431">
        <f>IF($Q1431="","",INDEX(상세표[기록 수],$Q1431))</f>
        <v/>
      </c>
      <c r="K1431" s="20">
        <f>IF($Q1431="","",INDEX(상세표[블록 06~07시],$Q1431))</f>
        <v/>
      </c>
      <c r="L1431" s="20">
        <f>IF($Q1431="","",INDEX(상세표[블록 07~18시],$Q1431))</f>
        <v/>
      </c>
      <c r="M1431" s="20">
        <f>IF($Q1431="","",INDEX(상세표[블록 18~22시],$Q1431))</f>
        <v/>
      </c>
      <c r="N1431" s="20">
        <f>IF($Q1431="","",INDEX(상세표[블록 22~06시],$Q1431))</f>
        <v/>
      </c>
      <c r="O1431">
        <f>IF($Q1431="","",INDEX(상세표[주말·휴일 포함],$Q1431)&amp;"")</f>
        <v/>
      </c>
      <c r="P1431">
        <f>IF($Q1431="","",INDEX(상세표[월 넘김 포함],$Q1431)&amp;"")</f>
        <v/>
      </c>
      <c r="Q1431" s="4">
        <f>IFERROR(MATCH(1426,상세표[연속순번],0),"")</f>
        <v/>
      </c>
    </row>
    <row r="1432">
      <c r="A1432">
        <f>IF($Q1432="","",INDEX(상세표[부서],$Q1432)&amp;"")</f>
        <v/>
      </c>
      <c r="B1432">
        <f>IF($Q1432="","",INDEX(상세표[사번],$Q1432)&amp;"")</f>
        <v/>
      </c>
      <c r="C1432">
        <f>IF($Q1432="","",INDEX(상세표[성명],$Q1432)&amp;"")</f>
        <v/>
      </c>
      <c r="D1432">
        <f>IF($Q1432="","",INDEX(상세표[직위],$Q1432)&amp;"")</f>
        <v/>
      </c>
      <c r="E1432">
        <f>IF($Q1432="","",IF(ISNUMBER(INDEX(상세표[근무일자],$Q1432)),TEXT(INDEX(상세표[근무일자],$Q1432),"yyyy-mm-dd"),INDEX(상세표[근무일자],$Q1432)&amp;""))</f>
        <v/>
      </c>
      <c r="F1432">
        <f>IF($Q1432="","",IF(ISNUMBER(INDEX(상세표[시작],$Q1432)),TEXT(INDEX(상세표[시작],$Q1432),"yyyy-mm-dd hh:mm"),INDEX(상세표[시작],$Q1432)&amp;""))</f>
        <v/>
      </c>
      <c r="G1432">
        <f>IF($Q1432="","",IF(ISNUMBER(INDEX(상세표[블록종료],$Q1432)),TEXT(INDEX(상세표[블록종료],$Q1432),"yyyy-mm-dd hh:mm"),INDEX(상세표[블록종료],$Q1432)&amp;""))</f>
        <v/>
      </c>
      <c r="H1432">
        <f>IF($Q1432="","",CHOOSE(WEEKDAY(INDEX(상세표[시작],$Q1432)),"일","월","화","수","목","금","토"))</f>
        <v/>
      </c>
      <c r="I1432" s="20">
        <f>IF($Q1432="","",INDEX(상세표[연속 시간],$Q1432))</f>
        <v/>
      </c>
      <c r="J1432">
        <f>IF($Q1432="","",INDEX(상세표[기록 수],$Q1432))</f>
        <v/>
      </c>
      <c r="K1432" s="20">
        <f>IF($Q1432="","",INDEX(상세표[블록 06~07시],$Q1432))</f>
        <v/>
      </c>
      <c r="L1432" s="20">
        <f>IF($Q1432="","",INDEX(상세표[블록 07~18시],$Q1432))</f>
        <v/>
      </c>
      <c r="M1432" s="20">
        <f>IF($Q1432="","",INDEX(상세표[블록 18~22시],$Q1432))</f>
        <v/>
      </c>
      <c r="N1432" s="20">
        <f>IF($Q1432="","",INDEX(상세표[블록 22~06시],$Q1432))</f>
        <v/>
      </c>
      <c r="O1432">
        <f>IF($Q1432="","",INDEX(상세표[주말·휴일 포함],$Q1432)&amp;"")</f>
        <v/>
      </c>
      <c r="P1432">
        <f>IF($Q1432="","",INDEX(상세표[월 넘김 포함],$Q1432)&amp;"")</f>
        <v/>
      </c>
      <c r="Q1432" s="4">
        <f>IFERROR(MATCH(1427,상세표[연속순번],0),"")</f>
        <v/>
      </c>
    </row>
    <row r="1433">
      <c r="A1433">
        <f>IF($Q1433="","",INDEX(상세표[부서],$Q1433)&amp;"")</f>
        <v/>
      </c>
      <c r="B1433">
        <f>IF($Q1433="","",INDEX(상세표[사번],$Q1433)&amp;"")</f>
        <v/>
      </c>
      <c r="C1433">
        <f>IF($Q1433="","",INDEX(상세표[성명],$Q1433)&amp;"")</f>
        <v/>
      </c>
      <c r="D1433">
        <f>IF($Q1433="","",INDEX(상세표[직위],$Q1433)&amp;"")</f>
        <v/>
      </c>
      <c r="E1433">
        <f>IF($Q1433="","",IF(ISNUMBER(INDEX(상세표[근무일자],$Q1433)),TEXT(INDEX(상세표[근무일자],$Q1433),"yyyy-mm-dd"),INDEX(상세표[근무일자],$Q1433)&amp;""))</f>
        <v/>
      </c>
      <c r="F1433">
        <f>IF($Q1433="","",IF(ISNUMBER(INDEX(상세표[시작],$Q1433)),TEXT(INDEX(상세표[시작],$Q1433),"yyyy-mm-dd hh:mm"),INDEX(상세표[시작],$Q1433)&amp;""))</f>
        <v/>
      </c>
      <c r="G1433">
        <f>IF($Q1433="","",IF(ISNUMBER(INDEX(상세표[블록종료],$Q1433)),TEXT(INDEX(상세표[블록종료],$Q1433),"yyyy-mm-dd hh:mm"),INDEX(상세표[블록종료],$Q1433)&amp;""))</f>
        <v/>
      </c>
      <c r="H1433">
        <f>IF($Q1433="","",CHOOSE(WEEKDAY(INDEX(상세표[시작],$Q1433)),"일","월","화","수","목","금","토"))</f>
        <v/>
      </c>
      <c r="I1433" s="20">
        <f>IF($Q1433="","",INDEX(상세표[연속 시간],$Q1433))</f>
        <v/>
      </c>
      <c r="J1433">
        <f>IF($Q1433="","",INDEX(상세표[기록 수],$Q1433))</f>
        <v/>
      </c>
      <c r="K1433" s="20">
        <f>IF($Q1433="","",INDEX(상세표[블록 06~07시],$Q1433))</f>
        <v/>
      </c>
      <c r="L1433" s="20">
        <f>IF($Q1433="","",INDEX(상세표[블록 07~18시],$Q1433))</f>
        <v/>
      </c>
      <c r="M1433" s="20">
        <f>IF($Q1433="","",INDEX(상세표[블록 18~22시],$Q1433))</f>
        <v/>
      </c>
      <c r="N1433" s="20">
        <f>IF($Q1433="","",INDEX(상세표[블록 22~06시],$Q1433))</f>
        <v/>
      </c>
      <c r="O1433">
        <f>IF($Q1433="","",INDEX(상세표[주말·휴일 포함],$Q1433)&amp;"")</f>
        <v/>
      </c>
      <c r="P1433">
        <f>IF($Q1433="","",INDEX(상세표[월 넘김 포함],$Q1433)&amp;"")</f>
        <v/>
      </c>
      <c r="Q1433" s="4">
        <f>IFERROR(MATCH(1428,상세표[연속순번],0),"")</f>
        <v/>
      </c>
    </row>
    <row r="1434">
      <c r="A1434">
        <f>IF($Q1434="","",INDEX(상세표[부서],$Q1434)&amp;"")</f>
        <v/>
      </c>
      <c r="B1434">
        <f>IF($Q1434="","",INDEX(상세표[사번],$Q1434)&amp;"")</f>
        <v/>
      </c>
      <c r="C1434">
        <f>IF($Q1434="","",INDEX(상세표[성명],$Q1434)&amp;"")</f>
        <v/>
      </c>
      <c r="D1434">
        <f>IF($Q1434="","",INDEX(상세표[직위],$Q1434)&amp;"")</f>
        <v/>
      </c>
      <c r="E1434">
        <f>IF($Q1434="","",IF(ISNUMBER(INDEX(상세표[근무일자],$Q1434)),TEXT(INDEX(상세표[근무일자],$Q1434),"yyyy-mm-dd"),INDEX(상세표[근무일자],$Q1434)&amp;""))</f>
        <v/>
      </c>
      <c r="F1434">
        <f>IF($Q1434="","",IF(ISNUMBER(INDEX(상세표[시작],$Q1434)),TEXT(INDEX(상세표[시작],$Q1434),"yyyy-mm-dd hh:mm"),INDEX(상세표[시작],$Q1434)&amp;""))</f>
        <v/>
      </c>
      <c r="G1434">
        <f>IF($Q1434="","",IF(ISNUMBER(INDEX(상세표[블록종료],$Q1434)),TEXT(INDEX(상세표[블록종료],$Q1434),"yyyy-mm-dd hh:mm"),INDEX(상세표[블록종료],$Q1434)&amp;""))</f>
        <v/>
      </c>
      <c r="H1434">
        <f>IF($Q1434="","",CHOOSE(WEEKDAY(INDEX(상세표[시작],$Q1434)),"일","월","화","수","목","금","토"))</f>
        <v/>
      </c>
      <c r="I1434" s="20">
        <f>IF($Q1434="","",INDEX(상세표[연속 시간],$Q1434))</f>
        <v/>
      </c>
      <c r="J1434">
        <f>IF($Q1434="","",INDEX(상세표[기록 수],$Q1434))</f>
        <v/>
      </c>
      <c r="K1434" s="20">
        <f>IF($Q1434="","",INDEX(상세표[블록 06~07시],$Q1434))</f>
        <v/>
      </c>
      <c r="L1434" s="20">
        <f>IF($Q1434="","",INDEX(상세표[블록 07~18시],$Q1434))</f>
        <v/>
      </c>
      <c r="M1434" s="20">
        <f>IF($Q1434="","",INDEX(상세표[블록 18~22시],$Q1434))</f>
        <v/>
      </c>
      <c r="N1434" s="20">
        <f>IF($Q1434="","",INDEX(상세표[블록 22~06시],$Q1434))</f>
        <v/>
      </c>
      <c r="O1434">
        <f>IF($Q1434="","",INDEX(상세표[주말·휴일 포함],$Q1434)&amp;"")</f>
        <v/>
      </c>
      <c r="P1434">
        <f>IF($Q1434="","",INDEX(상세표[월 넘김 포함],$Q1434)&amp;"")</f>
        <v/>
      </c>
      <c r="Q1434" s="4">
        <f>IFERROR(MATCH(1429,상세표[연속순번],0),"")</f>
        <v/>
      </c>
    </row>
    <row r="1435">
      <c r="A1435">
        <f>IF($Q1435="","",INDEX(상세표[부서],$Q1435)&amp;"")</f>
        <v/>
      </c>
      <c r="B1435">
        <f>IF($Q1435="","",INDEX(상세표[사번],$Q1435)&amp;"")</f>
        <v/>
      </c>
      <c r="C1435">
        <f>IF($Q1435="","",INDEX(상세표[성명],$Q1435)&amp;"")</f>
        <v/>
      </c>
      <c r="D1435">
        <f>IF($Q1435="","",INDEX(상세표[직위],$Q1435)&amp;"")</f>
        <v/>
      </c>
      <c r="E1435">
        <f>IF($Q1435="","",IF(ISNUMBER(INDEX(상세표[근무일자],$Q1435)),TEXT(INDEX(상세표[근무일자],$Q1435),"yyyy-mm-dd"),INDEX(상세표[근무일자],$Q1435)&amp;""))</f>
        <v/>
      </c>
      <c r="F1435">
        <f>IF($Q1435="","",IF(ISNUMBER(INDEX(상세표[시작],$Q1435)),TEXT(INDEX(상세표[시작],$Q1435),"yyyy-mm-dd hh:mm"),INDEX(상세표[시작],$Q1435)&amp;""))</f>
        <v/>
      </c>
      <c r="G1435">
        <f>IF($Q1435="","",IF(ISNUMBER(INDEX(상세표[블록종료],$Q1435)),TEXT(INDEX(상세표[블록종료],$Q1435),"yyyy-mm-dd hh:mm"),INDEX(상세표[블록종료],$Q1435)&amp;""))</f>
        <v/>
      </c>
      <c r="H1435">
        <f>IF($Q1435="","",CHOOSE(WEEKDAY(INDEX(상세표[시작],$Q1435)),"일","월","화","수","목","금","토"))</f>
        <v/>
      </c>
      <c r="I1435" s="20">
        <f>IF($Q1435="","",INDEX(상세표[연속 시간],$Q1435))</f>
        <v/>
      </c>
      <c r="J1435">
        <f>IF($Q1435="","",INDEX(상세표[기록 수],$Q1435))</f>
        <v/>
      </c>
      <c r="K1435" s="20">
        <f>IF($Q1435="","",INDEX(상세표[블록 06~07시],$Q1435))</f>
        <v/>
      </c>
      <c r="L1435" s="20">
        <f>IF($Q1435="","",INDEX(상세표[블록 07~18시],$Q1435))</f>
        <v/>
      </c>
      <c r="M1435" s="20">
        <f>IF($Q1435="","",INDEX(상세표[블록 18~22시],$Q1435))</f>
        <v/>
      </c>
      <c r="N1435" s="20">
        <f>IF($Q1435="","",INDEX(상세표[블록 22~06시],$Q1435))</f>
        <v/>
      </c>
      <c r="O1435">
        <f>IF($Q1435="","",INDEX(상세표[주말·휴일 포함],$Q1435)&amp;"")</f>
        <v/>
      </c>
      <c r="P1435">
        <f>IF($Q1435="","",INDEX(상세표[월 넘김 포함],$Q1435)&amp;"")</f>
        <v/>
      </c>
      <c r="Q1435" s="4">
        <f>IFERROR(MATCH(1430,상세표[연속순번],0),"")</f>
        <v/>
      </c>
    </row>
    <row r="1436">
      <c r="A1436">
        <f>IF($Q1436="","",INDEX(상세표[부서],$Q1436)&amp;"")</f>
        <v/>
      </c>
      <c r="B1436">
        <f>IF($Q1436="","",INDEX(상세표[사번],$Q1436)&amp;"")</f>
        <v/>
      </c>
      <c r="C1436">
        <f>IF($Q1436="","",INDEX(상세표[성명],$Q1436)&amp;"")</f>
        <v/>
      </c>
      <c r="D1436">
        <f>IF($Q1436="","",INDEX(상세표[직위],$Q1436)&amp;"")</f>
        <v/>
      </c>
      <c r="E1436">
        <f>IF($Q1436="","",IF(ISNUMBER(INDEX(상세표[근무일자],$Q1436)),TEXT(INDEX(상세표[근무일자],$Q1436),"yyyy-mm-dd"),INDEX(상세표[근무일자],$Q1436)&amp;""))</f>
        <v/>
      </c>
      <c r="F1436">
        <f>IF($Q1436="","",IF(ISNUMBER(INDEX(상세표[시작],$Q1436)),TEXT(INDEX(상세표[시작],$Q1436),"yyyy-mm-dd hh:mm"),INDEX(상세표[시작],$Q1436)&amp;""))</f>
        <v/>
      </c>
      <c r="G1436">
        <f>IF($Q1436="","",IF(ISNUMBER(INDEX(상세표[블록종료],$Q1436)),TEXT(INDEX(상세표[블록종료],$Q1436),"yyyy-mm-dd hh:mm"),INDEX(상세표[블록종료],$Q1436)&amp;""))</f>
        <v/>
      </c>
      <c r="H1436">
        <f>IF($Q1436="","",CHOOSE(WEEKDAY(INDEX(상세표[시작],$Q1436)),"일","월","화","수","목","금","토"))</f>
        <v/>
      </c>
      <c r="I1436" s="20">
        <f>IF($Q1436="","",INDEX(상세표[연속 시간],$Q1436))</f>
        <v/>
      </c>
      <c r="J1436">
        <f>IF($Q1436="","",INDEX(상세표[기록 수],$Q1436))</f>
        <v/>
      </c>
      <c r="K1436" s="20">
        <f>IF($Q1436="","",INDEX(상세표[블록 06~07시],$Q1436))</f>
        <v/>
      </c>
      <c r="L1436" s="20">
        <f>IF($Q1436="","",INDEX(상세표[블록 07~18시],$Q1436))</f>
        <v/>
      </c>
      <c r="M1436" s="20">
        <f>IF($Q1436="","",INDEX(상세표[블록 18~22시],$Q1436))</f>
        <v/>
      </c>
      <c r="N1436" s="20">
        <f>IF($Q1436="","",INDEX(상세표[블록 22~06시],$Q1436))</f>
        <v/>
      </c>
      <c r="O1436">
        <f>IF($Q1436="","",INDEX(상세표[주말·휴일 포함],$Q1436)&amp;"")</f>
        <v/>
      </c>
      <c r="P1436">
        <f>IF($Q1436="","",INDEX(상세표[월 넘김 포함],$Q1436)&amp;"")</f>
        <v/>
      </c>
      <c r="Q1436" s="4">
        <f>IFERROR(MATCH(1431,상세표[연속순번],0),"")</f>
        <v/>
      </c>
    </row>
    <row r="1437">
      <c r="A1437">
        <f>IF($Q1437="","",INDEX(상세표[부서],$Q1437)&amp;"")</f>
        <v/>
      </c>
      <c r="B1437">
        <f>IF($Q1437="","",INDEX(상세표[사번],$Q1437)&amp;"")</f>
        <v/>
      </c>
      <c r="C1437">
        <f>IF($Q1437="","",INDEX(상세표[성명],$Q1437)&amp;"")</f>
        <v/>
      </c>
      <c r="D1437">
        <f>IF($Q1437="","",INDEX(상세표[직위],$Q1437)&amp;"")</f>
        <v/>
      </c>
      <c r="E1437">
        <f>IF($Q1437="","",IF(ISNUMBER(INDEX(상세표[근무일자],$Q1437)),TEXT(INDEX(상세표[근무일자],$Q1437),"yyyy-mm-dd"),INDEX(상세표[근무일자],$Q1437)&amp;""))</f>
        <v/>
      </c>
      <c r="F1437">
        <f>IF($Q1437="","",IF(ISNUMBER(INDEX(상세표[시작],$Q1437)),TEXT(INDEX(상세표[시작],$Q1437),"yyyy-mm-dd hh:mm"),INDEX(상세표[시작],$Q1437)&amp;""))</f>
        <v/>
      </c>
      <c r="G1437">
        <f>IF($Q1437="","",IF(ISNUMBER(INDEX(상세표[블록종료],$Q1437)),TEXT(INDEX(상세표[블록종료],$Q1437),"yyyy-mm-dd hh:mm"),INDEX(상세표[블록종료],$Q1437)&amp;""))</f>
        <v/>
      </c>
      <c r="H1437">
        <f>IF($Q1437="","",CHOOSE(WEEKDAY(INDEX(상세표[시작],$Q1437)),"일","월","화","수","목","금","토"))</f>
        <v/>
      </c>
      <c r="I1437" s="20">
        <f>IF($Q1437="","",INDEX(상세표[연속 시간],$Q1437))</f>
        <v/>
      </c>
      <c r="J1437">
        <f>IF($Q1437="","",INDEX(상세표[기록 수],$Q1437))</f>
        <v/>
      </c>
      <c r="K1437" s="20">
        <f>IF($Q1437="","",INDEX(상세표[블록 06~07시],$Q1437))</f>
        <v/>
      </c>
      <c r="L1437" s="20">
        <f>IF($Q1437="","",INDEX(상세표[블록 07~18시],$Q1437))</f>
        <v/>
      </c>
      <c r="M1437" s="20">
        <f>IF($Q1437="","",INDEX(상세표[블록 18~22시],$Q1437))</f>
        <v/>
      </c>
      <c r="N1437" s="20">
        <f>IF($Q1437="","",INDEX(상세표[블록 22~06시],$Q1437))</f>
        <v/>
      </c>
      <c r="O1437">
        <f>IF($Q1437="","",INDEX(상세표[주말·휴일 포함],$Q1437)&amp;"")</f>
        <v/>
      </c>
      <c r="P1437">
        <f>IF($Q1437="","",INDEX(상세표[월 넘김 포함],$Q1437)&amp;"")</f>
        <v/>
      </c>
      <c r="Q1437" s="4">
        <f>IFERROR(MATCH(1432,상세표[연속순번],0),"")</f>
        <v/>
      </c>
    </row>
    <row r="1438">
      <c r="A1438">
        <f>IF($Q1438="","",INDEX(상세표[부서],$Q1438)&amp;"")</f>
        <v/>
      </c>
      <c r="B1438">
        <f>IF($Q1438="","",INDEX(상세표[사번],$Q1438)&amp;"")</f>
        <v/>
      </c>
      <c r="C1438">
        <f>IF($Q1438="","",INDEX(상세표[성명],$Q1438)&amp;"")</f>
        <v/>
      </c>
      <c r="D1438">
        <f>IF($Q1438="","",INDEX(상세표[직위],$Q1438)&amp;"")</f>
        <v/>
      </c>
      <c r="E1438">
        <f>IF($Q1438="","",IF(ISNUMBER(INDEX(상세표[근무일자],$Q1438)),TEXT(INDEX(상세표[근무일자],$Q1438),"yyyy-mm-dd"),INDEX(상세표[근무일자],$Q1438)&amp;""))</f>
        <v/>
      </c>
      <c r="F1438">
        <f>IF($Q1438="","",IF(ISNUMBER(INDEX(상세표[시작],$Q1438)),TEXT(INDEX(상세표[시작],$Q1438),"yyyy-mm-dd hh:mm"),INDEX(상세표[시작],$Q1438)&amp;""))</f>
        <v/>
      </c>
      <c r="G1438">
        <f>IF($Q1438="","",IF(ISNUMBER(INDEX(상세표[블록종료],$Q1438)),TEXT(INDEX(상세표[블록종료],$Q1438),"yyyy-mm-dd hh:mm"),INDEX(상세표[블록종료],$Q1438)&amp;""))</f>
        <v/>
      </c>
      <c r="H1438">
        <f>IF($Q1438="","",CHOOSE(WEEKDAY(INDEX(상세표[시작],$Q1438)),"일","월","화","수","목","금","토"))</f>
        <v/>
      </c>
      <c r="I1438" s="20">
        <f>IF($Q1438="","",INDEX(상세표[연속 시간],$Q1438))</f>
        <v/>
      </c>
      <c r="J1438">
        <f>IF($Q1438="","",INDEX(상세표[기록 수],$Q1438))</f>
        <v/>
      </c>
      <c r="K1438" s="20">
        <f>IF($Q1438="","",INDEX(상세표[블록 06~07시],$Q1438))</f>
        <v/>
      </c>
      <c r="L1438" s="20">
        <f>IF($Q1438="","",INDEX(상세표[블록 07~18시],$Q1438))</f>
        <v/>
      </c>
      <c r="M1438" s="20">
        <f>IF($Q1438="","",INDEX(상세표[블록 18~22시],$Q1438))</f>
        <v/>
      </c>
      <c r="N1438" s="20">
        <f>IF($Q1438="","",INDEX(상세표[블록 22~06시],$Q1438))</f>
        <v/>
      </c>
      <c r="O1438">
        <f>IF($Q1438="","",INDEX(상세표[주말·휴일 포함],$Q1438)&amp;"")</f>
        <v/>
      </c>
      <c r="P1438">
        <f>IF($Q1438="","",INDEX(상세표[월 넘김 포함],$Q1438)&amp;"")</f>
        <v/>
      </c>
      <c r="Q1438" s="4">
        <f>IFERROR(MATCH(1433,상세표[연속순번],0),"")</f>
        <v/>
      </c>
    </row>
    <row r="1439">
      <c r="A1439">
        <f>IF($Q1439="","",INDEX(상세표[부서],$Q1439)&amp;"")</f>
        <v/>
      </c>
      <c r="B1439">
        <f>IF($Q1439="","",INDEX(상세표[사번],$Q1439)&amp;"")</f>
        <v/>
      </c>
      <c r="C1439">
        <f>IF($Q1439="","",INDEX(상세표[성명],$Q1439)&amp;"")</f>
        <v/>
      </c>
      <c r="D1439">
        <f>IF($Q1439="","",INDEX(상세표[직위],$Q1439)&amp;"")</f>
        <v/>
      </c>
      <c r="E1439">
        <f>IF($Q1439="","",IF(ISNUMBER(INDEX(상세표[근무일자],$Q1439)),TEXT(INDEX(상세표[근무일자],$Q1439),"yyyy-mm-dd"),INDEX(상세표[근무일자],$Q1439)&amp;""))</f>
        <v/>
      </c>
      <c r="F1439">
        <f>IF($Q1439="","",IF(ISNUMBER(INDEX(상세표[시작],$Q1439)),TEXT(INDEX(상세표[시작],$Q1439),"yyyy-mm-dd hh:mm"),INDEX(상세표[시작],$Q1439)&amp;""))</f>
        <v/>
      </c>
      <c r="G1439">
        <f>IF($Q1439="","",IF(ISNUMBER(INDEX(상세표[블록종료],$Q1439)),TEXT(INDEX(상세표[블록종료],$Q1439),"yyyy-mm-dd hh:mm"),INDEX(상세표[블록종료],$Q1439)&amp;""))</f>
        <v/>
      </c>
      <c r="H1439">
        <f>IF($Q1439="","",CHOOSE(WEEKDAY(INDEX(상세표[시작],$Q1439)),"일","월","화","수","목","금","토"))</f>
        <v/>
      </c>
      <c r="I1439" s="20">
        <f>IF($Q1439="","",INDEX(상세표[연속 시간],$Q1439))</f>
        <v/>
      </c>
      <c r="J1439">
        <f>IF($Q1439="","",INDEX(상세표[기록 수],$Q1439))</f>
        <v/>
      </c>
      <c r="K1439" s="20">
        <f>IF($Q1439="","",INDEX(상세표[블록 06~07시],$Q1439))</f>
        <v/>
      </c>
      <c r="L1439" s="20">
        <f>IF($Q1439="","",INDEX(상세표[블록 07~18시],$Q1439))</f>
        <v/>
      </c>
      <c r="M1439" s="20">
        <f>IF($Q1439="","",INDEX(상세표[블록 18~22시],$Q1439))</f>
        <v/>
      </c>
      <c r="N1439" s="20">
        <f>IF($Q1439="","",INDEX(상세표[블록 22~06시],$Q1439))</f>
        <v/>
      </c>
      <c r="O1439">
        <f>IF($Q1439="","",INDEX(상세표[주말·휴일 포함],$Q1439)&amp;"")</f>
        <v/>
      </c>
      <c r="P1439">
        <f>IF($Q1439="","",INDEX(상세표[월 넘김 포함],$Q1439)&amp;"")</f>
        <v/>
      </c>
      <c r="Q1439" s="4">
        <f>IFERROR(MATCH(1434,상세표[연속순번],0),"")</f>
        <v/>
      </c>
    </row>
    <row r="1440">
      <c r="A1440">
        <f>IF($Q1440="","",INDEX(상세표[부서],$Q1440)&amp;"")</f>
        <v/>
      </c>
      <c r="B1440">
        <f>IF($Q1440="","",INDEX(상세표[사번],$Q1440)&amp;"")</f>
        <v/>
      </c>
      <c r="C1440">
        <f>IF($Q1440="","",INDEX(상세표[성명],$Q1440)&amp;"")</f>
        <v/>
      </c>
      <c r="D1440">
        <f>IF($Q1440="","",INDEX(상세표[직위],$Q1440)&amp;"")</f>
        <v/>
      </c>
      <c r="E1440">
        <f>IF($Q1440="","",IF(ISNUMBER(INDEX(상세표[근무일자],$Q1440)),TEXT(INDEX(상세표[근무일자],$Q1440),"yyyy-mm-dd"),INDEX(상세표[근무일자],$Q1440)&amp;""))</f>
        <v/>
      </c>
      <c r="F1440">
        <f>IF($Q1440="","",IF(ISNUMBER(INDEX(상세표[시작],$Q1440)),TEXT(INDEX(상세표[시작],$Q1440),"yyyy-mm-dd hh:mm"),INDEX(상세표[시작],$Q1440)&amp;""))</f>
        <v/>
      </c>
      <c r="G1440">
        <f>IF($Q1440="","",IF(ISNUMBER(INDEX(상세표[블록종료],$Q1440)),TEXT(INDEX(상세표[블록종료],$Q1440),"yyyy-mm-dd hh:mm"),INDEX(상세표[블록종료],$Q1440)&amp;""))</f>
        <v/>
      </c>
      <c r="H1440">
        <f>IF($Q1440="","",CHOOSE(WEEKDAY(INDEX(상세표[시작],$Q1440)),"일","월","화","수","목","금","토"))</f>
        <v/>
      </c>
      <c r="I1440" s="20">
        <f>IF($Q1440="","",INDEX(상세표[연속 시간],$Q1440))</f>
        <v/>
      </c>
      <c r="J1440">
        <f>IF($Q1440="","",INDEX(상세표[기록 수],$Q1440))</f>
        <v/>
      </c>
      <c r="K1440" s="20">
        <f>IF($Q1440="","",INDEX(상세표[블록 06~07시],$Q1440))</f>
        <v/>
      </c>
      <c r="L1440" s="20">
        <f>IF($Q1440="","",INDEX(상세표[블록 07~18시],$Q1440))</f>
        <v/>
      </c>
      <c r="M1440" s="20">
        <f>IF($Q1440="","",INDEX(상세표[블록 18~22시],$Q1440))</f>
        <v/>
      </c>
      <c r="N1440" s="20">
        <f>IF($Q1440="","",INDEX(상세표[블록 22~06시],$Q1440))</f>
        <v/>
      </c>
      <c r="O1440">
        <f>IF($Q1440="","",INDEX(상세표[주말·휴일 포함],$Q1440)&amp;"")</f>
        <v/>
      </c>
      <c r="P1440">
        <f>IF($Q1440="","",INDEX(상세표[월 넘김 포함],$Q1440)&amp;"")</f>
        <v/>
      </c>
      <c r="Q1440" s="4">
        <f>IFERROR(MATCH(1435,상세표[연속순번],0),"")</f>
        <v/>
      </c>
    </row>
    <row r="1441">
      <c r="A1441">
        <f>IF($Q1441="","",INDEX(상세표[부서],$Q1441)&amp;"")</f>
        <v/>
      </c>
      <c r="B1441">
        <f>IF($Q1441="","",INDEX(상세표[사번],$Q1441)&amp;"")</f>
        <v/>
      </c>
      <c r="C1441">
        <f>IF($Q1441="","",INDEX(상세표[성명],$Q1441)&amp;"")</f>
        <v/>
      </c>
      <c r="D1441">
        <f>IF($Q1441="","",INDEX(상세표[직위],$Q1441)&amp;"")</f>
        <v/>
      </c>
      <c r="E1441">
        <f>IF($Q1441="","",IF(ISNUMBER(INDEX(상세표[근무일자],$Q1441)),TEXT(INDEX(상세표[근무일자],$Q1441),"yyyy-mm-dd"),INDEX(상세표[근무일자],$Q1441)&amp;""))</f>
        <v/>
      </c>
      <c r="F1441">
        <f>IF($Q1441="","",IF(ISNUMBER(INDEX(상세표[시작],$Q1441)),TEXT(INDEX(상세표[시작],$Q1441),"yyyy-mm-dd hh:mm"),INDEX(상세표[시작],$Q1441)&amp;""))</f>
        <v/>
      </c>
      <c r="G1441">
        <f>IF($Q1441="","",IF(ISNUMBER(INDEX(상세표[블록종료],$Q1441)),TEXT(INDEX(상세표[블록종료],$Q1441),"yyyy-mm-dd hh:mm"),INDEX(상세표[블록종료],$Q1441)&amp;""))</f>
        <v/>
      </c>
      <c r="H1441">
        <f>IF($Q1441="","",CHOOSE(WEEKDAY(INDEX(상세표[시작],$Q1441)),"일","월","화","수","목","금","토"))</f>
        <v/>
      </c>
      <c r="I1441" s="20">
        <f>IF($Q1441="","",INDEX(상세표[연속 시간],$Q1441))</f>
        <v/>
      </c>
      <c r="J1441">
        <f>IF($Q1441="","",INDEX(상세표[기록 수],$Q1441))</f>
        <v/>
      </c>
      <c r="K1441" s="20">
        <f>IF($Q1441="","",INDEX(상세표[블록 06~07시],$Q1441))</f>
        <v/>
      </c>
      <c r="L1441" s="20">
        <f>IF($Q1441="","",INDEX(상세표[블록 07~18시],$Q1441))</f>
        <v/>
      </c>
      <c r="M1441" s="20">
        <f>IF($Q1441="","",INDEX(상세표[블록 18~22시],$Q1441))</f>
        <v/>
      </c>
      <c r="N1441" s="20">
        <f>IF($Q1441="","",INDEX(상세표[블록 22~06시],$Q1441))</f>
        <v/>
      </c>
      <c r="O1441">
        <f>IF($Q1441="","",INDEX(상세표[주말·휴일 포함],$Q1441)&amp;"")</f>
        <v/>
      </c>
      <c r="P1441">
        <f>IF($Q1441="","",INDEX(상세표[월 넘김 포함],$Q1441)&amp;"")</f>
        <v/>
      </c>
      <c r="Q1441" s="4">
        <f>IFERROR(MATCH(1436,상세표[연속순번],0),"")</f>
        <v/>
      </c>
    </row>
    <row r="1442">
      <c r="A1442">
        <f>IF($Q1442="","",INDEX(상세표[부서],$Q1442)&amp;"")</f>
        <v/>
      </c>
      <c r="B1442">
        <f>IF($Q1442="","",INDEX(상세표[사번],$Q1442)&amp;"")</f>
        <v/>
      </c>
      <c r="C1442">
        <f>IF($Q1442="","",INDEX(상세표[성명],$Q1442)&amp;"")</f>
        <v/>
      </c>
      <c r="D1442">
        <f>IF($Q1442="","",INDEX(상세표[직위],$Q1442)&amp;"")</f>
        <v/>
      </c>
      <c r="E1442">
        <f>IF($Q1442="","",IF(ISNUMBER(INDEX(상세표[근무일자],$Q1442)),TEXT(INDEX(상세표[근무일자],$Q1442),"yyyy-mm-dd"),INDEX(상세표[근무일자],$Q1442)&amp;""))</f>
        <v/>
      </c>
      <c r="F1442">
        <f>IF($Q1442="","",IF(ISNUMBER(INDEX(상세표[시작],$Q1442)),TEXT(INDEX(상세표[시작],$Q1442),"yyyy-mm-dd hh:mm"),INDEX(상세표[시작],$Q1442)&amp;""))</f>
        <v/>
      </c>
      <c r="G1442">
        <f>IF($Q1442="","",IF(ISNUMBER(INDEX(상세표[블록종료],$Q1442)),TEXT(INDEX(상세표[블록종료],$Q1442),"yyyy-mm-dd hh:mm"),INDEX(상세표[블록종료],$Q1442)&amp;""))</f>
        <v/>
      </c>
      <c r="H1442">
        <f>IF($Q1442="","",CHOOSE(WEEKDAY(INDEX(상세표[시작],$Q1442)),"일","월","화","수","목","금","토"))</f>
        <v/>
      </c>
      <c r="I1442" s="20">
        <f>IF($Q1442="","",INDEX(상세표[연속 시간],$Q1442))</f>
        <v/>
      </c>
      <c r="J1442">
        <f>IF($Q1442="","",INDEX(상세표[기록 수],$Q1442))</f>
        <v/>
      </c>
      <c r="K1442" s="20">
        <f>IF($Q1442="","",INDEX(상세표[블록 06~07시],$Q1442))</f>
        <v/>
      </c>
      <c r="L1442" s="20">
        <f>IF($Q1442="","",INDEX(상세표[블록 07~18시],$Q1442))</f>
        <v/>
      </c>
      <c r="M1442" s="20">
        <f>IF($Q1442="","",INDEX(상세표[블록 18~22시],$Q1442))</f>
        <v/>
      </c>
      <c r="N1442" s="20">
        <f>IF($Q1442="","",INDEX(상세표[블록 22~06시],$Q1442))</f>
        <v/>
      </c>
      <c r="O1442">
        <f>IF($Q1442="","",INDEX(상세표[주말·휴일 포함],$Q1442)&amp;"")</f>
        <v/>
      </c>
      <c r="P1442">
        <f>IF($Q1442="","",INDEX(상세표[월 넘김 포함],$Q1442)&amp;"")</f>
        <v/>
      </c>
      <c r="Q1442" s="4">
        <f>IFERROR(MATCH(1437,상세표[연속순번],0),"")</f>
        <v/>
      </c>
    </row>
    <row r="1443">
      <c r="A1443">
        <f>IF($Q1443="","",INDEX(상세표[부서],$Q1443)&amp;"")</f>
        <v/>
      </c>
      <c r="B1443">
        <f>IF($Q1443="","",INDEX(상세표[사번],$Q1443)&amp;"")</f>
        <v/>
      </c>
      <c r="C1443">
        <f>IF($Q1443="","",INDEX(상세표[성명],$Q1443)&amp;"")</f>
        <v/>
      </c>
      <c r="D1443">
        <f>IF($Q1443="","",INDEX(상세표[직위],$Q1443)&amp;"")</f>
        <v/>
      </c>
      <c r="E1443">
        <f>IF($Q1443="","",IF(ISNUMBER(INDEX(상세표[근무일자],$Q1443)),TEXT(INDEX(상세표[근무일자],$Q1443),"yyyy-mm-dd"),INDEX(상세표[근무일자],$Q1443)&amp;""))</f>
        <v/>
      </c>
      <c r="F1443">
        <f>IF($Q1443="","",IF(ISNUMBER(INDEX(상세표[시작],$Q1443)),TEXT(INDEX(상세표[시작],$Q1443),"yyyy-mm-dd hh:mm"),INDEX(상세표[시작],$Q1443)&amp;""))</f>
        <v/>
      </c>
      <c r="G1443">
        <f>IF($Q1443="","",IF(ISNUMBER(INDEX(상세표[블록종료],$Q1443)),TEXT(INDEX(상세표[블록종료],$Q1443),"yyyy-mm-dd hh:mm"),INDEX(상세표[블록종료],$Q1443)&amp;""))</f>
        <v/>
      </c>
      <c r="H1443">
        <f>IF($Q1443="","",CHOOSE(WEEKDAY(INDEX(상세표[시작],$Q1443)),"일","월","화","수","목","금","토"))</f>
        <v/>
      </c>
      <c r="I1443" s="20">
        <f>IF($Q1443="","",INDEX(상세표[연속 시간],$Q1443))</f>
        <v/>
      </c>
      <c r="J1443">
        <f>IF($Q1443="","",INDEX(상세표[기록 수],$Q1443))</f>
        <v/>
      </c>
      <c r="K1443" s="20">
        <f>IF($Q1443="","",INDEX(상세표[블록 06~07시],$Q1443))</f>
        <v/>
      </c>
      <c r="L1443" s="20">
        <f>IF($Q1443="","",INDEX(상세표[블록 07~18시],$Q1443))</f>
        <v/>
      </c>
      <c r="M1443" s="20">
        <f>IF($Q1443="","",INDEX(상세표[블록 18~22시],$Q1443))</f>
        <v/>
      </c>
      <c r="N1443" s="20">
        <f>IF($Q1443="","",INDEX(상세표[블록 22~06시],$Q1443))</f>
        <v/>
      </c>
      <c r="O1443">
        <f>IF($Q1443="","",INDEX(상세표[주말·휴일 포함],$Q1443)&amp;"")</f>
        <v/>
      </c>
      <c r="P1443">
        <f>IF($Q1443="","",INDEX(상세표[월 넘김 포함],$Q1443)&amp;"")</f>
        <v/>
      </c>
      <c r="Q1443" s="4">
        <f>IFERROR(MATCH(1438,상세표[연속순번],0),"")</f>
        <v/>
      </c>
    </row>
    <row r="1444">
      <c r="A1444">
        <f>IF($Q1444="","",INDEX(상세표[부서],$Q1444)&amp;"")</f>
        <v/>
      </c>
      <c r="B1444">
        <f>IF($Q1444="","",INDEX(상세표[사번],$Q1444)&amp;"")</f>
        <v/>
      </c>
      <c r="C1444">
        <f>IF($Q1444="","",INDEX(상세표[성명],$Q1444)&amp;"")</f>
        <v/>
      </c>
      <c r="D1444">
        <f>IF($Q1444="","",INDEX(상세표[직위],$Q1444)&amp;"")</f>
        <v/>
      </c>
      <c r="E1444">
        <f>IF($Q1444="","",IF(ISNUMBER(INDEX(상세표[근무일자],$Q1444)),TEXT(INDEX(상세표[근무일자],$Q1444),"yyyy-mm-dd"),INDEX(상세표[근무일자],$Q1444)&amp;""))</f>
        <v/>
      </c>
      <c r="F1444">
        <f>IF($Q1444="","",IF(ISNUMBER(INDEX(상세표[시작],$Q1444)),TEXT(INDEX(상세표[시작],$Q1444),"yyyy-mm-dd hh:mm"),INDEX(상세표[시작],$Q1444)&amp;""))</f>
        <v/>
      </c>
      <c r="G1444">
        <f>IF($Q1444="","",IF(ISNUMBER(INDEX(상세표[블록종료],$Q1444)),TEXT(INDEX(상세표[블록종료],$Q1444),"yyyy-mm-dd hh:mm"),INDEX(상세표[블록종료],$Q1444)&amp;""))</f>
        <v/>
      </c>
      <c r="H1444">
        <f>IF($Q1444="","",CHOOSE(WEEKDAY(INDEX(상세표[시작],$Q1444)),"일","월","화","수","목","금","토"))</f>
        <v/>
      </c>
      <c r="I1444" s="20">
        <f>IF($Q1444="","",INDEX(상세표[연속 시간],$Q1444))</f>
        <v/>
      </c>
      <c r="J1444">
        <f>IF($Q1444="","",INDEX(상세표[기록 수],$Q1444))</f>
        <v/>
      </c>
      <c r="K1444" s="20">
        <f>IF($Q1444="","",INDEX(상세표[블록 06~07시],$Q1444))</f>
        <v/>
      </c>
      <c r="L1444" s="20">
        <f>IF($Q1444="","",INDEX(상세표[블록 07~18시],$Q1444))</f>
        <v/>
      </c>
      <c r="M1444" s="20">
        <f>IF($Q1444="","",INDEX(상세표[블록 18~22시],$Q1444))</f>
        <v/>
      </c>
      <c r="N1444" s="20">
        <f>IF($Q1444="","",INDEX(상세표[블록 22~06시],$Q1444))</f>
        <v/>
      </c>
      <c r="O1444">
        <f>IF($Q1444="","",INDEX(상세표[주말·휴일 포함],$Q1444)&amp;"")</f>
        <v/>
      </c>
      <c r="P1444">
        <f>IF($Q1444="","",INDEX(상세표[월 넘김 포함],$Q1444)&amp;"")</f>
        <v/>
      </c>
      <c r="Q1444" s="4">
        <f>IFERROR(MATCH(1439,상세표[연속순번],0),"")</f>
        <v/>
      </c>
    </row>
    <row r="1445">
      <c r="A1445">
        <f>IF($Q1445="","",INDEX(상세표[부서],$Q1445)&amp;"")</f>
        <v/>
      </c>
      <c r="B1445">
        <f>IF($Q1445="","",INDEX(상세표[사번],$Q1445)&amp;"")</f>
        <v/>
      </c>
      <c r="C1445">
        <f>IF($Q1445="","",INDEX(상세표[성명],$Q1445)&amp;"")</f>
        <v/>
      </c>
      <c r="D1445">
        <f>IF($Q1445="","",INDEX(상세표[직위],$Q1445)&amp;"")</f>
        <v/>
      </c>
      <c r="E1445">
        <f>IF($Q1445="","",IF(ISNUMBER(INDEX(상세표[근무일자],$Q1445)),TEXT(INDEX(상세표[근무일자],$Q1445),"yyyy-mm-dd"),INDEX(상세표[근무일자],$Q1445)&amp;""))</f>
        <v/>
      </c>
      <c r="F1445">
        <f>IF($Q1445="","",IF(ISNUMBER(INDEX(상세표[시작],$Q1445)),TEXT(INDEX(상세표[시작],$Q1445),"yyyy-mm-dd hh:mm"),INDEX(상세표[시작],$Q1445)&amp;""))</f>
        <v/>
      </c>
      <c r="G1445">
        <f>IF($Q1445="","",IF(ISNUMBER(INDEX(상세표[블록종료],$Q1445)),TEXT(INDEX(상세표[블록종료],$Q1445),"yyyy-mm-dd hh:mm"),INDEX(상세표[블록종료],$Q1445)&amp;""))</f>
        <v/>
      </c>
      <c r="H1445">
        <f>IF($Q1445="","",CHOOSE(WEEKDAY(INDEX(상세표[시작],$Q1445)),"일","월","화","수","목","금","토"))</f>
        <v/>
      </c>
      <c r="I1445" s="20">
        <f>IF($Q1445="","",INDEX(상세표[연속 시간],$Q1445))</f>
        <v/>
      </c>
      <c r="J1445">
        <f>IF($Q1445="","",INDEX(상세표[기록 수],$Q1445))</f>
        <v/>
      </c>
      <c r="K1445" s="20">
        <f>IF($Q1445="","",INDEX(상세표[블록 06~07시],$Q1445))</f>
        <v/>
      </c>
      <c r="L1445" s="20">
        <f>IF($Q1445="","",INDEX(상세표[블록 07~18시],$Q1445))</f>
        <v/>
      </c>
      <c r="M1445" s="20">
        <f>IF($Q1445="","",INDEX(상세표[블록 18~22시],$Q1445))</f>
        <v/>
      </c>
      <c r="N1445" s="20">
        <f>IF($Q1445="","",INDEX(상세표[블록 22~06시],$Q1445))</f>
        <v/>
      </c>
      <c r="O1445">
        <f>IF($Q1445="","",INDEX(상세표[주말·휴일 포함],$Q1445)&amp;"")</f>
        <v/>
      </c>
      <c r="P1445">
        <f>IF($Q1445="","",INDEX(상세표[월 넘김 포함],$Q1445)&amp;"")</f>
        <v/>
      </c>
      <c r="Q1445" s="4">
        <f>IFERROR(MATCH(1440,상세표[연속순번],0),"")</f>
        <v/>
      </c>
    </row>
    <row r="1446">
      <c r="A1446">
        <f>IF($Q1446="","",INDEX(상세표[부서],$Q1446)&amp;"")</f>
        <v/>
      </c>
      <c r="B1446">
        <f>IF($Q1446="","",INDEX(상세표[사번],$Q1446)&amp;"")</f>
        <v/>
      </c>
      <c r="C1446">
        <f>IF($Q1446="","",INDEX(상세표[성명],$Q1446)&amp;"")</f>
        <v/>
      </c>
      <c r="D1446">
        <f>IF($Q1446="","",INDEX(상세표[직위],$Q1446)&amp;"")</f>
        <v/>
      </c>
      <c r="E1446">
        <f>IF($Q1446="","",IF(ISNUMBER(INDEX(상세표[근무일자],$Q1446)),TEXT(INDEX(상세표[근무일자],$Q1446),"yyyy-mm-dd"),INDEX(상세표[근무일자],$Q1446)&amp;""))</f>
        <v/>
      </c>
      <c r="F1446">
        <f>IF($Q1446="","",IF(ISNUMBER(INDEX(상세표[시작],$Q1446)),TEXT(INDEX(상세표[시작],$Q1446),"yyyy-mm-dd hh:mm"),INDEX(상세표[시작],$Q1446)&amp;""))</f>
        <v/>
      </c>
      <c r="G1446">
        <f>IF($Q1446="","",IF(ISNUMBER(INDEX(상세표[블록종료],$Q1446)),TEXT(INDEX(상세표[블록종료],$Q1446),"yyyy-mm-dd hh:mm"),INDEX(상세표[블록종료],$Q1446)&amp;""))</f>
        <v/>
      </c>
      <c r="H1446">
        <f>IF($Q1446="","",CHOOSE(WEEKDAY(INDEX(상세표[시작],$Q1446)),"일","월","화","수","목","금","토"))</f>
        <v/>
      </c>
      <c r="I1446" s="20">
        <f>IF($Q1446="","",INDEX(상세표[연속 시간],$Q1446))</f>
        <v/>
      </c>
      <c r="J1446">
        <f>IF($Q1446="","",INDEX(상세표[기록 수],$Q1446))</f>
        <v/>
      </c>
      <c r="K1446" s="20">
        <f>IF($Q1446="","",INDEX(상세표[블록 06~07시],$Q1446))</f>
        <v/>
      </c>
      <c r="L1446" s="20">
        <f>IF($Q1446="","",INDEX(상세표[블록 07~18시],$Q1446))</f>
        <v/>
      </c>
      <c r="M1446" s="20">
        <f>IF($Q1446="","",INDEX(상세표[블록 18~22시],$Q1446))</f>
        <v/>
      </c>
      <c r="N1446" s="20">
        <f>IF($Q1446="","",INDEX(상세표[블록 22~06시],$Q1446))</f>
        <v/>
      </c>
      <c r="O1446">
        <f>IF($Q1446="","",INDEX(상세표[주말·휴일 포함],$Q1446)&amp;"")</f>
        <v/>
      </c>
      <c r="P1446">
        <f>IF($Q1446="","",INDEX(상세표[월 넘김 포함],$Q1446)&amp;"")</f>
        <v/>
      </c>
      <c r="Q1446" s="4">
        <f>IFERROR(MATCH(1441,상세표[연속순번],0),"")</f>
        <v/>
      </c>
    </row>
    <row r="1447">
      <c r="A1447">
        <f>IF($Q1447="","",INDEX(상세표[부서],$Q1447)&amp;"")</f>
        <v/>
      </c>
      <c r="B1447">
        <f>IF($Q1447="","",INDEX(상세표[사번],$Q1447)&amp;"")</f>
        <v/>
      </c>
      <c r="C1447">
        <f>IF($Q1447="","",INDEX(상세표[성명],$Q1447)&amp;"")</f>
        <v/>
      </c>
      <c r="D1447">
        <f>IF($Q1447="","",INDEX(상세표[직위],$Q1447)&amp;"")</f>
        <v/>
      </c>
      <c r="E1447">
        <f>IF($Q1447="","",IF(ISNUMBER(INDEX(상세표[근무일자],$Q1447)),TEXT(INDEX(상세표[근무일자],$Q1447),"yyyy-mm-dd"),INDEX(상세표[근무일자],$Q1447)&amp;""))</f>
        <v/>
      </c>
      <c r="F1447">
        <f>IF($Q1447="","",IF(ISNUMBER(INDEX(상세표[시작],$Q1447)),TEXT(INDEX(상세표[시작],$Q1447),"yyyy-mm-dd hh:mm"),INDEX(상세표[시작],$Q1447)&amp;""))</f>
        <v/>
      </c>
      <c r="G1447">
        <f>IF($Q1447="","",IF(ISNUMBER(INDEX(상세표[블록종료],$Q1447)),TEXT(INDEX(상세표[블록종료],$Q1447),"yyyy-mm-dd hh:mm"),INDEX(상세표[블록종료],$Q1447)&amp;""))</f>
        <v/>
      </c>
      <c r="H1447">
        <f>IF($Q1447="","",CHOOSE(WEEKDAY(INDEX(상세표[시작],$Q1447)),"일","월","화","수","목","금","토"))</f>
        <v/>
      </c>
      <c r="I1447" s="20">
        <f>IF($Q1447="","",INDEX(상세표[연속 시간],$Q1447))</f>
        <v/>
      </c>
      <c r="J1447">
        <f>IF($Q1447="","",INDEX(상세표[기록 수],$Q1447))</f>
        <v/>
      </c>
      <c r="K1447" s="20">
        <f>IF($Q1447="","",INDEX(상세표[블록 06~07시],$Q1447))</f>
        <v/>
      </c>
      <c r="L1447" s="20">
        <f>IF($Q1447="","",INDEX(상세표[블록 07~18시],$Q1447))</f>
        <v/>
      </c>
      <c r="M1447" s="20">
        <f>IF($Q1447="","",INDEX(상세표[블록 18~22시],$Q1447))</f>
        <v/>
      </c>
      <c r="N1447" s="20">
        <f>IF($Q1447="","",INDEX(상세표[블록 22~06시],$Q1447))</f>
        <v/>
      </c>
      <c r="O1447">
        <f>IF($Q1447="","",INDEX(상세표[주말·휴일 포함],$Q1447)&amp;"")</f>
        <v/>
      </c>
      <c r="P1447">
        <f>IF($Q1447="","",INDEX(상세표[월 넘김 포함],$Q1447)&amp;"")</f>
        <v/>
      </c>
      <c r="Q1447" s="4">
        <f>IFERROR(MATCH(1442,상세표[연속순번],0),"")</f>
        <v/>
      </c>
    </row>
    <row r="1448">
      <c r="A1448">
        <f>IF($Q1448="","",INDEX(상세표[부서],$Q1448)&amp;"")</f>
        <v/>
      </c>
      <c r="B1448">
        <f>IF($Q1448="","",INDEX(상세표[사번],$Q1448)&amp;"")</f>
        <v/>
      </c>
      <c r="C1448">
        <f>IF($Q1448="","",INDEX(상세표[성명],$Q1448)&amp;"")</f>
        <v/>
      </c>
      <c r="D1448">
        <f>IF($Q1448="","",INDEX(상세표[직위],$Q1448)&amp;"")</f>
        <v/>
      </c>
      <c r="E1448">
        <f>IF($Q1448="","",IF(ISNUMBER(INDEX(상세표[근무일자],$Q1448)),TEXT(INDEX(상세표[근무일자],$Q1448),"yyyy-mm-dd"),INDEX(상세표[근무일자],$Q1448)&amp;""))</f>
        <v/>
      </c>
      <c r="F1448">
        <f>IF($Q1448="","",IF(ISNUMBER(INDEX(상세표[시작],$Q1448)),TEXT(INDEX(상세표[시작],$Q1448),"yyyy-mm-dd hh:mm"),INDEX(상세표[시작],$Q1448)&amp;""))</f>
        <v/>
      </c>
      <c r="G1448">
        <f>IF($Q1448="","",IF(ISNUMBER(INDEX(상세표[블록종료],$Q1448)),TEXT(INDEX(상세표[블록종료],$Q1448),"yyyy-mm-dd hh:mm"),INDEX(상세표[블록종료],$Q1448)&amp;""))</f>
        <v/>
      </c>
      <c r="H1448">
        <f>IF($Q1448="","",CHOOSE(WEEKDAY(INDEX(상세표[시작],$Q1448)),"일","월","화","수","목","금","토"))</f>
        <v/>
      </c>
      <c r="I1448" s="20">
        <f>IF($Q1448="","",INDEX(상세표[연속 시간],$Q1448))</f>
        <v/>
      </c>
      <c r="J1448">
        <f>IF($Q1448="","",INDEX(상세표[기록 수],$Q1448))</f>
        <v/>
      </c>
      <c r="K1448" s="20">
        <f>IF($Q1448="","",INDEX(상세표[블록 06~07시],$Q1448))</f>
        <v/>
      </c>
      <c r="L1448" s="20">
        <f>IF($Q1448="","",INDEX(상세표[블록 07~18시],$Q1448))</f>
        <v/>
      </c>
      <c r="M1448" s="20">
        <f>IF($Q1448="","",INDEX(상세표[블록 18~22시],$Q1448))</f>
        <v/>
      </c>
      <c r="N1448" s="20">
        <f>IF($Q1448="","",INDEX(상세표[블록 22~06시],$Q1448))</f>
        <v/>
      </c>
      <c r="O1448">
        <f>IF($Q1448="","",INDEX(상세표[주말·휴일 포함],$Q1448)&amp;"")</f>
        <v/>
      </c>
      <c r="P1448">
        <f>IF($Q1448="","",INDEX(상세표[월 넘김 포함],$Q1448)&amp;"")</f>
        <v/>
      </c>
      <c r="Q1448" s="4">
        <f>IFERROR(MATCH(1443,상세표[연속순번],0),"")</f>
        <v/>
      </c>
    </row>
    <row r="1449">
      <c r="A1449">
        <f>IF($Q1449="","",INDEX(상세표[부서],$Q1449)&amp;"")</f>
        <v/>
      </c>
      <c r="B1449">
        <f>IF($Q1449="","",INDEX(상세표[사번],$Q1449)&amp;"")</f>
        <v/>
      </c>
      <c r="C1449">
        <f>IF($Q1449="","",INDEX(상세표[성명],$Q1449)&amp;"")</f>
        <v/>
      </c>
      <c r="D1449">
        <f>IF($Q1449="","",INDEX(상세표[직위],$Q1449)&amp;"")</f>
        <v/>
      </c>
      <c r="E1449">
        <f>IF($Q1449="","",IF(ISNUMBER(INDEX(상세표[근무일자],$Q1449)),TEXT(INDEX(상세표[근무일자],$Q1449),"yyyy-mm-dd"),INDEX(상세표[근무일자],$Q1449)&amp;""))</f>
        <v/>
      </c>
      <c r="F1449">
        <f>IF($Q1449="","",IF(ISNUMBER(INDEX(상세표[시작],$Q1449)),TEXT(INDEX(상세표[시작],$Q1449),"yyyy-mm-dd hh:mm"),INDEX(상세표[시작],$Q1449)&amp;""))</f>
        <v/>
      </c>
      <c r="G1449">
        <f>IF($Q1449="","",IF(ISNUMBER(INDEX(상세표[블록종료],$Q1449)),TEXT(INDEX(상세표[블록종료],$Q1449),"yyyy-mm-dd hh:mm"),INDEX(상세표[블록종료],$Q1449)&amp;""))</f>
        <v/>
      </c>
      <c r="H1449">
        <f>IF($Q1449="","",CHOOSE(WEEKDAY(INDEX(상세표[시작],$Q1449)),"일","월","화","수","목","금","토"))</f>
        <v/>
      </c>
      <c r="I1449" s="20">
        <f>IF($Q1449="","",INDEX(상세표[연속 시간],$Q1449))</f>
        <v/>
      </c>
      <c r="J1449">
        <f>IF($Q1449="","",INDEX(상세표[기록 수],$Q1449))</f>
        <v/>
      </c>
      <c r="K1449" s="20">
        <f>IF($Q1449="","",INDEX(상세표[블록 06~07시],$Q1449))</f>
        <v/>
      </c>
      <c r="L1449" s="20">
        <f>IF($Q1449="","",INDEX(상세표[블록 07~18시],$Q1449))</f>
        <v/>
      </c>
      <c r="M1449" s="20">
        <f>IF($Q1449="","",INDEX(상세표[블록 18~22시],$Q1449))</f>
        <v/>
      </c>
      <c r="N1449" s="20">
        <f>IF($Q1449="","",INDEX(상세표[블록 22~06시],$Q1449))</f>
        <v/>
      </c>
      <c r="O1449">
        <f>IF($Q1449="","",INDEX(상세표[주말·휴일 포함],$Q1449)&amp;"")</f>
        <v/>
      </c>
      <c r="P1449">
        <f>IF($Q1449="","",INDEX(상세표[월 넘김 포함],$Q1449)&amp;"")</f>
        <v/>
      </c>
      <c r="Q1449" s="4">
        <f>IFERROR(MATCH(1444,상세표[연속순번],0),"")</f>
        <v/>
      </c>
    </row>
    <row r="1450">
      <c r="A1450">
        <f>IF($Q1450="","",INDEX(상세표[부서],$Q1450)&amp;"")</f>
        <v/>
      </c>
      <c r="B1450">
        <f>IF($Q1450="","",INDEX(상세표[사번],$Q1450)&amp;"")</f>
        <v/>
      </c>
      <c r="C1450">
        <f>IF($Q1450="","",INDEX(상세표[성명],$Q1450)&amp;"")</f>
        <v/>
      </c>
      <c r="D1450">
        <f>IF($Q1450="","",INDEX(상세표[직위],$Q1450)&amp;"")</f>
        <v/>
      </c>
      <c r="E1450">
        <f>IF($Q1450="","",IF(ISNUMBER(INDEX(상세표[근무일자],$Q1450)),TEXT(INDEX(상세표[근무일자],$Q1450),"yyyy-mm-dd"),INDEX(상세표[근무일자],$Q1450)&amp;""))</f>
        <v/>
      </c>
      <c r="F1450">
        <f>IF($Q1450="","",IF(ISNUMBER(INDEX(상세표[시작],$Q1450)),TEXT(INDEX(상세표[시작],$Q1450),"yyyy-mm-dd hh:mm"),INDEX(상세표[시작],$Q1450)&amp;""))</f>
        <v/>
      </c>
      <c r="G1450">
        <f>IF($Q1450="","",IF(ISNUMBER(INDEX(상세표[블록종료],$Q1450)),TEXT(INDEX(상세표[블록종료],$Q1450),"yyyy-mm-dd hh:mm"),INDEX(상세표[블록종료],$Q1450)&amp;""))</f>
        <v/>
      </c>
      <c r="H1450">
        <f>IF($Q1450="","",CHOOSE(WEEKDAY(INDEX(상세표[시작],$Q1450)),"일","월","화","수","목","금","토"))</f>
        <v/>
      </c>
      <c r="I1450" s="20">
        <f>IF($Q1450="","",INDEX(상세표[연속 시간],$Q1450))</f>
        <v/>
      </c>
      <c r="J1450">
        <f>IF($Q1450="","",INDEX(상세표[기록 수],$Q1450))</f>
        <v/>
      </c>
      <c r="K1450" s="20">
        <f>IF($Q1450="","",INDEX(상세표[블록 06~07시],$Q1450))</f>
        <v/>
      </c>
      <c r="L1450" s="20">
        <f>IF($Q1450="","",INDEX(상세표[블록 07~18시],$Q1450))</f>
        <v/>
      </c>
      <c r="M1450" s="20">
        <f>IF($Q1450="","",INDEX(상세표[블록 18~22시],$Q1450))</f>
        <v/>
      </c>
      <c r="N1450" s="20">
        <f>IF($Q1450="","",INDEX(상세표[블록 22~06시],$Q1450))</f>
        <v/>
      </c>
      <c r="O1450">
        <f>IF($Q1450="","",INDEX(상세표[주말·휴일 포함],$Q1450)&amp;"")</f>
        <v/>
      </c>
      <c r="P1450">
        <f>IF($Q1450="","",INDEX(상세표[월 넘김 포함],$Q1450)&amp;"")</f>
        <v/>
      </c>
      <c r="Q1450" s="4">
        <f>IFERROR(MATCH(1445,상세표[연속순번],0),"")</f>
        <v/>
      </c>
    </row>
    <row r="1451">
      <c r="A1451">
        <f>IF($Q1451="","",INDEX(상세표[부서],$Q1451)&amp;"")</f>
        <v/>
      </c>
      <c r="B1451">
        <f>IF($Q1451="","",INDEX(상세표[사번],$Q1451)&amp;"")</f>
        <v/>
      </c>
      <c r="C1451">
        <f>IF($Q1451="","",INDEX(상세표[성명],$Q1451)&amp;"")</f>
        <v/>
      </c>
      <c r="D1451">
        <f>IF($Q1451="","",INDEX(상세표[직위],$Q1451)&amp;"")</f>
        <v/>
      </c>
      <c r="E1451">
        <f>IF($Q1451="","",IF(ISNUMBER(INDEX(상세표[근무일자],$Q1451)),TEXT(INDEX(상세표[근무일자],$Q1451),"yyyy-mm-dd"),INDEX(상세표[근무일자],$Q1451)&amp;""))</f>
        <v/>
      </c>
      <c r="F1451">
        <f>IF($Q1451="","",IF(ISNUMBER(INDEX(상세표[시작],$Q1451)),TEXT(INDEX(상세표[시작],$Q1451),"yyyy-mm-dd hh:mm"),INDEX(상세표[시작],$Q1451)&amp;""))</f>
        <v/>
      </c>
      <c r="G1451">
        <f>IF($Q1451="","",IF(ISNUMBER(INDEX(상세표[블록종료],$Q1451)),TEXT(INDEX(상세표[블록종료],$Q1451),"yyyy-mm-dd hh:mm"),INDEX(상세표[블록종료],$Q1451)&amp;""))</f>
        <v/>
      </c>
      <c r="H1451">
        <f>IF($Q1451="","",CHOOSE(WEEKDAY(INDEX(상세표[시작],$Q1451)),"일","월","화","수","목","금","토"))</f>
        <v/>
      </c>
      <c r="I1451" s="20">
        <f>IF($Q1451="","",INDEX(상세표[연속 시간],$Q1451))</f>
        <v/>
      </c>
      <c r="J1451">
        <f>IF($Q1451="","",INDEX(상세표[기록 수],$Q1451))</f>
        <v/>
      </c>
      <c r="K1451" s="20">
        <f>IF($Q1451="","",INDEX(상세표[블록 06~07시],$Q1451))</f>
        <v/>
      </c>
      <c r="L1451" s="20">
        <f>IF($Q1451="","",INDEX(상세표[블록 07~18시],$Q1451))</f>
        <v/>
      </c>
      <c r="M1451" s="20">
        <f>IF($Q1451="","",INDEX(상세표[블록 18~22시],$Q1451))</f>
        <v/>
      </c>
      <c r="N1451" s="20">
        <f>IF($Q1451="","",INDEX(상세표[블록 22~06시],$Q1451))</f>
        <v/>
      </c>
      <c r="O1451">
        <f>IF($Q1451="","",INDEX(상세표[주말·휴일 포함],$Q1451)&amp;"")</f>
        <v/>
      </c>
      <c r="P1451">
        <f>IF($Q1451="","",INDEX(상세표[월 넘김 포함],$Q1451)&amp;"")</f>
        <v/>
      </c>
      <c r="Q1451" s="4">
        <f>IFERROR(MATCH(1446,상세표[연속순번],0),"")</f>
        <v/>
      </c>
    </row>
    <row r="1452">
      <c r="A1452">
        <f>IF($Q1452="","",INDEX(상세표[부서],$Q1452)&amp;"")</f>
        <v/>
      </c>
      <c r="B1452">
        <f>IF($Q1452="","",INDEX(상세표[사번],$Q1452)&amp;"")</f>
        <v/>
      </c>
      <c r="C1452">
        <f>IF($Q1452="","",INDEX(상세표[성명],$Q1452)&amp;"")</f>
        <v/>
      </c>
      <c r="D1452">
        <f>IF($Q1452="","",INDEX(상세표[직위],$Q1452)&amp;"")</f>
        <v/>
      </c>
      <c r="E1452">
        <f>IF($Q1452="","",IF(ISNUMBER(INDEX(상세표[근무일자],$Q1452)),TEXT(INDEX(상세표[근무일자],$Q1452),"yyyy-mm-dd"),INDEX(상세표[근무일자],$Q1452)&amp;""))</f>
        <v/>
      </c>
      <c r="F1452">
        <f>IF($Q1452="","",IF(ISNUMBER(INDEX(상세표[시작],$Q1452)),TEXT(INDEX(상세표[시작],$Q1452),"yyyy-mm-dd hh:mm"),INDEX(상세표[시작],$Q1452)&amp;""))</f>
        <v/>
      </c>
      <c r="G1452">
        <f>IF($Q1452="","",IF(ISNUMBER(INDEX(상세표[블록종료],$Q1452)),TEXT(INDEX(상세표[블록종료],$Q1452),"yyyy-mm-dd hh:mm"),INDEX(상세표[블록종료],$Q1452)&amp;""))</f>
        <v/>
      </c>
      <c r="H1452">
        <f>IF($Q1452="","",CHOOSE(WEEKDAY(INDEX(상세표[시작],$Q1452)),"일","월","화","수","목","금","토"))</f>
        <v/>
      </c>
      <c r="I1452" s="20">
        <f>IF($Q1452="","",INDEX(상세표[연속 시간],$Q1452))</f>
        <v/>
      </c>
      <c r="J1452">
        <f>IF($Q1452="","",INDEX(상세표[기록 수],$Q1452))</f>
        <v/>
      </c>
      <c r="K1452" s="20">
        <f>IF($Q1452="","",INDEX(상세표[블록 06~07시],$Q1452))</f>
        <v/>
      </c>
      <c r="L1452" s="20">
        <f>IF($Q1452="","",INDEX(상세표[블록 07~18시],$Q1452))</f>
        <v/>
      </c>
      <c r="M1452" s="20">
        <f>IF($Q1452="","",INDEX(상세표[블록 18~22시],$Q1452))</f>
        <v/>
      </c>
      <c r="N1452" s="20">
        <f>IF($Q1452="","",INDEX(상세표[블록 22~06시],$Q1452))</f>
        <v/>
      </c>
      <c r="O1452">
        <f>IF($Q1452="","",INDEX(상세표[주말·휴일 포함],$Q1452)&amp;"")</f>
        <v/>
      </c>
      <c r="P1452">
        <f>IF($Q1452="","",INDEX(상세표[월 넘김 포함],$Q1452)&amp;"")</f>
        <v/>
      </c>
      <c r="Q1452" s="4">
        <f>IFERROR(MATCH(1447,상세표[연속순번],0),"")</f>
        <v/>
      </c>
    </row>
    <row r="1453">
      <c r="A1453">
        <f>IF($Q1453="","",INDEX(상세표[부서],$Q1453)&amp;"")</f>
        <v/>
      </c>
      <c r="B1453">
        <f>IF($Q1453="","",INDEX(상세표[사번],$Q1453)&amp;"")</f>
        <v/>
      </c>
      <c r="C1453">
        <f>IF($Q1453="","",INDEX(상세표[성명],$Q1453)&amp;"")</f>
        <v/>
      </c>
      <c r="D1453">
        <f>IF($Q1453="","",INDEX(상세표[직위],$Q1453)&amp;"")</f>
        <v/>
      </c>
      <c r="E1453">
        <f>IF($Q1453="","",IF(ISNUMBER(INDEX(상세표[근무일자],$Q1453)),TEXT(INDEX(상세표[근무일자],$Q1453),"yyyy-mm-dd"),INDEX(상세표[근무일자],$Q1453)&amp;""))</f>
        <v/>
      </c>
      <c r="F1453">
        <f>IF($Q1453="","",IF(ISNUMBER(INDEX(상세표[시작],$Q1453)),TEXT(INDEX(상세표[시작],$Q1453),"yyyy-mm-dd hh:mm"),INDEX(상세표[시작],$Q1453)&amp;""))</f>
        <v/>
      </c>
      <c r="G1453">
        <f>IF($Q1453="","",IF(ISNUMBER(INDEX(상세표[블록종료],$Q1453)),TEXT(INDEX(상세표[블록종료],$Q1453),"yyyy-mm-dd hh:mm"),INDEX(상세표[블록종료],$Q1453)&amp;""))</f>
        <v/>
      </c>
      <c r="H1453">
        <f>IF($Q1453="","",CHOOSE(WEEKDAY(INDEX(상세표[시작],$Q1453)),"일","월","화","수","목","금","토"))</f>
        <v/>
      </c>
      <c r="I1453" s="20">
        <f>IF($Q1453="","",INDEX(상세표[연속 시간],$Q1453))</f>
        <v/>
      </c>
      <c r="J1453">
        <f>IF($Q1453="","",INDEX(상세표[기록 수],$Q1453))</f>
        <v/>
      </c>
      <c r="K1453" s="20">
        <f>IF($Q1453="","",INDEX(상세표[블록 06~07시],$Q1453))</f>
        <v/>
      </c>
      <c r="L1453" s="20">
        <f>IF($Q1453="","",INDEX(상세표[블록 07~18시],$Q1453))</f>
        <v/>
      </c>
      <c r="M1453" s="20">
        <f>IF($Q1453="","",INDEX(상세표[블록 18~22시],$Q1453))</f>
        <v/>
      </c>
      <c r="N1453" s="20">
        <f>IF($Q1453="","",INDEX(상세표[블록 22~06시],$Q1453))</f>
        <v/>
      </c>
      <c r="O1453">
        <f>IF($Q1453="","",INDEX(상세표[주말·휴일 포함],$Q1453)&amp;"")</f>
        <v/>
      </c>
      <c r="P1453">
        <f>IF($Q1453="","",INDEX(상세표[월 넘김 포함],$Q1453)&amp;"")</f>
        <v/>
      </c>
      <c r="Q1453" s="4">
        <f>IFERROR(MATCH(1448,상세표[연속순번],0),"")</f>
        <v/>
      </c>
    </row>
    <row r="1454">
      <c r="A1454">
        <f>IF($Q1454="","",INDEX(상세표[부서],$Q1454)&amp;"")</f>
        <v/>
      </c>
      <c r="B1454">
        <f>IF($Q1454="","",INDEX(상세표[사번],$Q1454)&amp;"")</f>
        <v/>
      </c>
      <c r="C1454">
        <f>IF($Q1454="","",INDEX(상세표[성명],$Q1454)&amp;"")</f>
        <v/>
      </c>
      <c r="D1454">
        <f>IF($Q1454="","",INDEX(상세표[직위],$Q1454)&amp;"")</f>
        <v/>
      </c>
      <c r="E1454">
        <f>IF($Q1454="","",IF(ISNUMBER(INDEX(상세표[근무일자],$Q1454)),TEXT(INDEX(상세표[근무일자],$Q1454),"yyyy-mm-dd"),INDEX(상세표[근무일자],$Q1454)&amp;""))</f>
        <v/>
      </c>
      <c r="F1454">
        <f>IF($Q1454="","",IF(ISNUMBER(INDEX(상세표[시작],$Q1454)),TEXT(INDEX(상세표[시작],$Q1454),"yyyy-mm-dd hh:mm"),INDEX(상세표[시작],$Q1454)&amp;""))</f>
        <v/>
      </c>
      <c r="G1454">
        <f>IF($Q1454="","",IF(ISNUMBER(INDEX(상세표[블록종료],$Q1454)),TEXT(INDEX(상세표[블록종료],$Q1454),"yyyy-mm-dd hh:mm"),INDEX(상세표[블록종료],$Q1454)&amp;""))</f>
        <v/>
      </c>
      <c r="H1454">
        <f>IF($Q1454="","",CHOOSE(WEEKDAY(INDEX(상세표[시작],$Q1454)),"일","월","화","수","목","금","토"))</f>
        <v/>
      </c>
      <c r="I1454" s="20">
        <f>IF($Q1454="","",INDEX(상세표[연속 시간],$Q1454))</f>
        <v/>
      </c>
      <c r="J1454">
        <f>IF($Q1454="","",INDEX(상세표[기록 수],$Q1454))</f>
        <v/>
      </c>
      <c r="K1454" s="20">
        <f>IF($Q1454="","",INDEX(상세표[블록 06~07시],$Q1454))</f>
        <v/>
      </c>
      <c r="L1454" s="20">
        <f>IF($Q1454="","",INDEX(상세표[블록 07~18시],$Q1454))</f>
        <v/>
      </c>
      <c r="M1454" s="20">
        <f>IF($Q1454="","",INDEX(상세표[블록 18~22시],$Q1454))</f>
        <v/>
      </c>
      <c r="N1454" s="20">
        <f>IF($Q1454="","",INDEX(상세표[블록 22~06시],$Q1454))</f>
        <v/>
      </c>
      <c r="O1454">
        <f>IF($Q1454="","",INDEX(상세표[주말·휴일 포함],$Q1454)&amp;"")</f>
        <v/>
      </c>
      <c r="P1454">
        <f>IF($Q1454="","",INDEX(상세표[월 넘김 포함],$Q1454)&amp;"")</f>
        <v/>
      </c>
      <c r="Q1454" s="4">
        <f>IFERROR(MATCH(1449,상세표[연속순번],0),"")</f>
        <v/>
      </c>
    </row>
    <row r="1455">
      <c r="A1455">
        <f>IF($Q1455="","",INDEX(상세표[부서],$Q1455)&amp;"")</f>
        <v/>
      </c>
      <c r="B1455">
        <f>IF($Q1455="","",INDEX(상세표[사번],$Q1455)&amp;"")</f>
        <v/>
      </c>
      <c r="C1455">
        <f>IF($Q1455="","",INDEX(상세표[성명],$Q1455)&amp;"")</f>
        <v/>
      </c>
      <c r="D1455">
        <f>IF($Q1455="","",INDEX(상세표[직위],$Q1455)&amp;"")</f>
        <v/>
      </c>
      <c r="E1455">
        <f>IF($Q1455="","",IF(ISNUMBER(INDEX(상세표[근무일자],$Q1455)),TEXT(INDEX(상세표[근무일자],$Q1455),"yyyy-mm-dd"),INDEX(상세표[근무일자],$Q1455)&amp;""))</f>
        <v/>
      </c>
      <c r="F1455">
        <f>IF($Q1455="","",IF(ISNUMBER(INDEX(상세표[시작],$Q1455)),TEXT(INDEX(상세표[시작],$Q1455),"yyyy-mm-dd hh:mm"),INDEX(상세표[시작],$Q1455)&amp;""))</f>
        <v/>
      </c>
      <c r="G1455">
        <f>IF($Q1455="","",IF(ISNUMBER(INDEX(상세표[블록종료],$Q1455)),TEXT(INDEX(상세표[블록종료],$Q1455),"yyyy-mm-dd hh:mm"),INDEX(상세표[블록종료],$Q1455)&amp;""))</f>
        <v/>
      </c>
      <c r="H1455">
        <f>IF($Q1455="","",CHOOSE(WEEKDAY(INDEX(상세표[시작],$Q1455)),"일","월","화","수","목","금","토"))</f>
        <v/>
      </c>
      <c r="I1455" s="20">
        <f>IF($Q1455="","",INDEX(상세표[연속 시간],$Q1455))</f>
        <v/>
      </c>
      <c r="J1455">
        <f>IF($Q1455="","",INDEX(상세표[기록 수],$Q1455))</f>
        <v/>
      </c>
      <c r="K1455" s="20">
        <f>IF($Q1455="","",INDEX(상세표[블록 06~07시],$Q1455))</f>
        <v/>
      </c>
      <c r="L1455" s="20">
        <f>IF($Q1455="","",INDEX(상세표[블록 07~18시],$Q1455))</f>
        <v/>
      </c>
      <c r="M1455" s="20">
        <f>IF($Q1455="","",INDEX(상세표[블록 18~22시],$Q1455))</f>
        <v/>
      </c>
      <c r="N1455" s="20">
        <f>IF($Q1455="","",INDEX(상세표[블록 22~06시],$Q1455))</f>
        <v/>
      </c>
      <c r="O1455">
        <f>IF($Q1455="","",INDEX(상세표[주말·휴일 포함],$Q1455)&amp;"")</f>
        <v/>
      </c>
      <c r="P1455">
        <f>IF($Q1455="","",INDEX(상세표[월 넘김 포함],$Q1455)&amp;"")</f>
        <v/>
      </c>
      <c r="Q1455" s="4">
        <f>IFERROR(MATCH(1450,상세표[연속순번],0),"")</f>
        <v/>
      </c>
    </row>
    <row r="1456">
      <c r="A1456">
        <f>IF($Q1456="","",INDEX(상세표[부서],$Q1456)&amp;"")</f>
        <v/>
      </c>
      <c r="B1456">
        <f>IF($Q1456="","",INDEX(상세표[사번],$Q1456)&amp;"")</f>
        <v/>
      </c>
      <c r="C1456">
        <f>IF($Q1456="","",INDEX(상세표[성명],$Q1456)&amp;"")</f>
        <v/>
      </c>
      <c r="D1456">
        <f>IF($Q1456="","",INDEX(상세표[직위],$Q1456)&amp;"")</f>
        <v/>
      </c>
      <c r="E1456">
        <f>IF($Q1456="","",IF(ISNUMBER(INDEX(상세표[근무일자],$Q1456)),TEXT(INDEX(상세표[근무일자],$Q1456),"yyyy-mm-dd"),INDEX(상세표[근무일자],$Q1456)&amp;""))</f>
        <v/>
      </c>
      <c r="F1456">
        <f>IF($Q1456="","",IF(ISNUMBER(INDEX(상세표[시작],$Q1456)),TEXT(INDEX(상세표[시작],$Q1456),"yyyy-mm-dd hh:mm"),INDEX(상세표[시작],$Q1456)&amp;""))</f>
        <v/>
      </c>
      <c r="G1456">
        <f>IF($Q1456="","",IF(ISNUMBER(INDEX(상세표[블록종료],$Q1456)),TEXT(INDEX(상세표[블록종료],$Q1456),"yyyy-mm-dd hh:mm"),INDEX(상세표[블록종료],$Q1456)&amp;""))</f>
        <v/>
      </c>
      <c r="H1456">
        <f>IF($Q1456="","",CHOOSE(WEEKDAY(INDEX(상세표[시작],$Q1456)),"일","월","화","수","목","금","토"))</f>
        <v/>
      </c>
      <c r="I1456" s="20">
        <f>IF($Q1456="","",INDEX(상세표[연속 시간],$Q1456))</f>
        <v/>
      </c>
      <c r="J1456">
        <f>IF($Q1456="","",INDEX(상세표[기록 수],$Q1456))</f>
        <v/>
      </c>
      <c r="K1456" s="20">
        <f>IF($Q1456="","",INDEX(상세표[블록 06~07시],$Q1456))</f>
        <v/>
      </c>
      <c r="L1456" s="20">
        <f>IF($Q1456="","",INDEX(상세표[블록 07~18시],$Q1456))</f>
        <v/>
      </c>
      <c r="M1456" s="20">
        <f>IF($Q1456="","",INDEX(상세표[블록 18~22시],$Q1456))</f>
        <v/>
      </c>
      <c r="N1456" s="20">
        <f>IF($Q1456="","",INDEX(상세표[블록 22~06시],$Q1456))</f>
        <v/>
      </c>
      <c r="O1456">
        <f>IF($Q1456="","",INDEX(상세표[주말·휴일 포함],$Q1456)&amp;"")</f>
        <v/>
      </c>
      <c r="P1456">
        <f>IF($Q1456="","",INDEX(상세표[월 넘김 포함],$Q1456)&amp;"")</f>
        <v/>
      </c>
      <c r="Q1456" s="4">
        <f>IFERROR(MATCH(1451,상세표[연속순번],0),"")</f>
        <v/>
      </c>
    </row>
    <row r="1457">
      <c r="A1457">
        <f>IF($Q1457="","",INDEX(상세표[부서],$Q1457)&amp;"")</f>
        <v/>
      </c>
      <c r="B1457">
        <f>IF($Q1457="","",INDEX(상세표[사번],$Q1457)&amp;"")</f>
        <v/>
      </c>
      <c r="C1457">
        <f>IF($Q1457="","",INDEX(상세표[성명],$Q1457)&amp;"")</f>
        <v/>
      </c>
      <c r="D1457">
        <f>IF($Q1457="","",INDEX(상세표[직위],$Q1457)&amp;"")</f>
        <v/>
      </c>
      <c r="E1457">
        <f>IF($Q1457="","",IF(ISNUMBER(INDEX(상세표[근무일자],$Q1457)),TEXT(INDEX(상세표[근무일자],$Q1457),"yyyy-mm-dd"),INDEX(상세표[근무일자],$Q1457)&amp;""))</f>
        <v/>
      </c>
      <c r="F1457">
        <f>IF($Q1457="","",IF(ISNUMBER(INDEX(상세표[시작],$Q1457)),TEXT(INDEX(상세표[시작],$Q1457),"yyyy-mm-dd hh:mm"),INDEX(상세표[시작],$Q1457)&amp;""))</f>
        <v/>
      </c>
      <c r="G1457">
        <f>IF($Q1457="","",IF(ISNUMBER(INDEX(상세표[블록종료],$Q1457)),TEXT(INDEX(상세표[블록종료],$Q1457),"yyyy-mm-dd hh:mm"),INDEX(상세표[블록종료],$Q1457)&amp;""))</f>
        <v/>
      </c>
      <c r="H1457">
        <f>IF($Q1457="","",CHOOSE(WEEKDAY(INDEX(상세표[시작],$Q1457)),"일","월","화","수","목","금","토"))</f>
        <v/>
      </c>
      <c r="I1457" s="20">
        <f>IF($Q1457="","",INDEX(상세표[연속 시간],$Q1457))</f>
        <v/>
      </c>
      <c r="J1457">
        <f>IF($Q1457="","",INDEX(상세표[기록 수],$Q1457))</f>
        <v/>
      </c>
      <c r="K1457" s="20">
        <f>IF($Q1457="","",INDEX(상세표[블록 06~07시],$Q1457))</f>
        <v/>
      </c>
      <c r="L1457" s="20">
        <f>IF($Q1457="","",INDEX(상세표[블록 07~18시],$Q1457))</f>
        <v/>
      </c>
      <c r="M1457" s="20">
        <f>IF($Q1457="","",INDEX(상세표[블록 18~22시],$Q1457))</f>
        <v/>
      </c>
      <c r="N1457" s="20">
        <f>IF($Q1457="","",INDEX(상세표[블록 22~06시],$Q1457))</f>
        <v/>
      </c>
      <c r="O1457">
        <f>IF($Q1457="","",INDEX(상세표[주말·휴일 포함],$Q1457)&amp;"")</f>
        <v/>
      </c>
      <c r="P1457">
        <f>IF($Q1457="","",INDEX(상세표[월 넘김 포함],$Q1457)&amp;"")</f>
        <v/>
      </c>
      <c r="Q1457" s="4">
        <f>IFERROR(MATCH(1452,상세표[연속순번],0),"")</f>
        <v/>
      </c>
    </row>
    <row r="1458">
      <c r="A1458">
        <f>IF($Q1458="","",INDEX(상세표[부서],$Q1458)&amp;"")</f>
        <v/>
      </c>
      <c r="B1458">
        <f>IF($Q1458="","",INDEX(상세표[사번],$Q1458)&amp;"")</f>
        <v/>
      </c>
      <c r="C1458">
        <f>IF($Q1458="","",INDEX(상세표[성명],$Q1458)&amp;"")</f>
        <v/>
      </c>
      <c r="D1458">
        <f>IF($Q1458="","",INDEX(상세표[직위],$Q1458)&amp;"")</f>
        <v/>
      </c>
      <c r="E1458">
        <f>IF($Q1458="","",IF(ISNUMBER(INDEX(상세표[근무일자],$Q1458)),TEXT(INDEX(상세표[근무일자],$Q1458),"yyyy-mm-dd"),INDEX(상세표[근무일자],$Q1458)&amp;""))</f>
        <v/>
      </c>
      <c r="F1458">
        <f>IF($Q1458="","",IF(ISNUMBER(INDEX(상세표[시작],$Q1458)),TEXT(INDEX(상세표[시작],$Q1458),"yyyy-mm-dd hh:mm"),INDEX(상세표[시작],$Q1458)&amp;""))</f>
        <v/>
      </c>
      <c r="G1458">
        <f>IF($Q1458="","",IF(ISNUMBER(INDEX(상세표[블록종료],$Q1458)),TEXT(INDEX(상세표[블록종료],$Q1458),"yyyy-mm-dd hh:mm"),INDEX(상세표[블록종료],$Q1458)&amp;""))</f>
        <v/>
      </c>
      <c r="H1458">
        <f>IF($Q1458="","",CHOOSE(WEEKDAY(INDEX(상세표[시작],$Q1458)),"일","월","화","수","목","금","토"))</f>
        <v/>
      </c>
      <c r="I1458" s="20">
        <f>IF($Q1458="","",INDEX(상세표[연속 시간],$Q1458))</f>
        <v/>
      </c>
      <c r="J1458">
        <f>IF($Q1458="","",INDEX(상세표[기록 수],$Q1458))</f>
        <v/>
      </c>
      <c r="K1458" s="20">
        <f>IF($Q1458="","",INDEX(상세표[블록 06~07시],$Q1458))</f>
        <v/>
      </c>
      <c r="L1458" s="20">
        <f>IF($Q1458="","",INDEX(상세표[블록 07~18시],$Q1458))</f>
        <v/>
      </c>
      <c r="M1458" s="20">
        <f>IF($Q1458="","",INDEX(상세표[블록 18~22시],$Q1458))</f>
        <v/>
      </c>
      <c r="N1458" s="20">
        <f>IF($Q1458="","",INDEX(상세표[블록 22~06시],$Q1458))</f>
        <v/>
      </c>
      <c r="O1458">
        <f>IF($Q1458="","",INDEX(상세표[주말·휴일 포함],$Q1458)&amp;"")</f>
        <v/>
      </c>
      <c r="P1458">
        <f>IF($Q1458="","",INDEX(상세표[월 넘김 포함],$Q1458)&amp;"")</f>
        <v/>
      </c>
      <c r="Q1458" s="4">
        <f>IFERROR(MATCH(1453,상세표[연속순번],0),"")</f>
        <v/>
      </c>
    </row>
    <row r="1459">
      <c r="A1459">
        <f>IF($Q1459="","",INDEX(상세표[부서],$Q1459)&amp;"")</f>
        <v/>
      </c>
      <c r="B1459">
        <f>IF($Q1459="","",INDEX(상세표[사번],$Q1459)&amp;"")</f>
        <v/>
      </c>
      <c r="C1459">
        <f>IF($Q1459="","",INDEX(상세표[성명],$Q1459)&amp;"")</f>
        <v/>
      </c>
      <c r="D1459">
        <f>IF($Q1459="","",INDEX(상세표[직위],$Q1459)&amp;"")</f>
        <v/>
      </c>
      <c r="E1459">
        <f>IF($Q1459="","",IF(ISNUMBER(INDEX(상세표[근무일자],$Q1459)),TEXT(INDEX(상세표[근무일자],$Q1459),"yyyy-mm-dd"),INDEX(상세표[근무일자],$Q1459)&amp;""))</f>
        <v/>
      </c>
      <c r="F1459">
        <f>IF($Q1459="","",IF(ISNUMBER(INDEX(상세표[시작],$Q1459)),TEXT(INDEX(상세표[시작],$Q1459),"yyyy-mm-dd hh:mm"),INDEX(상세표[시작],$Q1459)&amp;""))</f>
        <v/>
      </c>
      <c r="G1459">
        <f>IF($Q1459="","",IF(ISNUMBER(INDEX(상세표[블록종료],$Q1459)),TEXT(INDEX(상세표[블록종료],$Q1459),"yyyy-mm-dd hh:mm"),INDEX(상세표[블록종료],$Q1459)&amp;""))</f>
        <v/>
      </c>
      <c r="H1459">
        <f>IF($Q1459="","",CHOOSE(WEEKDAY(INDEX(상세표[시작],$Q1459)),"일","월","화","수","목","금","토"))</f>
        <v/>
      </c>
      <c r="I1459" s="20">
        <f>IF($Q1459="","",INDEX(상세표[연속 시간],$Q1459))</f>
        <v/>
      </c>
      <c r="J1459">
        <f>IF($Q1459="","",INDEX(상세표[기록 수],$Q1459))</f>
        <v/>
      </c>
      <c r="K1459" s="20">
        <f>IF($Q1459="","",INDEX(상세표[블록 06~07시],$Q1459))</f>
        <v/>
      </c>
      <c r="L1459" s="20">
        <f>IF($Q1459="","",INDEX(상세표[블록 07~18시],$Q1459))</f>
        <v/>
      </c>
      <c r="M1459" s="20">
        <f>IF($Q1459="","",INDEX(상세표[블록 18~22시],$Q1459))</f>
        <v/>
      </c>
      <c r="N1459" s="20">
        <f>IF($Q1459="","",INDEX(상세표[블록 22~06시],$Q1459))</f>
        <v/>
      </c>
      <c r="O1459">
        <f>IF($Q1459="","",INDEX(상세표[주말·휴일 포함],$Q1459)&amp;"")</f>
        <v/>
      </c>
      <c r="P1459">
        <f>IF($Q1459="","",INDEX(상세표[월 넘김 포함],$Q1459)&amp;"")</f>
        <v/>
      </c>
      <c r="Q1459" s="4">
        <f>IFERROR(MATCH(1454,상세표[연속순번],0),"")</f>
        <v/>
      </c>
    </row>
    <row r="1460">
      <c r="A1460">
        <f>IF($Q1460="","",INDEX(상세표[부서],$Q1460)&amp;"")</f>
        <v/>
      </c>
      <c r="B1460">
        <f>IF($Q1460="","",INDEX(상세표[사번],$Q1460)&amp;"")</f>
        <v/>
      </c>
      <c r="C1460">
        <f>IF($Q1460="","",INDEX(상세표[성명],$Q1460)&amp;"")</f>
        <v/>
      </c>
      <c r="D1460">
        <f>IF($Q1460="","",INDEX(상세표[직위],$Q1460)&amp;"")</f>
        <v/>
      </c>
      <c r="E1460">
        <f>IF($Q1460="","",IF(ISNUMBER(INDEX(상세표[근무일자],$Q1460)),TEXT(INDEX(상세표[근무일자],$Q1460),"yyyy-mm-dd"),INDEX(상세표[근무일자],$Q1460)&amp;""))</f>
        <v/>
      </c>
      <c r="F1460">
        <f>IF($Q1460="","",IF(ISNUMBER(INDEX(상세표[시작],$Q1460)),TEXT(INDEX(상세표[시작],$Q1460),"yyyy-mm-dd hh:mm"),INDEX(상세표[시작],$Q1460)&amp;""))</f>
        <v/>
      </c>
      <c r="G1460">
        <f>IF($Q1460="","",IF(ISNUMBER(INDEX(상세표[블록종료],$Q1460)),TEXT(INDEX(상세표[블록종료],$Q1460),"yyyy-mm-dd hh:mm"),INDEX(상세표[블록종료],$Q1460)&amp;""))</f>
        <v/>
      </c>
      <c r="H1460">
        <f>IF($Q1460="","",CHOOSE(WEEKDAY(INDEX(상세표[시작],$Q1460)),"일","월","화","수","목","금","토"))</f>
        <v/>
      </c>
      <c r="I1460" s="20">
        <f>IF($Q1460="","",INDEX(상세표[연속 시간],$Q1460))</f>
        <v/>
      </c>
      <c r="J1460">
        <f>IF($Q1460="","",INDEX(상세표[기록 수],$Q1460))</f>
        <v/>
      </c>
      <c r="K1460" s="20">
        <f>IF($Q1460="","",INDEX(상세표[블록 06~07시],$Q1460))</f>
        <v/>
      </c>
      <c r="L1460" s="20">
        <f>IF($Q1460="","",INDEX(상세표[블록 07~18시],$Q1460))</f>
        <v/>
      </c>
      <c r="M1460" s="20">
        <f>IF($Q1460="","",INDEX(상세표[블록 18~22시],$Q1460))</f>
        <v/>
      </c>
      <c r="N1460" s="20">
        <f>IF($Q1460="","",INDEX(상세표[블록 22~06시],$Q1460))</f>
        <v/>
      </c>
      <c r="O1460">
        <f>IF($Q1460="","",INDEX(상세표[주말·휴일 포함],$Q1460)&amp;"")</f>
        <v/>
      </c>
      <c r="P1460">
        <f>IF($Q1460="","",INDEX(상세표[월 넘김 포함],$Q1460)&amp;"")</f>
        <v/>
      </c>
      <c r="Q1460" s="4">
        <f>IFERROR(MATCH(1455,상세표[연속순번],0),"")</f>
        <v/>
      </c>
    </row>
    <row r="1461">
      <c r="A1461">
        <f>IF($Q1461="","",INDEX(상세표[부서],$Q1461)&amp;"")</f>
        <v/>
      </c>
      <c r="B1461">
        <f>IF($Q1461="","",INDEX(상세표[사번],$Q1461)&amp;"")</f>
        <v/>
      </c>
      <c r="C1461">
        <f>IF($Q1461="","",INDEX(상세표[성명],$Q1461)&amp;"")</f>
        <v/>
      </c>
      <c r="D1461">
        <f>IF($Q1461="","",INDEX(상세표[직위],$Q1461)&amp;"")</f>
        <v/>
      </c>
      <c r="E1461">
        <f>IF($Q1461="","",IF(ISNUMBER(INDEX(상세표[근무일자],$Q1461)),TEXT(INDEX(상세표[근무일자],$Q1461),"yyyy-mm-dd"),INDEX(상세표[근무일자],$Q1461)&amp;""))</f>
        <v/>
      </c>
      <c r="F1461">
        <f>IF($Q1461="","",IF(ISNUMBER(INDEX(상세표[시작],$Q1461)),TEXT(INDEX(상세표[시작],$Q1461),"yyyy-mm-dd hh:mm"),INDEX(상세표[시작],$Q1461)&amp;""))</f>
        <v/>
      </c>
      <c r="G1461">
        <f>IF($Q1461="","",IF(ISNUMBER(INDEX(상세표[블록종료],$Q1461)),TEXT(INDEX(상세표[블록종료],$Q1461),"yyyy-mm-dd hh:mm"),INDEX(상세표[블록종료],$Q1461)&amp;""))</f>
        <v/>
      </c>
      <c r="H1461">
        <f>IF($Q1461="","",CHOOSE(WEEKDAY(INDEX(상세표[시작],$Q1461)),"일","월","화","수","목","금","토"))</f>
        <v/>
      </c>
      <c r="I1461" s="20">
        <f>IF($Q1461="","",INDEX(상세표[연속 시간],$Q1461))</f>
        <v/>
      </c>
      <c r="J1461">
        <f>IF($Q1461="","",INDEX(상세표[기록 수],$Q1461))</f>
        <v/>
      </c>
      <c r="K1461" s="20">
        <f>IF($Q1461="","",INDEX(상세표[블록 06~07시],$Q1461))</f>
        <v/>
      </c>
      <c r="L1461" s="20">
        <f>IF($Q1461="","",INDEX(상세표[블록 07~18시],$Q1461))</f>
        <v/>
      </c>
      <c r="M1461" s="20">
        <f>IF($Q1461="","",INDEX(상세표[블록 18~22시],$Q1461))</f>
        <v/>
      </c>
      <c r="N1461" s="20">
        <f>IF($Q1461="","",INDEX(상세표[블록 22~06시],$Q1461))</f>
        <v/>
      </c>
      <c r="O1461">
        <f>IF($Q1461="","",INDEX(상세표[주말·휴일 포함],$Q1461)&amp;"")</f>
        <v/>
      </c>
      <c r="P1461">
        <f>IF($Q1461="","",INDEX(상세표[월 넘김 포함],$Q1461)&amp;"")</f>
        <v/>
      </c>
      <c r="Q1461" s="4">
        <f>IFERROR(MATCH(1456,상세표[연속순번],0),"")</f>
        <v/>
      </c>
    </row>
    <row r="1462">
      <c r="A1462">
        <f>IF($Q1462="","",INDEX(상세표[부서],$Q1462)&amp;"")</f>
        <v/>
      </c>
      <c r="B1462">
        <f>IF($Q1462="","",INDEX(상세표[사번],$Q1462)&amp;"")</f>
        <v/>
      </c>
      <c r="C1462">
        <f>IF($Q1462="","",INDEX(상세표[성명],$Q1462)&amp;"")</f>
        <v/>
      </c>
      <c r="D1462">
        <f>IF($Q1462="","",INDEX(상세표[직위],$Q1462)&amp;"")</f>
        <v/>
      </c>
      <c r="E1462">
        <f>IF($Q1462="","",IF(ISNUMBER(INDEX(상세표[근무일자],$Q1462)),TEXT(INDEX(상세표[근무일자],$Q1462),"yyyy-mm-dd"),INDEX(상세표[근무일자],$Q1462)&amp;""))</f>
        <v/>
      </c>
      <c r="F1462">
        <f>IF($Q1462="","",IF(ISNUMBER(INDEX(상세표[시작],$Q1462)),TEXT(INDEX(상세표[시작],$Q1462),"yyyy-mm-dd hh:mm"),INDEX(상세표[시작],$Q1462)&amp;""))</f>
        <v/>
      </c>
      <c r="G1462">
        <f>IF($Q1462="","",IF(ISNUMBER(INDEX(상세표[블록종료],$Q1462)),TEXT(INDEX(상세표[블록종료],$Q1462),"yyyy-mm-dd hh:mm"),INDEX(상세표[블록종료],$Q1462)&amp;""))</f>
        <v/>
      </c>
      <c r="H1462">
        <f>IF($Q1462="","",CHOOSE(WEEKDAY(INDEX(상세표[시작],$Q1462)),"일","월","화","수","목","금","토"))</f>
        <v/>
      </c>
      <c r="I1462" s="20">
        <f>IF($Q1462="","",INDEX(상세표[연속 시간],$Q1462))</f>
        <v/>
      </c>
      <c r="J1462">
        <f>IF($Q1462="","",INDEX(상세표[기록 수],$Q1462))</f>
        <v/>
      </c>
      <c r="K1462" s="20">
        <f>IF($Q1462="","",INDEX(상세표[블록 06~07시],$Q1462))</f>
        <v/>
      </c>
      <c r="L1462" s="20">
        <f>IF($Q1462="","",INDEX(상세표[블록 07~18시],$Q1462))</f>
        <v/>
      </c>
      <c r="M1462" s="20">
        <f>IF($Q1462="","",INDEX(상세표[블록 18~22시],$Q1462))</f>
        <v/>
      </c>
      <c r="N1462" s="20">
        <f>IF($Q1462="","",INDEX(상세표[블록 22~06시],$Q1462))</f>
        <v/>
      </c>
      <c r="O1462">
        <f>IF($Q1462="","",INDEX(상세표[주말·휴일 포함],$Q1462)&amp;"")</f>
        <v/>
      </c>
      <c r="P1462">
        <f>IF($Q1462="","",INDEX(상세표[월 넘김 포함],$Q1462)&amp;"")</f>
        <v/>
      </c>
      <c r="Q1462" s="4">
        <f>IFERROR(MATCH(1457,상세표[연속순번],0),"")</f>
        <v/>
      </c>
    </row>
    <row r="1463">
      <c r="A1463">
        <f>IF($Q1463="","",INDEX(상세표[부서],$Q1463)&amp;"")</f>
        <v/>
      </c>
      <c r="B1463">
        <f>IF($Q1463="","",INDEX(상세표[사번],$Q1463)&amp;"")</f>
        <v/>
      </c>
      <c r="C1463">
        <f>IF($Q1463="","",INDEX(상세표[성명],$Q1463)&amp;"")</f>
        <v/>
      </c>
      <c r="D1463">
        <f>IF($Q1463="","",INDEX(상세표[직위],$Q1463)&amp;"")</f>
        <v/>
      </c>
      <c r="E1463">
        <f>IF($Q1463="","",IF(ISNUMBER(INDEX(상세표[근무일자],$Q1463)),TEXT(INDEX(상세표[근무일자],$Q1463),"yyyy-mm-dd"),INDEX(상세표[근무일자],$Q1463)&amp;""))</f>
        <v/>
      </c>
      <c r="F1463">
        <f>IF($Q1463="","",IF(ISNUMBER(INDEX(상세표[시작],$Q1463)),TEXT(INDEX(상세표[시작],$Q1463),"yyyy-mm-dd hh:mm"),INDEX(상세표[시작],$Q1463)&amp;""))</f>
        <v/>
      </c>
      <c r="G1463">
        <f>IF($Q1463="","",IF(ISNUMBER(INDEX(상세표[블록종료],$Q1463)),TEXT(INDEX(상세표[블록종료],$Q1463),"yyyy-mm-dd hh:mm"),INDEX(상세표[블록종료],$Q1463)&amp;""))</f>
        <v/>
      </c>
      <c r="H1463">
        <f>IF($Q1463="","",CHOOSE(WEEKDAY(INDEX(상세표[시작],$Q1463)),"일","월","화","수","목","금","토"))</f>
        <v/>
      </c>
      <c r="I1463" s="20">
        <f>IF($Q1463="","",INDEX(상세표[연속 시간],$Q1463))</f>
        <v/>
      </c>
      <c r="J1463">
        <f>IF($Q1463="","",INDEX(상세표[기록 수],$Q1463))</f>
        <v/>
      </c>
      <c r="K1463" s="20">
        <f>IF($Q1463="","",INDEX(상세표[블록 06~07시],$Q1463))</f>
        <v/>
      </c>
      <c r="L1463" s="20">
        <f>IF($Q1463="","",INDEX(상세표[블록 07~18시],$Q1463))</f>
        <v/>
      </c>
      <c r="M1463" s="20">
        <f>IF($Q1463="","",INDEX(상세표[블록 18~22시],$Q1463))</f>
        <v/>
      </c>
      <c r="N1463" s="20">
        <f>IF($Q1463="","",INDEX(상세표[블록 22~06시],$Q1463))</f>
        <v/>
      </c>
      <c r="O1463">
        <f>IF($Q1463="","",INDEX(상세표[주말·휴일 포함],$Q1463)&amp;"")</f>
        <v/>
      </c>
      <c r="P1463">
        <f>IF($Q1463="","",INDEX(상세표[월 넘김 포함],$Q1463)&amp;"")</f>
        <v/>
      </c>
      <c r="Q1463" s="4">
        <f>IFERROR(MATCH(1458,상세표[연속순번],0),"")</f>
        <v/>
      </c>
    </row>
    <row r="1464">
      <c r="A1464">
        <f>IF($Q1464="","",INDEX(상세표[부서],$Q1464)&amp;"")</f>
        <v/>
      </c>
      <c r="B1464">
        <f>IF($Q1464="","",INDEX(상세표[사번],$Q1464)&amp;"")</f>
        <v/>
      </c>
      <c r="C1464">
        <f>IF($Q1464="","",INDEX(상세표[성명],$Q1464)&amp;"")</f>
        <v/>
      </c>
      <c r="D1464">
        <f>IF($Q1464="","",INDEX(상세표[직위],$Q1464)&amp;"")</f>
        <v/>
      </c>
      <c r="E1464">
        <f>IF($Q1464="","",IF(ISNUMBER(INDEX(상세표[근무일자],$Q1464)),TEXT(INDEX(상세표[근무일자],$Q1464),"yyyy-mm-dd"),INDEX(상세표[근무일자],$Q1464)&amp;""))</f>
        <v/>
      </c>
      <c r="F1464">
        <f>IF($Q1464="","",IF(ISNUMBER(INDEX(상세표[시작],$Q1464)),TEXT(INDEX(상세표[시작],$Q1464),"yyyy-mm-dd hh:mm"),INDEX(상세표[시작],$Q1464)&amp;""))</f>
        <v/>
      </c>
      <c r="G1464">
        <f>IF($Q1464="","",IF(ISNUMBER(INDEX(상세표[블록종료],$Q1464)),TEXT(INDEX(상세표[블록종료],$Q1464),"yyyy-mm-dd hh:mm"),INDEX(상세표[블록종료],$Q1464)&amp;""))</f>
        <v/>
      </c>
      <c r="H1464">
        <f>IF($Q1464="","",CHOOSE(WEEKDAY(INDEX(상세표[시작],$Q1464)),"일","월","화","수","목","금","토"))</f>
        <v/>
      </c>
      <c r="I1464" s="20">
        <f>IF($Q1464="","",INDEX(상세표[연속 시간],$Q1464))</f>
        <v/>
      </c>
      <c r="J1464">
        <f>IF($Q1464="","",INDEX(상세표[기록 수],$Q1464))</f>
        <v/>
      </c>
      <c r="K1464" s="20">
        <f>IF($Q1464="","",INDEX(상세표[블록 06~07시],$Q1464))</f>
        <v/>
      </c>
      <c r="L1464" s="20">
        <f>IF($Q1464="","",INDEX(상세표[블록 07~18시],$Q1464))</f>
        <v/>
      </c>
      <c r="M1464" s="20">
        <f>IF($Q1464="","",INDEX(상세표[블록 18~22시],$Q1464))</f>
        <v/>
      </c>
      <c r="N1464" s="20">
        <f>IF($Q1464="","",INDEX(상세표[블록 22~06시],$Q1464))</f>
        <v/>
      </c>
      <c r="O1464">
        <f>IF($Q1464="","",INDEX(상세표[주말·휴일 포함],$Q1464)&amp;"")</f>
        <v/>
      </c>
      <c r="P1464">
        <f>IF($Q1464="","",INDEX(상세표[월 넘김 포함],$Q1464)&amp;"")</f>
        <v/>
      </c>
      <c r="Q1464" s="4">
        <f>IFERROR(MATCH(1459,상세표[연속순번],0),"")</f>
        <v/>
      </c>
    </row>
    <row r="1465">
      <c r="A1465">
        <f>IF($Q1465="","",INDEX(상세표[부서],$Q1465)&amp;"")</f>
        <v/>
      </c>
      <c r="B1465">
        <f>IF($Q1465="","",INDEX(상세표[사번],$Q1465)&amp;"")</f>
        <v/>
      </c>
      <c r="C1465">
        <f>IF($Q1465="","",INDEX(상세표[성명],$Q1465)&amp;"")</f>
        <v/>
      </c>
      <c r="D1465">
        <f>IF($Q1465="","",INDEX(상세표[직위],$Q1465)&amp;"")</f>
        <v/>
      </c>
      <c r="E1465">
        <f>IF($Q1465="","",IF(ISNUMBER(INDEX(상세표[근무일자],$Q1465)),TEXT(INDEX(상세표[근무일자],$Q1465),"yyyy-mm-dd"),INDEX(상세표[근무일자],$Q1465)&amp;""))</f>
        <v/>
      </c>
      <c r="F1465">
        <f>IF($Q1465="","",IF(ISNUMBER(INDEX(상세표[시작],$Q1465)),TEXT(INDEX(상세표[시작],$Q1465),"yyyy-mm-dd hh:mm"),INDEX(상세표[시작],$Q1465)&amp;""))</f>
        <v/>
      </c>
      <c r="G1465">
        <f>IF($Q1465="","",IF(ISNUMBER(INDEX(상세표[블록종료],$Q1465)),TEXT(INDEX(상세표[블록종료],$Q1465),"yyyy-mm-dd hh:mm"),INDEX(상세표[블록종료],$Q1465)&amp;""))</f>
        <v/>
      </c>
      <c r="H1465">
        <f>IF($Q1465="","",CHOOSE(WEEKDAY(INDEX(상세표[시작],$Q1465)),"일","월","화","수","목","금","토"))</f>
        <v/>
      </c>
      <c r="I1465" s="20">
        <f>IF($Q1465="","",INDEX(상세표[연속 시간],$Q1465))</f>
        <v/>
      </c>
      <c r="J1465">
        <f>IF($Q1465="","",INDEX(상세표[기록 수],$Q1465))</f>
        <v/>
      </c>
      <c r="K1465" s="20">
        <f>IF($Q1465="","",INDEX(상세표[블록 06~07시],$Q1465))</f>
        <v/>
      </c>
      <c r="L1465" s="20">
        <f>IF($Q1465="","",INDEX(상세표[블록 07~18시],$Q1465))</f>
        <v/>
      </c>
      <c r="M1465" s="20">
        <f>IF($Q1465="","",INDEX(상세표[블록 18~22시],$Q1465))</f>
        <v/>
      </c>
      <c r="N1465" s="20">
        <f>IF($Q1465="","",INDEX(상세표[블록 22~06시],$Q1465))</f>
        <v/>
      </c>
      <c r="O1465">
        <f>IF($Q1465="","",INDEX(상세표[주말·휴일 포함],$Q1465)&amp;"")</f>
        <v/>
      </c>
      <c r="P1465">
        <f>IF($Q1465="","",INDEX(상세표[월 넘김 포함],$Q1465)&amp;"")</f>
        <v/>
      </c>
      <c r="Q1465" s="4">
        <f>IFERROR(MATCH(1460,상세표[연속순번],0),"")</f>
        <v/>
      </c>
    </row>
    <row r="1466">
      <c r="A1466">
        <f>IF($Q1466="","",INDEX(상세표[부서],$Q1466)&amp;"")</f>
        <v/>
      </c>
      <c r="B1466">
        <f>IF($Q1466="","",INDEX(상세표[사번],$Q1466)&amp;"")</f>
        <v/>
      </c>
      <c r="C1466">
        <f>IF($Q1466="","",INDEX(상세표[성명],$Q1466)&amp;"")</f>
        <v/>
      </c>
      <c r="D1466">
        <f>IF($Q1466="","",INDEX(상세표[직위],$Q1466)&amp;"")</f>
        <v/>
      </c>
      <c r="E1466">
        <f>IF($Q1466="","",IF(ISNUMBER(INDEX(상세표[근무일자],$Q1466)),TEXT(INDEX(상세표[근무일자],$Q1466),"yyyy-mm-dd"),INDEX(상세표[근무일자],$Q1466)&amp;""))</f>
        <v/>
      </c>
      <c r="F1466">
        <f>IF($Q1466="","",IF(ISNUMBER(INDEX(상세표[시작],$Q1466)),TEXT(INDEX(상세표[시작],$Q1466),"yyyy-mm-dd hh:mm"),INDEX(상세표[시작],$Q1466)&amp;""))</f>
        <v/>
      </c>
      <c r="G1466">
        <f>IF($Q1466="","",IF(ISNUMBER(INDEX(상세표[블록종료],$Q1466)),TEXT(INDEX(상세표[블록종료],$Q1466),"yyyy-mm-dd hh:mm"),INDEX(상세표[블록종료],$Q1466)&amp;""))</f>
        <v/>
      </c>
      <c r="H1466">
        <f>IF($Q1466="","",CHOOSE(WEEKDAY(INDEX(상세표[시작],$Q1466)),"일","월","화","수","목","금","토"))</f>
        <v/>
      </c>
      <c r="I1466" s="20">
        <f>IF($Q1466="","",INDEX(상세표[연속 시간],$Q1466))</f>
        <v/>
      </c>
      <c r="J1466">
        <f>IF($Q1466="","",INDEX(상세표[기록 수],$Q1466))</f>
        <v/>
      </c>
      <c r="K1466" s="20">
        <f>IF($Q1466="","",INDEX(상세표[블록 06~07시],$Q1466))</f>
        <v/>
      </c>
      <c r="L1466" s="20">
        <f>IF($Q1466="","",INDEX(상세표[블록 07~18시],$Q1466))</f>
        <v/>
      </c>
      <c r="M1466" s="20">
        <f>IF($Q1466="","",INDEX(상세표[블록 18~22시],$Q1466))</f>
        <v/>
      </c>
      <c r="N1466" s="20">
        <f>IF($Q1466="","",INDEX(상세표[블록 22~06시],$Q1466))</f>
        <v/>
      </c>
      <c r="O1466">
        <f>IF($Q1466="","",INDEX(상세표[주말·휴일 포함],$Q1466)&amp;"")</f>
        <v/>
      </c>
      <c r="P1466">
        <f>IF($Q1466="","",INDEX(상세표[월 넘김 포함],$Q1466)&amp;"")</f>
        <v/>
      </c>
      <c r="Q1466" s="4">
        <f>IFERROR(MATCH(1461,상세표[연속순번],0),"")</f>
        <v/>
      </c>
    </row>
    <row r="1467">
      <c r="A1467">
        <f>IF($Q1467="","",INDEX(상세표[부서],$Q1467)&amp;"")</f>
        <v/>
      </c>
      <c r="B1467">
        <f>IF($Q1467="","",INDEX(상세표[사번],$Q1467)&amp;"")</f>
        <v/>
      </c>
      <c r="C1467">
        <f>IF($Q1467="","",INDEX(상세표[성명],$Q1467)&amp;"")</f>
        <v/>
      </c>
      <c r="D1467">
        <f>IF($Q1467="","",INDEX(상세표[직위],$Q1467)&amp;"")</f>
        <v/>
      </c>
      <c r="E1467">
        <f>IF($Q1467="","",IF(ISNUMBER(INDEX(상세표[근무일자],$Q1467)),TEXT(INDEX(상세표[근무일자],$Q1467),"yyyy-mm-dd"),INDEX(상세표[근무일자],$Q1467)&amp;""))</f>
        <v/>
      </c>
      <c r="F1467">
        <f>IF($Q1467="","",IF(ISNUMBER(INDEX(상세표[시작],$Q1467)),TEXT(INDEX(상세표[시작],$Q1467),"yyyy-mm-dd hh:mm"),INDEX(상세표[시작],$Q1467)&amp;""))</f>
        <v/>
      </c>
      <c r="G1467">
        <f>IF($Q1467="","",IF(ISNUMBER(INDEX(상세표[블록종료],$Q1467)),TEXT(INDEX(상세표[블록종료],$Q1467),"yyyy-mm-dd hh:mm"),INDEX(상세표[블록종료],$Q1467)&amp;""))</f>
        <v/>
      </c>
      <c r="H1467">
        <f>IF($Q1467="","",CHOOSE(WEEKDAY(INDEX(상세표[시작],$Q1467)),"일","월","화","수","목","금","토"))</f>
        <v/>
      </c>
      <c r="I1467" s="20">
        <f>IF($Q1467="","",INDEX(상세표[연속 시간],$Q1467))</f>
        <v/>
      </c>
      <c r="J1467">
        <f>IF($Q1467="","",INDEX(상세표[기록 수],$Q1467))</f>
        <v/>
      </c>
      <c r="K1467" s="20">
        <f>IF($Q1467="","",INDEX(상세표[블록 06~07시],$Q1467))</f>
        <v/>
      </c>
      <c r="L1467" s="20">
        <f>IF($Q1467="","",INDEX(상세표[블록 07~18시],$Q1467))</f>
        <v/>
      </c>
      <c r="M1467" s="20">
        <f>IF($Q1467="","",INDEX(상세표[블록 18~22시],$Q1467))</f>
        <v/>
      </c>
      <c r="N1467" s="20">
        <f>IF($Q1467="","",INDEX(상세표[블록 22~06시],$Q1467))</f>
        <v/>
      </c>
      <c r="O1467">
        <f>IF($Q1467="","",INDEX(상세표[주말·휴일 포함],$Q1467)&amp;"")</f>
        <v/>
      </c>
      <c r="P1467">
        <f>IF($Q1467="","",INDEX(상세표[월 넘김 포함],$Q1467)&amp;"")</f>
        <v/>
      </c>
      <c r="Q1467" s="4">
        <f>IFERROR(MATCH(1462,상세표[연속순번],0),"")</f>
        <v/>
      </c>
    </row>
    <row r="1468">
      <c r="A1468">
        <f>IF($Q1468="","",INDEX(상세표[부서],$Q1468)&amp;"")</f>
        <v/>
      </c>
      <c r="B1468">
        <f>IF($Q1468="","",INDEX(상세표[사번],$Q1468)&amp;"")</f>
        <v/>
      </c>
      <c r="C1468">
        <f>IF($Q1468="","",INDEX(상세표[성명],$Q1468)&amp;"")</f>
        <v/>
      </c>
      <c r="D1468">
        <f>IF($Q1468="","",INDEX(상세표[직위],$Q1468)&amp;"")</f>
        <v/>
      </c>
      <c r="E1468">
        <f>IF($Q1468="","",IF(ISNUMBER(INDEX(상세표[근무일자],$Q1468)),TEXT(INDEX(상세표[근무일자],$Q1468),"yyyy-mm-dd"),INDEX(상세표[근무일자],$Q1468)&amp;""))</f>
        <v/>
      </c>
      <c r="F1468">
        <f>IF($Q1468="","",IF(ISNUMBER(INDEX(상세표[시작],$Q1468)),TEXT(INDEX(상세표[시작],$Q1468),"yyyy-mm-dd hh:mm"),INDEX(상세표[시작],$Q1468)&amp;""))</f>
        <v/>
      </c>
      <c r="G1468">
        <f>IF($Q1468="","",IF(ISNUMBER(INDEX(상세표[블록종료],$Q1468)),TEXT(INDEX(상세표[블록종료],$Q1468),"yyyy-mm-dd hh:mm"),INDEX(상세표[블록종료],$Q1468)&amp;""))</f>
        <v/>
      </c>
      <c r="H1468">
        <f>IF($Q1468="","",CHOOSE(WEEKDAY(INDEX(상세표[시작],$Q1468)),"일","월","화","수","목","금","토"))</f>
        <v/>
      </c>
      <c r="I1468" s="20">
        <f>IF($Q1468="","",INDEX(상세표[연속 시간],$Q1468))</f>
        <v/>
      </c>
      <c r="J1468">
        <f>IF($Q1468="","",INDEX(상세표[기록 수],$Q1468))</f>
        <v/>
      </c>
      <c r="K1468" s="20">
        <f>IF($Q1468="","",INDEX(상세표[블록 06~07시],$Q1468))</f>
        <v/>
      </c>
      <c r="L1468" s="20">
        <f>IF($Q1468="","",INDEX(상세표[블록 07~18시],$Q1468))</f>
        <v/>
      </c>
      <c r="M1468" s="20">
        <f>IF($Q1468="","",INDEX(상세표[블록 18~22시],$Q1468))</f>
        <v/>
      </c>
      <c r="N1468" s="20">
        <f>IF($Q1468="","",INDEX(상세표[블록 22~06시],$Q1468))</f>
        <v/>
      </c>
      <c r="O1468">
        <f>IF($Q1468="","",INDEX(상세표[주말·휴일 포함],$Q1468)&amp;"")</f>
        <v/>
      </c>
      <c r="P1468">
        <f>IF($Q1468="","",INDEX(상세표[월 넘김 포함],$Q1468)&amp;"")</f>
        <v/>
      </c>
      <c r="Q1468" s="4">
        <f>IFERROR(MATCH(1463,상세표[연속순번],0),"")</f>
        <v/>
      </c>
    </row>
    <row r="1469">
      <c r="A1469">
        <f>IF($Q1469="","",INDEX(상세표[부서],$Q1469)&amp;"")</f>
        <v/>
      </c>
      <c r="B1469">
        <f>IF($Q1469="","",INDEX(상세표[사번],$Q1469)&amp;"")</f>
        <v/>
      </c>
      <c r="C1469">
        <f>IF($Q1469="","",INDEX(상세표[성명],$Q1469)&amp;"")</f>
        <v/>
      </c>
      <c r="D1469">
        <f>IF($Q1469="","",INDEX(상세표[직위],$Q1469)&amp;"")</f>
        <v/>
      </c>
      <c r="E1469">
        <f>IF($Q1469="","",IF(ISNUMBER(INDEX(상세표[근무일자],$Q1469)),TEXT(INDEX(상세표[근무일자],$Q1469),"yyyy-mm-dd"),INDEX(상세표[근무일자],$Q1469)&amp;""))</f>
        <v/>
      </c>
      <c r="F1469">
        <f>IF($Q1469="","",IF(ISNUMBER(INDEX(상세표[시작],$Q1469)),TEXT(INDEX(상세표[시작],$Q1469),"yyyy-mm-dd hh:mm"),INDEX(상세표[시작],$Q1469)&amp;""))</f>
        <v/>
      </c>
      <c r="G1469">
        <f>IF($Q1469="","",IF(ISNUMBER(INDEX(상세표[블록종료],$Q1469)),TEXT(INDEX(상세표[블록종료],$Q1469),"yyyy-mm-dd hh:mm"),INDEX(상세표[블록종료],$Q1469)&amp;""))</f>
        <v/>
      </c>
      <c r="H1469">
        <f>IF($Q1469="","",CHOOSE(WEEKDAY(INDEX(상세표[시작],$Q1469)),"일","월","화","수","목","금","토"))</f>
        <v/>
      </c>
      <c r="I1469" s="20">
        <f>IF($Q1469="","",INDEX(상세표[연속 시간],$Q1469))</f>
        <v/>
      </c>
      <c r="J1469">
        <f>IF($Q1469="","",INDEX(상세표[기록 수],$Q1469))</f>
        <v/>
      </c>
      <c r="K1469" s="20">
        <f>IF($Q1469="","",INDEX(상세표[블록 06~07시],$Q1469))</f>
        <v/>
      </c>
      <c r="L1469" s="20">
        <f>IF($Q1469="","",INDEX(상세표[블록 07~18시],$Q1469))</f>
        <v/>
      </c>
      <c r="M1469" s="20">
        <f>IF($Q1469="","",INDEX(상세표[블록 18~22시],$Q1469))</f>
        <v/>
      </c>
      <c r="N1469" s="20">
        <f>IF($Q1469="","",INDEX(상세표[블록 22~06시],$Q1469))</f>
        <v/>
      </c>
      <c r="O1469">
        <f>IF($Q1469="","",INDEX(상세표[주말·휴일 포함],$Q1469)&amp;"")</f>
        <v/>
      </c>
      <c r="P1469">
        <f>IF($Q1469="","",INDEX(상세표[월 넘김 포함],$Q1469)&amp;"")</f>
        <v/>
      </c>
      <c r="Q1469" s="4">
        <f>IFERROR(MATCH(1464,상세표[연속순번],0),"")</f>
        <v/>
      </c>
    </row>
    <row r="1470">
      <c r="A1470">
        <f>IF($Q1470="","",INDEX(상세표[부서],$Q1470)&amp;"")</f>
        <v/>
      </c>
      <c r="B1470">
        <f>IF($Q1470="","",INDEX(상세표[사번],$Q1470)&amp;"")</f>
        <v/>
      </c>
      <c r="C1470">
        <f>IF($Q1470="","",INDEX(상세표[성명],$Q1470)&amp;"")</f>
        <v/>
      </c>
      <c r="D1470">
        <f>IF($Q1470="","",INDEX(상세표[직위],$Q1470)&amp;"")</f>
        <v/>
      </c>
      <c r="E1470">
        <f>IF($Q1470="","",IF(ISNUMBER(INDEX(상세표[근무일자],$Q1470)),TEXT(INDEX(상세표[근무일자],$Q1470),"yyyy-mm-dd"),INDEX(상세표[근무일자],$Q1470)&amp;""))</f>
        <v/>
      </c>
      <c r="F1470">
        <f>IF($Q1470="","",IF(ISNUMBER(INDEX(상세표[시작],$Q1470)),TEXT(INDEX(상세표[시작],$Q1470),"yyyy-mm-dd hh:mm"),INDEX(상세표[시작],$Q1470)&amp;""))</f>
        <v/>
      </c>
      <c r="G1470">
        <f>IF($Q1470="","",IF(ISNUMBER(INDEX(상세표[블록종료],$Q1470)),TEXT(INDEX(상세표[블록종료],$Q1470),"yyyy-mm-dd hh:mm"),INDEX(상세표[블록종료],$Q1470)&amp;""))</f>
        <v/>
      </c>
      <c r="H1470">
        <f>IF($Q1470="","",CHOOSE(WEEKDAY(INDEX(상세표[시작],$Q1470)),"일","월","화","수","목","금","토"))</f>
        <v/>
      </c>
      <c r="I1470" s="20">
        <f>IF($Q1470="","",INDEX(상세표[연속 시간],$Q1470))</f>
        <v/>
      </c>
      <c r="J1470">
        <f>IF($Q1470="","",INDEX(상세표[기록 수],$Q1470))</f>
        <v/>
      </c>
      <c r="K1470" s="20">
        <f>IF($Q1470="","",INDEX(상세표[블록 06~07시],$Q1470))</f>
        <v/>
      </c>
      <c r="L1470" s="20">
        <f>IF($Q1470="","",INDEX(상세표[블록 07~18시],$Q1470))</f>
        <v/>
      </c>
      <c r="M1470" s="20">
        <f>IF($Q1470="","",INDEX(상세표[블록 18~22시],$Q1470))</f>
        <v/>
      </c>
      <c r="N1470" s="20">
        <f>IF($Q1470="","",INDEX(상세표[블록 22~06시],$Q1470))</f>
        <v/>
      </c>
      <c r="O1470">
        <f>IF($Q1470="","",INDEX(상세표[주말·휴일 포함],$Q1470)&amp;"")</f>
        <v/>
      </c>
      <c r="P1470">
        <f>IF($Q1470="","",INDEX(상세표[월 넘김 포함],$Q1470)&amp;"")</f>
        <v/>
      </c>
      <c r="Q1470" s="4">
        <f>IFERROR(MATCH(1465,상세표[연속순번],0),"")</f>
        <v/>
      </c>
    </row>
    <row r="1471">
      <c r="A1471">
        <f>IF($Q1471="","",INDEX(상세표[부서],$Q1471)&amp;"")</f>
        <v/>
      </c>
      <c r="B1471">
        <f>IF($Q1471="","",INDEX(상세표[사번],$Q1471)&amp;"")</f>
        <v/>
      </c>
      <c r="C1471">
        <f>IF($Q1471="","",INDEX(상세표[성명],$Q1471)&amp;"")</f>
        <v/>
      </c>
      <c r="D1471">
        <f>IF($Q1471="","",INDEX(상세표[직위],$Q1471)&amp;"")</f>
        <v/>
      </c>
      <c r="E1471">
        <f>IF($Q1471="","",IF(ISNUMBER(INDEX(상세표[근무일자],$Q1471)),TEXT(INDEX(상세표[근무일자],$Q1471),"yyyy-mm-dd"),INDEX(상세표[근무일자],$Q1471)&amp;""))</f>
        <v/>
      </c>
      <c r="F1471">
        <f>IF($Q1471="","",IF(ISNUMBER(INDEX(상세표[시작],$Q1471)),TEXT(INDEX(상세표[시작],$Q1471),"yyyy-mm-dd hh:mm"),INDEX(상세표[시작],$Q1471)&amp;""))</f>
        <v/>
      </c>
      <c r="G1471">
        <f>IF($Q1471="","",IF(ISNUMBER(INDEX(상세표[블록종료],$Q1471)),TEXT(INDEX(상세표[블록종료],$Q1471),"yyyy-mm-dd hh:mm"),INDEX(상세표[블록종료],$Q1471)&amp;""))</f>
        <v/>
      </c>
      <c r="H1471">
        <f>IF($Q1471="","",CHOOSE(WEEKDAY(INDEX(상세표[시작],$Q1471)),"일","월","화","수","목","금","토"))</f>
        <v/>
      </c>
      <c r="I1471" s="20">
        <f>IF($Q1471="","",INDEX(상세표[연속 시간],$Q1471))</f>
        <v/>
      </c>
      <c r="J1471">
        <f>IF($Q1471="","",INDEX(상세표[기록 수],$Q1471))</f>
        <v/>
      </c>
      <c r="K1471" s="20">
        <f>IF($Q1471="","",INDEX(상세표[블록 06~07시],$Q1471))</f>
        <v/>
      </c>
      <c r="L1471" s="20">
        <f>IF($Q1471="","",INDEX(상세표[블록 07~18시],$Q1471))</f>
        <v/>
      </c>
      <c r="M1471" s="20">
        <f>IF($Q1471="","",INDEX(상세표[블록 18~22시],$Q1471))</f>
        <v/>
      </c>
      <c r="N1471" s="20">
        <f>IF($Q1471="","",INDEX(상세표[블록 22~06시],$Q1471))</f>
        <v/>
      </c>
      <c r="O1471">
        <f>IF($Q1471="","",INDEX(상세표[주말·휴일 포함],$Q1471)&amp;"")</f>
        <v/>
      </c>
      <c r="P1471">
        <f>IF($Q1471="","",INDEX(상세표[월 넘김 포함],$Q1471)&amp;"")</f>
        <v/>
      </c>
      <c r="Q1471" s="4">
        <f>IFERROR(MATCH(1466,상세표[연속순번],0),"")</f>
        <v/>
      </c>
    </row>
    <row r="1472">
      <c r="A1472">
        <f>IF($Q1472="","",INDEX(상세표[부서],$Q1472)&amp;"")</f>
        <v/>
      </c>
      <c r="B1472">
        <f>IF($Q1472="","",INDEX(상세표[사번],$Q1472)&amp;"")</f>
        <v/>
      </c>
      <c r="C1472">
        <f>IF($Q1472="","",INDEX(상세표[성명],$Q1472)&amp;"")</f>
        <v/>
      </c>
      <c r="D1472">
        <f>IF($Q1472="","",INDEX(상세표[직위],$Q1472)&amp;"")</f>
        <v/>
      </c>
      <c r="E1472">
        <f>IF($Q1472="","",IF(ISNUMBER(INDEX(상세표[근무일자],$Q1472)),TEXT(INDEX(상세표[근무일자],$Q1472),"yyyy-mm-dd"),INDEX(상세표[근무일자],$Q1472)&amp;""))</f>
        <v/>
      </c>
      <c r="F1472">
        <f>IF($Q1472="","",IF(ISNUMBER(INDEX(상세표[시작],$Q1472)),TEXT(INDEX(상세표[시작],$Q1472),"yyyy-mm-dd hh:mm"),INDEX(상세표[시작],$Q1472)&amp;""))</f>
        <v/>
      </c>
      <c r="G1472">
        <f>IF($Q1472="","",IF(ISNUMBER(INDEX(상세표[블록종료],$Q1472)),TEXT(INDEX(상세표[블록종료],$Q1472),"yyyy-mm-dd hh:mm"),INDEX(상세표[블록종료],$Q1472)&amp;""))</f>
        <v/>
      </c>
      <c r="H1472">
        <f>IF($Q1472="","",CHOOSE(WEEKDAY(INDEX(상세표[시작],$Q1472)),"일","월","화","수","목","금","토"))</f>
        <v/>
      </c>
      <c r="I1472" s="20">
        <f>IF($Q1472="","",INDEX(상세표[연속 시간],$Q1472))</f>
        <v/>
      </c>
      <c r="J1472">
        <f>IF($Q1472="","",INDEX(상세표[기록 수],$Q1472))</f>
        <v/>
      </c>
      <c r="K1472" s="20">
        <f>IF($Q1472="","",INDEX(상세표[블록 06~07시],$Q1472))</f>
        <v/>
      </c>
      <c r="L1472" s="20">
        <f>IF($Q1472="","",INDEX(상세표[블록 07~18시],$Q1472))</f>
        <v/>
      </c>
      <c r="M1472" s="20">
        <f>IF($Q1472="","",INDEX(상세표[블록 18~22시],$Q1472))</f>
        <v/>
      </c>
      <c r="N1472" s="20">
        <f>IF($Q1472="","",INDEX(상세표[블록 22~06시],$Q1472))</f>
        <v/>
      </c>
      <c r="O1472">
        <f>IF($Q1472="","",INDEX(상세표[주말·휴일 포함],$Q1472)&amp;"")</f>
        <v/>
      </c>
      <c r="P1472">
        <f>IF($Q1472="","",INDEX(상세표[월 넘김 포함],$Q1472)&amp;"")</f>
        <v/>
      </c>
      <c r="Q1472" s="4">
        <f>IFERROR(MATCH(1467,상세표[연속순번],0),"")</f>
        <v/>
      </c>
    </row>
    <row r="1473">
      <c r="A1473">
        <f>IF($Q1473="","",INDEX(상세표[부서],$Q1473)&amp;"")</f>
        <v/>
      </c>
      <c r="B1473">
        <f>IF($Q1473="","",INDEX(상세표[사번],$Q1473)&amp;"")</f>
        <v/>
      </c>
      <c r="C1473">
        <f>IF($Q1473="","",INDEX(상세표[성명],$Q1473)&amp;"")</f>
        <v/>
      </c>
      <c r="D1473">
        <f>IF($Q1473="","",INDEX(상세표[직위],$Q1473)&amp;"")</f>
        <v/>
      </c>
      <c r="E1473">
        <f>IF($Q1473="","",IF(ISNUMBER(INDEX(상세표[근무일자],$Q1473)),TEXT(INDEX(상세표[근무일자],$Q1473),"yyyy-mm-dd"),INDEX(상세표[근무일자],$Q1473)&amp;""))</f>
        <v/>
      </c>
      <c r="F1473">
        <f>IF($Q1473="","",IF(ISNUMBER(INDEX(상세표[시작],$Q1473)),TEXT(INDEX(상세표[시작],$Q1473),"yyyy-mm-dd hh:mm"),INDEX(상세표[시작],$Q1473)&amp;""))</f>
        <v/>
      </c>
      <c r="G1473">
        <f>IF($Q1473="","",IF(ISNUMBER(INDEX(상세표[블록종료],$Q1473)),TEXT(INDEX(상세표[블록종료],$Q1473),"yyyy-mm-dd hh:mm"),INDEX(상세표[블록종료],$Q1473)&amp;""))</f>
        <v/>
      </c>
      <c r="H1473">
        <f>IF($Q1473="","",CHOOSE(WEEKDAY(INDEX(상세표[시작],$Q1473)),"일","월","화","수","목","금","토"))</f>
        <v/>
      </c>
      <c r="I1473" s="20">
        <f>IF($Q1473="","",INDEX(상세표[연속 시간],$Q1473))</f>
        <v/>
      </c>
      <c r="J1473">
        <f>IF($Q1473="","",INDEX(상세표[기록 수],$Q1473))</f>
        <v/>
      </c>
      <c r="K1473" s="20">
        <f>IF($Q1473="","",INDEX(상세표[블록 06~07시],$Q1473))</f>
        <v/>
      </c>
      <c r="L1473" s="20">
        <f>IF($Q1473="","",INDEX(상세표[블록 07~18시],$Q1473))</f>
        <v/>
      </c>
      <c r="M1473" s="20">
        <f>IF($Q1473="","",INDEX(상세표[블록 18~22시],$Q1473))</f>
        <v/>
      </c>
      <c r="N1473" s="20">
        <f>IF($Q1473="","",INDEX(상세표[블록 22~06시],$Q1473))</f>
        <v/>
      </c>
      <c r="O1473">
        <f>IF($Q1473="","",INDEX(상세표[주말·휴일 포함],$Q1473)&amp;"")</f>
        <v/>
      </c>
      <c r="P1473">
        <f>IF($Q1473="","",INDEX(상세표[월 넘김 포함],$Q1473)&amp;"")</f>
        <v/>
      </c>
      <c r="Q1473" s="4">
        <f>IFERROR(MATCH(1468,상세표[연속순번],0),"")</f>
        <v/>
      </c>
    </row>
    <row r="1474">
      <c r="A1474">
        <f>IF($Q1474="","",INDEX(상세표[부서],$Q1474)&amp;"")</f>
        <v/>
      </c>
      <c r="B1474">
        <f>IF($Q1474="","",INDEX(상세표[사번],$Q1474)&amp;"")</f>
        <v/>
      </c>
      <c r="C1474">
        <f>IF($Q1474="","",INDEX(상세표[성명],$Q1474)&amp;"")</f>
        <v/>
      </c>
      <c r="D1474">
        <f>IF($Q1474="","",INDEX(상세표[직위],$Q1474)&amp;"")</f>
        <v/>
      </c>
      <c r="E1474">
        <f>IF($Q1474="","",IF(ISNUMBER(INDEX(상세표[근무일자],$Q1474)),TEXT(INDEX(상세표[근무일자],$Q1474),"yyyy-mm-dd"),INDEX(상세표[근무일자],$Q1474)&amp;""))</f>
        <v/>
      </c>
      <c r="F1474">
        <f>IF($Q1474="","",IF(ISNUMBER(INDEX(상세표[시작],$Q1474)),TEXT(INDEX(상세표[시작],$Q1474),"yyyy-mm-dd hh:mm"),INDEX(상세표[시작],$Q1474)&amp;""))</f>
        <v/>
      </c>
      <c r="G1474">
        <f>IF($Q1474="","",IF(ISNUMBER(INDEX(상세표[블록종료],$Q1474)),TEXT(INDEX(상세표[블록종료],$Q1474),"yyyy-mm-dd hh:mm"),INDEX(상세표[블록종료],$Q1474)&amp;""))</f>
        <v/>
      </c>
      <c r="H1474">
        <f>IF($Q1474="","",CHOOSE(WEEKDAY(INDEX(상세표[시작],$Q1474)),"일","월","화","수","목","금","토"))</f>
        <v/>
      </c>
      <c r="I1474" s="20">
        <f>IF($Q1474="","",INDEX(상세표[연속 시간],$Q1474))</f>
        <v/>
      </c>
      <c r="J1474">
        <f>IF($Q1474="","",INDEX(상세표[기록 수],$Q1474))</f>
        <v/>
      </c>
      <c r="K1474" s="20">
        <f>IF($Q1474="","",INDEX(상세표[블록 06~07시],$Q1474))</f>
        <v/>
      </c>
      <c r="L1474" s="20">
        <f>IF($Q1474="","",INDEX(상세표[블록 07~18시],$Q1474))</f>
        <v/>
      </c>
      <c r="M1474" s="20">
        <f>IF($Q1474="","",INDEX(상세표[블록 18~22시],$Q1474))</f>
        <v/>
      </c>
      <c r="N1474" s="20">
        <f>IF($Q1474="","",INDEX(상세표[블록 22~06시],$Q1474))</f>
        <v/>
      </c>
      <c r="O1474">
        <f>IF($Q1474="","",INDEX(상세표[주말·휴일 포함],$Q1474)&amp;"")</f>
        <v/>
      </c>
      <c r="P1474">
        <f>IF($Q1474="","",INDEX(상세표[월 넘김 포함],$Q1474)&amp;"")</f>
        <v/>
      </c>
      <c r="Q1474" s="4">
        <f>IFERROR(MATCH(1469,상세표[연속순번],0),"")</f>
        <v/>
      </c>
    </row>
    <row r="1475">
      <c r="A1475">
        <f>IF($Q1475="","",INDEX(상세표[부서],$Q1475)&amp;"")</f>
        <v/>
      </c>
      <c r="B1475">
        <f>IF($Q1475="","",INDEX(상세표[사번],$Q1475)&amp;"")</f>
        <v/>
      </c>
      <c r="C1475">
        <f>IF($Q1475="","",INDEX(상세표[성명],$Q1475)&amp;"")</f>
        <v/>
      </c>
      <c r="D1475">
        <f>IF($Q1475="","",INDEX(상세표[직위],$Q1475)&amp;"")</f>
        <v/>
      </c>
      <c r="E1475">
        <f>IF($Q1475="","",IF(ISNUMBER(INDEX(상세표[근무일자],$Q1475)),TEXT(INDEX(상세표[근무일자],$Q1475),"yyyy-mm-dd"),INDEX(상세표[근무일자],$Q1475)&amp;""))</f>
        <v/>
      </c>
      <c r="F1475">
        <f>IF($Q1475="","",IF(ISNUMBER(INDEX(상세표[시작],$Q1475)),TEXT(INDEX(상세표[시작],$Q1475),"yyyy-mm-dd hh:mm"),INDEX(상세표[시작],$Q1475)&amp;""))</f>
        <v/>
      </c>
      <c r="G1475">
        <f>IF($Q1475="","",IF(ISNUMBER(INDEX(상세표[블록종료],$Q1475)),TEXT(INDEX(상세표[블록종료],$Q1475),"yyyy-mm-dd hh:mm"),INDEX(상세표[블록종료],$Q1475)&amp;""))</f>
        <v/>
      </c>
      <c r="H1475">
        <f>IF($Q1475="","",CHOOSE(WEEKDAY(INDEX(상세표[시작],$Q1475)),"일","월","화","수","목","금","토"))</f>
        <v/>
      </c>
      <c r="I1475" s="20">
        <f>IF($Q1475="","",INDEX(상세표[연속 시간],$Q1475))</f>
        <v/>
      </c>
      <c r="J1475">
        <f>IF($Q1475="","",INDEX(상세표[기록 수],$Q1475))</f>
        <v/>
      </c>
      <c r="K1475" s="20">
        <f>IF($Q1475="","",INDEX(상세표[블록 06~07시],$Q1475))</f>
        <v/>
      </c>
      <c r="L1475" s="20">
        <f>IF($Q1475="","",INDEX(상세표[블록 07~18시],$Q1475))</f>
        <v/>
      </c>
      <c r="M1475" s="20">
        <f>IF($Q1475="","",INDEX(상세표[블록 18~22시],$Q1475))</f>
        <v/>
      </c>
      <c r="N1475" s="20">
        <f>IF($Q1475="","",INDEX(상세표[블록 22~06시],$Q1475))</f>
        <v/>
      </c>
      <c r="O1475">
        <f>IF($Q1475="","",INDEX(상세표[주말·휴일 포함],$Q1475)&amp;"")</f>
        <v/>
      </c>
      <c r="P1475">
        <f>IF($Q1475="","",INDEX(상세표[월 넘김 포함],$Q1475)&amp;"")</f>
        <v/>
      </c>
      <c r="Q1475" s="4">
        <f>IFERROR(MATCH(1470,상세표[연속순번],0),"")</f>
        <v/>
      </c>
    </row>
    <row r="1476">
      <c r="A1476">
        <f>IF($Q1476="","",INDEX(상세표[부서],$Q1476)&amp;"")</f>
        <v/>
      </c>
      <c r="B1476">
        <f>IF($Q1476="","",INDEX(상세표[사번],$Q1476)&amp;"")</f>
        <v/>
      </c>
      <c r="C1476">
        <f>IF($Q1476="","",INDEX(상세표[성명],$Q1476)&amp;"")</f>
        <v/>
      </c>
      <c r="D1476">
        <f>IF($Q1476="","",INDEX(상세표[직위],$Q1476)&amp;"")</f>
        <v/>
      </c>
      <c r="E1476">
        <f>IF($Q1476="","",IF(ISNUMBER(INDEX(상세표[근무일자],$Q1476)),TEXT(INDEX(상세표[근무일자],$Q1476),"yyyy-mm-dd"),INDEX(상세표[근무일자],$Q1476)&amp;""))</f>
        <v/>
      </c>
      <c r="F1476">
        <f>IF($Q1476="","",IF(ISNUMBER(INDEX(상세표[시작],$Q1476)),TEXT(INDEX(상세표[시작],$Q1476),"yyyy-mm-dd hh:mm"),INDEX(상세표[시작],$Q1476)&amp;""))</f>
        <v/>
      </c>
      <c r="G1476">
        <f>IF($Q1476="","",IF(ISNUMBER(INDEX(상세표[블록종료],$Q1476)),TEXT(INDEX(상세표[블록종료],$Q1476),"yyyy-mm-dd hh:mm"),INDEX(상세표[블록종료],$Q1476)&amp;""))</f>
        <v/>
      </c>
      <c r="H1476">
        <f>IF($Q1476="","",CHOOSE(WEEKDAY(INDEX(상세표[시작],$Q1476)),"일","월","화","수","목","금","토"))</f>
        <v/>
      </c>
      <c r="I1476" s="20">
        <f>IF($Q1476="","",INDEX(상세표[연속 시간],$Q1476))</f>
        <v/>
      </c>
      <c r="J1476">
        <f>IF($Q1476="","",INDEX(상세표[기록 수],$Q1476))</f>
        <v/>
      </c>
      <c r="K1476" s="20">
        <f>IF($Q1476="","",INDEX(상세표[블록 06~07시],$Q1476))</f>
        <v/>
      </c>
      <c r="L1476" s="20">
        <f>IF($Q1476="","",INDEX(상세표[블록 07~18시],$Q1476))</f>
        <v/>
      </c>
      <c r="M1476" s="20">
        <f>IF($Q1476="","",INDEX(상세표[블록 18~22시],$Q1476))</f>
        <v/>
      </c>
      <c r="N1476" s="20">
        <f>IF($Q1476="","",INDEX(상세표[블록 22~06시],$Q1476))</f>
        <v/>
      </c>
      <c r="O1476">
        <f>IF($Q1476="","",INDEX(상세표[주말·휴일 포함],$Q1476)&amp;"")</f>
        <v/>
      </c>
      <c r="P1476">
        <f>IF($Q1476="","",INDEX(상세표[월 넘김 포함],$Q1476)&amp;"")</f>
        <v/>
      </c>
      <c r="Q1476" s="4">
        <f>IFERROR(MATCH(1471,상세표[연속순번],0),"")</f>
        <v/>
      </c>
    </row>
    <row r="1477">
      <c r="A1477">
        <f>IF($Q1477="","",INDEX(상세표[부서],$Q1477)&amp;"")</f>
        <v/>
      </c>
      <c r="B1477">
        <f>IF($Q1477="","",INDEX(상세표[사번],$Q1477)&amp;"")</f>
        <v/>
      </c>
      <c r="C1477">
        <f>IF($Q1477="","",INDEX(상세표[성명],$Q1477)&amp;"")</f>
        <v/>
      </c>
      <c r="D1477">
        <f>IF($Q1477="","",INDEX(상세표[직위],$Q1477)&amp;"")</f>
        <v/>
      </c>
      <c r="E1477">
        <f>IF($Q1477="","",IF(ISNUMBER(INDEX(상세표[근무일자],$Q1477)),TEXT(INDEX(상세표[근무일자],$Q1477),"yyyy-mm-dd"),INDEX(상세표[근무일자],$Q1477)&amp;""))</f>
        <v/>
      </c>
      <c r="F1477">
        <f>IF($Q1477="","",IF(ISNUMBER(INDEX(상세표[시작],$Q1477)),TEXT(INDEX(상세표[시작],$Q1477),"yyyy-mm-dd hh:mm"),INDEX(상세표[시작],$Q1477)&amp;""))</f>
        <v/>
      </c>
      <c r="G1477">
        <f>IF($Q1477="","",IF(ISNUMBER(INDEX(상세표[블록종료],$Q1477)),TEXT(INDEX(상세표[블록종료],$Q1477),"yyyy-mm-dd hh:mm"),INDEX(상세표[블록종료],$Q1477)&amp;""))</f>
        <v/>
      </c>
      <c r="H1477">
        <f>IF($Q1477="","",CHOOSE(WEEKDAY(INDEX(상세표[시작],$Q1477)),"일","월","화","수","목","금","토"))</f>
        <v/>
      </c>
      <c r="I1477" s="20">
        <f>IF($Q1477="","",INDEX(상세표[연속 시간],$Q1477))</f>
        <v/>
      </c>
      <c r="J1477">
        <f>IF($Q1477="","",INDEX(상세표[기록 수],$Q1477))</f>
        <v/>
      </c>
      <c r="K1477" s="20">
        <f>IF($Q1477="","",INDEX(상세표[블록 06~07시],$Q1477))</f>
        <v/>
      </c>
      <c r="L1477" s="20">
        <f>IF($Q1477="","",INDEX(상세표[블록 07~18시],$Q1477))</f>
        <v/>
      </c>
      <c r="M1477" s="20">
        <f>IF($Q1477="","",INDEX(상세표[블록 18~22시],$Q1477))</f>
        <v/>
      </c>
      <c r="N1477" s="20">
        <f>IF($Q1477="","",INDEX(상세표[블록 22~06시],$Q1477))</f>
        <v/>
      </c>
      <c r="O1477">
        <f>IF($Q1477="","",INDEX(상세표[주말·휴일 포함],$Q1477)&amp;"")</f>
        <v/>
      </c>
      <c r="P1477">
        <f>IF($Q1477="","",INDEX(상세표[월 넘김 포함],$Q1477)&amp;"")</f>
        <v/>
      </c>
      <c r="Q1477" s="4">
        <f>IFERROR(MATCH(1472,상세표[연속순번],0),"")</f>
        <v/>
      </c>
    </row>
    <row r="1478">
      <c r="A1478">
        <f>IF($Q1478="","",INDEX(상세표[부서],$Q1478)&amp;"")</f>
        <v/>
      </c>
      <c r="B1478">
        <f>IF($Q1478="","",INDEX(상세표[사번],$Q1478)&amp;"")</f>
        <v/>
      </c>
      <c r="C1478">
        <f>IF($Q1478="","",INDEX(상세표[성명],$Q1478)&amp;"")</f>
        <v/>
      </c>
      <c r="D1478">
        <f>IF($Q1478="","",INDEX(상세표[직위],$Q1478)&amp;"")</f>
        <v/>
      </c>
      <c r="E1478">
        <f>IF($Q1478="","",IF(ISNUMBER(INDEX(상세표[근무일자],$Q1478)),TEXT(INDEX(상세표[근무일자],$Q1478),"yyyy-mm-dd"),INDEX(상세표[근무일자],$Q1478)&amp;""))</f>
        <v/>
      </c>
      <c r="F1478">
        <f>IF($Q1478="","",IF(ISNUMBER(INDEX(상세표[시작],$Q1478)),TEXT(INDEX(상세표[시작],$Q1478),"yyyy-mm-dd hh:mm"),INDEX(상세표[시작],$Q1478)&amp;""))</f>
        <v/>
      </c>
      <c r="G1478">
        <f>IF($Q1478="","",IF(ISNUMBER(INDEX(상세표[블록종료],$Q1478)),TEXT(INDEX(상세표[블록종료],$Q1478),"yyyy-mm-dd hh:mm"),INDEX(상세표[블록종료],$Q1478)&amp;""))</f>
        <v/>
      </c>
      <c r="H1478">
        <f>IF($Q1478="","",CHOOSE(WEEKDAY(INDEX(상세표[시작],$Q1478)),"일","월","화","수","목","금","토"))</f>
        <v/>
      </c>
      <c r="I1478" s="20">
        <f>IF($Q1478="","",INDEX(상세표[연속 시간],$Q1478))</f>
        <v/>
      </c>
      <c r="J1478">
        <f>IF($Q1478="","",INDEX(상세표[기록 수],$Q1478))</f>
        <v/>
      </c>
      <c r="K1478" s="20">
        <f>IF($Q1478="","",INDEX(상세표[블록 06~07시],$Q1478))</f>
        <v/>
      </c>
      <c r="L1478" s="20">
        <f>IF($Q1478="","",INDEX(상세표[블록 07~18시],$Q1478))</f>
        <v/>
      </c>
      <c r="M1478" s="20">
        <f>IF($Q1478="","",INDEX(상세표[블록 18~22시],$Q1478))</f>
        <v/>
      </c>
      <c r="N1478" s="20">
        <f>IF($Q1478="","",INDEX(상세표[블록 22~06시],$Q1478))</f>
        <v/>
      </c>
      <c r="O1478">
        <f>IF($Q1478="","",INDEX(상세표[주말·휴일 포함],$Q1478)&amp;"")</f>
        <v/>
      </c>
      <c r="P1478">
        <f>IF($Q1478="","",INDEX(상세표[월 넘김 포함],$Q1478)&amp;"")</f>
        <v/>
      </c>
      <c r="Q1478" s="4">
        <f>IFERROR(MATCH(1473,상세표[연속순번],0),"")</f>
        <v/>
      </c>
    </row>
    <row r="1479">
      <c r="A1479">
        <f>IF($Q1479="","",INDEX(상세표[부서],$Q1479)&amp;"")</f>
        <v/>
      </c>
      <c r="B1479">
        <f>IF($Q1479="","",INDEX(상세표[사번],$Q1479)&amp;"")</f>
        <v/>
      </c>
      <c r="C1479">
        <f>IF($Q1479="","",INDEX(상세표[성명],$Q1479)&amp;"")</f>
        <v/>
      </c>
      <c r="D1479">
        <f>IF($Q1479="","",INDEX(상세표[직위],$Q1479)&amp;"")</f>
        <v/>
      </c>
      <c r="E1479">
        <f>IF($Q1479="","",IF(ISNUMBER(INDEX(상세표[근무일자],$Q1479)),TEXT(INDEX(상세표[근무일자],$Q1479),"yyyy-mm-dd"),INDEX(상세표[근무일자],$Q1479)&amp;""))</f>
        <v/>
      </c>
      <c r="F1479">
        <f>IF($Q1479="","",IF(ISNUMBER(INDEX(상세표[시작],$Q1479)),TEXT(INDEX(상세표[시작],$Q1479),"yyyy-mm-dd hh:mm"),INDEX(상세표[시작],$Q1479)&amp;""))</f>
        <v/>
      </c>
      <c r="G1479">
        <f>IF($Q1479="","",IF(ISNUMBER(INDEX(상세표[블록종료],$Q1479)),TEXT(INDEX(상세표[블록종료],$Q1479),"yyyy-mm-dd hh:mm"),INDEX(상세표[블록종료],$Q1479)&amp;""))</f>
        <v/>
      </c>
      <c r="H1479">
        <f>IF($Q1479="","",CHOOSE(WEEKDAY(INDEX(상세표[시작],$Q1479)),"일","월","화","수","목","금","토"))</f>
        <v/>
      </c>
      <c r="I1479" s="20">
        <f>IF($Q1479="","",INDEX(상세표[연속 시간],$Q1479))</f>
        <v/>
      </c>
      <c r="J1479">
        <f>IF($Q1479="","",INDEX(상세표[기록 수],$Q1479))</f>
        <v/>
      </c>
      <c r="K1479" s="20">
        <f>IF($Q1479="","",INDEX(상세표[블록 06~07시],$Q1479))</f>
        <v/>
      </c>
      <c r="L1479" s="20">
        <f>IF($Q1479="","",INDEX(상세표[블록 07~18시],$Q1479))</f>
        <v/>
      </c>
      <c r="M1479" s="20">
        <f>IF($Q1479="","",INDEX(상세표[블록 18~22시],$Q1479))</f>
        <v/>
      </c>
      <c r="N1479" s="20">
        <f>IF($Q1479="","",INDEX(상세표[블록 22~06시],$Q1479))</f>
        <v/>
      </c>
      <c r="O1479">
        <f>IF($Q1479="","",INDEX(상세표[주말·휴일 포함],$Q1479)&amp;"")</f>
        <v/>
      </c>
      <c r="P1479">
        <f>IF($Q1479="","",INDEX(상세표[월 넘김 포함],$Q1479)&amp;"")</f>
        <v/>
      </c>
      <c r="Q1479" s="4">
        <f>IFERROR(MATCH(1474,상세표[연속순번],0),"")</f>
        <v/>
      </c>
    </row>
    <row r="1480">
      <c r="A1480">
        <f>IF($Q1480="","",INDEX(상세표[부서],$Q1480)&amp;"")</f>
        <v/>
      </c>
      <c r="B1480">
        <f>IF($Q1480="","",INDEX(상세표[사번],$Q1480)&amp;"")</f>
        <v/>
      </c>
      <c r="C1480">
        <f>IF($Q1480="","",INDEX(상세표[성명],$Q1480)&amp;"")</f>
        <v/>
      </c>
      <c r="D1480">
        <f>IF($Q1480="","",INDEX(상세표[직위],$Q1480)&amp;"")</f>
        <v/>
      </c>
      <c r="E1480">
        <f>IF($Q1480="","",IF(ISNUMBER(INDEX(상세표[근무일자],$Q1480)),TEXT(INDEX(상세표[근무일자],$Q1480),"yyyy-mm-dd"),INDEX(상세표[근무일자],$Q1480)&amp;""))</f>
        <v/>
      </c>
      <c r="F1480">
        <f>IF($Q1480="","",IF(ISNUMBER(INDEX(상세표[시작],$Q1480)),TEXT(INDEX(상세표[시작],$Q1480),"yyyy-mm-dd hh:mm"),INDEX(상세표[시작],$Q1480)&amp;""))</f>
        <v/>
      </c>
      <c r="G1480">
        <f>IF($Q1480="","",IF(ISNUMBER(INDEX(상세표[블록종료],$Q1480)),TEXT(INDEX(상세표[블록종료],$Q1480),"yyyy-mm-dd hh:mm"),INDEX(상세표[블록종료],$Q1480)&amp;""))</f>
        <v/>
      </c>
      <c r="H1480">
        <f>IF($Q1480="","",CHOOSE(WEEKDAY(INDEX(상세표[시작],$Q1480)),"일","월","화","수","목","금","토"))</f>
        <v/>
      </c>
      <c r="I1480" s="20">
        <f>IF($Q1480="","",INDEX(상세표[연속 시간],$Q1480))</f>
        <v/>
      </c>
      <c r="J1480">
        <f>IF($Q1480="","",INDEX(상세표[기록 수],$Q1480))</f>
        <v/>
      </c>
      <c r="K1480" s="20">
        <f>IF($Q1480="","",INDEX(상세표[블록 06~07시],$Q1480))</f>
        <v/>
      </c>
      <c r="L1480" s="20">
        <f>IF($Q1480="","",INDEX(상세표[블록 07~18시],$Q1480))</f>
        <v/>
      </c>
      <c r="M1480" s="20">
        <f>IF($Q1480="","",INDEX(상세표[블록 18~22시],$Q1480))</f>
        <v/>
      </c>
      <c r="N1480" s="20">
        <f>IF($Q1480="","",INDEX(상세표[블록 22~06시],$Q1480))</f>
        <v/>
      </c>
      <c r="O1480">
        <f>IF($Q1480="","",INDEX(상세표[주말·휴일 포함],$Q1480)&amp;"")</f>
        <v/>
      </c>
      <c r="P1480">
        <f>IF($Q1480="","",INDEX(상세표[월 넘김 포함],$Q1480)&amp;"")</f>
        <v/>
      </c>
      <c r="Q1480" s="4">
        <f>IFERROR(MATCH(1475,상세표[연속순번],0),"")</f>
        <v/>
      </c>
    </row>
    <row r="1481">
      <c r="A1481">
        <f>IF($Q1481="","",INDEX(상세표[부서],$Q1481)&amp;"")</f>
        <v/>
      </c>
      <c r="B1481">
        <f>IF($Q1481="","",INDEX(상세표[사번],$Q1481)&amp;"")</f>
        <v/>
      </c>
      <c r="C1481">
        <f>IF($Q1481="","",INDEX(상세표[성명],$Q1481)&amp;"")</f>
        <v/>
      </c>
      <c r="D1481">
        <f>IF($Q1481="","",INDEX(상세표[직위],$Q1481)&amp;"")</f>
        <v/>
      </c>
      <c r="E1481">
        <f>IF($Q1481="","",IF(ISNUMBER(INDEX(상세표[근무일자],$Q1481)),TEXT(INDEX(상세표[근무일자],$Q1481),"yyyy-mm-dd"),INDEX(상세표[근무일자],$Q1481)&amp;""))</f>
        <v/>
      </c>
      <c r="F1481">
        <f>IF($Q1481="","",IF(ISNUMBER(INDEX(상세표[시작],$Q1481)),TEXT(INDEX(상세표[시작],$Q1481),"yyyy-mm-dd hh:mm"),INDEX(상세표[시작],$Q1481)&amp;""))</f>
        <v/>
      </c>
      <c r="G1481">
        <f>IF($Q1481="","",IF(ISNUMBER(INDEX(상세표[블록종료],$Q1481)),TEXT(INDEX(상세표[블록종료],$Q1481),"yyyy-mm-dd hh:mm"),INDEX(상세표[블록종료],$Q1481)&amp;""))</f>
        <v/>
      </c>
      <c r="H1481">
        <f>IF($Q1481="","",CHOOSE(WEEKDAY(INDEX(상세표[시작],$Q1481)),"일","월","화","수","목","금","토"))</f>
        <v/>
      </c>
      <c r="I1481" s="20">
        <f>IF($Q1481="","",INDEX(상세표[연속 시간],$Q1481))</f>
        <v/>
      </c>
      <c r="J1481">
        <f>IF($Q1481="","",INDEX(상세표[기록 수],$Q1481))</f>
        <v/>
      </c>
      <c r="K1481" s="20">
        <f>IF($Q1481="","",INDEX(상세표[블록 06~07시],$Q1481))</f>
        <v/>
      </c>
      <c r="L1481" s="20">
        <f>IF($Q1481="","",INDEX(상세표[블록 07~18시],$Q1481))</f>
        <v/>
      </c>
      <c r="M1481" s="20">
        <f>IF($Q1481="","",INDEX(상세표[블록 18~22시],$Q1481))</f>
        <v/>
      </c>
      <c r="N1481" s="20">
        <f>IF($Q1481="","",INDEX(상세표[블록 22~06시],$Q1481))</f>
        <v/>
      </c>
      <c r="O1481">
        <f>IF($Q1481="","",INDEX(상세표[주말·휴일 포함],$Q1481)&amp;"")</f>
        <v/>
      </c>
      <c r="P1481">
        <f>IF($Q1481="","",INDEX(상세표[월 넘김 포함],$Q1481)&amp;"")</f>
        <v/>
      </c>
      <c r="Q1481" s="4">
        <f>IFERROR(MATCH(1476,상세표[연속순번],0),"")</f>
        <v/>
      </c>
    </row>
    <row r="1482">
      <c r="A1482">
        <f>IF($Q1482="","",INDEX(상세표[부서],$Q1482)&amp;"")</f>
        <v/>
      </c>
      <c r="B1482">
        <f>IF($Q1482="","",INDEX(상세표[사번],$Q1482)&amp;"")</f>
        <v/>
      </c>
      <c r="C1482">
        <f>IF($Q1482="","",INDEX(상세표[성명],$Q1482)&amp;"")</f>
        <v/>
      </c>
      <c r="D1482">
        <f>IF($Q1482="","",INDEX(상세표[직위],$Q1482)&amp;"")</f>
        <v/>
      </c>
      <c r="E1482">
        <f>IF($Q1482="","",IF(ISNUMBER(INDEX(상세표[근무일자],$Q1482)),TEXT(INDEX(상세표[근무일자],$Q1482),"yyyy-mm-dd"),INDEX(상세표[근무일자],$Q1482)&amp;""))</f>
        <v/>
      </c>
      <c r="F1482">
        <f>IF($Q1482="","",IF(ISNUMBER(INDEX(상세표[시작],$Q1482)),TEXT(INDEX(상세표[시작],$Q1482),"yyyy-mm-dd hh:mm"),INDEX(상세표[시작],$Q1482)&amp;""))</f>
        <v/>
      </c>
      <c r="G1482">
        <f>IF($Q1482="","",IF(ISNUMBER(INDEX(상세표[블록종료],$Q1482)),TEXT(INDEX(상세표[블록종료],$Q1482),"yyyy-mm-dd hh:mm"),INDEX(상세표[블록종료],$Q1482)&amp;""))</f>
        <v/>
      </c>
      <c r="H1482">
        <f>IF($Q1482="","",CHOOSE(WEEKDAY(INDEX(상세표[시작],$Q1482)),"일","월","화","수","목","금","토"))</f>
        <v/>
      </c>
      <c r="I1482" s="20">
        <f>IF($Q1482="","",INDEX(상세표[연속 시간],$Q1482))</f>
        <v/>
      </c>
      <c r="J1482">
        <f>IF($Q1482="","",INDEX(상세표[기록 수],$Q1482))</f>
        <v/>
      </c>
      <c r="K1482" s="20">
        <f>IF($Q1482="","",INDEX(상세표[블록 06~07시],$Q1482))</f>
        <v/>
      </c>
      <c r="L1482" s="20">
        <f>IF($Q1482="","",INDEX(상세표[블록 07~18시],$Q1482))</f>
        <v/>
      </c>
      <c r="M1482" s="20">
        <f>IF($Q1482="","",INDEX(상세표[블록 18~22시],$Q1482))</f>
        <v/>
      </c>
      <c r="N1482" s="20">
        <f>IF($Q1482="","",INDEX(상세표[블록 22~06시],$Q1482))</f>
        <v/>
      </c>
      <c r="O1482">
        <f>IF($Q1482="","",INDEX(상세표[주말·휴일 포함],$Q1482)&amp;"")</f>
        <v/>
      </c>
      <c r="P1482">
        <f>IF($Q1482="","",INDEX(상세표[월 넘김 포함],$Q1482)&amp;"")</f>
        <v/>
      </c>
      <c r="Q1482" s="4">
        <f>IFERROR(MATCH(1477,상세표[연속순번],0),"")</f>
        <v/>
      </c>
    </row>
    <row r="1483">
      <c r="A1483">
        <f>IF($Q1483="","",INDEX(상세표[부서],$Q1483)&amp;"")</f>
        <v/>
      </c>
      <c r="B1483">
        <f>IF($Q1483="","",INDEX(상세표[사번],$Q1483)&amp;"")</f>
        <v/>
      </c>
      <c r="C1483">
        <f>IF($Q1483="","",INDEX(상세표[성명],$Q1483)&amp;"")</f>
        <v/>
      </c>
      <c r="D1483">
        <f>IF($Q1483="","",INDEX(상세표[직위],$Q1483)&amp;"")</f>
        <v/>
      </c>
      <c r="E1483">
        <f>IF($Q1483="","",IF(ISNUMBER(INDEX(상세표[근무일자],$Q1483)),TEXT(INDEX(상세표[근무일자],$Q1483),"yyyy-mm-dd"),INDEX(상세표[근무일자],$Q1483)&amp;""))</f>
        <v/>
      </c>
      <c r="F1483">
        <f>IF($Q1483="","",IF(ISNUMBER(INDEX(상세표[시작],$Q1483)),TEXT(INDEX(상세표[시작],$Q1483),"yyyy-mm-dd hh:mm"),INDEX(상세표[시작],$Q1483)&amp;""))</f>
        <v/>
      </c>
      <c r="G1483">
        <f>IF($Q1483="","",IF(ISNUMBER(INDEX(상세표[블록종료],$Q1483)),TEXT(INDEX(상세표[블록종료],$Q1483),"yyyy-mm-dd hh:mm"),INDEX(상세표[블록종료],$Q1483)&amp;""))</f>
        <v/>
      </c>
      <c r="H1483">
        <f>IF($Q1483="","",CHOOSE(WEEKDAY(INDEX(상세표[시작],$Q1483)),"일","월","화","수","목","금","토"))</f>
        <v/>
      </c>
      <c r="I1483" s="20">
        <f>IF($Q1483="","",INDEX(상세표[연속 시간],$Q1483))</f>
        <v/>
      </c>
      <c r="J1483">
        <f>IF($Q1483="","",INDEX(상세표[기록 수],$Q1483))</f>
        <v/>
      </c>
      <c r="K1483" s="20">
        <f>IF($Q1483="","",INDEX(상세표[블록 06~07시],$Q1483))</f>
        <v/>
      </c>
      <c r="L1483" s="20">
        <f>IF($Q1483="","",INDEX(상세표[블록 07~18시],$Q1483))</f>
        <v/>
      </c>
      <c r="M1483" s="20">
        <f>IF($Q1483="","",INDEX(상세표[블록 18~22시],$Q1483))</f>
        <v/>
      </c>
      <c r="N1483" s="20">
        <f>IF($Q1483="","",INDEX(상세표[블록 22~06시],$Q1483))</f>
        <v/>
      </c>
      <c r="O1483">
        <f>IF($Q1483="","",INDEX(상세표[주말·휴일 포함],$Q1483)&amp;"")</f>
        <v/>
      </c>
      <c r="P1483">
        <f>IF($Q1483="","",INDEX(상세표[월 넘김 포함],$Q1483)&amp;"")</f>
        <v/>
      </c>
      <c r="Q1483" s="4">
        <f>IFERROR(MATCH(1478,상세표[연속순번],0),"")</f>
        <v/>
      </c>
    </row>
    <row r="1484">
      <c r="A1484">
        <f>IF($Q1484="","",INDEX(상세표[부서],$Q1484)&amp;"")</f>
        <v/>
      </c>
      <c r="B1484">
        <f>IF($Q1484="","",INDEX(상세표[사번],$Q1484)&amp;"")</f>
        <v/>
      </c>
      <c r="C1484">
        <f>IF($Q1484="","",INDEX(상세표[성명],$Q1484)&amp;"")</f>
        <v/>
      </c>
      <c r="D1484">
        <f>IF($Q1484="","",INDEX(상세표[직위],$Q1484)&amp;"")</f>
        <v/>
      </c>
      <c r="E1484">
        <f>IF($Q1484="","",IF(ISNUMBER(INDEX(상세표[근무일자],$Q1484)),TEXT(INDEX(상세표[근무일자],$Q1484),"yyyy-mm-dd"),INDEX(상세표[근무일자],$Q1484)&amp;""))</f>
        <v/>
      </c>
      <c r="F1484">
        <f>IF($Q1484="","",IF(ISNUMBER(INDEX(상세표[시작],$Q1484)),TEXT(INDEX(상세표[시작],$Q1484),"yyyy-mm-dd hh:mm"),INDEX(상세표[시작],$Q1484)&amp;""))</f>
        <v/>
      </c>
      <c r="G1484">
        <f>IF($Q1484="","",IF(ISNUMBER(INDEX(상세표[블록종료],$Q1484)),TEXT(INDEX(상세표[블록종료],$Q1484),"yyyy-mm-dd hh:mm"),INDEX(상세표[블록종료],$Q1484)&amp;""))</f>
        <v/>
      </c>
      <c r="H1484">
        <f>IF($Q1484="","",CHOOSE(WEEKDAY(INDEX(상세표[시작],$Q1484)),"일","월","화","수","목","금","토"))</f>
        <v/>
      </c>
      <c r="I1484" s="20">
        <f>IF($Q1484="","",INDEX(상세표[연속 시간],$Q1484))</f>
        <v/>
      </c>
      <c r="J1484">
        <f>IF($Q1484="","",INDEX(상세표[기록 수],$Q1484))</f>
        <v/>
      </c>
      <c r="K1484" s="20">
        <f>IF($Q1484="","",INDEX(상세표[블록 06~07시],$Q1484))</f>
        <v/>
      </c>
      <c r="L1484" s="20">
        <f>IF($Q1484="","",INDEX(상세표[블록 07~18시],$Q1484))</f>
        <v/>
      </c>
      <c r="M1484" s="20">
        <f>IF($Q1484="","",INDEX(상세표[블록 18~22시],$Q1484))</f>
        <v/>
      </c>
      <c r="N1484" s="20">
        <f>IF($Q1484="","",INDEX(상세표[블록 22~06시],$Q1484))</f>
        <v/>
      </c>
      <c r="O1484">
        <f>IF($Q1484="","",INDEX(상세표[주말·휴일 포함],$Q1484)&amp;"")</f>
        <v/>
      </c>
      <c r="P1484">
        <f>IF($Q1484="","",INDEX(상세표[월 넘김 포함],$Q1484)&amp;"")</f>
        <v/>
      </c>
      <c r="Q1484" s="4">
        <f>IFERROR(MATCH(1479,상세표[연속순번],0),"")</f>
        <v/>
      </c>
    </row>
    <row r="1485">
      <c r="A1485">
        <f>IF($Q1485="","",INDEX(상세표[부서],$Q1485)&amp;"")</f>
        <v/>
      </c>
      <c r="B1485">
        <f>IF($Q1485="","",INDEX(상세표[사번],$Q1485)&amp;"")</f>
        <v/>
      </c>
      <c r="C1485">
        <f>IF($Q1485="","",INDEX(상세표[성명],$Q1485)&amp;"")</f>
        <v/>
      </c>
      <c r="D1485">
        <f>IF($Q1485="","",INDEX(상세표[직위],$Q1485)&amp;"")</f>
        <v/>
      </c>
      <c r="E1485">
        <f>IF($Q1485="","",IF(ISNUMBER(INDEX(상세표[근무일자],$Q1485)),TEXT(INDEX(상세표[근무일자],$Q1485),"yyyy-mm-dd"),INDEX(상세표[근무일자],$Q1485)&amp;""))</f>
        <v/>
      </c>
      <c r="F1485">
        <f>IF($Q1485="","",IF(ISNUMBER(INDEX(상세표[시작],$Q1485)),TEXT(INDEX(상세표[시작],$Q1485),"yyyy-mm-dd hh:mm"),INDEX(상세표[시작],$Q1485)&amp;""))</f>
        <v/>
      </c>
      <c r="G1485">
        <f>IF($Q1485="","",IF(ISNUMBER(INDEX(상세표[블록종료],$Q1485)),TEXT(INDEX(상세표[블록종료],$Q1485),"yyyy-mm-dd hh:mm"),INDEX(상세표[블록종료],$Q1485)&amp;""))</f>
        <v/>
      </c>
      <c r="H1485">
        <f>IF($Q1485="","",CHOOSE(WEEKDAY(INDEX(상세표[시작],$Q1485)),"일","월","화","수","목","금","토"))</f>
        <v/>
      </c>
      <c r="I1485" s="20">
        <f>IF($Q1485="","",INDEX(상세표[연속 시간],$Q1485))</f>
        <v/>
      </c>
      <c r="J1485">
        <f>IF($Q1485="","",INDEX(상세표[기록 수],$Q1485))</f>
        <v/>
      </c>
      <c r="K1485" s="20">
        <f>IF($Q1485="","",INDEX(상세표[블록 06~07시],$Q1485))</f>
        <v/>
      </c>
      <c r="L1485" s="20">
        <f>IF($Q1485="","",INDEX(상세표[블록 07~18시],$Q1485))</f>
        <v/>
      </c>
      <c r="M1485" s="20">
        <f>IF($Q1485="","",INDEX(상세표[블록 18~22시],$Q1485))</f>
        <v/>
      </c>
      <c r="N1485" s="20">
        <f>IF($Q1485="","",INDEX(상세표[블록 22~06시],$Q1485))</f>
        <v/>
      </c>
      <c r="O1485">
        <f>IF($Q1485="","",INDEX(상세표[주말·휴일 포함],$Q1485)&amp;"")</f>
        <v/>
      </c>
      <c r="P1485">
        <f>IF($Q1485="","",INDEX(상세표[월 넘김 포함],$Q1485)&amp;"")</f>
        <v/>
      </c>
      <c r="Q1485" s="4">
        <f>IFERROR(MATCH(1480,상세표[연속순번],0),"")</f>
        <v/>
      </c>
    </row>
    <row r="1486">
      <c r="A1486">
        <f>IF($Q1486="","",INDEX(상세표[부서],$Q1486)&amp;"")</f>
        <v/>
      </c>
      <c r="B1486">
        <f>IF($Q1486="","",INDEX(상세표[사번],$Q1486)&amp;"")</f>
        <v/>
      </c>
      <c r="C1486">
        <f>IF($Q1486="","",INDEX(상세표[성명],$Q1486)&amp;"")</f>
        <v/>
      </c>
      <c r="D1486">
        <f>IF($Q1486="","",INDEX(상세표[직위],$Q1486)&amp;"")</f>
        <v/>
      </c>
      <c r="E1486">
        <f>IF($Q1486="","",IF(ISNUMBER(INDEX(상세표[근무일자],$Q1486)),TEXT(INDEX(상세표[근무일자],$Q1486),"yyyy-mm-dd"),INDEX(상세표[근무일자],$Q1486)&amp;""))</f>
        <v/>
      </c>
      <c r="F1486">
        <f>IF($Q1486="","",IF(ISNUMBER(INDEX(상세표[시작],$Q1486)),TEXT(INDEX(상세표[시작],$Q1486),"yyyy-mm-dd hh:mm"),INDEX(상세표[시작],$Q1486)&amp;""))</f>
        <v/>
      </c>
      <c r="G1486">
        <f>IF($Q1486="","",IF(ISNUMBER(INDEX(상세표[블록종료],$Q1486)),TEXT(INDEX(상세표[블록종료],$Q1486),"yyyy-mm-dd hh:mm"),INDEX(상세표[블록종료],$Q1486)&amp;""))</f>
        <v/>
      </c>
      <c r="H1486">
        <f>IF($Q1486="","",CHOOSE(WEEKDAY(INDEX(상세표[시작],$Q1486)),"일","월","화","수","목","금","토"))</f>
        <v/>
      </c>
      <c r="I1486" s="20">
        <f>IF($Q1486="","",INDEX(상세표[연속 시간],$Q1486))</f>
        <v/>
      </c>
      <c r="J1486">
        <f>IF($Q1486="","",INDEX(상세표[기록 수],$Q1486))</f>
        <v/>
      </c>
      <c r="K1486" s="20">
        <f>IF($Q1486="","",INDEX(상세표[블록 06~07시],$Q1486))</f>
        <v/>
      </c>
      <c r="L1486" s="20">
        <f>IF($Q1486="","",INDEX(상세표[블록 07~18시],$Q1486))</f>
        <v/>
      </c>
      <c r="M1486" s="20">
        <f>IF($Q1486="","",INDEX(상세표[블록 18~22시],$Q1486))</f>
        <v/>
      </c>
      <c r="N1486" s="20">
        <f>IF($Q1486="","",INDEX(상세표[블록 22~06시],$Q1486))</f>
        <v/>
      </c>
      <c r="O1486">
        <f>IF($Q1486="","",INDEX(상세표[주말·휴일 포함],$Q1486)&amp;"")</f>
        <v/>
      </c>
      <c r="P1486">
        <f>IF($Q1486="","",INDEX(상세표[월 넘김 포함],$Q1486)&amp;"")</f>
        <v/>
      </c>
      <c r="Q1486" s="4">
        <f>IFERROR(MATCH(1481,상세표[연속순번],0),"")</f>
        <v/>
      </c>
    </row>
    <row r="1487">
      <c r="A1487">
        <f>IF($Q1487="","",INDEX(상세표[부서],$Q1487)&amp;"")</f>
        <v/>
      </c>
      <c r="B1487">
        <f>IF($Q1487="","",INDEX(상세표[사번],$Q1487)&amp;"")</f>
        <v/>
      </c>
      <c r="C1487">
        <f>IF($Q1487="","",INDEX(상세표[성명],$Q1487)&amp;"")</f>
        <v/>
      </c>
      <c r="D1487">
        <f>IF($Q1487="","",INDEX(상세표[직위],$Q1487)&amp;"")</f>
        <v/>
      </c>
      <c r="E1487">
        <f>IF($Q1487="","",IF(ISNUMBER(INDEX(상세표[근무일자],$Q1487)),TEXT(INDEX(상세표[근무일자],$Q1487),"yyyy-mm-dd"),INDEX(상세표[근무일자],$Q1487)&amp;""))</f>
        <v/>
      </c>
      <c r="F1487">
        <f>IF($Q1487="","",IF(ISNUMBER(INDEX(상세표[시작],$Q1487)),TEXT(INDEX(상세표[시작],$Q1487),"yyyy-mm-dd hh:mm"),INDEX(상세표[시작],$Q1487)&amp;""))</f>
        <v/>
      </c>
      <c r="G1487">
        <f>IF($Q1487="","",IF(ISNUMBER(INDEX(상세표[블록종료],$Q1487)),TEXT(INDEX(상세표[블록종료],$Q1487),"yyyy-mm-dd hh:mm"),INDEX(상세표[블록종료],$Q1487)&amp;""))</f>
        <v/>
      </c>
      <c r="H1487">
        <f>IF($Q1487="","",CHOOSE(WEEKDAY(INDEX(상세표[시작],$Q1487)),"일","월","화","수","목","금","토"))</f>
        <v/>
      </c>
      <c r="I1487" s="20">
        <f>IF($Q1487="","",INDEX(상세표[연속 시간],$Q1487))</f>
        <v/>
      </c>
      <c r="J1487">
        <f>IF($Q1487="","",INDEX(상세표[기록 수],$Q1487))</f>
        <v/>
      </c>
      <c r="K1487" s="20">
        <f>IF($Q1487="","",INDEX(상세표[블록 06~07시],$Q1487))</f>
        <v/>
      </c>
      <c r="L1487" s="20">
        <f>IF($Q1487="","",INDEX(상세표[블록 07~18시],$Q1487))</f>
        <v/>
      </c>
      <c r="M1487" s="20">
        <f>IF($Q1487="","",INDEX(상세표[블록 18~22시],$Q1487))</f>
        <v/>
      </c>
      <c r="N1487" s="20">
        <f>IF($Q1487="","",INDEX(상세표[블록 22~06시],$Q1487))</f>
        <v/>
      </c>
      <c r="O1487">
        <f>IF($Q1487="","",INDEX(상세표[주말·휴일 포함],$Q1487)&amp;"")</f>
        <v/>
      </c>
      <c r="P1487">
        <f>IF($Q1487="","",INDEX(상세표[월 넘김 포함],$Q1487)&amp;"")</f>
        <v/>
      </c>
      <c r="Q1487" s="4">
        <f>IFERROR(MATCH(1482,상세표[연속순번],0),"")</f>
        <v/>
      </c>
    </row>
    <row r="1488">
      <c r="A1488">
        <f>IF($Q1488="","",INDEX(상세표[부서],$Q1488)&amp;"")</f>
        <v/>
      </c>
      <c r="B1488">
        <f>IF($Q1488="","",INDEX(상세표[사번],$Q1488)&amp;"")</f>
        <v/>
      </c>
      <c r="C1488">
        <f>IF($Q1488="","",INDEX(상세표[성명],$Q1488)&amp;"")</f>
        <v/>
      </c>
      <c r="D1488">
        <f>IF($Q1488="","",INDEX(상세표[직위],$Q1488)&amp;"")</f>
        <v/>
      </c>
      <c r="E1488">
        <f>IF($Q1488="","",IF(ISNUMBER(INDEX(상세표[근무일자],$Q1488)),TEXT(INDEX(상세표[근무일자],$Q1488),"yyyy-mm-dd"),INDEX(상세표[근무일자],$Q1488)&amp;""))</f>
        <v/>
      </c>
      <c r="F1488">
        <f>IF($Q1488="","",IF(ISNUMBER(INDEX(상세표[시작],$Q1488)),TEXT(INDEX(상세표[시작],$Q1488),"yyyy-mm-dd hh:mm"),INDEX(상세표[시작],$Q1488)&amp;""))</f>
        <v/>
      </c>
      <c r="G1488">
        <f>IF($Q1488="","",IF(ISNUMBER(INDEX(상세표[블록종료],$Q1488)),TEXT(INDEX(상세표[블록종료],$Q1488),"yyyy-mm-dd hh:mm"),INDEX(상세표[블록종료],$Q1488)&amp;""))</f>
        <v/>
      </c>
      <c r="H1488">
        <f>IF($Q1488="","",CHOOSE(WEEKDAY(INDEX(상세표[시작],$Q1488)),"일","월","화","수","목","금","토"))</f>
        <v/>
      </c>
      <c r="I1488" s="20">
        <f>IF($Q1488="","",INDEX(상세표[연속 시간],$Q1488))</f>
        <v/>
      </c>
      <c r="J1488">
        <f>IF($Q1488="","",INDEX(상세표[기록 수],$Q1488))</f>
        <v/>
      </c>
      <c r="K1488" s="20">
        <f>IF($Q1488="","",INDEX(상세표[블록 06~07시],$Q1488))</f>
        <v/>
      </c>
      <c r="L1488" s="20">
        <f>IF($Q1488="","",INDEX(상세표[블록 07~18시],$Q1488))</f>
        <v/>
      </c>
      <c r="M1488" s="20">
        <f>IF($Q1488="","",INDEX(상세표[블록 18~22시],$Q1488))</f>
        <v/>
      </c>
      <c r="N1488" s="20">
        <f>IF($Q1488="","",INDEX(상세표[블록 22~06시],$Q1488))</f>
        <v/>
      </c>
      <c r="O1488">
        <f>IF($Q1488="","",INDEX(상세표[주말·휴일 포함],$Q1488)&amp;"")</f>
        <v/>
      </c>
      <c r="P1488">
        <f>IF($Q1488="","",INDEX(상세표[월 넘김 포함],$Q1488)&amp;"")</f>
        <v/>
      </c>
      <c r="Q1488" s="4">
        <f>IFERROR(MATCH(1483,상세표[연속순번],0),"")</f>
        <v/>
      </c>
    </row>
    <row r="1489">
      <c r="A1489">
        <f>IF($Q1489="","",INDEX(상세표[부서],$Q1489)&amp;"")</f>
        <v/>
      </c>
      <c r="B1489">
        <f>IF($Q1489="","",INDEX(상세표[사번],$Q1489)&amp;"")</f>
        <v/>
      </c>
      <c r="C1489">
        <f>IF($Q1489="","",INDEX(상세표[성명],$Q1489)&amp;"")</f>
        <v/>
      </c>
      <c r="D1489">
        <f>IF($Q1489="","",INDEX(상세표[직위],$Q1489)&amp;"")</f>
        <v/>
      </c>
      <c r="E1489">
        <f>IF($Q1489="","",IF(ISNUMBER(INDEX(상세표[근무일자],$Q1489)),TEXT(INDEX(상세표[근무일자],$Q1489),"yyyy-mm-dd"),INDEX(상세표[근무일자],$Q1489)&amp;""))</f>
        <v/>
      </c>
      <c r="F1489">
        <f>IF($Q1489="","",IF(ISNUMBER(INDEX(상세표[시작],$Q1489)),TEXT(INDEX(상세표[시작],$Q1489),"yyyy-mm-dd hh:mm"),INDEX(상세표[시작],$Q1489)&amp;""))</f>
        <v/>
      </c>
      <c r="G1489">
        <f>IF($Q1489="","",IF(ISNUMBER(INDEX(상세표[블록종료],$Q1489)),TEXT(INDEX(상세표[블록종료],$Q1489),"yyyy-mm-dd hh:mm"),INDEX(상세표[블록종료],$Q1489)&amp;""))</f>
        <v/>
      </c>
      <c r="H1489">
        <f>IF($Q1489="","",CHOOSE(WEEKDAY(INDEX(상세표[시작],$Q1489)),"일","월","화","수","목","금","토"))</f>
        <v/>
      </c>
      <c r="I1489" s="20">
        <f>IF($Q1489="","",INDEX(상세표[연속 시간],$Q1489))</f>
        <v/>
      </c>
      <c r="J1489">
        <f>IF($Q1489="","",INDEX(상세표[기록 수],$Q1489))</f>
        <v/>
      </c>
      <c r="K1489" s="20">
        <f>IF($Q1489="","",INDEX(상세표[블록 06~07시],$Q1489))</f>
        <v/>
      </c>
      <c r="L1489" s="20">
        <f>IF($Q1489="","",INDEX(상세표[블록 07~18시],$Q1489))</f>
        <v/>
      </c>
      <c r="M1489" s="20">
        <f>IF($Q1489="","",INDEX(상세표[블록 18~22시],$Q1489))</f>
        <v/>
      </c>
      <c r="N1489" s="20">
        <f>IF($Q1489="","",INDEX(상세표[블록 22~06시],$Q1489))</f>
        <v/>
      </c>
      <c r="O1489">
        <f>IF($Q1489="","",INDEX(상세표[주말·휴일 포함],$Q1489)&amp;"")</f>
        <v/>
      </c>
      <c r="P1489">
        <f>IF($Q1489="","",INDEX(상세표[월 넘김 포함],$Q1489)&amp;"")</f>
        <v/>
      </c>
      <c r="Q1489" s="4">
        <f>IFERROR(MATCH(1484,상세표[연속순번],0),"")</f>
        <v/>
      </c>
    </row>
    <row r="1490">
      <c r="A1490">
        <f>IF($Q1490="","",INDEX(상세표[부서],$Q1490)&amp;"")</f>
        <v/>
      </c>
      <c r="B1490">
        <f>IF($Q1490="","",INDEX(상세표[사번],$Q1490)&amp;"")</f>
        <v/>
      </c>
      <c r="C1490">
        <f>IF($Q1490="","",INDEX(상세표[성명],$Q1490)&amp;"")</f>
        <v/>
      </c>
      <c r="D1490">
        <f>IF($Q1490="","",INDEX(상세표[직위],$Q1490)&amp;"")</f>
        <v/>
      </c>
      <c r="E1490">
        <f>IF($Q1490="","",IF(ISNUMBER(INDEX(상세표[근무일자],$Q1490)),TEXT(INDEX(상세표[근무일자],$Q1490),"yyyy-mm-dd"),INDEX(상세표[근무일자],$Q1490)&amp;""))</f>
        <v/>
      </c>
      <c r="F1490">
        <f>IF($Q1490="","",IF(ISNUMBER(INDEX(상세표[시작],$Q1490)),TEXT(INDEX(상세표[시작],$Q1490),"yyyy-mm-dd hh:mm"),INDEX(상세표[시작],$Q1490)&amp;""))</f>
        <v/>
      </c>
      <c r="G1490">
        <f>IF($Q1490="","",IF(ISNUMBER(INDEX(상세표[블록종료],$Q1490)),TEXT(INDEX(상세표[블록종료],$Q1490),"yyyy-mm-dd hh:mm"),INDEX(상세표[블록종료],$Q1490)&amp;""))</f>
        <v/>
      </c>
      <c r="H1490">
        <f>IF($Q1490="","",CHOOSE(WEEKDAY(INDEX(상세표[시작],$Q1490)),"일","월","화","수","목","금","토"))</f>
        <v/>
      </c>
      <c r="I1490" s="20">
        <f>IF($Q1490="","",INDEX(상세표[연속 시간],$Q1490))</f>
        <v/>
      </c>
      <c r="J1490">
        <f>IF($Q1490="","",INDEX(상세표[기록 수],$Q1490))</f>
        <v/>
      </c>
      <c r="K1490" s="20">
        <f>IF($Q1490="","",INDEX(상세표[블록 06~07시],$Q1490))</f>
        <v/>
      </c>
      <c r="L1490" s="20">
        <f>IF($Q1490="","",INDEX(상세표[블록 07~18시],$Q1490))</f>
        <v/>
      </c>
      <c r="M1490" s="20">
        <f>IF($Q1490="","",INDEX(상세표[블록 18~22시],$Q1490))</f>
        <v/>
      </c>
      <c r="N1490" s="20">
        <f>IF($Q1490="","",INDEX(상세표[블록 22~06시],$Q1490))</f>
        <v/>
      </c>
      <c r="O1490">
        <f>IF($Q1490="","",INDEX(상세표[주말·휴일 포함],$Q1490)&amp;"")</f>
        <v/>
      </c>
      <c r="P1490">
        <f>IF($Q1490="","",INDEX(상세표[월 넘김 포함],$Q1490)&amp;"")</f>
        <v/>
      </c>
      <c r="Q1490" s="4">
        <f>IFERROR(MATCH(1485,상세표[연속순번],0),"")</f>
        <v/>
      </c>
    </row>
    <row r="1491">
      <c r="A1491">
        <f>IF($Q1491="","",INDEX(상세표[부서],$Q1491)&amp;"")</f>
        <v/>
      </c>
      <c r="B1491">
        <f>IF($Q1491="","",INDEX(상세표[사번],$Q1491)&amp;"")</f>
        <v/>
      </c>
      <c r="C1491">
        <f>IF($Q1491="","",INDEX(상세표[성명],$Q1491)&amp;"")</f>
        <v/>
      </c>
      <c r="D1491">
        <f>IF($Q1491="","",INDEX(상세표[직위],$Q1491)&amp;"")</f>
        <v/>
      </c>
      <c r="E1491">
        <f>IF($Q1491="","",IF(ISNUMBER(INDEX(상세표[근무일자],$Q1491)),TEXT(INDEX(상세표[근무일자],$Q1491),"yyyy-mm-dd"),INDEX(상세표[근무일자],$Q1491)&amp;""))</f>
        <v/>
      </c>
      <c r="F1491">
        <f>IF($Q1491="","",IF(ISNUMBER(INDEX(상세표[시작],$Q1491)),TEXT(INDEX(상세표[시작],$Q1491),"yyyy-mm-dd hh:mm"),INDEX(상세표[시작],$Q1491)&amp;""))</f>
        <v/>
      </c>
      <c r="G1491">
        <f>IF($Q1491="","",IF(ISNUMBER(INDEX(상세표[블록종료],$Q1491)),TEXT(INDEX(상세표[블록종료],$Q1491),"yyyy-mm-dd hh:mm"),INDEX(상세표[블록종료],$Q1491)&amp;""))</f>
        <v/>
      </c>
      <c r="H1491">
        <f>IF($Q1491="","",CHOOSE(WEEKDAY(INDEX(상세표[시작],$Q1491)),"일","월","화","수","목","금","토"))</f>
        <v/>
      </c>
      <c r="I1491" s="20">
        <f>IF($Q1491="","",INDEX(상세표[연속 시간],$Q1491))</f>
        <v/>
      </c>
      <c r="J1491">
        <f>IF($Q1491="","",INDEX(상세표[기록 수],$Q1491))</f>
        <v/>
      </c>
      <c r="K1491" s="20">
        <f>IF($Q1491="","",INDEX(상세표[블록 06~07시],$Q1491))</f>
        <v/>
      </c>
      <c r="L1491" s="20">
        <f>IF($Q1491="","",INDEX(상세표[블록 07~18시],$Q1491))</f>
        <v/>
      </c>
      <c r="M1491" s="20">
        <f>IF($Q1491="","",INDEX(상세표[블록 18~22시],$Q1491))</f>
        <v/>
      </c>
      <c r="N1491" s="20">
        <f>IF($Q1491="","",INDEX(상세표[블록 22~06시],$Q1491))</f>
        <v/>
      </c>
      <c r="O1491">
        <f>IF($Q1491="","",INDEX(상세표[주말·휴일 포함],$Q1491)&amp;"")</f>
        <v/>
      </c>
      <c r="P1491">
        <f>IF($Q1491="","",INDEX(상세표[월 넘김 포함],$Q1491)&amp;"")</f>
        <v/>
      </c>
      <c r="Q1491" s="4">
        <f>IFERROR(MATCH(1486,상세표[연속순번],0),"")</f>
        <v/>
      </c>
    </row>
    <row r="1492">
      <c r="A1492">
        <f>IF($Q1492="","",INDEX(상세표[부서],$Q1492)&amp;"")</f>
        <v/>
      </c>
      <c r="B1492">
        <f>IF($Q1492="","",INDEX(상세표[사번],$Q1492)&amp;"")</f>
        <v/>
      </c>
      <c r="C1492">
        <f>IF($Q1492="","",INDEX(상세표[성명],$Q1492)&amp;"")</f>
        <v/>
      </c>
      <c r="D1492">
        <f>IF($Q1492="","",INDEX(상세표[직위],$Q1492)&amp;"")</f>
        <v/>
      </c>
      <c r="E1492">
        <f>IF($Q1492="","",IF(ISNUMBER(INDEX(상세표[근무일자],$Q1492)),TEXT(INDEX(상세표[근무일자],$Q1492),"yyyy-mm-dd"),INDEX(상세표[근무일자],$Q1492)&amp;""))</f>
        <v/>
      </c>
      <c r="F1492">
        <f>IF($Q1492="","",IF(ISNUMBER(INDEX(상세표[시작],$Q1492)),TEXT(INDEX(상세표[시작],$Q1492),"yyyy-mm-dd hh:mm"),INDEX(상세표[시작],$Q1492)&amp;""))</f>
        <v/>
      </c>
      <c r="G1492">
        <f>IF($Q1492="","",IF(ISNUMBER(INDEX(상세표[블록종료],$Q1492)),TEXT(INDEX(상세표[블록종료],$Q1492),"yyyy-mm-dd hh:mm"),INDEX(상세표[블록종료],$Q1492)&amp;""))</f>
        <v/>
      </c>
      <c r="H1492">
        <f>IF($Q1492="","",CHOOSE(WEEKDAY(INDEX(상세표[시작],$Q1492)),"일","월","화","수","목","금","토"))</f>
        <v/>
      </c>
      <c r="I1492" s="20">
        <f>IF($Q1492="","",INDEX(상세표[연속 시간],$Q1492))</f>
        <v/>
      </c>
      <c r="J1492">
        <f>IF($Q1492="","",INDEX(상세표[기록 수],$Q1492))</f>
        <v/>
      </c>
      <c r="K1492" s="20">
        <f>IF($Q1492="","",INDEX(상세표[블록 06~07시],$Q1492))</f>
        <v/>
      </c>
      <c r="L1492" s="20">
        <f>IF($Q1492="","",INDEX(상세표[블록 07~18시],$Q1492))</f>
        <v/>
      </c>
      <c r="M1492" s="20">
        <f>IF($Q1492="","",INDEX(상세표[블록 18~22시],$Q1492))</f>
        <v/>
      </c>
      <c r="N1492" s="20">
        <f>IF($Q1492="","",INDEX(상세표[블록 22~06시],$Q1492))</f>
        <v/>
      </c>
      <c r="O1492">
        <f>IF($Q1492="","",INDEX(상세표[주말·휴일 포함],$Q1492)&amp;"")</f>
        <v/>
      </c>
      <c r="P1492">
        <f>IF($Q1492="","",INDEX(상세표[월 넘김 포함],$Q1492)&amp;"")</f>
        <v/>
      </c>
      <c r="Q1492" s="4">
        <f>IFERROR(MATCH(1487,상세표[연속순번],0),"")</f>
        <v/>
      </c>
    </row>
    <row r="1493">
      <c r="A1493">
        <f>IF($Q1493="","",INDEX(상세표[부서],$Q1493)&amp;"")</f>
        <v/>
      </c>
      <c r="B1493">
        <f>IF($Q1493="","",INDEX(상세표[사번],$Q1493)&amp;"")</f>
        <v/>
      </c>
      <c r="C1493">
        <f>IF($Q1493="","",INDEX(상세표[성명],$Q1493)&amp;"")</f>
        <v/>
      </c>
      <c r="D1493">
        <f>IF($Q1493="","",INDEX(상세표[직위],$Q1493)&amp;"")</f>
        <v/>
      </c>
      <c r="E1493">
        <f>IF($Q1493="","",IF(ISNUMBER(INDEX(상세표[근무일자],$Q1493)),TEXT(INDEX(상세표[근무일자],$Q1493),"yyyy-mm-dd"),INDEX(상세표[근무일자],$Q1493)&amp;""))</f>
        <v/>
      </c>
      <c r="F1493">
        <f>IF($Q1493="","",IF(ISNUMBER(INDEX(상세표[시작],$Q1493)),TEXT(INDEX(상세표[시작],$Q1493),"yyyy-mm-dd hh:mm"),INDEX(상세표[시작],$Q1493)&amp;""))</f>
        <v/>
      </c>
      <c r="G1493">
        <f>IF($Q1493="","",IF(ISNUMBER(INDEX(상세표[블록종료],$Q1493)),TEXT(INDEX(상세표[블록종료],$Q1493),"yyyy-mm-dd hh:mm"),INDEX(상세표[블록종료],$Q1493)&amp;""))</f>
        <v/>
      </c>
      <c r="H1493">
        <f>IF($Q1493="","",CHOOSE(WEEKDAY(INDEX(상세표[시작],$Q1493)),"일","월","화","수","목","금","토"))</f>
        <v/>
      </c>
      <c r="I1493" s="20">
        <f>IF($Q1493="","",INDEX(상세표[연속 시간],$Q1493))</f>
        <v/>
      </c>
      <c r="J1493">
        <f>IF($Q1493="","",INDEX(상세표[기록 수],$Q1493))</f>
        <v/>
      </c>
      <c r="K1493" s="20">
        <f>IF($Q1493="","",INDEX(상세표[블록 06~07시],$Q1493))</f>
        <v/>
      </c>
      <c r="L1493" s="20">
        <f>IF($Q1493="","",INDEX(상세표[블록 07~18시],$Q1493))</f>
        <v/>
      </c>
      <c r="M1493" s="20">
        <f>IF($Q1493="","",INDEX(상세표[블록 18~22시],$Q1493))</f>
        <v/>
      </c>
      <c r="N1493" s="20">
        <f>IF($Q1493="","",INDEX(상세표[블록 22~06시],$Q1493))</f>
        <v/>
      </c>
      <c r="O1493">
        <f>IF($Q1493="","",INDEX(상세표[주말·휴일 포함],$Q1493)&amp;"")</f>
        <v/>
      </c>
      <c r="P1493">
        <f>IF($Q1493="","",INDEX(상세표[월 넘김 포함],$Q1493)&amp;"")</f>
        <v/>
      </c>
      <c r="Q1493" s="4">
        <f>IFERROR(MATCH(1488,상세표[연속순번],0),"")</f>
        <v/>
      </c>
    </row>
    <row r="1494">
      <c r="A1494">
        <f>IF($Q1494="","",INDEX(상세표[부서],$Q1494)&amp;"")</f>
        <v/>
      </c>
      <c r="B1494">
        <f>IF($Q1494="","",INDEX(상세표[사번],$Q1494)&amp;"")</f>
        <v/>
      </c>
      <c r="C1494">
        <f>IF($Q1494="","",INDEX(상세표[성명],$Q1494)&amp;"")</f>
        <v/>
      </c>
      <c r="D1494">
        <f>IF($Q1494="","",INDEX(상세표[직위],$Q1494)&amp;"")</f>
        <v/>
      </c>
      <c r="E1494">
        <f>IF($Q1494="","",IF(ISNUMBER(INDEX(상세표[근무일자],$Q1494)),TEXT(INDEX(상세표[근무일자],$Q1494),"yyyy-mm-dd"),INDEX(상세표[근무일자],$Q1494)&amp;""))</f>
        <v/>
      </c>
      <c r="F1494">
        <f>IF($Q1494="","",IF(ISNUMBER(INDEX(상세표[시작],$Q1494)),TEXT(INDEX(상세표[시작],$Q1494),"yyyy-mm-dd hh:mm"),INDEX(상세표[시작],$Q1494)&amp;""))</f>
        <v/>
      </c>
      <c r="G1494">
        <f>IF($Q1494="","",IF(ISNUMBER(INDEX(상세표[블록종료],$Q1494)),TEXT(INDEX(상세표[블록종료],$Q1494),"yyyy-mm-dd hh:mm"),INDEX(상세표[블록종료],$Q1494)&amp;""))</f>
        <v/>
      </c>
      <c r="H1494">
        <f>IF($Q1494="","",CHOOSE(WEEKDAY(INDEX(상세표[시작],$Q1494)),"일","월","화","수","목","금","토"))</f>
        <v/>
      </c>
      <c r="I1494" s="20">
        <f>IF($Q1494="","",INDEX(상세표[연속 시간],$Q1494))</f>
        <v/>
      </c>
      <c r="J1494">
        <f>IF($Q1494="","",INDEX(상세표[기록 수],$Q1494))</f>
        <v/>
      </c>
      <c r="K1494" s="20">
        <f>IF($Q1494="","",INDEX(상세표[블록 06~07시],$Q1494))</f>
        <v/>
      </c>
      <c r="L1494" s="20">
        <f>IF($Q1494="","",INDEX(상세표[블록 07~18시],$Q1494))</f>
        <v/>
      </c>
      <c r="M1494" s="20">
        <f>IF($Q1494="","",INDEX(상세표[블록 18~22시],$Q1494))</f>
        <v/>
      </c>
      <c r="N1494" s="20">
        <f>IF($Q1494="","",INDEX(상세표[블록 22~06시],$Q1494))</f>
        <v/>
      </c>
      <c r="O1494">
        <f>IF($Q1494="","",INDEX(상세표[주말·휴일 포함],$Q1494)&amp;"")</f>
        <v/>
      </c>
      <c r="P1494">
        <f>IF($Q1494="","",INDEX(상세표[월 넘김 포함],$Q1494)&amp;"")</f>
        <v/>
      </c>
      <c r="Q1494" s="4">
        <f>IFERROR(MATCH(1489,상세표[연속순번],0),"")</f>
        <v/>
      </c>
    </row>
    <row r="1495">
      <c r="A1495">
        <f>IF($Q1495="","",INDEX(상세표[부서],$Q1495)&amp;"")</f>
        <v/>
      </c>
      <c r="B1495">
        <f>IF($Q1495="","",INDEX(상세표[사번],$Q1495)&amp;"")</f>
        <v/>
      </c>
      <c r="C1495">
        <f>IF($Q1495="","",INDEX(상세표[성명],$Q1495)&amp;"")</f>
        <v/>
      </c>
      <c r="D1495">
        <f>IF($Q1495="","",INDEX(상세표[직위],$Q1495)&amp;"")</f>
        <v/>
      </c>
      <c r="E1495">
        <f>IF($Q1495="","",IF(ISNUMBER(INDEX(상세표[근무일자],$Q1495)),TEXT(INDEX(상세표[근무일자],$Q1495),"yyyy-mm-dd"),INDEX(상세표[근무일자],$Q1495)&amp;""))</f>
        <v/>
      </c>
      <c r="F1495">
        <f>IF($Q1495="","",IF(ISNUMBER(INDEX(상세표[시작],$Q1495)),TEXT(INDEX(상세표[시작],$Q1495),"yyyy-mm-dd hh:mm"),INDEX(상세표[시작],$Q1495)&amp;""))</f>
        <v/>
      </c>
      <c r="G1495">
        <f>IF($Q1495="","",IF(ISNUMBER(INDEX(상세표[블록종료],$Q1495)),TEXT(INDEX(상세표[블록종료],$Q1495),"yyyy-mm-dd hh:mm"),INDEX(상세표[블록종료],$Q1495)&amp;""))</f>
        <v/>
      </c>
      <c r="H1495">
        <f>IF($Q1495="","",CHOOSE(WEEKDAY(INDEX(상세표[시작],$Q1495)),"일","월","화","수","목","금","토"))</f>
        <v/>
      </c>
      <c r="I1495" s="20">
        <f>IF($Q1495="","",INDEX(상세표[연속 시간],$Q1495))</f>
        <v/>
      </c>
      <c r="J1495">
        <f>IF($Q1495="","",INDEX(상세표[기록 수],$Q1495))</f>
        <v/>
      </c>
      <c r="K1495" s="20">
        <f>IF($Q1495="","",INDEX(상세표[블록 06~07시],$Q1495))</f>
        <v/>
      </c>
      <c r="L1495" s="20">
        <f>IF($Q1495="","",INDEX(상세표[블록 07~18시],$Q1495))</f>
        <v/>
      </c>
      <c r="M1495" s="20">
        <f>IF($Q1495="","",INDEX(상세표[블록 18~22시],$Q1495))</f>
        <v/>
      </c>
      <c r="N1495" s="20">
        <f>IF($Q1495="","",INDEX(상세표[블록 22~06시],$Q1495))</f>
        <v/>
      </c>
      <c r="O1495">
        <f>IF($Q1495="","",INDEX(상세표[주말·휴일 포함],$Q1495)&amp;"")</f>
        <v/>
      </c>
      <c r="P1495">
        <f>IF($Q1495="","",INDEX(상세표[월 넘김 포함],$Q1495)&amp;"")</f>
        <v/>
      </c>
      <c r="Q1495" s="4">
        <f>IFERROR(MATCH(1490,상세표[연속순번],0),"")</f>
        <v/>
      </c>
    </row>
    <row r="1496">
      <c r="A1496">
        <f>IF($Q1496="","",INDEX(상세표[부서],$Q1496)&amp;"")</f>
        <v/>
      </c>
      <c r="B1496">
        <f>IF($Q1496="","",INDEX(상세표[사번],$Q1496)&amp;"")</f>
        <v/>
      </c>
      <c r="C1496">
        <f>IF($Q1496="","",INDEX(상세표[성명],$Q1496)&amp;"")</f>
        <v/>
      </c>
      <c r="D1496">
        <f>IF($Q1496="","",INDEX(상세표[직위],$Q1496)&amp;"")</f>
        <v/>
      </c>
      <c r="E1496">
        <f>IF($Q1496="","",IF(ISNUMBER(INDEX(상세표[근무일자],$Q1496)),TEXT(INDEX(상세표[근무일자],$Q1496),"yyyy-mm-dd"),INDEX(상세표[근무일자],$Q1496)&amp;""))</f>
        <v/>
      </c>
      <c r="F1496">
        <f>IF($Q1496="","",IF(ISNUMBER(INDEX(상세표[시작],$Q1496)),TEXT(INDEX(상세표[시작],$Q1496),"yyyy-mm-dd hh:mm"),INDEX(상세표[시작],$Q1496)&amp;""))</f>
        <v/>
      </c>
      <c r="G1496">
        <f>IF($Q1496="","",IF(ISNUMBER(INDEX(상세표[블록종료],$Q1496)),TEXT(INDEX(상세표[블록종료],$Q1496),"yyyy-mm-dd hh:mm"),INDEX(상세표[블록종료],$Q1496)&amp;""))</f>
        <v/>
      </c>
      <c r="H1496">
        <f>IF($Q1496="","",CHOOSE(WEEKDAY(INDEX(상세표[시작],$Q1496)),"일","월","화","수","목","금","토"))</f>
        <v/>
      </c>
      <c r="I1496" s="20">
        <f>IF($Q1496="","",INDEX(상세표[연속 시간],$Q1496))</f>
        <v/>
      </c>
      <c r="J1496">
        <f>IF($Q1496="","",INDEX(상세표[기록 수],$Q1496))</f>
        <v/>
      </c>
      <c r="K1496" s="20">
        <f>IF($Q1496="","",INDEX(상세표[블록 06~07시],$Q1496))</f>
        <v/>
      </c>
      <c r="L1496" s="20">
        <f>IF($Q1496="","",INDEX(상세표[블록 07~18시],$Q1496))</f>
        <v/>
      </c>
      <c r="M1496" s="20">
        <f>IF($Q1496="","",INDEX(상세표[블록 18~22시],$Q1496))</f>
        <v/>
      </c>
      <c r="N1496" s="20">
        <f>IF($Q1496="","",INDEX(상세표[블록 22~06시],$Q1496))</f>
        <v/>
      </c>
      <c r="O1496">
        <f>IF($Q1496="","",INDEX(상세표[주말·휴일 포함],$Q1496)&amp;"")</f>
        <v/>
      </c>
      <c r="P1496">
        <f>IF($Q1496="","",INDEX(상세표[월 넘김 포함],$Q1496)&amp;"")</f>
        <v/>
      </c>
      <c r="Q1496" s="4">
        <f>IFERROR(MATCH(1491,상세표[연속순번],0),"")</f>
        <v/>
      </c>
    </row>
    <row r="1497">
      <c r="A1497">
        <f>IF($Q1497="","",INDEX(상세표[부서],$Q1497)&amp;"")</f>
        <v/>
      </c>
      <c r="B1497">
        <f>IF($Q1497="","",INDEX(상세표[사번],$Q1497)&amp;"")</f>
        <v/>
      </c>
      <c r="C1497">
        <f>IF($Q1497="","",INDEX(상세표[성명],$Q1497)&amp;"")</f>
        <v/>
      </c>
      <c r="D1497">
        <f>IF($Q1497="","",INDEX(상세표[직위],$Q1497)&amp;"")</f>
        <v/>
      </c>
      <c r="E1497">
        <f>IF($Q1497="","",IF(ISNUMBER(INDEX(상세표[근무일자],$Q1497)),TEXT(INDEX(상세표[근무일자],$Q1497),"yyyy-mm-dd"),INDEX(상세표[근무일자],$Q1497)&amp;""))</f>
        <v/>
      </c>
      <c r="F1497">
        <f>IF($Q1497="","",IF(ISNUMBER(INDEX(상세표[시작],$Q1497)),TEXT(INDEX(상세표[시작],$Q1497),"yyyy-mm-dd hh:mm"),INDEX(상세표[시작],$Q1497)&amp;""))</f>
        <v/>
      </c>
      <c r="G1497">
        <f>IF($Q1497="","",IF(ISNUMBER(INDEX(상세표[블록종료],$Q1497)),TEXT(INDEX(상세표[블록종료],$Q1497),"yyyy-mm-dd hh:mm"),INDEX(상세표[블록종료],$Q1497)&amp;""))</f>
        <v/>
      </c>
      <c r="H1497">
        <f>IF($Q1497="","",CHOOSE(WEEKDAY(INDEX(상세표[시작],$Q1497)),"일","월","화","수","목","금","토"))</f>
        <v/>
      </c>
      <c r="I1497" s="20">
        <f>IF($Q1497="","",INDEX(상세표[연속 시간],$Q1497))</f>
        <v/>
      </c>
      <c r="J1497">
        <f>IF($Q1497="","",INDEX(상세표[기록 수],$Q1497))</f>
        <v/>
      </c>
      <c r="K1497" s="20">
        <f>IF($Q1497="","",INDEX(상세표[블록 06~07시],$Q1497))</f>
        <v/>
      </c>
      <c r="L1497" s="20">
        <f>IF($Q1497="","",INDEX(상세표[블록 07~18시],$Q1497))</f>
        <v/>
      </c>
      <c r="M1497" s="20">
        <f>IF($Q1497="","",INDEX(상세표[블록 18~22시],$Q1497))</f>
        <v/>
      </c>
      <c r="N1497" s="20">
        <f>IF($Q1497="","",INDEX(상세표[블록 22~06시],$Q1497))</f>
        <v/>
      </c>
      <c r="O1497">
        <f>IF($Q1497="","",INDEX(상세표[주말·휴일 포함],$Q1497)&amp;"")</f>
        <v/>
      </c>
      <c r="P1497">
        <f>IF($Q1497="","",INDEX(상세표[월 넘김 포함],$Q1497)&amp;"")</f>
        <v/>
      </c>
      <c r="Q1497" s="4">
        <f>IFERROR(MATCH(1492,상세표[연속순번],0),"")</f>
        <v/>
      </c>
    </row>
    <row r="1498">
      <c r="A1498">
        <f>IF($Q1498="","",INDEX(상세표[부서],$Q1498)&amp;"")</f>
        <v/>
      </c>
      <c r="B1498">
        <f>IF($Q1498="","",INDEX(상세표[사번],$Q1498)&amp;"")</f>
        <v/>
      </c>
      <c r="C1498">
        <f>IF($Q1498="","",INDEX(상세표[성명],$Q1498)&amp;"")</f>
        <v/>
      </c>
      <c r="D1498">
        <f>IF($Q1498="","",INDEX(상세표[직위],$Q1498)&amp;"")</f>
        <v/>
      </c>
      <c r="E1498">
        <f>IF($Q1498="","",IF(ISNUMBER(INDEX(상세표[근무일자],$Q1498)),TEXT(INDEX(상세표[근무일자],$Q1498),"yyyy-mm-dd"),INDEX(상세표[근무일자],$Q1498)&amp;""))</f>
        <v/>
      </c>
      <c r="F1498">
        <f>IF($Q1498="","",IF(ISNUMBER(INDEX(상세표[시작],$Q1498)),TEXT(INDEX(상세표[시작],$Q1498),"yyyy-mm-dd hh:mm"),INDEX(상세표[시작],$Q1498)&amp;""))</f>
        <v/>
      </c>
      <c r="G1498">
        <f>IF($Q1498="","",IF(ISNUMBER(INDEX(상세표[블록종료],$Q1498)),TEXT(INDEX(상세표[블록종료],$Q1498),"yyyy-mm-dd hh:mm"),INDEX(상세표[블록종료],$Q1498)&amp;""))</f>
        <v/>
      </c>
      <c r="H1498">
        <f>IF($Q1498="","",CHOOSE(WEEKDAY(INDEX(상세표[시작],$Q1498)),"일","월","화","수","목","금","토"))</f>
        <v/>
      </c>
      <c r="I1498" s="20">
        <f>IF($Q1498="","",INDEX(상세표[연속 시간],$Q1498))</f>
        <v/>
      </c>
      <c r="J1498">
        <f>IF($Q1498="","",INDEX(상세표[기록 수],$Q1498))</f>
        <v/>
      </c>
      <c r="K1498" s="20">
        <f>IF($Q1498="","",INDEX(상세표[블록 06~07시],$Q1498))</f>
        <v/>
      </c>
      <c r="L1498" s="20">
        <f>IF($Q1498="","",INDEX(상세표[블록 07~18시],$Q1498))</f>
        <v/>
      </c>
      <c r="M1498" s="20">
        <f>IF($Q1498="","",INDEX(상세표[블록 18~22시],$Q1498))</f>
        <v/>
      </c>
      <c r="N1498" s="20">
        <f>IF($Q1498="","",INDEX(상세표[블록 22~06시],$Q1498))</f>
        <v/>
      </c>
      <c r="O1498">
        <f>IF($Q1498="","",INDEX(상세표[주말·휴일 포함],$Q1498)&amp;"")</f>
        <v/>
      </c>
      <c r="P1498">
        <f>IF($Q1498="","",INDEX(상세표[월 넘김 포함],$Q1498)&amp;"")</f>
        <v/>
      </c>
      <c r="Q1498" s="4">
        <f>IFERROR(MATCH(1493,상세표[연속순번],0),"")</f>
        <v/>
      </c>
    </row>
    <row r="1499">
      <c r="A1499">
        <f>IF($Q1499="","",INDEX(상세표[부서],$Q1499)&amp;"")</f>
        <v/>
      </c>
      <c r="B1499">
        <f>IF($Q1499="","",INDEX(상세표[사번],$Q1499)&amp;"")</f>
        <v/>
      </c>
      <c r="C1499">
        <f>IF($Q1499="","",INDEX(상세표[성명],$Q1499)&amp;"")</f>
        <v/>
      </c>
      <c r="D1499">
        <f>IF($Q1499="","",INDEX(상세표[직위],$Q1499)&amp;"")</f>
        <v/>
      </c>
      <c r="E1499">
        <f>IF($Q1499="","",IF(ISNUMBER(INDEX(상세표[근무일자],$Q1499)),TEXT(INDEX(상세표[근무일자],$Q1499),"yyyy-mm-dd"),INDEX(상세표[근무일자],$Q1499)&amp;""))</f>
        <v/>
      </c>
      <c r="F1499">
        <f>IF($Q1499="","",IF(ISNUMBER(INDEX(상세표[시작],$Q1499)),TEXT(INDEX(상세표[시작],$Q1499),"yyyy-mm-dd hh:mm"),INDEX(상세표[시작],$Q1499)&amp;""))</f>
        <v/>
      </c>
      <c r="G1499">
        <f>IF($Q1499="","",IF(ISNUMBER(INDEX(상세표[블록종료],$Q1499)),TEXT(INDEX(상세표[블록종료],$Q1499),"yyyy-mm-dd hh:mm"),INDEX(상세표[블록종료],$Q1499)&amp;""))</f>
        <v/>
      </c>
      <c r="H1499">
        <f>IF($Q1499="","",CHOOSE(WEEKDAY(INDEX(상세표[시작],$Q1499)),"일","월","화","수","목","금","토"))</f>
        <v/>
      </c>
      <c r="I1499" s="20">
        <f>IF($Q1499="","",INDEX(상세표[연속 시간],$Q1499))</f>
        <v/>
      </c>
      <c r="J1499">
        <f>IF($Q1499="","",INDEX(상세표[기록 수],$Q1499))</f>
        <v/>
      </c>
      <c r="K1499" s="20">
        <f>IF($Q1499="","",INDEX(상세표[블록 06~07시],$Q1499))</f>
        <v/>
      </c>
      <c r="L1499" s="20">
        <f>IF($Q1499="","",INDEX(상세표[블록 07~18시],$Q1499))</f>
        <v/>
      </c>
      <c r="M1499" s="20">
        <f>IF($Q1499="","",INDEX(상세표[블록 18~22시],$Q1499))</f>
        <v/>
      </c>
      <c r="N1499" s="20">
        <f>IF($Q1499="","",INDEX(상세표[블록 22~06시],$Q1499))</f>
        <v/>
      </c>
      <c r="O1499">
        <f>IF($Q1499="","",INDEX(상세표[주말·휴일 포함],$Q1499)&amp;"")</f>
        <v/>
      </c>
      <c r="P1499">
        <f>IF($Q1499="","",INDEX(상세표[월 넘김 포함],$Q1499)&amp;"")</f>
        <v/>
      </c>
      <c r="Q1499" s="4">
        <f>IFERROR(MATCH(1494,상세표[연속순번],0),"")</f>
        <v/>
      </c>
    </row>
    <row r="1500">
      <c r="A1500">
        <f>IF($Q1500="","",INDEX(상세표[부서],$Q1500)&amp;"")</f>
        <v/>
      </c>
      <c r="B1500">
        <f>IF($Q1500="","",INDEX(상세표[사번],$Q1500)&amp;"")</f>
        <v/>
      </c>
      <c r="C1500">
        <f>IF($Q1500="","",INDEX(상세표[성명],$Q1500)&amp;"")</f>
        <v/>
      </c>
      <c r="D1500">
        <f>IF($Q1500="","",INDEX(상세표[직위],$Q1500)&amp;"")</f>
        <v/>
      </c>
      <c r="E1500">
        <f>IF($Q1500="","",IF(ISNUMBER(INDEX(상세표[근무일자],$Q1500)),TEXT(INDEX(상세표[근무일자],$Q1500),"yyyy-mm-dd"),INDEX(상세표[근무일자],$Q1500)&amp;""))</f>
        <v/>
      </c>
      <c r="F1500">
        <f>IF($Q1500="","",IF(ISNUMBER(INDEX(상세표[시작],$Q1500)),TEXT(INDEX(상세표[시작],$Q1500),"yyyy-mm-dd hh:mm"),INDEX(상세표[시작],$Q1500)&amp;""))</f>
        <v/>
      </c>
      <c r="G1500">
        <f>IF($Q1500="","",IF(ISNUMBER(INDEX(상세표[블록종료],$Q1500)),TEXT(INDEX(상세표[블록종료],$Q1500),"yyyy-mm-dd hh:mm"),INDEX(상세표[블록종료],$Q1500)&amp;""))</f>
        <v/>
      </c>
      <c r="H1500">
        <f>IF($Q1500="","",CHOOSE(WEEKDAY(INDEX(상세표[시작],$Q1500)),"일","월","화","수","목","금","토"))</f>
        <v/>
      </c>
      <c r="I1500" s="20">
        <f>IF($Q1500="","",INDEX(상세표[연속 시간],$Q1500))</f>
        <v/>
      </c>
      <c r="J1500">
        <f>IF($Q1500="","",INDEX(상세표[기록 수],$Q1500))</f>
        <v/>
      </c>
      <c r="K1500" s="20">
        <f>IF($Q1500="","",INDEX(상세표[블록 06~07시],$Q1500))</f>
        <v/>
      </c>
      <c r="L1500" s="20">
        <f>IF($Q1500="","",INDEX(상세표[블록 07~18시],$Q1500))</f>
        <v/>
      </c>
      <c r="M1500" s="20">
        <f>IF($Q1500="","",INDEX(상세표[블록 18~22시],$Q1500))</f>
        <v/>
      </c>
      <c r="N1500" s="20">
        <f>IF($Q1500="","",INDEX(상세표[블록 22~06시],$Q1500))</f>
        <v/>
      </c>
      <c r="O1500">
        <f>IF($Q1500="","",INDEX(상세표[주말·휴일 포함],$Q1500)&amp;"")</f>
        <v/>
      </c>
      <c r="P1500">
        <f>IF($Q1500="","",INDEX(상세표[월 넘김 포함],$Q1500)&amp;"")</f>
        <v/>
      </c>
      <c r="Q1500" s="4">
        <f>IFERROR(MATCH(1495,상세표[연속순번],0),"")</f>
        <v/>
      </c>
    </row>
    <row r="1501">
      <c r="A1501">
        <f>IF($Q1501="","",INDEX(상세표[부서],$Q1501)&amp;"")</f>
        <v/>
      </c>
      <c r="B1501">
        <f>IF($Q1501="","",INDEX(상세표[사번],$Q1501)&amp;"")</f>
        <v/>
      </c>
      <c r="C1501">
        <f>IF($Q1501="","",INDEX(상세표[성명],$Q1501)&amp;"")</f>
        <v/>
      </c>
      <c r="D1501">
        <f>IF($Q1501="","",INDEX(상세표[직위],$Q1501)&amp;"")</f>
        <v/>
      </c>
      <c r="E1501">
        <f>IF($Q1501="","",IF(ISNUMBER(INDEX(상세표[근무일자],$Q1501)),TEXT(INDEX(상세표[근무일자],$Q1501),"yyyy-mm-dd"),INDEX(상세표[근무일자],$Q1501)&amp;""))</f>
        <v/>
      </c>
      <c r="F1501">
        <f>IF($Q1501="","",IF(ISNUMBER(INDEX(상세표[시작],$Q1501)),TEXT(INDEX(상세표[시작],$Q1501),"yyyy-mm-dd hh:mm"),INDEX(상세표[시작],$Q1501)&amp;""))</f>
        <v/>
      </c>
      <c r="G1501">
        <f>IF($Q1501="","",IF(ISNUMBER(INDEX(상세표[블록종료],$Q1501)),TEXT(INDEX(상세표[블록종료],$Q1501),"yyyy-mm-dd hh:mm"),INDEX(상세표[블록종료],$Q1501)&amp;""))</f>
        <v/>
      </c>
      <c r="H1501">
        <f>IF($Q1501="","",CHOOSE(WEEKDAY(INDEX(상세표[시작],$Q1501)),"일","월","화","수","목","금","토"))</f>
        <v/>
      </c>
      <c r="I1501" s="20">
        <f>IF($Q1501="","",INDEX(상세표[연속 시간],$Q1501))</f>
        <v/>
      </c>
      <c r="J1501">
        <f>IF($Q1501="","",INDEX(상세표[기록 수],$Q1501))</f>
        <v/>
      </c>
      <c r="K1501" s="20">
        <f>IF($Q1501="","",INDEX(상세표[블록 06~07시],$Q1501))</f>
        <v/>
      </c>
      <c r="L1501" s="20">
        <f>IF($Q1501="","",INDEX(상세표[블록 07~18시],$Q1501))</f>
        <v/>
      </c>
      <c r="M1501" s="20">
        <f>IF($Q1501="","",INDEX(상세표[블록 18~22시],$Q1501))</f>
        <v/>
      </c>
      <c r="N1501" s="20">
        <f>IF($Q1501="","",INDEX(상세표[블록 22~06시],$Q1501))</f>
        <v/>
      </c>
      <c r="O1501">
        <f>IF($Q1501="","",INDEX(상세표[주말·휴일 포함],$Q1501)&amp;"")</f>
        <v/>
      </c>
      <c r="P1501">
        <f>IF($Q1501="","",INDEX(상세표[월 넘김 포함],$Q1501)&amp;"")</f>
        <v/>
      </c>
      <c r="Q1501" s="4">
        <f>IFERROR(MATCH(1496,상세표[연속순번],0),"")</f>
        <v/>
      </c>
    </row>
    <row r="1502">
      <c r="A1502">
        <f>IF($Q1502="","",INDEX(상세표[부서],$Q1502)&amp;"")</f>
        <v/>
      </c>
      <c r="B1502">
        <f>IF($Q1502="","",INDEX(상세표[사번],$Q1502)&amp;"")</f>
        <v/>
      </c>
      <c r="C1502">
        <f>IF($Q1502="","",INDEX(상세표[성명],$Q1502)&amp;"")</f>
        <v/>
      </c>
      <c r="D1502">
        <f>IF($Q1502="","",INDEX(상세표[직위],$Q1502)&amp;"")</f>
        <v/>
      </c>
      <c r="E1502">
        <f>IF($Q1502="","",IF(ISNUMBER(INDEX(상세표[근무일자],$Q1502)),TEXT(INDEX(상세표[근무일자],$Q1502),"yyyy-mm-dd"),INDEX(상세표[근무일자],$Q1502)&amp;""))</f>
        <v/>
      </c>
      <c r="F1502">
        <f>IF($Q1502="","",IF(ISNUMBER(INDEX(상세표[시작],$Q1502)),TEXT(INDEX(상세표[시작],$Q1502),"yyyy-mm-dd hh:mm"),INDEX(상세표[시작],$Q1502)&amp;""))</f>
        <v/>
      </c>
      <c r="G1502">
        <f>IF($Q1502="","",IF(ISNUMBER(INDEX(상세표[블록종료],$Q1502)),TEXT(INDEX(상세표[블록종료],$Q1502),"yyyy-mm-dd hh:mm"),INDEX(상세표[블록종료],$Q1502)&amp;""))</f>
        <v/>
      </c>
      <c r="H1502">
        <f>IF($Q1502="","",CHOOSE(WEEKDAY(INDEX(상세표[시작],$Q1502)),"일","월","화","수","목","금","토"))</f>
        <v/>
      </c>
      <c r="I1502" s="20">
        <f>IF($Q1502="","",INDEX(상세표[연속 시간],$Q1502))</f>
        <v/>
      </c>
      <c r="J1502">
        <f>IF($Q1502="","",INDEX(상세표[기록 수],$Q1502))</f>
        <v/>
      </c>
      <c r="K1502" s="20">
        <f>IF($Q1502="","",INDEX(상세표[블록 06~07시],$Q1502))</f>
        <v/>
      </c>
      <c r="L1502" s="20">
        <f>IF($Q1502="","",INDEX(상세표[블록 07~18시],$Q1502))</f>
        <v/>
      </c>
      <c r="M1502" s="20">
        <f>IF($Q1502="","",INDEX(상세표[블록 18~22시],$Q1502))</f>
        <v/>
      </c>
      <c r="N1502" s="20">
        <f>IF($Q1502="","",INDEX(상세표[블록 22~06시],$Q1502))</f>
        <v/>
      </c>
      <c r="O1502">
        <f>IF($Q1502="","",INDEX(상세표[주말·휴일 포함],$Q1502)&amp;"")</f>
        <v/>
      </c>
      <c r="P1502">
        <f>IF($Q1502="","",INDEX(상세표[월 넘김 포함],$Q1502)&amp;"")</f>
        <v/>
      </c>
      <c r="Q1502" s="4">
        <f>IFERROR(MATCH(1497,상세표[연속순번],0),"")</f>
        <v/>
      </c>
    </row>
    <row r="1503">
      <c r="A1503">
        <f>IF($Q1503="","",INDEX(상세표[부서],$Q1503)&amp;"")</f>
        <v/>
      </c>
      <c r="B1503">
        <f>IF($Q1503="","",INDEX(상세표[사번],$Q1503)&amp;"")</f>
        <v/>
      </c>
      <c r="C1503">
        <f>IF($Q1503="","",INDEX(상세표[성명],$Q1503)&amp;"")</f>
        <v/>
      </c>
      <c r="D1503">
        <f>IF($Q1503="","",INDEX(상세표[직위],$Q1503)&amp;"")</f>
        <v/>
      </c>
      <c r="E1503">
        <f>IF($Q1503="","",IF(ISNUMBER(INDEX(상세표[근무일자],$Q1503)),TEXT(INDEX(상세표[근무일자],$Q1503),"yyyy-mm-dd"),INDEX(상세표[근무일자],$Q1503)&amp;""))</f>
        <v/>
      </c>
      <c r="F1503">
        <f>IF($Q1503="","",IF(ISNUMBER(INDEX(상세표[시작],$Q1503)),TEXT(INDEX(상세표[시작],$Q1503),"yyyy-mm-dd hh:mm"),INDEX(상세표[시작],$Q1503)&amp;""))</f>
        <v/>
      </c>
      <c r="G1503">
        <f>IF($Q1503="","",IF(ISNUMBER(INDEX(상세표[블록종료],$Q1503)),TEXT(INDEX(상세표[블록종료],$Q1503),"yyyy-mm-dd hh:mm"),INDEX(상세표[블록종료],$Q1503)&amp;""))</f>
        <v/>
      </c>
      <c r="H1503">
        <f>IF($Q1503="","",CHOOSE(WEEKDAY(INDEX(상세표[시작],$Q1503)),"일","월","화","수","목","금","토"))</f>
        <v/>
      </c>
      <c r="I1503" s="20">
        <f>IF($Q1503="","",INDEX(상세표[연속 시간],$Q1503))</f>
        <v/>
      </c>
      <c r="J1503">
        <f>IF($Q1503="","",INDEX(상세표[기록 수],$Q1503))</f>
        <v/>
      </c>
      <c r="K1503" s="20">
        <f>IF($Q1503="","",INDEX(상세표[블록 06~07시],$Q1503))</f>
        <v/>
      </c>
      <c r="L1503" s="20">
        <f>IF($Q1503="","",INDEX(상세표[블록 07~18시],$Q1503))</f>
        <v/>
      </c>
      <c r="M1503" s="20">
        <f>IF($Q1503="","",INDEX(상세표[블록 18~22시],$Q1503))</f>
        <v/>
      </c>
      <c r="N1503" s="20">
        <f>IF($Q1503="","",INDEX(상세표[블록 22~06시],$Q1503))</f>
        <v/>
      </c>
      <c r="O1503">
        <f>IF($Q1503="","",INDEX(상세표[주말·휴일 포함],$Q1503)&amp;"")</f>
        <v/>
      </c>
      <c r="P1503">
        <f>IF($Q1503="","",INDEX(상세표[월 넘김 포함],$Q1503)&amp;"")</f>
        <v/>
      </c>
      <c r="Q1503" s="4">
        <f>IFERROR(MATCH(1498,상세표[연속순번],0),"")</f>
        <v/>
      </c>
    </row>
    <row r="1504">
      <c r="A1504">
        <f>IF($Q1504="","",INDEX(상세표[부서],$Q1504)&amp;"")</f>
        <v/>
      </c>
      <c r="B1504">
        <f>IF($Q1504="","",INDEX(상세표[사번],$Q1504)&amp;"")</f>
        <v/>
      </c>
      <c r="C1504">
        <f>IF($Q1504="","",INDEX(상세표[성명],$Q1504)&amp;"")</f>
        <v/>
      </c>
      <c r="D1504">
        <f>IF($Q1504="","",INDEX(상세표[직위],$Q1504)&amp;"")</f>
        <v/>
      </c>
      <c r="E1504">
        <f>IF($Q1504="","",IF(ISNUMBER(INDEX(상세표[근무일자],$Q1504)),TEXT(INDEX(상세표[근무일자],$Q1504),"yyyy-mm-dd"),INDEX(상세표[근무일자],$Q1504)&amp;""))</f>
        <v/>
      </c>
      <c r="F1504">
        <f>IF($Q1504="","",IF(ISNUMBER(INDEX(상세표[시작],$Q1504)),TEXT(INDEX(상세표[시작],$Q1504),"yyyy-mm-dd hh:mm"),INDEX(상세표[시작],$Q1504)&amp;""))</f>
        <v/>
      </c>
      <c r="G1504">
        <f>IF($Q1504="","",IF(ISNUMBER(INDEX(상세표[블록종료],$Q1504)),TEXT(INDEX(상세표[블록종료],$Q1504),"yyyy-mm-dd hh:mm"),INDEX(상세표[블록종료],$Q1504)&amp;""))</f>
        <v/>
      </c>
      <c r="H1504">
        <f>IF($Q1504="","",CHOOSE(WEEKDAY(INDEX(상세표[시작],$Q1504)),"일","월","화","수","목","금","토"))</f>
        <v/>
      </c>
      <c r="I1504" s="20">
        <f>IF($Q1504="","",INDEX(상세표[연속 시간],$Q1504))</f>
        <v/>
      </c>
      <c r="J1504">
        <f>IF($Q1504="","",INDEX(상세표[기록 수],$Q1504))</f>
        <v/>
      </c>
      <c r="K1504" s="20">
        <f>IF($Q1504="","",INDEX(상세표[블록 06~07시],$Q1504))</f>
        <v/>
      </c>
      <c r="L1504" s="20">
        <f>IF($Q1504="","",INDEX(상세표[블록 07~18시],$Q1504))</f>
        <v/>
      </c>
      <c r="M1504" s="20">
        <f>IF($Q1504="","",INDEX(상세표[블록 18~22시],$Q1504))</f>
        <v/>
      </c>
      <c r="N1504" s="20">
        <f>IF($Q1504="","",INDEX(상세표[블록 22~06시],$Q1504))</f>
        <v/>
      </c>
      <c r="O1504">
        <f>IF($Q1504="","",INDEX(상세표[주말·휴일 포함],$Q1504)&amp;"")</f>
        <v/>
      </c>
      <c r="P1504">
        <f>IF($Q1504="","",INDEX(상세표[월 넘김 포함],$Q1504)&amp;"")</f>
        <v/>
      </c>
      <c r="Q1504" s="4">
        <f>IFERROR(MATCH(1499,상세표[연속순번],0),"")</f>
        <v/>
      </c>
    </row>
    <row r="1505">
      <c r="A1505">
        <f>IF($Q1505="","",INDEX(상세표[부서],$Q1505)&amp;"")</f>
        <v/>
      </c>
      <c r="B1505">
        <f>IF($Q1505="","",INDEX(상세표[사번],$Q1505)&amp;"")</f>
        <v/>
      </c>
      <c r="C1505">
        <f>IF($Q1505="","",INDEX(상세표[성명],$Q1505)&amp;"")</f>
        <v/>
      </c>
      <c r="D1505">
        <f>IF($Q1505="","",INDEX(상세표[직위],$Q1505)&amp;"")</f>
        <v/>
      </c>
      <c r="E1505">
        <f>IF($Q1505="","",IF(ISNUMBER(INDEX(상세표[근무일자],$Q1505)),TEXT(INDEX(상세표[근무일자],$Q1505),"yyyy-mm-dd"),INDEX(상세표[근무일자],$Q1505)&amp;""))</f>
        <v/>
      </c>
      <c r="F1505">
        <f>IF($Q1505="","",IF(ISNUMBER(INDEX(상세표[시작],$Q1505)),TEXT(INDEX(상세표[시작],$Q1505),"yyyy-mm-dd hh:mm"),INDEX(상세표[시작],$Q1505)&amp;""))</f>
        <v/>
      </c>
      <c r="G1505">
        <f>IF($Q1505="","",IF(ISNUMBER(INDEX(상세표[블록종료],$Q1505)),TEXT(INDEX(상세표[블록종료],$Q1505),"yyyy-mm-dd hh:mm"),INDEX(상세표[블록종료],$Q1505)&amp;""))</f>
        <v/>
      </c>
      <c r="H1505">
        <f>IF($Q1505="","",CHOOSE(WEEKDAY(INDEX(상세표[시작],$Q1505)),"일","월","화","수","목","금","토"))</f>
        <v/>
      </c>
      <c r="I1505" s="20">
        <f>IF($Q1505="","",INDEX(상세표[연속 시간],$Q1505))</f>
        <v/>
      </c>
      <c r="J1505">
        <f>IF($Q1505="","",INDEX(상세표[기록 수],$Q1505))</f>
        <v/>
      </c>
      <c r="K1505" s="20">
        <f>IF($Q1505="","",INDEX(상세표[블록 06~07시],$Q1505))</f>
        <v/>
      </c>
      <c r="L1505" s="20">
        <f>IF($Q1505="","",INDEX(상세표[블록 07~18시],$Q1505))</f>
        <v/>
      </c>
      <c r="M1505" s="20">
        <f>IF($Q1505="","",INDEX(상세표[블록 18~22시],$Q1505))</f>
        <v/>
      </c>
      <c r="N1505" s="20">
        <f>IF($Q1505="","",INDEX(상세표[블록 22~06시],$Q1505))</f>
        <v/>
      </c>
      <c r="O1505">
        <f>IF($Q1505="","",INDEX(상세표[주말·휴일 포함],$Q1505)&amp;"")</f>
        <v/>
      </c>
      <c r="P1505">
        <f>IF($Q1505="","",INDEX(상세표[월 넘김 포함],$Q1505)&amp;"")</f>
        <v/>
      </c>
      <c r="Q1505" s="4">
        <f>IFERROR(MATCH(1500,상세표[연속순번],0),"")</f>
        <v/>
      </c>
    </row>
    <row r="1506">
      <c r="A1506">
        <f>IF($Q1506="","",INDEX(상세표[부서],$Q1506)&amp;"")</f>
        <v/>
      </c>
      <c r="B1506">
        <f>IF($Q1506="","",INDEX(상세표[사번],$Q1506)&amp;"")</f>
        <v/>
      </c>
      <c r="C1506">
        <f>IF($Q1506="","",INDEX(상세표[성명],$Q1506)&amp;"")</f>
        <v/>
      </c>
      <c r="D1506">
        <f>IF($Q1506="","",INDEX(상세표[직위],$Q1506)&amp;"")</f>
        <v/>
      </c>
      <c r="E1506">
        <f>IF($Q1506="","",IF(ISNUMBER(INDEX(상세표[근무일자],$Q1506)),TEXT(INDEX(상세표[근무일자],$Q1506),"yyyy-mm-dd"),INDEX(상세표[근무일자],$Q1506)&amp;""))</f>
        <v/>
      </c>
      <c r="F1506">
        <f>IF($Q1506="","",IF(ISNUMBER(INDEX(상세표[시작],$Q1506)),TEXT(INDEX(상세표[시작],$Q1506),"yyyy-mm-dd hh:mm"),INDEX(상세표[시작],$Q1506)&amp;""))</f>
        <v/>
      </c>
      <c r="G1506">
        <f>IF($Q1506="","",IF(ISNUMBER(INDEX(상세표[블록종료],$Q1506)),TEXT(INDEX(상세표[블록종료],$Q1506),"yyyy-mm-dd hh:mm"),INDEX(상세표[블록종료],$Q1506)&amp;""))</f>
        <v/>
      </c>
      <c r="H1506">
        <f>IF($Q1506="","",CHOOSE(WEEKDAY(INDEX(상세표[시작],$Q1506)),"일","월","화","수","목","금","토"))</f>
        <v/>
      </c>
      <c r="I1506" s="20">
        <f>IF($Q1506="","",INDEX(상세표[연속 시간],$Q1506))</f>
        <v/>
      </c>
      <c r="J1506">
        <f>IF($Q1506="","",INDEX(상세표[기록 수],$Q1506))</f>
        <v/>
      </c>
      <c r="K1506" s="20">
        <f>IF($Q1506="","",INDEX(상세표[블록 06~07시],$Q1506))</f>
        <v/>
      </c>
      <c r="L1506" s="20">
        <f>IF($Q1506="","",INDEX(상세표[블록 07~18시],$Q1506))</f>
        <v/>
      </c>
      <c r="M1506" s="20">
        <f>IF($Q1506="","",INDEX(상세표[블록 18~22시],$Q1506))</f>
        <v/>
      </c>
      <c r="N1506" s="20">
        <f>IF($Q1506="","",INDEX(상세표[블록 22~06시],$Q1506))</f>
        <v/>
      </c>
      <c r="O1506">
        <f>IF($Q1506="","",INDEX(상세표[주말·휴일 포함],$Q1506)&amp;"")</f>
        <v/>
      </c>
      <c r="P1506">
        <f>IF($Q1506="","",INDEX(상세표[월 넘김 포함],$Q1506)&amp;"")</f>
        <v/>
      </c>
      <c r="Q1506" s="4">
        <f>IFERROR(MATCH(1501,상세표[연속순번],0),"")</f>
        <v/>
      </c>
    </row>
    <row r="1507">
      <c r="A1507">
        <f>IF($Q1507="","",INDEX(상세표[부서],$Q1507)&amp;"")</f>
        <v/>
      </c>
      <c r="B1507">
        <f>IF($Q1507="","",INDEX(상세표[사번],$Q1507)&amp;"")</f>
        <v/>
      </c>
      <c r="C1507">
        <f>IF($Q1507="","",INDEX(상세표[성명],$Q1507)&amp;"")</f>
        <v/>
      </c>
      <c r="D1507">
        <f>IF($Q1507="","",INDEX(상세표[직위],$Q1507)&amp;"")</f>
        <v/>
      </c>
      <c r="E1507">
        <f>IF($Q1507="","",IF(ISNUMBER(INDEX(상세표[근무일자],$Q1507)),TEXT(INDEX(상세표[근무일자],$Q1507),"yyyy-mm-dd"),INDEX(상세표[근무일자],$Q1507)&amp;""))</f>
        <v/>
      </c>
      <c r="F1507">
        <f>IF($Q1507="","",IF(ISNUMBER(INDEX(상세표[시작],$Q1507)),TEXT(INDEX(상세표[시작],$Q1507),"yyyy-mm-dd hh:mm"),INDEX(상세표[시작],$Q1507)&amp;""))</f>
        <v/>
      </c>
      <c r="G1507">
        <f>IF($Q1507="","",IF(ISNUMBER(INDEX(상세표[블록종료],$Q1507)),TEXT(INDEX(상세표[블록종료],$Q1507),"yyyy-mm-dd hh:mm"),INDEX(상세표[블록종료],$Q1507)&amp;""))</f>
        <v/>
      </c>
      <c r="H1507">
        <f>IF($Q1507="","",CHOOSE(WEEKDAY(INDEX(상세표[시작],$Q1507)),"일","월","화","수","목","금","토"))</f>
        <v/>
      </c>
      <c r="I1507" s="20">
        <f>IF($Q1507="","",INDEX(상세표[연속 시간],$Q1507))</f>
        <v/>
      </c>
      <c r="J1507">
        <f>IF($Q1507="","",INDEX(상세표[기록 수],$Q1507))</f>
        <v/>
      </c>
      <c r="K1507" s="20">
        <f>IF($Q1507="","",INDEX(상세표[블록 06~07시],$Q1507))</f>
        <v/>
      </c>
      <c r="L1507" s="20">
        <f>IF($Q1507="","",INDEX(상세표[블록 07~18시],$Q1507))</f>
        <v/>
      </c>
      <c r="M1507" s="20">
        <f>IF($Q1507="","",INDEX(상세표[블록 18~22시],$Q1507))</f>
        <v/>
      </c>
      <c r="N1507" s="20">
        <f>IF($Q1507="","",INDEX(상세표[블록 22~06시],$Q1507))</f>
        <v/>
      </c>
      <c r="O1507">
        <f>IF($Q1507="","",INDEX(상세표[주말·휴일 포함],$Q1507)&amp;"")</f>
        <v/>
      </c>
      <c r="P1507">
        <f>IF($Q1507="","",INDEX(상세표[월 넘김 포함],$Q1507)&amp;"")</f>
        <v/>
      </c>
      <c r="Q1507" s="4">
        <f>IFERROR(MATCH(1502,상세표[연속순번],0),"")</f>
        <v/>
      </c>
    </row>
    <row r="1508">
      <c r="A1508">
        <f>IF($Q1508="","",INDEX(상세표[부서],$Q1508)&amp;"")</f>
        <v/>
      </c>
      <c r="B1508">
        <f>IF($Q1508="","",INDEX(상세표[사번],$Q1508)&amp;"")</f>
        <v/>
      </c>
      <c r="C1508">
        <f>IF($Q1508="","",INDEX(상세표[성명],$Q1508)&amp;"")</f>
        <v/>
      </c>
      <c r="D1508">
        <f>IF($Q1508="","",INDEX(상세표[직위],$Q1508)&amp;"")</f>
        <v/>
      </c>
      <c r="E1508">
        <f>IF($Q1508="","",IF(ISNUMBER(INDEX(상세표[근무일자],$Q1508)),TEXT(INDEX(상세표[근무일자],$Q1508),"yyyy-mm-dd"),INDEX(상세표[근무일자],$Q1508)&amp;""))</f>
        <v/>
      </c>
      <c r="F1508">
        <f>IF($Q1508="","",IF(ISNUMBER(INDEX(상세표[시작],$Q1508)),TEXT(INDEX(상세표[시작],$Q1508),"yyyy-mm-dd hh:mm"),INDEX(상세표[시작],$Q1508)&amp;""))</f>
        <v/>
      </c>
      <c r="G1508">
        <f>IF($Q1508="","",IF(ISNUMBER(INDEX(상세표[블록종료],$Q1508)),TEXT(INDEX(상세표[블록종료],$Q1508),"yyyy-mm-dd hh:mm"),INDEX(상세표[블록종료],$Q1508)&amp;""))</f>
        <v/>
      </c>
      <c r="H1508">
        <f>IF($Q1508="","",CHOOSE(WEEKDAY(INDEX(상세표[시작],$Q1508)),"일","월","화","수","목","금","토"))</f>
        <v/>
      </c>
      <c r="I1508" s="20">
        <f>IF($Q1508="","",INDEX(상세표[연속 시간],$Q1508))</f>
        <v/>
      </c>
      <c r="J1508">
        <f>IF($Q1508="","",INDEX(상세표[기록 수],$Q1508))</f>
        <v/>
      </c>
      <c r="K1508" s="20">
        <f>IF($Q1508="","",INDEX(상세표[블록 06~07시],$Q1508))</f>
        <v/>
      </c>
      <c r="L1508" s="20">
        <f>IF($Q1508="","",INDEX(상세표[블록 07~18시],$Q1508))</f>
        <v/>
      </c>
      <c r="M1508" s="20">
        <f>IF($Q1508="","",INDEX(상세표[블록 18~22시],$Q1508))</f>
        <v/>
      </c>
      <c r="N1508" s="20">
        <f>IF($Q1508="","",INDEX(상세표[블록 22~06시],$Q1508))</f>
        <v/>
      </c>
      <c r="O1508">
        <f>IF($Q1508="","",INDEX(상세표[주말·휴일 포함],$Q1508)&amp;"")</f>
        <v/>
      </c>
      <c r="P1508">
        <f>IF($Q1508="","",INDEX(상세표[월 넘김 포함],$Q1508)&amp;"")</f>
        <v/>
      </c>
      <c r="Q1508" s="4">
        <f>IFERROR(MATCH(1503,상세표[연속순번],0),"")</f>
        <v/>
      </c>
    </row>
    <row r="1509">
      <c r="A1509">
        <f>IF($Q1509="","",INDEX(상세표[부서],$Q1509)&amp;"")</f>
        <v/>
      </c>
      <c r="B1509">
        <f>IF($Q1509="","",INDEX(상세표[사번],$Q1509)&amp;"")</f>
        <v/>
      </c>
      <c r="C1509">
        <f>IF($Q1509="","",INDEX(상세표[성명],$Q1509)&amp;"")</f>
        <v/>
      </c>
      <c r="D1509">
        <f>IF($Q1509="","",INDEX(상세표[직위],$Q1509)&amp;"")</f>
        <v/>
      </c>
      <c r="E1509">
        <f>IF($Q1509="","",IF(ISNUMBER(INDEX(상세표[근무일자],$Q1509)),TEXT(INDEX(상세표[근무일자],$Q1509),"yyyy-mm-dd"),INDEX(상세표[근무일자],$Q1509)&amp;""))</f>
        <v/>
      </c>
      <c r="F1509">
        <f>IF($Q1509="","",IF(ISNUMBER(INDEX(상세표[시작],$Q1509)),TEXT(INDEX(상세표[시작],$Q1509),"yyyy-mm-dd hh:mm"),INDEX(상세표[시작],$Q1509)&amp;""))</f>
        <v/>
      </c>
      <c r="G1509">
        <f>IF($Q1509="","",IF(ISNUMBER(INDEX(상세표[블록종료],$Q1509)),TEXT(INDEX(상세표[블록종료],$Q1509),"yyyy-mm-dd hh:mm"),INDEX(상세표[블록종료],$Q1509)&amp;""))</f>
        <v/>
      </c>
      <c r="H1509">
        <f>IF($Q1509="","",CHOOSE(WEEKDAY(INDEX(상세표[시작],$Q1509)),"일","월","화","수","목","금","토"))</f>
        <v/>
      </c>
      <c r="I1509" s="20">
        <f>IF($Q1509="","",INDEX(상세표[연속 시간],$Q1509))</f>
        <v/>
      </c>
      <c r="J1509">
        <f>IF($Q1509="","",INDEX(상세표[기록 수],$Q1509))</f>
        <v/>
      </c>
      <c r="K1509" s="20">
        <f>IF($Q1509="","",INDEX(상세표[블록 06~07시],$Q1509))</f>
        <v/>
      </c>
      <c r="L1509" s="20">
        <f>IF($Q1509="","",INDEX(상세표[블록 07~18시],$Q1509))</f>
        <v/>
      </c>
      <c r="M1509" s="20">
        <f>IF($Q1509="","",INDEX(상세표[블록 18~22시],$Q1509))</f>
        <v/>
      </c>
      <c r="N1509" s="20">
        <f>IF($Q1509="","",INDEX(상세표[블록 22~06시],$Q1509))</f>
        <v/>
      </c>
      <c r="O1509">
        <f>IF($Q1509="","",INDEX(상세표[주말·휴일 포함],$Q1509)&amp;"")</f>
        <v/>
      </c>
      <c r="P1509">
        <f>IF($Q1509="","",INDEX(상세표[월 넘김 포함],$Q1509)&amp;"")</f>
        <v/>
      </c>
      <c r="Q1509" s="4">
        <f>IFERROR(MATCH(1504,상세표[연속순번],0),"")</f>
        <v/>
      </c>
    </row>
    <row r="1510">
      <c r="A1510">
        <f>IF($Q1510="","",INDEX(상세표[부서],$Q1510)&amp;"")</f>
        <v/>
      </c>
      <c r="B1510">
        <f>IF($Q1510="","",INDEX(상세표[사번],$Q1510)&amp;"")</f>
        <v/>
      </c>
      <c r="C1510">
        <f>IF($Q1510="","",INDEX(상세표[성명],$Q1510)&amp;"")</f>
        <v/>
      </c>
      <c r="D1510">
        <f>IF($Q1510="","",INDEX(상세표[직위],$Q1510)&amp;"")</f>
        <v/>
      </c>
      <c r="E1510">
        <f>IF($Q1510="","",IF(ISNUMBER(INDEX(상세표[근무일자],$Q1510)),TEXT(INDEX(상세표[근무일자],$Q1510),"yyyy-mm-dd"),INDEX(상세표[근무일자],$Q1510)&amp;""))</f>
        <v/>
      </c>
      <c r="F1510">
        <f>IF($Q1510="","",IF(ISNUMBER(INDEX(상세표[시작],$Q1510)),TEXT(INDEX(상세표[시작],$Q1510),"yyyy-mm-dd hh:mm"),INDEX(상세표[시작],$Q1510)&amp;""))</f>
        <v/>
      </c>
      <c r="G1510">
        <f>IF($Q1510="","",IF(ISNUMBER(INDEX(상세표[블록종료],$Q1510)),TEXT(INDEX(상세표[블록종료],$Q1510),"yyyy-mm-dd hh:mm"),INDEX(상세표[블록종료],$Q1510)&amp;""))</f>
        <v/>
      </c>
      <c r="H1510">
        <f>IF($Q1510="","",CHOOSE(WEEKDAY(INDEX(상세표[시작],$Q1510)),"일","월","화","수","목","금","토"))</f>
        <v/>
      </c>
      <c r="I1510" s="20">
        <f>IF($Q1510="","",INDEX(상세표[연속 시간],$Q1510))</f>
        <v/>
      </c>
      <c r="J1510">
        <f>IF($Q1510="","",INDEX(상세표[기록 수],$Q1510))</f>
        <v/>
      </c>
      <c r="K1510" s="20">
        <f>IF($Q1510="","",INDEX(상세표[블록 06~07시],$Q1510))</f>
        <v/>
      </c>
      <c r="L1510" s="20">
        <f>IF($Q1510="","",INDEX(상세표[블록 07~18시],$Q1510))</f>
        <v/>
      </c>
      <c r="M1510" s="20">
        <f>IF($Q1510="","",INDEX(상세표[블록 18~22시],$Q1510))</f>
        <v/>
      </c>
      <c r="N1510" s="20">
        <f>IF($Q1510="","",INDEX(상세표[블록 22~06시],$Q1510))</f>
        <v/>
      </c>
      <c r="O1510">
        <f>IF($Q1510="","",INDEX(상세표[주말·휴일 포함],$Q1510)&amp;"")</f>
        <v/>
      </c>
      <c r="P1510">
        <f>IF($Q1510="","",INDEX(상세표[월 넘김 포함],$Q1510)&amp;"")</f>
        <v/>
      </c>
      <c r="Q1510" s="4">
        <f>IFERROR(MATCH(1505,상세표[연속순번],0),"")</f>
        <v/>
      </c>
    </row>
    <row r="1511">
      <c r="A1511">
        <f>IF($Q1511="","",INDEX(상세표[부서],$Q1511)&amp;"")</f>
        <v/>
      </c>
      <c r="B1511">
        <f>IF($Q1511="","",INDEX(상세표[사번],$Q1511)&amp;"")</f>
        <v/>
      </c>
      <c r="C1511">
        <f>IF($Q1511="","",INDEX(상세표[성명],$Q1511)&amp;"")</f>
        <v/>
      </c>
      <c r="D1511">
        <f>IF($Q1511="","",INDEX(상세표[직위],$Q1511)&amp;"")</f>
        <v/>
      </c>
      <c r="E1511">
        <f>IF($Q1511="","",IF(ISNUMBER(INDEX(상세표[근무일자],$Q1511)),TEXT(INDEX(상세표[근무일자],$Q1511),"yyyy-mm-dd"),INDEX(상세표[근무일자],$Q1511)&amp;""))</f>
        <v/>
      </c>
      <c r="F1511">
        <f>IF($Q1511="","",IF(ISNUMBER(INDEX(상세표[시작],$Q1511)),TEXT(INDEX(상세표[시작],$Q1511),"yyyy-mm-dd hh:mm"),INDEX(상세표[시작],$Q1511)&amp;""))</f>
        <v/>
      </c>
      <c r="G1511">
        <f>IF($Q1511="","",IF(ISNUMBER(INDEX(상세표[블록종료],$Q1511)),TEXT(INDEX(상세표[블록종료],$Q1511),"yyyy-mm-dd hh:mm"),INDEX(상세표[블록종료],$Q1511)&amp;""))</f>
        <v/>
      </c>
      <c r="H1511">
        <f>IF($Q1511="","",CHOOSE(WEEKDAY(INDEX(상세표[시작],$Q1511)),"일","월","화","수","목","금","토"))</f>
        <v/>
      </c>
      <c r="I1511" s="20">
        <f>IF($Q1511="","",INDEX(상세표[연속 시간],$Q1511))</f>
        <v/>
      </c>
      <c r="J1511">
        <f>IF($Q1511="","",INDEX(상세표[기록 수],$Q1511))</f>
        <v/>
      </c>
      <c r="K1511" s="20">
        <f>IF($Q1511="","",INDEX(상세표[블록 06~07시],$Q1511))</f>
        <v/>
      </c>
      <c r="L1511" s="20">
        <f>IF($Q1511="","",INDEX(상세표[블록 07~18시],$Q1511))</f>
        <v/>
      </c>
      <c r="M1511" s="20">
        <f>IF($Q1511="","",INDEX(상세표[블록 18~22시],$Q1511))</f>
        <v/>
      </c>
      <c r="N1511" s="20">
        <f>IF($Q1511="","",INDEX(상세표[블록 22~06시],$Q1511))</f>
        <v/>
      </c>
      <c r="O1511">
        <f>IF($Q1511="","",INDEX(상세표[주말·휴일 포함],$Q1511)&amp;"")</f>
        <v/>
      </c>
      <c r="P1511">
        <f>IF($Q1511="","",INDEX(상세표[월 넘김 포함],$Q1511)&amp;"")</f>
        <v/>
      </c>
      <c r="Q1511" s="4">
        <f>IFERROR(MATCH(1506,상세표[연속순번],0),"")</f>
        <v/>
      </c>
    </row>
    <row r="1512">
      <c r="A1512">
        <f>IF($Q1512="","",INDEX(상세표[부서],$Q1512)&amp;"")</f>
        <v/>
      </c>
      <c r="B1512">
        <f>IF($Q1512="","",INDEX(상세표[사번],$Q1512)&amp;"")</f>
        <v/>
      </c>
      <c r="C1512">
        <f>IF($Q1512="","",INDEX(상세표[성명],$Q1512)&amp;"")</f>
        <v/>
      </c>
      <c r="D1512">
        <f>IF($Q1512="","",INDEX(상세표[직위],$Q1512)&amp;"")</f>
        <v/>
      </c>
      <c r="E1512">
        <f>IF($Q1512="","",IF(ISNUMBER(INDEX(상세표[근무일자],$Q1512)),TEXT(INDEX(상세표[근무일자],$Q1512),"yyyy-mm-dd"),INDEX(상세표[근무일자],$Q1512)&amp;""))</f>
        <v/>
      </c>
      <c r="F1512">
        <f>IF($Q1512="","",IF(ISNUMBER(INDEX(상세표[시작],$Q1512)),TEXT(INDEX(상세표[시작],$Q1512),"yyyy-mm-dd hh:mm"),INDEX(상세표[시작],$Q1512)&amp;""))</f>
        <v/>
      </c>
      <c r="G1512">
        <f>IF($Q1512="","",IF(ISNUMBER(INDEX(상세표[블록종료],$Q1512)),TEXT(INDEX(상세표[블록종료],$Q1512),"yyyy-mm-dd hh:mm"),INDEX(상세표[블록종료],$Q1512)&amp;""))</f>
        <v/>
      </c>
      <c r="H1512">
        <f>IF($Q1512="","",CHOOSE(WEEKDAY(INDEX(상세표[시작],$Q1512)),"일","월","화","수","목","금","토"))</f>
        <v/>
      </c>
      <c r="I1512" s="20">
        <f>IF($Q1512="","",INDEX(상세표[연속 시간],$Q1512))</f>
        <v/>
      </c>
      <c r="J1512">
        <f>IF($Q1512="","",INDEX(상세표[기록 수],$Q1512))</f>
        <v/>
      </c>
      <c r="K1512" s="20">
        <f>IF($Q1512="","",INDEX(상세표[블록 06~07시],$Q1512))</f>
        <v/>
      </c>
      <c r="L1512" s="20">
        <f>IF($Q1512="","",INDEX(상세표[블록 07~18시],$Q1512))</f>
        <v/>
      </c>
      <c r="M1512" s="20">
        <f>IF($Q1512="","",INDEX(상세표[블록 18~22시],$Q1512))</f>
        <v/>
      </c>
      <c r="N1512" s="20">
        <f>IF($Q1512="","",INDEX(상세표[블록 22~06시],$Q1512))</f>
        <v/>
      </c>
      <c r="O1512">
        <f>IF($Q1512="","",INDEX(상세표[주말·휴일 포함],$Q1512)&amp;"")</f>
        <v/>
      </c>
      <c r="P1512">
        <f>IF($Q1512="","",INDEX(상세표[월 넘김 포함],$Q1512)&amp;"")</f>
        <v/>
      </c>
      <c r="Q1512" s="4">
        <f>IFERROR(MATCH(1507,상세표[연속순번],0),"")</f>
        <v/>
      </c>
    </row>
    <row r="1513">
      <c r="A1513">
        <f>IF($Q1513="","",INDEX(상세표[부서],$Q1513)&amp;"")</f>
        <v/>
      </c>
      <c r="B1513">
        <f>IF($Q1513="","",INDEX(상세표[사번],$Q1513)&amp;"")</f>
        <v/>
      </c>
      <c r="C1513">
        <f>IF($Q1513="","",INDEX(상세표[성명],$Q1513)&amp;"")</f>
        <v/>
      </c>
      <c r="D1513">
        <f>IF($Q1513="","",INDEX(상세표[직위],$Q1513)&amp;"")</f>
        <v/>
      </c>
      <c r="E1513">
        <f>IF($Q1513="","",IF(ISNUMBER(INDEX(상세표[근무일자],$Q1513)),TEXT(INDEX(상세표[근무일자],$Q1513),"yyyy-mm-dd"),INDEX(상세표[근무일자],$Q1513)&amp;""))</f>
        <v/>
      </c>
      <c r="F1513">
        <f>IF($Q1513="","",IF(ISNUMBER(INDEX(상세표[시작],$Q1513)),TEXT(INDEX(상세표[시작],$Q1513),"yyyy-mm-dd hh:mm"),INDEX(상세표[시작],$Q1513)&amp;""))</f>
        <v/>
      </c>
      <c r="G1513">
        <f>IF($Q1513="","",IF(ISNUMBER(INDEX(상세표[블록종료],$Q1513)),TEXT(INDEX(상세표[블록종료],$Q1513),"yyyy-mm-dd hh:mm"),INDEX(상세표[블록종료],$Q1513)&amp;""))</f>
        <v/>
      </c>
      <c r="H1513">
        <f>IF($Q1513="","",CHOOSE(WEEKDAY(INDEX(상세표[시작],$Q1513)),"일","월","화","수","목","금","토"))</f>
        <v/>
      </c>
      <c r="I1513" s="20">
        <f>IF($Q1513="","",INDEX(상세표[연속 시간],$Q1513))</f>
        <v/>
      </c>
      <c r="J1513">
        <f>IF($Q1513="","",INDEX(상세표[기록 수],$Q1513))</f>
        <v/>
      </c>
      <c r="K1513" s="20">
        <f>IF($Q1513="","",INDEX(상세표[블록 06~07시],$Q1513))</f>
        <v/>
      </c>
      <c r="L1513" s="20">
        <f>IF($Q1513="","",INDEX(상세표[블록 07~18시],$Q1513))</f>
        <v/>
      </c>
      <c r="M1513" s="20">
        <f>IF($Q1513="","",INDEX(상세표[블록 18~22시],$Q1513))</f>
        <v/>
      </c>
      <c r="N1513" s="20">
        <f>IF($Q1513="","",INDEX(상세표[블록 22~06시],$Q1513))</f>
        <v/>
      </c>
      <c r="O1513">
        <f>IF($Q1513="","",INDEX(상세표[주말·휴일 포함],$Q1513)&amp;"")</f>
        <v/>
      </c>
      <c r="P1513">
        <f>IF($Q1513="","",INDEX(상세표[월 넘김 포함],$Q1513)&amp;"")</f>
        <v/>
      </c>
      <c r="Q1513" s="4">
        <f>IFERROR(MATCH(1508,상세표[연속순번],0),"")</f>
        <v/>
      </c>
    </row>
    <row r="1514">
      <c r="A1514">
        <f>IF($Q1514="","",INDEX(상세표[부서],$Q1514)&amp;"")</f>
        <v/>
      </c>
      <c r="B1514">
        <f>IF($Q1514="","",INDEX(상세표[사번],$Q1514)&amp;"")</f>
        <v/>
      </c>
      <c r="C1514">
        <f>IF($Q1514="","",INDEX(상세표[성명],$Q1514)&amp;"")</f>
        <v/>
      </c>
      <c r="D1514">
        <f>IF($Q1514="","",INDEX(상세표[직위],$Q1514)&amp;"")</f>
        <v/>
      </c>
      <c r="E1514">
        <f>IF($Q1514="","",IF(ISNUMBER(INDEX(상세표[근무일자],$Q1514)),TEXT(INDEX(상세표[근무일자],$Q1514),"yyyy-mm-dd"),INDEX(상세표[근무일자],$Q1514)&amp;""))</f>
        <v/>
      </c>
      <c r="F1514">
        <f>IF($Q1514="","",IF(ISNUMBER(INDEX(상세표[시작],$Q1514)),TEXT(INDEX(상세표[시작],$Q1514),"yyyy-mm-dd hh:mm"),INDEX(상세표[시작],$Q1514)&amp;""))</f>
        <v/>
      </c>
      <c r="G1514">
        <f>IF($Q1514="","",IF(ISNUMBER(INDEX(상세표[블록종료],$Q1514)),TEXT(INDEX(상세표[블록종료],$Q1514),"yyyy-mm-dd hh:mm"),INDEX(상세표[블록종료],$Q1514)&amp;""))</f>
        <v/>
      </c>
      <c r="H1514">
        <f>IF($Q1514="","",CHOOSE(WEEKDAY(INDEX(상세표[시작],$Q1514)),"일","월","화","수","목","금","토"))</f>
        <v/>
      </c>
      <c r="I1514" s="20">
        <f>IF($Q1514="","",INDEX(상세표[연속 시간],$Q1514))</f>
        <v/>
      </c>
      <c r="J1514">
        <f>IF($Q1514="","",INDEX(상세표[기록 수],$Q1514))</f>
        <v/>
      </c>
      <c r="K1514" s="20">
        <f>IF($Q1514="","",INDEX(상세표[블록 06~07시],$Q1514))</f>
        <v/>
      </c>
      <c r="L1514" s="20">
        <f>IF($Q1514="","",INDEX(상세표[블록 07~18시],$Q1514))</f>
        <v/>
      </c>
      <c r="M1514" s="20">
        <f>IF($Q1514="","",INDEX(상세표[블록 18~22시],$Q1514))</f>
        <v/>
      </c>
      <c r="N1514" s="20">
        <f>IF($Q1514="","",INDEX(상세표[블록 22~06시],$Q1514))</f>
        <v/>
      </c>
      <c r="O1514">
        <f>IF($Q1514="","",INDEX(상세표[주말·휴일 포함],$Q1514)&amp;"")</f>
        <v/>
      </c>
      <c r="P1514">
        <f>IF($Q1514="","",INDEX(상세표[월 넘김 포함],$Q1514)&amp;"")</f>
        <v/>
      </c>
      <c r="Q1514" s="4">
        <f>IFERROR(MATCH(1509,상세표[연속순번],0),"")</f>
        <v/>
      </c>
    </row>
    <row r="1515">
      <c r="A1515">
        <f>IF($Q1515="","",INDEX(상세표[부서],$Q1515)&amp;"")</f>
        <v/>
      </c>
      <c r="B1515">
        <f>IF($Q1515="","",INDEX(상세표[사번],$Q1515)&amp;"")</f>
        <v/>
      </c>
      <c r="C1515">
        <f>IF($Q1515="","",INDEX(상세표[성명],$Q1515)&amp;"")</f>
        <v/>
      </c>
      <c r="D1515">
        <f>IF($Q1515="","",INDEX(상세표[직위],$Q1515)&amp;"")</f>
        <v/>
      </c>
      <c r="E1515">
        <f>IF($Q1515="","",IF(ISNUMBER(INDEX(상세표[근무일자],$Q1515)),TEXT(INDEX(상세표[근무일자],$Q1515),"yyyy-mm-dd"),INDEX(상세표[근무일자],$Q1515)&amp;""))</f>
        <v/>
      </c>
      <c r="F1515">
        <f>IF($Q1515="","",IF(ISNUMBER(INDEX(상세표[시작],$Q1515)),TEXT(INDEX(상세표[시작],$Q1515),"yyyy-mm-dd hh:mm"),INDEX(상세표[시작],$Q1515)&amp;""))</f>
        <v/>
      </c>
      <c r="G1515">
        <f>IF($Q1515="","",IF(ISNUMBER(INDEX(상세표[블록종료],$Q1515)),TEXT(INDEX(상세표[블록종료],$Q1515),"yyyy-mm-dd hh:mm"),INDEX(상세표[블록종료],$Q1515)&amp;""))</f>
        <v/>
      </c>
      <c r="H1515">
        <f>IF($Q1515="","",CHOOSE(WEEKDAY(INDEX(상세표[시작],$Q1515)),"일","월","화","수","목","금","토"))</f>
        <v/>
      </c>
      <c r="I1515" s="20">
        <f>IF($Q1515="","",INDEX(상세표[연속 시간],$Q1515))</f>
        <v/>
      </c>
      <c r="J1515">
        <f>IF($Q1515="","",INDEX(상세표[기록 수],$Q1515))</f>
        <v/>
      </c>
      <c r="K1515" s="20">
        <f>IF($Q1515="","",INDEX(상세표[블록 06~07시],$Q1515))</f>
        <v/>
      </c>
      <c r="L1515" s="20">
        <f>IF($Q1515="","",INDEX(상세표[블록 07~18시],$Q1515))</f>
        <v/>
      </c>
      <c r="M1515" s="20">
        <f>IF($Q1515="","",INDEX(상세표[블록 18~22시],$Q1515))</f>
        <v/>
      </c>
      <c r="N1515" s="20">
        <f>IF($Q1515="","",INDEX(상세표[블록 22~06시],$Q1515))</f>
        <v/>
      </c>
      <c r="O1515">
        <f>IF($Q1515="","",INDEX(상세표[주말·휴일 포함],$Q1515)&amp;"")</f>
        <v/>
      </c>
      <c r="P1515">
        <f>IF($Q1515="","",INDEX(상세표[월 넘김 포함],$Q1515)&amp;"")</f>
        <v/>
      </c>
      <c r="Q1515" s="4">
        <f>IFERROR(MATCH(1510,상세표[연속순번],0),"")</f>
        <v/>
      </c>
    </row>
    <row r="1516">
      <c r="A1516">
        <f>IF($Q1516="","",INDEX(상세표[부서],$Q1516)&amp;"")</f>
        <v/>
      </c>
      <c r="B1516">
        <f>IF($Q1516="","",INDEX(상세표[사번],$Q1516)&amp;"")</f>
        <v/>
      </c>
      <c r="C1516">
        <f>IF($Q1516="","",INDEX(상세표[성명],$Q1516)&amp;"")</f>
        <v/>
      </c>
      <c r="D1516">
        <f>IF($Q1516="","",INDEX(상세표[직위],$Q1516)&amp;"")</f>
        <v/>
      </c>
      <c r="E1516">
        <f>IF($Q1516="","",IF(ISNUMBER(INDEX(상세표[근무일자],$Q1516)),TEXT(INDEX(상세표[근무일자],$Q1516),"yyyy-mm-dd"),INDEX(상세표[근무일자],$Q1516)&amp;""))</f>
        <v/>
      </c>
      <c r="F1516">
        <f>IF($Q1516="","",IF(ISNUMBER(INDEX(상세표[시작],$Q1516)),TEXT(INDEX(상세표[시작],$Q1516),"yyyy-mm-dd hh:mm"),INDEX(상세표[시작],$Q1516)&amp;""))</f>
        <v/>
      </c>
      <c r="G1516">
        <f>IF($Q1516="","",IF(ISNUMBER(INDEX(상세표[블록종료],$Q1516)),TEXT(INDEX(상세표[블록종료],$Q1516),"yyyy-mm-dd hh:mm"),INDEX(상세표[블록종료],$Q1516)&amp;""))</f>
        <v/>
      </c>
      <c r="H1516">
        <f>IF($Q1516="","",CHOOSE(WEEKDAY(INDEX(상세표[시작],$Q1516)),"일","월","화","수","목","금","토"))</f>
        <v/>
      </c>
      <c r="I1516" s="20">
        <f>IF($Q1516="","",INDEX(상세표[연속 시간],$Q1516))</f>
        <v/>
      </c>
      <c r="J1516">
        <f>IF($Q1516="","",INDEX(상세표[기록 수],$Q1516))</f>
        <v/>
      </c>
      <c r="K1516" s="20">
        <f>IF($Q1516="","",INDEX(상세표[블록 06~07시],$Q1516))</f>
        <v/>
      </c>
      <c r="L1516" s="20">
        <f>IF($Q1516="","",INDEX(상세표[블록 07~18시],$Q1516))</f>
        <v/>
      </c>
      <c r="M1516" s="20">
        <f>IF($Q1516="","",INDEX(상세표[블록 18~22시],$Q1516))</f>
        <v/>
      </c>
      <c r="N1516" s="20">
        <f>IF($Q1516="","",INDEX(상세표[블록 22~06시],$Q1516))</f>
        <v/>
      </c>
      <c r="O1516">
        <f>IF($Q1516="","",INDEX(상세표[주말·휴일 포함],$Q1516)&amp;"")</f>
        <v/>
      </c>
      <c r="P1516">
        <f>IF($Q1516="","",INDEX(상세표[월 넘김 포함],$Q1516)&amp;"")</f>
        <v/>
      </c>
      <c r="Q1516" s="4">
        <f>IFERROR(MATCH(1511,상세표[연속순번],0),"")</f>
        <v/>
      </c>
    </row>
    <row r="1517">
      <c r="A1517">
        <f>IF($Q1517="","",INDEX(상세표[부서],$Q1517)&amp;"")</f>
        <v/>
      </c>
      <c r="B1517">
        <f>IF($Q1517="","",INDEX(상세표[사번],$Q1517)&amp;"")</f>
        <v/>
      </c>
      <c r="C1517">
        <f>IF($Q1517="","",INDEX(상세표[성명],$Q1517)&amp;"")</f>
        <v/>
      </c>
      <c r="D1517">
        <f>IF($Q1517="","",INDEX(상세표[직위],$Q1517)&amp;"")</f>
        <v/>
      </c>
      <c r="E1517">
        <f>IF($Q1517="","",IF(ISNUMBER(INDEX(상세표[근무일자],$Q1517)),TEXT(INDEX(상세표[근무일자],$Q1517),"yyyy-mm-dd"),INDEX(상세표[근무일자],$Q1517)&amp;""))</f>
        <v/>
      </c>
      <c r="F1517">
        <f>IF($Q1517="","",IF(ISNUMBER(INDEX(상세표[시작],$Q1517)),TEXT(INDEX(상세표[시작],$Q1517),"yyyy-mm-dd hh:mm"),INDEX(상세표[시작],$Q1517)&amp;""))</f>
        <v/>
      </c>
      <c r="G1517">
        <f>IF($Q1517="","",IF(ISNUMBER(INDEX(상세표[블록종료],$Q1517)),TEXT(INDEX(상세표[블록종료],$Q1517),"yyyy-mm-dd hh:mm"),INDEX(상세표[블록종료],$Q1517)&amp;""))</f>
        <v/>
      </c>
      <c r="H1517">
        <f>IF($Q1517="","",CHOOSE(WEEKDAY(INDEX(상세표[시작],$Q1517)),"일","월","화","수","목","금","토"))</f>
        <v/>
      </c>
      <c r="I1517" s="20">
        <f>IF($Q1517="","",INDEX(상세표[연속 시간],$Q1517))</f>
        <v/>
      </c>
      <c r="J1517">
        <f>IF($Q1517="","",INDEX(상세표[기록 수],$Q1517))</f>
        <v/>
      </c>
      <c r="K1517" s="20">
        <f>IF($Q1517="","",INDEX(상세표[블록 06~07시],$Q1517))</f>
        <v/>
      </c>
      <c r="L1517" s="20">
        <f>IF($Q1517="","",INDEX(상세표[블록 07~18시],$Q1517))</f>
        <v/>
      </c>
      <c r="M1517" s="20">
        <f>IF($Q1517="","",INDEX(상세표[블록 18~22시],$Q1517))</f>
        <v/>
      </c>
      <c r="N1517" s="20">
        <f>IF($Q1517="","",INDEX(상세표[블록 22~06시],$Q1517))</f>
        <v/>
      </c>
      <c r="O1517">
        <f>IF($Q1517="","",INDEX(상세표[주말·휴일 포함],$Q1517)&amp;"")</f>
        <v/>
      </c>
      <c r="P1517">
        <f>IF($Q1517="","",INDEX(상세표[월 넘김 포함],$Q1517)&amp;"")</f>
        <v/>
      </c>
      <c r="Q1517" s="4">
        <f>IFERROR(MATCH(1512,상세표[연속순번],0),"")</f>
        <v/>
      </c>
    </row>
    <row r="1518">
      <c r="A1518">
        <f>IF($Q1518="","",INDEX(상세표[부서],$Q1518)&amp;"")</f>
        <v/>
      </c>
      <c r="B1518">
        <f>IF($Q1518="","",INDEX(상세표[사번],$Q1518)&amp;"")</f>
        <v/>
      </c>
      <c r="C1518">
        <f>IF($Q1518="","",INDEX(상세표[성명],$Q1518)&amp;"")</f>
        <v/>
      </c>
      <c r="D1518">
        <f>IF($Q1518="","",INDEX(상세표[직위],$Q1518)&amp;"")</f>
        <v/>
      </c>
      <c r="E1518">
        <f>IF($Q1518="","",IF(ISNUMBER(INDEX(상세표[근무일자],$Q1518)),TEXT(INDEX(상세표[근무일자],$Q1518),"yyyy-mm-dd"),INDEX(상세표[근무일자],$Q1518)&amp;""))</f>
        <v/>
      </c>
      <c r="F1518">
        <f>IF($Q1518="","",IF(ISNUMBER(INDEX(상세표[시작],$Q1518)),TEXT(INDEX(상세표[시작],$Q1518),"yyyy-mm-dd hh:mm"),INDEX(상세표[시작],$Q1518)&amp;""))</f>
        <v/>
      </c>
      <c r="G1518">
        <f>IF($Q1518="","",IF(ISNUMBER(INDEX(상세표[블록종료],$Q1518)),TEXT(INDEX(상세표[블록종료],$Q1518),"yyyy-mm-dd hh:mm"),INDEX(상세표[블록종료],$Q1518)&amp;""))</f>
        <v/>
      </c>
      <c r="H1518">
        <f>IF($Q1518="","",CHOOSE(WEEKDAY(INDEX(상세표[시작],$Q1518)),"일","월","화","수","목","금","토"))</f>
        <v/>
      </c>
      <c r="I1518" s="20">
        <f>IF($Q1518="","",INDEX(상세표[연속 시간],$Q1518))</f>
        <v/>
      </c>
      <c r="J1518">
        <f>IF($Q1518="","",INDEX(상세표[기록 수],$Q1518))</f>
        <v/>
      </c>
      <c r="K1518" s="20">
        <f>IF($Q1518="","",INDEX(상세표[블록 06~07시],$Q1518))</f>
        <v/>
      </c>
      <c r="L1518" s="20">
        <f>IF($Q1518="","",INDEX(상세표[블록 07~18시],$Q1518))</f>
        <v/>
      </c>
      <c r="M1518" s="20">
        <f>IF($Q1518="","",INDEX(상세표[블록 18~22시],$Q1518))</f>
        <v/>
      </c>
      <c r="N1518" s="20">
        <f>IF($Q1518="","",INDEX(상세표[블록 22~06시],$Q1518))</f>
        <v/>
      </c>
      <c r="O1518">
        <f>IF($Q1518="","",INDEX(상세표[주말·휴일 포함],$Q1518)&amp;"")</f>
        <v/>
      </c>
      <c r="P1518">
        <f>IF($Q1518="","",INDEX(상세표[월 넘김 포함],$Q1518)&amp;"")</f>
        <v/>
      </c>
      <c r="Q1518" s="4">
        <f>IFERROR(MATCH(1513,상세표[연속순번],0),"")</f>
        <v/>
      </c>
    </row>
    <row r="1519">
      <c r="A1519">
        <f>IF($Q1519="","",INDEX(상세표[부서],$Q1519)&amp;"")</f>
        <v/>
      </c>
      <c r="B1519">
        <f>IF($Q1519="","",INDEX(상세표[사번],$Q1519)&amp;"")</f>
        <v/>
      </c>
      <c r="C1519">
        <f>IF($Q1519="","",INDEX(상세표[성명],$Q1519)&amp;"")</f>
        <v/>
      </c>
      <c r="D1519">
        <f>IF($Q1519="","",INDEX(상세표[직위],$Q1519)&amp;"")</f>
        <v/>
      </c>
      <c r="E1519">
        <f>IF($Q1519="","",IF(ISNUMBER(INDEX(상세표[근무일자],$Q1519)),TEXT(INDEX(상세표[근무일자],$Q1519),"yyyy-mm-dd"),INDEX(상세표[근무일자],$Q1519)&amp;""))</f>
        <v/>
      </c>
      <c r="F1519">
        <f>IF($Q1519="","",IF(ISNUMBER(INDEX(상세표[시작],$Q1519)),TEXT(INDEX(상세표[시작],$Q1519),"yyyy-mm-dd hh:mm"),INDEX(상세표[시작],$Q1519)&amp;""))</f>
        <v/>
      </c>
      <c r="G1519">
        <f>IF($Q1519="","",IF(ISNUMBER(INDEX(상세표[블록종료],$Q1519)),TEXT(INDEX(상세표[블록종료],$Q1519),"yyyy-mm-dd hh:mm"),INDEX(상세표[블록종료],$Q1519)&amp;""))</f>
        <v/>
      </c>
      <c r="H1519">
        <f>IF($Q1519="","",CHOOSE(WEEKDAY(INDEX(상세표[시작],$Q1519)),"일","월","화","수","목","금","토"))</f>
        <v/>
      </c>
      <c r="I1519" s="20">
        <f>IF($Q1519="","",INDEX(상세표[연속 시간],$Q1519))</f>
        <v/>
      </c>
      <c r="J1519">
        <f>IF($Q1519="","",INDEX(상세표[기록 수],$Q1519))</f>
        <v/>
      </c>
      <c r="K1519" s="20">
        <f>IF($Q1519="","",INDEX(상세표[블록 06~07시],$Q1519))</f>
        <v/>
      </c>
      <c r="L1519" s="20">
        <f>IF($Q1519="","",INDEX(상세표[블록 07~18시],$Q1519))</f>
        <v/>
      </c>
      <c r="M1519" s="20">
        <f>IF($Q1519="","",INDEX(상세표[블록 18~22시],$Q1519))</f>
        <v/>
      </c>
      <c r="N1519" s="20">
        <f>IF($Q1519="","",INDEX(상세표[블록 22~06시],$Q1519))</f>
        <v/>
      </c>
      <c r="O1519">
        <f>IF($Q1519="","",INDEX(상세표[주말·휴일 포함],$Q1519)&amp;"")</f>
        <v/>
      </c>
      <c r="P1519">
        <f>IF($Q1519="","",INDEX(상세표[월 넘김 포함],$Q1519)&amp;"")</f>
        <v/>
      </c>
      <c r="Q1519" s="4">
        <f>IFERROR(MATCH(1514,상세표[연속순번],0),"")</f>
        <v/>
      </c>
    </row>
    <row r="1520">
      <c r="A1520">
        <f>IF($Q1520="","",INDEX(상세표[부서],$Q1520)&amp;"")</f>
        <v/>
      </c>
      <c r="B1520">
        <f>IF($Q1520="","",INDEX(상세표[사번],$Q1520)&amp;"")</f>
        <v/>
      </c>
      <c r="C1520">
        <f>IF($Q1520="","",INDEX(상세표[성명],$Q1520)&amp;"")</f>
        <v/>
      </c>
      <c r="D1520">
        <f>IF($Q1520="","",INDEX(상세표[직위],$Q1520)&amp;"")</f>
        <v/>
      </c>
      <c r="E1520">
        <f>IF($Q1520="","",IF(ISNUMBER(INDEX(상세표[근무일자],$Q1520)),TEXT(INDEX(상세표[근무일자],$Q1520),"yyyy-mm-dd"),INDEX(상세표[근무일자],$Q1520)&amp;""))</f>
        <v/>
      </c>
      <c r="F1520">
        <f>IF($Q1520="","",IF(ISNUMBER(INDEX(상세표[시작],$Q1520)),TEXT(INDEX(상세표[시작],$Q1520),"yyyy-mm-dd hh:mm"),INDEX(상세표[시작],$Q1520)&amp;""))</f>
        <v/>
      </c>
      <c r="G1520">
        <f>IF($Q1520="","",IF(ISNUMBER(INDEX(상세표[블록종료],$Q1520)),TEXT(INDEX(상세표[블록종료],$Q1520),"yyyy-mm-dd hh:mm"),INDEX(상세표[블록종료],$Q1520)&amp;""))</f>
        <v/>
      </c>
      <c r="H1520">
        <f>IF($Q1520="","",CHOOSE(WEEKDAY(INDEX(상세표[시작],$Q1520)),"일","월","화","수","목","금","토"))</f>
        <v/>
      </c>
      <c r="I1520" s="20">
        <f>IF($Q1520="","",INDEX(상세표[연속 시간],$Q1520))</f>
        <v/>
      </c>
      <c r="J1520">
        <f>IF($Q1520="","",INDEX(상세표[기록 수],$Q1520))</f>
        <v/>
      </c>
      <c r="K1520" s="20">
        <f>IF($Q1520="","",INDEX(상세표[블록 06~07시],$Q1520))</f>
        <v/>
      </c>
      <c r="L1520" s="20">
        <f>IF($Q1520="","",INDEX(상세표[블록 07~18시],$Q1520))</f>
        <v/>
      </c>
      <c r="M1520" s="20">
        <f>IF($Q1520="","",INDEX(상세표[블록 18~22시],$Q1520))</f>
        <v/>
      </c>
      <c r="N1520" s="20">
        <f>IF($Q1520="","",INDEX(상세표[블록 22~06시],$Q1520))</f>
        <v/>
      </c>
      <c r="O1520">
        <f>IF($Q1520="","",INDEX(상세표[주말·휴일 포함],$Q1520)&amp;"")</f>
        <v/>
      </c>
      <c r="P1520">
        <f>IF($Q1520="","",INDEX(상세표[월 넘김 포함],$Q1520)&amp;"")</f>
        <v/>
      </c>
      <c r="Q1520" s="4">
        <f>IFERROR(MATCH(1515,상세표[연속순번],0),"")</f>
        <v/>
      </c>
    </row>
    <row r="1521">
      <c r="A1521">
        <f>IF($Q1521="","",INDEX(상세표[부서],$Q1521)&amp;"")</f>
        <v/>
      </c>
      <c r="B1521">
        <f>IF($Q1521="","",INDEX(상세표[사번],$Q1521)&amp;"")</f>
        <v/>
      </c>
      <c r="C1521">
        <f>IF($Q1521="","",INDEX(상세표[성명],$Q1521)&amp;"")</f>
        <v/>
      </c>
      <c r="D1521">
        <f>IF($Q1521="","",INDEX(상세표[직위],$Q1521)&amp;"")</f>
        <v/>
      </c>
      <c r="E1521">
        <f>IF($Q1521="","",IF(ISNUMBER(INDEX(상세표[근무일자],$Q1521)),TEXT(INDEX(상세표[근무일자],$Q1521),"yyyy-mm-dd"),INDEX(상세표[근무일자],$Q1521)&amp;""))</f>
        <v/>
      </c>
      <c r="F1521">
        <f>IF($Q1521="","",IF(ISNUMBER(INDEX(상세표[시작],$Q1521)),TEXT(INDEX(상세표[시작],$Q1521),"yyyy-mm-dd hh:mm"),INDEX(상세표[시작],$Q1521)&amp;""))</f>
        <v/>
      </c>
      <c r="G1521">
        <f>IF($Q1521="","",IF(ISNUMBER(INDEX(상세표[블록종료],$Q1521)),TEXT(INDEX(상세표[블록종료],$Q1521),"yyyy-mm-dd hh:mm"),INDEX(상세표[블록종료],$Q1521)&amp;""))</f>
        <v/>
      </c>
      <c r="H1521">
        <f>IF($Q1521="","",CHOOSE(WEEKDAY(INDEX(상세표[시작],$Q1521)),"일","월","화","수","목","금","토"))</f>
        <v/>
      </c>
      <c r="I1521" s="20">
        <f>IF($Q1521="","",INDEX(상세표[연속 시간],$Q1521))</f>
        <v/>
      </c>
      <c r="J1521">
        <f>IF($Q1521="","",INDEX(상세표[기록 수],$Q1521))</f>
        <v/>
      </c>
      <c r="K1521" s="20">
        <f>IF($Q1521="","",INDEX(상세표[블록 06~07시],$Q1521))</f>
        <v/>
      </c>
      <c r="L1521" s="20">
        <f>IF($Q1521="","",INDEX(상세표[블록 07~18시],$Q1521))</f>
        <v/>
      </c>
      <c r="M1521" s="20">
        <f>IF($Q1521="","",INDEX(상세표[블록 18~22시],$Q1521))</f>
        <v/>
      </c>
      <c r="N1521" s="20">
        <f>IF($Q1521="","",INDEX(상세표[블록 22~06시],$Q1521))</f>
        <v/>
      </c>
      <c r="O1521">
        <f>IF($Q1521="","",INDEX(상세표[주말·휴일 포함],$Q1521)&amp;"")</f>
        <v/>
      </c>
      <c r="P1521">
        <f>IF($Q1521="","",INDEX(상세표[월 넘김 포함],$Q1521)&amp;"")</f>
        <v/>
      </c>
      <c r="Q1521" s="4">
        <f>IFERROR(MATCH(1516,상세표[연속순번],0),"")</f>
        <v/>
      </c>
    </row>
    <row r="1522">
      <c r="A1522">
        <f>IF($Q1522="","",INDEX(상세표[부서],$Q1522)&amp;"")</f>
        <v/>
      </c>
      <c r="B1522">
        <f>IF($Q1522="","",INDEX(상세표[사번],$Q1522)&amp;"")</f>
        <v/>
      </c>
      <c r="C1522">
        <f>IF($Q1522="","",INDEX(상세표[성명],$Q1522)&amp;"")</f>
        <v/>
      </c>
      <c r="D1522">
        <f>IF($Q1522="","",INDEX(상세표[직위],$Q1522)&amp;"")</f>
        <v/>
      </c>
      <c r="E1522">
        <f>IF($Q1522="","",IF(ISNUMBER(INDEX(상세표[근무일자],$Q1522)),TEXT(INDEX(상세표[근무일자],$Q1522),"yyyy-mm-dd"),INDEX(상세표[근무일자],$Q1522)&amp;""))</f>
        <v/>
      </c>
      <c r="F1522">
        <f>IF($Q1522="","",IF(ISNUMBER(INDEX(상세표[시작],$Q1522)),TEXT(INDEX(상세표[시작],$Q1522),"yyyy-mm-dd hh:mm"),INDEX(상세표[시작],$Q1522)&amp;""))</f>
        <v/>
      </c>
      <c r="G1522">
        <f>IF($Q1522="","",IF(ISNUMBER(INDEX(상세표[블록종료],$Q1522)),TEXT(INDEX(상세표[블록종료],$Q1522),"yyyy-mm-dd hh:mm"),INDEX(상세표[블록종료],$Q1522)&amp;""))</f>
        <v/>
      </c>
      <c r="H1522">
        <f>IF($Q1522="","",CHOOSE(WEEKDAY(INDEX(상세표[시작],$Q1522)),"일","월","화","수","목","금","토"))</f>
        <v/>
      </c>
      <c r="I1522" s="20">
        <f>IF($Q1522="","",INDEX(상세표[연속 시간],$Q1522))</f>
        <v/>
      </c>
      <c r="J1522">
        <f>IF($Q1522="","",INDEX(상세표[기록 수],$Q1522))</f>
        <v/>
      </c>
      <c r="K1522" s="20">
        <f>IF($Q1522="","",INDEX(상세표[블록 06~07시],$Q1522))</f>
        <v/>
      </c>
      <c r="L1522" s="20">
        <f>IF($Q1522="","",INDEX(상세표[블록 07~18시],$Q1522))</f>
        <v/>
      </c>
      <c r="M1522" s="20">
        <f>IF($Q1522="","",INDEX(상세표[블록 18~22시],$Q1522))</f>
        <v/>
      </c>
      <c r="N1522" s="20">
        <f>IF($Q1522="","",INDEX(상세표[블록 22~06시],$Q1522))</f>
        <v/>
      </c>
      <c r="O1522">
        <f>IF($Q1522="","",INDEX(상세표[주말·휴일 포함],$Q1522)&amp;"")</f>
        <v/>
      </c>
      <c r="P1522">
        <f>IF($Q1522="","",INDEX(상세표[월 넘김 포함],$Q1522)&amp;"")</f>
        <v/>
      </c>
      <c r="Q1522" s="4">
        <f>IFERROR(MATCH(1517,상세표[연속순번],0),"")</f>
        <v/>
      </c>
    </row>
    <row r="1523">
      <c r="A1523">
        <f>IF($Q1523="","",INDEX(상세표[부서],$Q1523)&amp;"")</f>
        <v/>
      </c>
      <c r="B1523">
        <f>IF($Q1523="","",INDEX(상세표[사번],$Q1523)&amp;"")</f>
        <v/>
      </c>
      <c r="C1523">
        <f>IF($Q1523="","",INDEX(상세표[성명],$Q1523)&amp;"")</f>
        <v/>
      </c>
      <c r="D1523">
        <f>IF($Q1523="","",INDEX(상세표[직위],$Q1523)&amp;"")</f>
        <v/>
      </c>
      <c r="E1523">
        <f>IF($Q1523="","",IF(ISNUMBER(INDEX(상세표[근무일자],$Q1523)),TEXT(INDEX(상세표[근무일자],$Q1523),"yyyy-mm-dd"),INDEX(상세표[근무일자],$Q1523)&amp;""))</f>
        <v/>
      </c>
      <c r="F1523">
        <f>IF($Q1523="","",IF(ISNUMBER(INDEX(상세표[시작],$Q1523)),TEXT(INDEX(상세표[시작],$Q1523),"yyyy-mm-dd hh:mm"),INDEX(상세표[시작],$Q1523)&amp;""))</f>
        <v/>
      </c>
      <c r="G1523">
        <f>IF($Q1523="","",IF(ISNUMBER(INDEX(상세표[블록종료],$Q1523)),TEXT(INDEX(상세표[블록종료],$Q1523),"yyyy-mm-dd hh:mm"),INDEX(상세표[블록종료],$Q1523)&amp;""))</f>
        <v/>
      </c>
      <c r="H1523">
        <f>IF($Q1523="","",CHOOSE(WEEKDAY(INDEX(상세표[시작],$Q1523)),"일","월","화","수","목","금","토"))</f>
        <v/>
      </c>
      <c r="I1523" s="20">
        <f>IF($Q1523="","",INDEX(상세표[연속 시간],$Q1523))</f>
        <v/>
      </c>
      <c r="J1523">
        <f>IF($Q1523="","",INDEX(상세표[기록 수],$Q1523))</f>
        <v/>
      </c>
      <c r="K1523" s="20">
        <f>IF($Q1523="","",INDEX(상세표[블록 06~07시],$Q1523))</f>
        <v/>
      </c>
      <c r="L1523" s="20">
        <f>IF($Q1523="","",INDEX(상세표[블록 07~18시],$Q1523))</f>
        <v/>
      </c>
      <c r="M1523" s="20">
        <f>IF($Q1523="","",INDEX(상세표[블록 18~22시],$Q1523))</f>
        <v/>
      </c>
      <c r="N1523" s="20">
        <f>IF($Q1523="","",INDEX(상세표[블록 22~06시],$Q1523))</f>
        <v/>
      </c>
      <c r="O1523">
        <f>IF($Q1523="","",INDEX(상세표[주말·휴일 포함],$Q1523)&amp;"")</f>
        <v/>
      </c>
      <c r="P1523">
        <f>IF($Q1523="","",INDEX(상세표[월 넘김 포함],$Q1523)&amp;"")</f>
        <v/>
      </c>
      <c r="Q1523" s="4">
        <f>IFERROR(MATCH(1518,상세표[연속순번],0),"")</f>
        <v/>
      </c>
    </row>
    <row r="1524">
      <c r="A1524">
        <f>IF($Q1524="","",INDEX(상세표[부서],$Q1524)&amp;"")</f>
        <v/>
      </c>
      <c r="B1524">
        <f>IF($Q1524="","",INDEX(상세표[사번],$Q1524)&amp;"")</f>
        <v/>
      </c>
      <c r="C1524">
        <f>IF($Q1524="","",INDEX(상세표[성명],$Q1524)&amp;"")</f>
        <v/>
      </c>
      <c r="D1524">
        <f>IF($Q1524="","",INDEX(상세표[직위],$Q1524)&amp;"")</f>
        <v/>
      </c>
      <c r="E1524">
        <f>IF($Q1524="","",IF(ISNUMBER(INDEX(상세표[근무일자],$Q1524)),TEXT(INDEX(상세표[근무일자],$Q1524),"yyyy-mm-dd"),INDEX(상세표[근무일자],$Q1524)&amp;""))</f>
        <v/>
      </c>
      <c r="F1524">
        <f>IF($Q1524="","",IF(ISNUMBER(INDEX(상세표[시작],$Q1524)),TEXT(INDEX(상세표[시작],$Q1524),"yyyy-mm-dd hh:mm"),INDEX(상세표[시작],$Q1524)&amp;""))</f>
        <v/>
      </c>
      <c r="G1524">
        <f>IF($Q1524="","",IF(ISNUMBER(INDEX(상세표[블록종료],$Q1524)),TEXT(INDEX(상세표[블록종료],$Q1524),"yyyy-mm-dd hh:mm"),INDEX(상세표[블록종료],$Q1524)&amp;""))</f>
        <v/>
      </c>
      <c r="H1524">
        <f>IF($Q1524="","",CHOOSE(WEEKDAY(INDEX(상세표[시작],$Q1524)),"일","월","화","수","목","금","토"))</f>
        <v/>
      </c>
      <c r="I1524" s="20">
        <f>IF($Q1524="","",INDEX(상세표[연속 시간],$Q1524))</f>
        <v/>
      </c>
      <c r="J1524">
        <f>IF($Q1524="","",INDEX(상세표[기록 수],$Q1524))</f>
        <v/>
      </c>
      <c r="K1524" s="20">
        <f>IF($Q1524="","",INDEX(상세표[블록 06~07시],$Q1524))</f>
        <v/>
      </c>
      <c r="L1524" s="20">
        <f>IF($Q1524="","",INDEX(상세표[블록 07~18시],$Q1524))</f>
        <v/>
      </c>
      <c r="M1524" s="20">
        <f>IF($Q1524="","",INDEX(상세표[블록 18~22시],$Q1524))</f>
        <v/>
      </c>
      <c r="N1524" s="20">
        <f>IF($Q1524="","",INDEX(상세표[블록 22~06시],$Q1524))</f>
        <v/>
      </c>
      <c r="O1524">
        <f>IF($Q1524="","",INDEX(상세표[주말·휴일 포함],$Q1524)&amp;"")</f>
        <v/>
      </c>
      <c r="P1524">
        <f>IF($Q1524="","",INDEX(상세표[월 넘김 포함],$Q1524)&amp;"")</f>
        <v/>
      </c>
      <c r="Q1524" s="4">
        <f>IFERROR(MATCH(1519,상세표[연속순번],0),"")</f>
        <v/>
      </c>
    </row>
    <row r="1525">
      <c r="A1525">
        <f>IF($Q1525="","",INDEX(상세표[부서],$Q1525)&amp;"")</f>
        <v/>
      </c>
      <c r="B1525">
        <f>IF($Q1525="","",INDEX(상세표[사번],$Q1525)&amp;"")</f>
        <v/>
      </c>
      <c r="C1525">
        <f>IF($Q1525="","",INDEX(상세표[성명],$Q1525)&amp;"")</f>
        <v/>
      </c>
      <c r="D1525">
        <f>IF($Q1525="","",INDEX(상세표[직위],$Q1525)&amp;"")</f>
        <v/>
      </c>
      <c r="E1525">
        <f>IF($Q1525="","",IF(ISNUMBER(INDEX(상세표[근무일자],$Q1525)),TEXT(INDEX(상세표[근무일자],$Q1525),"yyyy-mm-dd"),INDEX(상세표[근무일자],$Q1525)&amp;""))</f>
        <v/>
      </c>
      <c r="F1525">
        <f>IF($Q1525="","",IF(ISNUMBER(INDEX(상세표[시작],$Q1525)),TEXT(INDEX(상세표[시작],$Q1525),"yyyy-mm-dd hh:mm"),INDEX(상세표[시작],$Q1525)&amp;""))</f>
        <v/>
      </c>
      <c r="G1525">
        <f>IF($Q1525="","",IF(ISNUMBER(INDEX(상세표[블록종료],$Q1525)),TEXT(INDEX(상세표[블록종료],$Q1525),"yyyy-mm-dd hh:mm"),INDEX(상세표[블록종료],$Q1525)&amp;""))</f>
        <v/>
      </c>
      <c r="H1525">
        <f>IF($Q1525="","",CHOOSE(WEEKDAY(INDEX(상세표[시작],$Q1525)),"일","월","화","수","목","금","토"))</f>
        <v/>
      </c>
      <c r="I1525" s="20">
        <f>IF($Q1525="","",INDEX(상세표[연속 시간],$Q1525))</f>
        <v/>
      </c>
      <c r="J1525">
        <f>IF($Q1525="","",INDEX(상세표[기록 수],$Q1525))</f>
        <v/>
      </c>
      <c r="K1525" s="20">
        <f>IF($Q1525="","",INDEX(상세표[블록 06~07시],$Q1525))</f>
        <v/>
      </c>
      <c r="L1525" s="20">
        <f>IF($Q1525="","",INDEX(상세표[블록 07~18시],$Q1525))</f>
        <v/>
      </c>
      <c r="M1525" s="20">
        <f>IF($Q1525="","",INDEX(상세표[블록 18~22시],$Q1525))</f>
        <v/>
      </c>
      <c r="N1525" s="20">
        <f>IF($Q1525="","",INDEX(상세표[블록 22~06시],$Q1525))</f>
        <v/>
      </c>
      <c r="O1525">
        <f>IF($Q1525="","",INDEX(상세표[주말·휴일 포함],$Q1525)&amp;"")</f>
        <v/>
      </c>
      <c r="P1525">
        <f>IF($Q1525="","",INDEX(상세표[월 넘김 포함],$Q1525)&amp;"")</f>
        <v/>
      </c>
      <c r="Q1525" s="4">
        <f>IFERROR(MATCH(1520,상세표[연속순번],0),"")</f>
        <v/>
      </c>
    </row>
    <row r="1526">
      <c r="A1526">
        <f>IF($Q1526="","",INDEX(상세표[부서],$Q1526)&amp;"")</f>
        <v/>
      </c>
      <c r="B1526">
        <f>IF($Q1526="","",INDEX(상세표[사번],$Q1526)&amp;"")</f>
        <v/>
      </c>
      <c r="C1526">
        <f>IF($Q1526="","",INDEX(상세표[성명],$Q1526)&amp;"")</f>
        <v/>
      </c>
      <c r="D1526">
        <f>IF($Q1526="","",INDEX(상세표[직위],$Q1526)&amp;"")</f>
        <v/>
      </c>
      <c r="E1526">
        <f>IF($Q1526="","",IF(ISNUMBER(INDEX(상세표[근무일자],$Q1526)),TEXT(INDEX(상세표[근무일자],$Q1526),"yyyy-mm-dd"),INDEX(상세표[근무일자],$Q1526)&amp;""))</f>
        <v/>
      </c>
      <c r="F1526">
        <f>IF($Q1526="","",IF(ISNUMBER(INDEX(상세표[시작],$Q1526)),TEXT(INDEX(상세표[시작],$Q1526),"yyyy-mm-dd hh:mm"),INDEX(상세표[시작],$Q1526)&amp;""))</f>
        <v/>
      </c>
      <c r="G1526">
        <f>IF($Q1526="","",IF(ISNUMBER(INDEX(상세표[블록종료],$Q1526)),TEXT(INDEX(상세표[블록종료],$Q1526),"yyyy-mm-dd hh:mm"),INDEX(상세표[블록종료],$Q1526)&amp;""))</f>
        <v/>
      </c>
      <c r="H1526">
        <f>IF($Q1526="","",CHOOSE(WEEKDAY(INDEX(상세표[시작],$Q1526)),"일","월","화","수","목","금","토"))</f>
        <v/>
      </c>
      <c r="I1526" s="20">
        <f>IF($Q1526="","",INDEX(상세표[연속 시간],$Q1526))</f>
        <v/>
      </c>
      <c r="J1526">
        <f>IF($Q1526="","",INDEX(상세표[기록 수],$Q1526))</f>
        <v/>
      </c>
      <c r="K1526" s="20">
        <f>IF($Q1526="","",INDEX(상세표[블록 06~07시],$Q1526))</f>
        <v/>
      </c>
      <c r="L1526" s="20">
        <f>IF($Q1526="","",INDEX(상세표[블록 07~18시],$Q1526))</f>
        <v/>
      </c>
      <c r="M1526" s="20">
        <f>IF($Q1526="","",INDEX(상세표[블록 18~22시],$Q1526))</f>
        <v/>
      </c>
      <c r="N1526" s="20">
        <f>IF($Q1526="","",INDEX(상세표[블록 22~06시],$Q1526))</f>
        <v/>
      </c>
      <c r="O1526">
        <f>IF($Q1526="","",INDEX(상세표[주말·휴일 포함],$Q1526)&amp;"")</f>
        <v/>
      </c>
      <c r="P1526">
        <f>IF($Q1526="","",INDEX(상세표[월 넘김 포함],$Q1526)&amp;"")</f>
        <v/>
      </c>
      <c r="Q1526" s="4">
        <f>IFERROR(MATCH(1521,상세표[연속순번],0),"")</f>
        <v/>
      </c>
    </row>
    <row r="1527">
      <c r="A1527">
        <f>IF($Q1527="","",INDEX(상세표[부서],$Q1527)&amp;"")</f>
        <v/>
      </c>
      <c r="B1527">
        <f>IF($Q1527="","",INDEX(상세표[사번],$Q1527)&amp;"")</f>
        <v/>
      </c>
      <c r="C1527">
        <f>IF($Q1527="","",INDEX(상세표[성명],$Q1527)&amp;"")</f>
        <v/>
      </c>
      <c r="D1527">
        <f>IF($Q1527="","",INDEX(상세표[직위],$Q1527)&amp;"")</f>
        <v/>
      </c>
      <c r="E1527">
        <f>IF($Q1527="","",IF(ISNUMBER(INDEX(상세표[근무일자],$Q1527)),TEXT(INDEX(상세표[근무일자],$Q1527),"yyyy-mm-dd"),INDEX(상세표[근무일자],$Q1527)&amp;""))</f>
        <v/>
      </c>
      <c r="F1527">
        <f>IF($Q1527="","",IF(ISNUMBER(INDEX(상세표[시작],$Q1527)),TEXT(INDEX(상세표[시작],$Q1527),"yyyy-mm-dd hh:mm"),INDEX(상세표[시작],$Q1527)&amp;""))</f>
        <v/>
      </c>
      <c r="G1527">
        <f>IF($Q1527="","",IF(ISNUMBER(INDEX(상세표[블록종료],$Q1527)),TEXT(INDEX(상세표[블록종료],$Q1527),"yyyy-mm-dd hh:mm"),INDEX(상세표[블록종료],$Q1527)&amp;""))</f>
        <v/>
      </c>
      <c r="H1527">
        <f>IF($Q1527="","",CHOOSE(WEEKDAY(INDEX(상세표[시작],$Q1527)),"일","월","화","수","목","금","토"))</f>
        <v/>
      </c>
      <c r="I1527" s="20">
        <f>IF($Q1527="","",INDEX(상세표[연속 시간],$Q1527))</f>
        <v/>
      </c>
      <c r="J1527">
        <f>IF($Q1527="","",INDEX(상세표[기록 수],$Q1527))</f>
        <v/>
      </c>
      <c r="K1527" s="20">
        <f>IF($Q1527="","",INDEX(상세표[블록 06~07시],$Q1527))</f>
        <v/>
      </c>
      <c r="L1527" s="20">
        <f>IF($Q1527="","",INDEX(상세표[블록 07~18시],$Q1527))</f>
        <v/>
      </c>
      <c r="M1527" s="20">
        <f>IF($Q1527="","",INDEX(상세표[블록 18~22시],$Q1527))</f>
        <v/>
      </c>
      <c r="N1527" s="20">
        <f>IF($Q1527="","",INDEX(상세표[블록 22~06시],$Q1527))</f>
        <v/>
      </c>
      <c r="O1527">
        <f>IF($Q1527="","",INDEX(상세표[주말·휴일 포함],$Q1527)&amp;"")</f>
        <v/>
      </c>
      <c r="P1527">
        <f>IF($Q1527="","",INDEX(상세표[월 넘김 포함],$Q1527)&amp;"")</f>
        <v/>
      </c>
      <c r="Q1527" s="4">
        <f>IFERROR(MATCH(1522,상세표[연속순번],0),"")</f>
        <v/>
      </c>
    </row>
    <row r="1528">
      <c r="A1528">
        <f>IF($Q1528="","",INDEX(상세표[부서],$Q1528)&amp;"")</f>
        <v/>
      </c>
      <c r="B1528">
        <f>IF($Q1528="","",INDEX(상세표[사번],$Q1528)&amp;"")</f>
        <v/>
      </c>
      <c r="C1528">
        <f>IF($Q1528="","",INDEX(상세표[성명],$Q1528)&amp;"")</f>
        <v/>
      </c>
      <c r="D1528">
        <f>IF($Q1528="","",INDEX(상세표[직위],$Q1528)&amp;"")</f>
        <v/>
      </c>
      <c r="E1528">
        <f>IF($Q1528="","",IF(ISNUMBER(INDEX(상세표[근무일자],$Q1528)),TEXT(INDEX(상세표[근무일자],$Q1528),"yyyy-mm-dd"),INDEX(상세표[근무일자],$Q1528)&amp;""))</f>
        <v/>
      </c>
      <c r="F1528">
        <f>IF($Q1528="","",IF(ISNUMBER(INDEX(상세표[시작],$Q1528)),TEXT(INDEX(상세표[시작],$Q1528),"yyyy-mm-dd hh:mm"),INDEX(상세표[시작],$Q1528)&amp;""))</f>
        <v/>
      </c>
      <c r="G1528">
        <f>IF($Q1528="","",IF(ISNUMBER(INDEX(상세표[블록종료],$Q1528)),TEXT(INDEX(상세표[블록종료],$Q1528),"yyyy-mm-dd hh:mm"),INDEX(상세표[블록종료],$Q1528)&amp;""))</f>
        <v/>
      </c>
      <c r="H1528">
        <f>IF($Q1528="","",CHOOSE(WEEKDAY(INDEX(상세표[시작],$Q1528)),"일","월","화","수","목","금","토"))</f>
        <v/>
      </c>
      <c r="I1528" s="20">
        <f>IF($Q1528="","",INDEX(상세표[연속 시간],$Q1528))</f>
        <v/>
      </c>
      <c r="J1528">
        <f>IF($Q1528="","",INDEX(상세표[기록 수],$Q1528))</f>
        <v/>
      </c>
      <c r="K1528" s="20">
        <f>IF($Q1528="","",INDEX(상세표[블록 06~07시],$Q1528))</f>
        <v/>
      </c>
      <c r="L1528" s="20">
        <f>IF($Q1528="","",INDEX(상세표[블록 07~18시],$Q1528))</f>
        <v/>
      </c>
      <c r="M1528" s="20">
        <f>IF($Q1528="","",INDEX(상세표[블록 18~22시],$Q1528))</f>
        <v/>
      </c>
      <c r="N1528" s="20">
        <f>IF($Q1528="","",INDEX(상세표[블록 22~06시],$Q1528))</f>
        <v/>
      </c>
      <c r="O1528">
        <f>IF($Q1528="","",INDEX(상세표[주말·휴일 포함],$Q1528)&amp;"")</f>
        <v/>
      </c>
      <c r="P1528">
        <f>IF($Q1528="","",INDEX(상세표[월 넘김 포함],$Q1528)&amp;"")</f>
        <v/>
      </c>
      <c r="Q1528" s="4">
        <f>IFERROR(MATCH(1523,상세표[연속순번],0),"")</f>
        <v/>
      </c>
    </row>
    <row r="1529">
      <c r="A1529">
        <f>IF($Q1529="","",INDEX(상세표[부서],$Q1529)&amp;"")</f>
        <v/>
      </c>
      <c r="B1529">
        <f>IF($Q1529="","",INDEX(상세표[사번],$Q1529)&amp;"")</f>
        <v/>
      </c>
      <c r="C1529">
        <f>IF($Q1529="","",INDEX(상세표[성명],$Q1529)&amp;"")</f>
        <v/>
      </c>
      <c r="D1529">
        <f>IF($Q1529="","",INDEX(상세표[직위],$Q1529)&amp;"")</f>
        <v/>
      </c>
      <c r="E1529">
        <f>IF($Q1529="","",IF(ISNUMBER(INDEX(상세표[근무일자],$Q1529)),TEXT(INDEX(상세표[근무일자],$Q1529),"yyyy-mm-dd"),INDEX(상세표[근무일자],$Q1529)&amp;""))</f>
        <v/>
      </c>
      <c r="F1529">
        <f>IF($Q1529="","",IF(ISNUMBER(INDEX(상세표[시작],$Q1529)),TEXT(INDEX(상세표[시작],$Q1529),"yyyy-mm-dd hh:mm"),INDEX(상세표[시작],$Q1529)&amp;""))</f>
        <v/>
      </c>
      <c r="G1529">
        <f>IF($Q1529="","",IF(ISNUMBER(INDEX(상세표[블록종료],$Q1529)),TEXT(INDEX(상세표[블록종료],$Q1529),"yyyy-mm-dd hh:mm"),INDEX(상세표[블록종료],$Q1529)&amp;""))</f>
        <v/>
      </c>
      <c r="H1529">
        <f>IF($Q1529="","",CHOOSE(WEEKDAY(INDEX(상세표[시작],$Q1529)),"일","월","화","수","목","금","토"))</f>
        <v/>
      </c>
      <c r="I1529" s="20">
        <f>IF($Q1529="","",INDEX(상세표[연속 시간],$Q1529))</f>
        <v/>
      </c>
      <c r="J1529">
        <f>IF($Q1529="","",INDEX(상세표[기록 수],$Q1529))</f>
        <v/>
      </c>
      <c r="K1529" s="20">
        <f>IF($Q1529="","",INDEX(상세표[블록 06~07시],$Q1529))</f>
        <v/>
      </c>
      <c r="L1529" s="20">
        <f>IF($Q1529="","",INDEX(상세표[블록 07~18시],$Q1529))</f>
        <v/>
      </c>
      <c r="M1529" s="20">
        <f>IF($Q1529="","",INDEX(상세표[블록 18~22시],$Q1529))</f>
        <v/>
      </c>
      <c r="N1529" s="20">
        <f>IF($Q1529="","",INDEX(상세표[블록 22~06시],$Q1529))</f>
        <v/>
      </c>
      <c r="O1529">
        <f>IF($Q1529="","",INDEX(상세표[주말·휴일 포함],$Q1529)&amp;"")</f>
        <v/>
      </c>
      <c r="P1529">
        <f>IF($Q1529="","",INDEX(상세표[월 넘김 포함],$Q1529)&amp;"")</f>
        <v/>
      </c>
      <c r="Q1529" s="4">
        <f>IFERROR(MATCH(1524,상세표[연속순번],0),"")</f>
        <v/>
      </c>
    </row>
    <row r="1530">
      <c r="A1530">
        <f>IF($Q1530="","",INDEX(상세표[부서],$Q1530)&amp;"")</f>
        <v/>
      </c>
      <c r="B1530">
        <f>IF($Q1530="","",INDEX(상세표[사번],$Q1530)&amp;"")</f>
        <v/>
      </c>
      <c r="C1530">
        <f>IF($Q1530="","",INDEX(상세표[성명],$Q1530)&amp;"")</f>
        <v/>
      </c>
      <c r="D1530">
        <f>IF($Q1530="","",INDEX(상세표[직위],$Q1530)&amp;"")</f>
        <v/>
      </c>
      <c r="E1530">
        <f>IF($Q1530="","",IF(ISNUMBER(INDEX(상세표[근무일자],$Q1530)),TEXT(INDEX(상세표[근무일자],$Q1530),"yyyy-mm-dd"),INDEX(상세표[근무일자],$Q1530)&amp;""))</f>
        <v/>
      </c>
      <c r="F1530">
        <f>IF($Q1530="","",IF(ISNUMBER(INDEX(상세표[시작],$Q1530)),TEXT(INDEX(상세표[시작],$Q1530),"yyyy-mm-dd hh:mm"),INDEX(상세표[시작],$Q1530)&amp;""))</f>
        <v/>
      </c>
      <c r="G1530">
        <f>IF($Q1530="","",IF(ISNUMBER(INDEX(상세표[블록종료],$Q1530)),TEXT(INDEX(상세표[블록종료],$Q1530),"yyyy-mm-dd hh:mm"),INDEX(상세표[블록종료],$Q1530)&amp;""))</f>
        <v/>
      </c>
      <c r="H1530">
        <f>IF($Q1530="","",CHOOSE(WEEKDAY(INDEX(상세표[시작],$Q1530)),"일","월","화","수","목","금","토"))</f>
        <v/>
      </c>
      <c r="I1530" s="20">
        <f>IF($Q1530="","",INDEX(상세표[연속 시간],$Q1530))</f>
        <v/>
      </c>
      <c r="J1530">
        <f>IF($Q1530="","",INDEX(상세표[기록 수],$Q1530))</f>
        <v/>
      </c>
      <c r="K1530" s="20">
        <f>IF($Q1530="","",INDEX(상세표[블록 06~07시],$Q1530))</f>
        <v/>
      </c>
      <c r="L1530" s="20">
        <f>IF($Q1530="","",INDEX(상세표[블록 07~18시],$Q1530))</f>
        <v/>
      </c>
      <c r="M1530" s="20">
        <f>IF($Q1530="","",INDEX(상세표[블록 18~22시],$Q1530))</f>
        <v/>
      </c>
      <c r="N1530" s="20">
        <f>IF($Q1530="","",INDEX(상세표[블록 22~06시],$Q1530))</f>
        <v/>
      </c>
      <c r="O1530">
        <f>IF($Q1530="","",INDEX(상세표[주말·휴일 포함],$Q1530)&amp;"")</f>
        <v/>
      </c>
      <c r="P1530">
        <f>IF($Q1530="","",INDEX(상세표[월 넘김 포함],$Q1530)&amp;"")</f>
        <v/>
      </c>
      <c r="Q1530" s="4">
        <f>IFERROR(MATCH(1525,상세표[연속순번],0),"")</f>
        <v/>
      </c>
    </row>
    <row r="1531">
      <c r="A1531">
        <f>IF($Q1531="","",INDEX(상세표[부서],$Q1531)&amp;"")</f>
        <v/>
      </c>
      <c r="B1531">
        <f>IF($Q1531="","",INDEX(상세표[사번],$Q1531)&amp;"")</f>
        <v/>
      </c>
      <c r="C1531">
        <f>IF($Q1531="","",INDEX(상세표[성명],$Q1531)&amp;"")</f>
        <v/>
      </c>
      <c r="D1531">
        <f>IF($Q1531="","",INDEX(상세표[직위],$Q1531)&amp;"")</f>
        <v/>
      </c>
      <c r="E1531">
        <f>IF($Q1531="","",IF(ISNUMBER(INDEX(상세표[근무일자],$Q1531)),TEXT(INDEX(상세표[근무일자],$Q1531),"yyyy-mm-dd"),INDEX(상세표[근무일자],$Q1531)&amp;""))</f>
        <v/>
      </c>
      <c r="F1531">
        <f>IF($Q1531="","",IF(ISNUMBER(INDEX(상세표[시작],$Q1531)),TEXT(INDEX(상세표[시작],$Q1531),"yyyy-mm-dd hh:mm"),INDEX(상세표[시작],$Q1531)&amp;""))</f>
        <v/>
      </c>
      <c r="G1531">
        <f>IF($Q1531="","",IF(ISNUMBER(INDEX(상세표[블록종료],$Q1531)),TEXT(INDEX(상세표[블록종료],$Q1531),"yyyy-mm-dd hh:mm"),INDEX(상세표[블록종료],$Q1531)&amp;""))</f>
        <v/>
      </c>
      <c r="H1531">
        <f>IF($Q1531="","",CHOOSE(WEEKDAY(INDEX(상세표[시작],$Q1531)),"일","월","화","수","목","금","토"))</f>
        <v/>
      </c>
      <c r="I1531" s="20">
        <f>IF($Q1531="","",INDEX(상세표[연속 시간],$Q1531))</f>
        <v/>
      </c>
      <c r="J1531">
        <f>IF($Q1531="","",INDEX(상세표[기록 수],$Q1531))</f>
        <v/>
      </c>
      <c r="K1531" s="20">
        <f>IF($Q1531="","",INDEX(상세표[블록 06~07시],$Q1531))</f>
        <v/>
      </c>
      <c r="L1531" s="20">
        <f>IF($Q1531="","",INDEX(상세표[블록 07~18시],$Q1531))</f>
        <v/>
      </c>
      <c r="M1531" s="20">
        <f>IF($Q1531="","",INDEX(상세표[블록 18~22시],$Q1531))</f>
        <v/>
      </c>
      <c r="N1531" s="20">
        <f>IF($Q1531="","",INDEX(상세표[블록 22~06시],$Q1531))</f>
        <v/>
      </c>
      <c r="O1531">
        <f>IF($Q1531="","",INDEX(상세표[주말·휴일 포함],$Q1531)&amp;"")</f>
        <v/>
      </c>
      <c r="P1531">
        <f>IF($Q1531="","",INDEX(상세표[월 넘김 포함],$Q1531)&amp;"")</f>
        <v/>
      </c>
      <c r="Q1531" s="4">
        <f>IFERROR(MATCH(1526,상세표[연속순번],0),"")</f>
        <v/>
      </c>
    </row>
    <row r="1532">
      <c r="A1532">
        <f>IF($Q1532="","",INDEX(상세표[부서],$Q1532)&amp;"")</f>
        <v/>
      </c>
      <c r="B1532">
        <f>IF($Q1532="","",INDEX(상세표[사번],$Q1532)&amp;"")</f>
        <v/>
      </c>
      <c r="C1532">
        <f>IF($Q1532="","",INDEX(상세표[성명],$Q1532)&amp;"")</f>
        <v/>
      </c>
      <c r="D1532">
        <f>IF($Q1532="","",INDEX(상세표[직위],$Q1532)&amp;"")</f>
        <v/>
      </c>
      <c r="E1532">
        <f>IF($Q1532="","",IF(ISNUMBER(INDEX(상세표[근무일자],$Q1532)),TEXT(INDEX(상세표[근무일자],$Q1532),"yyyy-mm-dd"),INDEX(상세표[근무일자],$Q1532)&amp;""))</f>
        <v/>
      </c>
      <c r="F1532">
        <f>IF($Q1532="","",IF(ISNUMBER(INDEX(상세표[시작],$Q1532)),TEXT(INDEX(상세표[시작],$Q1532),"yyyy-mm-dd hh:mm"),INDEX(상세표[시작],$Q1532)&amp;""))</f>
        <v/>
      </c>
      <c r="G1532">
        <f>IF($Q1532="","",IF(ISNUMBER(INDEX(상세표[블록종료],$Q1532)),TEXT(INDEX(상세표[블록종료],$Q1532),"yyyy-mm-dd hh:mm"),INDEX(상세표[블록종료],$Q1532)&amp;""))</f>
        <v/>
      </c>
      <c r="H1532">
        <f>IF($Q1532="","",CHOOSE(WEEKDAY(INDEX(상세표[시작],$Q1532)),"일","월","화","수","목","금","토"))</f>
        <v/>
      </c>
      <c r="I1532" s="20">
        <f>IF($Q1532="","",INDEX(상세표[연속 시간],$Q1532))</f>
        <v/>
      </c>
      <c r="J1532">
        <f>IF($Q1532="","",INDEX(상세표[기록 수],$Q1532))</f>
        <v/>
      </c>
      <c r="K1532" s="20">
        <f>IF($Q1532="","",INDEX(상세표[블록 06~07시],$Q1532))</f>
        <v/>
      </c>
      <c r="L1532" s="20">
        <f>IF($Q1532="","",INDEX(상세표[블록 07~18시],$Q1532))</f>
        <v/>
      </c>
      <c r="M1532" s="20">
        <f>IF($Q1532="","",INDEX(상세표[블록 18~22시],$Q1532))</f>
        <v/>
      </c>
      <c r="N1532" s="20">
        <f>IF($Q1532="","",INDEX(상세표[블록 22~06시],$Q1532))</f>
        <v/>
      </c>
      <c r="O1532">
        <f>IF($Q1532="","",INDEX(상세표[주말·휴일 포함],$Q1532)&amp;"")</f>
        <v/>
      </c>
      <c r="P1532">
        <f>IF($Q1532="","",INDEX(상세표[월 넘김 포함],$Q1532)&amp;"")</f>
        <v/>
      </c>
      <c r="Q1532" s="4">
        <f>IFERROR(MATCH(1527,상세표[연속순번],0),"")</f>
        <v/>
      </c>
    </row>
    <row r="1533">
      <c r="A1533">
        <f>IF($Q1533="","",INDEX(상세표[부서],$Q1533)&amp;"")</f>
        <v/>
      </c>
      <c r="B1533">
        <f>IF($Q1533="","",INDEX(상세표[사번],$Q1533)&amp;"")</f>
        <v/>
      </c>
      <c r="C1533">
        <f>IF($Q1533="","",INDEX(상세표[성명],$Q1533)&amp;"")</f>
        <v/>
      </c>
      <c r="D1533">
        <f>IF($Q1533="","",INDEX(상세표[직위],$Q1533)&amp;"")</f>
        <v/>
      </c>
      <c r="E1533">
        <f>IF($Q1533="","",IF(ISNUMBER(INDEX(상세표[근무일자],$Q1533)),TEXT(INDEX(상세표[근무일자],$Q1533),"yyyy-mm-dd"),INDEX(상세표[근무일자],$Q1533)&amp;""))</f>
        <v/>
      </c>
      <c r="F1533">
        <f>IF($Q1533="","",IF(ISNUMBER(INDEX(상세표[시작],$Q1533)),TEXT(INDEX(상세표[시작],$Q1533),"yyyy-mm-dd hh:mm"),INDEX(상세표[시작],$Q1533)&amp;""))</f>
        <v/>
      </c>
      <c r="G1533">
        <f>IF($Q1533="","",IF(ISNUMBER(INDEX(상세표[블록종료],$Q1533)),TEXT(INDEX(상세표[블록종료],$Q1533),"yyyy-mm-dd hh:mm"),INDEX(상세표[블록종료],$Q1533)&amp;""))</f>
        <v/>
      </c>
      <c r="H1533">
        <f>IF($Q1533="","",CHOOSE(WEEKDAY(INDEX(상세표[시작],$Q1533)),"일","월","화","수","목","금","토"))</f>
        <v/>
      </c>
      <c r="I1533" s="20">
        <f>IF($Q1533="","",INDEX(상세표[연속 시간],$Q1533))</f>
        <v/>
      </c>
      <c r="J1533">
        <f>IF($Q1533="","",INDEX(상세표[기록 수],$Q1533))</f>
        <v/>
      </c>
      <c r="K1533" s="20">
        <f>IF($Q1533="","",INDEX(상세표[블록 06~07시],$Q1533))</f>
        <v/>
      </c>
      <c r="L1533" s="20">
        <f>IF($Q1533="","",INDEX(상세표[블록 07~18시],$Q1533))</f>
        <v/>
      </c>
      <c r="M1533" s="20">
        <f>IF($Q1533="","",INDEX(상세표[블록 18~22시],$Q1533))</f>
        <v/>
      </c>
      <c r="N1533" s="20">
        <f>IF($Q1533="","",INDEX(상세표[블록 22~06시],$Q1533))</f>
        <v/>
      </c>
      <c r="O1533">
        <f>IF($Q1533="","",INDEX(상세표[주말·휴일 포함],$Q1533)&amp;"")</f>
        <v/>
      </c>
      <c r="P1533">
        <f>IF($Q1533="","",INDEX(상세표[월 넘김 포함],$Q1533)&amp;"")</f>
        <v/>
      </c>
      <c r="Q1533" s="4">
        <f>IFERROR(MATCH(1528,상세표[연속순번],0),"")</f>
        <v/>
      </c>
    </row>
    <row r="1534">
      <c r="A1534">
        <f>IF($Q1534="","",INDEX(상세표[부서],$Q1534)&amp;"")</f>
        <v/>
      </c>
      <c r="B1534">
        <f>IF($Q1534="","",INDEX(상세표[사번],$Q1534)&amp;"")</f>
        <v/>
      </c>
      <c r="C1534">
        <f>IF($Q1534="","",INDEX(상세표[성명],$Q1534)&amp;"")</f>
        <v/>
      </c>
      <c r="D1534">
        <f>IF($Q1534="","",INDEX(상세표[직위],$Q1534)&amp;"")</f>
        <v/>
      </c>
      <c r="E1534">
        <f>IF($Q1534="","",IF(ISNUMBER(INDEX(상세표[근무일자],$Q1534)),TEXT(INDEX(상세표[근무일자],$Q1534),"yyyy-mm-dd"),INDEX(상세표[근무일자],$Q1534)&amp;""))</f>
        <v/>
      </c>
      <c r="F1534">
        <f>IF($Q1534="","",IF(ISNUMBER(INDEX(상세표[시작],$Q1534)),TEXT(INDEX(상세표[시작],$Q1534),"yyyy-mm-dd hh:mm"),INDEX(상세표[시작],$Q1534)&amp;""))</f>
        <v/>
      </c>
      <c r="G1534">
        <f>IF($Q1534="","",IF(ISNUMBER(INDEX(상세표[블록종료],$Q1534)),TEXT(INDEX(상세표[블록종료],$Q1534),"yyyy-mm-dd hh:mm"),INDEX(상세표[블록종료],$Q1534)&amp;""))</f>
        <v/>
      </c>
      <c r="H1534">
        <f>IF($Q1534="","",CHOOSE(WEEKDAY(INDEX(상세표[시작],$Q1534)),"일","월","화","수","목","금","토"))</f>
        <v/>
      </c>
      <c r="I1534" s="20">
        <f>IF($Q1534="","",INDEX(상세표[연속 시간],$Q1534))</f>
        <v/>
      </c>
      <c r="J1534">
        <f>IF($Q1534="","",INDEX(상세표[기록 수],$Q1534))</f>
        <v/>
      </c>
      <c r="K1534" s="20">
        <f>IF($Q1534="","",INDEX(상세표[블록 06~07시],$Q1534))</f>
        <v/>
      </c>
      <c r="L1534" s="20">
        <f>IF($Q1534="","",INDEX(상세표[블록 07~18시],$Q1534))</f>
        <v/>
      </c>
      <c r="M1534" s="20">
        <f>IF($Q1534="","",INDEX(상세표[블록 18~22시],$Q1534))</f>
        <v/>
      </c>
      <c r="N1534" s="20">
        <f>IF($Q1534="","",INDEX(상세표[블록 22~06시],$Q1534))</f>
        <v/>
      </c>
      <c r="O1534">
        <f>IF($Q1534="","",INDEX(상세표[주말·휴일 포함],$Q1534)&amp;"")</f>
        <v/>
      </c>
      <c r="P1534">
        <f>IF($Q1534="","",INDEX(상세표[월 넘김 포함],$Q1534)&amp;"")</f>
        <v/>
      </c>
      <c r="Q1534" s="4">
        <f>IFERROR(MATCH(1529,상세표[연속순번],0),"")</f>
        <v/>
      </c>
    </row>
    <row r="1535">
      <c r="A1535">
        <f>IF($Q1535="","",INDEX(상세표[부서],$Q1535)&amp;"")</f>
        <v/>
      </c>
      <c r="B1535">
        <f>IF($Q1535="","",INDEX(상세표[사번],$Q1535)&amp;"")</f>
        <v/>
      </c>
      <c r="C1535">
        <f>IF($Q1535="","",INDEX(상세표[성명],$Q1535)&amp;"")</f>
        <v/>
      </c>
      <c r="D1535">
        <f>IF($Q1535="","",INDEX(상세표[직위],$Q1535)&amp;"")</f>
        <v/>
      </c>
      <c r="E1535">
        <f>IF($Q1535="","",IF(ISNUMBER(INDEX(상세표[근무일자],$Q1535)),TEXT(INDEX(상세표[근무일자],$Q1535),"yyyy-mm-dd"),INDEX(상세표[근무일자],$Q1535)&amp;""))</f>
        <v/>
      </c>
      <c r="F1535">
        <f>IF($Q1535="","",IF(ISNUMBER(INDEX(상세표[시작],$Q1535)),TEXT(INDEX(상세표[시작],$Q1535),"yyyy-mm-dd hh:mm"),INDEX(상세표[시작],$Q1535)&amp;""))</f>
        <v/>
      </c>
      <c r="G1535">
        <f>IF($Q1535="","",IF(ISNUMBER(INDEX(상세표[블록종료],$Q1535)),TEXT(INDEX(상세표[블록종료],$Q1535),"yyyy-mm-dd hh:mm"),INDEX(상세표[블록종료],$Q1535)&amp;""))</f>
        <v/>
      </c>
      <c r="H1535">
        <f>IF($Q1535="","",CHOOSE(WEEKDAY(INDEX(상세표[시작],$Q1535)),"일","월","화","수","목","금","토"))</f>
        <v/>
      </c>
      <c r="I1535" s="20">
        <f>IF($Q1535="","",INDEX(상세표[연속 시간],$Q1535))</f>
        <v/>
      </c>
      <c r="J1535">
        <f>IF($Q1535="","",INDEX(상세표[기록 수],$Q1535))</f>
        <v/>
      </c>
      <c r="K1535" s="20">
        <f>IF($Q1535="","",INDEX(상세표[블록 06~07시],$Q1535))</f>
        <v/>
      </c>
      <c r="L1535" s="20">
        <f>IF($Q1535="","",INDEX(상세표[블록 07~18시],$Q1535))</f>
        <v/>
      </c>
      <c r="M1535" s="20">
        <f>IF($Q1535="","",INDEX(상세표[블록 18~22시],$Q1535))</f>
        <v/>
      </c>
      <c r="N1535" s="20">
        <f>IF($Q1535="","",INDEX(상세표[블록 22~06시],$Q1535))</f>
        <v/>
      </c>
      <c r="O1535">
        <f>IF($Q1535="","",INDEX(상세표[주말·휴일 포함],$Q1535)&amp;"")</f>
        <v/>
      </c>
      <c r="P1535">
        <f>IF($Q1535="","",INDEX(상세표[월 넘김 포함],$Q1535)&amp;"")</f>
        <v/>
      </c>
      <c r="Q1535" s="4">
        <f>IFERROR(MATCH(1530,상세표[연속순번],0),"")</f>
        <v/>
      </c>
    </row>
    <row r="1536">
      <c r="A1536">
        <f>IF($Q1536="","",INDEX(상세표[부서],$Q1536)&amp;"")</f>
        <v/>
      </c>
      <c r="B1536">
        <f>IF($Q1536="","",INDEX(상세표[사번],$Q1536)&amp;"")</f>
        <v/>
      </c>
      <c r="C1536">
        <f>IF($Q1536="","",INDEX(상세표[성명],$Q1536)&amp;"")</f>
        <v/>
      </c>
      <c r="D1536">
        <f>IF($Q1536="","",INDEX(상세표[직위],$Q1536)&amp;"")</f>
        <v/>
      </c>
      <c r="E1536">
        <f>IF($Q1536="","",IF(ISNUMBER(INDEX(상세표[근무일자],$Q1536)),TEXT(INDEX(상세표[근무일자],$Q1536),"yyyy-mm-dd"),INDEX(상세표[근무일자],$Q1536)&amp;""))</f>
        <v/>
      </c>
      <c r="F1536">
        <f>IF($Q1536="","",IF(ISNUMBER(INDEX(상세표[시작],$Q1536)),TEXT(INDEX(상세표[시작],$Q1536),"yyyy-mm-dd hh:mm"),INDEX(상세표[시작],$Q1536)&amp;""))</f>
        <v/>
      </c>
      <c r="G1536">
        <f>IF($Q1536="","",IF(ISNUMBER(INDEX(상세표[블록종료],$Q1536)),TEXT(INDEX(상세표[블록종료],$Q1536),"yyyy-mm-dd hh:mm"),INDEX(상세표[블록종료],$Q1536)&amp;""))</f>
        <v/>
      </c>
      <c r="H1536">
        <f>IF($Q1536="","",CHOOSE(WEEKDAY(INDEX(상세표[시작],$Q1536)),"일","월","화","수","목","금","토"))</f>
        <v/>
      </c>
      <c r="I1536" s="20">
        <f>IF($Q1536="","",INDEX(상세표[연속 시간],$Q1536))</f>
        <v/>
      </c>
      <c r="J1536">
        <f>IF($Q1536="","",INDEX(상세표[기록 수],$Q1536))</f>
        <v/>
      </c>
      <c r="K1536" s="20">
        <f>IF($Q1536="","",INDEX(상세표[블록 06~07시],$Q1536))</f>
        <v/>
      </c>
      <c r="L1536" s="20">
        <f>IF($Q1536="","",INDEX(상세표[블록 07~18시],$Q1536))</f>
        <v/>
      </c>
      <c r="M1536" s="20">
        <f>IF($Q1536="","",INDEX(상세표[블록 18~22시],$Q1536))</f>
        <v/>
      </c>
      <c r="N1536" s="20">
        <f>IF($Q1536="","",INDEX(상세표[블록 22~06시],$Q1536))</f>
        <v/>
      </c>
      <c r="O1536">
        <f>IF($Q1536="","",INDEX(상세표[주말·휴일 포함],$Q1536)&amp;"")</f>
        <v/>
      </c>
      <c r="P1536">
        <f>IF($Q1536="","",INDEX(상세표[월 넘김 포함],$Q1536)&amp;"")</f>
        <v/>
      </c>
      <c r="Q1536" s="4">
        <f>IFERROR(MATCH(1531,상세표[연속순번],0),"")</f>
        <v/>
      </c>
    </row>
    <row r="1537">
      <c r="A1537">
        <f>IF($Q1537="","",INDEX(상세표[부서],$Q1537)&amp;"")</f>
        <v/>
      </c>
      <c r="B1537">
        <f>IF($Q1537="","",INDEX(상세표[사번],$Q1537)&amp;"")</f>
        <v/>
      </c>
      <c r="C1537">
        <f>IF($Q1537="","",INDEX(상세표[성명],$Q1537)&amp;"")</f>
        <v/>
      </c>
      <c r="D1537">
        <f>IF($Q1537="","",INDEX(상세표[직위],$Q1537)&amp;"")</f>
        <v/>
      </c>
      <c r="E1537">
        <f>IF($Q1537="","",IF(ISNUMBER(INDEX(상세표[근무일자],$Q1537)),TEXT(INDEX(상세표[근무일자],$Q1537),"yyyy-mm-dd"),INDEX(상세표[근무일자],$Q1537)&amp;""))</f>
        <v/>
      </c>
      <c r="F1537">
        <f>IF($Q1537="","",IF(ISNUMBER(INDEX(상세표[시작],$Q1537)),TEXT(INDEX(상세표[시작],$Q1537),"yyyy-mm-dd hh:mm"),INDEX(상세표[시작],$Q1537)&amp;""))</f>
        <v/>
      </c>
      <c r="G1537">
        <f>IF($Q1537="","",IF(ISNUMBER(INDEX(상세표[블록종료],$Q1537)),TEXT(INDEX(상세표[블록종료],$Q1537),"yyyy-mm-dd hh:mm"),INDEX(상세표[블록종료],$Q1537)&amp;""))</f>
        <v/>
      </c>
      <c r="H1537">
        <f>IF($Q1537="","",CHOOSE(WEEKDAY(INDEX(상세표[시작],$Q1537)),"일","월","화","수","목","금","토"))</f>
        <v/>
      </c>
      <c r="I1537" s="20">
        <f>IF($Q1537="","",INDEX(상세표[연속 시간],$Q1537))</f>
        <v/>
      </c>
      <c r="J1537">
        <f>IF($Q1537="","",INDEX(상세표[기록 수],$Q1537))</f>
        <v/>
      </c>
      <c r="K1537" s="20">
        <f>IF($Q1537="","",INDEX(상세표[블록 06~07시],$Q1537))</f>
        <v/>
      </c>
      <c r="L1537" s="20">
        <f>IF($Q1537="","",INDEX(상세표[블록 07~18시],$Q1537))</f>
        <v/>
      </c>
      <c r="M1537" s="20">
        <f>IF($Q1537="","",INDEX(상세표[블록 18~22시],$Q1537))</f>
        <v/>
      </c>
      <c r="N1537" s="20">
        <f>IF($Q1537="","",INDEX(상세표[블록 22~06시],$Q1537))</f>
        <v/>
      </c>
      <c r="O1537">
        <f>IF($Q1537="","",INDEX(상세표[주말·휴일 포함],$Q1537)&amp;"")</f>
        <v/>
      </c>
      <c r="P1537">
        <f>IF($Q1537="","",INDEX(상세표[월 넘김 포함],$Q1537)&amp;"")</f>
        <v/>
      </c>
      <c r="Q1537" s="4">
        <f>IFERROR(MATCH(1532,상세표[연속순번],0),"")</f>
        <v/>
      </c>
    </row>
    <row r="1538">
      <c r="A1538">
        <f>IF($Q1538="","",INDEX(상세표[부서],$Q1538)&amp;"")</f>
        <v/>
      </c>
      <c r="B1538">
        <f>IF($Q1538="","",INDEX(상세표[사번],$Q1538)&amp;"")</f>
        <v/>
      </c>
      <c r="C1538">
        <f>IF($Q1538="","",INDEX(상세표[성명],$Q1538)&amp;"")</f>
        <v/>
      </c>
      <c r="D1538">
        <f>IF($Q1538="","",INDEX(상세표[직위],$Q1538)&amp;"")</f>
        <v/>
      </c>
      <c r="E1538">
        <f>IF($Q1538="","",IF(ISNUMBER(INDEX(상세표[근무일자],$Q1538)),TEXT(INDEX(상세표[근무일자],$Q1538),"yyyy-mm-dd"),INDEX(상세표[근무일자],$Q1538)&amp;""))</f>
        <v/>
      </c>
      <c r="F1538">
        <f>IF($Q1538="","",IF(ISNUMBER(INDEX(상세표[시작],$Q1538)),TEXT(INDEX(상세표[시작],$Q1538),"yyyy-mm-dd hh:mm"),INDEX(상세표[시작],$Q1538)&amp;""))</f>
        <v/>
      </c>
      <c r="G1538">
        <f>IF($Q1538="","",IF(ISNUMBER(INDEX(상세표[블록종료],$Q1538)),TEXT(INDEX(상세표[블록종료],$Q1538),"yyyy-mm-dd hh:mm"),INDEX(상세표[블록종료],$Q1538)&amp;""))</f>
        <v/>
      </c>
      <c r="H1538">
        <f>IF($Q1538="","",CHOOSE(WEEKDAY(INDEX(상세표[시작],$Q1538)),"일","월","화","수","목","금","토"))</f>
        <v/>
      </c>
      <c r="I1538" s="20">
        <f>IF($Q1538="","",INDEX(상세표[연속 시간],$Q1538))</f>
        <v/>
      </c>
      <c r="J1538">
        <f>IF($Q1538="","",INDEX(상세표[기록 수],$Q1538))</f>
        <v/>
      </c>
      <c r="K1538" s="20">
        <f>IF($Q1538="","",INDEX(상세표[블록 06~07시],$Q1538))</f>
        <v/>
      </c>
      <c r="L1538" s="20">
        <f>IF($Q1538="","",INDEX(상세표[블록 07~18시],$Q1538))</f>
        <v/>
      </c>
      <c r="M1538" s="20">
        <f>IF($Q1538="","",INDEX(상세표[블록 18~22시],$Q1538))</f>
        <v/>
      </c>
      <c r="N1538" s="20">
        <f>IF($Q1538="","",INDEX(상세표[블록 22~06시],$Q1538))</f>
        <v/>
      </c>
      <c r="O1538">
        <f>IF($Q1538="","",INDEX(상세표[주말·휴일 포함],$Q1538)&amp;"")</f>
        <v/>
      </c>
      <c r="P1538">
        <f>IF($Q1538="","",INDEX(상세표[월 넘김 포함],$Q1538)&amp;"")</f>
        <v/>
      </c>
      <c r="Q1538" s="4">
        <f>IFERROR(MATCH(1533,상세표[연속순번],0),"")</f>
        <v/>
      </c>
    </row>
    <row r="1539">
      <c r="A1539">
        <f>IF($Q1539="","",INDEX(상세표[부서],$Q1539)&amp;"")</f>
        <v/>
      </c>
      <c r="B1539">
        <f>IF($Q1539="","",INDEX(상세표[사번],$Q1539)&amp;"")</f>
        <v/>
      </c>
      <c r="C1539">
        <f>IF($Q1539="","",INDEX(상세표[성명],$Q1539)&amp;"")</f>
        <v/>
      </c>
      <c r="D1539">
        <f>IF($Q1539="","",INDEX(상세표[직위],$Q1539)&amp;"")</f>
        <v/>
      </c>
      <c r="E1539">
        <f>IF($Q1539="","",IF(ISNUMBER(INDEX(상세표[근무일자],$Q1539)),TEXT(INDEX(상세표[근무일자],$Q1539),"yyyy-mm-dd"),INDEX(상세표[근무일자],$Q1539)&amp;""))</f>
        <v/>
      </c>
      <c r="F1539">
        <f>IF($Q1539="","",IF(ISNUMBER(INDEX(상세표[시작],$Q1539)),TEXT(INDEX(상세표[시작],$Q1539),"yyyy-mm-dd hh:mm"),INDEX(상세표[시작],$Q1539)&amp;""))</f>
        <v/>
      </c>
      <c r="G1539">
        <f>IF($Q1539="","",IF(ISNUMBER(INDEX(상세표[블록종료],$Q1539)),TEXT(INDEX(상세표[블록종료],$Q1539),"yyyy-mm-dd hh:mm"),INDEX(상세표[블록종료],$Q1539)&amp;""))</f>
        <v/>
      </c>
      <c r="H1539">
        <f>IF($Q1539="","",CHOOSE(WEEKDAY(INDEX(상세표[시작],$Q1539)),"일","월","화","수","목","금","토"))</f>
        <v/>
      </c>
      <c r="I1539" s="20">
        <f>IF($Q1539="","",INDEX(상세표[연속 시간],$Q1539))</f>
        <v/>
      </c>
      <c r="J1539">
        <f>IF($Q1539="","",INDEX(상세표[기록 수],$Q1539))</f>
        <v/>
      </c>
      <c r="K1539" s="20">
        <f>IF($Q1539="","",INDEX(상세표[블록 06~07시],$Q1539))</f>
        <v/>
      </c>
      <c r="L1539" s="20">
        <f>IF($Q1539="","",INDEX(상세표[블록 07~18시],$Q1539))</f>
        <v/>
      </c>
      <c r="M1539" s="20">
        <f>IF($Q1539="","",INDEX(상세표[블록 18~22시],$Q1539))</f>
        <v/>
      </c>
      <c r="N1539" s="20">
        <f>IF($Q1539="","",INDEX(상세표[블록 22~06시],$Q1539))</f>
        <v/>
      </c>
      <c r="O1539">
        <f>IF($Q1539="","",INDEX(상세표[주말·휴일 포함],$Q1539)&amp;"")</f>
        <v/>
      </c>
      <c r="P1539">
        <f>IF($Q1539="","",INDEX(상세표[월 넘김 포함],$Q1539)&amp;"")</f>
        <v/>
      </c>
      <c r="Q1539" s="4">
        <f>IFERROR(MATCH(1534,상세표[연속순번],0),"")</f>
        <v/>
      </c>
    </row>
    <row r="1540">
      <c r="A1540">
        <f>IF($Q1540="","",INDEX(상세표[부서],$Q1540)&amp;"")</f>
        <v/>
      </c>
      <c r="B1540">
        <f>IF($Q1540="","",INDEX(상세표[사번],$Q1540)&amp;"")</f>
        <v/>
      </c>
      <c r="C1540">
        <f>IF($Q1540="","",INDEX(상세표[성명],$Q1540)&amp;"")</f>
        <v/>
      </c>
      <c r="D1540">
        <f>IF($Q1540="","",INDEX(상세표[직위],$Q1540)&amp;"")</f>
        <v/>
      </c>
      <c r="E1540">
        <f>IF($Q1540="","",IF(ISNUMBER(INDEX(상세표[근무일자],$Q1540)),TEXT(INDEX(상세표[근무일자],$Q1540),"yyyy-mm-dd"),INDEX(상세표[근무일자],$Q1540)&amp;""))</f>
        <v/>
      </c>
      <c r="F1540">
        <f>IF($Q1540="","",IF(ISNUMBER(INDEX(상세표[시작],$Q1540)),TEXT(INDEX(상세표[시작],$Q1540),"yyyy-mm-dd hh:mm"),INDEX(상세표[시작],$Q1540)&amp;""))</f>
        <v/>
      </c>
      <c r="G1540">
        <f>IF($Q1540="","",IF(ISNUMBER(INDEX(상세표[블록종료],$Q1540)),TEXT(INDEX(상세표[블록종료],$Q1540),"yyyy-mm-dd hh:mm"),INDEX(상세표[블록종료],$Q1540)&amp;""))</f>
        <v/>
      </c>
      <c r="H1540">
        <f>IF($Q1540="","",CHOOSE(WEEKDAY(INDEX(상세표[시작],$Q1540)),"일","월","화","수","목","금","토"))</f>
        <v/>
      </c>
      <c r="I1540" s="20">
        <f>IF($Q1540="","",INDEX(상세표[연속 시간],$Q1540))</f>
        <v/>
      </c>
      <c r="J1540">
        <f>IF($Q1540="","",INDEX(상세표[기록 수],$Q1540))</f>
        <v/>
      </c>
      <c r="K1540" s="20">
        <f>IF($Q1540="","",INDEX(상세표[블록 06~07시],$Q1540))</f>
        <v/>
      </c>
      <c r="L1540" s="20">
        <f>IF($Q1540="","",INDEX(상세표[블록 07~18시],$Q1540))</f>
        <v/>
      </c>
      <c r="M1540" s="20">
        <f>IF($Q1540="","",INDEX(상세표[블록 18~22시],$Q1540))</f>
        <v/>
      </c>
      <c r="N1540" s="20">
        <f>IF($Q1540="","",INDEX(상세표[블록 22~06시],$Q1540))</f>
        <v/>
      </c>
      <c r="O1540">
        <f>IF($Q1540="","",INDEX(상세표[주말·휴일 포함],$Q1540)&amp;"")</f>
        <v/>
      </c>
      <c r="P1540">
        <f>IF($Q1540="","",INDEX(상세표[월 넘김 포함],$Q1540)&amp;"")</f>
        <v/>
      </c>
      <c r="Q1540" s="4">
        <f>IFERROR(MATCH(1535,상세표[연속순번],0),"")</f>
        <v/>
      </c>
    </row>
    <row r="1541">
      <c r="A1541">
        <f>IF($Q1541="","",INDEX(상세표[부서],$Q1541)&amp;"")</f>
        <v/>
      </c>
      <c r="B1541">
        <f>IF($Q1541="","",INDEX(상세표[사번],$Q1541)&amp;"")</f>
        <v/>
      </c>
      <c r="C1541">
        <f>IF($Q1541="","",INDEX(상세표[성명],$Q1541)&amp;"")</f>
        <v/>
      </c>
      <c r="D1541">
        <f>IF($Q1541="","",INDEX(상세표[직위],$Q1541)&amp;"")</f>
        <v/>
      </c>
      <c r="E1541">
        <f>IF($Q1541="","",IF(ISNUMBER(INDEX(상세표[근무일자],$Q1541)),TEXT(INDEX(상세표[근무일자],$Q1541),"yyyy-mm-dd"),INDEX(상세표[근무일자],$Q1541)&amp;""))</f>
        <v/>
      </c>
      <c r="F1541">
        <f>IF($Q1541="","",IF(ISNUMBER(INDEX(상세표[시작],$Q1541)),TEXT(INDEX(상세표[시작],$Q1541),"yyyy-mm-dd hh:mm"),INDEX(상세표[시작],$Q1541)&amp;""))</f>
        <v/>
      </c>
      <c r="G1541">
        <f>IF($Q1541="","",IF(ISNUMBER(INDEX(상세표[블록종료],$Q1541)),TEXT(INDEX(상세표[블록종료],$Q1541),"yyyy-mm-dd hh:mm"),INDEX(상세표[블록종료],$Q1541)&amp;""))</f>
        <v/>
      </c>
      <c r="H1541">
        <f>IF($Q1541="","",CHOOSE(WEEKDAY(INDEX(상세표[시작],$Q1541)),"일","월","화","수","목","금","토"))</f>
        <v/>
      </c>
      <c r="I1541" s="20">
        <f>IF($Q1541="","",INDEX(상세표[연속 시간],$Q1541))</f>
        <v/>
      </c>
      <c r="J1541">
        <f>IF($Q1541="","",INDEX(상세표[기록 수],$Q1541))</f>
        <v/>
      </c>
      <c r="K1541" s="20">
        <f>IF($Q1541="","",INDEX(상세표[블록 06~07시],$Q1541))</f>
        <v/>
      </c>
      <c r="L1541" s="20">
        <f>IF($Q1541="","",INDEX(상세표[블록 07~18시],$Q1541))</f>
        <v/>
      </c>
      <c r="M1541" s="20">
        <f>IF($Q1541="","",INDEX(상세표[블록 18~22시],$Q1541))</f>
        <v/>
      </c>
      <c r="N1541" s="20">
        <f>IF($Q1541="","",INDEX(상세표[블록 22~06시],$Q1541))</f>
        <v/>
      </c>
      <c r="O1541">
        <f>IF($Q1541="","",INDEX(상세표[주말·휴일 포함],$Q1541)&amp;"")</f>
        <v/>
      </c>
      <c r="P1541">
        <f>IF($Q1541="","",INDEX(상세표[월 넘김 포함],$Q1541)&amp;"")</f>
        <v/>
      </c>
      <c r="Q1541" s="4">
        <f>IFERROR(MATCH(1536,상세표[연속순번],0),"")</f>
        <v/>
      </c>
    </row>
    <row r="1542">
      <c r="A1542">
        <f>IF($Q1542="","",INDEX(상세표[부서],$Q1542)&amp;"")</f>
        <v/>
      </c>
      <c r="B1542">
        <f>IF($Q1542="","",INDEX(상세표[사번],$Q1542)&amp;"")</f>
        <v/>
      </c>
      <c r="C1542">
        <f>IF($Q1542="","",INDEX(상세표[성명],$Q1542)&amp;"")</f>
        <v/>
      </c>
      <c r="D1542">
        <f>IF($Q1542="","",INDEX(상세표[직위],$Q1542)&amp;"")</f>
        <v/>
      </c>
      <c r="E1542">
        <f>IF($Q1542="","",IF(ISNUMBER(INDEX(상세표[근무일자],$Q1542)),TEXT(INDEX(상세표[근무일자],$Q1542),"yyyy-mm-dd"),INDEX(상세표[근무일자],$Q1542)&amp;""))</f>
        <v/>
      </c>
      <c r="F1542">
        <f>IF($Q1542="","",IF(ISNUMBER(INDEX(상세표[시작],$Q1542)),TEXT(INDEX(상세표[시작],$Q1542),"yyyy-mm-dd hh:mm"),INDEX(상세표[시작],$Q1542)&amp;""))</f>
        <v/>
      </c>
      <c r="G1542">
        <f>IF($Q1542="","",IF(ISNUMBER(INDEX(상세표[블록종료],$Q1542)),TEXT(INDEX(상세표[블록종료],$Q1542),"yyyy-mm-dd hh:mm"),INDEX(상세표[블록종료],$Q1542)&amp;""))</f>
        <v/>
      </c>
      <c r="H1542">
        <f>IF($Q1542="","",CHOOSE(WEEKDAY(INDEX(상세표[시작],$Q1542)),"일","월","화","수","목","금","토"))</f>
        <v/>
      </c>
      <c r="I1542" s="20">
        <f>IF($Q1542="","",INDEX(상세표[연속 시간],$Q1542))</f>
        <v/>
      </c>
      <c r="J1542">
        <f>IF($Q1542="","",INDEX(상세표[기록 수],$Q1542))</f>
        <v/>
      </c>
      <c r="K1542" s="20">
        <f>IF($Q1542="","",INDEX(상세표[블록 06~07시],$Q1542))</f>
        <v/>
      </c>
      <c r="L1542" s="20">
        <f>IF($Q1542="","",INDEX(상세표[블록 07~18시],$Q1542))</f>
        <v/>
      </c>
      <c r="M1542" s="20">
        <f>IF($Q1542="","",INDEX(상세표[블록 18~22시],$Q1542))</f>
        <v/>
      </c>
      <c r="N1542" s="20">
        <f>IF($Q1542="","",INDEX(상세표[블록 22~06시],$Q1542))</f>
        <v/>
      </c>
      <c r="O1542">
        <f>IF($Q1542="","",INDEX(상세표[주말·휴일 포함],$Q1542)&amp;"")</f>
        <v/>
      </c>
      <c r="P1542">
        <f>IF($Q1542="","",INDEX(상세표[월 넘김 포함],$Q1542)&amp;"")</f>
        <v/>
      </c>
      <c r="Q1542" s="4">
        <f>IFERROR(MATCH(1537,상세표[연속순번],0),"")</f>
        <v/>
      </c>
    </row>
    <row r="1543">
      <c r="A1543">
        <f>IF($Q1543="","",INDEX(상세표[부서],$Q1543)&amp;"")</f>
        <v/>
      </c>
      <c r="B1543">
        <f>IF($Q1543="","",INDEX(상세표[사번],$Q1543)&amp;"")</f>
        <v/>
      </c>
      <c r="C1543">
        <f>IF($Q1543="","",INDEX(상세표[성명],$Q1543)&amp;"")</f>
        <v/>
      </c>
      <c r="D1543">
        <f>IF($Q1543="","",INDEX(상세표[직위],$Q1543)&amp;"")</f>
        <v/>
      </c>
      <c r="E1543">
        <f>IF($Q1543="","",IF(ISNUMBER(INDEX(상세표[근무일자],$Q1543)),TEXT(INDEX(상세표[근무일자],$Q1543),"yyyy-mm-dd"),INDEX(상세표[근무일자],$Q1543)&amp;""))</f>
        <v/>
      </c>
      <c r="F1543">
        <f>IF($Q1543="","",IF(ISNUMBER(INDEX(상세표[시작],$Q1543)),TEXT(INDEX(상세표[시작],$Q1543),"yyyy-mm-dd hh:mm"),INDEX(상세표[시작],$Q1543)&amp;""))</f>
        <v/>
      </c>
      <c r="G1543">
        <f>IF($Q1543="","",IF(ISNUMBER(INDEX(상세표[블록종료],$Q1543)),TEXT(INDEX(상세표[블록종료],$Q1543),"yyyy-mm-dd hh:mm"),INDEX(상세표[블록종료],$Q1543)&amp;""))</f>
        <v/>
      </c>
      <c r="H1543">
        <f>IF($Q1543="","",CHOOSE(WEEKDAY(INDEX(상세표[시작],$Q1543)),"일","월","화","수","목","금","토"))</f>
        <v/>
      </c>
      <c r="I1543" s="20">
        <f>IF($Q1543="","",INDEX(상세표[연속 시간],$Q1543))</f>
        <v/>
      </c>
      <c r="J1543">
        <f>IF($Q1543="","",INDEX(상세표[기록 수],$Q1543))</f>
        <v/>
      </c>
      <c r="K1543" s="20">
        <f>IF($Q1543="","",INDEX(상세표[블록 06~07시],$Q1543))</f>
        <v/>
      </c>
      <c r="L1543" s="20">
        <f>IF($Q1543="","",INDEX(상세표[블록 07~18시],$Q1543))</f>
        <v/>
      </c>
      <c r="M1543" s="20">
        <f>IF($Q1543="","",INDEX(상세표[블록 18~22시],$Q1543))</f>
        <v/>
      </c>
      <c r="N1543" s="20">
        <f>IF($Q1543="","",INDEX(상세표[블록 22~06시],$Q1543))</f>
        <v/>
      </c>
      <c r="O1543">
        <f>IF($Q1543="","",INDEX(상세표[주말·휴일 포함],$Q1543)&amp;"")</f>
        <v/>
      </c>
      <c r="P1543">
        <f>IF($Q1543="","",INDEX(상세표[월 넘김 포함],$Q1543)&amp;"")</f>
        <v/>
      </c>
      <c r="Q1543" s="4">
        <f>IFERROR(MATCH(1538,상세표[연속순번],0),"")</f>
        <v/>
      </c>
    </row>
    <row r="1544">
      <c r="A1544">
        <f>IF($Q1544="","",INDEX(상세표[부서],$Q1544)&amp;"")</f>
        <v/>
      </c>
      <c r="B1544">
        <f>IF($Q1544="","",INDEX(상세표[사번],$Q1544)&amp;"")</f>
        <v/>
      </c>
      <c r="C1544">
        <f>IF($Q1544="","",INDEX(상세표[성명],$Q1544)&amp;"")</f>
        <v/>
      </c>
      <c r="D1544">
        <f>IF($Q1544="","",INDEX(상세표[직위],$Q1544)&amp;"")</f>
        <v/>
      </c>
      <c r="E1544">
        <f>IF($Q1544="","",IF(ISNUMBER(INDEX(상세표[근무일자],$Q1544)),TEXT(INDEX(상세표[근무일자],$Q1544),"yyyy-mm-dd"),INDEX(상세표[근무일자],$Q1544)&amp;""))</f>
        <v/>
      </c>
      <c r="F1544">
        <f>IF($Q1544="","",IF(ISNUMBER(INDEX(상세표[시작],$Q1544)),TEXT(INDEX(상세표[시작],$Q1544),"yyyy-mm-dd hh:mm"),INDEX(상세표[시작],$Q1544)&amp;""))</f>
        <v/>
      </c>
      <c r="G1544">
        <f>IF($Q1544="","",IF(ISNUMBER(INDEX(상세표[블록종료],$Q1544)),TEXT(INDEX(상세표[블록종료],$Q1544),"yyyy-mm-dd hh:mm"),INDEX(상세표[블록종료],$Q1544)&amp;""))</f>
        <v/>
      </c>
      <c r="H1544">
        <f>IF($Q1544="","",CHOOSE(WEEKDAY(INDEX(상세표[시작],$Q1544)),"일","월","화","수","목","금","토"))</f>
        <v/>
      </c>
      <c r="I1544" s="20">
        <f>IF($Q1544="","",INDEX(상세표[연속 시간],$Q1544))</f>
        <v/>
      </c>
      <c r="J1544">
        <f>IF($Q1544="","",INDEX(상세표[기록 수],$Q1544))</f>
        <v/>
      </c>
      <c r="K1544" s="20">
        <f>IF($Q1544="","",INDEX(상세표[블록 06~07시],$Q1544))</f>
        <v/>
      </c>
      <c r="L1544" s="20">
        <f>IF($Q1544="","",INDEX(상세표[블록 07~18시],$Q1544))</f>
        <v/>
      </c>
      <c r="M1544" s="20">
        <f>IF($Q1544="","",INDEX(상세표[블록 18~22시],$Q1544))</f>
        <v/>
      </c>
      <c r="N1544" s="20">
        <f>IF($Q1544="","",INDEX(상세표[블록 22~06시],$Q1544))</f>
        <v/>
      </c>
      <c r="O1544">
        <f>IF($Q1544="","",INDEX(상세표[주말·휴일 포함],$Q1544)&amp;"")</f>
        <v/>
      </c>
      <c r="P1544">
        <f>IF($Q1544="","",INDEX(상세표[월 넘김 포함],$Q1544)&amp;"")</f>
        <v/>
      </c>
      <c r="Q1544" s="4">
        <f>IFERROR(MATCH(1539,상세표[연속순번],0),"")</f>
        <v/>
      </c>
    </row>
    <row r="1545">
      <c r="A1545">
        <f>IF($Q1545="","",INDEX(상세표[부서],$Q1545)&amp;"")</f>
        <v/>
      </c>
      <c r="B1545">
        <f>IF($Q1545="","",INDEX(상세표[사번],$Q1545)&amp;"")</f>
        <v/>
      </c>
      <c r="C1545">
        <f>IF($Q1545="","",INDEX(상세표[성명],$Q1545)&amp;"")</f>
        <v/>
      </c>
      <c r="D1545">
        <f>IF($Q1545="","",INDEX(상세표[직위],$Q1545)&amp;"")</f>
        <v/>
      </c>
      <c r="E1545">
        <f>IF($Q1545="","",IF(ISNUMBER(INDEX(상세표[근무일자],$Q1545)),TEXT(INDEX(상세표[근무일자],$Q1545),"yyyy-mm-dd"),INDEX(상세표[근무일자],$Q1545)&amp;""))</f>
        <v/>
      </c>
      <c r="F1545">
        <f>IF($Q1545="","",IF(ISNUMBER(INDEX(상세표[시작],$Q1545)),TEXT(INDEX(상세표[시작],$Q1545),"yyyy-mm-dd hh:mm"),INDEX(상세표[시작],$Q1545)&amp;""))</f>
        <v/>
      </c>
      <c r="G1545">
        <f>IF($Q1545="","",IF(ISNUMBER(INDEX(상세표[블록종료],$Q1545)),TEXT(INDEX(상세표[블록종료],$Q1545),"yyyy-mm-dd hh:mm"),INDEX(상세표[블록종료],$Q1545)&amp;""))</f>
        <v/>
      </c>
      <c r="H1545">
        <f>IF($Q1545="","",CHOOSE(WEEKDAY(INDEX(상세표[시작],$Q1545)),"일","월","화","수","목","금","토"))</f>
        <v/>
      </c>
      <c r="I1545" s="20">
        <f>IF($Q1545="","",INDEX(상세표[연속 시간],$Q1545))</f>
        <v/>
      </c>
      <c r="J1545">
        <f>IF($Q1545="","",INDEX(상세표[기록 수],$Q1545))</f>
        <v/>
      </c>
      <c r="K1545" s="20">
        <f>IF($Q1545="","",INDEX(상세표[블록 06~07시],$Q1545))</f>
        <v/>
      </c>
      <c r="L1545" s="20">
        <f>IF($Q1545="","",INDEX(상세표[블록 07~18시],$Q1545))</f>
        <v/>
      </c>
      <c r="M1545" s="20">
        <f>IF($Q1545="","",INDEX(상세표[블록 18~22시],$Q1545))</f>
        <v/>
      </c>
      <c r="N1545" s="20">
        <f>IF($Q1545="","",INDEX(상세표[블록 22~06시],$Q1545))</f>
        <v/>
      </c>
      <c r="O1545">
        <f>IF($Q1545="","",INDEX(상세표[주말·휴일 포함],$Q1545)&amp;"")</f>
        <v/>
      </c>
      <c r="P1545">
        <f>IF($Q1545="","",INDEX(상세표[월 넘김 포함],$Q1545)&amp;"")</f>
        <v/>
      </c>
      <c r="Q1545" s="4">
        <f>IFERROR(MATCH(1540,상세표[연속순번],0),"")</f>
        <v/>
      </c>
    </row>
    <row r="1546">
      <c r="A1546">
        <f>IF($Q1546="","",INDEX(상세표[부서],$Q1546)&amp;"")</f>
        <v/>
      </c>
      <c r="B1546">
        <f>IF($Q1546="","",INDEX(상세표[사번],$Q1546)&amp;"")</f>
        <v/>
      </c>
      <c r="C1546">
        <f>IF($Q1546="","",INDEX(상세표[성명],$Q1546)&amp;"")</f>
        <v/>
      </c>
      <c r="D1546">
        <f>IF($Q1546="","",INDEX(상세표[직위],$Q1546)&amp;"")</f>
        <v/>
      </c>
      <c r="E1546">
        <f>IF($Q1546="","",IF(ISNUMBER(INDEX(상세표[근무일자],$Q1546)),TEXT(INDEX(상세표[근무일자],$Q1546),"yyyy-mm-dd"),INDEX(상세표[근무일자],$Q1546)&amp;""))</f>
        <v/>
      </c>
      <c r="F1546">
        <f>IF($Q1546="","",IF(ISNUMBER(INDEX(상세표[시작],$Q1546)),TEXT(INDEX(상세표[시작],$Q1546),"yyyy-mm-dd hh:mm"),INDEX(상세표[시작],$Q1546)&amp;""))</f>
        <v/>
      </c>
      <c r="G1546">
        <f>IF($Q1546="","",IF(ISNUMBER(INDEX(상세표[블록종료],$Q1546)),TEXT(INDEX(상세표[블록종료],$Q1546),"yyyy-mm-dd hh:mm"),INDEX(상세표[블록종료],$Q1546)&amp;""))</f>
        <v/>
      </c>
      <c r="H1546">
        <f>IF($Q1546="","",CHOOSE(WEEKDAY(INDEX(상세표[시작],$Q1546)),"일","월","화","수","목","금","토"))</f>
        <v/>
      </c>
      <c r="I1546" s="20">
        <f>IF($Q1546="","",INDEX(상세표[연속 시간],$Q1546))</f>
        <v/>
      </c>
      <c r="J1546">
        <f>IF($Q1546="","",INDEX(상세표[기록 수],$Q1546))</f>
        <v/>
      </c>
      <c r="K1546" s="20">
        <f>IF($Q1546="","",INDEX(상세표[블록 06~07시],$Q1546))</f>
        <v/>
      </c>
      <c r="L1546" s="20">
        <f>IF($Q1546="","",INDEX(상세표[블록 07~18시],$Q1546))</f>
        <v/>
      </c>
      <c r="M1546" s="20">
        <f>IF($Q1546="","",INDEX(상세표[블록 18~22시],$Q1546))</f>
        <v/>
      </c>
      <c r="N1546" s="20">
        <f>IF($Q1546="","",INDEX(상세표[블록 22~06시],$Q1546))</f>
        <v/>
      </c>
      <c r="O1546">
        <f>IF($Q1546="","",INDEX(상세표[주말·휴일 포함],$Q1546)&amp;"")</f>
        <v/>
      </c>
      <c r="P1546">
        <f>IF($Q1546="","",INDEX(상세표[월 넘김 포함],$Q1546)&amp;"")</f>
        <v/>
      </c>
      <c r="Q1546" s="4">
        <f>IFERROR(MATCH(1541,상세표[연속순번],0),"")</f>
        <v/>
      </c>
    </row>
    <row r="1547">
      <c r="A1547">
        <f>IF($Q1547="","",INDEX(상세표[부서],$Q1547)&amp;"")</f>
        <v/>
      </c>
      <c r="B1547">
        <f>IF($Q1547="","",INDEX(상세표[사번],$Q1547)&amp;"")</f>
        <v/>
      </c>
      <c r="C1547">
        <f>IF($Q1547="","",INDEX(상세표[성명],$Q1547)&amp;"")</f>
        <v/>
      </c>
      <c r="D1547">
        <f>IF($Q1547="","",INDEX(상세표[직위],$Q1547)&amp;"")</f>
        <v/>
      </c>
      <c r="E1547">
        <f>IF($Q1547="","",IF(ISNUMBER(INDEX(상세표[근무일자],$Q1547)),TEXT(INDEX(상세표[근무일자],$Q1547),"yyyy-mm-dd"),INDEX(상세표[근무일자],$Q1547)&amp;""))</f>
        <v/>
      </c>
      <c r="F1547">
        <f>IF($Q1547="","",IF(ISNUMBER(INDEX(상세표[시작],$Q1547)),TEXT(INDEX(상세표[시작],$Q1547),"yyyy-mm-dd hh:mm"),INDEX(상세표[시작],$Q1547)&amp;""))</f>
        <v/>
      </c>
      <c r="G1547">
        <f>IF($Q1547="","",IF(ISNUMBER(INDEX(상세표[블록종료],$Q1547)),TEXT(INDEX(상세표[블록종료],$Q1547),"yyyy-mm-dd hh:mm"),INDEX(상세표[블록종료],$Q1547)&amp;""))</f>
        <v/>
      </c>
      <c r="H1547">
        <f>IF($Q1547="","",CHOOSE(WEEKDAY(INDEX(상세표[시작],$Q1547)),"일","월","화","수","목","금","토"))</f>
        <v/>
      </c>
      <c r="I1547" s="20">
        <f>IF($Q1547="","",INDEX(상세표[연속 시간],$Q1547))</f>
        <v/>
      </c>
      <c r="J1547">
        <f>IF($Q1547="","",INDEX(상세표[기록 수],$Q1547))</f>
        <v/>
      </c>
      <c r="K1547" s="20">
        <f>IF($Q1547="","",INDEX(상세표[블록 06~07시],$Q1547))</f>
        <v/>
      </c>
      <c r="L1547" s="20">
        <f>IF($Q1547="","",INDEX(상세표[블록 07~18시],$Q1547))</f>
        <v/>
      </c>
      <c r="M1547" s="20">
        <f>IF($Q1547="","",INDEX(상세표[블록 18~22시],$Q1547))</f>
        <v/>
      </c>
      <c r="N1547" s="20">
        <f>IF($Q1547="","",INDEX(상세표[블록 22~06시],$Q1547))</f>
        <v/>
      </c>
      <c r="O1547">
        <f>IF($Q1547="","",INDEX(상세표[주말·휴일 포함],$Q1547)&amp;"")</f>
        <v/>
      </c>
      <c r="P1547">
        <f>IF($Q1547="","",INDEX(상세표[월 넘김 포함],$Q1547)&amp;"")</f>
        <v/>
      </c>
      <c r="Q1547" s="4">
        <f>IFERROR(MATCH(1542,상세표[연속순번],0),"")</f>
        <v/>
      </c>
    </row>
    <row r="1548">
      <c r="A1548">
        <f>IF($Q1548="","",INDEX(상세표[부서],$Q1548)&amp;"")</f>
        <v/>
      </c>
      <c r="B1548">
        <f>IF($Q1548="","",INDEX(상세표[사번],$Q1548)&amp;"")</f>
        <v/>
      </c>
      <c r="C1548">
        <f>IF($Q1548="","",INDEX(상세표[성명],$Q1548)&amp;"")</f>
        <v/>
      </c>
      <c r="D1548">
        <f>IF($Q1548="","",INDEX(상세표[직위],$Q1548)&amp;"")</f>
        <v/>
      </c>
      <c r="E1548">
        <f>IF($Q1548="","",IF(ISNUMBER(INDEX(상세표[근무일자],$Q1548)),TEXT(INDEX(상세표[근무일자],$Q1548),"yyyy-mm-dd"),INDEX(상세표[근무일자],$Q1548)&amp;""))</f>
        <v/>
      </c>
      <c r="F1548">
        <f>IF($Q1548="","",IF(ISNUMBER(INDEX(상세표[시작],$Q1548)),TEXT(INDEX(상세표[시작],$Q1548),"yyyy-mm-dd hh:mm"),INDEX(상세표[시작],$Q1548)&amp;""))</f>
        <v/>
      </c>
      <c r="G1548">
        <f>IF($Q1548="","",IF(ISNUMBER(INDEX(상세표[블록종료],$Q1548)),TEXT(INDEX(상세표[블록종료],$Q1548),"yyyy-mm-dd hh:mm"),INDEX(상세표[블록종료],$Q1548)&amp;""))</f>
        <v/>
      </c>
      <c r="H1548">
        <f>IF($Q1548="","",CHOOSE(WEEKDAY(INDEX(상세표[시작],$Q1548)),"일","월","화","수","목","금","토"))</f>
        <v/>
      </c>
      <c r="I1548" s="20">
        <f>IF($Q1548="","",INDEX(상세표[연속 시간],$Q1548))</f>
        <v/>
      </c>
      <c r="J1548">
        <f>IF($Q1548="","",INDEX(상세표[기록 수],$Q1548))</f>
        <v/>
      </c>
      <c r="K1548" s="20">
        <f>IF($Q1548="","",INDEX(상세표[블록 06~07시],$Q1548))</f>
        <v/>
      </c>
      <c r="L1548" s="20">
        <f>IF($Q1548="","",INDEX(상세표[블록 07~18시],$Q1548))</f>
        <v/>
      </c>
      <c r="M1548" s="20">
        <f>IF($Q1548="","",INDEX(상세표[블록 18~22시],$Q1548))</f>
        <v/>
      </c>
      <c r="N1548" s="20">
        <f>IF($Q1548="","",INDEX(상세표[블록 22~06시],$Q1548))</f>
        <v/>
      </c>
      <c r="O1548">
        <f>IF($Q1548="","",INDEX(상세표[주말·휴일 포함],$Q1548)&amp;"")</f>
        <v/>
      </c>
      <c r="P1548">
        <f>IF($Q1548="","",INDEX(상세표[월 넘김 포함],$Q1548)&amp;"")</f>
        <v/>
      </c>
      <c r="Q1548" s="4">
        <f>IFERROR(MATCH(1543,상세표[연속순번],0),"")</f>
        <v/>
      </c>
    </row>
    <row r="1549">
      <c r="A1549">
        <f>IF($Q1549="","",INDEX(상세표[부서],$Q1549)&amp;"")</f>
        <v/>
      </c>
      <c r="B1549">
        <f>IF($Q1549="","",INDEX(상세표[사번],$Q1549)&amp;"")</f>
        <v/>
      </c>
      <c r="C1549">
        <f>IF($Q1549="","",INDEX(상세표[성명],$Q1549)&amp;"")</f>
        <v/>
      </c>
      <c r="D1549">
        <f>IF($Q1549="","",INDEX(상세표[직위],$Q1549)&amp;"")</f>
        <v/>
      </c>
      <c r="E1549">
        <f>IF($Q1549="","",IF(ISNUMBER(INDEX(상세표[근무일자],$Q1549)),TEXT(INDEX(상세표[근무일자],$Q1549),"yyyy-mm-dd"),INDEX(상세표[근무일자],$Q1549)&amp;""))</f>
        <v/>
      </c>
      <c r="F1549">
        <f>IF($Q1549="","",IF(ISNUMBER(INDEX(상세표[시작],$Q1549)),TEXT(INDEX(상세표[시작],$Q1549),"yyyy-mm-dd hh:mm"),INDEX(상세표[시작],$Q1549)&amp;""))</f>
        <v/>
      </c>
      <c r="G1549">
        <f>IF($Q1549="","",IF(ISNUMBER(INDEX(상세표[블록종료],$Q1549)),TEXT(INDEX(상세표[블록종료],$Q1549),"yyyy-mm-dd hh:mm"),INDEX(상세표[블록종료],$Q1549)&amp;""))</f>
        <v/>
      </c>
      <c r="H1549">
        <f>IF($Q1549="","",CHOOSE(WEEKDAY(INDEX(상세표[시작],$Q1549)),"일","월","화","수","목","금","토"))</f>
        <v/>
      </c>
      <c r="I1549" s="20">
        <f>IF($Q1549="","",INDEX(상세표[연속 시간],$Q1549))</f>
        <v/>
      </c>
      <c r="J1549">
        <f>IF($Q1549="","",INDEX(상세표[기록 수],$Q1549))</f>
        <v/>
      </c>
      <c r="K1549" s="20">
        <f>IF($Q1549="","",INDEX(상세표[블록 06~07시],$Q1549))</f>
        <v/>
      </c>
      <c r="L1549" s="20">
        <f>IF($Q1549="","",INDEX(상세표[블록 07~18시],$Q1549))</f>
        <v/>
      </c>
      <c r="M1549" s="20">
        <f>IF($Q1549="","",INDEX(상세표[블록 18~22시],$Q1549))</f>
        <v/>
      </c>
      <c r="N1549" s="20">
        <f>IF($Q1549="","",INDEX(상세표[블록 22~06시],$Q1549))</f>
        <v/>
      </c>
      <c r="O1549">
        <f>IF($Q1549="","",INDEX(상세표[주말·휴일 포함],$Q1549)&amp;"")</f>
        <v/>
      </c>
      <c r="P1549">
        <f>IF($Q1549="","",INDEX(상세표[월 넘김 포함],$Q1549)&amp;"")</f>
        <v/>
      </c>
      <c r="Q1549" s="4">
        <f>IFERROR(MATCH(1544,상세표[연속순번],0),"")</f>
        <v/>
      </c>
    </row>
    <row r="1550">
      <c r="A1550">
        <f>IF($Q1550="","",INDEX(상세표[부서],$Q1550)&amp;"")</f>
        <v/>
      </c>
      <c r="B1550">
        <f>IF($Q1550="","",INDEX(상세표[사번],$Q1550)&amp;"")</f>
        <v/>
      </c>
      <c r="C1550">
        <f>IF($Q1550="","",INDEX(상세표[성명],$Q1550)&amp;"")</f>
        <v/>
      </c>
      <c r="D1550">
        <f>IF($Q1550="","",INDEX(상세표[직위],$Q1550)&amp;"")</f>
        <v/>
      </c>
      <c r="E1550">
        <f>IF($Q1550="","",IF(ISNUMBER(INDEX(상세표[근무일자],$Q1550)),TEXT(INDEX(상세표[근무일자],$Q1550),"yyyy-mm-dd"),INDEX(상세표[근무일자],$Q1550)&amp;""))</f>
        <v/>
      </c>
      <c r="F1550">
        <f>IF($Q1550="","",IF(ISNUMBER(INDEX(상세표[시작],$Q1550)),TEXT(INDEX(상세표[시작],$Q1550),"yyyy-mm-dd hh:mm"),INDEX(상세표[시작],$Q1550)&amp;""))</f>
        <v/>
      </c>
      <c r="G1550">
        <f>IF($Q1550="","",IF(ISNUMBER(INDEX(상세표[블록종료],$Q1550)),TEXT(INDEX(상세표[블록종료],$Q1550),"yyyy-mm-dd hh:mm"),INDEX(상세표[블록종료],$Q1550)&amp;""))</f>
        <v/>
      </c>
      <c r="H1550">
        <f>IF($Q1550="","",CHOOSE(WEEKDAY(INDEX(상세표[시작],$Q1550)),"일","월","화","수","목","금","토"))</f>
        <v/>
      </c>
      <c r="I1550" s="20">
        <f>IF($Q1550="","",INDEX(상세표[연속 시간],$Q1550))</f>
        <v/>
      </c>
      <c r="J1550">
        <f>IF($Q1550="","",INDEX(상세표[기록 수],$Q1550))</f>
        <v/>
      </c>
      <c r="K1550" s="20">
        <f>IF($Q1550="","",INDEX(상세표[블록 06~07시],$Q1550))</f>
        <v/>
      </c>
      <c r="L1550" s="20">
        <f>IF($Q1550="","",INDEX(상세표[블록 07~18시],$Q1550))</f>
        <v/>
      </c>
      <c r="M1550" s="20">
        <f>IF($Q1550="","",INDEX(상세표[블록 18~22시],$Q1550))</f>
        <v/>
      </c>
      <c r="N1550" s="20">
        <f>IF($Q1550="","",INDEX(상세표[블록 22~06시],$Q1550))</f>
        <v/>
      </c>
      <c r="O1550">
        <f>IF($Q1550="","",INDEX(상세표[주말·휴일 포함],$Q1550)&amp;"")</f>
        <v/>
      </c>
      <c r="P1550">
        <f>IF($Q1550="","",INDEX(상세표[월 넘김 포함],$Q1550)&amp;"")</f>
        <v/>
      </c>
      <c r="Q1550" s="4">
        <f>IFERROR(MATCH(1545,상세표[연속순번],0),"")</f>
        <v/>
      </c>
    </row>
    <row r="1551">
      <c r="A1551">
        <f>IF($Q1551="","",INDEX(상세표[부서],$Q1551)&amp;"")</f>
        <v/>
      </c>
      <c r="B1551">
        <f>IF($Q1551="","",INDEX(상세표[사번],$Q1551)&amp;"")</f>
        <v/>
      </c>
      <c r="C1551">
        <f>IF($Q1551="","",INDEX(상세표[성명],$Q1551)&amp;"")</f>
        <v/>
      </c>
      <c r="D1551">
        <f>IF($Q1551="","",INDEX(상세표[직위],$Q1551)&amp;"")</f>
        <v/>
      </c>
      <c r="E1551">
        <f>IF($Q1551="","",IF(ISNUMBER(INDEX(상세표[근무일자],$Q1551)),TEXT(INDEX(상세표[근무일자],$Q1551),"yyyy-mm-dd"),INDEX(상세표[근무일자],$Q1551)&amp;""))</f>
        <v/>
      </c>
      <c r="F1551">
        <f>IF($Q1551="","",IF(ISNUMBER(INDEX(상세표[시작],$Q1551)),TEXT(INDEX(상세표[시작],$Q1551),"yyyy-mm-dd hh:mm"),INDEX(상세표[시작],$Q1551)&amp;""))</f>
        <v/>
      </c>
      <c r="G1551">
        <f>IF($Q1551="","",IF(ISNUMBER(INDEX(상세표[블록종료],$Q1551)),TEXT(INDEX(상세표[블록종료],$Q1551),"yyyy-mm-dd hh:mm"),INDEX(상세표[블록종료],$Q1551)&amp;""))</f>
        <v/>
      </c>
      <c r="H1551">
        <f>IF($Q1551="","",CHOOSE(WEEKDAY(INDEX(상세표[시작],$Q1551)),"일","월","화","수","목","금","토"))</f>
        <v/>
      </c>
      <c r="I1551" s="20">
        <f>IF($Q1551="","",INDEX(상세표[연속 시간],$Q1551))</f>
        <v/>
      </c>
      <c r="J1551">
        <f>IF($Q1551="","",INDEX(상세표[기록 수],$Q1551))</f>
        <v/>
      </c>
      <c r="K1551" s="20">
        <f>IF($Q1551="","",INDEX(상세표[블록 06~07시],$Q1551))</f>
        <v/>
      </c>
      <c r="L1551" s="20">
        <f>IF($Q1551="","",INDEX(상세표[블록 07~18시],$Q1551))</f>
        <v/>
      </c>
      <c r="M1551" s="20">
        <f>IF($Q1551="","",INDEX(상세표[블록 18~22시],$Q1551))</f>
        <v/>
      </c>
      <c r="N1551" s="20">
        <f>IF($Q1551="","",INDEX(상세표[블록 22~06시],$Q1551))</f>
        <v/>
      </c>
      <c r="O1551">
        <f>IF($Q1551="","",INDEX(상세표[주말·휴일 포함],$Q1551)&amp;"")</f>
        <v/>
      </c>
      <c r="P1551">
        <f>IF($Q1551="","",INDEX(상세표[월 넘김 포함],$Q1551)&amp;"")</f>
        <v/>
      </c>
      <c r="Q1551" s="4">
        <f>IFERROR(MATCH(1546,상세표[연속순번],0),"")</f>
        <v/>
      </c>
    </row>
    <row r="1552">
      <c r="A1552">
        <f>IF($Q1552="","",INDEX(상세표[부서],$Q1552)&amp;"")</f>
        <v/>
      </c>
      <c r="B1552">
        <f>IF($Q1552="","",INDEX(상세표[사번],$Q1552)&amp;"")</f>
        <v/>
      </c>
      <c r="C1552">
        <f>IF($Q1552="","",INDEX(상세표[성명],$Q1552)&amp;"")</f>
        <v/>
      </c>
      <c r="D1552">
        <f>IF($Q1552="","",INDEX(상세표[직위],$Q1552)&amp;"")</f>
        <v/>
      </c>
      <c r="E1552">
        <f>IF($Q1552="","",IF(ISNUMBER(INDEX(상세표[근무일자],$Q1552)),TEXT(INDEX(상세표[근무일자],$Q1552),"yyyy-mm-dd"),INDEX(상세표[근무일자],$Q1552)&amp;""))</f>
        <v/>
      </c>
      <c r="F1552">
        <f>IF($Q1552="","",IF(ISNUMBER(INDEX(상세표[시작],$Q1552)),TEXT(INDEX(상세표[시작],$Q1552),"yyyy-mm-dd hh:mm"),INDEX(상세표[시작],$Q1552)&amp;""))</f>
        <v/>
      </c>
      <c r="G1552">
        <f>IF($Q1552="","",IF(ISNUMBER(INDEX(상세표[블록종료],$Q1552)),TEXT(INDEX(상세표[블록종료],$Q1552),"yyyy-mm-dd hh:mm"),INDEX(상세표[블록종료],$Q1552)&amp;""))</f>
        <v/>
      </c>
      <c r="H1552">
        <f>IF($Q1552="","",CHOOSE(WEEKDAY(INDEX(상세표[시작],$Q1552)),"일","월","화","수","목","금","토"))</f>
        <v/>
      </c>
      <c r="I1552" s="20">
        <f>IF($Q1552="","",INDEX(상세표[연속 시간],$Q1552))</f>
        <v/>
      </c>
      <c r="J1552">
        <f>IF($Q1552="","",INDEX(상세표[기록 수],$Q1552))</f>
        <v/>
      </c>
      <c r="K1552" s="20">
        <f>IF($Q1552="","",INDEX(상세표[블록 06~07시],$Q1552))</f>
        <v/>
      </c>
      <c r="L1552" s="20">
        <f>IF($Q1552="","",INDEX(상세표[블록 07~18시],$Q1552))</f>
        <v/>
      </c>
      <c r="M1552" s="20">
        <f>IF($Q1552="","",INDEX(상세표[블록 18~22시],$Q1552))</f>
        <v/>
      </c>
      <c r="N1552" s="20">
        <f>IF($Q1552="","",INDEX(상세표[블록 22~06시],$Q1552))</f>
        <v/>
      </c>
      <c r="O1552">
        <f>IF($Q1552="","",INDEX(상세표[주말·휴일 포함],$Q1552)&amp;"")</f>
        <v/>
      </c>
      <c r="P1552">
        <f>IF($Q1552="","",INDEX(상세표[월 넘김 포함],$Q1552)&amp;"")</f>
        <v/>
      </c>
      <c r="Q1552" s="4">
        <f>IFERROR(MATCH(1547,상세표[연속순번],0),"")</f>
        <v/>
      </c>
    </row>
    <row r="1553">
      <c r="A1553">
        <f>IF($Q1553="","",INDEX(상세표[부서],$Q1553)&amp;"")</f>
        <v/>
      </c>
      <c r="B1553">
        <f>IF($Q1553="","",INDEX(상세표[사번],$Q1553)&amp;"")</f>
        <v/>
      </c>
      <c r="C1553">
        <f>IF($Q1553="","",INDEX(상세표[성명],$Q1553)&amp;"")</f>
        <v/>
      </c>
      <c r="D1553">
        <f>IF($Q1553="","",INDEX(상세표[직위],$Q1553)&amp;"")</f>
        <v/>
      </c>
      <c r="E1553">
        <f>IF($Q1553="","",IF(ISNUMBER(INDEX(상세표[근무일자],$Q1553)),TEXT(INDEX(상세표[근무일자],$Q1553),"yyyy-mm-dd"),INDEX(상세표[근무일자],$Q1553)&amp;""))</f>
        <v/>
      </c>
      <c r="F1553">
        <f>IF($Q1553="","",IF(ISNUMBER(INDEX(상세표[시작],$Q1553)),TEXT(INDEX(상세표[시작],$Q1553),"yyyy-mm-dd hh:mm"),INDEX(상세표[시작],$Q1553)&amp;""))</f>
        <v/>
      </c>
      <c r="G1553">
        <f>IF($Q1553="","",IF(ISNUMBER(INDEX(상세표[블록종료],$Q1553)),TEXT(INDEX(상세표[블록종료],$Q1553),"yyyy-mm-dd hh:mm"),INDEX(상세표[블록종료],$Q1553)&amp;""))</f>
        <v/>
      </c>
      <c r="H1553">
        <f>IF($Q1553="","",CHOOSE(WEEKDAY(INDEX(상세표[시작],$Q1553)),"일","월","화","수","목","금","토"))</f>
        <v/>
      </c>
      <c r="I1553" s="20">
        <f>IF($Q1553="","",INDEX(상세표[연속 시간],$Q1553))</f>
        <v/>
      </c>
      <c r="J1553">
        <f>IF($Q1553="","",INDEX(상세표[기록 수],$Q1553))</f>
        <v/>
      </c>
      <c r="K1553" s="20">
        <f>IF($Q1553="","",INDEX(상세표[블록 06~07시],$Q1553))</f>
        <v/>
      </c>
      <c r="L1553" s="20">
        <f>IF($Q1553="","",INDEX(상세표[블록 07~18시],$Q1553))</f>
        <v/>
      </c>
      <c r="M1553" s="20">
        <f>IF($Q1553="","",INDEX(상세표[블록 18~22시],$Q1553))</f>
        <v/>
      </c>
      <c r="N1553" s="20">
        <f>IF($Q1553="","",INDEX(상세표[블록 22~06시],$Q1553))</f>
        <v/>
      </c>
      <c r="O1553">
        <f>IF($Q1553="","",INDEX(상세표[주말·휴일 포함],$Q1553)&amp;"")</f>
        <v/>
      </c>
      <c r="P1553">
        <f>IF($Q1553="","",INDEX(상세표[월 넘김 포함],$Q1553)&amp;"")</f>
        <v/>
      </c>
      <c r="Q1553" s="4">
        <f>IFERROR(MATCH(1548,상세표[연속순번],0),"")</f>
        <v/>
      </c>
    </row>
    <row r="1554">
      <c r="A1554">
        <f>IF($Q1554="","",INDEX(상세표[부서],$Q1554)&amp;"")</f>
        <v/>
      </c>
      <c r="B1554">
        <f>IF($Q1554="","",INDEX(상세표[사번],$Q1554)&amp;"")</f>
        <v/>
      </c>
      <c r="C1554">
        <f>IF($Q1554="","",INDEX(상세표[성명],$Q1554)&amp;"")</f>
        <v/>
      </c>
      <c r="D1554">
        <f>IF($Q1554="","",INDEX(상세표[직위],$Q1554)&amp;"")</f>
        <v/>
      </c>
      <c r="E1554">
        <f>IF($Q1554="","",IF(ISNUMBER(INDEX(상세표[근무일자],$Q1554)),TEXT(INDEX(상세표[근무일자],$Q1554),"yyyy-mm-dd"),INDEX(상세표[근무일자],$Q1554)&amp;""))</f>
        <v/>
      </c>
      <c r="F1554">
        <f>IF($Q1554="","",IF(ISNUMBER(INDEX(상세표[시작],$Q1554)),TEXT(INDEX(상세표[시작],$Q1554),"yyyy-mm-dd hh:mm"),INDEX(상세표[시작],$Q1554)&amp;""))</f>
        <v/>
      </c>
      <c r="G1554">
        <f>IF($Q1554="","",IF(ISNUMBER(INDEX(상세표[블록종료],$Q1554)),TEXT(INDEX(상세표[블록종료],$Q1554),"yyyy-mm-dd hh:mm"),INDEX(상세표[블록종료],$Q1554)&amp;""))</f>
        <v/>
      </c>
      <c r="H1554">
        <f>IF($Q1554="","",CHOOSE(WEEKDAY(INDEX(상세표[시작],$Q1554)),"일","월","화","수","목","금","토"))</f>
        <v/>
      </c>
      <c r="I1554" s="20">
        <f>IF($Q1554="","",INDEX(상세표[연속 시간],$Q1554))</f>
        <v/>
      </c>
      <c r="J1554">
        <f>IF($Q1554="","",INDEX(상세표[기록 수],$Q1554))</f>
        <v/>
      </c>
      <c r="K1554" s="20">
        <f>IF($Q1554="","",INDEX(상세표[블록 06~07시],$Q1554))</f>
        <v/>
      </c>
      <c r="L1554" s="20">
        <f>IF($Q1554="","",INDEX(상세표[블록 07~18시],$Q1554))</f>
        <v/>
      </c>
      <c r="M1554" s="20">
        <f>IF($Q1554="","",INDEX(상세표[블록 18~22시],$Q1554))</f>
        <v/>
      </c>
      <c r="N1554" s="20">
        <f>IF($Q1554="","",INDEX(상세표[블록 22~06시],$Q1554))</f>
        <v/>
      </c>
      <c r="O1554">
        <f>IF($Q1554="","",INDEX(상세표[주말·휴일 포함],$Q1554)&amp;"")</f>
        <v/>
      </c>
      <c r="P1554">
        <f>IF($Q1554="","",INDEX(상세표[월 넘김 포함],$Q1554)&amp;"")</f>
        <v/>
      </c>
      <c r="Q1554" s="4">
        <f>IFERROR(MATCH(1549,상세표[연속순번],0),"")</f>
        <v/>
      </c>
    </row>
    <row r="1555">
      <c r="A1555">
        <f>IF($Q1555="","",INDEX(상세표[부서],$Q1555)&amp;"")</f>
        <v/>
      </c>
      <c r="B1555">
        <f>IF($Q1555="","",INDEX(상세표[사번],$Q1555)&amp;"")</f>
        <v/>
      </c>
      <c r="C1555">
        <f>IF($Q1555="","",INDEX(상세표[성명],$Q1555)&amp;"")</f>
        <v/>
      </c>
      <c r="D1555">
        <f>IF($Q1555="","",INDEX(상세표[직위],$Q1555)&amp;"")</f>
        <v/>
      </c>
      <c r="E1555">
        <f>IF($Q1555="","",IF(ISNUMBER(INDEX(상세표[근무일자],$Q1555)),TEXT(INDEX(상세표[근무일자],$Q1555),"yyyy-mm-dd"),INDEX(상세표[근무일자],$Q1555)&amp;""))</f>
        <v/>
      </c>
      <c r="F1555">
        <f>IF($Q1555="","",IF(ISNUMBER(INDEX(상세표[시작],$Q1555)),TEXT(INDEX(상세표[시작],$Q1555),"yyyy-mm-dd hh:mm"),INDEX(상세표[시작],$Q1555)&amp;""))</f>
        <v/>
      </c>
      <c r="G1555">
        <f>IF($Q1555="","",IF(ISNUMBER(INDEX(상세표[블록종료],$Q1555)),TEXT(INDEX(상세표[블록종료],$Q1555),"yyyy-mm-dd hh:mm"),INDEX(상세표[블록종료],$Q1555)&amp;""))</f>
        <v/>
      </c>
      <c r="H1555">
        <f>IF($Q1555="","",CHOOSE(WEEKDAY(INDEX(상세표[시작],$Q1555)),"일","월","화","수","목","금","토"))</f>
        <v/>
      </c>
      <c r="I1555" s="20">
        <f>IF($Q1555="","",INDEX(상세표[연속 시간],$Q1555))</f>
        <v/>
      </c>
      <c r="J1555">
        <f>IF($Q1555="","",INDEX(상세표[기록 수],$Q1555))</f>
        <v/>
      </c>
      <c r="K1555" s="20">
        <f>IF($Q1555="","",INDEX(상세표[블록 06~07시],$Q1555))</f>
        <v/>
      </c>
      <c r="L1555" s="20">
        <f>IF($Q1555="","",INDEX(상세표[블록 07~18시],$Q1555))</f>
        <v/>
      </c>
      <c r="M1555" s="20">
        <f>IF($Q1555="","",INDEX(상세표[블록 18~22시],$Q1555))</f>
        <v/>
      </c>
      <c r="N1555" s="20">
        <f>IF($Q1555="","",INDEX(상세표[블록 22~06시],$Q1555))</f>
        <v/>
      </c>
      <c r="O1555">
        <f>IF($Q1555="","",INDEX(상세표[주말·휴일 포함],$Q1555)&amp;"")</f>
        <v/>
      </c>
      <c r="P1555">
        <f>IF($Q1555="","",INDEX(상세표[월 넘김 포함],$Q1555)&amp;"")</f>
        <v/>
      </c>
      <c r="Q1555" s="4">
        <f>IFERROR(MATCH(1550,상세표[연속순번],0),"")</f>
        <v/>
      </c>
    </row>
    <row r="1556">
      <c r="A1556">
        <f>IF($Q1556="","",INDEX(상세표[부서],$Q1556)&amp;"")</f>
        <v/>
      </c>
      <c r="B1556">
        <f>IF($Q1556="","",INDEX(상세표[사번],$Q1556)&amp;"")</f>
        <v/>
      </c>
      <c r="C1556">
        <f>IF($Q1556="","",INDEX(상세표[성명],$Q1556)&amp;"")</f>
        <v/>
      </c>
      <c r="D1556">
        <f>IF($Q1556="","",INDEX(상세표[직위],$Q1556)&amp;"")</f>
        <v/>
      </c>
      <c r="E1556">
        <f>IF($Q1556="","",IF(ISNUMBER(INDEX(상세표[근무일자],$Q1556)),TEXT(INDEX(상세표[근무일자],$Q1556),"yyyy-mm-dd"),INDEX(상세표[근무일자],$Q1556)&amp;""))</f>
        <v/>
      </c>
      <c r="F1556">
        <f>IF($Q1556="","",IF(ISNUMBER(INDEX(상세표[시작],$Q1556)),TEXT(INDEX(상세표[시작],$Q1556),"yyyy-mm-dd hh:mm"),INDEX(상세표[시작],$Q1556)&amp;""))</f>
        <v/>
      </c>
      <c r="G1556">
        <f>IF($Q1556="","",IF(ISNUMBER(INDEX(상세표[블록종료],$Q1556)),TEXT(INDEX(상세표[블록종료],$Q1556),"yyyy-mm-dd hh:mm"),INDEX(상세표[블록종료],$Q1556)&amp;""))</f>
        <v/>
      </c>
      <c r="H1556">
        <f>IF($Q1556="","",CHOOSE(WEEKDAY(INDEX(상세표[시작],$Q1556)),"일","월","화","수","목","금","토"))</f>
        <v/>
      </c>
      <c r="I1556" s="20">
        <f>IF($Q1556="","",INDEX(상세표[연속 시간],$Q1556))</f>
        <v/>
      </c>
      <c r="J1556">
        <f>IF($Q1556="","",INDEX(상세표[기록 수],$Q1556))</f>
        <v/>
      </c>
      <c r="K1556" s="20">
        <f>IF($Q1556="","",INDEX(상세표[블록 06~07시],$Q1556))</f>
        <v/>
      </c>
      <c r="L1556" s="20">
        <f>IF($Q1556="","",INDEX(상세표[블록 07~18시],$Q1556))</f>
        <v/>
      </c>
      <c r="M1556" s="20">
        <f>IF($Q1556="","",INDEX(상세표[블록 18~22시],$Q1556))</f>
        <v/>
      </c>
      <c r="N1556" s="20">
        <f>IF($Q1556="","",INDEX(상세표[블록 22~06시],$Q1556))</f>
        <v/>
      </c>
      <c r="O1556">
        <f>IF($Q1556="","",INDEX(상세표[주말·휴일 포함],$Q1556)&amp;"")</f>
        <v/>
      </c>
      <c r="P1556">
        <f>IF($Q1556="","",INDEX(상세표[월 넘김 포함],$Q1556)&amp;"")</f>
        <v/>
      </c>
      <c r="Q1556" s="4">
        <f>IFERROR(MATCH(1551,상세표[연속순번],0),"")</f>
        <v/>
      </c>
    </row>
    <row r="1557">
      <c r="A1557">
        <f>IF($Q1557="","",INDEX(상세표[부서],$Q1557)&amp;"")</f>
        <v/>
      </c>
      <c r="B1557">
        <f>IF($Q1557="","",INDEX(상세표[사번],$Q1557)&amp;"")</f>
        <v/>
      </c>
      <c r="C1557">
        <f>IF($Q1557="","",INDEX(상세표[성명],$Q1557)&amp;"")</f>
        <v/>
      </c>
      <c r="D1557">
        <f>IF($Q1557="","",INDEX(상세표[직위],$Q1557)&amp;"")</f>
        <v/>
      </c>
      <c r="E1557">
        <f>IF($Q1557="","",IF(ISNUMBER(INDEX(상세표[근무일자],$Q1557)),TEXT(INDEX(상세표[근무일자],$Q1557),"yyyy-mm-dd"),INDEX(상세표[근무일자],$Q1557)&amp;""))</f>
        <v/>
      </c>
      <c r="F1557">
        <f>IF($Q1557="","",IF(ISNUMBER(INDEX(상세표[시작],$Q1557)),TEXT(INDEX(상세표[시작],$Q1557),"yyyy-mm-dd hh:mm"),INDEX(상세표[시작],$Q1557)&amp;""))</f>
        <v/>
      </c>
      <c r="G1557">
        <f>IF($Q1557="","",IF(ISNUMBER(INDEX(상세표[블록종료],$Q1557)),TEXT(INDEX(상세표[블록종료],$Q1557),"yyyy-mm-dd hh:mm"),INDEX(상세표[블록종료],$Q1557)&amp;""))</f>
        <v/>
      </c>
      <c r="H1557">
        <f>IF($Q1557="","",CHOOSE(WEEKDAY(INDEX(상세표[시작],$Q1557)),"일","월","화","수","목","금","토"))</f>
        <v/>
      </c>
      <c r="I1557" s="20">
        <f>IF($Q1557="","",INDEX(상세표[연속 시간],$Q1557))</f>
        <v/>
      </c>
      <c r="J1557">
        <f>IF($Q1557="","",INDEX(상세표[기록 수],$Q1557))</f>
        <v/>
      </c>
      <c r="K1557" s="20">
        <f>IF($Q1557="","",INDEX(상세표[블록 06~07시],$Q1557))</f>
        <v/>
      </c>
      <c r="L1557" s="20">
        <f>IF($Q1557="","",INDEX(상세표[블록 07~18시],$Q1557))</f>
        <v/>
      </c>
      <c r="M1557" s="20">
        <f>IF($Q1557="","",INDEX(상세표[블록 18~22시],$Q1557))</f>
        <v/>
      </c>
      <c r="N1557" s="20">
        <f>IF($Q1557="","",INDEX(상세표[블록 22~06시],$Q1557))</f>
        <v/>
      </c>
      <c r="O1557">
        <f>IF($Q1557="","",INDEX(상세표[주말·휴일 포함],$Q1557)&amp;"")</f>
        <v/>
      </c>
      <c r="P1557">
        <f>IF($Q1557="","",INDEX(상세표[월 넘김 포함],$Q1557)&amp;"")</f>
        <v/>
      </c>
      <c r="Q1557" s="4">
        <f>IFERROR(MATCH(1552,상세표[연속순번],0),"")</f>
        <v/>
      </c>
    </row>
    <row r="1558">
      <c r="A1558">
        <f>IF($Q1558="","",INDEX(상세표[부서],$Q1558)&amp;"")</f>
        <v/>
      </c>
      <c r="B1558">
        <f>IF($Q1558="","",INDEX(상세표[사번],$Q1558)&amp;"")</f>
        <v/>
      </c>
      <c r="C1558">
        <f>IF($Q1558="","",INDEX(상세표[성명],$Q1558)&amp;"")</f>
        <v/>
      </c>
      <c r="D1558">
        <f>IF($Q1558="","",INDEX(상세표[직위],$Q1558)&amp;"")</f>
        <v/>
      </c>
      <c r="E1558">
        <f>IF($Q1558="","",IF(ISNUMBER(INDEX(상세표[근무일자],$Q1558)),TEXT(INDEX(상세표[근무일자],$Q1558),"yyyy-mm-dd"),INDEX(상세표[근무일자],$Q1558)&amp;""))</f>
        <v/>
      </c>
      <c r="F1558">
        <f>IF($Q1558="","",IF(ISNUMBER(INDEX(상세표[시작],$Q1558)),TEXT(INDEX(상세표[시작],$Q1558),"yyyy-mm-dd hh:mm"),INDEX(상세표[시작],$Q1558)&amp;""))</f>
        <v/>
      </c>
      <c r="G1558">
        <f>IF($Q1558="","",IF(ISNUMBER(INDEX(상세표[블록종료],$Q1558)),TEXT(INDEX(상세표[블록종료],$Q1558),"yyyy-mm-dd hh:mm"),INDEX(상세표[블록종료],$Q1558)&amp;""))</f>
        <v/>
      </c>
      <c r="H1558">
        <f>IF($Q1558="","",CHOOSE(WEEKDAY(INDEX(상세표[시작],$Q1558)),"일","월","화","수","목","금","토"))</f>
        <v/>
      </c>
      <c r="I1558" s="20">
        <f>IF($Q1558="","",INDEX(상세표[연속 시간],$Q1558))</f>
        <v/>
      </c>
      <c r="J1558">
        <f>IF($Q1558="","",INDEX(상세표[기록 수],$Q1558))</f>
        <v/>
      </c>
      <c r="K1558" s="20">
        <f>IF($Q1558="","",INDEX(상세표[블록 06~07시],$Q1558))</f>
        <v/>
      </c>
      <c r="L1558" s="20">
        <f>IF($Q1558="","",INDEX(상세표[블록 07~18시],$Q1558))</f>
        <v/>
      </c>
      <c r="M1558" s="20">
        <f>IF($Q1558="","",INDEX(상세표[블록 18~22시],$Q1558))</f>
        <v/>
      </c>
      <c r="N1558" s="20">
        <f>IF($Q1558="","",INDEX(상세표[블록 22~06시],$Q1558))</f>
        <v/>
      </c>
      <c r="O1558">
        <f>IF($Q1558="","",INDEX(상세표[주말·휴일 포함],$Q1558)&amp;"")</f>
        <v/>
      </c>
      <c r="P1558">
        <f>IF($Q1558="","",INDEX(상세표[월 넘김 포함],$Q1558)&amp;"")</f>
        <v/>
      </c>
      <c r="Q1558" s="4">
        <f>IFERROR(MATCH(1553,상세표[연속순번],0),"")</f>
        <v/>
      </c>
    </row>
    <row r="1559">
      <c r="A1559">
        <f>IF($Q1559="","",INDEX(상세표[부서],$Q1559)&amp;"")</f>
        <v/>
      </c>
      <c r="B1559">
        <f>IF($Q1559="","",INDEX(상세표[사번],$Q1559)&amp;"")</f>
        <v/>
      </c>
      <c r="C1559">
        <f>IF($Q1559="","",INDEX(상세표[성명],$Q1559)&amp;"")</f>
        <v/>
      </c>
      <c r="D1559">
        <f>IF($Q1559="","",INDEX(상세표[직위],$Q1559)&amp;"")</f>
        <v/>
      </c>
      <c r="E1559">
        <f>IF($Q1559="","",IF(ISNUMBER(INDEX(상세표[근무일자],$Q1559)),TEXT(INDEX(상세표[근무일자],$Q1559),"yyyy-mm-dd"),INDEX(상세표[근무일자],$Q1559)&amp;""))</f>
        <v/>
      </c>
      <c r="F1559">
        <f>IF($Q1559="","",IF(ISNUMBER(INDEX(상세표[시작],$Q1559)),TEXT(INDEX(상세표[시작],$Q1559),"yyyy-mm-dd hh:mm"),INDEX(상세표[시작],$Q1559)&amp;""))</f>
        <v/>
      </c>
      <c r="G1559">
        <f>IF($Q1559="","",IF(ISNUMBER(INDEX(상세표[블록종료],$Q1559)),TEXT(INDEX(상세표[블록종료],$Q1559),"yyyy-mm-dd hh:mm"),INDEX(상세표[블록종료],$Q1559)&amp;""))</f>
        <v/>
      </c>
      <c r="H1559">
        <f>IF($Q1559="","",CHOOSE(WEEKDAY(INDEX(상세표[시작],$Q1559)),"일","월","화","수","목","금","토"))</f>
        <v/>
      </c>
      <c r="I1559" s="20">
        <f>IF($Q1559="","",INDEX(상세표[연속 시간],$Q1559))</f>
        <v/>
      </c>
      <c r="J1559">
        <f>IF($Q1559="","",INDEX(상세표[기록 수],$Q1559))</f>
        <v/>
      </c>
      <c r="K1559" s="20">
        <f>IF($Q1559="","",INDEX(상세표[블록 06~07시],$Q1559))</f>
        <v/>
      </c>
      <c r="L1559" s="20">
        <f>IF($Q1559="","",INDEX(상세표[블록 07~18시],$Q1559))</f>
        <v/>
      </c>
      <c r="M1559" s="20">
        <f>IF($Q1559="","",INDEX(상세표[블록 18~22시],$Q1559))</f>
        <v/>
      </c>
      <c r="N1559" s="20">
        <f>IF($Q1559="","",INDEX(상세표[블록 22~06시],$Q1559))</f>
        <v/>
      </c>
      <c r="O1559">
        <f>IF($Q1559="","",INDEX(상세표[주말·휴일 포함],$Q1559)&amp;"")</f>
        <v/>
      </c>
      <c r="P1559">
        <f>IF($Q1559="","",INDEX(상세표[월 넘김 포함],$Q1559)&amp;"")</f>
        <v/>
      </c>
      <c r="Q1559" s="4">
        <f>IFERROR(MATCH(1554,상세표[연속순번],0),"")</f>
        <v/>
      </c>
    </row>
    <row r="1560">
      <c r="A1560">
        <f>IF($Q1560="","",INDEX(상세표[부서],$Q1560)&amp;"")</f>
        <v/>
      </c>
      <c r="B1560">
        <f>IF($Q1560="","",INDEX(상세표[사번],$Q1560)&amp;"")</f>
        <v/>
      </c>
      <c r="C1560">
        <f>IF($Q1560="","",INDEX(상세표[성명],$Q1560)&amp;"")</f>
        <v/>
      </c>
      <c r="D1560">
        <f>IF($Q1560="","",INDEX(상세표[직위],$Q1560)&amp;"")</f>
        <v/>
      </c>
      <c r="E1560">
        <f>IF($Q1560="","",IF(ISNUMBER(INDEX(상세표[근무일자],$Q1560)),TEXT(INDEX(상세표[근무일자],$Q1560),"yyyy-mm-dd"),INDEX(상세표[근무일자],$Q1560)&amp;""))</f>
        <v/>
      </c>
      <c r="F1560">
        <f>IF($Q1560="","",IF(ISNUMBER(INDEX(상세표[시작],$Q1560)),TEXT(INDEX(상세표[시작],$Q1560),"yyyy-mm-dd hh:mm"),INDEX(상세표[시작],$Q1560)&amp;""))</f>
        <v/>
      </c>
      <c r="G1560">
        <f>IF($Q1560="","",IF(ISNUMBER(INDEX(상세표[블록종료],$Q1560)),TEXT(INDEX(상세표[블록종료],$Q1560),"yyyy-mm-dd hh:mm"),INDEX(상세표[블록종료],$Q1560)&amp;""))</f>
        <v/>
      </c>
      <c r="H1560">
        <f>IF($Q1560="","",CHOOSE(WEEKDAY(INDEX(상세표[시작],$Q1560)),"일","월","화","수","목","금","토"))</f>
        <v/>
      </c>
      <c r="I1560" s="20">
        <f>IF($Q1560="","",INDEX(상세표[연속 시간],$Q1560))</f>
        <v/>
      </c>
      <c r="J1560">
        <f>IF($Q1560="","",INDEX(상세표[기록 수],$Q1560))</f>
        <v/>
      </c>
      <c r="K1560" s="20">
        <f>IF($Q1560="","",INDEX(상세표[블록 06~07시],$Q1560))</f>
        <v/>
      </c>
      <c r="L1560" s="20">
        <f>IF($Q1560="","",INDEX(상세표[블록 07~18시],$Q1560))</f>
        <v/>
      </c>
      <c r="M1560" s="20">
        <f>IF($Q1560="","",INDEX(상세표[블록 18~22시],$Q1560))</f>
        <v/>
      </c>
      <c r="N1560" s="20">
        <f>IF($Q1560="","",INDEX(상세표[블록 22~06시],$Q1560))</f>
        <v/>
      </c>
      <c r="O1560">
        <f>IF($Q1560="","",INDEX(상세표[주말·휴일 포함],$Q1560)&amp;"")</f>
        <v/>
      </c>
      <c r="P1560">
        <f>IF($Q1560="","",INDEX(상세표[월 넘김 포함],$Q1560)&amp;"")</f>
        <v/>
      </c>
      <c r="Q1560" s="4">
        <f>IFERROR(MATCH(1555,상세표[연속순번],0),"")</f>
        <v/>
      </c>
    </row>
    <row r="1561">
      <c r="A1561">
        <f>IF($Q1561="","",INDEX(상세표[부서],$Q1561)&amp;"")</f>
        <v/>
      </c>
      <c r="B1561">
        <f>IF($Q1561="","",INDEX(상세표[사번],$Q1561)&amp;"")</f>
        <v/>
      </c>
      <c r="C1561">
        <f>IF($Q1561="","",INDEX(상세표[성명],$Q1561)&amp;"")</f>
        <v/>
      </c>
      <c r="D1561">
        <f>IF($Q1561="","",INDEX(상세표[직위],$Q1561)&amp;"")</f>
        <v/>
      </c>
      <c r="E1561">
        <f>IF($Q1561="","",IF(ISNUMBER(INDEX(상세표[근무일자],$Q1561)),TEXT(INDEX(상세표[근무일자],$Q1561),"yyyy-mm-dd"),INDEX(상세표[근무일자],$Q1561)&amp;""))</f>
        <v/>
      </c>
      <c r="F1561">
        <f>IF($Q1561="","",IF(ISNUMBER(INDEX(상세표[시작],$Q1561)),TEXT(INDEX(상세표[시작],$Q1561),"yyyy-mm-dd hh:mm"),INDEX(상세표[시작],$Q1561)&amp;""))</f>
        <v/>
      </c>
      <c r="G1561">
        <f>IF($Q1561="","",IF(ISNUMBER(INDEX(상세표[블록종료],$Q1561)),TEXT(INDEX(상세표[블록종료],$Q1561),"yyyy-mm-dd hh:mm"),INDEX(상세표[블록종료],$Q1561)&amp;""))</f>
        <v/>
      </c>
      <c r="H1561">
        <f>IF($Q1561="","",CHOOSE(WEEKDAY(INDEX(상세표[시작],$Q1561)),"일","월","화","수","목","금","토"))</f>
        <v/>
      </c>
      <c r="I1561" s="20">
        <f>IF($Q1561="","",INDEX(상세표[연속 시간],$Q1561))</f>
        <v/>
      </c>
      <c r="J1561">
        <f>IF($Q1561="","",INDEX(상세표[기록 수],$Q1561))</f>
        <v/>
      </c>
      <c r="K1561" s="20">
        <f>IF($Q1561="","",INDEX(상세표[블록 06~07시],$Q1561))</f>
        <v/>
      </c>
      <c r="L1561" s="20">
        <f>IF($Q1561="","",INDEX(상세표[블록 07~18시],$Q1561))</f>
        <v/>
      </c>
      <c r="M1561" s="20">
        <f>IF($Q1561="","",INDEX(상세표[블록 18~22시],$Q1561))</f>
        <v/>
      </c>
      <c r="N1561" s="20">
        <f>IF($Q1561="","",INDEX(상세표[블록 22~06시],$Q1561))</f>
        <v/>
      </c>
      <c r="O1561">
        <f>IF($Q1561="","",INDEX(상세표[주말·휴일 포함],$Q1561)&amp;"")</f>
        <v/>
      </c>
      <c r="P1561">
        <f>IF($Q1561="","",INDEX(상세표[월 넘김 포함],$Q1561)&amp;"")</f>
        <v/>
      </c>
      <c r="Q1561" s="4">
        <f>IFERROR(MATCH(1556,상세표[연속순번],0),"")</f>
        <v/>
      </c>
    </row>
    <row r="1562">
      <c r="A1562">
        <f>IF($Q1562="","",INDEX(상세표[부서],$Q1562)&amp;"")</f>
        <v/>
      </c>
      <c r="B1562">
        <f>IF($Q1562="","",INDEX(상세표[사번],$Q1562)&amp;"")</f>
        <v/>
      </c>
      <c r="C1562">
        <f>IF($Q1562="","",INDEX(상세표[성명],$Q1562)&amp;"")</f>
        <v/>
      </c>
      <c r="D1562">
        <f>IF($Q1562="","",INDEX(상세표[직위],$Q1562)&amp;"")</f>
        <v/>
      </c>
      <c r="E1562">
        <f>IF($Q1562="","",IF(ISNUMBER(INDEX(상세표[근무일자],$Q1562)),TEXT(INDEX(상세표[근무일자],$Q1562),"yyyy-mm-dd"),INDEX(상세표[근무일자],$Q1562)&amp;""))</f>
        <v/>
      </c>
      <c r="F1562">
        <f>IF($Q1562="","",IF(ISNUMBER(INDEX(상세표[시작],$Q1562)),TEXT(INDEX(상세표[시작],$Q1562),"yyyy-mm-dd hh:mm"),INDEX(상세표[시작],$Q1562)&amp;""))</f>
        <v/>
      </c>
      <c r="G1562">
        <f>IF($Q1562="","",IF(ISNUMBER(INDEX(상세표[블록종료],$Q1562)),TEXT(INDEX(상세표[블록종료],$Q1562),"yyyy-mm-dd hh:mm"),INDEX(상세표[블록종료],$Q1562)&amp;""))</f>
        <v/>
      </c>
      <c r="H1562">
        <f>IF($Q1562="","",CHOOSE(WEEKDAY(INDEX(상세표[시작],$Q1562)),"일","월","화","수","목","금","토"))</f>
        <v/>
      </c>
      <c r="I1562" s="20">
        <f>IF($Q1562="","",INDEX(상세표[연속 시간],$Q1562))</f>
        <v/>
      </c>
      <c r="J1562">
        <f>IF($Q1562="","",INDEX(상세표[기록 수],$Q1562))</f>
        <v/>
      </c>
      <c r="K1562" s="20">
        <f>IF($Q1562="","",INDEX(상세표[블록 06~07시],$Q1562))</f>
        <v/>
      </c>
      <c r="L1562" s="20">
        <f>IF($Q1562="","",INDEX(상세표[블록 07~18시],$Q1562))</f>
        <v/>
      </c>
      <c r="M1562" s="20">
        <f>IF($Q1562="","",INDEX(상세표[블록 18~22시],$Q1562))</f>
        <v/>
      </c>
      <c r="N1562" s="20">
        <f>IF($Q1562="","",INDEX(상세표[블록 22~06시],$Q1562))</f>
        <v/>
      </c>
      <c r="O1562">
        <f>IF($Q1562="","",INDEX(상세표[주말·휴일 포함],$Q1562)&amp;"")</f>
        <v/>
      </c>
      <c r="P1562">
        <f>IF($Q1562="","",INDEX(상세표[월 넘김 포함],$Q1562)&amp;"")</f>
        <v/>
      </c>
      <c r="Q1562" s="4">
        <f>IFERROR(MATCH(1557,상세표[연속순번],0),"")</f>
        <v/>
      </c>
    </row>
    <row r="1563">
      <c r="A1563">
        <f>IF($Q1563="","",INDEX(상세표[부서],$Q1563)&amp;"")</f>
        <v/>
      </c>
      <c r="B1563">
        <f>IF($Q1563="","",INDEX(상세표[사번],$Q1563)&amp;"")</f>
        <v/>
      </c>
      <c r="C1563">
        <f>IF($Q1563="","",INDEX(상세표[성명],$Q1563)&amp;"")</f>
        <v/>
      </c>
      <c r="D1563">
        <f>IF($Q1563="","",INDEX(상세표[직위],$Q1563)&amp;"")</f>
        <v/>
      </c>
      <c r="E1563">
        <f>IF($Q1563="","",IF(ISNUMBER(INDEX(상세표[근무일자],$Q1563)),TEXT(INDEX(상세표[근무일자],$Q1563),"yyyy-mm-dd"),INDEX(상세표[근무일자],$Q1563)&amp;""))</f>
        <v/>
      </c>
      <c r="F1563">
        <f>IF($Q1563="","",IF(ISNUMBER(INDEX(상세표[시작],$Q1563)),TEXT(INDEX(상세표[시작],$Q1563),"yyyy-mm-dd hh:mm"),INDEX(상세표[시작],$Q1563)&amp;""))</f>
        <v/>
      </c>
      <c r="G1563">
        <f>IF($Q1563="","",IF(ISNUMBER(INDEX(상세표[블록종료],$Q1563)),TEXT(INDEX(상세표[블록종료],$Q1563),"yyyy-mm-dd hh:mm"),INDEX(상세표[블록종료],$Q1563)&amp;""))</f>
        <v/>
      </c>
      <c r="H1563">
        <f>IF($Q1563="","",CHOOSE(WEEKDAY(INDEX(상세표[시작],$Q1563)),"일","월","화","수","목","금","토"))</f>
        <v/>
      </c>
      <c r="I1563" s="20">
        <f>IF($Q1563="","",INDEX(상세표[연속 시간],$Q1563))</f>
        <v/>
      </c>
      <c r="J1563">
        <f>IF($Q1563="","",INDEX(상세표[기록 수],$Q1563))</f>
        <v/>
      </c>
      <c r="K1563" s="20">
        <f>IF($Q1563="","",INDEX(상세표[블록 06~07시],$Q1563))</f>
        <v/>
      </c>
      <c r="L1563" s="20">
        <f>IF($Q1563="","",INDEX(상세표[블록 07~18시],$Q1563))</f>
        <v/>
      </c>
      <c r="M1563" s="20">
        <f>IF($Q1563="","",INDEX(상세표[블록 18~22시],$Q1563))</f>
        <v/>
      </c>
      <c r="N1563" s="20">
        <f>IF($Q1563="","",INDEX(상세표[블록 22~06시],$Q1563))</f>
        <v/>
      </c>
      <c r="O1563">
        <f>IF($Q1563="","",INDEX(상세표[주말·휴일 포함],$Q1563)&amp;"")</f>
        <v/>
      </c>
      <c r="P1563">
        <f>IF($Q1563="","",INDEX(상세표[월 넘김 포함],$Q1563)&amp;"")</f>
        <v/>
      </c>
      <c r="Q1563" s="4">
        <f>IFERROR(MATCH(1558,상세표[연속순번],0),"")</f>
        <v/>
      </c>
    </row>
    <row r="1564">
      <c r="A1564">
        <f>IF($Q1564="","",INDEX(상세표[부서],$Q1564)&amp;"")</f>
        <v/>
      </c>
      <c r="B1564">
        <f>IF($Q1564="","",INDEX(상세표[사번],$Q1564)&amp;"")</f>
        <v/>
      </c>
      <c r="C1564">
        <f>IF($Q1564="","",INDEX(상세표[성명],$Q1564)&amp;"")</f>
        <v/>
      </c>
      <c r="D1564">
        <f>IF($Q1564="","",INDEX(상세표[직위],$Q1564)&amp;"")</f>
        <v/>
      </c>
      <c r="E1564">
        <f>IF($Q1564="","",IF(ISNUMBER(INDEX(상세표[근무일자],$Q1564)),TEXT(INDEX(상세표[근무일자],$Q1564),"yyyy-mm-dd"),INDEX(상세표[근무일자],$Q1564)&amp;""))</f>
        <v/>
      </c>
      <c r="F1564">
        <f>IF($Q1564="","",IF(ISNUMBER(INDEX(상세표[시작],$Q1564)),TEXT(INDEX(상세표[시작],$Q1564),"yyyy-mm-dd hh:mm"),INDEX(상세표[시작],$Q1564)&amp;""))</f>
        <v/>
      </c>
      <c r="G1564">
        <f>IF($Q1564="","",IF(ISNUMBER(INDEX(상세표[블록종료],$Q1564)),TEXT(INDEX(상세표[블록종료],$Q1564),"yyyy-mm-dd hh:mm"),INDEX(상세표[블록종료],$Q1564)&amp;""))</f>
        <v/>
      </c>
      <c r="H1564">
        <f>IF($Q1564="","",CHOOSE(WEEKDAY(INDEX(상세표[시작],$Q1564)),"일","월","화","수","목","금","토"))</f>
        <v/>
      </c>
      <c r="I1564" s="20">
        <f>IF($Q1564="","",INDEX(상세표[연속 시간],$Q1564))</f>
        <v/>
      </c>
      <c r="J1564">
        <f>IF($Q1564="","",INDEX(상세표[기록 수],$Q1564))</f>
        <v/>
      </c>
      <c r="K1564" s="20">
        <f>IF($Q1564="","",INDEX(상세표[블록 06~07시],$Q1564))</f>
        <v/>
      </c>
      <c r="L1564" s="20">
        <f>IF($Q1564="","",INDEX(상세표[블록 07~18시],$Q1564))</f>
        <v/>
      </c>
      <c r="M1564" s="20">
        <f>IF($Q1564="","",INDEX(상세표[블록 18~22시],$Q1564))</f>
        <v/>
      </c>
      <c r="N1564" s="20">
        <f>IF($Q1564="","",INDEX(상세표[블록 22~06시],$Q1564))</f>
        <v/>
      </c>
      <c r="O1564">
        <f>IF($Q1564="","",INDEX(상세표[주말·휴일 포함],$Q1564)&amp;"")</f>
        <v/>
      </c>
      <c r="P1564">
        <f>IF($Q1564="","",INDEX(상세표[월 넘김 포함],$Q1564)&amp;"")</f>
        <v/>
      </c>
      <c r="Q1564" s="4">
        <f>IFERROR(MATCH(1559,상세표[연속순번],0),"")</f>
        <v/>
      </c>
    </row>
    <row r="1565">
      <c r="A1565">
        <f>IF($Q1565="","",INDEX(상세표[부서],$Q1565)&amp;"")</f>
        <v/>
      </c>
      <c r="B1565">
        <f>IF($Q1565="","",INDEX(상세표[사번],$Q1565)&amp;"")</f>
        <v/>
      </c>
      <c r="C1565">
        <f>IF($Q1565="","",INDEX(상세표[성명],$Q1565)&amp;"")</f>
        <v/>
      </c>
      <c r="D1565">
        <f>IF($Q1565="","",INDEX(상세표[직위],$Q1565)&amp;"")</f>
        <v/>
      </c>
      <c r="E1565">
        <f>IF($Q1565="","",IF(ISNUMBER(INDEX(상세표[근무일자],$Q1565)),TEXT(INDEX(상세표[근무일자],$Q1565),"yyyy-mm-dd"),INDEX(상세표[근무일자],$Q1565)&amp;""))</f>
        <v/>
      </c>
      <c r="F1565">
        <f>IF($Q1565="","",IF(ISNUMBER(INDEX(상세표[시작],$Q1565)),TEXT(INDEX(상세표[시작],$Q1565),"yyyy-mm-dd hh:mm"),INDEX(상세표[시작],$Q1565)&amp;""))</f>
        <v/>
      </c>
      <c r="G1565">
        <f>IF($Q1565="","",IF(ISNUMBER(INDEX(상세표[블록종료],$Q1565)),TEXT(INDEX(상세표[블록종료],$Q1565),"yyyy-mm-dd hh:mm"),INDEX(상세표[블록종료],$Q1565)&amp;""))</f>
        <v/>
      </c>
      <c r="H1565">
        <f>IF($Q1565="","",CHOOSE(WEEKDAY(INDEX(상세표[시작],$Q1565)),"일","월","화","수","목","금","토"))</f>
        <v/>
      </c>
      <c r="I1565" s="20">
        <f>IF($Q1565="","",INDEX(상세표[연속 시간],$Q1565))</f>
        <v/>
      </c>
      <c r="J1565">
        <f>IF($Q1565="","",INDEX(상세표[기록 수],$Q1565))</f>
        <v/>
      </c>
      <c r="K1565" s="20">
        <f>IF($Q1565="","",INDEX(상세표[블록 06~07시],$Q1565))</f>
        <v/>
      </c>
      <c r="L1565" s="20">
        <f>IF($Q1565="","",INDEX(상세표[블록 07~18시],$Q1565))</f>
        <v/>
      </c>
      <c r="M1565" s="20">
        <f>IF($Q1565="","",INDEX(상세표[블록 18~22시],$Q1565))</f>
        <v/>
      </c>
      <c r="N1565" s="20">
        <f>IF($Q1565="","",INDEX(상세표[블록 22~06시],$Q1565))</f>
        <v/>
      </c>
      <c r="O1565">
        <f>IF($Q1565="","",INDEX(상세표[주말·휴일 포함],$Q1565)&amp;"")</f>
        <v/>
      </c>
      <c r="P1565">
        <f>IF($Q1565="","",INDEX(상세표[월 넘김 포함],$Q1565)&amp;"")</f>
        <v/>
      </c>
      <c r="Q1565" s="4">
        <f>IFERROR(MATCH(1560,상세표[연속순번],0),"")</f>
        <v/>
      </c>
    </row>
    <row r="1566">
      <c r="A1566">
        <f>IF($Q1566="","",INDEX(상세표[부서],$Q1566)&amp;"")</f>
        <v/>
      </c>
      <c r="B1566">
        <f>IF($Q1566="","",INDEX(상세표[사번],$Q1566)&amp;"")</f>
        <v/>
      </c>
      <c r="C1566">
        <f>IF($Q1566="","",INDEX(상세표[성명],$Q1566)&amp;"")</f>
        <v/>
      </c>
      <c r="D1566">
        <f>IF($Q1566="","",INDEX(상세표[직위],$Q1566)&amp;"")</f>
        <v/>
      </c>
      <c r="E1566">
        <f>IF($Q1566="","",IF(ISNUMBER(INDEX(상세표[근무일자],$Q1566)),TEXT(INDEX(상세표[근무일자],$Q1566),"yyyy-mm-dd"),INDEX(상세표[근무일자],$Q1566)&amp;""))</f>
        <v/>
      </c>
      <c r="F1566">
        <f>IF($Q1566="","",IF(ISNUMBER(INDEX(상세표[시작],$Q1566)),TEXT(INDEX(상세표[시작],$Q1566),"yyyy-mm-dd hh:mm"),INDEX(상세표[시작],$Q1566)&amp;""))</f>
        <v/>
      </c>
      <c r="G1566">
        <f>IF($Q1566="","",IF(ISNUMBER(INDEX(상세표[블록종료],$Q1566)),TEXT(INDEX(상세표[블록종료],$Q1566),"yyyy-mm-dd hh:mm"),INDEX(상세표[블록종료],$Q1566)&amp;""))</f>
        <v/>
      </c>
      <c r="H1566">
        <f>IF($Q1566="","",CHOOSE(WEEKDAY(INDEX(상세표[시작],$Q1566)),"일","월","화","수","목","금","토"))</f>
        <v/>
      </c>
      <c r="I1566" s="20">
        <f>IF($Q1566="","",INDEX(상세표[연속 시간],$Q1566))</f>
        <v/>
      </c>
      <c r="J1566">
        <f>IF($Q1566="","",INDEX(상세표[기록 수],$Q1566))</f>
        <v/>
      </c>
      <c r="K1566" s="20">
        <f>IF($Q1566="","",INDEX(상세표[블록 06~07시],$Q1566))</f>
        <v/>
      </c>
      <c r="L1566" s="20">
        <f>IF($Q1566="","",INDEX(상세표[블록 07~18시],$Q1566))</f>
        <v/>
      </c>
      <c r="M1566" s="20">
        <f>IF($Q1566="","",INDEX(상세표[블록 18~22시],$Q1566))</f>
        <v/>
      </c>
      <c r="N1566" s="20">
        <f>IF($Q1566="","",INDEX(상세표[블록 22~06시],$Q1566))</f>
        <v/>
      </c>
      <c r="O1566">
        <f>IF($Q1566="","",INDEX(상세표[주말·휴일 포함],$Q1566)&amp;"")</f>
        <v/>
      </c>
      <c r="P1566">
        <f>IF($Q1566="","",INDEX(상세표[월 넘김 포함],$Q1566)&amp;"")</f>
        <v/>
      </c>
      <c r="Q1566" s="4">
        <f>IFERROR(MATCH(1561,상세표[연속순번],0),"")</f>
        <v/>
      </c>
    </row>
    <row r="1567">
      <c r="A1567">
        <f>IF($Q1567="","",INDEX(상세표[부서],$Q1567)&amp;"")</f>
        <v/>
      </c>
      <c r="B1567">
        <f>IF($Q1567="","",INDEX(상세표[사번],$Q1567)&amp;"")</f>
        <v/>
      </c>
      <c r="C1567">
        <f>IF($Q1567="","",INDEX(상세표[성명],$Q1567)&amp;"")</f>
        <v/>
      </c>
      <c r="D1567">
        <f>IF($Q1567="","",INDEX(상세표[직위],$Q1567)&amp;"")</f>
        <v/>
      </c>
      <c r="E1567">
        <f>IF($Q1567="","",IF(ISNUMBER(INDEX(상세표[근무일자],$Q1567)),TEXT(INDEX(상세표[근무일자],$Q1567),"yyyy-mm-dd"),INDEX(상세표[근무일자],$Q1567)&amp;""))</f>
        <v/>
      </c>
      <c r="F1567">
        <f>IF($Q1567="","",IF(ISNUMBER(INDEX(상세표[시작],$Q1567)),TEXT(INDEX(상세표[시작],$Q1567),"yyyy-mm-dd hh:mm"),INDEX(상세표[시작],$Q1567)&amp;""))</f>
        <v/>
      </c>
      <c r="G1567">
        <f>IF($Q1567="","",IF(ISNUMBER(INDEX(상세표[블록종료],$Q1567)),TEXT(INDEX(상세표[블록종료],$Q1567),"yyyy-mm-dd hh:mm"),INDEX(상세표[블록종료],$Q1567)&amp;""))</f>
        <v/>
      </c>
      <c r="H1567">
        <f>IF($Q1567="","",CHOOSE(WEEKDAY(INDEX(상세표[시작],$Q1567)),"일","월","화","수","목","금","토"))</f>
        <v/>
      </c>
      <c r="I1567" s="20">
        <f>IF($Q1567="","",INDEX(상세표[연속 시간],$Q1567))</f>
        <v/>
      </c>
      <c r="J1567">
        <f>IF($Q1567="","",INDEX(상세표[기록 수],$Q1567))</f>
        <v/>
      </c>
      <c r="K1567" s="20">
        <f>IF($Q1567="","",INDEX(상세표[블록 06~07시],$Q1567))</f>
        <v/>
      </c>
      <c r="L1567" s="20">
        <f>IF($Q1567="","",INDEX(상세표[블록 07~18시],$Q1567))</f>
        <v/>
      </c>
      <c r="M1567" s="20">
        <f>IF($Q1567="","",INDEX(상세표[블록 18~22시],$Q1567))</f>
        <v/>
      </c>
      <c r="N1567" s="20">
        <f>IF($Q1567="","",INDEX(상세표[블록 22~06시],$Q1567))</f>
        <v/>
      </c>
      <c r="O1567">
        <f>IF($Q1567="","",INDEX(상세표[주말·휴일 포함],$Q1567)&amp;"")</f>
        <v/>
      </c>
      <c r="P1567">
        <f>IF($Q1567="","",INDEX(상세표[월 넘김 포함],$Q1567)&amp;"")</f>
        <v/>
      </c>
      <c r="Q1567" s="4">
        <f>IFERROR(MATCH(1562,상세표[연속순번],0),"")</f>
        <v/>
      </c>
    </row>
    <row r="1568">
      <c r="A1568">
        <f>IF($Q1568="","",INDEX(상세표[부서],$Q1568)&amp;"")</f>
        <v/>
      </c>
      <c r="B1568">
        <f>IF($Q1568="","",INDEX(상세표[사번],$Q1568)&amp;"")</f>
        <v/>
      </c>
      <c r="C1568">
        <f>IF($Q1568="","",INDEX(상세표[성명],$Q1568)&amp;"")</f>
        <v/>
      </c>
      <c r="D1568">
        <f>IF($Q1568="","",INDEX(상세표[직위],$Q1568)&amp;"")</f>
        <v/>
      </c>
      <c r="E1568">
        <f>IF($Q1568="","",IF(ISNUMBER(INDEX(상세표[근무일자],$Q1568)),TEXT(INDEX(상세표[근무일자],$Q1568),"yyyy-mm-dd"),INDEX(상세표[근무일자],$Q1568)&amp;""))</f>
        <v/>
      </c>
      <c r="F1568">
        <f>IF($Q1568="","",IF(ISNUMBER(INDEX(상세표[시작],$Q1568)),TEXT(INDEX(상세표[시작],$Q1568),"yyyy-mm-dd hh:mm"),INDEX(상세표[시작],$Q1568)&amp;""))</f>
        <v/>
      </c>
      <c r="G1568">
        <f>IF($Q1568="","",IF(ISNUMBER(INDEX(상세표[블록종료],$Q1568)),TEXT(INDEX(상세표[블록종료],$Q1568),"yyyy-mm-dd hh:mm"),INDEX(상세표[블록종료],$Q1568)&amp;""))</f>
        <v/>
      </c>
      <c r="H1568">
        <f>IF($Q1568="","",CHOOSE(WEEKDAY(INDEX(상세표[시작],$Q1568)),"일","월","화","수","목","금","토"))</f>
        <v/>
      </c>
      <c r="I1568" s="20">
        <f>IF($Q1568="","",INDEX(상세표[연속 시간],$Q1568))</f>
        <v/>
      </c>
      <c r="J1568">
        <f>IF($Q1568="","",INDEX(상세표[기록 수],$Q1568))</f>
        <v/>
      </c>
      <c r="K1568" s="20">
        <f>IF($Q1568="","",INDEX(상세표[블록 06~07시],$Q1568))</f>
        <v/>
      </c>
      <c r="L1568" s="20">
        <f>IF($Q1568="","",INDEX(상세표[블록 07~18시],$Q1568))</f>
        <v/>
      </c>
      <c r="M1568" s="20">
        <f>IF($Q1568="","",INDEX(상세표[블록 18~22시],$Q1568))</f>
        <v/>
      </c>
      <c r="N1568" s="20">
        <f>IF($Q1568="","",INDEX(상세표[블록 22~06시],$Q1568))</f>
        <v/>
      </c>
      <c r="O1568">
        <f>IF($Q1568="","",INDEX(상세표[주말·휴일 포함],$Q1568)&amp;"")</f>
        <v/>
      </c>
      <c r="P1568">
        <f>IF($Q1568="","",INDEX(상세표[월 넘김 포함],$Q1568)&amp;"")</f>
        <v/>
      </c>
      <c r="Q1568" s="4">
        <f>IFERROR(MATCH(1563,상세표[연속순번],0),"")</f>
        <v/>
      </c>
    </row>
    <row r="1569">
      <c r="A1569">
        <f>IF($Q1569="","",INDEX(상세표[부서],$Q1569)&amp;"")</f>
        <v/>
      </c>
      <c r="B1569">
        <f>IF($Q1569="","",INDEX(상세표[사번],$Q1569)&amp;"")</f>
        <v/>
      </c>
      <c r="C1569">
        <f>IF($Q1569="","",INDEX(상세표[성명],$Q1569)&amp;"")</f>
        <v/>
      </c>
      <c r="D1569">
        <f>IF($Q1569="","",INDEX(상세표[직위],$Q1569)&amp;"")</f>
        <v/>
      </c>
      <c r="E1569">
        <f>IF($Q1569="","",IF(ISNUMBER(INDEX(상세표[근무일자],$Q1569)),TEXT(INDEX(상세표[근무일자],$Q1569),"yyyy-mm-dd"),INDEX(상세표[근무일자],$Q1569)&amp;""))</f>
        <v/>
      </c>
      <c r="F1569">
        <f>IF($Q1569="","",IF(ISNUMBER(INDEX(상세표[시작],$Q1569)),TEXT(INDEX(상세표[시작],$Q1569),"yyyy-mm-dd hh:mm"),INDEX(상세표[시작],$Q1569)&amp;""))</f>
        <v/>
      </c>
      <c r="G1569">
        <f>IF($Q1569="","",IF(ISNUMBER(INDEX(상세표[블록종료],$Q1569)),TEXT(INDEX(상세표[블록종료],$Q1569),"yyyy-mm-dd hh:mm"),INDEX(상세표[블록종료],$Q1569)&amp;""))</f>
        <v/>
      </c>
      <c r="H1569">
        <f>IF($Q1569="","",CHOOSE(WEEKDAY(INDEX(상세표[시작],$Q1569)),"일","월","화","수","목","금","토"))</f>
        <v/>
      </c>
      <c r="I1569" s="20">
        <f>IF($Q1569="","",INDEX(상세표[연속 시간],$Q1569))</f>
        <v/>
      </c>
      <c r="J1569">
        <f>IF($Q1569="","",INDEX(상세표[기록 수],$Q1569))</f>
        <v/>
      </c>
      <c r="K1569" s="20">
        <f>IF($Q1569="","",INDEX(상세표[블록 06~07시],$Q1569))</f>
        <v/>
      </c>
      <c r="L1569" s="20">
        <f>IF($Q1569="","",INDEX(상세표[블록 07~18시],$Q1569))</f>
        <v/>
      </c>
      <c r="M1569" s="20">
        <f>IF($Q1569="","",INDEX(상세표[블록 18~22시],$Q1569))</f>
        <v/>
      </c>
      <c r="N1569" s="20">
        <f>IF($Q1569="","",INDEX(상세표[블록 22~06시],$Q1569))</f>
        <v/>
      </c>
      <c r="O1569">
        <f>IF($Q1569="","",INDEX(상세표[주말·휴일 포함],$Q1569)&amp;"")</f>
        <v/>
      </c>
      <c r="P1569">
        <f>IF($Q1569="","",INDEX(상세표[월 넘김 포함],$Q1569)&amp;"")</f>
        <v/>
      </c>
      <c r="Q1569" s="4">
        <f>IFERROR(MATCH(1564,상세표[연속순번],0),"")</f>
        <v/>
      </c>
    </row>
    <row r="1570">
      <c r="A1570">
        <f>IF($Q1570="","",INDEX(상세표[부서],$Q1570)&amp;"")</f>
        <v/>
      </c>
      <c r="B1570">
        <f>IF($Q1570="","",INDEX(상세표[사번],$Q1570)&amp;"")</f>
        <v/>
      </c>
      <c r="C1570">
        <f>IF($Q1570="","",INDEX(상세표[성명],$Q1570)&amp;"")</f>
        <v/>
      </c>
      <c r="D1570">
        <f>IF($Q1570="","",INDEX(상세표[직위],$Q1570)&amp;"")</f>
        <v/>
      </c>
      <c r="E1570">
        <f>IF($Q1570="","",IF(ISNUMBER(INDEX(상세표[근무일자],$Q1570)),TEXT(INDEX(상세표[근무일자],$Q1570),"yyyy-mm-dd"),INDEX(상세표[근무일자],$Q1570)&amp;""))</f>
        <v/>
      </c>
      <c r="F1570">
        <f>IF($Q1570="","",IF(ISNUMBER(INDEX(상세표[시작],$Q1570)),TEXT(INDEX(상세표[시작],$Q1570),"yyyy-mm-dd hh:mm"),INDEX(상세표[시작],$Q1570)&amp;""))</f>
        <v/>
      </c>
      <c r="G1570">
        <f>IF($Q1570="","",IF(ISNUMBER(INDEX(상세표[블록종료],$Q1570)),TEXT(INDEX(상세표[블록종료],$Q1570),"yyyy-mm-dd hh:mm"),INDEX(상세표[블록종료],$Q1570)&amp;""))</f>
        <v/>
      </c>
      <c r="H1570">
        <f>IF($Q1570="","",CHOOSE(WEEKDAY(INDEX(상세표[시작],$Q1570)),"일","월","화","수","목","금","토"))</f>
        <v/>
      </c>
      <c r="I1570" s="20">
        <f>IF($Q1570="","",INDEX(상세표[연속 시간],$Q1570))</f>
        <v/>
      </c>
      <c r="J1570">
        <f>IF($Q1570="","",INDEX(상세표[기록 수],$Q1570))</f>
        <v/>
      </c>
      <c r="K1570" s="20">
        <f>IF($Q1570="","",INDEX(상세표[블록 06~07시],$Q1570))</f>
        <v/>
      </c>
      <c r="L1570" s="20">
        <f>IF($Q1570="","",INDEX(상세표[블록 07~18시],$Q1570))</f>
        <v/>
      </c>
      <c r="M1570" s="20">
        <f>IF($Q1570="","",INDEX(상세표[블록 18~22시],$Q1570))</f>
        <v/>
      </c>
      <c r="N1570" s="20">
        <f>IF($Q1570="","",INDEX(상세표[블록 22~06시],$Q1570))</f>
        <v/>
      </c>
      <c r="O1570">
        <f>IF($Q1570="","",INDEX(상세표[주말·휴일 포함],$Q1570)&amp;"")</f>
        <v/>
      </c>
      <c r="P1570">
        <f>IF($Q1570="","",INDEX(상세표[월 넘김 포함],$Q1570)&amp;"")</f>
        <v/>
      </c>
      <c r="Q1570" s="4">
        <f>IFERROR(MATCH(1565,상세표[연속순번],0),"")</f>
        <v/>
      </c>
    </row>
    <row r="1571">
      <c r="A1571">
        <f>IF($Q1571="","",INDEX(상세표[부서],$Q1571)&amp;"")</f>
        <v/>
      </c>
      <c r="B1571">
        <f>IF($Q1571="","",INDEX(상세표[사번],$Q1571)&amp;"")</f>
        <v/>
      </c>
      <c r="C1571">
        <f>IF($Q1571="","",INDEX(상세표[성명],$Q1571)&amp;"")</f>
        <v/>
      </c>
      <c r="D1571">
        <f>IF($Q1571="","",INDEX(상세표[직위],$Q1571)&amp;"")</f>
        <v/>
      </c>
      <c r="E1571">
        <f>IF($Q1571="","",IF(ISNUMBER(INDEX(상세표[근무일자],$Q1571)),TEXT(INDEX(상세표[근무일자],$Q1571),"yyyy-mm-dd"),INDEX(상세표[근무일자],$Q1571)&amp;""))</f>
        <v/>
      </c>
      <c r="F1571">
        <f>IF($Q1571="","",IF(ISNUMBER(INDEX(상세표[시작],$Q1571)),TEXT(INDEX(상세표[시작],$Q1571),"yyyy-mm-dd hh:mm"),INDEX(상세표[시작],$Q1571)&amp;""))</f>
        <v/>
      </c>
      <c r="G1571">
        <f>IF($Q1571="","",IF(ISNUMBER(INDEX(상세표[블록종료],$Q1571)),TEXT(INDEX(상세표[블록종료],$Q1571),"yyyy-mm-dd hh:mm"),INDEX(상세표[블록종료],$Q1571)&amp;""))</f>
        <v/>
      </c>
      <c r="H1571">
        <f>IF($Q1571="","",CHOOSE(WEEKDAY(INDEX(상세표[시작],$Q1571)),"일","월","화","수","목","금","토"))</f>
        <v/>
      </c>
      <c r="I1571" s="20">
        <f>IF($Q1571="","",INDEX(상세표[연속 시간],$Q1571))</f>
        <v/>
      </c>
      <c r="J1571">
        <f>IF($Q1571="","",INDEX(상세표[기록 수],$Q1571))</f>
        <v/>
      </c>
      <c r="K1571" s="20">
        <f>IF($Q1571="","",INDEX(상세표[블록 06~07시],$Q1571))</f>
        <v/>
      </c>
      <c r="L1571" s="20">
        <f>IF($Q1571="","",INDEX(상세표[블록 07~18시],$Q1571))</f>
        <v/>
      </c>
      <c r="M1571" s="20">
        <f>IF($Q1571="","",INDEX(상세표[블록 18~22시],$Q1571))</f>
        <v/>
      </c>
      <c r="N1571" s="20">
        <f>IF($Q1571="","",INDEX(상세표[블록 22~06시],$Q1571))</f>
        <v/>
      </c>
      <c r="O1571">
        <f>IF($Q1571="","",INDEX(상세표[주말·휴일 포함],$Q1571)&amp;"")</f>
        <v/>
      </c>
      <c r="P1571">
        <f>IF($Q1571="","",INDEX(상세표[월 넘김 포함],$Q1571)&amp;"")</f>
        <v/>
      </c>
      <c r="Q1571" s="4">
        <f>IFERROR(MATCH(1566,상세표[연속순번],0),"")</f>
        <v/>
      </c>
    </row>
    <row r="1572">
      <c r="A1572">
        <f>IF($Q1572="","",INDEX(상세표[부서],$Q1572)&amp;"")</f>
        <v/>
      </c>
      <c r="B1572">
        <f>IF($Q1572="","",INDEX(상세표[사번],$Q1572)&amp;"")</f>
        <v/>
      </c>
      <c r="C1572">
        <f>IF($Q1572="","",INDEX(상세표[성명],$Q1572)&amp;"")</f>
        <v/>
      </c>
      <c r="D1572">
        <f>IF($Q1572="","",INDEX(상세표[직위],$Q1572)&amp;"")</f>
        <v/>
      </c>
      <c r="E1572">
        <f>IF($Q1572="","",IF(ISNUMBER(INDEX(상세표[근무일자],$Q1572)),TEXT(INDEX(상세표[근무일자],$Q1572),"yyyy-mm-dd"),INDEX(상세표[근무일자],$Q1572)&amp;""))</f>
        <v/>
      </c>
      <c r="F1572">
        <f>IF($Q1572="","",IF(ISNUMBER(INDEX(상세표[시작],$Q1572)),TEXT(INDEX(상세표[시작],$Q1572),"yyyy-mm-dd hh:mm"),INDEX(상세표[시작],$Q1572)&amp;""))</f>
        <v/>
      </c>
      <c r="G1572">
        <f>IF($Q1572="","",IF(ISNUMBER(INDEX(상세표[블록종료],$Q1572)),TEXT(INDEX(상세표[블록종료],$Q1572),"yyyy-mm-dd hh:mm"),INDEX(상세표[블록종료],$Q1572)&amp;""))</f>
        <v/>
      </c>
      <c r="H1572">
        <f>IF($Q1572="","",CHOOSE(WEEKDAY(INDEX(상세표[시작],$Q1572)),"일","월","화","수","목","금","토"))</f>
        <v/>
      </c>
      <c r="I1572" s="20">
        <f>IF($Q1572="","",INDEX(상세표[연속 시간],$Q1572))</f>
        <v/>
      </c>
      <c r="J1572">
        <f>IF($Q1572="","",INDEX(상세표[기록 수],$Q1572))</f>
        <v/>
      </c>
      <c r="K1572" s="20">
        <f>IF($Q1572="","",INDEX(상세표[블록 06~07시],$Q1572))</f>
        <v/>
      </c>
      <c r="L1572" s="20">
        <f>IF($Q1572="","",INDEX(상세표[블록 07~18시],$Q1572))</f>
        <v/>
      </c>
      <c r="M1572" s="20">
        <f>IF($Q1572="","",INDEX(상세표[블록 18~22시],$Q1572))</f>
        <v/>
      </c>
      <c r="N1572" s="20">
        <f>IF($Q1572="","",INDEX(상세표[블록 22~06시],$Q1572))</f>
        <v/>
      </c>
      <c r="O1572">
        <f>IF($Q1572="","",INDEX(상세표[주말·휴일 포함],$Q1572)&amp;"")</f>
        <v/>
      </c>
      <c r="P1572">
        <f>IF($Q1572="","",INDEX(상세표[월 넘김 포함],$Q1572)&amp;"")</f>
        <v/>
      </c>
      <c r="Q1572" s="4">
        <f>IFERROR(MATCH(1567,상세표[연속순번],0),"")</f>
        <v/>
      </c>
    </row>
    <row r="1573">
      <c r="A1573">
        <f>IF($Q1573="","",INDEX(상세표[부서],$Q1573)&amp;"")</f>
        <v/>
      </c>
      <c r="B1573">
        <f>IF($Q1573="","",INDEX(상세표[사번],$Q1573)&amp;"")</f>
        <v/>
      </c>
      <c r="C1573">
        <f>IF($Q1573="","",INDEX(상세표[성명],$Q1573)&amp;"")</f>
        <v/>
      </c>
      <c r="D1573">
        <f>IF($Q1573="","",INDEX(상세표[직위],$Q1573)&amp;"")</f>
        <v/>
      </c>
      <c r="E1573">
        <f>IF($Q1573="","",IF(ISNUMBER(INDEX(상세표[근무일자],$Q1573)),TEXT(INDEX(상세표[근무일자],$Q1573),"yyyy-mm-dd"),INDEX(상세표[근무일자],$Q1573)&amp;""))</f>
        <v/>
      </c>
      <c r="F1573">
        <f>IF($Q1573="","",IF(ISNUMBER(INDEX(상세표[시작],$Q1573)),TEXT(INDEX(상세표[시작],$Q1573),"yyyy-mm-dd hh:mm"),INDEX(상세표[시작],$Q1573)&amp;""))</f>
        <v/>
      </c>
      <c r="G1573">
        <f>IF($Q1573="","",IF(ISNUMBER(INDEX(상세표[블록종료],$Q1573)),TEXT(INDEX(상세표[블록종료],$Q1573),"yyyy-mm-dd hh:mm"),INDEX(상세표[블록종료],$Q1573)&amp;""))</f>
        <v/>
      </c>
      <c r="H1573">
        <f>IF($Q1573="","",CHOOSE(WEEKDAY(INDEX(상세표[시작],$Q1573)),"일","월","화","수","목","금","토"))</f>
        <v/>
      </c>
      <c r="I1573" s="20">
        <f>IF($Q1573="","",INDEX(상세표[연속 시간],$Q1573))</f>
        <v/>
      </c>
      <c r="J1573">
        <f>IF($Q1573="","",INDEX(상세표[기록 수],$Q1573))</f>
        <v/>
      </c>
      <c r="K1573" s="20">
        <f>IF($Q1573="","",INDEX(상세표[블록 06~07시],$Q1573))</f>
        <v/>
      </c>
      <c r="L1573" s="20">
        <f>IF($Q1573="","",INDEX(상세표[블록 07~18시],$Q1573))</f>
        <v/>
      </c>
      <c r="M1573" s="20">
        <f>IF($Q1573="","",INDEX(상세표[블록 18~22시],$Q1573))</f>
        <v/>
      </c>
      <c r="N1573" s="20">
        <f>IF($Q1573="","",INDEX(상세표[블록 22~06시],$Q1573))</f>
        <v/>
      </c>
      <c r="O1573">
        <f>IF($Q1573="","",INDEX(상세표[주말·휴일 포함],$Q1573)&amp;"")</f>
        <v/>
      </c>
      <c r="P1573">
        <f>IF($Q1573="","",INDEX(상세표[월 넘김 포함],$Q1573)&amp;"")</f>
        <v/>
      </c>
      <c r="Q1573" s="4">
        <f>IFERROR(MATCH(1568,상세표[연속순번],0),"")</f>
        <v/>
      </c>
    </row>
    <row r="1574">
      <c r="A1574">
        <f>IF($Q1574="","",INDEX(상세표[부서],$Q1574)&amp;"")</f>
        <v/>
      </c>
      <c r="B1574">
        <f>IF($Q1574="","",INDEX(상세표[사번],$Q1574)&amp;"")</f>
        <v/>
      </c>
      <c r="C1574">
        <f>IF($Q1574="","",INDEX(상세표[성명],$Q1574)&amp;"")</f>
        <v/>
      </c>
      <c r="D1574">
        <f>IF($Q1574="","",INDEX(상세표[직위],$Q1574)&amp;"")</f>
        <v/>
      </c>
      <c r="E1574">
        <f>IF($Q1574="","",IF(ISNUMBER(INDEX(상세표[근무일자],$Q1574)),TEXT(INDEX(상세표[근무일자],$Q1574),"yyyy-mm-dd"),INDEX(상세표[근무일자],$Q1574)&amp;""))</f>
        <v/>
      </c>
      <c r="F1574">
        <f>IF($Q1574="","",IF(ISNUMBER(INDEX(상세표[시작],$Q1574)),TEXT(INDEX(상세표[시작],$Q1574),"yyyy-mm-dd hh:mm"),INDEX(상세표[시작],$Q1574)&amp;""))</f>
        <v/>
      </c>
      <c r="G1574">
        <f>IF($Q1574="","",IF(ISNUMBER(INDEX(상세표[블록종료],$Q1574)),TEXT(INDEX(상세표[블록종료],$Q1574),"yyyy-mm-dd hh:mm"),INDEX(상세표[블록종료],$Q1574)&amp;""))</f>
        <v/>
      </c>
      <c r="H1574">
        <f>IF($Q1574="","",CHOOSE(WEEKDAY(INDEX(상세표[시작],$Q1574)),"일","월","화","수","목","금","토"))</f>
        <v/>
      </c>
      <c r="I1574" s="20">
        <f>IF($Q1574="","",INDEX(상세표[연속 시간],$Q1574))</f>
        <v/>
      </c>
      <c r="J1574">
        <f>IF($Q1574="","",INDEX(상세표[기록 수],$Q1574))</f>
        <v/>
      </c>
      <c r="K1574" s="20">
        <f>IF($Q1574="","",INDEX(상세표[블록 06~07시],$Q1574))</f>
        <v/>
      </c>
      <c r="L1574" s="20">
        <f>IF($Q1574="","",INDEX(상세표[블록 07~18시],$Q1574))</f>
        <v/>
      </c>
      <c r="M1574" s="20">
        <f>IF($Q1574="","",INDEX(상세표[블록 18~22시],$Q1574))</f>
        <v/>
      </c>
      <c r="N1574" s="20">
        <f>IF($Q1574="","",INDEX(상세표[블록 22~06시],$Q1574))</f>
        <v/>
      </c>
      <c r="O1574">
        <f>IF($Q1574="","",INDEX(상세표[주말·휴일 포함],$Q1574)&amp;"")</f>
        <v/>
      </c>
      <c r="P1574">
        <f>IF($Q1574="","",INDEX(상세표[월 넘김 포함],$Q1574)&amp;"")</f>
        <v/>
      </c>
      <c r="Q1574" s="4">
        <f>IFERROR(MATCH(1569,상세표[연속순번],0),"")</f>
        <v/>
      </c>
    </row>
    <row r="1575">
      <c r="A1575">
        <f>IF($Q1575="","",INDEX(상세표[부서],$Q1575)&amp;"")</f>
        <v/>
      </c>
      <c r="B1575">
        <f>IF($Q1575="","",INDEX(상세표[사번],$Q1575)&amp;"")</f>
        <v/>
      </c>
      <c r="C1575">
        <f>IF($Q1575="","",INDEX(상세표[성명],$Q1575)&amp;"")</f>
        <v/>
      </c>
      <c r="D1575">
        <f>IF($Q1575="","",INDEX(상세표[직위],$Q1575)&amp;"")</f>
        <v/>
      </c>
      <c r="E1575">
        <f>IF($Q1575="","",IF(ISNUMBER(INDEX(상세표[근무일자],$Q1575)),TEXT(INDEX(상세표[근무일자],$Q1575),"yyyy-mm-dd"),INDEX(상세표[근무일자],$Q1575)&amp;""))</f>
        <v/>
      </c>
      <c r="F1575">
        <f>IF($Q1575="","",IF(ISNUMBER(INDEX(상세표[시작],$Q1575)),TEXT(INDEX(상세표[시작],$Q1575),"yyyy-mm-dd hh:mm"),INDEX(상세표[시작],$Q1575)&amp;""))</f>
        <v/>
      </c>
      <c r="G1575">
        <f>IF($Q1575="","",IF(ISNUMBER(INDEX(상세표[블록종료],$Q1575)),TEXT(INDEX(상세표[블록종료],$Q1575),"yyyy-mm-dd hh:mm"),INDEX(상세표[블록종료],$Q1575)&amp;""))</f>
        <v/>
      </c>
      <c r="H1575">
        <f>IF($Q1575="","",CHOOSE(WEEKDAY(INDEX(상세표[시작],$Q1575)),"일","월","화","수","목","금","토"))</f>
        <v/>
      </c>
      <c r="I1575" s="20">
        <f>IF($Q1575="","",INDEX(상세표[연속 시간],$Q1575))</f>
        <v/>
      </c>
      <c r="J1575">
        <f>IF($Q1575="","",INDEX(상세표[기록 수],$Q1575))</f>
        <v/>
      </c>
      <c r="K1575" s="20">
        <f>IF($Q1575="","",INDEX(상세표[블록 06~07시],$Q1575))</f>
        <v/>
      </c>
      <c r="L1575" s="20">
        <f>IF($Q1575="","",INDEX(상세표[블록 07~18시],$Q1575))</f>
        <v/>
      </c>
      <c r="M1575" s="20">
        <f>IF($Q1575="","",INDEX(상세표[블록 18~22시],$Q1575))</f>
        <v/>
      </c>
      <c r="N1575" s="20">
        <f>IF($Q1575="","",INDEX(상세표[블록 22~06시],$Q1575))</f>
        <v/>
      </c>
      <c r="O1575">
        <f>IF($Q1575="","",INDEX(상세표[주말·휴일 포함],$Q1575)&amp;"")</f>
        <v/>
      </c>
      <c r="P1575">
        <f>IF($Q1575="","",INDEX(상세표[월 넘김 포함],$Q1575)&amp;"")</f>
        <v/>
      </c>
      <c r="Q1575" s="4">
        <f>IFERROR(MATCH(1570,상세표[연속순번],0),"")</f>
        <v/>
      </c>
    </row>
    <row r="1576">
      <c r="A1576">
        <f>IF($Q1576="","",INDEX(상세표[부서],$Q1576)&amp;"")</f>
        <v/>
      </c>
      <c r="B1576">
        <f>IF($Q1576="","",INDEX(상세표[사번],$Q1576)&amp;"")</f>
        <v/>
      </c>
      <c r="C1576">
        <f>IF($Q1576="","",INDEX(상세표[성명],$Q1576)&amp;"")</f>
        <v/>
      </c>
      <c r="D1576">
        <f>IF($Q1576="","",INDEX(상세표[직위],$Q1576)&amp;"")</f>
        <v/>
      </c>
      <c r="E1576">
        <f>IF($Q1576="","",IF(ISNUMBER(INDEX(상세표[근무일자],$Q1576)),TEXT(INDEX(상세표[근무일자],$Q1576),"yyyy-mm-dd"),INDEX(상세표[근무일자],$Q1576)&amp;""))</f>
        <v/>
      </c>
      <c r="F1576">
        <f>IF($Q1576="","",IF(ISNUMBER(INDEX(상세표[시작],$Q1576)),TEXT(INDEX(상세표[시작],$Q1576),"yyyy-mm-dd hh:mm"),INDEX(상세표[시작],$Q1576)&amp;""))</f>
        <v/>
      </c>
      <c r="G1576">
        <f>IF($Q1576="","",IF(ISNUMBER(INDEX(상세표[블록종료],$Q1576)),TEXT(INDEX(상세표[블록종료],$Q1576),"yyyy-mm-dd hh:mm"),INDEX(상세표[블록종료],$Q1576)&amp;""))</f>
        <v/>
      </c>
      <c r="H1576">
        <f>IF($Q1576="","",CHOOSE(WEEKDAY(INDEX(상세표[시작],$Q1576)),"일","월","화","수","목","금","토"))</f>
        <v/>
      </c>
      <c r="I1576" s="20">
        <f>IF($Q1576="","",INDEX(상세표[연속 시간],$Q1576))</f>
        <v/>
      </c>
      <c r="J1576">
        <f>IF($Q1576="","",INDEX(상세표[기록 수],$Q1576))</f>
        <v/>
      </c>
      <c r="K1576" s="20">
        <f>IF($Q1576="","",INDEX(상세표[블록 06~07시],$Q1576))</f>
        <v/>
      </c>
      <c r="L1576" s="20">
        <f>IF($Q1576="","",INDEX(상세표[블록 07~18시],$Q1576))</f>
        <v/>
      </c>
      <c r="M1576" s="20">
        <f>IF($Q1576="","",INDEX(상세표[블록 18~22시],$Q1576))</f>
        <v/>
      </c>
      <c r="N1576" s="20">
        <f>IF($Q1576="","",INDEX(상세표[블록 22~06시],$Q1576))</f>
        <v/>
      </c>
      <c r="O1576">
        <f>IF($Q1576="","",INDEX(상세표[주말·휴일 포함],$Q1576)&amp;"")</f>
        <v/>
      </c>
      <c r="P1576">
        <f>IF($Q1576="","",INDEX(상세표[월 넘김 포함],$Q1576)&amp;"")</f>
        <v/>
      </c>
      <c r="Q1576" s="4">
        <f>IFERROR(MATCH(1571,상세표[연속순번],0),"")</f>
        <v/>
      </c>
    </row>
    <row r="1577">
      <c r="A1577">
        <f>IF($Q1577="","",INDEX(상세표[부서],$Q1577)&amp;"")</f>
        <v/>
      </c>
      <c r="B1577">
        <f>IF($Q1577="","",INDEX(상세표[사번],$Q1577)&amp;"")</f>
        <v/>
      </c>
      <c r="C1577">
        <f>IF($Q1577="","",INDEX(상세표[성명],$Q1577)&amp;"")</f>
        <v/>
      </c>
      <c r="D1577">
        <f>IF($Q1577="","",INDEX(상세표[직위],$Q1577)&amp;"")</f>
        <v/>
      </c>
      <c r="E1577">
        <f>IF($Q1577="","",IF(ISNUMBER(INDEX(상세표[근무일자],$Q1577)),TEXT(INDEX(상세표[근무일자],$Q1577),"yyyy-mm-dd"),INDEX(상세표[근무일자],$Q1577)&amp;""))</f>
        <v/>
      </c>
      <c r="F1577">
        <f>IF($Q1577="","",IF(ISNUMBER(INDEX(상세표[시작],$Q1577)),TEXT(INDEX(상세표[시작],$Q1577),"yyyy-mm-dd hh:mm"),INDEX(상세표[시작],$Q1577)&amp;""))</f>
        <v/>
      </c>
      <c r="G1577">
        <f>IF($Q1577="","",IF(ISNUMBER(INDEX(상세표[블록종료],$Q1577)),TEXT(INDEX(상세표[블록종료],$Q1577),"yyyy-mm-dd hh:mm"),INDEX(상세표[블록종료],$Q1577)&amp;""))</f>
        <v/>
      </c>
      <c r="H1577">
        <f>IF($Q1577="","",CHOOSE(WEEKDAY(INDEX(상세표[시작],$Q1577)),"일","월","화","수","목","금","토"))</f>
        <v/>
      </c>
      <c r="I1577" s="20">
        <f>IF($Q1577="","",INDEX(상세표[연속 시간],$Q1577))</f>
        <v/>
      </c>
      <c r="J1577">
        <f>IF($Q1577="","",INDEX(상세표[기록 수],$Q1577))</f>
        <v/>
      </c>
      <c r="K1577" s="20">
        <f>IF($Q1577="","",INDEX(상세표[블록 06~07시],$Q1577))</f>
        <v/>
      </c>
      <c r="L1577" s="20">
        <f>IF($Q1577="","",INDEX(상세표[블록 07~18시],$Q1577))</f>
        <v/>
      </c>
      <c r="M1577" s="20">
        <f>IF($Q1577="","",INDEX(상세표[블록 18~22시],$Q1577))</f>
        <v/>
      </c>
      <c r="N1577" s="20">
        <f>IF($Q1577="","",INDEX(상세표[블록 22~06시],$Q1577))</f>
        <v/>
      </c>
      <c r="O1577">
        <f>IF($Q1577="","",INDEX(상세표[주말·휴일 포함],$Q1577)&amp;"")</f>
        <v/>
      </c>
      <c r="P1577">
        <f>IF($Q1577="","",INDEX(상세표[월 넘김 포함],$Q1577)&amp;"")</f>
        <v/>
      </c>
      <c r="Q1577" s="4">
        <f>IFERROR(MATCH(1572,상세표[연속순번],0),"")</f>
        <v/>
      </c>
    </row>
    <row r="1578">
      <c r="A1578">
        <f>IF($Q1578="","",INDEX(상세표[부서],$Q1578)&amp;"")</f>
        <v/>
      </c>
      <c r="B1578">
        <f>IF($Q1578="","",INDEX(상세표[사번],$Q1578)&amp;"")</f>
        <v/>
      </c>
      <c r="C1578">
        <f>IF($Q1578="","",INDEX(상세표[성명],$Q1578)&amp;"")</f>
        <v/>
      </c>
      <c r="D1578">
        <f>IF($Q1578="","",INDEX(상세표[직위],$Q1578)&amp;"")</f>
        <v/>
      </c>
      <c r="E1578">
        <f>IF($Q1578="","",IF(ISNUMBER(INDEX(상세표[근무일자],$Q1578)),TEXT(INDEX(상세표[근무일자],$Q1578),"yyyy-mm-dd"),INDEX(상세표[근무일자],$Q1578)&amp;""))</f>
        <v/>
      </c>
      <c r="F1578">
        <f>IF($Q1578="","",IF(ISNUMBER(INDEX(상세표[시작],$Q1578)),TEXT(INDEX(상세표[시작],$Q1578),"yyyy-mm-dd hh:mm"),INDEX(상세표[시작],$Q1578)&amp;""))</f>
        <v/>
      </c>
      <c r="G1578">
        <f>IF($Q1578="","",IF(ISNUMBER(INDEX(상세표[블록종료],$Q1578)),TEXT(INDEX(상세표[블록종료],$Q1578),"yyyy-mm-dd hh:mm"),INDEX(상세표[블록종료],$Q1578)&amp;""))</f>
        <v/>
      </c>
      <c r="H1578">
        <f>IF($Q1578="","",CHOOSE(WEEKDAY(INDEX(상세표[시작],$Q1578)),"일","월","화","수","목","금","토"))</f>
        <v/>
      </c>
      <c r="I1578" s="20">
        <f>IF($Q1578="","",INDEX(상세표[연속 시간],$Q1578))</f>
        <v/>
      </c>
      <c r="J1578">
        <f>IF($Q1578="","",INDEX(상세표[기록 수],$Q1578))</f>
        <v/>
      </c>
      <c r="K1578" s="20">
        <f>IF($Q1578="","",INDEX(상세표[블록 06~07시],$Q1578))</f>
        <v/>
      </c>
      <c r="L1578" s="20">
        <f>IF($Q1578="","",INDEX(상세표[블록 07~18시],$Q1578))</f>
        <v/>
      </c>
      <c r="M1578" s="20">
        <f>IF($Q1578="","",INDEX(상세표[블록 18~22시],$Q1578))</f>
        <v/>
      </c>
      <c r="N1578" s="20">
        <f>IF($Q1578="","",INDEX(상세표[블록 22~06시],$Q1578))</f>
        <v/>
      </c>
      <c r="O1578">
        <f>IF($Q1578="","",INDEX(상세표[주말·휴일 포함],$Q1578)&amp;"")</f>
        <v/>
      </c>
      <c r="P1578">
        <f>IF($Q1578="","",INDEX(상세표[월 넘김 포함],$Q1578)&amp;"")</f>
        <v/>
      </c>
      <c r="Q1578" s="4">
        <f>IFERROR(MATCH(1573,상세표[연속순번],0),"")</f>
        <v/>
      </c>
    </row>
    <row r="1579">
      <c r="A1579">
        <f>IF($Q1579="","",INDEX(상세표[부서],$Q1579)&amp;"")</f>
        <v/>
      </c>
      <c r="B1579">
        <f>IF($Q1579="","",INDEX(상세표[사번],$Q1579)&amp;"")</f>
        <v/>
      </c>
      <c r="C1579">
        <f>IF($Q1579="","",INDEX(상세표[성명],$Q1579)&amp;"")</f>
        <v/>
      </c>
      <c r="D1579">
        <f>IF($Q1579="","",INDEX(상세표[직위],$Q1579)&amp;"")</f>
        <v/>
      </c>
      <c r="E1579">
        <f>IF($Q1579="","",IF(ISNUMBER(INDEX(상세표[근무일자],$Q1579)),TEXT(INDEX(상세표[근무일자],$Q1579),"yyyy-mm-dd"),INDEX(상세표[근무일자],$Q1579)&amp;""))</f>
        <v/>
      </c>
      <c r="F1579">
        <f>IF($Q1579="","",IF(ISNUMBER(INDEX(상세표[시작],$Q1579)),TEXT(INDEX(상세표[시작],$Q1579),"yyyy-mm-dd hh:mm"),INDEX(상세표[시작],$Q1579)&amp;""))</f>
        <v/>
      </c>
      <c r="G1579">
        <f>IF($Q1579="","",IF(ISNUMBER(INDEX(상세표[블록종료],$Q1579)),TEXT(INDEX(상세표[블록종료],$Q1579),"yyyy-mm-dd hh:mm"),INDEX(상세표[블록종료],$Q1579)&amp;""))</f>
        <v/>
      </c>
      <c r="H1579">
        <f>IF($Q1579="","",CHOOSE(WEEKDAY(INDEX(상세표[시작],$Q1579)),"일","월","화","수","목","금","토"))</f>
        <v/>
      </c>
      <c r="I1579" s="20">
        <f>IF($Q1579="","",INDEX(상세표[연속 시간],$Q1579))</f>
        <v/>
      </c>
      <c r="J1579">
        <f>IF($Q1579="","",INDEX(상세표[기록 수],$Q1579))</f>
        <v/>
      </c>
      <c r="K1579" s="20">
        <f>IF($Q1579="","",INDEX(상세표[블록 06~07시],$Q1579))</f>
        <v/>
      </c>
      <c r="L1579" s="20">
        <f>IF($Q1579="","",INDEX(상세표[블록 07~18시],$Q1579))</f>
        <v/>
      </c>
      <c r="M1579" s="20">
        <f>IF($Q1579="","",INDEX(상세표[블록 18~22시],$Q1579))</f>
        <v/>
      </c>
      <c r="N1579" s="20">
        <f>IF($Q1579="","",INDEX(상세표[블록 22~06시],$Q1579))</f>
        <v/>
      </c>
      <c r="O1579">
        <f>IF($Q1579="","",INDEX(상세표[주말·휴일 포함],$Q1579)&amp;"")</f>
        <v/>
      </c>
      <c r="P1579">
        <f>IF($Q1579="","",INDEX(상세표[월 넘김 포함],$Q1579)&amp;"")</f>
        <v/>
      </c>
      <c r="Q1579" s="4">
        <f>IFERROR(MATCH(1574,상세표[연속순번],0),"")</f>
        <v/>
      </c>
    </row>
    <row r="1580">
      <c r="A1580">
        <f>IF($Q1580="","",INDEX(상세표[부서],$Q1580)&amp;"")</f>
        <v/>
      </c>
      <c r="B1580">
        <f>IF($Q1580="","",INDEX(상세표[사번],$Q1580)&amp;"")</f>
        <v/>
      </c>
      <c r="C1580">
        <f>IF($Q1580="","",INDEX(상세표[성명],$Q1580)&amp;"")</f>
        <v/>
      </c>
      <c r="D1580">
        <f>IF($Q1580="","",INDEX(상세표[직위],$Q1580)&amp;"")</f>
        <v/>
      </c>
      <c r="E1580">
        <f>IF($Q1580="","",IF(ISNUMBER(INDEX(상세표[근무일자],$Q1580)),TEXT(INDEX(상세표[근무일자],$Q1580),"yyyy-mm-dd"),INDEX(상세표[근무일자],$Q1580)&amp;""))</f>
        <v/>
      </c>
      <c r="F1580">
        <f>IF($Q1580="","",IF(ISNUMBER(INDEX(상세표[시작],$Q1580)),TEXT(INDEX(상세표[시작],$Q1580),"yyyy-mm-dd hh:mm"),INDEX(상세표[시작],$Q1580)&amp;""))</f>
        <v/>
      </c>
      <c r="G1580">
        <f>IF($Q1580="","",IF(ISNUMBER(INDEX(상세표[블록종료],$Q1580)),TEXT(INDEX(상세표[블록종료],$Q1580),"yyyy-mm-dd hh:mm"),INDEX(상세표[블록종료],$Q1580)&amp;""))</f>
        <v/>
      </c>
      <c r="H1580">
        <f>IF($Q1580="","",CHOOSE(WEEKDAY(INDEX(상세표[시작],$Q1580)),"일","월","화","수","목","금","토"))</f>
        <v/>
      </c>
      <c r="I1580" s="20">
        <f>IF($Q1580="","",INDEX(상세표[연속 시간],$Q1580))</f>
        <v/>
      </c>
      <c r="J1580">
        <f>IF($Q1580="","",INDEX(상세표[기록 수],$Q1580))</f>
        <v/>
      </c>
      <c r="K1580" s="20">
        <f>IF($Q1580="","",INDEX(상세표[블록 06~07시],$Q1580))</f>
        <v/>
      </c>
      <c r="L1580" s="20">
        <f>IF($Q1580="","",INDEX(상세표[블록 07~18시],$Q1580))</f>
        <v/>
      </c>
      <c r="M1580" s="20">
        <f>IF($Q1580="","",INDEX(상세표[블록 18~22시],$Q1580))</f>
        <v/>
      </c>
      <c r="N1580" s="20">
        <f>IF($Q1580="","",INDEX(상세표[블록 22~06시],$Q1580))</f>
        <v/>
      </c>
      <c r="O1580">
        <f>IF($Q1580="","",INDEX(상세표[주말·휴일 포함],$Q1580)&amp;"")</f>
        <v/>
      </c>
      <c r="P1580">
        <f>IF($Q1580="","",INDEX(상세표[월 넘김 포함],$Q1580)&amp;"")</f>
        <v/>
      </c>
      <c r="Q1580" s="4">
        <f>IFERROR(MATCH(1575,상세표[연속순번],0),"")</f>
        <v/>
      </c>
    </row>
    <row r="1581">
      <c r="A1581">
        <f>IF($Q1581="","",INDEX(상세표[부서],$Q1581)&amp;"")</f>
        <v/>
      </c>
      <c r="B1581">
        <f>IF($Q1581="","",INDEX(상세표[사번],$Q1581)&amp;"")</f>
        <v/>
      </c>
      <c r="C1581">
        <f>IF($Q1581="","",INDEX(상세표[성명],$Q1581)&amp;"")</f>
        <v/>
      </c>
      <c r="D1581">
        <f>IF($Q1581="","",INDEX(상세표[직위],$Q1581)&amp;"")</f>
        <v/>
      </c>
      <c r="E1581">
        <f>IF($Q1581="","",IF(ISNUMBER(INDEX(상세표[근무일자],$Q1581)),TEXT(INDEX(상세표[근무일자],$Q1581),"yyyy-mm-dd"),INDEX(상세표[근무일자],$Q1581)&amp;""))</f>
        <v/>
      </c>
      <c r="F1581">
        <f>IF($Q1581="","",IF(ISNUMBER(INDEX(상세표[시작],$Q1581)),TEXT(INDEX(상세표[시작],$Q1581),"yyyy-mm-dd hh:mm"),INDEX(상세표[시작],$Q1581)&amp;""))</f>
        <v/>
      </c>
      <c r="G1581">
        <f>IF($Q1581="","",IF(ISNUMBER(INDEX(상세표[블록종료],$Q1581)),TEXT(INDEX(상세표[블록종료],$Q1581),"yyyy-mm-dd hh:mm"),INDEX(상세표[블록종료],$Q1581)&amp;""))</f>
        <v/>
      </c>
      <c r="H1581">
        <f>IF($Q1581="","",CHOOSE(WEEKDAY(INDEX(상세표[시작],$Q1581)),"일","월","화","수","목","금","토"))</f>
        <v/>
      </c>
      <c r="I1581" s="20">
        <f>IF($Q1581="","",INDEX(상세표[연속 시간],$Q1581))</f>
        <v/>
      </c>
      <c r="J1581">
        <f>IF($Q1581="","",INDEX(상세표[기록 수],$Q1581))</f>
        <v/>
      </c>
      <c r="K1581" s="20">
        <f>IF($Q1581="","",INDEX(상세표[블록 06~07시],$Q1581))</f>
        <v/>
      </c>
      <c r="L1581" s="20">
        <f>IF($Q1581="","",INDEX(상세표[블록 07~18시],$Q1581))</f>
        <v/>
      </c>
      <c r="M1581" s="20">
        <f>IF($Q1581="","",INDEX(상세표[블록 18~22시],$Q1581))</f>
        <v/>
      </c>
      <c r="N1581" s="20">
        <f>IF($Q1581="","",INDEX(상세표[블록 22~06시],$Q1581))</f>
        <v/>
      </c>
      <c r="O1581">
        <f>IF($Q1581="","",INDEX(상세표[주말·휴일 포함],$Q1581)&amp;"")</f>
        <v/>
      </c>
      <c r="P1581">
        <f>IF($Q1581="","",INDEX(상세표[월 넘김 포함],$Q1581)&amp;"")</f>
        <v/>
      </c>
      <c r="Q1581" s="4">
        <f>IFERROR(MATCH(1576,상세표[연속순번],0),"")</f>
        <v/>
      </c>
    </row>
    <row r="1582">
      <c r="A1582">
        <f>IF($Q1582="","",INDEX(상세표[부서],$Q1582)&amp;"")</f>
        <v/>
      </c>
      <c r="B1582">
        <f>IF($Q1582="","",INDEX(상세표[사번],$Q1582)&amp;"")</f>
        <v/>
      </c>
      <c r="C1582">
        <f>IF($Q1582="","",INDEX(상세표[성명],$Q1582)&amp;"")</f>
        <v/>
      </c>
      <c r="D1582">
        <f>IF($Q1582="","",INDEX(상세표[직위],$Q1582)&amp;"")</f>
        <v/>
      </c>
      <c r="E1582">
        <f>IF($Q1582="","",IF(ISNUMBER(INDEX(상세표[근무일자],$Q1582)),TEXT(INDEX(상세표[근무일자],$Q1582),"yyyy-mm-dd"),INDEX(상세표[근무일자],$Q1582)&amp;""))</f>
        <v/>
      </c>
      <c r="F1582">
        <f>IF($Q1582="","",IF(ISNUMBER(INDEX(상세표[시작],$Q1582)),TEXT(INDEX(상세표[시작],$Q1582),"yyyy-mm-dd hh:mm"),INDEX(상세표[시작],$Q1582)&amp;""))</f>
        <v/>
      </c>
      <c r="G1582">
        <f>IF($Q1582="","",IF(ISNUMBER(INDEX(상세표[블록종료],$Q1582)),TEXT(INDEX(상세표[블록종료],$Q1582),"yyyy-mm-dd hh:mm"),INDEX(상세표[블록종료],$Q1582)&amp;""))</f>
        <v/>
      </c>
      <c r="H1582">
        <f>IF($Q1582="","",CHOOSE(WEEKDAY(INDEX(상세표[시작],$Q1582)),"일","월","화","수","목","금","토"))</f>
        <v/>
      </c>
      <c r="I1582" s="20">
        <f>IF($Q1582="","",INDEX(상세표[연속 시간],$Q1582))</f>
        <v/>
      </c>
      <c r="J1582">
        <f>IF($Q1582="","",INDEX(상세표[기록 수],$Q1582))</f>
        <v/>
      </c>
      <c r="K1582" s="20">
        <f>IF($Q1582="","",INDEX(상세표[블록 06~07시],$Q1582))</f>
        <v/>
      </c>
      <c r="L1582" s="20">
        <f>IF($Q1582="","",INDEX(상세표[블록 07~18시],$Q1582))</f>
        <v/>
      </c>
      <c r="M1582" s="20">
        <f>IF($Q1582="","",INDEX(상세표[블록 18~22시],$Q1582))</f>
        <v/>
      </c>
      <c r="N1582" s="20">
        <f>IF($Q1582="","",INDEX(상세표[블록 22~06시],$Q1582))</f>
        <v/>
      </c>
      <c r="O1582">
        <f>IF($Q1582="","",INDEX(상세표[주말·휴일 포함],$Q1582)&amp;"")</f>
        <v/>
      </c>
      <c r="P1582">
        <f>IF($Q1582="","",INDEX(상세표[월 넘김 포함],$Q1582)&amp;"")</f>
        <v/>
      </c>
      <c r="Q1582" s="4">
        <f>IFERROR(MATCH(1577,상세표[연속순번],0),"")</f>
        <v/>
      </c>
    </row>
    <row r="1583">
      <c r="A1583">
        <f>IF($Q1583="","",INDEX(상세표[부서],$Q1583)&amp;"")</f>
        <v/>
      </c>
      <c r="B1583">
        <f>IF($Q1583="","",INDEX(상세표[사번],$Q1583)&amp;"")</f>
        <v/>
      </c>
      <c r="C1583">
        <f>IF($Q1583="","",INDEX(상세표[성명],$Q1583)&amp;"")</f>
        <v/>
      </c>
      <c r="D1583">
        <f>IF($Q1583="","",INDEX(상세표[직위],$Q1583)&amp;"")</f>
        <v/>
      </c>
      <c r="E1583">
        <f>IF($Q1583="","",IF(ISNUMBER(INDEX(상세표[근무일자],$Q1583)),TEXT(INDEX(상세표[근무일자],$Q1583),"yyyy-mm-dd"),INDEX(상세표[근무일자],$Q1583)&amp;""))</f>
        <v/>
      </c>
      <c r="F1583">
        <f>IF($Q1583="","",IF(ISNUMBER(INDEX(상세표[시작],$Q1583)),TEXT(INDEX(상세표[시작],$Q1583),"yyyy-mm-dd hh:mm"),INDEX(상세표[시작],$Q1583)&amp;""))</f>
        <v/>
      </c>
      <c r="G1583">
        <f>IF($Q1583="","",IF(ISNUMBER(INDEX(상세표[블록종료],$Q1583)),TEXT(INDEX(상세표[블록종료],$Q1583),"yyyy-mm-dd hh:mm"),INDEX(상세표[블록종료],$Q1583)&amp;""))</f>
        <v/>
      </c>
      <c r="H1583">
        <f>IF($Q1583="","",CHOOSE(WEEKDAY(INDEX(상세표[시작],$Q1583)),"일","월","화","수","목","금","토"))</f>
        <v/>
      </c>
      <c r="I1583" s="20">
        <f>IF($Q1583="","",INDEX(상세표[연속 시간],$Q1583))</f>
        <v/>
      </c>
      <c r="J1583">
        <f>IF($Q1583="","",INDEX(상세표[기록 수],$Q1583))</f>
        <v/>
      </c>
      <c r="K1583" s="20">
        <f>IF($Q1583="","",INDEX(상세표[블록 06~07시],$Q1583))</f>
        <v/>
      </c>
      <c r="L1583" s="20">
        <f>IF($Q1583="","",INDEX(상세표[블록 07~18시],$Q1583))</f>
        <v/>
      </c>
      <c r="M1583" s="20">
        <f>IF($Q1583="","",INDEX(상세표[블록 18~22시],$Q1583))</f>
        <v/>
      </c>
      <c r="N1583" s="20">
        <f>IF($Q1583="","",INDEX(상세표[블록 22~06시],$Q1583))</f>
        <v/>
      </c>
      <c r="O1583">
        <f>IF($Q1583="","",INDEX(상세표[주말·휴일 포함],$Q1583)&amp;"")</f>
        <v/>
      </c>
      <c r="P1583">
        <f>IF($Q1583="","",INDEX(상세표[월 넘김 포함],$Q1583)&amp;"")</f>
        <v/>
      </c>
      <c r="Q1583" s="4">
        <f>IFERROR(MATCH(1578,상세표[연속순번],0),"")</f>
        <v/>
      </c>
    </row>
    <row r="1584">
      <c r="A1584">
        <f>IF($Q1584="","",INDEX(상세표[부서],$Q1584)&amp;"")</f>
        <v/>
      </c>
      <c r="B1584">
        <f>IF($Q1584="","",INDEX(상세표[사번],$Q1584)&amp;"")</f>
        <v/>
      </c>
      <c r="C1584">
        <f>IF($Q1584="","",INDEX(상세표[성명],$Q1584)&amp;"")</f>
        <v/>
      </c>
      <c r="D1584">
        <f>IF($Q1584="","",INDEX(상세표[직위],$Q1584)&amp;"")</f>
        <v/>
      </c>
      <c r="E1584">
        <f>IF($Q1584="","",IF(ISNUMBER(INDEX(상세표[근무일자],$Q1584)),TEXT(INDEX(상세표[근무일자],$Q1584),"yyyy-mm-dd"),INDEX(상세표[근무일자],$Q1584)&amp;""))</f>
        <v/>
      </c>
      <c r="F1584">
        <f>IF($Q1584="","",IF(ISNUMBER(INDEX(상세표[시작],$Q1584)),TEXT(INDEX(상세표[시작],$Q1584),"yyyy-mm-dd hh:mm"),INDEX(상세표[시작],$Q1584)&amp;""))</f>
        <v/>
      </c>
      <c r="G1584">
        <f>IF($Q1584="","",IF(ISNUMBER(INDEX(상세표[블록종료],$Q1584)),TEXT(INDEX(상세표[블록종료],$Q1584),"yyyy-mm-dd hh:mm"),INDEX(상세표[블록종료],$Q1584)&amp;""))</f>
        <v/>
      </c>
      <c r="H1584">
        <f>IF($Q1584="","",CHOOSE(WEEKDAY(INDEX(상세표[시작],$Q1584)),"일","월","화","수","목","금","토"))</f>
        <v/>
      </c>
      <c r="I1584" s="20">
        <f>IF($Q1584="","",INDEX(상세표[연속 시간],$Q1584))</f>
        <v/>
      </c>
      <c r="J1584">
        <f>IF($Q1584="","",INDEX(상세표[기록 수],$Q1584))</f>
        <v/>
      </c>
      <c r="K1584" s="20">
        <f>IF($Q1584="","",INDEX(상세표[블록 06~07시],$Q1584))</f>
        <v/>
      </c>
      <c r="L1584" s="20">
        <f>IF($Q1584="","",INDEX(상세표[블록 07~18시],$Q1584))</f>
        <v/>
      </c>
      <c r="M1584" s="20">
        <f>IF($Q1584="","",INDEX(상세표[블록 18~22시],$Q1584))</f>
        <v/>
      </c>
      <c r="N1584" s="20">
        <f>IF($Q1584="","",INDEX(상세표[블록 22~06시],$Q1584))</f>
        <v/>
      </c>
      <c r="O1584">
        <f>IF($Q1584="","",INDEX(상세표[주말·휴일 포함],$Q1584)&amp;"")</f>
        <v/>
      </c>
      <c r="P1584">
        <f>IF($Q1584="","",INDEX(상세표[월 넘김 포함],$Q1584)&amp;"")</f>
        <v/>
      </c>
      <c r="Q1584" s="4">
        <f>IFERROR(MATCH(1579,상세표[연속순번],0),"")</f>
        <v/>
      </c>
    </row>
    <row r="1585">
      <c r="A1585">
        <f>IF($Q1585="","",INDEX(상세표[부서],$Q1585)&amp;"")</f>
        <v/>
      </c>
      <c r="B1585">
        <f>IF($Q1585="","",INDEX(상세표[사번],$Q1585)&amp;"")</f>
        <v/>
      </c>
      <c r="C1585">
        <f>IF($Q1585="","",INDEX(상세표[성명],$Q1585)&amp;"")</f>
        <v/>
      </c>
      <c r="D1585">
        <f>IF($Q1585="","",INDEX(상세표[직위],$Q1585)&amp;"")</f>
        <v/>
      </c>
      <c r="E1585">
        <f>IF($Q1585="","",IF(ISNUMBER(INDEX(상세표[근무일자],$Q1585)),TEXT(INDEX(상세표[근무일자],$Q1585),"yyyy-mm-dd"),INDEX(상세표[근무일자],$Q1585)&amp;""))</f>
        <v/>
      </c>
      <c r="F1585">
        <f>IF($Q1585="","",IF(ISNUMBER(INDEX(상세표[시작],$Q1585)),TEXT(INDEX(상세표[시작],$Q1585),"yyyy-mm-dd hh:mm"),INDEX(상세표[시작],$Q1585)&amp;""))</f>
        <v/>
      </c>
      <c r="G1585">
        <f>IF($Q1585="","",IF(ISNUMBER(INDEX(상세표[블록종료],$Q1585)),TEXT(INDEX(상세표[블록종료],$Q1585),"yyyy-mm-dd hh:mm"),INDEX(상세표[블록종료],$Q1585)&amp;""))</f>
        <v/>
      </c>
      <c r="H1585">
        <f>IF($Q1585="","",CHOOSE(WEEKDAY(INDEX(상세표[시작],$Q1585)),"일","월","화","수","목","금","토"))</f>
        <v/>
      </c>
      <c r="I1585" s="20">
        <f>IF($Q1585="","",INDEX(상세표[연속 시간],$Q1585))</f>
        <v/>
      </c>
      <c r="J1585">
        <f>IF($Q1585="","",INDEX(상세표[기록 수],$Q1585))</f>
        <v/>
      </c>
      <c r="K1585" s="20">
        <f>IF($Q1585="","",INDEX(상세표[블록 06~07시],$Q1585))</f>
        <v/>
      </c>
      <c r="L1585" s="20">
        <f>IF($Q1585="","",INDEX(상세표[블록 07~18시],$Q1585))</f>
        <v/>
      </c>
      <c r="M1585" s="20">
        <f>IF($Q1585="","",INDEX(상세표[블록 18~22시],$Q1585))</f>
        <v/>
      </c>
      <c r="N1585" s="20">
        <f>IF($Q1585="","",INDEX(상세표[블록 22~06시],$Q1585))</f>
        <v/>
      </c>
      <c r="O1585">
        <f>IF($Q1585="","",INDEX(상세표[주말·휴일 포함],$Q1585)&amp;"")</f>
        <v/>
      </c>
      <c r="P1585">
        <f>IF($Q1585="","",INDEX(상세표[월 넘김 포함],$Q1585)&amp;"")</f>
        <v/>
      </c>
      <c r="Q1585" s="4">
        <f>IFERROR(MATCH(1580,상세표[연속순번],0),"")</f>
        <v/>
      </c>
    </row>
    <row r="1586">
      <c r="A1586">
        <f>IF($Q1586="","",INDEX(상세표[부서],$Q1586)&amp;"")</f>
        <v/>
      </c>
      <c r="B1586">
        <f>IF($Q1586="","",INDEX(상세표[사번],$Q1586)&amp;"")</f>
        <v/>
      </c>
      <c r="C1586">
        <f>IF($Q1586="","",INDEX(상세표[성명],$Q1586)&amp;"")</f>
        <v/>
      </c>
      <c r="D1586">
        <f>IF($Q1586="","",INDEX(상세표[직위],$Q1586)&amp;"")</f>
        <v/>
      </c>
      <c r="E1586">
        <f>IF($Q1586="","",IF(ISNUMBER(INDEX(상세표[근무일자],$Q1586)),TEXT(INDEX(상세표[근무일자],$Q1586),"yyyy-mm-dd"),INDEX(상세표[근무일자],$Q1586)&amp;""))</f>
        <v/>
      </c>
      <c r="F1586">
        <f>IF($Q1586="","",IF(ISNUMBER(INDEX(상세표[시작],$Q1586)),TEXT(INDEX(상세표[시작],$Q1586),"yyyy-mm-dd hh:mm"),INDEX(상세표[시작],$Q1586)&amp;""))</f>
        <v/>
      </c>
      <c r="G1586">
        <f>IF($Q1586="","",IF(ISNUMBER(INDEX(상세표[블록종료],$Q1586)),TEXT(INDEX(상세표[블록종료],$Q1586),"yyyy-mm-dd hh:mm"),INDEX(상세표[블록종료],$Q1586)&amp;""))</f>
        <v/>
      </c>
      <c r="H1586">
        <f>IF($Q1586="","",CHOOSE(WEEKDAY(INDEX(상세표[시작],$Q1586)),"일","월","화","수","목","금","토"))</f>
        <v/>
      </c>
      <c r="I1586" s="20">
        <f>IF($Q1586="","",INDEX(상세표[연속 시간],$Q1586))</f>
        <v/>
      </c>
      <c r="J1586">
        <f>IF($Q1586="","",INDEX(상세표[기록 수],$Q1586))</f>
        <v/>
      </c>
      <c r="K1586" s="20">
        <f>IF($Q1586="","",INDEX(상세표[블록 06~07시],$Q1586))</f>
        <v/>
      </c>
      <c r="L1586" s="20">
        <f>IF($Q1586="","",INDEX(상세표[블록 07~18시],$Q1586))</f>
        <v/>
      </c>
      <c r="M1586" s="20">
        <f>IF($Q1586="","",INDEX(상세표[블록 18~22시],$Q1586))</f>
        <v/>
      </c>
      <c r="N1586" s="20">
        <f>IF($Q1586="","",INDEX(상세표[블록 22~06시],$Q1586))</f>
        <v/>
      </c>
      <c r="O1586">
        <f>IF($Q1586="","",INDEX(상세표[주말·휴일 포함],$Q1586)&amp;"")</f>
        <v/>
      </c>
      <c r="P1586">
        <f>IF($Q1586="","",INDEX(상세표[월 넘김 포함],$Q1586)&amp;"")</f>
        <v/>
      </c>
      <c r="Q1586" s="4">
        <f>IFERROR(MATCH(1581,상세표[연속순번],0),"")</f>
        <v/>
      </c>
    </row>
    <row r="1587">
      <c r="A1587">
        <f>IF($Q1587="","",INDEX(상세표[부서],$Q1587)&amp;"")</f>
        <v/>
      </c>
      <c r="B1587">
        <f>IF($Q1587="","",INDEX(상세표[사번],$Q1587)&amp;"")</f>
        <v/>
      </c>
      <c r="C1587">
        <f>IF($Q1587="","",INDEX(상세표[성명],$Q1587)&amp;"")</f>
        <v/>
      </c>
      <c r="D1587">
        <f>IF($Q1587="","",INDEX(상세표[직위],$Q1587)&amp;"")</f>
        <v/>
      </c>
      <c r="E1587">
        <f>IF($Q1587="","",IF(ISNUMBER(INDEX(상세표[근무일자],$Q1587)),TEXT(INDEX(상세표[근무일자],$Q1587),"yyyy-mm-dd"),INDEX(상세표[근무일자],$Q1587)&amp;""))</f>
        <v/>
      </c>
      <c r="F1587">
        <f>IF($Q1587="","",IF(ISNUMBER(INDEX(상세표[시작],$Q1587)),TEXT(INDEX(상세표[시작],$Q1587),"yyyy-mm-dd hh:mm"),INDEX(상세표[시작],$Q1587)&amp;""))</f>
        <v/>
      </c>
      <c r="G1587">
        <f>IF($Q1587="","",IF(ISNUMBER(INDEX(상세표[블록종료],$Q1587)),TEXT(INDEX(상세표[블록종료],$Q1587),"yyyy-mm-dd hh:mm"),INDEX(상세표[블록종료],$Q1587)&amp;""))</f>
        <v/>
      </c>
      <c r="H1587">
        <f>IF($Q1587="","",CHOOSE(WEEKDAY(INDEX(상세표[시작],$Q1587)),"일","월","화","수","목","금","토"))</f>
        <v/>
      </c>
      <c r="I1587" s="20">
        <f>IF($Q1587="","",INDEX(상세표[연속 시간],$Q1587))</f>
        <v/>
      </c>
      <c r="J1587">
        <f>IF($Q1587="","",INDEX(상세표[기록 수],$Q1587))</f>
        <v/>
      </c>
      <c r="K1587" s="20">
        <f>IF($Q1587="","",INDEX(상세표[블록 06~07시],$Q1587))</f>
        <v/>
      </c>
      <c r="L1587" s="20">
        <f>IF($Q1587="","",INDEX(상세표[블록 07~18시],$Q1587))</f>
        <v/>
      </c>
      <c r="M1587" s="20">
        <f>IF($Q1587="","",INDEX(상세표[블록 18~22시],$Q1587))</f>
        <v/>
      </c>
      <c r="N1587" s="20">
        <f>IF($Q1587="","",INDEX(상세표[블록 22~06시],$Q1587))</f>
        <v/>
      </c>
      <c r="O1587">
        <f>IF($Q1587="","",INDEX(상세표[주말·휴일 포함],$Q1587)&amp;"")</f>
        <v/>
      </c>
      <c r="P1587">
        <f>IF($Q1587="","",INDEX(상세표[월 넘김 포함],$Q1587)&amp;"")</f>
        <v/>
      </c>
      <c r="Q1587" s="4">
        <f>IFERROR(MATCH(1582,상세표[연속순번],0),"")</f>
        <v/>
      </c>
    </row>
    <row r="1588">
      <c r="A1588">
        <f>IF($Q1588="","",INDEX(상세표[부서],$Q1588)&amp;"")</f>
        <v/>
      </c>
      <c r="B1588">
        <f>IF($Q1588="","",INDEX(상세표[사번],$Q1588)&amp;"")</f>
        <v/>
      </c>
      <c r="C1588">
        <f>IF($Q1588="","",INDEX(상세표[성명],$Q1588)&amp;"")</f>
        <v/>
      </c>
      <c r="D1588">
        <f>IF($Q1588="","",INDEX(상세표[직위],$Q1588)&amp;"")</f>
        <v/>
      </c>
      <c r="E1588">
        <f>IF($Q1588="","",IF(ISNUMBER(INDEX(상세표[근무일자],$Q1588)),TEXT(INDEX(상세표[근무일자],$Q1588),"yyyy-mm-dd"),INDEX(상세표[근무일자],$Q1588)&amp;""))</f>
        <v/>
      </c>
      <c r="F1588">
        <f>IF($Q1588="","",IF(ISNUMBER(INDEX(상세표[시작],$Q1588)),TEXT(INDEX(상세표[시작],$Q1588),"yyyy-mm-dd hh:mm"),INDEX(상세표[시작],$Q1588)&amp;""))</f>
        <v/>
      </c>
      <c r="G1588">
        <f>IF($Q1588="","",IF(ISNUMBER(INDEX(상세표[블록종료],$Q1588)),TEXT(INDEX(상세표[블록종료],$Q1588),"yyyy-mm-dd hh:mm"),INDEX(상세표[블록종료],$Q1588)&amp;""))</f>
        <v/>
      </c>
      <c r="H1588">
        <f>IF($Q1588="","",CHOOSE(WEEKDAY(INDEX(상세표[시작],$Q1588)),"일","월","화","수","목","금","토"))</f>
        <v/>
      </c>
      <c r="I1588" s="20">
        <f>IF($Q1588="","",INDEX(상세표[연속 시간],$Q1588))</f>
        <v/>
      </c>
      <c r="J1588">
        <f>IF($Q1588="","",INDEX(상세표[기록 수],$Q1588))</f>
        <v/>
      </c>
      <c r="K1588" s="20">
        <f>IF($Q1588="","",INDEX(상세표[블록 06~07시],$Q1588))</f>
        <v/>
      </c>
      <c r="L1588" s="20">
        <f>IF($Q1588="","",INDEX(상세표[블록 07~18시],$Q1588))</f>
        <v/>
      </c>
      <c r="M1588" s="20">
        <f>IF($Q1588="","",INDEX(상세표[블록 18~22시],$Q1588))</f>
        <v/>
      </c>
      <c r="N1588" s="20">
        <f>IF($Q1588="","",INDEX(상세표[블록 22~06시],$Q1588))</f>
        <v/>
      </c>
      <c r="O1588">
        <f>IF($Q1588="","",INDEX(상세표[주말·휴일 포함],$Q1588)&amp;"")</f>
        <v/>
      </c>
      <c r="P1588">
        <f>IF($Q1588="","",INDEX(상세표[월 넘김 포함],$Q1588)&amp;"")</f>
        <v/>
      </c>
      <c r="Q1588" s="4">
        <f>IFERROR(MATCH(1583,상세표[연속순번],0),"")</f>
        <v/>
      </c>
    </row>
    <row r="1589">
      <c r="A1589">
        <f>IF($Q1589="","",INDEX(상세표[부서],$Q1589)&amp;"")</f>
        <v/>
      </c>
      <c r="B1589">
        <f>IF($Q1589="","",INDEX(상세표[사번],$Q1589)&amp;"")</f>
        <v/>
      </c>
      <c r="C1589">
        <f>IF($Q1589="","",INDEX(상세표[성명],$Q1589)&amp;"")</f>
        <v/>
      </c>
      <c r="D1589">
        <f>IF($Q1589="","",INDEX(상세표[직위],$Q1589)&amp;"")</f>
        <v/>
      </c>
      <c r="E1589">
        <f>IF($Q1589="","",IF(ISNUMBER(INDEX(상세표[근무일자],$Q1589)),TEXT(INDEX(상세표[근무일자],$Q1589),"yyyy-mm-dd"),INDEX(상세표[근무일자],$Q1589)&amp;""))</f>
        <v/>
      </c>
      <c r="F1589">
        <f>IF($Q1589="","",IF(ISNUMBER(INDEX(상세표[시작],$Q1589)),TEXT(INDEX(상세표[시작],$Q1589),"yyyy-mm-dd hh:mm"),INDEX(상세표[시작],$Q1589)&amp;""))</f>
        <v/>
      </c>
      <c r="G1589">
        <f>IF($Q1589="","",IF(ISNUMBER(INDEX(상세표[블록종료],$Q1589)),TEXT(INDEX(상세표[블록종료],$Q1589),"yyyy-mm-dd hh:mm"),INDEX(상세표[블록종료],$Q1589)&amp;""))</f>
        <v/>
      </c>
      <c r="H1589">
        <f>IF($Q1589="","",CHOOSE(WEEKDAY(INDEX(상세표[시작],$Q1589)),"일","월","화","수","목","금","토"))</f>
        <v/>
      </c>
      <c r="I1589" s="20">
        <f>IF($Q1589="","",INDEX(상세표[연속 시간],$Q1589))</f>
        <v/>
      </c>
      <c r="J1589">
        <f>IF($Q1589="","",INDEX(상세표[기록 수],$Q1589))</f>
        <v/>
      </c>
      <c r="K1589" s="20">
        <f>IF($Q1589="","",INDEX(상세표[블록 06~07시],$Q1589))</f>
        <v/>
      </c>
      <c r="L1589" s="20">
        <f>IF($Q1589="","",INDEX(상세표[블록 07~18시],$Q1589))</f>
        <v/>
      </c>
      <c r="M1589" s="20">
        <f>IF($Q1589="","",INDEX(상세표[블록 18~22시],$Q1589))</f>
        <v/>
      </c>
      <c r="N1589" s="20">
        <f>IF($Q1589="","",INDEX(상세표[블록 22~06시],$Q1589))</f>
        <v/>
      </c>
      <c r="O1589">
        <f>IF($Q1589="","",INDEX(상세표[주말·휴일 포함],$Q1589)&amp;"")</f>
        <v/>
      </c>
      <c r="P1589">
        <f>IF($Q1589="","",INDEX(상세표[월 넘김 포함],$Q1589)&amp;"")</f>
        <v/>
      </c>
      <c r="Q1589" s="4">
        <f>IFERROR(MATCH(1584,상세표[연속순번],0),"")</f>
        <v/>
      </c>
    </row>
    <row r="1590">
      <c r="A1590">
        <f>IF($Q1590="","",INDEX(상세표[부서],$Q1590)&amp;"")</f>
        <v/>
      </c>
      <c r="B1590">
        <f>IF($Q1590="","",INDEX(상세표[사번],$Q1590)&amp;"")</f>
        <v/>
      </c>
      <c r="C1590">
        <f>IF($Q1590="","",INDEX(상세표[성명],$Q1590)&amp;"")</f>
        <v/>
      </c>
      <c r="D1590">
        <f>IF($Q1590="","",INDEX(상세표[직위],$Q1590)&amp;"")</f>
        <v/>
      </c>
      <c r="E1590">
        <f>IF($Q1590="","",IF(ISNUMBER(INDEX(상세표[근무일자],$Q1590)),TEXT(INDEX(상세표[근무일자],$Q1590),"yyyy-mm-dd"),INDEX(상세표[근무일자],$Q1590)&amp;""))</f>
        <v/>
      </c>
      <c r="F1590">
        <f>IF($Q1590="","",IF(ISNUMBER(INDEX(상세표[시작],$Q1590)),TEXT(INDEX(상세표[시작],$Q1590),"yyyy-mm-dd hh:mm"),INDEX(상세표[시작],$Q1590)&amp;""))</f>
        <v/>
      </c>
      <c r="G1590">
        <f>IF($Q1590="","",IF(ISNUMBER(INDEX(상세표[블록종료],$Q1590)),TEXT(INDEX(상세표[블록종료],$Q1590),"yyyy-mm-dd hh:mm"),INDEX(상세표[블록종료],$Q1590)&amp;""))</f>
        <v/>
      </c>
      <c r="H1590">
        <f>IF($Q1590="","",CHOOSE(WEEKDAY(INDEX(상세표[시작],$Q1590)),"일","월","화","수","목","금","토"))</f>
        <v/>
      </c>
      <c r="I1590" s="20">
        <f>IF($Q1590="","",INDEX(상세표[연속 시간],$Q1590))</f>
        <v/>
      </c>
      <c r="J1590">
        <f>IF($Q1590="","",INDEX(상세표[기록 수],$Q1590))</f>
        <v/>
      </c>
      <c r="K1590" s="20">
        <f>IF($Q1590="","",INDEX(상세표[블록 06~07시],$Q1590))</f>
        <v/>
      </c>
      <c r="L1590" s="20">
        <f>IF($Q1590="","",INDEX(상세표[블록 07~18시],$Q1590))</f>
        <v/>
      </c>
      <c r="M1590" s="20">
        <f>IF($Q1590="","",INDEX(상세표[블록 18~22시],$Q1590))</f>
        <v/>
      </c>
      <c r="N1590" s="20">
        <f>IF($Q1590="","",INDEX(상세표[블록 22~06시],$Q1590))</f>
        <v/>
      </c>
      <c r="O1590">
        <f>IF($Q1590="","",INDEX(상세표[주말·휴일 포함],$Q1590)&amp;"")</f>
        <v/>
      </c>
      <c r="P1590">
        <f>IF($Q1590="","",INDEX(상세표[월 넘김 포함],$Q1590)&amp;"")</f>
        <v/>
      </c>
      <c r="Q1590" s="4">
        <f>IFERROR(MATCH(1585,상세표[연속순번],0),"")</f>
        <v/>
      </c>
    </row>
    <row r="1591">
      <c r="A1591">
        <f>IF($Q1591="","",INDEX(상세표[부서],$Q1591)&amp;"")</f>
        <v/>
      </c>
      <c r="B1591">
        <f>IF($Q1591="","",INDEX(상세표[사번],$Q1591)&amp;"")</f>
        <v/>
      </c>
      <c r="C1591">
        <f>IF($Q1591="","",INDEX(상세표[성명],$Q1591)&amp;"")</f>
        <v/>
      </c>
      <c r="D1591">
        <f>IF($Q1591="","",INDEX(상세표[직위],$Q1591)&amp;"")</f>
        <v/>
      </c>
      <c r="E1591">
        <f>IF($Q1591="","",IF(ISNUMBER(INDEX(상세표[근무일자],$Q1591)),TEXT(INDEX(상세표[근무일자],$Q1591),"yyyy-mm-dd"),INDEX(상세표[근무일자],$Q1591)&amp;""))</f>
        <v/>
      </c>
      <c r="F1591">
        <f>IF($Q1591="","",IF(ISNUMBER(INDEX(상세표[시작],$Q1591)),TEXT(INDEX(상세표[시작],$Q1591),"yyyy-mm-dd hh:mm"),INDEX(상세표[시작],$Q1591)&amp;""))</f>
        <v/>
      </c>
      <c r="G1591">
        <f>IF($Q1591="","",IF(ISNUMBER(INDEX(상세표[블록종료],$Q1591)),TEXT(INDEX(상세표[블록종료],$Q1591),"yyyy-mm-dd hh:mm"),INDEX(상세표[블록종료],$Q1591)&amp;""))</f>
        <v/>
      </c>
      <c r="H1591">
        <f>IF($Q1591="","",CHOOSE(WEEKDAY(INDEX(상세표[시작],$Q1591)),"일","월","화","수","목","금","토"))</f>
        <v/>
      </c>
      <c r="I1591" s="20">
        <f>IF($Q1591="","",INDEX(상세표[연속 시간],$Q1591))</f>
        <v/>
      </c>
      <c r="J1591">
        <f>IF($Q1591="","",INDEX(상세표[기록 수],$Q1591))</f>
        <v/>
      </c>
      <c r="K1591" s="20">
        <f>IF($Q1591="","",INDEX(상세표[블록 06~07시],$Q1591))</f>
        <v/>
      </c>
      <c r="L1591" s="20">
        <f>IF($Q1591="","",INDEX(상세표[블록 07~18시],$Q1591))</f>
        <v/>
      </c>
      <c r="M1591" s="20">
        <f>IF($Q1591="","",INDEX(상세표[블록 18~22시],$Q1591))</f>
        <v/>
      </c>
      <c r="N1591" s="20">
        <f>IF($Q1591="","",INDEX(상세표[블록 22~06시],$Q1591))</f>
        <v/>
      </c>
      <c r="O1591">
        <f>IF($Q1591="","",INDEX(상세표[주말·휴일 포함],$Q1591)&amp;"")</f>
        <v/>
      </c>
      <c r="P1591">
        <f>IF($Q1591="","",INDEX(상세표[월 넘김 포함],$Q1591)&amp;"")</f>
        <v/>
      </c>
      <c r="Q1591" s="4">
        <f>IFERROR(MATCH(1586,상세표[연속순번],0),"")</f>
        <v/>
      </c>
    </row>
    <row r="1592">
      <c r="A1592">
        <f>IF($Q1592="","",INDEX(상세표[부서],$Q1592)&amp;"")</f>
        <v/>
      </c>
      <c r="B1592">
        <f>IF($Q1592="","",INDEX(상세표[사번],$Q1592)&amp;"")</f>
        <v/>
      </c>
      <c r="C1592">
        <f>IF($Q1592="","",INDEX(상세표[성명],$Q1592)&amp;"")</f>
        <v/>
      </c>
      <c r="D1592">
        <f>IF($Q1592="","",INDEX(상세표[직위],$Q1592)&amp;"")</f>
        <v/>
      </c>
      <c r="E1592">
        <f>IF($Q1592="","",IF(ISNUMBER(INDEX(상세표[근무일자],$Q1592)),TEXT(INDEX(상세표[근무일자],$Q1592),"yyyy-mm-dd"),INDEX(상세표[근무일자],$Q1592)&amp;""))</f>
        <v/>
      </c>
      <c r="F1592">
        <f>IF($Q1592="","",IF(ISNUMBER(INDEX(상세표[시작],$Q1592)),TEXT(INDEX(상세표[시작],$Q1592),"yyyy-mm-dd hh:mm"),INDEX(상세표[시작],$Q1592)&amp;""))</f>
        <v/>
      </c>
      <c r="G1592">
        <f>IF($Q1592="","",IF(ISNUMBER(INDEX(상세표[블록종료],$Q1592)),TEXT(INDEX(상세표[블록종료],$Q1592),"yyyy-mm-dd hh:mm"),INDEX(상세표[블록종료],$Q1592)&amp;""))</f>
        <v/>
      </c>
      <c r="H1592">
        <f>IF($Q1592="","",CHOOSE(WEEKDAY(INDEX(상세표[시작],$Q1592)),"일","월","화","수","목","금","토"))</f>
        <v/>
      </c>
      <c r="I1592" s="20">
        <f>IF($Q1592="","",INDEX(상세표[연속 시간],$Q1592))</f>
        <v/>
      </c>
      <c r="J1592">
        <f>IF($Q1592="","",INDEX(상세표[기록 수],$Q1592))</f>
        <v/>
      </c>
      <c r="K1592" s="20">
        <f>IF($Q1592="","",INDEX(상세표[블록 06~07시],$Q1592))</f>
        <v/>
      </c>
      <c r="L1592" s="20">
        <f>IF($Q1592="","",INDEX(상세표[블록 07~18시],$Q1592))</f>
        <v/>
      </c>
      <c r="M1592" s="20">
        <f>IF($Q1592="","",INDEX(상세표[블록 18~22시],$Q1592))</f>
        <v/>
      </c>
      <c r="N1592" s="20">
        <f>IF($Q1592="","",INDEX(상세표[블록 22~06시],$Q1592))</f>
        <v/>
      </c>
      <c r="O1592">
        <f>IF($Q1592="","",INDEX(상세표[주말·휴일 포함],$Q1592)&amp;"")</f>
        <v/>
      </c>
      <c r="P1592">
        <f>IF($Q1592="","",INDEX(상세표[월 넘김 포함],$Q1592)&amp;"")</f>
        <v/>
      </c>
      <c r="Q1592" s="4">
        <f>IFERROR(MATCH(1587,상세표[연속순번],0),"")</f>
        <v/>
      </c>
    </row>
    <row r="1593">
      <c r="A1593">
        <f>IF($Q1593="","",INDEX(상세표[부서],$Q1593)&amp;"")</f>
        <v/>
      </c>
      <c r="B1593">
        <f>IF($Q1593="","",INDEX(상세표[사번],$Q1593)&amp;"")</f>
        <v/>
      </c>
      <c r="C1593">
        <f>IF($Q1593="","",INDEX(상세표[성명],$Q1593)&amp;"")</f>
        <v/>
      </c>
      <c r="D1593">
        <f>IF($Q1593="","",INDEX(상세표[직위],$Q1593)&amp;"")</f>
        <v/>
      </c>
      <c r="E1593">
        <f>IF($Q1593="","",IF(ISNUMBER(INDEX(상세표[근무일자],$Q1593)),TEXT(INDEX(상세표[근무일자],$Q1593),"yyyy-mm-dd"),INDEX(상세표[근무일자],$Q1593)&amp;""))</f>
        <v/>
      </c>
      <c r="F1593">
        <f>IF($Q1593="","",IF(ISNUMBER(INDEX(상세표[시작],$Q1593)),TEXT(INDEX(상세표[시작],$Q1593),"yyyy-mm-dd hh:mm"),INDEX(상세표[시작],$Q1593)&amp;""))</f>
        <v/>
      </c>
      <c r="G1593">
        <f>IF($Q1593="","",IF(ISNUMBER(INDEX(상세표[블록종료],$Q1593)),TEXT(INDEX(상세표[블록종료],$Q1593),"yyyy-mm-dd hh:mm"),INDEX(상세표[블록종료],$Q1593)&amp;""))</f>
        <v/>
      </c>
      <c r="H1593">
        <f>IF($Q1593="","",CHOOSE(WEEKDAY(INDEX(상세표[시작],$Q1593)),"일","월","화","수","목","금","토"))</f>
        <v/>
      </c>
      <c r="I1593" s="20">
        <f>IF($Q1593="","",INDEX(상세표[연속 시간],$Q1593))</f>
        <v/>
      </c>
      <c r="J1593">
        <f>IF($Q1593="","",INDEX(상세표[기록 수],$Q1593))</f>
        <v/>
      </c>
      <c r="K1593" s="20">
        <f>IF($Q1593="","",INDEX(상세표[블록 06~07시],$Q1593))</f>
        <v/>
      </c>
      <c r="L1593" s="20">
        <f>IF($Q1593="","",INDEX(상세표[블록 07~18시],$Q1593))</f>
        <v/>
      </c>
      <c r="M1593" s="20">
        <f>IF($Q1593="","",INDEX(상세표[블록 18~22시],$Q1593))</f>
        <v/>
      </c>
      <c r="N1593" s="20">
        <f>IF($Q1593="","",INDEX(상세표[블록 22~06시],$Q1593))</f>
        <v/>
      </c>
      <c r="O1593">
        <f>IF($Q1593="","",INDEX(상세표[주말·휴일 포함],$Q1593)&amp;"")</f>
        <v/>
      </c>
      <c r="P1593">
        <f>IF($Q1593="","",INDEX(상세표[월 넘김 포함],$Q1593)&amp;"")</f>
        <v/>
      </c>
      <c r="Q1593" s="4">
        <f>IFERROR(MATCH(1588,상세표[연속순번],0),"")</f>
        <v/>
      </c>
    </row>
    <row r="1594">
      <c r="A1594">
        <f>IF($Q1594="","",INDEX(상세표[부서],$Q1594)&amp;"")</f>
        <v/>
      </c>
      <c r="B1594">
        <f>IF($Q1594="","",INDEX(상세표[사번],$Q1594)&amp;"")</f>
        <v/>
      </c>
      <c r="C1594">
        <f>IF($Q1594="","",INDEX(상세표[성명],$Q1594)&amp;"")</f>
        <v/>
      </c>
      <c r="D1594">
        <f>IF($Q1594="","",INDEX(상세표[직위],$Q1594)&amp;"")</f>
        <v/>
      </c>
      <c r="E1594">
        <f>IF($Q1594="","",IF(ISNUMBER(INDEX(상세표[근무일자],$Q1594)),TEXT(INDEX(상세표[근무일자],$Q1594),"yyyy-mm-dd"),INDEX(상세표[근무일자],$Q1594)&amp;""))</f>
        <v/>
      </c>
      <c r="F1594">
        <f>IF($Q1594="","",IF(ISNUMBER(INDEX(상세표[시작],$Q1594)),TEXT(INDEX(상세표[시작],$Q1594),"yyyy-mm-dd hh:mm"),INDEX(상세표[시작],$Q1594)&amp;""))</f>
        <v/>
      </c>
      <c r="G1594">
        <f>IF($Q1594="","",IF(ISNUMBER(INDEX(상세표[블록종료],$Q1594)),TEXT(INDEX(상세표[블록종료],$Q1594),"yyyy-mm-dd hh:mm"),INDEX(상세표[블록종료],$Q1594)&amp;""))</f>
        <v/>
      </c>
      <c r="H1594">
        <f>IF($Q1594="","",CHOOSE(WEEKDAY(INDEX(상세표[시작],$Q1594)),"일","월","화","수","목","금","토"))</f>
        <v/>
      </c>
      <c r="I1594" s="20">
        <f>IF($Q1594="","",INDEX(상세표[연속 시간],$Q1594))</f>
        <v/>
      </c>
      <c r="J1594">
        <f>IF($Q1594="","",INDEX(상세표[기록 수],$Q1594))</f>
        <v/>
      </c>
      <c r="K1594" s="20">
        <f>IF($Q1594="","",INDEX(상세표[블록 06~07시],$Q1594))</f>
        <v/>
      </c>
      <c r="L1594" s="20">
        <f>IF($Q1594="","",INDEX(상세표[블록 07~18시],$Q1594))</f>
        <v/>
      </c>
      <c r="M1594" s="20">
        <f>IF($Q1594="","",INDEX(상세표[블록 18~22시],$Q1594))</f>
        <v/>
      </c>
      <c r="N1594" s="20">
        <f>IF($Q1594="","",INDEX(상세표[블록 22~06시],$Q1594))</f>
        <v/>
      </c>
      <c r="O1594">
        <f>IF($Q1594="","",INDEX(상세표[주말·휴일 포함],$Q1594)&amp;"")</f>
        <v/>
      </c>
      <c r="P1594">
        <f>IF($Q1594="","",INDEX(상세표[월 넘김 포함],$Q1594)&amp;"")</f>
        <v/>
      </c>
      <c r="Q1594" s="4">
        <f>IFERROR(MATCH(1589,상세표[연속순번],0),"")</f>
        <v/>
      </c>
    </row>
    <row r="1595">
      <c r="A1595">
        <f>IF($Q1595="","",INDEX(상세표[부서],$Q1595)&amp;"")</f>
        <v/>
      </c>
      <c r="B1595">
        <f>IF($Q1595="","",INDEX(상세표[사번],$Q1595)&amp;"")</f>
        <v/>
      </c>
      <c r="C1595">
        <f>IF($Q1595="","",INDEX(상세표[성명],$Q1595)&amp;"")</f>
        <v/>
      </c>
      <c r="D1595">
        <f>IF($Q1595="","",INDEX(상세표[직위],$Q1595)&amp;"")</f>
        <v/>
      </c>
      <c r="E1595">
        <f>IF($Q1595="","",IF(ISNUMBER(INDEX(상세표[근무일자],$Q1595)),TEXT(INDEX(상세표[근무일자],$Q1595),"yyyy-mm-dd"),INDEX(상세표[근무일자],$Q1595)&amp;""))</f>
        <v/>
      </c>
      <c r="F1595">
        <f>IF($Q1595="","",IF(ISNUMBER(INDEX(상세표[시작],$Q1595)),TEXT(INDEX(상세표[시작],$Q1595),"yyyy-mm-dd hh:mm"),INDEX(상세표[시작],$Q1595)&amp;""))</f>
        <v/>
      </c>
      <c r="G1595">
        <f>IF($Q1595="","",IF(ISNUMBER(INDEX(상세표[블록종료],$Q1595)),TEXT(INDEX(상세표[블록종료],$Q1595),"yyyy-mm-dd hh:mm"),INDEX(상세표[블록종료],$Q1595)&amp;""))</f>
        <v/>
      </c>
      <c r="H1595">
        <f>IF($Q1595="","",CHOOSE(WEEKDAY(INDEX(상세표[시작],$Q1595)),"일","월","화","수","목","금","토"))</f>
        <v/>
      </c>
      <c r="I1595" s="20">
        <f>IF($Q1595="","",INDEX(상세표[연속 시간],$Q1595))</f>
        <v/>
      </c>
      <c r="J1595">
        <f>IF($Q1595="","",INDEX(상세표[기록 수],$Q1595))</f>
        <v/>
      </c>
      <c r="K1595" s="20">
        <f>IF($Q1595="","",INDEX(상세표[블록 06~07시],$Q1595))</f>
        <v/>
      </c>
      <c r="L1595" s="20">
        <f>IF($Q1595="","",INDEX(상세표[블록 07~18시],$Q1595))</f>
        <v/>
      </c>
      <c r="M1595" s="20">
        <f>IF($Q1595="","",INDEX(상세표[블록 18~22시],$Q1595))</f>
        <v/>
      </c>
      <c r="N1595" s="20">
        <f>IF($Q1595="","",INDEX(상세표[블록 22~06시],$Q1595))</f>
        <v/>
      </c>
      <c r="O1595">
        <f>IF($Q1595="","",INDEX(상세표[주말·휴일 포함],$Q1595)&amp;"")</f>
        <v/>
      </c>
      <c r="P1595">
        <f>IF($Q1595="","",INDEX(상세표[월 넘김 포함],$Q1595)&amp;"")</f>
        <v/>
      </c>
      <c r="Q1595" s="4">
        <f>IFERROR(MATCH(1590,상세표[연속순번],0),"")</f>
        <v/>
      </c>
    </row>
    <row r="1596">
      <c r="A1596">
        <f>IF($Q1596="","",INDEX(상세표[부서],$Q1596)&amp;"")</f>
        <v/>
      </c>
      <c r="B1596">
        <f>IF($Q1596="","",INDEX(상세표[사번],$Q1596)&amp;"")</f>
        <v/>
      </c>
      <c r="C1596">
        <f>IF($Q1596="","",INDEX(상세표[성명],$Q1596)&amp;"")</f>
        <v/>
      </c>
      <c r="D1596">
        <f>IF($Q1596="","",INDEX(상세표[직위],$Q1596)&amp;"")</f>
        <v/>
      </c>
      <c r="E1596">
        <f>IF($Q1596="","",IF(ISNUMBER(INDEX(상세표[근무일자],$Q1596)),TEXT(INDEX(상세표[근무일자],$Q1596),"yyyy-mm-dd"),INDEX(상세표[근무일자],$Q1596)&amp;""))</f>
        <v/>
      </c>
      <c r="F1596">
        <f>IF($Q1596="","",IF(ISNUMBER(INDEX(상세표[시작],$Q1596)),TEXT(INDEX(상세표[시작],$Q1596),"yyyy-mm-dd hh:mm"),INDEX(상세표[시작],$Q1596)&amp;""))</f>
        <v/>
      </c>
      <c r="G1596">
        <f>IF($Q1596="","",IF(ISNUMBER(INDEX(상세표[블록종료],$Q1596)),TEXT(INDEX(상세표[블록종료],$Q1596),"yyyy-mm-dd hh:mm"),INDEX(상세표[블록종료],$Q1596)&amp;""))</f>
        <v/>
      </c>
      <c r="H1596">
        <f>IF($Q1596="","",CHOOSE(WEEKDAY(INDEX(상세표[시작],$Q1596)),"일","월","화","수","목","금","토"))</f>
        <v/>
      </c>
      <c r="I1596" s="20">
        <f>IF($Q1596="","",INDEX(상세표[연속 시간],$Q1596))</f>
        <v/>
      </c>
      <c r="J1596">
        <f>IF($Q1596="","",INDEX(상세표[기록 수],$Q1596))</f>
        <v/>
      </c>
      <c r="K1596" s="20">
        <f>IF($Q1596="","",INDEX(상세표[블록 06~07시],$Q1596))</f>
        <v/>
      </c>
      <c r="L1596" s="20">
        <f>IF($Q1596="","",INDEX(상세표[블록 07~18시],$Q1596))</f>
        <v/>
      </c>
      <c r="M1596" s="20">
        <f>IF($Q1596="","",INDEX(상세표[블록 18~22시],$Q1596))</f>
        <v/>
      </c>
      <c r="N1596" s="20">
        <f>IF($Q1596="","",INDEX(상세표[블록 22~06시],$Q1596))</f>
        <v/>
      </c>
      <c r="O1596">
        <f>IF($Q1596="","",INDEX(상세표[주말·휴일 포함],$Q1596)&amp;"")</f>
        <v/>
      </c>
      <c r="P1596">
        <f>IF($Q1596="","",INDEX(상세표[월 넘김 포함],$Q1596)&amp;"")</f>
        <v/>
      </c>
      <c r="Q1596" s="4">
        <f>IFERROR(MATCH(1591,상세표[연속순번],0),"")</f>
        <v/>
      </c>
    </row>
    <row r="1597">
      <c r="A1597">
        <f>IF($Q1597="","",INDEX(상세표[부서],$Q1597)&amp;"")</f>
        <v/>
      </c>
      <c r="B1597">
        <f>IF($Q1597="","",INDEX(상세표[사번],$Q1597)&amp;"")</f>
        <v/>
      </c>
      <c r="C1597">
        <f>IF($Q1597="","",INDEX(상세표[성명],$Q1597)&amp;"")</f>
        <v/>
      </c>
      <c r="D1597">
        <f>IF($Q1597="","",INDEX(상세표[직위],$Q1597)&amp;"")</f>
        <v/>
      </c>
      <c r="E1597">
        <f>IF($Q1597="","",IF(ISNUMBER(INDEX(상세표[근무일자],$Q1597)),TEXT(INDEX(상세표[근무일자],$Q1597),"yyyy-mm-dd"),INDEX(상세표[근무일자],$Q1597)&amp;""))</f>
        <v/>
      </c>
      <c r="F1597">
        <f>IF($Q1597="","",IF(ISNUMBER(INDEX(상세표[시작],$Q1597)),TEXT(INDEX(상세표[시작],$Q1597),"yyyy-mm-dd hh:mm"),INDEX(상세표[시작],$Q1597)&amp;""))</f>
        <v/>
      </c>
      <c r="G1597">
        <f>IF($Q1597="","",IF(ISNUMBER(INDEX(상세표[블록종료],$Q1597)),TEXT(INDEX(상세표[블록종료],$Q1597),"yyyy-mm-dd hh:mm"),INDEX(상세표[블록종료],$Q1597)&amp;""))</f>
        <v/>
      </c>
      <c r="H1597">
        <f>IF($Q1597="","",CHOOSE(WEEKDAY(INDEX(상세표[시작],$Q1597)),"일","월","화","수","목","금","토"))</f>
        <v/>
      </c>
      <c r="I1597" s="20">
        <f>IF($Q1597="","",INDEX(상세표[연속 시간],$Q1597))</f>
        <v/>
      </c>
      <c r="J1597">
        <f>IF($Q1597="","",INDEX(상세표[기록 수],$Q1597))</f>
        <v/>
      </c>
      <c r="K1597" s="20">
        <f>IF($Q1597="","",INDEX(상세표[블록 06~07시],$Q1597))</f>
        <v/>
      </c>
      <c r="L1597" s="20">
        <f>IF($Q1597="","",INDEX(상세표[블록 07~18시],$Q1597))</f>
        <v/>
      </c>
      <c r="M1597" s="20">
        <f>IF($Q1597="","",INDEX(상세표[블록 18~22시],$Q1597))</f>
        <v/>
      </c>
      <c r="N1597" s="20">
        <f>IF($Q1597="","",INDEX(상세표[블록 22~06시],$Q1597))</f>
        <v/>
      </c>
      <c r="O1597">
        <f>IF($Q1597="","",INDEX(상세표[주말·휴일 포함],$Q1597)&amp;"")</f>
        <v/>
      </c>
      <c r="P1597">
        <f>IF($Q1597="","",INDEX(상세표[월 넘김 포함],$Q1597)&amp;"")</f>
        <v/>
      </c>
      <c r="Q1597" s="4">
        <f>IFERROR(MATCH(1592,상세표[연속순번],0),"")</f>
        <v/>
      </c>
    </row>
    <row r="1598">
      <c r="A1598">
        <f>IF($Q1598="","",INDEX(상세표[부서],$Q1598)&amp;"")</f>
        <v/>
      </c>
      <c r="B1598">
        <f>IF($Q1598="","",INDEX(상세표[사번],$Q1598)&amp;"")</f>
        <v/>
      </c>
      <c r="C1598">
        <f>IF($Q1598="","",INDEX(상세표[성명],$Q1598)&amp;"")</f>
        <v/>
      </c>
      <c r="D1598">
        <f>IF($Q1598="","",INDEX(상세표[직위],$Q1598)&amp;"")</f>
        <v/>
      </c>
      <c r="E1598">
        <f>IF($Q1598="","",IF(ISNUMBER(INDEX(상세표[근무일자],$Q1598)),TEXT(INDEX(상세표[근무일자],$Q1598),"yyyy-mm-dd"),INDEX(상세표[근무일자],$Q1598)&amp;""))</f>
        <v/>
      </c>
      <c r="F1598">
        <f>IF($Q1598="","",IF(ISNUMBER(INDEX(상세표[시작],$Q1598)),TEXT(INDEX(상세표[시작],$Q1598),"yyyy-mm-dd hh:mm"),INDEX(상세표[시작],$Q1598)&amp;""))</f>
        <v/>
      </c>
      <c r="G1598">
        <f>IF($Q1598="","",IF(ISNUMBER(INDEX(상세표[블록종료],$Q1598)),TEXT(INDEX(상세표[블록종료],$Q1598),"yyyy-mm-dd hh:mm"),INDEX(상세표[블록종료],$Q1598)&amp;""))</f>
        <v/>
      </c>
      <c r="H1598">
        <f>IF($Q1598="","",CHOOSE(WEEKDAY(INDEX(상세표[시작],$Q1598)),"일","월","화","수","목","금","토"))</f>
        <v/>
      </c>
      <c r="I1598" s="20">
        <f>IF($Q1598="","",INDEX(상세표[연속 시간],$Q1598))</f>
        <v/>
      </c>
      <c r="J1598">
        <f>IF($Q1598="","",INDEX(상세표[기록 수],$Q1598))</f>
        <v/>
      </c>
      <c r="K1598" s="20">
        <f>IF($Q1598="","",INDEX(상세표[블록 06~07시],$Q1598))</f>
        <v/>
      </c>
      <c r="L1598" s="20">
        <f>IF($Q1598="","",INDEX(상세표[블록 07~18시],$Q1598))</f>
        <v/>
      </c>
      <c r="M1598" s="20">
        <f>IF($Q1598="","",INDEX(상세표[블록 18~22시],$Q1598))</f>
        <v/>
      </c>
      <c r="N1598" s="20">
        <f>IF($Q1598="","",INDEX(상세표[블록 22~06시],$Q1598))</f>
        <v/>
      </c>
      <c r="O1598">
        <f>IF($Q1598="","",INDEX(상세표[주말·휴일 포함],$Q1598)&amp;"")</f>
        <v/>
      </c>
      <c r="P1598">
        <f>IF($Q1598="","",INDEX(상세표[월 넘김 포함],$Q1598)&amp;"")</f>
        <v/>
      </c>
      <c r="Q1598" s="4">
        <f>IFERROR(MATCH(1593,상세표[연속순번],0),"")</f>
        <v/>
      </c>
    </row>
    <row r="1599">
      <c r="A1599">
        <f>IF($Q1599="","",INDEX(상세표[부서],$Q1599)&amp;"")</f>
        <v/>
      </c>
      <c r="B1599">
        <f>IF($Q1599="","",INDEX(상세표[사번],$Q1599)&amp;"")</f>
        <v/>
      </c>
      <c r="C1599">
        <f>IF($Q1599="","",INDEX(상세표[성명],$Q1599)&amp;"")</f>
        <v/>
      </c>
      <c r="D1599">
        <f>IF($Q1599="","",INDEX(상세표[직위],$Q1599)&amp;"")</f>
        <v/>
      </c>
      <c r="E1599">
        <f>IF($Q1599="","",IF(ISNUMBER(INDEX(상세표[근무일자],$Q1599)),TEXT(INDEX(상세표[근무일자],$Q1599),"yyyy-mm-dd"),INDEX(상세표[근무일자],$Q1599)&amp;""))</f>
        <v/>
      </c>
      <c r="F1599">
        <f>IF($Q1599="","",IF(ISNUMBER(INDEX(상세표[시작],$Q1599)),TEXT(INDEX(상세표[시작],$Q1599),"yyyy-mm-dd hh:mm"),INDEX(상세표[시작],$Q1599)&amp;""))</f>
        <v/>
      </c>
      <c r="G1599">
        <f>IF($Q1599="","",IF(ISNUMBER(INDEX(상세표[블록종료],$Q1599)),TEXT(INDEX(상세표[블록종료],$Q1599),"yyyy-mm-dd hh:mm"),INDEX(상세표[블록종료],$Q1599)&amp;""))</f>
        <v/>
      </c>
      <c r="H1599">
        <f>IF($Q1599="","",CHOOSE(WEEKDAY(INDEX(상세표[시작],$Q1599)),"일","월","화","수","목","금","토"))</f>
        <v/>
      </c>
      <c r="I1599" s="20">
        <f>IF($Q1599="","",INDEX(상세표[연속 시간],$Q1599))</f>
        <v/>
      </c>
      <c r="J1599">
        <f>IF($Q1599="","",INDEX(상세표[기록 수],$Q1599))</f>
        <v/>
      </c>
      <c r="K1599" s="20">
        <f>IF($Q1599="","",INDEX(상세표[블록 06~07시],$Q1599))</f>
        <v/>
      </c>
      <c r="L1599" s="20">
        <f>IF($Q1599="","",INDEX(상세표[블록 07~18시],$Q1599))</f>
        <v/>
      </c>
      <c r="M1599" s="20">
        <f>IF($Q1599="","",INDEX(상세표[블록 18~22시],$Q1599))</f>
        <v/>
      </c>
      <c r="N1599" s="20">
        <f>IF($Q1599="","",INDEX(상세표[블록 22~06시],$Q1599))</f>
        <v/>
      </c>
      <c r="O1599">
        <f>IF($Q1599="","",INDEX(상세표[주말·휴일 포함],$Q1599)&amp;"")</f>
        <v/>
      </c>
      <c r="P1599">
        <f>IF($Q1599="","",INDEX(상세표[월 넘김 포함],$Q1599)&amp;"")</f>
        <v/>
      </c>
      <c r="Q1599" s="4">
        <f>IFERROR(MATCH(1594,상세표[연속순번],0),"")</f>
        <v/>
      </c>
    </row>
    <row r="1600">
      <c r="A1600">
        <f>IF($Q1600="","",INDEX(상세표[부서],$Q1600)&amp;"")</f>
        <v/>
      </c>
      <c r="B1600">
        <f>IF($Q1600="","",INDEX(상세표[사번],$Q1600)&amp;"")</f>
        <v/>
      </c>
      <c r="C1600">
        <f>IF($Q1600="","",INDEX(상세표[성명],$Q1600)&amp;"")</f>
        <v/>
      </c>
      <c r="D1600">
        <f>IF($Q1600="","",INDEX(상세표[직위],$Q1600)&amp;"")</f>
        <v/>
      </c>
      <c r="E1600">
        <f>IF($Q1600="","",IF(ISNUMBER(INDEX(상세표[근무일자],$Q1600)),TEXT(INDEX(상세표[근무일자],$Q1600),"yyyy-mm-dd"),INDEX(상세표[근무일자],$Q1600)&amp;""))</f>
        <v/>
      </c>
      <c r="F1600">
        <f>IF($Q1600="","",IF(ISNUMBER(INDEX(상세표[시작],$Q1600)),TEXT(INDEX(상세표[시작],$Q1600),"yyyy-mm-dd hh:mm"),INDEX(상세표[시작],$Q1600)&amp;""))</f>
        <v/>
      </c>
      <c r="G1600">
        <f>IF($Q1600="","",IF(ISNUMBER(INDEX(상세표[블록종료],$Q1600)),TEXT(INDEX(상세표[블록종료],$Q1600),"yyyy-mm-dd hh:mm"),INDEX(상세표[블록종료],$Q1600)&amp;""))</f>
        <v/>
      </c>
      <c r="H1600">
        <f>IF($Q1600="","",CHOOSE(WEEKDAY(INDEX(상세표[시작],$Q1600)),"일","월","화","수","목","금","토"))</f>
        <v/>
      </c>
      <c r="I1600" s="20">
        <f>IF($Q1600="","",INDEX(상세표[연속 시간],$Q1600))</f>
        <v/>
      </c>
      <c r="J1600">
        <f>IF($Q1600="","",INDEX(상세표[기록 수],$Q1600))</f>
        <v/>
      </c>
      <c r="K1600" s="20">
        <f>IF($Q1600="","",INDEX(상세표[블록 06~07시],$Q1600))</f>
        <v/>
      </c>
      <c r="L1600" s="20">
        <f>IF($Q1600="","",INDEX(상세표[블록 07~18시],$Q1600))</f>
        <v/>
      </c>
      <c r="M1600" s="20">
        <f>IF($Q1600="","",INDEX(상세표[블록 18~22시],$Q1600))</f>
        <v/>
      </c>
      <c r="N1600" s="20">
        <f>IF($Q1600="","",INDEX(상세표[블록 22~06시],$Q1600))</f>
        <v/>
      </c>
      <c r="O1600">
        <f>IF($Q1600="","",INDEX(상세표[주말·휴일 포함],$Q1600)&amp;"")</f>
        <v/>
      </c>
      <c r="P1600">
        <f>IF($Q1600="","",INDEX(상세표[월 넘김 포함],$Q1600)&amp;"")</f>
        <v/>
      </c>
      <c r="Q1600" s="4">
        <f>IFERROR(MATCH(1595,상세표[연속순번],0),"")</f>
        <v/>
      </c>
    </row>
    <row r="1601">
      <c r="A1601">
        <f>IF($Q1601="","",INDEX(상세표[부서],$Q1601)&amp;"")</f>
        <v/>
      </c>
      <c r="B1601">
        <f>IF($Q1601="","",INDEX(상세표[사번],$Q1601)&amp;"")</f>
        <v/>
      </c>
      <c r="C1601">
        <f>IF($Q1601="","",INDEX(상세표[성명],$Q1601)&amp;"")</f>
        <v/>
      </c>
      <c r="D1601">
        <f>IF($Q1601="","",INDEX(상세표[직위],$Q1601)&amp;"")</f>
        <v/>
      </c>
      <c r="E1601">
        <f>IF($Q1601="","",IF(ISNUMBER(INDEX(상세표[근무일자],$Q1601)),TEXT(INDEX(상세표[근무일자],$Q1601),"yyyy-mm-dd"),INDEX(상세표[근무일자],$Q1601)&amp;""))</f>
        <v/>
      </c>
      <c r="F1601">
        <f>IF($Q1601="","",IF(ISNUMBER(INDEX(상세표[시작],$Q1601)),TEXT(INDEX(상세표[시작],$Q1601),"yyyy-mm-dd hh:mm"),INDEX(상세표[시작],$Q1601)&amp;""))</f>
        <v/>
      </c>
      <c r="G1601">
        <f>IF($Q1601="","",IF(ISNUMBER(INDEX(상세표[블록종료],$Q1601)),TEXT(INDEX(상세표[블록종료],$Q1601),"yyyy-mm-dd hh:mm"),INDEX(상세표[블록종료],$Q1601)&amp;""))</f>
        <v/>
      </c>
      <c r="H1601">
        <f>IF($Q1601="","",CHOOSE(WEEKDAY(INDEX(상세표[시작],$Q1601)),"일","월","화","수","목","금","토"))</f>
        <v/>
      </c>
      <c r="I1601" s="20">
        <f>IF($Q1601="","",INDEX(상세표[연속 시간],$Q1601))</f>
        <v/>
      </c>
      <c r="J1601">
        <f>IF($Q1601="","",INDEX(상세표[기록 수],$Q1601))</f>
        <v/>
      </c>
      <c r="K1601" s="20">
        <f>IF($Q1601="","",INDEX(상세표[블록 06~07시],$Q1601))</f>
        <v/>
      </c>
      <c r="L1601" s="20">
        <f>IF($Q1601="","",INDEX(상세표[블록 07~18시],$Q1601))</f>
        <v/>
      </c>
      <c r="M1601" s="20">
        <f>IF($Q1601="","",INDEX(상세표[블록 18~22시],$Q1601))</f>
        <v/>
      </c>
      <c r="N1601" s="20">
        <f>IF($Q1601="","",INDEX(상세표[블록 22~06시],$Q1601))</f>
        <v/>
      </c>
      <c r="O1601">
        <f>IF($Q1601="","",INDEX(상세표[주말·휴일 포함],$Q1601)&amp;"")</f>
        <v/>
      </c>
      <c r="P1601">
        <f>IF($Q1601="","",INDEX(상세표[월 넘김 포함],$Q1601)&amp;"")</f>
        <v/>
      </c>
      <c r="Q1601" s="4">
        <f>IFERROR(MATCH(1596,상세표[연속순번],0),"")</f>
        <v/>
      </c>
    </row>
    <row r="1602">
      <c r="A1602">
        <f>IF($Q1602="","",INDEX(상세표[부서],$Q1602)&amp;"")</f>
        <v/>
      </c>
      <c r="B1602">
        <f>IF($Q1602="","",INDEX(상세표[사번],$Q1602)&amp;"")</f>
        <v/>
      </c>
      <c r="C1602">
        <f>IF($Q1602="","",INDEX(상세표[성명],$Q1602)&amp;"")</f>
        <v/>
      </c>
      <c r="D1602">
        <f>IF($Q1602="","",INDEX(상세표[직위],$Q1602)&amp;"")</f>
        <v/>
      </c>
      <c r="E1602">
        <f>IF($Q1602="","",IF(ISNUMBER(INDEX(상세표[근무일자],$Q1602)),TEXT(INDEX(상세표[근무일자],$Q1602),"yyyy-mm-dd"),INDEX(상세표[근무일자],$Q1602)&amp;""))</f>
        <v/>
      </c>
      <c r="F1602">
        <f>IF($Q1602="","",IF(ISNUMBER(INDEX(상세표[시작],$Q1602)),TEXT(INDEX(상세표[시작],$Q1602),"yyyy-mm-dd hh:mm"),INDEX(상세표[시작],$Q1602)&amp;""))</f>
        <v/>
      </c>
      <c r="G1602">
        <f>IF($Q1602="","",IF(ISNUMBER(INDEX(상세표[블록종료],$Q1602)),TEXT(INDEX(상세표[블록종료],$Q1602),"yyyy-mm-dd hh:mm"),INDEX(상세표[블록종료],$Q1602)&amp;""))</f>
        <v/>
      </c>
      <c r="H1602">
        <f>IF($Q1602="","",CHOOSE(WEEKDAY(INDEX(상세표[시작],$Q1602)),"일","월","화","수","목","금","토"))</f>
        <v/>
      </c>
      <c r="I1602" s="20">
        <f>IF($Q1602="","",INDEX(상세표[연속 시간],$Q1602))</f>
        <v/>
      </c>
      <c r="J1602">
        <f>IF($Q1602="","",INDEX(상세표[기록 수],$Q1602))</f>
        <v/>
      </c>
      <c r="K1602" s="20">
        <f>IF($Q1602="","",INDEX(상세표[블록 06~07시],$Q1602))</f>
        <v/>
      </c>
      <c r="L1602" s="20">
        <f>IF($Q1602="","",INDEX(상세표[블록 07~18시],$Q1602))</f>
        <v/>
      </c>
      <c r="M1602" s="20">
        <f>IF($Q1602="","",INDEX(상세표[블록 18~22시],$Q1602))</f>
        <v/>
      </c>
      <c r="N1602" s="20">
        <f>IF($Q1602="","",INDEX(상세표[블록 22~06시],$Q1602))</f>
        <v/>
      </c>
      <c r="O1602">
        <f>IF($Q1602="","",INDEX(상세표[주말·휴일 포함],$Q1602)&amp;"")</f>
        <v/>
      </c>
      <c r="P1602">
        <f>IF($Q1602="","",INDEX(상세표[월 넘김 포함],$Q1602)&amp;"")</f>
        <v/>
      </c>
      <c r="Q1602" s="4">
        <f>IFERROR(MATCH(1597,상세표[연속순번],0),"")</f>
        <v/>
      </c>
    </row>
    <row r="1603">
      <c r="A1603">
        <f>IF($Q1603="","",INDEX(상세표[부서],$Q1603)&amp;"")</f>
        <v/>
      </c>
      <c r="B1603">
        <f>IF($Q1603="","",INDEX(상세표[사번],$Q1603)&amp;"")</f>
        <v/>
      </c>
      <c r="C1603">
        <f>IF($Q1603="","",INDEX(상세표[성명],$Q1603)&amp;"")</f>
        <v/>
      </c>
      <c r="D1603">
        <f>IF($Q1603="","",INDEX(상세표[직위],$Q1603)&amp;"")</f>
        <v/>
      </c>
      <c r="E1603">
        <f>IF($Q1603="","",IF(ISNUMBER(INDEX(상세표[근무일자],$Q1603)),TEXT(INDEX(상세표[근무일자],$Q1603),"yyyy-mm-dd"),INDEX(상세표[근무일자],$Q1603)&amp;""))</f>
        <v/>
      </c>
      <c r="F1603">
        <f>IF($Q1603="","",IF(ISNUMBER(INDEX(상세표[시작],$Q1603)),TEXT(INDEX(상세표[시작],$Q1603),"yyyy-mm-dd hh:mm"),INDEX(상세표[시작],$Q1603)&amp;""))</f>
        <v/>
      </c>
      <c r="G1603">
        <f>IF($Q1603="","",IF(ISNUMBER(INDEX(상세표[블록종료],$Q1603)),TEXT(INDEX(상세표[블록종료],$Q1603),"yyyy-mm-dd hh:mm"),INDEX(상세표[블록종료],$Q1603)&amp;""))</f>
        <v/>
      </c>
      <c r="H1603">
        <f>IF($Q1603="","",CHOOSE(WEEKDAY(INDEX(상세표[시작],$Q1603)),"일","월","화","수","목","금","토"))</f>
        <v/>
      </c>
      <c r="I1603" s="20">
        <f>IF($Q1603="","",INDEX(상세표[연속 시간],$Q1603))</f>
        <v/>
      </c>
      <c r="J1603">
        <f>IF($Q1603="","",INDEX(상세표[기록 수],$Q1603))</f>
        <v/>
      </c>
      <c r="K1603" s="20">
        <f>IF($Q1603="","",INDEX(상세표[블록 06~07시],$Q1603))</f>
        <v/>
      </c>
      <c r="L1603" s="20">
        <f>IF($Q1603="","",INDEX(상세표[블록 07~18시],$Q1603))</f>
        <v/>
      </c>
      <c r="M1603" s="20">
        <f>IF($Q1603="","",INDEX(상세표[블록 18~22시],$Q1603))</f>
        <v/>
      </c>
      <c r="N1603" s="20">
        <f>IF($Q1603="","",INDEX(상세표[블록 22~06시],$Q1603))</f>
        <v/>
      </c>
      <c r="O1603">
        <f>IF($Q1603="","",INDEX(상세표[주말·휴일 포함],$Q1603)&amp;"")</f>
        <v/>
      </c>
      <c r="P1603">
        <f>IF($Q1603="","",INDEX(상세표[월 넘김 포함],$Q1603)&amp;"")</f>
        <v/>
      </c>
      <c r="Q1603" s="4">
        <f>IFERROR(MATCH(1598,상세표[연속순번],0),"")</f>
        <v/>
      </c>
    </row>
    <row r="1604">
      <c r="A1604">
        <f>IF($Q1604="","",INDEX(상세표[부서],$Q1604)&amp;"")</f>
        <v/>
      </c>
      <c r="B1604">
        <f>IF($Q1604="","",INDEX(상세표[사번],$Q1604)&amp;"")</f>
        <v/>
      </c>
      <c r="C1604">
        <f>IF($Q1604="","",INDEX(상세표[성명],$Q1604)&amp;"")</f>
        <v/>
      </c>
      <c r="D1604">
        <f>IF($Q1604="","",INDEX(상세표[직위],$Q1604)&amp;"")</f>
        <v/>
      </c>
      <c r="E1604">
        <f>IF($Q1604="","",IF(ISNUMBER(INDEX(상세표[근무일자],$Q1604)),TEXT(INDEX(상세표[근무일자],$Q1604),"yyyy-mm-dd"),INDEX(상세표[근무일자],$Q1604)&amp;""))</f>
        <v/>
      </c>
      <c r="F1604">
        <f>IF($Q1604="","",IF(ISNUMBER(INDEX(상세표[시작],$Q1604)),TEXT(INDEX(상세표[시작],$Q1604),"yyyy-mm-dd hh:mm"),INDEX(상세표[시작],$Q1604)&amp;""))</f>
        <v/>
      </c>
      <c r="G1604">
        <f>IF($Q1604="","",IF(ISNUMBER(INDEX(상세표[블록종료],$Q1604)),TEXT(INDEX(상세표[블록종료],$Q1604),"yyyy-mm-dd hh:mm"),INDEX(상세표[블록종료],$Q1604)&amp;""))</f>
        <v/>
      </c>
      <c r="H1604">
        <f>IF($Q1604="","",CHOOSE(WEEKDAY(INDEX(상세표[시작],$Q1604)),"일","월","화","수","목","금","토"))</f>
        <v/>
      </c>
      <c r="I1604" s="20">
        <f>IF($Q1604="","",INDEX(상세표[연속 시간],$Q1604))</f>
        <v/>
      </c>
      <c r="J1604">
        <f>IF($Q1604="","",INDEX(상세표[기록 수],$Q1604))</f>
        <v/>
      </c>
      <c r="K1604" s="20">
        <f>IF($Q1604="","",INDEX(상세표[블록 06~07시],$Q1604))</f>
        <v/>
      </c>
      <c r="L1604" s="20">
        <f>IF($Q1604="","",INDEX(상세표[블록 07~18시],$Q1604))</f>
        <v/>
      </c>
      <c r="M1604" s="20">
        <f>IF($Q1604="","",INDEX(상세표[블록 18~22시],$Q1604))</f>
        <v/>
      </c>
      <c r="N1604" s="20">
        <f>IF($Q1604="","",INDEX(상세표[블록 22~06시],$Q1604))</f>
        <v/>
      </c>
      <c r="O1604">
        <f>IF($Q1604="","",INDEX(상세표[주말·휴일 포함],$Q1604)&amp;"")</f>
        <v/>
      </c>
      <c r="P1604">
        <f>IF($Q1604="","",INDEX(상세표[월 넘김 포함],$Q1604)&amp;"")</f>
        <v/>
      </c>
      <c r="Q1604" s="4">
        <f>IFERROR(MATCH(1599,상세표[연속순번],0),"")</f>
        <v/>
      </c>
    </row>
    <row r="1605">
      <c r="A1605">
        <f>IF($Q1605="","",INDEX(상세표[부서],$Q1605)&amp;"")</f>
        <v/>
      </c>
      <c r="B1605">
        <f>IF($Q1605="","",INDEX(상세표[사번],$Q1605)&amp;"")</f>
        <v/>
      </c>
      <c r="C1605">
        <f>IF($Q1605="","",INDEX(상세표[성명],$Q1605)&amp;"")</f>
        <v/>
      </c>
      <c r="D1605">
        <f>IF($Q1605="","",INDEX(상세표[직위],$Q1605)&amp;"")</f>
        <v/>
      </c>
      <c r="E1605">
        <f>IF($Q1605="","",IF(ISNUMBER(INDEX(상세표[근무일자],$Q1605)),TEXT(INDEX(상세표[근무일자],$Q1605),"yyyy-mm-dd"),INDEX(상세표[근무일자],$Q1605)&amp;""))</f>
        <v/>
      </c>
      <c r="F1605">
        <f>IF($Q1605="","",IF(ISNUMBER(INDEX(상세표[시작],$Q1605)),TEXT(INDEX(상세표[시작],$Q1605),"yyyy-mm-dd hh:mm"),INDEX(상세표[시작],$Q1605)&amp;""))</f>
        <v/>
      </c>
      <c r="G1605">
        <f>IF($Q1605="","",IF(ISNUMBER(INDEX(상세표[블록종료],$Q1605)),TEXT(INDEX(상세표[블록종료],$Q1605),"yyyy-mm-dd hh:mm"),INDEX(상세표[블록종료],$Q1605)&amp;""))</f>
        <v/>
      </c>
      <c r="H1605">
        <f>IF($Q1605="","",CHOOSE(WEEKDAY(INDEX(상세표[시작],$Q1605)),"일","월","화","수","목","금","토"))</f>
        <v/>
      </c>
      <c r="I1605" s="20">
        <f>IF($Q1605="","",INDEX(상세표[연속 시간],$Q1605))</f>
        <v/>
      </c>
      <c r="J1605">
        <f>IF($Q1605="","",INDEX(상세표[기록 수],$Q1605))</f>
        <v/>
      </c>
      <c r="K1605" s="20">
        <f>IF($Q1605="","",INDEX(상세표[블록 06~07시],$Q1605))</f>
        <v/>
      </c>
      <c r="L1605" s="20">
        <f>IF($Q1605="","",INDEX(상세표[블록 07~18시],$Q1605))</f>
        <v/>
      </c>
      <c r="M1605" s="20">
        <f>IF($Q1605="","",INDEX(상세표[블록 18~22시],$Q1605))</f>
        <v/>
      </c>
      <c r="N1605" s="20">
        <f>IF($Q1605="","",INDEX(상세표[블록 22~06시],$Q1605))</f>
        <v/>
      </c>
      <c r="O1605">
        <f>IF($Q1605="","",INDEX(상세표[주말·휴일 포함],$Q1605)&amp;"")</f>
        <v/>
      </c>
      <c r="P1605">
        <f>IF($Q1605="","",INDEX(상세표[월 넘김 포함],$Q1605)&amp;"")</f>
        <v/>
      </c>
      <c r="Q1605" s="4">
        <f>IFERROR(MATCH(1600,상세표[연속순번],0),"")</f>
        <v/>
      </c>
    </row>
    <row r="1606">
      <c r="A1606">
        <f>IF($Q1606="","",INDEX(상세표[부서],$Q1606)&amp;"")</f>
        <v/>
      </c>
      <c r="B1606">
        <f>IF($Q1606="","",INDEX(상세표[사번],$Q1606)&amp;"")</f>
        <v/>
      </c>
      <c r="C1606">
        <f>IF($Q1606="","",INDEX(상세표[성명],$Q1606)&amp;"")</f>
        <v/>
      </c>
      <c r="D1606">
        <f>IF($Q1606="","",INDEX(상세표[직위],$Q1606)&amp;"")</f>
        <v/>
      </c>
      <c r="E1606">
        <f>IF($Q1606="","",IF(ISNUMBER(INDEX(상세표[근무일자],$Q1606)),TEXT(INDEX(상세표[근무일자],$Q1606),"yyyy-mm-dd"),INDEX(상세표[근무일자],$Q1606)&amp;""))</f>
        <v/>
      </c>
      <c r="F1606">
        <f>IF($Q1606="","",IF(ISNUMBER(INDEX(상세표[시작],$Q1606)),TEXT(INDEX(상세표[시작],$Q1606),"yyyy-mm-dd hh:mm"),INDEX(상세표[시작],$Q1606)&amp;""))</f>
        <v/>
      </c>
      <c r="G1606">
        <f>IF($Q1606="","",IF(ISNUMBER(INDEX(상세표[블록종료],$Q1606)),TEXT(INDEX(상세표[블록종료],$Q1606),"yyyy-mm-dd hh:mm"),INDEX(상세표[블록종료],$Q1606)&amp;""))</f>
        <v/>
      </c>
      <c r="H1606">
        <f>IF($Q1606="","",CHOOSE(WEEKDAY(INDEX(상세표[시작],$Q1606)),"일","월","화","수","목","금","토"))</f>
        <v/>
      </c>
      <c r="I1606" s="20">
        <f>IF($Q1606="","",INDEX(상세표[연속 시간],$Q1606))</f>
        <v/>
      </c>
      <c r="J1606">
        <f>IF($Q1606="","",INDEX(상세표[기록 수],$Q1606))</f>
        <v/>
      </c>
      <c r="K1606" s="20">
        <f>IF($Q1606="","",INDEX(상세표[블록 06~07시],$Q1606))</f>
        <v/>
      </c>
      <c r="L1606" s="20">
        <f>IF($Q1606="","",INDEX(상세표[블록 07~18시],$Q1606))</f>
        <v/>
      </c>
      <c r="M1606" s="20">
        <f>IF($Q1606="","",INDEX(상세표[블록 18~22시],$Q1606))</f>
        <v/>
      </c>
      <c r="N1606" s="20">
        <f>IF($Q1606="","",INDEX(상세표[블록 22~06시],$Q1606))</f>
        <v/>
      </c>
      <c r="O1606">
        <f>IF($Q1606="","",INDEX(상세표[주말·휴일 포함],$Q1606)&amp;"")</f>
        <v/>
      </c>
      <c r="P1606">
        <f>IF($Q1606="","",INDEX(상세표[월 넘김 포함],$Q1606)&amp;"")</f>
        <v/>
      </c>
      <c r="Q1606" s="4">
        <f>IFERROR(MATCH(1601,상세표[연속순번],0),"")</f>
        <v/>
      </c>
    </row>
    <row r="1607">
      <c r="A1607">
        <f>IF($Q1607="","",INDEX(상세표[부서],$Q1607)&amp;"")</f>
        <v/>
      </c>
      <c r="B1607">
        <f>IF($Q1607="","",INDEX(상세표[사번],$Q1607)&amp;"")</f>
        <v/>
      </c>
      <c r="C1607">
        <f>IF($Q1607="","",INDEX(상세표[성명],$Q1607)&amp;"")</f>
        <v/>
      </c>
      <c r="D1607">
        <f>IF($Q1607="","",INDEX(상세표[직위],$Q1607)&amp;"")</f>
        <v/>
      </c>
      <c r="E1607">
        <f>IF($Q1607="","",IF(ISNUMBER(INDEX(상세표[근무일자],$Q1607)),TEXT(INDEX(상세표[근무일자],$Q1607),"yyyy-mm-dd"),INDEX(상세표[근무일자],$Q1607)&amp;""))</f>
        <v/>
      </c>
      <c r="F1607">
        <f>IF($Q1607="","",IF(ISNUMBER(INDEX(상세표[시작],$Q1607)),TEXT(INDEX(상세표[시작],$Q1607),"yyyy-mm-dd hh:mm"),INDEX(상세표[시작],$Q1607)&amp;""))</f>
        <v/>
      </c>
      <c r="G1607">
        <f>IF($Q1607="","",IF(ISNUMBER(INDEX(상세표[블록종료],$Q1607)),TEXT(INDEX(상세표[블록종료],$Q1607),"yyyy-mm-dd hh:mm"),INDEX(상세표[블록종료],$Q1607)&amp;""))</f>
        <v/>
      </c>
      <c r="H1607">
        <f>IF($Q1607="","",CHOOSE(WEEKDAY(INDEX(상세표[시작],$Q1607)),"일","월","화","수","목","금","토"))</f>
        <v/>
      </c>
      <c r="I1607" s="20">
        <f>IF($Q1607="","",INDEX(상세표[연속 시간],$Q1607))</f>
        <v/>
      </c>
      <c r="J1607">
        <f>IF($Q1607="","",INDEX(상세표[기록 수],$Q1607))</f>
        <v/>
      </c>
      <c r="K1607" s="20">
        <f>IF($Q1607="","",INDEX(상세표[블록 06~07시],$Q1607))</f>
        <v/>
      </c>
      <c r="L1607" s="20">
        <f>IF($Q1607="","",INDEX(상세표[블록 07~18시],$Q1607))</f>
        <v/>
      </c>
      <c r="M1607" s="20">
        <f>IF($Q1607="","",INDEX(상세표[블록 18~22시],$Q1607))</f>
        <v/>
      </c>
      <c r="N1607" s="20">
        <f>IF($Q1607="","",INDEX(상세표[블록 22~06시],$Q1607))</f>
        <v/>
      </c>
      <c r="O1607">
        <f>IF($Q1607="","",INDEX(상세표[주말·휴일 포함],$Q1607)&amp;"")</f>
        <v/>
      </c>
      <c r="P1607">
        <f>IF($Q1607="","",INDEX(상세표[월 넘김 포함],$Q1607)&amp;"")</f>
        <v/>
      </c>
      <c r="Q1607" s="4">
        <f>IFERROR(MATCH(1602,상세표[연속순번],0),"")</f>
        <v/>
      </c>
    </row>
    <row r="1608">
      <c r="A1608">
        <f>IF($Q1608="","",INDEX(상세표[부서],$Q1608)&amp;"")</f>
        <v/>
      </c>
      <c r="B1608">
        <f>IF($Q1608="","",INDEX(상세표[사번],$Q1608)&amp;"")</f>
        <v/>
      </c>
      <c r="C1608">
        <f>IF($Q1608="","",INDEX(상세표[성명],$Q1608)&amp;"")</f>
        <v/>
      </c>
      <c r="D1608">
        <f>IF($Q1608="","",INDEX(상세표[직위],$Q1608)&amp;"")</f>
        <v/>
      </c>
      <c r="E1608">
        <f>IF($Q1608="","",IF(ISNUMBER(INDEX(상세표[근무일자],$Q1608)),TEXT(INDEX(상세표[근무일자],$Q1608),"yyyy-mm-dd"),INDEX(상세표[근무일자],$Q1608)&amp;""))</f>
        <v/>
      </c>
      <c r="F1608">
        <f>IF($Q1608="","",IF(ISNUMBER(INDEX(상세표[시작],$Q1608)),TEXT(INDEX(상세표[시작],$Q1608),"yyyy-mm-dd hh:mm"),INDEX(상세표[시작],$Q1608)&amp;""))</f>
        <v/>
      </c>
      <c r="G1608">
        <f>IF($Q1608="","",IF(ISNUMBER(INDEX(상세표[블록종료],$Q1608)),TEXT(INDEX(상세표[블록종료],$Q1608),"yyyy-mm-dd hh:mm"),INDEX(상세표[블록종료],$Q1608)&amp;""))</f>
        <v/>
      </c>
      <c r="H1608">
        <f>IF($Q1608="","",CHOOSE(WEEKDAY(INDEX(상세표[시작],$Q1608)),"일","월","화","수","목","금","토"))</f>
        <v/>
      </c>
      <c r="I1608" s="20">
        <f>IF($Q1608="","",INDEX(상세표[연속 시간],$Q1608))</f>
        <v/>
      </c>
      <c r="J1608">
        <f>IF($Q1608="","",INDEX(상세표[기록 수],$Q1608))</f>
        <v/>
      </c>
      <c r="K1608" s="20">
        <f>IF($Q1608="","",INDEX(상세표[블록 06~07시],$Q1608))</f>
        <v/>
      </c>
      <c r="L1608" s="20">
        <f>IF($Q1608="","",INDEX(상세표[블록 07~18시],$Q1608))</f>
        <v/>
      </c>
      <c r="M1608" s="20">
        <f>IF($Q1608="","",INDEX(상세표[블록 18~22시],$Q1608))</f>
        <v/>
      </c>
      <c r="N1608" s="20">
        <f>IF($Q1608="","",INDEX(상세표[블록 22~06시],$Q1608))</f>
        <v/>
      </c>
      <c r="O1608">
        <f>IF($Q1608="","",INDEX(상세표[주말·휴일 포함],$Q1608)&amp;"")</f>
        <v/>
      </c>
      <c r="P1608">
        <f>IF($Q1608="","",INDEX(상세표[월 넘김 포함],$Q1608)&amp;"")</f>
        <v/>
      </c>
      <c r="Q1608" s="4">
        <f>IFERROR(MATCH(1603,상세표[연속순번],0),"")</f>
        <v/>
      </c>
    </row>
    <row r="1609">
      <c r="A1609">
        <f>IF($Q1609="","",INDEX(상세표[부서],$Q1609)&amp;"")</f>
        <v/>
      </c>
      <c r="B1609">
        <f>IF($Q1609="","",INDEX(상세표[사번],$Q1609)&amp;"")</f>
        <v/>
      </c>
      <c r="C1609">
        <f>IF($Q1609="","",INDEX(상세표[성명],$Q1609)&amp;"")</f>
        <v/>
      </c>
      <c r="D1609">
        <f>IF($Q1609="","",INDEX(상세표[직위],$Q1609)&amp;"")</f>
        <v/>
      </c>
      <c r="E1609">
        <f>IF($Q1609="","",IF(ISNUMBER(INDEX(상세표[근무일자],$Q1609)),TEXT(INDEX(상세표[근무일자],$Q1609),"yyyy-mm-dd"),INDEX(상세표[근무일자],$Q1609)&amp;""))</f>
        <v/>
      </c>
      <c r="F1609">
        <f>IF($Q1609="","",IF(ISNUMBER(INDEX(상세표[시작],$Q1609)),TEXT(INDEX(상세표[시작],$Q1609),"yyyy-mm-dd hh:mm"),INDEX(상세표[시작],$Q1609)&amp;""))</f>
        <v/>
      </c>
      <c r="G1609">
        <f>IF($Q1609="","",IF(ISNUMBER(INDEX(상세표[블록종료],$Q1609)),TEXT(INDEX(상세표[블록종료],$Q1609),"yyyy-mm-dd hh:mm"),INDEX(상세표[블록종료],$Q1609)&amp;""))</f>
        <v/>
      </c>
      <c r="H1609">
        <f>IF($Q1609="","",CHOOSE(WEEKDAY(INDEX(상세표[시작],$Q1609)),"일","월","화","수","목","금","토"))</f>
        <v/>
      </c>
      <c r="I1609" s="20">
        <f>IF($Q1609="","",INDEX(상세표[연속 시간],$Q1609))</f>
        <v/>
      </c>
      <c r="J1609">
        <f>IF($Q1609="","",INDEX(상세표[기록 수],$Q1609))</f>
        <v/>
      </c>
      <c r="K1609" s="20">
        <f>IF($Q1609="","",INDEX(상세표[블록 06~07시],$Q1609))</f>
        <v/>
      </c>
      <c r="L1609" s="20">
        <f>IF($Q1609="","",INDEX(상세표[블록 07~18시],$Q1609))</f>
        <v/>
      </c>
      <c r="M1609" s="20">
        <f>IF($Q1609="","",INDEX(상세표[블록 18~22시],$Q1609))</f>
        <v/>
      </c>
      <c r="N1609" s="20">
        <f>IF($Q1609="","",INDEX(상세표[블록 22~06시],$Q1609))</f>
        <v/>
      </c>
      <c r="O1609">
        <f>IF($Q1609="","",INDEX(상세표[주말·휴일 포함],$Q1609)&amp;"")</f>
        <v/>
      </c>
      <c r="P1609">
        <f>IF($Q1609="","",INDEX(상세표[월 넘김 포함],$Q1609)&amp;"")</f>
        <v/>
      </c>
      <c r="Q1609" s="4">
        <f>IFERROR(MATCH(1604,상세표[연속순번],0),"")</f>
        <v/>
      </c>
    </row>
    <row r="1610">
      <c r="A1610">
        <f>IF($Q1610="","",INDEX(상세표[부서],$Q1610)&amp;"")</f>
        <v/>
      </c>
      <c r="B1610">
        <f>IF($Q1610="","",INDEX(상세표[사번],$Q1610)&amp;"")</f>
        <v/>
      </c>
      <c r="C1610">
        <f>IF($Q1610="","",INDEX(상세표[성명],$Q1610)&amp;"")</f>
        <v/>
      </c>
      <c r="D1610">
        <f>IF($Q1610="","",INDEX(상세표[직위],$Q1610)&amp;"")</f>
        <v/>
      </c>
      <c r="E1610">
        <f>IF($Q1610="","",IF(ISNUMBER(INDEX(상세표[근무일자],$Q1610)),TEXT(INDEX(상세표[근무일자],$Q1610),"yyyy-mm-dd"),INDEX(상세표[근무일자],$Q1610)&amp;""))</f>
        <v/>
      </c>
      <c r="F1610">
        <f>IF($Q1610="","",IF(ISNUMBER(INDEX(상세표[시작],$Q1610)),TEXT(INDEX(상세표[시작],$Q1610),"yyyy-mm-dd hh:mm"),INDEX(상세표[시작],$Q1610)&amp;""))</f>
        <v/>
      </c>
      <c r="G1610">
        <f>IF($Q1610="","",IF(ISNUMBER(INDEX(상세표[블록종료],$Q1610)),TEXT(INDEX(상세표[블록종료],$Q1610),"yyyy-mm-dd hh:mm"),INDEX(상세표[블록종료],$Q1610)&amp;""))</f>
        <v/>
      </c>
      <c r="H1610">
        <f>IF($Q1610="","",CHOOSE(WEEKDAY(INDEX(상세표[시작],$Q1610)),"일","월","화","수","목","금","토"))</f>
        <v/>
      </c>
      <c r="I1610" s="20">
        <f>IF($Q1610="","",INDEX(상세표[연속 시간],$Q1610))</f>
        <v/>
      </c>
      <c r="J1610">
        <f>IF($Q1610="","",INDEX(상세표[기록 수],$Q1610))</f>
        <v/>
      </c>
      <c r="K1610" s="20">
        <f>IF($Q1610="","",INDEX(상세표[블록 06~07시],$Q1610))</f>
        <v/>
      </c>
      <c r="L1610" s="20">
        <f>IF($Q1610="","",INDEX(상세표[블록 07~18시],$Q1610))</f>
        <v/>
      </c>
      <c r="M1610" s="20">
        <f>IF($Q1610="","",INDEX(상세표[블록 18~22시],$Q1610))</f>
        <v/>
      </c>
      <c r="N1610" s="20">
        <f>IF($Q1610="","",INDEX(상세표[블록 22~06시],$Q1610))</f>
        <v/>
      </c>
      <c r="O1610">
        <f>IF($Q1610="","",INDEX(상세표[주말·휴일 포함],$Q1610)&amp;"")</f>
        <v/>
      </c>
      <c r="P1610">
        <f>IF($Q1610="","",INDEX(상세표[월 넘김 포함],$Q1610)&amp;"")</f>
        <v/>
      </c>
      <c r="Q1610" s="4">
        <f>IFERROR(MATCH(1605,상세표[연속순번],0),"")</f>
        <v/>
      </c>
    </row>
    <row r="1611">
      <c r="A1611">
        <f>IF($Q1611="","",INDEX(상세표[부서],$Q1611)&amp;"")</f>
        <v/>
      </c>
      <c r="B1611">
        <f>IF($Q1611="","",INDEX(상세표[사번],$Q1611)&amp;"")</f>
        <v/>
      </c>
      <c r="C1611">
        <f>IF($Q1611="","",INDEX(상세표[성명],$Q1611)&amp;"")</f>
        <v/>
      </c>
      <c r="D1611">
        <f>IF($Q1611="","",INDEX(상세표[직위],$Q1611)&amp;"")</f>
        <v/>
      </c>
      <c r="E1611">
        <f>IF($Q1611="","",IF(ISNUMBER(INDEX(상세표[근무일자],$Q1611)),TEXT(INDEX(상세표[근무일자],$Q1611),"yyyy-mm-dd"),INDEX(상세표[근무일자],$Q1611)&amp;""))</f>
        <v/>
      </c>
      <c r="F1611">
        <f>IF($Q1611="","",IF(ISNUMBER(INDEX(상세표[시작],$Q1611)),TEXT(INDEX(상세표[시작],$Q1611),"yyyy-mm-dd hh:mm"),INDEX(상세표[시작],$Q1611)&amp;""))</f>
        <v/>
      </c>
      <c r="G1611">
        <f>IF($Q1611="","",IF(ISNUMBER(INDEX(상세표[블록종료],$Q1611)),TEXT(INDEX(상세표[블록종료],$Q1611),"yyyy-mm-dd hh:mm"),INDEX(상세표[블록종료],$Q1611)&amp;""))</f>
        <v/>
      </c>
      <c r="H1611">
        <f>IF($Q1611="","",CHOOSE(WEEKDAY(INDEX(상세표[시작],$Q1611)),"일","월","화","수","목","금","토"))</f>
        <v/>
      </c>
      <c r="I1611" s="20">
        <f>IF($Q1611="","",INDEX(상세표[연속 시간],$Q1611))</f>
        <v/>
      </c>
      <c r="J1611">
        <f>IF($Q1611="","",INDEX(상세표[기록 수],$Q1611))</f>
        <v/>
      </c>
      <c r="K1611" s="20">
        <f>IF($Q1611="","",INDEX(상세표[블록 06~07시],$Q1611))</f>
        <v/>
      </c>
      <c r="L1611" s="20">
        <f>IF($Q1611="","",INDEX(상세표[블록 07~18시],$Q1611))</f>
        <v/>
      </c>
      <c r="M1611" s="20">
        <f>IF($Q1611="","",INDEX(상세표[블록 18~22시],$Q1611))</f>
        <v/>
      </c>
      <c r="N1611" s="20">
        <f>IF($Q1611="","",INDEX(상세표[블록 22~06시],$Q1611))</f>
        <v/>
      </c>
      <c r="O1611">
        <f>IF($Q1611="","",INDEX(상세표[주말·휴일 포함],$Q1611)&amp;"")</f>
        <v/>
      </c>
      <c r="P1611">
        <f>IF($Q1611="","",INDEX(상세표[월 넘김 포함],$Q1611)&amp;"")</f>
        <v/>
      </c>
      <c r="Q1611" s="4">
        <f>IFERROR(MATCH(1606,상세표[연속순번],0),"")</f>
        <v/>
      </c>
    </row>
    <row r="1612">
      <c r="A1612">
        <f>IF($Q1612="","",INDEX(상세표[부서],$Q1612)&amp;"")</f>
        <v/>
      </c>
      <c r="B1612">
        <f>IF($Q1612="","",INDEX(상세표[사번],$Q1612)&amp;"")</f>
        <v/>
      </c>
      <c r="C1612">
        <f>IF($Q1612="","",INDEX(상세표[성명],$Q1612)&amp;"")</f>
        <v/>
      </c>
      <c r="D1612">
        <f>IF($Q1612="","",INDEX(상세표[직위],$Q1612)&amp;"")</f>
        <v/>
      </c>
      <c r="E1612">
        <f>IF($Q1612="","",IF(ISNUMBER(INDEX(상세표[근무일자],$Q1612)),TEXT(INDEX(상세표[근무일자],$Q1612),"yyyy-mm-dd"),INDEX(상세표[근무일자],$Q1612)&amp;""))</f>
        <v/>
      </c>
      <c r="F1612">
        <f>IF($Q1612="","",IF(ISNUMBER(INDEX(상세표[시작],$Q1612)),TEXT(INDEX(상세표[시작],$Q1612),"yyyy-mm-dd hh:mm"),INDEX(상세표[시작],$Q1612)&amp;""))</f>
        <v/>
      </c>
      <c r="G1612">
        <f>IF($Q1612="","",IF(ISNUMBER(INDEX(상세표[블록종료],$Q1612)),TEXT(INDEX(상세표[블록종료],$Q1612),"yyyy-mm-dd hh:mm"),INDEX(상세표[블록종료],$Q1612)&amp;""))</f>
        <v/>
      </c>
      <c r="H1612">
        <f>IF($Q1612="","",CHOOSE(WEEKDAY(INDEX(상세표[시작],$Q1612)),"일","월","화","수","목","금","토"))</f>
        <v/>
      </c>
      <c r="I1612" s="20">
        <f>IF($Q1612="","",INDEX(상세표[연속 시간],$Q1612))</f>
        <v/>
      </c>
      <c r="J1612">
        <f>IF($Q1612="","",INDEX(상세표[기록 수],$Q1612))</f>
        <v/>
      </c>
      <c r="K1612" s="20">
        <f>IF($Q1612="","",INDEX(상세표[블록 06~07시],$Q1612))</f>
        <v/>
      </c>
      <c r="L1612" s="20">
        <f>IF($Q1612="","",INDEX(상세표[블록 07~18시],$Q1612))</f>
        <v/>
      </c>
      <c r="M1612" s="20">
        <f>IF($Q1612="","",INDEX(상세표[블록 18~22시],$Q1612))</f>
        <v/>
      </c>
      <c r="N1612" s="20">
        <f>IF($Q1612="","",INDEX(상세표[블록 22~06시],$Q1612))</f>
        <v/>
      </c>
      <c r="O1612">
        <f>IF($Q1612="","",INDEX(상세표[주말·휴일 포함],$Q1612)&amp;"")</f>
        <v/>
      </c>
      <c r="P1612">
        <f>IF($Q1612="","",INDEX(상세표[월 넘김 포함],$Q1612)&amp;"")</f>
        <v/>
      </c>
      <c r="Q1612" s="4">
        <f>IFERROR(MATCH(1607,상세표[연속순번],0),"")</f>
        <v/>
      </c>
    </row>
    <row r="1613">
      <c r="A1613">
        <f>IF($Q1613="","",INDEX(상세표[부서],$Q1613)&amp;"")</f>
        <v/>
      </c>
      <c r="B1613">
        <f>IF($Q1613="","",INDEX(상세표[사번],$Q1613)&amp;"")</f>
        <v/>
      </c>
      <c r="C1613">
        <f>IF($Q1613="","",INDEX(상세표[성명],$Q1613)&amp;"")</f>
        <v/>
      </c>
      <c r="D1613">
        <f>IF($Q1613="","",INDEX(상세표[직위],$Q1613)&amp;"")</f>
        <v/>
      </c>
      <c r="E1613">
        <f>IF($Q1613="","",IF(ISNUMBER(INDEX(상세표[근무일자],$Q1613)),TEXT(INDEX(상세표[근무일자],$Q1613),"yyyy-mm-dd"),INDEX(상세표[근무일자],$Q1613)&amp;""))</f>
        <v/>
      </c>
      <c r="F1613">
        <f>IF($Q1613="","",IF(ISNUMBER(INDEX(상세표[시작],$Q1613)),TEXT(INDEX(상세표[시작],$Q1613),"yyyy-mm-dd hh:mm"),INDEX(상세표[시작],$Q1613)&amp;""))</f>
        <v/>
      </c>
      <c r="G1613">
        <f>IF($Q1613="","",IF(ISNUMBER(INDEX(상세표[블록종료],$Q1613)),TEXT(INDEX(상세표[블록종료],$Q1613),"yyyy-mm-dd hh:mm"),INDEX(상세표[블록종료],$Q1613)&amp;""))</f>
        <v/>
      </c>
      <c r="H1613">
        <f>IF($Q1613="","",CHOOSE(WEEKDAY(INDEX(상세표[시작],$Q1613)),"일","월","화","수","목","금","토"))</f>
        <v/>
      </c>
      <c r="I1613" s="20">
        <f>IF($Q1613="","",INDEX(상세표[연속 시간],$Q1613))</f>
        <v/>
      </c>
      <c r="J1613">
        <f>IF($Q1613="","",INDEX(상세표[기록 수],$Q1613))</f>
        <v/>
      </c>
      <c r="K1613" s="20">
        <f>IF($Q1613="","",INDEX(상세표[블록 06~07시],$Q1613))</f>
        <v/>
      </c>
      <c r="L1613" s="20">
        <f>IF($Q1613="","",INDEX(상세표[블록 07~18시],$Q1613))</f>
        <v/>
      </c>
      <c r="M1613" s="20">
        <f>IF($Q1613="","",INDEX(상세표[블록 18~22시],$Q1613))</f>
        <v/>
      </c>
      <c r="N1613" s="20">
        <f>IF($Q1613="","",INDEX(상세표[블록 22~06시],$Q1613))</f>
        <v/>
      </c>
      <c r="O1613">
        <f>IF($Q1613="","",INDEX(상세표[주말·휴일 포함],$Q1613)&amp;"")</f>
        <v/>
      </c>
      <c r="P1613">
        <f>IF($Q1613="","",INDEX(상세표[월 넘김 포함],$Q1613)&amp;"")</f>
        <v/>
      </c>
      <c r="Q1613" s="4">
        <f>IFERROR(MATCH(1608,상세표[연속순번],0),"")</f>
        <v/>
      </c>
    </row>
    <row r="1614">
      <c r="A1614">
        <f>IF($Q1614="","",INDEX(상세표[부서],$Q1614)&amp;"")</f>
        <v/>
      </c>
      <c r="B1614">
        <f>IF($Q1614="","",INDEX(상세표[사번],$Q1614)&amp;"")</f>
        <v/>
      </c>
      <c r="C1614">
        <f>IF($Q1614="","",INDEX(상세표[성명],$Q1614)&amp;"")</f>
        <v/>
      </c>
      <c r="D1614">
        <f>IF($Q1614="","",INDEX(상세표[직위],$Q1614)&amp;"")</f>
        <v/>
      </c>
      <c r="E1614">
        <f>IF($Q1614="","",IF(ISNUMBER(INDEX(상세표[근무일자],$Q1614)),TEXT(INDEX(상세표[근무일자],$Q1614),"yyyy-mm-dd"),INDEX(상세표[근무일자],$Q1614)&amp;""))</f>
        <v/>
      </c>
      <c r="F1614">
        <f>IF($Q1614="","",IF(ISNUMBER(INDEX(상세표[시작],$Q1614)),TEXT(INDEX(상세표[시작],$Q1614),"yyyy-mm-dd hh:mm"),INDEX(상세표[시작],$Q1614)&amp;""))</f>
        <v/>
      </c>
      <c r="G1614">
        <f>IF($Q1614="","",IF(ISNUMBER(INDEX(상세표[블록종료],$Q1614)),TEXT(INDEX(상세표[블록종료],$Q1614),"yyyy-mm-dd hh:mm"),INDEX(상세표[블록종료],$Q1614)&amp;""))</f>
        <v/>
      </c>
      <c r="H1614">
        <f>IF($Q1614="","",CHOOSE(WEEKDAY(INDEX(상세표[시작],$Q1614)),"일","월","화","수","목","금","토"))</f>
        <v/>
      </c>
      <c r="I1614" s="20">
        <f>IF($Q1614="","",INDEX(상세표[연속 시간],$Q1614))</f>
        <v/>
      </c>
      <c r="J1614">
        <f>IF($Q1614="","",INDEX(상세표[기록 수],$Q1614))</f>
        <v/>
      </c>
      <c r="K1614" s="20">
        <f>IF($Q1614="","",INDEX(상세표[블록 06~07시],$Q1614))</f>
        <v/>
      </c>
      <c r="L1614" s="20">
        <f>IF($Q1614="","",INDEX(상세표[블록 07~18시],$Q1614))</f>
        <v/>
      </c>
      <c r="M1614" s="20">
        <f>IF($Q1614="","",INDEX(상세표[블록 18~22시],$Q1614))</f>
        <v/>
      </c>
      <c r="N1614" s="20">
        <f>IF($Q1614="","",INDEX(상세표[블록 22~06시],$Q1614))</f>
        <v/>
      </c>
      <c r="O1614">
        <f>IF($Q1614="","",INDEX(상세표[주말·휴일 포함],$Q1614)&amp;"")</f>
        <v/>
      </c>
      <c r="P1614">
        <f>IF($Q1614="","",INDEX(상세표[월 넘김 포함],$Q1614)&amp;"")</f>
        <v/>
      </c>
      <c r="Q1614" s="4">
        <f>IFERROR(MATCH(1609,상세표[연속순번],0),"")</f>
        <v/>
      </c>
    </row>
    <row r="1615">
      <c r="A1615">
        <f>IF($Q1615="","",INDEX(상세표[부서],$Q1615)&amp;"")</f>
        <v/>
      </c>
      <c r="B1615">
        <f>IF($Q1615="","",INDEX(상세표[사번],$Q1615)&amp;"")</f>
        <v/>
      </c>
      <c r="C1615">
        <f>IF($Q1615="","",INDEX(상세표[성명],$Q1615)&amp;"")</f>
        <v/>
      </c>
      <c r="D1615">
        <f>IF($Q1615="","",INDEX(상세표[직위],$Q1615)&amp;"")</f>
        <v/>
      </c>
      <c r="E1615">
        <f>IF($Q1615="","",IF(ISNUMBER(INDEX(상세표[근무일자],$Q1615)),TEXT(INDEX(상세표[근무일자],$Q1615),"yyyy-mm-dd"),INDEX(상세표[근무일자],$Q1615)&amp;""))</f>
        <v/>
      </c>
      <c r="F1615">
        <f>IF($Q1615="","",IF(ISNUMBER(INDEX(상세표[시작],$Q1615)),TEXT(INDEX(상세표[시작],$Q1615),"yyyy-mm-dd hh:mm"),INDEX(상세표[시작],$Q1615)&amp;""))</f>
        <v/>
      </c>
      <c r="G1615">
        <f>IF($Q1615="","",IF(ISNUMBER(INDEX(상세표[블록종료],$Q1615)),TEXT(INDEX(상세표[블록종료],$Q1615),"yyyy-mm-dd hh:mm"),INDEX(상세표[블록종료],$Q1615)&amp;""))</f>
        <v/>
      </c>
      <c r="H1615">
        <f>IF($Q1615="","",CHOOSE(WEEKDAY(INDEX(상세표[시작],$Q1615)),"일","월","화","수","목","금","토"))</f>
        <v/>
      </c>
      <c r="I1615" s="20">
        <f>IF($Q1615="","",INDEX(상세표[연속 시간],$Q1615))</f>
        <v/>
      </c>
      <c r="J1615">
        <f>IF($Q1615="","",INDEX(상세표[기록 수],$Q1615))</f>
        <v/>
      </c>
      <c r="K1615" s="20">
        <f>IF($Q1615="","",INDEX(상세표[블록 06~07시],$Q1615))</f>
        <v/>
      </c>
      <c r="L1615" s="20">
        <f>IF($Q1615="","",INDEX(상세표[블록 07~18시],$Q1615))</f>
        <v/>
      </c>
      <c r="M1615" s="20">
        <f>IF($Q1615="","",INDEX(상세표[블록 18~22시],$Q1615))</f>
        <v/>
      </c>
      <c r="N1615" s="20">
        <f>IF($Q1615="","",INDEX(상세표[블록 22~06시],$Q1615))</f>
        <v/>
      </c>
      <c r="O1615">
        <f>IF($Q1615="","",INDEX(상세표[주말·휴일 포함],$Q1615)&amp;"")</f>
        <v/>
      </c>
      <c r="P1615">
        <f>IF($Q1615="","",INDEX(상세표[월 넘김 포함],$Q1615)&amp;"")</f>
        <v/>
      </c>
      <c r="Q1615" s="4">
        <f>IFERROR(MATCH(1610,상세표[연속순번],0),"")</f>
        <v/>
      </c>
    </row>
    <row r="1616">
      <c r="A1616">
        <f>IF($Q1616="","",INDEX(상세표[부서],$Q1616)&amp;"")</f>
        <v/>
      </c>
      <c r="B1616">
        <f>IF($Q1616="","",INDEX(상세표[사번],$Q1616)&amp;"")</f>
        <v/>
      </c>
      <c r="C1616">
        <f>IF($Q1616="","",INDEX(상세표[성명],$Q1616)&amp;"")</f>
        <v/>
      </c>
      <c r="D1616">
        <f>IF($Q1616="","",INDEX(상세표[직위],$Q1616)&amp;"")</f>
        <v/>
      </c>
      <c r="E1616">
        <f>IF($Q1616="","",IF(ISNUMBER(INDEX(상세표[근무일자],$Q1616)),TEXT(INDEX(상세표[근무일자],$Q1616),"yyyy-mm-dd"),INDEX(상세표[근무일자],$Q1616)&amp;""))</f>
        <v/>
      </c>
      <c r="F1616">
        <f>IF($Q1616="","",IF(ISNUMBER(INDEX(상세표[시작],$Q1616)),TEXT(INDEX(상세표[시작],$Q1616),"yyyy-mm-dd hh:mm"),INDEX(상세표[시작],$Q1616)&amp;""))</f>
        <v/>
      </c>
      <c r="G1616">
        <f>IF($Q1616="","",IF(ISNUMBER(INDEX(상세표[블록종료],$Q1616)),TEXT(INDEX(상세표[블록종료],$Q1616),"yyyy-mm-dd hh:mm"),INDEX(상세표[블록종료],$Q1616)&amp;""))</f>
        <v/>
      </c>
      <c r="H1616">
        <f>IF($Q1616="","",CHOOSE(WEEKDAY(INDEX(상세표[시작],$Q1616)),"일","월","화","수","목","금","토"))</f>
        <v/>
      </c>
      <c r="I1616" s="20">
        <f>IF($Q1616="","",INDEX(상세표[연속 시간],$Q1616))</f>
        <v/>
      </c>
      <c r="J1616">
        <f>IF($Q1616="","",INDEX(상세표[기록 수],$Q1616))</f>
        <v/>
      </c>
      <c r="K1616" s="20">
        <f>IF($Q1616="","",INDEX(상세표[블록 06~07시],$Q1616))</f>
        <v/>
      </c>
      <c r="L1616" s="20">
        <f>IF($Q1616="","",INDEX(상세표[블록 07~18시],$Q1616))</f>
        <v/>
      </c>
      <c r="M1616" s="20">
        <f>IF($Q1616="","",INDEX(상세표[블록 18~22시],$Q1616))</f>
        <v/>
      </c>
      <c r="N1616" s="20">
        <f>IF($Q1616="","",INDEX(상세표[블록 22~06시],$Q1616))</f>
        <v/>
      </c>
      <c r="O1616">
        <f>IF($Q1616="","",INDEX(상세표[주말·휴일 포함],$Q1616)&amp;"")</f>
        <v/>
      </c>
      <c r="P1616">
        <f>IF($Q1616="","",INDEX(상세표[월 넘김 포함],$Q1616)&amp;"")</f>
        <v/>
      </c>
      <c r="Q1616" s="4">
        <f>IFERROR(MATCH(1611,상세표[연속순번],0),"")</f>
        <v/>
      </c>
    </row>
    <row r="1617">
      <c r="A1617">
        <f>IF($Q1617="","",INDEX(상세표[부서],$Q1617)&amp;"")</f>
        <v/>
      </c>
      <c r="B1617">
        <f>IF($Q1617="","",INDEX(상세표[사번],$Q1617)&amp;"")</f>
        <v/>
      </c>
      <c r="C1617">
        <f>IF($Q1617="","",INDEX(상세표[성명],$Q1617)&amp;"")</f>
        <v/>
      </c>
      <c r="D1617">
        <f>IF($Q1617="","",INDEX(상세표[직위],$Q1617)&amp;"")</f>
        <v/>
      </c>
      <c r="E1617">
        <f>IF($Q1617="","",IF(ISNUMBER(INDEX(상세표[근무일자],$Q1617)),TEXT(INDEX(상세표[근무일자],$Q1617),"yyyy-mm-dd"),INDEX(상세표[근무일자],$Q1617)&amp;""))</f>
        <v/>
      </c>
      <c r="F1617">
        <f>IF($Q1617="","",IF(ISNUMBER(INDEX(상세표[시작],$Q1617)),TEXT(INDEX(상세표[시작],$Q1617),"yyyy-mm-dd hh:mm"),INDEX(상세표[시작],$Q1617)&amp;""))</f>
        <v/>
      </c>
      <c r="G1617">
        <f>IF($Q1617="","",IF(ISNUMBER(INDEX(상세표[블록종료],$Q1617)),TEXT(INDEX(상세표[블록종료],$Q1617),"yyyy-mm-dd hh:mm"),INDEX(상세표[블록종료],$Q1617)&amp;""))</f>
        <v/>
      </c>
      <c r="H1617">
        <f>IF($Q1617="","",CHOOSE(WEEKDAY(INDEX(상세표[시작],$Q1617)),"일","월","화","수","목","금","토"))</f>
        <v/>
      </c>
      <c r="I1617" s="20">
        <f>IF($Q1617="","",INDEX(상세표[연속 시간],$Q1617))</f>
        <v/>
      </c>
      <c r="J1617">
        <f>IF($Q1617="","",INDEX(상세표[기록 수],$Q1617))</f>
        <v/>
      </c>
      <c r="K1617" s="20">
        <f>IF($Q1617="","",INDEX(상세표[블록 06~07시],$Q1617))</f>
        <v/>
      </c>
      <c r="L1617" s="20">
        <f>IF($Q1617="","",INDEX(상세표[블록 07~18시],$Q1617))</f>
        <v/>
      </c>
      <c r="M1617" s="20">
        <f>IF($Q1617="","",INDEX(상세표[블록 18~22시],$Q1617))</f>
        <v/>
      </c>
      <c r="N1617" s="20">
        <f>IF($Q1617="","",INDEX(상세표[블록 22~06시],$Q1617))</f>
        <v/>
      </c>
      <c r="O1617">
        <f>IF($Q1617="","",INDEX(상세표[주말·휴일 포함],$Q1617)&amp;"")</f>
        <v/>
      </c>
      <c r="P1617">
        <f>IF($Q1617="","",INDEX(상세표[월 넘김 포함],$Q1617)&amp;"")</f>
        <v/>
      </c>
      <c r="Q1617" s="4">
        <f>IFERROR(MATCH(1612,상세표[연속순번],0),"")</f>
        <v/>
      </c>
    </row>
    <row r="1618">
      <c r="A1618">
        <f>IF($Q1618="","",INDEX(상세표[부서],$Q1618)&amp;"")</f>
        <v/>
      </c>
      <c r="B1618">
        <f>IF($Q1618="","",INDEX(상세표[사번],$Q1618)&amp;"")</f>
        <v/>
      </c>
      <c r="C1618">
        <f>IF($Q1618="","",INDEX(상세표[성명],$Q1618)&amp;"")</f>
        <v/>
      </c>
      <c r="D1618">
        <f>IF($Q1618="","",INDEX(상세표[직위],$Q1618)&amp;"")</f>
        <v/>
      </c>
      <c r="E1618">
        <f>IF($Q1618="","",IF(ISNUMBER(INDEX(상세표[근무일자],$Q1618)),TEXT(INDEX(상세표[근무일자],$Q1618),"yyyy-mm-dd"),INDEX(상세표[근무일자],$Q1618)&amp;""))</f>
        <v/>
      </c>
      <c r="F1618">
        <f>IF($Q1618="","",IF(ISNUMBER(INDEX(상세표[시작],$Q1618)),TEXT(INDEX(상세표[시작],$Q1618),"yyyy-mm-dd hh:mm"),INDEX(상세표[시작],$Q1618)&amp;""))</f>
        <v/>
      </c>
      <c r="G1618">
        <f>IF($Q1618="","",IF(ISNUMBER(INDEX(상세표[블록종료],$Q1618)),TEXT(INDEX(상세표[블록종료],$Q1618),"yyyy-mm-dd hh:mm"),INDEX(상세표[블록종료],$Q1618)&amp;""))</f>
        <v/>
      </c>
      <c r="H1618">
        <f>IF($Q1618="","",CHOOSE(WEEKDAY(INDEX(상세표[시작],$Q1618)),"일","월","화","수","목","금","토"))</f>
        <v/>
      </c>
      <c r="I1618" s="20">
        <f>IF($Q1618="","",INDEX(상세표[연속 시간],$Q1618))</f>
        <v/>
      </c>
      <c r="J1618">
        <f>IF($Q1618="","",INDEX(상세표[기록 수],$Q1618))</f>
        <v/>
      </c>
      <c r="K1618" s="20">
        <f>IF($Q1618="","",INDEX(상세표[블록 06~07시],$Q1618))</f>
        <v/>
      </c>
      <c r="L1618" s="20">
        <f>IF($Q1618="","",INDEX(상세표[블록 07~18시],$Q1618))</f>
        <v/>
      </c>
      <c r="M1618" s="20">
        <f>IF($Q1618="","",INDEX(상세표[블록 18~22시],$Q1618))</f>
        <v/>
      </c>
      <c r="N1618" s="20">
        <f>IF($Q1618="","",INDEX(상세표[블록 22~06시],$Q1618))</f>
        <v/>
      </c>
      <c r="O1618">
        <f>IF($Q1618="","",INDEX(상세표[주말·휴일 포함],$Q1618)&amp;"")</f>
        <v/>
      </c>
      <c r="P1618">
        <f>IF($Q1618="","",INDEX(상세표[월 넘김 포함],$Q1618)&amp;"")</f>
        <v/>
      </c>
      <c r="Q1618" s="4">
        <f>IFERROR(MATCH(1613,상세표[연속순번],0),"")</f>
        <v/>
      </c>
    </row>
    <row r="1619">
      <c r="A1619">
        <f>IF($Q1619="","",INDEX(상세표[부서],$Q1619)&amp;"")</f>
        <v/>
      </c>
      <c r="B1619">
        <f>IF($Q1619="","",INDEX(상세표[사번],$Q1619)&amp;"")</f>
        <v/>
      </c>
      <c r="C1619">
        <f>IF($Q1619="","",INDEX(상세표[성명],$Q1619)&amp;"")</f>
        <v/>
      </c>
      <c r="D1619">
        <f>IF($Q1619="","",INDEX(상세표[직위],$Q1619)&amp;"")</f>
        <v/>
      </c>
      <c r="E1619">
        <f>IF($Q1619="","",IF(ISNUMBER(INDEX(상세표[근무일자],$Q1619)),TEXT(INDEX(상세표[근무일자],$Q1619),"yyyy-mm-dd"),INDEX(상세표[근무일자],$Q1619)&amp;""))</f>
        <v/>
      </c>
      <c r="F1619">
        <f>IF($Q1619="","",IF(ISNUMBER(INDEX(상세표[시작],$Q1619)),TEXT(INDEX(상세표[시작],$Q1619),"yyyy-mm-dd hh:mm"),INDEX(상세표[시작],$Q1619)&amp;""))</f>
        <v/>
      </c>
      <c r="G1619">
        <f>IF($Q1619="","",IF(ISNUMBER(INDEX(상세표[블록종료],$Q1619)),TEXT(INDEX(상세표[블록종료],$Q1619),"yyyy-mm-dd hh:mm"),INDEX(상세표[블록종료],$Q1619)&amp;""))</f>
        <v/>
      </c>
      <c r="H1619">
        <f>IF($Q1619="","",CHOOSE(WEEKDAY(INDEX(상세표[시작],$Q1619)),"일","월","화","수","목","금","토"))</f>
        <v/>
      </c>
      <c r="I1619" s="20">
        <f>IF($Q1619="","",INDEX(상세표[연속 시간],$Q1619))</f>
        <v/>
      </c>
      <c r="J1619">
        <f>IF($Q1619="","",INDEX(상세표[기록 수],$Q1619))</f>
        <v/>
      </c>
      <c r="K1619" s="20">
        <f>IF($Q1619="","",INDEX(상세표[블록 06~07시],$Q1619))</f>
        <v/>
      </c>
      <c r="L1619" s="20">
        <f>IF($Q1619="","",INDEX(상세표[블록 07~18시],$Q1619))</f>
        <v/>
      </c>
      <c r="M1619" s="20">
        <f>IF($Q1619="","",INDEX(상세표[블록 18~22시],$Q1619))</f>
        <v/>
      </c>
      <c r="N1619" s="20">
        <f>IF($Q1619="","",INDEX(상세표[블록 22~06시],$Q1619))</f>
        <v/>
      </c>
      <c r="O1619">
        <f>IF($Q1619="","",INDEX(상세표[주말·휴일 포함],$Q1619)&amp;"")</f>
        <v/>
      </c>
      <c r="P1619">
        <f>IF($Q1619="","",INDEX(상세표[월 넘김 포함],$Q1619)&amp;"")</f>
        <v/>
      </c>
      <c r="Q1619" s="4">
        <f>IFERROR(MATCH(1614,상세표[연속순번],0),"")</f>
        <v/>
      </c>
    </row>
    <row r="1620">
      <c r="A1620">
        <f>IF($Q1620="","",INDEX(상세표[부서],$Q1620)&amp;"")</f>
        <v/>
      </c>
      <c r="B1620">
        <f>IF($Q1620="","",INDEX(상세표[사번],$Q1620)&amp;"")</f>
        <v/>
      </c>
      <c r="C1620">
        <f>IF($Q1620="","",INDEX(상세표[성명],$Q1620)&amp;"")</f>
        <v/>
      </c>
      <c r="D1620">
        <f>IF($Q1620="","",INDEX(상세표[직위],$Q1620)&amp;"")</f>
        <v/>
      </c>
      <c r="E1620">
        <f>IF($Q1620="","",IF(ISNUMBER(INDEX(상세표[근무일자],$Q1620)),TEXT(INDEX(상세표[근무일자],$Q1620),"yyyy-mm-dd"),INDEX(상세표[근무일자],$Q1620)&amp;""))</f>
        <v/>
      </c>
      <c r="F1620">
        <f>IF($Q1620="","",IF(ISNUMBER(INDEX(상세표[시작],$Q1620)),TEXT(INDEX(상세표[시작],$Q1620),"yyyy-mm-dd hh:mm"),INDEX(상세표[시작],$Q1620)&amp;""))</f>
        <v/>
      </c>
      <c r="G1620">
        <f>IF($Q1620="","",IF(ISNUMBER(INDEX(상세표[블록종료],$Q1620)),TEXT(INDEX(상세표[블록종료],$Q1620),"yyyy-mm-dd hh:mm"),INDEX(상세표[블록종료],$Q1620)&amp;""))</f>
        <v/>
      </c>
      <c r="H1620">
        <f>IF($Q1620="","",CHOOSE(WEEKDAY(INDEX(상세표[시작],$Q1620)),"일","월","화","수","목","금","토"))</f>
        <v/>
      </c>
      <c r="I1620" s="20">
        <f>IF($Q1620="","",INDEX(상세표[연속 시간],$Q1620))</f>
        <v/>
      </c>
      <c r="J1620">
        <f>IF($Q1620="","",INDEX(상세표[기록 수],$Q1620))</f>
        <v/>
      </c>
      <c r="K1620" s="20">
        <f>IF($Q1620="","",INDEX(상세표[블록 06~07시],$Q1620))</f>
        <v/>
      </c>
      <c r="L1620" s="20">
        <f>IF($Q1620="","",INDEX(상세표[블록 07~18시],$Q1620))</f>
        <v/>
      </c>
      <c r="M1620" s="20">
        <f>IF($Q1620="","",INDEX(상세표[블록 18~22시],$Q1620))</f>
        <v/>
      </c>
      <c r="N1620" s="20">
        <f>IF($Q1620="","",INDEX(상세표[블록 22~06시],$Q1620))</f>
        <v/>
      </c>
      <c r="O1620">
        <f>IF($Q1620="","",INDEX(상세표[주말·휴일 포함],$Q1620)&amp;"")</f>
        <v/>
      </c>
      <c r="P1620">
        <f>IF($Q1620="","",INDEX(상세표[월 넘김 포함],$Q1620)&amp;"")</f>
        <v/>
      </c>
      <c r="Q1620" s="4">
        <f>IFERROR(MATCH(1615,상세표[연속순번],0),"")</f>
        <v/>
      </c>
    </row>
    <row r="1621">
      <c r="A1621">
        <f>IF($Q1621="","",INDEX(상세표[부서],$Q1621)&amp;"")</f>
        <v/>
      </c>
      <c r="B1621">
        <f>IF($Q1621="","",INDEX(상세표[사번],$Q1621)&amp;"")</f>
        <v/>
      </c>
      <c r="C1621">
        <f>IF($Q1621="","",INDEX(상세표[성명],$Q1621)&amp;"")</f>
        <v/>
      </c>
      <c r="D1621">
        <f>IF($Q1621="","",INDEX(상세표[직위],$Q1621)&amp;"")</f>
        <v/>
      </c>
      <c r="E1621">
        <f>IF($Q1621="","",IF(ISNUMBER(INDEX(상세표[근무일자],$Q1621)),TEXT(INDEX(상세표[근무일자],$Q1621),"yyyy-mm-dd"),INDEX(상세표[근무일자],$Q1621)&amp;""))</f>
        <v/>
      </c>
      <c r="F1621">
        <f>IF($Q1621="","",IF(ISNUMBER(INDEX(상세표[시작],$Q1621)),TEXT(INDEX(상세표[시작],$Q1621),"yyyy-mm-dd hh:mm"),INDEX(상세표[시작],$Q1621)&amp;""))</f>
        <v/>
      </c>
      <c r="G1621">
        <f>IF($Q1621="","",IF(ISNUMBER(INDEX(상세표[블록종료],$Q1621)),TEXT(INDEX(상세표[블록종료],$Q1621),"yyyy-mm-dd hh:mm"),INDEX(상세표[블록종료],$Q1621)&amp;""))</f>
        <v/>
      </c>
      <c r="H1621">
        <f>IF($Q1621="","",CHOOSE(WEEKDAY(INDEX(상세표[시작],$Q1621)),"일","월","화","수","목","금","토"))</f>
        <v/>
      </c>
      <c r="I1621" s="20">
        <f>IF($Q1621="","",INDEX(상세표[연속 시간],$Q1621))</f>
        <v/>
      </c>
      <c r="J1621">
        <f>IF($Q1621="","",INDEX(상세표[기록 수],$Q1621))</f>
        <v/>
      </c>
      <c r="K1621" s="20">
        <f>IF($Q1621="","",INDEX(상세표[블록 06~07시],$Q1621))</f>
        <v/>
      </c>
      <c r="L1621" s="20">
        <f>IF($Q1621="","",INDEX(상세표[블록 07~18시],$Q1621))</f>
        <v/>
      </c>
      <c r="M1621" s="20">
        <f>IF($Q1621="","",INDEX(상세표[블록 18~22시],$Q1621))</f>
        <v/>
      </c>
      <c r="N1621" s="20">
        <f>IF($Q1621="","",INDEX(상세표[블록 22~06시],$Q1621))</f>
        <v/>
      </c>
      <c r="O1621">
        <f>IF($Q1621="","",INDEX(상세표[주말·휴일 포함],$Q1621)&amp;"")</f>
        <v/>
      </c>
      <c r="P1621">
        <f>IF($Q1621="","",INDEX(상세표[월 넘김 포함],$Q1621)&amp;"")</f>
        <v/>
      </c>
      <c r="Q1621" s="4">
        <f>IFERROR(MATCH(1616,상세표[연속순번],0),"")</f>
        <v/>
      </c>
    </row>
    <row r="1622">
      <c r="A1622">
        <f>IF($Q1622="","",INDEX(상세표[부서],$Q1622)&amp;"")</f>
        <v/>
      </c>
      <c r="B1622">
        <f>IF($Q1622="","",INDEX(상세표[사번],$Q1622)&amp;"")</f>
        <v/>
      </c>
      <c r="C1622">
        <f>IF($Q1622="","",INDEX(상세표[성명],$Q1622)&amp;"")</f>
        <v/>
      </c>
      <c r="D1622">
        <f>IF($Q1622="","",INDEX(상세표[직위],$Q1622)&amp;"")</f>
        <v/>
      </c>
      <c r="E1622">
        <f>IF($Q1622="","",IF(ISNUMBER(INDEX(상세표[근무일자],$Q1622)),TEXT(INDEX(상세표[근무일자],$Q1622),"yyyy-mm-dd"),INDEX(상세표[근무일자],$Q1622)&amp;""))</f>
        <v/>
      </c>
      <c r="F1622">
        <f>IF($Q1622="","",IF(ISNUMBER(INDEX(상세표[시작],$Q1622)),TEXT(INDEX(상세표[시작],$Q1622),"yyyy-mm-dd hh:mm"),INDEX(상세표[시작],$Q1622)&amp;""))</f>
        <v/>
      </c>
      <c r="G1622">
        <f>IF($Q1622="","",IF(ISNUMBER(INDEX(상세표[블록종료],$Q1622)),TEXT(INDEX(상세표[블록종료],$Q1622),"yyyy-mm-dd hh:mm"),INDEX(상세표[블록종료],$Q1622)&amp;""))</f>
        <v/>
      </c>
      <c r="H1622">
        <f>IF($Q1622="","",CHOOSE(WEEKDAY(INDEX(상세표[시작],$Q1622)),"일","월","화","수","목","금","토"))</f>
        <v/>
      </c>
      <c r="I1622" s="20">
        <f>IF($Q1622="","",INDEX(상세표[연속 시간],$Q1622))</f>
        <v/>
      </c>
      <c r="J1622">
        <f>IF($Q1622="","",INDEX(상세표[기록 수],$Q1622))</f>
        <v/>
      </c>
      <c r="K1622" s="20">
        <f>IF($Q1622="","",INDEX(상세표[블록 06~07시],$Q1622))</f>
        <v/>
      </c>
      <c r="L1622" s="20">
        <f>IF($Q1622="","",INDEX(상세표[블록 07~18시],$Q1622))</f>
        <v/>
      </c>
      <c r="M1622" s="20">
        <f>IF($Q1622="","",INDEX(상세표[블록 18~22시],$Q1622))</f>
        <v/>
      </c>
      <c r="N1622" s="20">
        <f>IF($Q1622="","",INDEX(상세표[블록 22~06시],$Q1622))</f>
        <v/>
      </c>
      <c r="O1622">
        <f>IF($Q1622="","",INDEX(상세표[주말·휴일 포함],$Q1622)&amp;"")</f>
        <v/>
      </c>
      <c r="P1622">
        <f>IF($Q1622="","",INDEX(상세표[월 넘김 포함],$Q1622)&amp;"")</f>
        <v/>
      </c>
      <c r="Q1622" s="4">
        <f>IFERROR(MATCH(1617,상세표[연속순번],0),"")</f>
        <v/>
      </c>
    </row>
    <row r="1623">
      <c r="A1623">
        <f>IF($Q1623="","",INDEX(상세표[부서],$Q1623)&amp;"")</f>
        <v/>
      </c>
      <c r="B1623">
        <f>IF($Q1623="","",INDEX(상세표[사번],$Q1623)&amp;"")</f>
        <v/>
      </c>
      <c r="C1623">
        <f>IF($Q1623="","",INDEX(상세표[성명],$Q1623)&amp;"")</f>
        <v/>
      </c>
      <c r="D1623">
        <f>IF($Q1623="","",INDEX(상세표[직위],$Q1623)&amp;"")</f>
        <v/>
      </c>
      <c r="E1623">
        <f>IF($Q1623="","",IF(ISNUMBER(INDEX(상세표[근무일자],$Q1623)),TEXT(INDEX(상세표[근무일자],$Q1623),"yyyy-mm-dd"),INDEX(상세표[근무일자],$Q1623)&amp;""))</f>
        <v/>
      </c>
      <c r="F1623">
        <f>IF($Q1623="","",IF(ISNUMBER(INDEX(상세표[시작],$Q1623)),TEXT(INDEX(상세표[시작],$Q1623),"yyyy-mm-dd hh:mm"),INDEX(상세표[시작],$Q1623)&amp;""))</f>
        <v/>
      </c>
      <c r="G1623">
        <f>IF($Q1623="","",IF(ISNUMBER(INDEX(상세표[블록종료],$Q1623)),TEXT(INDEX(상세표[블록종료],$Q1623),"yyyy-mm-dd hh:mm"),INDEX(상세표[블록종료],$Q1623)&amp;""))</f>
        <v/>
      </c>
      <c r="H1623">
        <f>IF($Q1623="","",CHOOSE(WEEKDAY(INDEX(상세표[시작],$Q1623)),"일","월","화","수","목","금","토"))</f>
        <v/>
      </c>
      <c r="I1623" s="20">
        <f>IF($Q1623="","",INDEX(상세표[연속 시간],$Q1623))</f>
        <v/>
      </c>
      <c r="J1623">
        <f>IF($Q1623="","",INDEX(상세표[기록 수],$Q1623))</f>
        <v/>
      </c>
      <c r="K1623" s="20">
        <f>IF($Q1623="","",INDEX(상세표[블록 06~07시],$Q1623))</f>
        <v/>
      </c>
      <c r="L1623" s="20">
        <f>IF($Q1623="","",INDEX(상세표[블록 07~18시],$Q1623))</f>
        <v/>
      </c>
      <c r="M1623" s="20">
        <f>IF($Q1623="","",INDEX(상세표[블록 18~22시],$Q1623))</f>
        <v/>
      </c>
      <c r="N1623" s="20">
        <f>IF($Q1623="","",INDEX(상세표[블록 22~06시],$Q1623))</f>
        <v/>
      </c>
      <c r="O1623">
        <f>IF($Q1623="","",INDEX(상세표[주말·휴일 포함],$Q1623)&amp;"")</f>
        <v/>
      </c>
      <c r="P1623">
        <f>IF($Q1623="","",INDEX(상세표[월 넘김 포함],$Q1623)&amp;"")</f>
        <v/>
      </c>
      <c r="Q1623" s="4">
        <f>IFERROR(MATCH(1618,상세표[연속순번],0),"")</f>
        <v/>
      </c>
    </row>
    <row r="1624">
      <c r="A1624">
        <f>IF($Q1624="","",INDEX(상세표[부서],$Q1624)&amp;"")</f>
        <v/>
      </c>
      <c r="B1624">
        <f>IF($Q1624="","",INDEX(상세표[사번],$Q1624)&amp;"")</f>
        <v/>
      </c>
      <c r="C1624">
        <f>IF($Q1624="","",INDEX(상세표[성명],$Q1624)&amp;"")</f>
        <v/>
      </c>
      <c r="D1624">
        <f>IF($Q1624="","",INDEX(상세표[직위],$Q1624)&amp;"")</f>
        <v/>
      </c>
      <c r="E1624">
        <f>IF($Q1624="","",IF(ISNUMBER(INDEX(상세표[근무일자],$Q1624)),TEXT(INDEX(상세표[근무일자],$Q1624),"yyyy-mm-dd"),INDEX(상세표[근무일자],$Q1624)&amp;""))</f>
        <v/>
      </c>
      <c r="F1624">
        <f>IF($Q1624="","",IF(ISNUMBER(INDEX(상세표[시작],$Q1624)),TEXT(INDEX(상세표[시작],$Q1624),"yyyy-mm-dd hh:mm"),INDEX(상세표[시작],$Q1624)&amp;""))</f>
        <v/>
      </c>
      <c r="G1624">
        <f>IF($Q1624="","",IF(ISNUMBER(INDEX(상세표[블록종료],$Q1624)),TEXT(INDEX(상세표[블록종료],$Q1624),"yyyy-mm-dd hh:mm"),INDEX(상세표[블록종료],$Q1624)&amp;""))</f>
        <v/>
      </c>
      <c r="H1624">
        <f>IF($Q1624="","",CHOOSE(WEEKDAY(INDEX(상세표[시작],$Q1624)),"일","월","화","수","목","금","토"))</f>
        <v/>
      </c>
      <c r="I1624" s="20">
        <f>IF($Q1624="","",INDEX(상세표[연속 시간],$Q1624))</f>
        <v/>
      </c>
      <c r="J1624">
        <f>IF($Q1624="","",INDEX(상세표[기록 수],$Q1624))</f>
        <v/>
      </c>
      <c r="K1624" s="20">
        <f>IF($Q1624="","",INDEX(상세표[블록 06~07시],$Q1624))</f>
        <v/>
      </c>
      <c r="L1624" s="20">
        <f>IF($Q1624="","",INDEX(상세표[블록 07~18시],$Q1624))</f>
        <v/>
      </c>
      <c r="M1624" s="20">
        <f>IF($Q1624="","",INDEX(상세표[블록 18~22시],$Q1624))</f>
        <v/>
      </c>
      <c r="N1624" s="20">
        <f>IF($Q1624="","",INDEX(상세표[블록 22~06시],$Q1624))</f>
        <v/>
      </c>
      <c r="O1624">
        <f>IF($Q1624="","",INDEX(상세표[주말·휴일 포함],$Q1624)&amp;"")</f>
        <v/>
      </c>
      <c r="P1624">
        <f>IF($Q1624="","",INDEX(상세표[월 넘김 포함],$Q1624)&amp;"")</f>
        <v/>
      </c>
      <c r="Q1624" s="4">
        <f>IFERROR(MATCH(1619,상세표[연속순번],0),"")</f>
        <v/>
      </c>
    </row>
    <row r="1625">
      <c r="A1625">
        <f>IF($Q1625="","",INDEX(상세표[부서],$Q1625)&amp;"")</f>
        <v/>
      </c>
      <c r="B1625">
        <f>IF($Q1625="","",INDEX(상세표[사번],$Q1625)&amp;"")</f>
        <v/>
      </c>
      <c r="C1625">
        <f>IF($Q1625="","",INDEX(상세표[성명],$Q1625)&amp;"")</f>
        <v/>
      </c>
      <c r="D1625">
        <f>IF($Q1625="","",INDEX(상세표[직위],$Q1625)&amp;"")</f>
        <v/>
      </c>
      <c r="E1625">
        <f>IF($Q1625="","",IF(ISNUMBER(INDEX(상세표[근무일자],$Q1625)),TEXT(INDEX(상세표[근무일자],$Q1625),"yyyy-mm-dd"),INDEX(상세표[근무일자],$Q1625)&amp;""))</f>
        <v/>
      </c>
      <c r="F1625">
        <f>IF($Q1625="","",IF(ISNUMBER(INDEX(상세표[시작],$Q1625)),TEXT(INDEX(상세표[시작],$Q1625),"yyyy-mm-dd hh:mm"),INDEX(상세표[시작],$Q1625)&amp;""))</f>
        <v/>
      </c>
      <c r="G1625">
        <f>IF($Q1625="","",IF(ISNUMBER(INDEX(상세표[블록종료],$Q1625)),TEXT(INDEX(상세표[블록종료],$Q1625),"yyyy-mm-dd hh:mm"),INDEX(상세표[블록종료],$Q1625)&amp;""))</f>
        <v/>
      </c>
      <c r="H1625">
        <f>IF($Q1625="","",CHOOSE(WEEKDAY(INDEX(상세표[시작],$Q1625)),"일","월","화","수","목","금","토"))</f>
        <v/>
      </c>
      <c r="I1625" s="20">
        <f>IF($Q1625="","",INDEX(상세표[연속 시간],$Q1625))</f>
        <v/>
      </c>
      <c r="J1625">
        <f>IF($Q1625="","",INDEX(상세표[기록 수],$Q1625))</f>
        <v/>
      </c>
      <c r="K1625" s="20">
        <f>IF($Q1625="","",INDEX(상세표[블록 06~07시],$Q1625))</f>
        <v/>
      </c>
      <c r="L1625" s="20">
        <f>IF($Q1625="","",INDEX(상세표[블록 07~18시],$Q1625))</f>
        <v/>
      </c>
      <c r="M1625" s="20">
        <f>IF($Q1625="","",INDEX(상세표[블록 18~22시],$Q1625))</f>
        <v/>
      </c>
      <c r="N1625" s="20">
        <f>IF($Q1625="","",INDEX(상세표[블록 22~06시],$Q1625))</f>
        <v/>
      </c>
      <c r="O1625">
        <f>IF($Q1625="","",INDEX(상세표[주말·휴일 포함],$Q1625)&amp;"")</f>
        <v/>
      </c>
      <c r="P1625">
        <f>IF($Q1625="","",INDEX(상세표[월 넘김 포함],$Q1625)&amp;"")</f>
        <v/>
      </c>
      <c r="Q1625" s="4">
        <f>IFERROR(MATCH(1620,상세표[연속순번],0),"")</f>
        <v/>
      </c>
    </row>
    <row r="1626">
      <c r="A1626">
        <f>IF($Q1626="","",INDEX(상세표[부서],$Q1626)&amp;"")</f>
        <v/>
      </c>
      <c r="B1626">
        <f>IF($Q1626="","",INDEX(상세표[사번],$Q1626)&amp;"")</f>
        <v/>
      </c>
      <c r="C1626">
        <f>IF($Q1626="","",INDEX(상세표[성명],$Q1626)&amp;"")</f>
        <v/>
      </c>
      <c r="D1626">
        <f>IF($Q1626="","",INDEX(상세표[직위],$Q1626)&amp;"")</f>
        <v/>
      </c>
      <c r="E1626">
        <f>IF($Q1626="","",IF(ISNUMBER(INDEX(상세표[근무일자],$Q1626)),TEXT(INDEX(상세표[근무일자],$Q1626),"yyyy-mm-dd"),INDEX(상세표[근무일자],$Q1626)&amp;""))</f>
        <v/>
      </c>
      <c r="F1626">
        <f>IF($Q1626="","",IF(ISNUMBER(INDEX(상세표[시작],$Q1626)),TEXT(INDEX(상세표[시작],$Q1626),"yyyy-mm-dd hh:mm"),INDEX(상세표[시작],$Q1626)&amp;""))</f>
        <v/>
      </c>
      <c r="G1626">
        <f>IF($Q1626="","",IF(ISNUMBER(INDEX(상세표[블록종료],$Q1626)),TEXT(INDEX(상세표[블록종료],$Q1626),"yyyy-mm-dd hh:mm"),INDEX(상세표[블록종료],$Q1626)&amp;""))</f>
        <v/>
      </c>
      <c r="H1626">
        <f>IF($Q1626="","",CHOOSE(WEEKDAY(INDEX(상세표[시작],$Q1626)),"일","월","화","수","목","금","토"))</f>
        <v/>
      </c>
      <c r="I1626" s="20">
        <f>IF($Q1626="","",INDEX(상세표[연속 시간],$Q1626))</f>
        <v/>
      </c>
      <c r="J1626">
        <f>IF($Q1626="","",INDEX(상세표[기록 수],$Q1626))</f>
        <v/>
      </c>
      <c r="K1626" s="20">
        <f>IF($Q1626="","",INDEX(상세표[블록 06~07시],$Q1626))</f>
        <v/>
      </c>
      <c r="L1626" s="20">
        <f>IF($Q1626="","",INDEX(상세표[블록 07~18시],$Q1626))</f>
        <v/>
      </c>
      <c r="M1626" s="20">
        <f>IF($Q1626="","",INDEX(상세표[블록 18~22시],$Q1626))</f>
        <v/>
      </c>
      <c r="N1626" s="20">
        <f>IF($Q1626="","",INDEX(상세표[블록 22~06시],$Q1626))</f>
        <v/>
      </c>
      <c r="O1626">
        <f>IF($Q1626="","",INDEX(상세표[주말·휴일 포함],$Q1626)&amp;"")</f>
        <v/>
      </c>
      <c r="P1626">
        <f>IF($Q1626="","",INDEX(상세표[월 넘김 포함],$Q1626)&amp;"")</f>
        <v/>
      </c>
      <c r="Q1626" s="4">
        <f>IFERROR(MATCH(1621,상세표[연속순번],0),"")</f>
        <v/>
      </c>
    </row>
    <row r="1627">
      <c r="A1627">
        <f>IF($Q1627="","",INDEX(상세표[부서],$Q1627)&amp;"")</f>
        <v/>
      </c>
      <c r="B1627">
        <f>IF($Q1627="","",INDEX(상세표[사번],$Q1627)&amp;"")</f>
        <v/>
      </c>
      <c r="C1627">
        <f>IF($Q1627="","",INDEX(상세표[성명],$Q1627)&amp;"")</f>
        <v/>
      </c>
      <c r="D1627">
        <f>IF($Q1627="","",INDEX(상세표[직위],$Q1627)&amp;"")</f>
        <v/>
      </c>
      <c r="E1627">
        <f>IF($Q1627="","",IF(ISNUMBER(INDEX(상세표[근무일자],$Q1627)),TEXT(INDEX(상세표[근무일자],$Q1627),"yyyy-mm-dd"),INDEX(상세표[근무일자],$Q1627)&amp;""))</f>
        <v/>
      </c>
      <c r="F1627">
        <f>IF($Q1627="","",IF(ISNUMBER(INDEX(상세표[시작],$Q1627)),TEXT(INDEX(상세표[시작],$Q1627),"yyyy-mm-dd hh:mm"),INDEX(상세표[시작],$Q1627)&amp;""))</f>
        <v/>
      </c>
      <c r="G1627">
        <f>IF($Q1627="","",IF(ISNUMBER(INDEX(상세표[블록종료],$Q1627)),TEXT(INDEX(상세표[블록종료],$Q1627),"yyyy-mm-dd hh:mm"),INDEX(상세표[블록종료],$Q1627)&amp;""))</f>
        <v/>
      </c>
      <c r="H1627">
        <f>IF($Q1627="","",CHOOSE(WEEKDAY(INDEX(상세표[시작],$Q1627)),"일","월","화","수","목","금","토"))</f>
        <v/>
      </c>
      <c r="I1627" s="20">
        <f>IF($Q1627="","",INDEX(상세표[연속 시간],$Q1627))</f>
        <v/>
      </c>
      <c r="J1627">
        <f>IF($Q1627="","",INDEX(상세표[기록 수],$Q1627))</f>
        <v/>
      </c>
      <c r="K1627" s="20">
        <f>IF($Q1627="","",INDEX(상세표[블록 06~07시],$Q1627))</f>
        <v/>
      </c>
      <c r="L1627" s="20">
        <f>IF($Q1627="","",INDEX(상세표[블록 07~18시],$Q1627))</f>
        <v/>
      </c>
      <c r="M1627" s="20">
        <f>IF($Q1627="","",INDEX(상세표[블록 18~22시],$Q1627))</f>
        <v/>
      </c>
      <c r="N1627" s="20">
        <f>IF($Q1627="","",INDEX(상세표[블록 22~06시],$Q1627))</f>
        <v/>
      </c>
      <c r="O1627">
        <f>IF($Q1627="","",INDEX(상세표[주말·휴일 포함],$Q1627)&amp;"")</f>
        <v/>
      </c>
      <c r="P1627">
        <f>IF($Q1627="","",INDEX(상세표[월 넘김 포함],$Q1627)&amp;"")</f>
        <v/>
      </c>
      <c r="Q1627" s="4">
        <f>IFERROR(MATCH(1622,상세표[연속순번],0),"")</f>
        <v/>
      </c>
    </row>
    <row r="1628">
      <c r="A1628">
        <f>IF($Q1628="","",INDEX(상세표[부서],$Q1628)&amp;"")</f>
        <v/>
      </c>
      <c r="B1628">
        <f>IF($Q1628="","",INDEX(상세표[사번],$Q1628)&amp;"")</f>
        <v/>
      </c>
      <c r="C1628">
        <f>IF($Q1628="","",INDEX(상세표[성명],$Q1628)&amp;"")</f>
        <v/>
      </c>
      <c r="D1628">
        <f>IF($Q1628="","",INDEX(상세표[직위],$Q1628)&amp;"")</f>
        <v/>
      </c>
      <c r="E1628">
        <f>IF($Q1628="","",IF(ISNUMBER(INDEX(상세표[근무일자],$Q1628)),TEXT(INDEX(상세표[근무일자],$Q1628),"yyyy-mm-dd"),INDEX(상세표[근무일자],$Q1628)&amp;""))</f>
        <v/>
      </c>
      <c r="F1628">
        <f>IF($Q1628="","",IF(ISNUMBER(INDEX(상세표[시작],$Q1628)),TEXT(INDEX(상세표[시작],$Q1628),"yyyy-mm-dd hh:mm"),INDEX(상세표[시작],$Q1628)&amp;""))</f>
        <v/>
      </c>
      <c r="G1628">
        <f>IF($Q1628="","",IF(ISNUMBER(INDEX(상세표[블록종료],$Q1628)),TEXT(INDEX(상세표[블록종료],$Q1628),"yyyy-mm-dd hh:mm"),INDEX(상세표[블록종료],$Q1628)&amp;""))</f>
        <v/>
      </c>
      <c r="H1628">
        <f>IF($Q1628="","",CHOOSE(WEEKDAY(INDEX(상세표[시작],$Q1628)),"일","월","화","수","목","금","토"))</f>
        <v/>
      </c>
      <c r="I1628" s="20">
        <f>IF($Q1628="","",INDEX(상세표[연속 시간],$Q1628))</f>
        <v/>
      </c>
      <c r="J1628">
        <f>IF($Q1628="","",INDEX(상세표[기록 수],$Q1628))</f>
        <v/>
      </c>
      <c r="K1628" s="20">
        <f>IF($Q1628="","",INDEX(상세표[블록 06~07시],$Q1628))</f>
        <v/>
      </c>
      <c r="L1628" s="20">
        <f>IF($Q1628="","",INDEX(상세표[블록 07~18시],$Q1628))</f>
        <v/>
      </c>
      <c r="M1628" s="20">
        <f>IF($Q1628="","",INDEX(상세표[블록 18~22시],$Q1628))</f>
        <v/>
      </c>
      <c r="N1628" s="20">
        <f>IF($Q1628="","",INDEX(상세표[블록 22~06시],$Q1628))</f>
        <v/>
      </c>
      <c r="O1628">
        <f>IF($Q1628="","",INDEX(상세표[주말·휴일 포함],$Q1628)&amp;"")</f>
        <v/>
      </c>
      <c r="P1628">
        <f>IF($Q1628="","",INDEX(상세표[월 넘김 포함],$Q1628)&amp;"")</f>
        <v/>
      </c>
      <c r="Q1628" s="4">
        <f>IFERROR(MATCH(1623,상세표[연속순번],0),"")</f>
        <v/>
      </c>
    </row>
    <row r="1629">
      <c r="A1629">
        <f>IF($Q1629="","",INDEX(상세표[부서],$Q1629)&amp;"")</f>
        <v/>
      </c>
      <c r="B1629">
        <f>IF($Q1629="","",INDEX(상세표[사번],$Q1629)&amp;"")</f>
        <v/>
      </c>
      <c r="C1629">
        <f>IF($Q1629="","",INDEX(상세표[성명],$Q1629)&amp;"")</f>
        <v/>
      </c>
      <c r="D1629">
        <f>IF($Q1629="","",INDEX(상세표[직위],$Q1629)&amp;"")</f>
        <v/>
      </c>
      <c r="E1629">
        <f>IF($Q1629="","",IF(ISNUMBER(INDEX(상세표[근무일자],$Q1629)),TEXT(INDEX(상세표[근무일자],$Q1629),"yyyy-mm-dd"),INDEX(상세표[근무일자],$Q1629)&amp;""))</f>
        <v/>
      </c>
      <c r="F1629">
        <f>IF($Q1629="","",IF(ISNUMBER(INDEX(상세표[시작],$Q1629)),TEXT(INDEX(상세표[시작],$Q1629),"yyyy-mm-dd hh:mm"),INDEX(상세표[시작],$Q1629)&amp;""))</f>
        <v/>
      </c>
      <c r="G1629">
        <f>IF($Q1629="","",IF(ISNUMBER(INDEX(상세표[블록종료],$Q1629)),TEXT(INDEX(상세표[블록종료],$Q1629),"yyyy-mm-dd hh:mm"),INDEX(상세표[블록종료],$Q1629)&amp;""))</f>
        <v/>
      </c>
      <c r="H1629">
        <f>IF($Q1629="","",CHOOSE(WEEKDAY(INDEX(상세표[시작],$Q1629)),"일","월","화","수","목","금","토"))</f>
        <v/>
      </c>
      <c r="I1629" s="20">
        <f>IF($Q1629="","",INDEX(상세표[연속 시간],$Q1629))</f>
        <v/>
      </c>
      <c r="J1629">
        <f>IF($Q1629="","",INDEX(상세표[기록 수],$Q1629))</f>
        <v/>
      </c>
      <c r="K1629" s="20">
        <f>IF($Q1629="","",INDEX(상세표[블록 06~07시],$Q1629))</f>
        <v/>
      </c>
      <c r="L1629" s="20">
        <f>IF($Q1629="","",INDEX(상세표[블록 07~18시],$Q1629))</f>
        <v/>
      </c>
      <c r="M1629" s="20">
        <f>IF($Q1629="","",INDEX(상세표[블록 18~22시],$Q1629))</f>
        <v/>
      </c>
      <c r="N1629" s="20">
        <f>IF($Q1629="","",INDEX(상세표[블록 22~06시],$Q1629))</f>
        <v/>
      </c>
      <c r="O1629">
        <f>IF($Q1629="","",INDEX(상세표[주말·휴일 포함],$Q1629)&amp;"")</f>
        <v/>
      </c>
      <c r="P1629">
        <f>IF($Q1629="","",INDEX(상세표[월 넘김 포함],$Q1629)&amp;"")</f>
        <v/>
      </c>
      <c r="Q1629" s="4">
        <f>IFERROR(MATCH(1624,상세표[연속순번],0),"")</f>
        <v/>
      </c>
    </row>
    <row r="1630">
      <c r="A1630">
        <f>IF($Q1630="","",INDEX(상세표[부서],$Q1630)&amp;"")</f>
        <v/>
      </c>
      <c r="B1630">
        <f>IF($Q1630="","",INDEX(상세표[사번],$Q1630)&amp;"")</f>
        <v/>
      </c>
      <c r="C1630">
        <f>IF($Q1630="","",INDEX(상세표[성명],$Q1630)&amp;"")</f>
        <v/>
      </c>
      <c r="D1630">
        <f>IF($Q1630="","",INDEX(상세표[직위],$Q1630)&amp;"")</f>
        <v/>
      </c>
      <c r="E1630">
        <f>IF($Q1630="","",IF(ISNUMBER(INDEX(상세표[근무일자],$Q1630)),TEXT(INDEX(상세표[근무일자],$Q1630),"yyyy-mm-dd"),INDEX(상세표[근무일자],$Q1630)&amp;""))</f>
        <v/>
      </c>
      <c r="F1630">
        <f>IF($Q1630="","",IF(ISNUMBER(INDEX(상세표[시작],$Q1630)),TEXT(INDEX(상세표[시작],$Q1630),"yyyy-mm-dd hh:mm"),INDEX(상세표[시작],$Q1630)&amp;""))</f>
        <v/>
      </c>
      <c r="G1630">
        <f>IF($Q1630="","",IF(ISNUMBER(INDEX(상세표[블록종료],$Q1630)),TEXT(INDEX(상세표[블록종료],$Q1630),"yyyy-mm-dd hh:mm"),INDEX(상세표[블록종료],$Q1630)&amp;""))</f>
        <v/>
      </c>
      <c r="H1630">
        <f>IF($Q1630="","",CHOOSE(WEEKDAY(INDEX(상세표[시작],$Q1630)),"일","월","화","수","목","금","토"))</f>
        <v/>
      </c>
      <c r="I1630" s="20">
        <f>IF($Q1630="","",INDEX(상세표[연속 시간],$Q1630))</f>
        <v/>
      </c>
      <c r="J1630">
        <f>IF($Q1630="","",INDEX(상세표[기록 수],$Q1630))</f>
        <v/>
      </c>
      <c r="K1630" s="20">
        <f>IF($Q1630="","",INDEX(상세표[블록 06~07시],$Q1630))</f>
        <v/>
      </c>
      <c r="L1630" s="20">
        <f>IF($Q1630="","",INDEX(상세표[블록 07~18시],$Q1630))</f>
        <v/>
      </c>
      <c r="M1630" s="20">
        <f>IF($Q1630="","",INDEX(상세표[블록 18~22시],$Q1630))</f>
        <v/>
      </c>
      <c r="N1630" s="20">
        <f>IF($Q1630="","",INDEX(상세표[블록 22~06시],$Q1630))</f>
        <v/>
      </c>
      <c r="O1630">
        <f>IF($Q1630="","",INDEX(상세표[주말·휴일 포함],$Q1630)&amp;"")</f>
        <v/>
      </c>
      <c r="P1630">
        <f>IF($Q1630="","",INDEX(상세표[월 넘김 포함],$Q1630)&amp;"")</f>
        <v/>
      </c>
      <c r="Q1630" s="4">
        <f>IFERROR(MATCH(1625,상세표[연속순번],0),"")</f>
        <v/>
      </c>
    </row>
    <row r="1631">
      <c r="A1631">
        <f>IF($Q1631="","",INDEX(상세표[부서],$Q1631)&amp;"")</f>
        <v/>
      </c>
      <c r="B1631">
        <f>IF($Q1631="","",INDEX(상세표[사번],$Q1631)&amp;"")</f>
        <v/>
      </c>
      <c r="C1631">
        <f>IF($Q1631="","",INDEX(상세표[성명],$Q1631)&amp;"")</f>
        <v/>
      </c>
      <c r="D1631">
        <f>IF($Q1631="","",INDEX(상세표[직위],$Q1631)&amp;"")</f>
        <v/>
      </c>
      <c r="E1631">
        <f>IF($Q1631="","",IF(ISNUMBER(INDEX(상세표[근무일자],$Q1631)),TEXT(INDEX(상세표[근무일자],$Q1631),"yyyy-mm-dd"),INDEX(상세표[근무일자],$Q1631)&amp;""))</f>
        <v/>
      </c>
      <c r="F1631">
        <f>IF($Q1631="","",IF(ISNUMBER(INDEX(상세표[시작],$Q1631)),TEXT(INDEX(상세표[시작],$Q1631),"yyyy-mm-dd hh:mm"),INDEX(상세표[시작],$Q1631)&amp;""))</f>
        <v/>
      </c>
      <c r="G1631">
        <f>IF($Q1631="","",IF(ISNUMBER(INDEX(상세표[블록종료],$Q1631)),TEXT(INDEX(상세표[블록종료],$Q1631),"yyyy-mm-dd hh:mm"),INDEX(상세표[블록종료],$Q1631)&amp;""))</f>
        <v/>
      </c>
      <c r="H1631">
        <f>IF($Q1631="","",CHOOSE(WEEKDAY(INDEX(상세표[시작],$Q1631)),"일","월","화","수","목","금","토"))</f>
        <v/>
      </c>
      <c r="I1631" s="20">
        <f>IF($Q1631="","",INDEX(상세표[연속 시간],$Q1631))</f>
        <v/>
      </c>
      <c r="J1631">
        <f>IF($Q1631="","",INDEX(상세표[기록 수],$Q1631))</f>
        <v/>
      </c>
      <c r="K1631" s="20">
        <f>IF($Q1631="","",INDEX(상세표[블록 06~07시],$Q1631))</f>
        <v/>
      </c>
      <c r="L1631" s="20">
        <f>IF($Q1631="","",INDEX(상세표[블록 07~18시],$Q1631))</f>
        <v/>
      </c>
      <c r="M1631" s="20">
        <f>IF($Q1631="","",INDEX(상세표[블록 18~22시],$Q1631))</f>
        <v/>
      </c>
      <c r="N1631" s="20">
        <f>IF($Q1631="","",INDEX(상세표[블록 22~06시],$Q1631))</f>
        <v/>
      </c>
      <c r="O1631">
        <f>IF($Q1631="","",INDEX(상세표[주말·휴일 포함],$Q1631)&amp;"")</f>
        <v/>
      </c>
      <c r="P1631">
        <f>IF($Q1631="","",INDEX(상세표[월 넘김 포함],$Q1631)&amp;"")</f>
        <v/>
      </c>
      <c r="Q1631" s="4">
        <f>IFERROR(MATCH(1626,상세표[연속순번],0),"")</f>
        <v/>
      </c>
    </row>
    <row r="1632">
      <c r="A1632">
        <f>IF($Q1632="","",INDEX(상세표[부서],$Q1632)&amp;"")</f>
        <v/>
      </c>
      <c r="B1632">
        <f>IF($Q1632="","",INDEX(상세표[사번],$Q1632)&amp;"")</f>
        <v/>
      </c>
      <c r="C1632">
        <f>IF($Q1632="","",INDEX(상세표[성명],$Q1632)&amp;"")</f>
        <v/>
      </c>
      <c r="D1632">
        <f>IF($Q1632="","",INDEX(상세표[직위],$Q1632)&amp;"")</f>
        <v/>
      </c>
      <c r="E1632">
        <f>IF($Q1632="","",IF(ISNUMBER(INDEX(상세표[근무일자],$Q1632)),TEXT(INDEX(상세표[근무일자],$Q1632),"yyyy-mm-dd"),INDEX(상세표[근무일자],$Q1632)&amp;""))</f>
        <v/>
      </c>
      <c r="F1632">
        <f>IF($Q1632="","",IF(ISNUMBER(INDEX(상세표[시작],$Q1632)),TEXT(INDEX(상세표[시작],$Q1632),"yyyy-mm-dd hh:mm"),INDEX(상세표[시작],$Q1632)&amp;""))</f>
        <v/>
      </c>
      <c r="G1632">
        <f>IF($Q1632="","",IF(ISNUMBER(INDEX(상세표[블록종료],$Q1632)),TEXT(INDEX(상세표[블록종료],$Q1632),"yyyy-mm-dd hh:mm"),INDEX(상세표[블록종료],$Q1632)&amp;""))</f>
        <v/>
      </c>
      <c r="H1632">
        <f>IF($Q1632="","",CHOOSE(WEEKDAY(INDEX(상세표[시작],$Q1632)),"일","월","화","수","목","금","토"))</f>
        <v/>
      </c>
      <c r="I1632" s="20">
        <f>IF($Q1632="","",INDEX(상세표[연속 시간],$Q1632))</f>
        <v/>
      </c>
      <c r="J1632">
        <f>IF($Q1632="","",INDEX(상세표[기록 수],$Q1632))</f>
        <v/>
      </c>
      <c r="K1632" s="20">
        <f>IF($Q1632="","",INDEX(상세표[블록 06~07시],$Q1632))</f>
        <v/>
      </c>
      <c r="L1632" s="20">
        <f>IF($Q1632="","",INDEX(상세표[블록 07~18시],$Q1632))</f>
        <v/>
      </c>
      <c r="M1632" s="20">
        <f>IF($Q1632="","",INDEX(상세표[블록 18~22시],$Q1632))</f>
        <v/>
      </c>
      <c r="N1632" s="20">
        <f>IF($Q1632="","",INDEX(상세표[블록 22~06시],$Q1632))</f>
        <v/>
      </c>
      <c r="O1632">
        <f>IF($Q1632="","",INDEX(상세표[주말·휴일 포함],$Q1632)&amp;"")</f>
        <v/>
      </c>
      <c r="P1632">
        <f>IF($Q1632="","",INDEX(상세표[월 넘김 포함],$Q1632)&amp;"")</f>
        <v/>
      </c>
      <c r="Q1632" s="4">
        <f>IFERROR(MATCH(1627,상세표[연속순번],0),"")</f>
        <v/>
      </c>
    </row>
    <row r="1633">
      <c r="A1633">
        <f>IF($Q1633="","",INDEX(상세표[부서],$Q1633)&amp;"")</f>
        <v/>
      </c>
      <c r="B1633">
        <f>IF($Q1633="","",INDEX(상세표[사번],$Q1633)&amp;"")</f>
        <v/>
      </c>
      <c r="C1633">
        <f>IF($Q1633="","",INDEX(상세표[성명],$Q1633)&amp;"")</f>
        <v/>
      </c>
      <c r="D1633">
        <f>IF($Q1633="","",INDEX(상세표[직위],$Q1633)&amp;"")</f>
        <v/>
      </c>
      <c r="E1633">
        <f>IF($Q1633="","",IF(ISNUMBER(INDEX(상세표[근무일자],$Q1633)),TEXT(INDEX(상세표[근무일자],$Q1633),"yyyy-mm-dd"),INDEX(상세표[근무일자],$Q1633)&amp;""))</f>
        <v/>
      </c>
      <c r="F1633">
        <f>IF($Q1633="","",IF(ISNUMBER(INDEX(상세표[시작],$Q1633)),TEXT(INDEX(상세표[시작],$Q1633),"yyyy-mm-dd hh:mm"),INDEX(상세표[시작],$Q1633)&amp;""))</f>
        <v/>
      </c>
      <c r="G1633">
        <f>IF($Q1633="","",IF(ISNUMBER(INDEX(상세표[블록종료],$Q1633)),TEXT(INDEX(상세표[블록종료],$Q1633),"yyyy-mm-dd hh:mm"),INDEX(상세표[블록종료],$Q1633)&amp;""))</f>
        <v/>
      </c>
      <c r="H1633">
        <f>IF($Q1633="","",CHOOSE(WEEKDAY(INDEX(상세표[시작],$Q1633)),"일","월","화","수","목","금","토"))</f>
        <v/>
      </c>
      <c r="I1633" s="20">
        <f>IF($Q1633="","",INDEX(상세표[연속 시간],$Q1633))</f>
        <v/>
      </c>
      <c r="J1633">
        <f>IF($Q1633="","",INDEX(상세표[기록 수],$Q1633))</f>
        <v/>
      </c>
      <c r="K1633" s="20">
        <f>IF($Q1633="","",INDEX(상세표[블록 06~07시],$Q1633))</f>
        <v/>
      </c>
      <c r="L1633" s="20">
        <f>IF($Q1633="","",INDEX(상세표[블록 07~18시],$Q1633))</f>
        <v/>
      </c>
      <c r="M1633" s="20">
        <f>IF($Q1633="","",INDEX(상세표[블록 18~22시],$Q1633))</f>
        <v/>
      </c>
      <c r="N1633" s="20">
        <f>IF($Q1633="","",INDEX(상세표[블록 22~06시],$Q1633))</f>
        <v/>
      </c>
      <c r="O1633">
        <f>IF($Q1633="","",INDEX(상세표[주말·휴일 포함],$Q1633)&amp;"")</f>
        <v/>
      </c>
      <c r="P1633">
        <f>IF($Q1633="","",INDEX(상세표[월 넘김 포함],$Q1633)&amp;"")</f>
        <v/>
      </c>
      <c r="Q1633" s="4">
        <f>IFERROR(MATCH(1628,상세표[연속순번],0),"")</f>
        <v/>
      </c>
    </row>
    <row r="1634">
      <c r="A1634">
        <f>IF($Q1634="","",INDEX(상세표[부서],$Q1634)&amp;"")</f>
        <v/>
      </c>
      <c r="B1634">
        <f>IF($Q1634="","",INDEX(상세표[사번],$Q1634)&amp;"")</f>
        <v/>
      </c>
      <c r="C1634">
        <f>IF($Q1634="","",INDEX(상세표[성명],$Q1634)&amp;"")</f>
        <v/>
      </c>
      <c r="D1634">
        <f>IF($Q1634="","",INDEX(상세표[직위],$Q1634)&amp;"")</f>
        <v/>
      </c>
      <c r="E1634">
        <f>IF($Q1634="","",IF(ISNUMBER(INDEX(상세표[근무일자],$Q1634)),TEXT(INDEX(상세표[근무일자],$Q1634),"yyyy-mm-dd"),INDEX(상세표[근무일자],$Q1634)&amp;""))</f>
        <v/>
      </c>
      <c r="F1634">
        <f>IF($Q1634="","",IF(ISNUMBER(INDEX(상세표[시작],$Q1634)),TEXT(INDEX(상세표[시작],$Q1634),"yyyy-mm-dd hh:mm"),INDEX(상세표[시작],$Q1634)&amp;""))</f>
        <v/>
      </c>
      <c r="G1634">
        <f>IF($Q1634="","",IF(ISNUMBER(INDEX(상세표[블록종료],$Q1634)),TEXT(INDEX(상세표[블록종료],$Q1634),"yyyy-mm-dd hh:mm"),INDEX(상세표[블록종료],$Q1634)&amp;""))</f>
        <v/>
      </c>
      <c r="H1634">
        <f>IF($Q1634="","",CHOOSE(WEEKDAY(INDEX(상세표[시작],$Q1634)),"일","월","화","수","목","금","토"))</f>
        <v/>
      </c>
      <c r="I1634" s="20">
        <f>IF($Q1634="","",INDEX(상세표[연속 시간],$Q1634))</f>
        <v/>
      </c>
      <c r="J1634">
        <f>IF($Q1634="","",INDEX(상세표[기록 수],$Q1634))</f>
        <v/>
      </c>
      <c r="K1634" s="20">
        <f>IF($Q1634="","",INDEX(상세표[블록 06~07시],$Q1634))</f>
        <v/>
      </c>
      <c r="L1634" s="20">
        <f>IF($Q1634="","",INDEX(상세표[블록 07~18시],$Q1634))</f>
        <v/>
      </c>
      <c r="M1634" s="20">
        <f>IF($Q1634="","",INDEX(상세표[블록 18~22시],$Q1634))</f>
        <v/>
      </c>
      <c r="N1634" s="20">
        <f>IF($Q1634="","",INDEX(상세표[블록 22~06시],$Q1634))</f>
        <v/>
      </c>
      <c r="O1634">
        <f>IF($Q1634="","",INDEX(상세표[주말·휴일 포함],$Q1634)&amp;"")</f>
        <v/>
      </c>
      <c r="P1634">
        <f>IF($Q1634="","",INDEX(상세표[월 넘김 포함],$Q1634)&amp;"")</f>
        <v/>
      </c>
      <c r="Q1634" s="4">
        <f>IFERROR(MATCH(1629,상세표[연속순번],0),"")</f>
        <v/>
      </c>
    </row>
    <row r="1635">
      <c r="A1635">
        <f>IF($Q1635="","",INDEX(상세표[부서],$Q1635)&amp;"")</f>
        <v/>
      </c>
      <c r="B1635">
        <f>IF($Q1635="","",INDEX(상세표[사번],$Q1635)&amp;"")</f>
        <v/>
      </c>
      <c r="C1635">
        <f>IF($Q1635="","",INDEX(상세표[성명],$Q1635)&amp;"")</f>
        <v/>
      </c>
      <c r="D1635">
        <f>IF($Q1635="","",INDEX(상세표[직위],$Q1635)&amp;"")</f>
        <v/>
      </c>
      <c r="E1635">
        <f>IF($Q1635="","",IF(ISNUMBER(INDEX(상세표[근무일자],$Q1635)),TEXT(INDEX(상세표[근무일자],$Q1635),"yyyy-mm-dd"),INDEX(상세표[근무일자],$Q1635)&amp;""))</f>
        <v/>
      </c>
      <c r="F1635">
        <f>IF($Q1635="","",IF(ISNUMBER(INDEX(상세표[시작],$Q1635)),TEXT(INDEX(상세표[시작],$Q1635),"yyyy-mm-dd hh:mm"),INDEX(상세표[시작],$Q1635)&amp;""))</f>
        <v/>
      </c>
      <c r="G1635">
        <f>IF($Q1635="","",IF(ISNUMBER(INDEX(상세표[블록종료],$Q1635)),TEXT(INDEX(상세표[블록종료],$Q1635),"yyyy-mm-dd hh:mm"),INDEX(상세표[블록종료],$Q1635)&amp;""))</f>
        <v/>
      </c>
      <c r="H1635">
        <f>IF($Q1635="","",CHOOSE(WEEKDAY(INDEX(상세표[시작],$Q1635)),"일","월","화","수","목","금","토"))</f>
        <v/>
      </c>
      <c r="I1635" s="20">
        <f>IF($Q1635="","",INDEX(상세표[연속 시간],$Q1635))</f>
        <v/>
      </c>
      <c r="J1635">
        <f>IF($Q1635="","",INDEX(상세표[기록 수],$Q1635))</f>
        <v/>
      </c>
      <c r="K1635" s="20">
        <f>IF($Q1635="","",INDEX(상세표[블록 06~07시],$Q1635))</f>
        <v/>
      </c>
      <c r="L1635" s="20">
        <f>IF($Q1635="","",INDEX(상세표[블록 07~18시],$Q1635))</f>
        <v/>
      </c>
      <c r="M1635" s="20">
        <f>IF($Q1635="","",INDEX(상세표[블록 18~22시],$Q1635))</f>
        <v/>
      </c>
      <c r="N1635" s="20">
        <f>IF($Q1635="","",INDEX(상세표[블록 22~06시],$Q1635))</f>
        <v/>
      </c>
      <c r="O1635">
        <f>IF($Q1635="","",INDEX(상세표[주말·휴일 포함],$Q1635)&amp;"")</f>
        <v/>
      </c>
      <c r="P1635">
        <f>IF($Q1635="","",INDEX(상세표[월 넘김 포함],$Q1635)&amp;"")</f>
        <v/>
      </c>
      <c r="Q1635" s="4">
        <f>IFERROR(MATCH(1630,상세표[연속순번],0),"")</f>
        <v/>
      </c>
    </row>
    <row r="1636">
      <c r="A1636">
        <f>IF($Q1636="","",INDEX(상세표[부서],$Q1636)&amp;"")</f>
        <v/>
      </c>
      <c r="B1636">
        <f>IF($Q1636="","",INDEX(상세표[사번],$Q1636)&amp;"")</f>
        <v/>
      </c>
      <c r="C1636">
        <f>IF($Q1636="","",INDEX(상세표[성명],$Q1636)&amp;"")</f>
        <v/>
      </c>
      <c r="D1636">
        <f>IF($Q1636="","",INDEX(상세표[직위],$Q1636)&amp;"")</f>
        <v/>
      </c>
      <c r="E1636">
        <f>IF($Q1636="","",IF(ISNUMBER(INDEX(상세표[근무일자],$Q1636)),TEXT(INDEX(상세표[근무일자],$Q1636),"yyyy-mm-dd"),INDEX(상세표[근무일자],$Q1636)&amp;""))</f>
        <v/>
      </c>
      <c r="F1636">
        <f>IF($Q1636="","",IF(ISNUMBER(INDEX(상세표[시작],$Q1636)),TEXT(INDEX(상세표[시작],$Q1636),"yyyy-mm-dd hh:mm"),INDEX(상세표[시작],$Q1636)&amp;""))</f>
        <v/>
      </c>
      <c r="G1636">
        <f>IF($Q1636="","",IF(ISNUMBER(INDEX(상세표[블록종료],$Q1636)),TEXT(INDEX(상세표[블록종료],$Q1636),"yyyy-mm-dd hh:mm"),INDEX(상세표[블록종료],$Q1636)&amp;""))</f>
        <v/>
      </c>
      <c r="H1636">
        <f>IF($Q1636="","",CHOOSE(WEEKDAY(INDEX(상세표[시작],$Q1636)),"일","월","화","수","목","금","토"))</f>
        <v/>
      </c>
      <c r="I1636" s="20">
        <f>IF($Q1636="","",INDEX(상세표[연속 시간],$Q1636))</f>
        <v/>
      </c>
      <c r="J1636">
        <f>IF($Q1636="","",INDEX(상세표[기록 수],$Q1636))</f>
        <v/>
      </c>
      <c r="K1636" s="20">
        <f>IF($Q1636="","",INDEX(상세표[블록 06~07시],$Q1636))</f>
        <v/>
      </c>
      <c r="L1636" s="20">
        <f>IF($Q1636="","",INDEX(상세표[블록 07~18시],$Q1636))</f>
        <v/>
      </c>
      <c r="M1636" s="20">
        <f>IF($Q1636="","",INDEX(상세표[블록 18~22시],$Q1636))</f>
        <v/>
      </c>
      <c r="N1636" s="20">
        <f>IF($Q1636="","",INDEX(상세표[블록 22~06시],$Q1636))</f>
        <v/>
      </c>
      <c r="O1636">
        <f>IF($Q1636="","",INDEX(상세표[주말·휴일 포함],$Q1636)&amp;"")</f>
        <v/>
      </c>
      <c r="P1636">
        <f>IF($Q1636="","",INDEX(상세표[월 넘김 포함],$Q1636)&amp;"")</f>
        <v/>
      </c>
      <c r="Q1636" s="4">
        <f>IFERROR(MATCH(1631,상세표[연속순번],0),"")</f>
        <v/>
      </c>
    </row>
    <row r="1637">
      <c r="A1637">
        <f>IF($Q1637="","",INDEX(상세표[부서],$Q1637)&amp;"")</f>
        <v/>
      </c>
      <c r="B1637">
        <f>IF($Q1637="","",INDEX(상세표[사번],$Q1637)&amp;"")</f>
        <v/>
      </c>
      <c r="C1637">
        <f>IF($Q1637="","",INDEX(상세표[성명],$Q1637)&amp;"")</f>
        <v/>
      </c>
      <c r="D1637">
        <f>IF($Q1637="","",INDEX(상세표[직위],$Q1637)&amp;"")</f>
        <v/>
      </c>
      <c r="E1637">
        <f>IF($Q1637="","",IF(ISNUMBER(INDEX(상세표[근무일자],$Q1637)),TEXT(INDEX(상세표[근무일자],$Q1637),"yyyy-mm-dd"),INDEX(상세표[근무일자],$Q1637)&amp;""))</f>
        <v/>
      </c>
      <c r="F1637">
        <f>IF($Q1637="","",IF(ISNUMBER(INDEX(상세표[시작],$Q1637)),TEXT(INDEX(상세표[시작],$Q1637),"yyyy-mm-dd hh:mm"),INDEX(상세표[시작],$Q1637)&amp;""))</f>
        <v/>
      </c>
      <c r="G1637">
        <f>IF($Q1637="","",IF(ISNUMBER(INDEX(상세표[블록종료],$Q1637)),TEXT(INDEX(상세표[블록종료],$Q1637),"yyyy-mm-dd hh:mm"),INDEX(상세표[블록종료],$Q1637)&amp;""))</f>
        <v/>
      </c>
      <c r="H1637">
        <f>IF($Q1637="","",CHOOSE(WEEKDAY(INDEX(상세표[시작],$Q1637)),"일","월","화","수","목","금","토"))</f>
        <v/>
      </c>
      <c r="I1637" s="20">
        <f>IF($Q1637="","",INDEX(상세표[연속 시간],$Q1637))</f>
        <v/>
      </c>
      <c r="J1637">
        <f>IF($Q1637="","",INDEX(상세표[기록 수],$Q1637))</f>
        <v/>
      </c>
      <c r="K1637" s="20">
        <f>IF($Q1637="","",INDEX(상세표[블록 06~07시],$Q1637))</f>
        <v/>
      </c>
      <c r="L1637" s="20">
        <f>IF($Q1637="","",INDEX(상세표[블록 07~18시],$Q1637))</f>
        <v/>
      </c>
      <c r="M1637" s="20">
        <f>IF($Q1637="","",INDEX(상세표[블록 18~22시],$Q1637))</f>
        <v/>
      </c>
      <c r="N1637" s="20">
        <f>IF($Q1637="","",INDEX(상세표[블록 22~06시],$Q1637))</f>
        <v/>
      </c>
      <c r="O1637">
        <f>IF($Q1637="","",INDEX(상세표[주말·휴일 포함],$Q1637)&amp;"")</f>
        <v/>
      </c>
      <c r="P1637">
        <f>IF($Q1637="","",INDEX(상세표[월 넘김 포함],$Q1637)&amp;"")</f>
        <v/>
      </c>
      <c r="Q1637" s="4">
        <f>IFERROR(MATCH(1632,상세표[연속순번],0),"")</f>
        <v/>
      </c>
    </row>
    <row r="1638">
      <c r="A1638">
        <f>IF($Q1638="","",INDEX(상세표[부서],$Q1638)&amp;"")</f>
        <v/>
      </c>
      <c r="B1638">
        <f>IF($Q1638="","",INDEX(상세표[사번],$Q1638)&amp;"")</f>
        <v/>
      </c>
      <c r="C1638">
        <f>IF($Q1638="","",INDEX(상세표[성명],$Q1638)&amp;"")</f>
        <v/>
      </c>
      <c r="D1638">
        <f>IF($Q1638="","",INDEX(상세표[직위],$Q1638)&amp;"")</f>
        <v/>
      </c>
      <c r="E1638">
        <f>IF($Q1638="","",IF(ISNUMBER(INDEX(상세표[근무일자],$Q1638)),TEXT(INDEX(상세표[근무일자],$Q1638),"yyyy-mm-dd"),INDEX(상세표[근무일자],$Q1638)&amp;""))</f>
        <v/>
      </c>
      <c r="F1638">
        <f>IF($Q1638="","",IF(ISNUMBER(INDEX(상세표[시작],$Q1638)),TEXT(INDEX(상세표[시작],$Q1638),"yyyy-mm-dd hh:mm"),INDEX(상세표[시작],$Q1638)&amp;""))</f>
        <v/>
      </c>
      <c r="G1638">
        <f>IF($Q1638="","",IF(ISNUMBER(INDEX(상세표[블록종료],$Q1638)),TEXT(INDEX(상세표[블록종료],$Q1638),"yyyy-mm-dd hh:mm"),INDEX(상세표[블록종료],$Q1638)&amp;""))</f>
        <v/>
      </c>
      <c r="H1638">
        <f>IF($Q1638="","",CHOOSE(WEEKDAY(INDEX(상세표[시작],$Q1638)),"일","월","화","수","목","금","토"))</f>
        <v/>
      </c>
      <c r="I1638" s="20">
        <f>IF($Q1638="","",INDEX(상세표[연속 시간],$Q1638))</f>
        <v/>
      </c>
      <c r="J1638">
        <f>IF($Q1638="","",INDEX(상세표[기록 수],$Q1638))</f>
        <v/>
      </c>
      <c r="K1638" s="20">
        <f>IF($Q1638="","",INDEX(상세표[블록 06~07시],$Q1638))</f>
        <v/>
      </c>
      <c r="L1638" s="20">
        <f>IF($Q1638="","",INDEX(상세표[블록 07~18시],$Q1638))</f>
        <v/>
      </c>
      <c r="M1638" s="20">
        <f>IF($Q1638="","",INDEX(상세표[블록 18~22시],$Q1638))</f>
        <v/>
      </c>
      <c r="N1638" s="20">
        <f>IF($Q1638="","",INDEX(상세표[블록 22~06시],$Q1638))</f>
        <v/>
      </c>
      <c r="O1638">
        <f>IF($Q1638="","",INDEX(상세표[주말·휴일 포함],$Q1638)&amp;"")</f>
        <v/>
      </c>
      <c r="P1638">
        <f>IF($Q1638="","",INDEX(상세표[월 넘김 포함],$Q1638)&amp;"")</f>
        <v/>
      </c>
      <c r="Q1638" s="4">
        <f>IFERROR(MATCH(1633,상세표[연속순번],0),"")</f>
        <v/>
      </c>
    </row>
    <row r="1639">
      <c r="A1639">
        <f>IF($Q1639="","",INDEX(상세표[부서],$Q1639)&amp;"")</f>
        <v/>
      </c>
      <c r="B1639">
        <f>IF($Q1639="","",INDEX(상세표[사번],$Q1639)&amp;"")</f>
        <v/>
      </c>
      <c r="C1639">
        <f>IF($Q1639="","",INDEX(상세표[성명],$Q1639)&amp;"")</f>
        <v/>
      </c>
      <c r="D1639">
        <f>IF($Q1639="","",INDEX(상세표[직위],$Q1639)&amp;"")</f>
        <v/>
      </c>
      <c r="E1639">
        <f>IF($Q1639="","",IF(ISNUMBER(INDEX(상세표[근무일자],$Q1639)),TEXT(INDEX(상세표[근무일자],$Q1639),"yyyy-mm-dd"),INDEX(상세표[근무일자],$Q1639)&amp;""))</f>
        <v/>
      </c>
      <c r="F1639">
        <f>IF($Q1639="","",IF(ISNUMBER(INDEX(상세표[시작],$Q1639)),TEXT(INDEX(상세표[시작],$Q1639),"yyyy-mm-dd hh:mm"),INDEX(상세표[시작],$Q1639)&amp;""))</f>
        <v/>
      </c>
      <c r="G1639">
        <f>IF($Q1639="","",IF(ISNUMBER(INDEX(상세표[블록종료],$Q1639)),TEXT(INDEX(상세표[블록종료],$Q1639),"yyyy-mm-dd hh:mm"),INDEX(상세표[블록종료],$Q1639)&amp;""))</f>
        <v/>
      </c>
      <c r="H1639">
        <f>IF($Q1639="","",CHOOSE(WEEKDAY(INDEX(상세표[시작],$Q1639)),"일","월","화","수","목","금","토"))</f>
        <v/>
      </c>
      <c r="I1639" s="20">
        <f>IF($Q1639="","",INDEX(상세표[연속 시간],$Q1639))</f>
        <v/>
      </c>
      <c r="J1639">
        <f>IF($Q1639="","",INDEX(상세표[기록 수],$Q1639))</f>
        <v/>
      </c>
      <c r="K1639" s="20">
        <f>IF($Q1639="","",INDEX(상세표[블록 06~07시],$Q1639))</f>
        <v/>
      </c>
      <c r="L1639" s="20">
        <f>IF($Q1639="","",INDEX(상세표[블록 07~18시],$Q1639))</f>
        <v/>
      </c>
      <c r="M1639" s="20">
        <f>IF($Q1639="","",INDEX(상세표[블록 18~22시],$Q1639))</f>
        <v/>
      </c>
      <c r="N1639" s="20">
        <f>IF($Q1639="","",INDEX(상세표[블록 22~06시],$Q1639))</f>
        <v/>
      </c>
      <c r="O1639">
        <f>IF($Q1639="","",INDEX(상세표[주말·휴일 포함],$Q1639)&amp;"")</f>
        <v/>
      </c>
      <c r="P1639">
        <f>IF($Q1639="","",INDEX(상세표[월 넘김 포함],$Q1639)&amp;"")</f>
        <v/>
      </c>
      <c r="Q1639" s="4">
        <f>IFERROR(MATCH(1634,상세표[연속순번],0),"")</f>
        <v/>
      </c>
    </row>
    <row r="1640">
      <c r="A1640">
        <f>IF($Q1640="","",INDEX(상세표[부서],$Q1640)&amp;"")</f>
        <v/>
      </c>
      <c r="B1640">
        <f>IF($Q1640="","",INDEX(상세표[사번],$Q1640)&amp;"")</f>
        <v/>
      </c>
      <c r="C1640">
        <f>IF($Q1640="","",INDEX(상세표[성명],$Q1640)&amp;"")</f>
        <v/>
      </c>
      <c r="D1640">
        <f>IF($Q1640="","",INDEX(상세표[직위],$Q1640)&amp;"")</f>
        <v/>
      </c>
      <c r="E1640">
        <f>IF($Q1640="","",IF(ISNUMBER(INDEX(상세표[근무일자],$Q1640)),TEXT(INDEX(상세표[근무일자],$Q1640),"yyyy-mm-dd"),INDEX(상세표[근무일자],$Q1640)&amp;""))</f>
        <v/>
      </c>
      <c r="F1640">
        <f>IF($Q1640="","",IF(ISNUMBER(INDEX(상세표[시작],$Q1640)),TEXT(INDEX(상세표[시작],$Q1640),"yyyy-mm-dd hh:mm"),INDEX(상세표[시작],$Q1640)&amp;""))</f>
        <v/>
      </c>
      <c r="G1640">
        <f>IF($Q1640="","",IF(ISNUMBER(INDEX(상세표[블록종료],$Q1640)),TEXT(INDEX(상세표[블록종료],$Q1640),"yyyy-mm-dd hh:mm"),INDEX(상세표[블록종료],$Q1640)&amp;""))</f>
        <v/>
      </c>
      <c r="H1640">
        <f>IF($Q1640="","",CHOOSE(WEEKDAY(INDEX(상세표[시작],$Q1640)),"일","월","화","수","목","금","토"))</f>
        <v/>
      </c>
      <c r="I1640" s="20">
        <f>IF($Q1640="","",INDEX(상세표[연속 시간],$Q1640))</f>
        <v/>
      </c>
      <c r="J1640">
        <f>IF($Q1640="","",INDEX(상세표[기록 수],$Q1640))</f>
        <v/>
      </c>
      <c r="K1640" s="20">
        <f>IF($Q1640="","",INDEX(상세표[블록 06~07시],$Q1640))</f>
        <v/>
      </c>
      <c r="L1640" s="20">
        <f>IF($Q1640="","",INDEX(상세표[블록 07~18시],$Q1640))</f>
        <v/>
      </c>
      <c r="M1640" s="20">
        <f>IF($Q1640="","",INDEX(상세표[블록 18~22시],$Q1640))</f>
        <v/>
      </c>
      <c r="N1640" s="20">
        <f>IF($Q1640="","",INDEX(상세표[블록 22~06시],$Q1640))</f>
        <v/>
      </c>
      <c r="O1640">
        <f>IF($Q1640="","",INDEX(상세표[주말·휴일 포함],$Q1640)&amp;"")</f>
        <v/>
      </c>
      <c r="P1640">
        <f>IF($Q1640="","",INDEX(상세표[월 넘김 포함],$Q1640)&amp;"")</f>
        <v/>
      </c>
      <c r="Q1640" s="4">
        <f>IFERROR(MATCH(1635,상세표[연속순번],0),"")</f>
        <v/>
      </c>
    </row>
    <row r="1641">
      <c r="A1641">
        <f>IF($Q1641="","",INDEX(상세표[부서],$Q1641)&amp;"")</f>
        <v/>
      </c>
      <c r="B1641">
        <f>IF($Q1641="","",INDEX(상세표[사번],$Q1641)&amp;"")</f>
        <v/>
      </c>
      <c r="C1641">
        <f>IF($Q1641="","",INDEX(상세표[성명],$Q1641)&amp;"")</f>
        <v/>
      </c>
      <c r="D1641">
        <f>IF($Q1641="","",INDEX(상세표[직위],$Q1641)&amp;"")</f>
        <v/>
      </c>
      <c r="E1641">
        <f>IF($Q1641="","",IF(ISNUMBER(INDEX(상세표[근무일자],$Q1641)),TEXT(INDEX(상세표[근무일자],$Q1641),"yyyy-mm-dd"),INDEX(상세표[근무일자],$Q1641)&amp;""))</f>
        <v/>
      </c>
      <c r="F1641">
        <f>IF($Q1641="","",IF(ISNUMBER(INDEX(상세표[시작],$Q1641)),TEXT(INDEX(상세표[시작],$Q1641),"yyyy-mm-dd hh:mm"),INDEX(상세표[시작],$Q1641)&amp;""))</f>
        <v/>
      </c>
      <c r="G1641">
        <f>IF($Q1641="","",IF(ISNUMBER(INDEX(상세표[블록종료],$Q1641)),TEXT(INDEX(상세표[블록종료],$Q1641),"yyyy-mm-dd hh:mm"),INDEX(상세표[블록종료],$Q1641)&amp;""))</f>
        <v/>
      </c>
      <c r="H1641">
        <f>IF($Q1641="","",CHOOSE(WEEKDAY(INDEX(상세표[시작],$Q1641)),"일","월","화","수","목","금","토"))</f>
        <v/>
      </c>
      <c r="I1641" s="20">
        <f>IF($Q1641="","",INDEX(상세표[연속 시간],$Q1641))</f>
        <v/>
      </c>
      <c r="J1641">
        <f>IF($Q1641="","",INDEX(상세표[기록 수],$Q1641))</f>
        <v/>
      </c>
      <c r="K1641" s="20">
        <f>IF($Q1641="","",INDEX(상세표[블록 06~07시],$Q1641))</f>
        <v/>
      </c>
      <c r="L1641" s="20">
        <f>IF($Q1641="","",INDEX(상세표[블록 07~18시],$Q1641))</f>
        <v/>
      </c>
      <c r="M1641" s="20">
        <f>IF($Q1641="","",INDEX(상세표[블록 18~22시],$Q1641))</f>
        <v/>
      </c>
      <c r="N1641" s="20">
        <f>IF($Q1641="","",INDEX(상세표[블록 22~06시],$Q1641))</f>
        <v/>
      </c>
      <c r="O1641">
        <f>IF($Q1641="","",INDEX(상세표[주말·휴일 포함],$Q1641)&amp;"")</f>
        <v/>
      </c>
      <c r="P1641">
        <f>IF($Q1641="","",INDEX(상세표[월 넘김 포함],$Q1641)&amp;"")</f>
        <v/>
      </c>
      <c r="Q1641" s="4">
        <f>IFERROR(MATCH(1636,상세표[연속순번],0),"")</f>
        <v/>
      </c>
    </row>
    <row r="1642">
      <c r="A1642">
        <f>IF($Q1642="","",INDEX(상세표[부서],$Q1642)&amp;"")</f>
        <v/>
      </c>
      <c r="B1642">
        <f>IF($Q1642="","",INDEX(상세표[사번],$Q1642)&amp;"")</f>
        <v/>
      </c>
      <c r="C1642">
        <f>IF($Q1642="","",INDEX(상세표[성명],$Q1642)&amp;"")</f>
        <v/>
      </c>
      <c r="D1642">
        <f>IF($Q1642="","",INDEX(상세표[직위],$Q1642)&amp;"")</f>
        <v/>
      </c>
      <c r="E1642">
        <f>IF($Q1642="","",IF(ISNUMBER(INDEX(상세표[근무일자],$Q1642)),TEXT(INDEX(상세표[근무일자],$Q1642),"yyyy-mm-dd"),INDEX(상세표[근무일자],$Q1642)&amp;""))</f>
        <v/>
      </c>
      <c r="F1642">
        <f>IF($Q1642="","",IF(ISNUMBER(INDEX(상세표[시작],$Q1642)),TEXT(INDEX(상세표[시작],$Q1642),"yyyy-mm-dd hh:mm"),INDEX(상세표[시작],$Q1642)&amp;""))</f>
        <v/>
      </c>
      <c r="G1642">
        <f>IF($Q1642="","",IF(ISNUMBER(INDEX(상세표[블록종료],$Q1642)),TEXT(INDEX(상세표[블록종료],$Q1642),"yyyy-mm-dd hh:mm"),INDEX(상세표[블록종료],$Q1642)&amp;""))</f>
        <v/>
      </c>
      <c r="H1642">
        <f>IF($Q1642="","",CHOOSE(WEEKDAY(INDEX(상세표[시작],$Q1642)),"일","월","화","수","목","금","토"))</f>
        <v/>
      </c>
      <c r="I1642" s="20">
        <f>IF($Q1642="","",INDEX(상세표[연속 시간],$Q1642))</f>
        <v/>
      </c>
      <c r="J1642">
        <f>IF($Q1642="","",INDEX(상세표[기록 수],$Q1642))</f>
        <v/>
      </c>
      <c r="K1642" s="20">
        <f>IF($Q1642="","",INDEX(상세표[블록 06~07시],$Q1642))</f>
        <v/>
      </c>
      <c r="L1642" s="20">
        <f>IF($Q1642="","",INDEX(상세표[블록 07~18시],$Q1642))</f>
        <v/>
      </c>
      <c r="M1642" s="20">
        <f>IF($Q1642="","",INDEX(상세표[블록 18~22시],$Q1642))</f>
        <v/>
      </c>
      <c r="N1642" s="20">
        <f>IF($Q1642="","",INDEX(상세표[블록 22~06시],$Q1642))</f>
        <v/>
      </c>
      <c r="O1642">
        <f>IF($Q1642="","",INDEX(상세표[주말·휴일 포함],$Q1642)&amp;"")</f>
        <v/>
      </c>
      <c r="P1642">
        <f>IF($Q1642="","",INDEX(상세표[월 넘김 포함],$Q1642)&amp;"")</f>
        <v/>
      </c>
      <c r="Q1642" s="4">
        <f>IFERROR(MATCH(1637,상세표[연속순번],0),"")</f>
        <v/>
      </c>
    </row>
    <row r="1643">
      <c r="A1643">
        <f>IF($Q1643="","",INDEX(상세표[부서],$Q1643)&amp;"")</f>
        <v/>
      </c>
      <c r="B1643">
        <f>IF($Q1643="","",INDEX(상세표[사번],$Q1643)&amp;"")</f>
        <v/>
      </c>
      <c r="C1643">
        <f>IF($Q1643="","",INDEX(상세표[성명],$Q1643)&amp;"")</f>
        <v/>
      </c>
      <c r="D1643">
        <f>IF($Q1643="","",INDEX(상세표[직위],$Q1643)&amp;"")</f>
        <v/>
      </c>
      <c r="E1643">
        <f>IF($Q1643="","",IF(ISNUMBER(INDEX(상세표[근무일자],$Q1643)),TEXT(INDEX(상세표[근무일자],$Q1643),"yyyy-mm-dd"),INDEX(상세표[근무일자],$Q1643)&amp;""))</f>
        <v/>
      </c>
      <c r="F1643">
        <f>IF($Q1643="","",IF(ISNUMBER(INDEX(상세표[시작],$Q1643)),TEXT(INDEX(상세표[시작],$Q1643),"yyyy-mm-dd hh:mm"),INDEX(상세표[시작],$Q1643)&amp;""))</f>
        <v/>
      </c>
      <c r="G1643">
        <f>IF($Q1643="","",IF(ISNUMBER(INDEX(상세표[블록종료],$Q1643)),TEXT(INDEX(상세표[블록종료],$Q1643),"yyyy-mm-dd hh:mm"),INDEX(상세표[블록종료],$Q1643)&amp;""))</f>
        <v/>
      </c>
      <c r="H1643">
        <f>IF($Q1643="","",CHOOSE(WEEKDAY(INDEX(상세표[시작],$Q1643)),"일","월","화","수","목","금","토"))</f>
        <v/>
      </c>
      <c r="I1643" s="20">
        <f>IF($Q1643="","",INDEX(상세표[연속 시간],$Q1643))</f>
        <v/>
      </c>
      <c r="J1643">
        <f>IF($Q1643="","",INDEX(상세표[기록 수],$Q1643))</f>
        <v/>
      </c>
      <c r="K1643" s="20">
        <f>IF($Q1643="","",INDEX(상세표[블록 06~07시],$Q1643))</f>
        <v/>
      </c>
      <c r="L1643" s="20">
        <f>IF($Q1643="","",INDEX(상세표[블록 07~18시],$Q1643))</f>
        <v/>
      </c>
      <c r="M1643" s="20">
        <f>IF($Q1643="","",INDEX(상세표[블록 18~22시],$Q1643))</f>
        <v/>
      </c>
      <c r="N1643" s="20">
        <f>IF($Q1643="","",INDEX(상세표[블록 22~06시],$Q1643))</f>
        <v/>
      </c>
      <c r="O1643">
        <f>IF($Q1643="","",INDEX(상세표[주말·휴일 포함],$Q1643)&amp;"")</f>
        <v/>
      </c>
      <c r="P1643">
        <f>IF($Q1643="","",INDEX(상세표[월 넘김 포함],$Q1643)&amp;"")</f>
        <v/>
      </c>
      <c r="Q1643" s="4">
        <f>IFERROR(MATCH(1638,상세표[연속순번],0),"")</f>
        <v/>
      </c>
    </row>
    <row r="1644">
      <c r="A1644">
        <f>IF($Q1644="","",INDEX(상세표[부서],$Q1644)&amp;"")</f>
        <v/>
      </c>
      <c r="B1644">
        <f>IF($Q1644="","",INDEX(상세표[사번],$Q1644)&amp;"")</f>
        <v/>
      </c>
      <c r="C1644">
        <f>IF($Q1644="","",INDEX(상세표[성명],$Q1644)&amp;"")</f>
        <v/>
      </c>
      <c r="D1644">
        <f>IF($Q1644="","",INDEX(상세표[직위],$Q1644)&amp;"")</f>
        <v/>
      </c>
      <c r="E1644">
        <f>IF($Q1644="","",IF(ISNUMBER(INDEX(상세표[근무일자],$Q1644)),TEXT(INDEX(상세표[근무일자],$Q1644),"yyyy-mm-dd"),INDEX(상세표[근무일자],$Q1644)&amp;""))</f>
        <v/>
      </c>
      <c r="F1644">
        <f>IF($Q1644="","",IF(ISNUMBER(INDEX(상세표[시작],$Q1644)),TEXT(INDEX(상세표[시작],$Q1644),"yyyy-mm-dd hh:mm"),INDEX(상세표[시작],$Q1644)&amp;""))</f>
        <v/>
      </c>
      <c r="G1644">
        <f>IF($Q1644="","",IF(ISNUMBER(INDEX(상세표[블록종료],$Q1644)),TEXT(INDEX(상세표[블록종료],$Q1644),"yyyy-mm-dd hh:mm"),INDEX(상세표[블록종료],$Q1644)&amp;""))</f>
        <v/>
      </c>
      <c r="H1644">
        <f>IF($Q1644="","",CHOOSE(WEEKDAY(INDEX(상세표[시작],$Q1644)),"일","월","화","수","목","금","토"))</f>
        <v/>
      </c>
      <c r="I1644" s="20">
        <f>IF($Q1644="","",INDEX(상세표[연속 시간],$Q1644))</f>
        <v/>
      </c>
      <c r="J1644">
        <f>IF($Q1644="","",INDEX(상세표[기록 수],$Q1644))</f>
        <v/>
      </c>
      <c r="K1644" s="20">
        <f>IF($Q1644="","",INDEX(상세표[블록 06~07시],$Q1644))</f>
        <v/>
      </c>
      <c r="L1644" s="20">
        <f>IF($Q1644="","",INDEX(상세표[블록 07~18시],$Q1644))</f>
        <v/>
      </c>
      <c r="M1644" s="20">
        <f>IF($Q1644="","",INDEX(상세표[블록 18~22시],$Q1644))</f>
        <v/>
      </c>
      <c r="N1644" s="20">
        <f>IF($Q1644="","",INDEX(상세표[블록 22~06시],$Q1644))</f>
        <v/>
      </c>
      <c r="O1644">
        <f>IF($Q1644="","",INDEX(상세표[주말·휴일 포함],$Q1644)&amp;"")</f>
        <v/>
      </c>
      <c r="P1644">
        <f>IF($Q1644="","",INDEX(상세표[월 넘김 포함],$Q1644)&amp;"")</f>
        <v/>
      </c>
      <c r="Q1644" s="4">
        <f>IFERROR(MATCH(1639,상세표[연속순번],0),"")</f>
        <v/>
      </c>
    </row>
    <row r="1645">
      <c r="A1645">
        <f>IF($Q1645="","",INDEX(상세표[부서],$Q1645)&amp;"")</f>
        <v/>
      </c>
      <c r="B1645">
        <f>IF($Q1645="","",INDEX(상세표[사번],$Q1645)&amp;"")</f>
        <v/>
      </c>
      <c r="C1645">
        <f>IF($Q1645="","",INDEX(상세표[성명],$Q1645)&amp;"")</f>
        <v/>
      </c>
      <c r="D1645">
        <f>IF($Q1645="","",INDEX(상세표[직위],$Q1645)&amp;"")</f>
        <v/>
      </c>
      <c r="E1645">
        <f>IF($Q1645="","",IF(ISNUMBER(INDEX(상세표[근무일자],$Q1645)),TEXT(INDEX(상세표[근무일자],$Q1645),"yyyy-mm-dd"),INDEX(상세표[근무일자],$Q1645)&amp;""))</f>
        <v/>
      </c>
      <c r="F1645">
        <f>IF($Q1645="","",IF(ISNUMBER(INDEX(상세표[시작],$Q1645)),TEXT(INDEX(상세표[시작],$Q1645),"yyyy-mm-dd hh:mm"),INDEX(상세표[시작],$Q1645)&amp;""))</f>
        <v/>
      </c>
      <c r="G1645">
        <f>IF($Q1645="","",IF(ISNUMBER(INDEX(상세표[블록종료],$Q1645)),TEXT(INDEX(상세표[블록종료],$Q1645),"yyyy-mm-dd hh:mm"),INDEX(상세표[블록종료],$Q1645)&amp;""))</f>
        <v/>
      </c>
      <c r="H1645">
        <f>IF($Q1645="","",CHOOSE(WEEKDAY(INDEX(상세표[시작],$Q1645)),"일","월","화","수","목","금","토"))</f>
        <v/>
      </c>
      <c r="I1645" s="20">
        <f>IF($Q1645="","",INDEX(상세표[연속 시간],$Q1645))</f>
        <v/>
      </c>
      <c r="J1645">
        <f>IF($Q1645="","",INDEX(상세표[기록 수],$Q1645))</f>
        <v/>
      </c>
      <c r="K1645" s="20">
        <f>IF($Q1645="","",INDEX(상세표[블록 06~07시],$Q1645))</f>
        <v/>
      </c>
      <c r="L1645" s="20">
        <f>IF($Q1645="","",INDEX(상세표[블록 07~18시],$Q1645))</f>
        <v/>
      </c>
      <c r="M1645" s="20">
        <f>IF($Q1645="","",INDEX(상세표[블록 18~22시],$Q1645))</f>
        <v/>
      </c>
      <c r="N1645" s="20">
        <f>IF($Q1645="","",INDEX(상세표[블록 22~06시],$Q1645))</f>
        <v/>
      </c>
      <c r="O1645">
        <f>IF($Q1645="","",INDEX(상세표[주말·휴일 포함],$Q1645)&amp;"")</f>
        <v/>
      </c>
      <c r="P1645">
        <f>IF($Q1645="","",INDEX(상세표[월 넘김 포함],$Q1645)&amp;"")</f>
        <v/>
      </c>
      <c r="Q1645" s="4">
        <f>IFERROR(MATCH(1640,상세표[연속순번],0),"")</f>
        <v/>
      </c>
    </row>
    <row r="1646">
      <c r="A1646">
        <f>IF($Q1646="","",INDEX(상세표[부서],$Q1646)&amp;"")</f>
        <v/>
      </c>
      <c r="B1646">
        <f>IF($Q1646="","",INDEX(상세표[사번],$Q1646)&amp;"")</f>
        <v/>
      </c>
      <c r="C1646">
        <f>IF($Q1646="","",INDEX(상세표[성명],$Q1646)&amp;"")</f>
        <v/>
      </c>
      <c r="D1646">
        <f>IF($Q1646="","",INDEX(상세표[직위],$Q1646)&amp;"")</f>
        <v/>
      </c>
      <c r="E1646">
        <f>IF($Q1646="","",IF(ISNUMBER(INDEX(상세표[근무일자],$Q1646)),TEXT(INDEX(상세표[근무일자],$Q1646),"yyyy-mm-dd"),INDEX(상세표[근무일자],$Q1646)&amp;""))</f>
        <v/>
      </c>
      <c r="F1646">
        <f>IF($Q1646="","",IF(ISNUMBER(INDEX(상세표[시작],$Q1646)),TEXT(INDEX(상세표[시작],$Q1646),"yyyy-mm-dd hh:mm"),INDEX(상세표[시작],$Q1646)&amp;""))</f>
        <v/>
      </c>
      <c r="G1646">
        <f>IF($Q1646="","",IF(ISNUMBER(INDEX(상세표[블록종료],$Q1646)),TEXT(INDEX(상세표[블록종료],$Q1646),"yyyy-mm-dd hh:mm"),INDEX(상세표[블록종료],$Q1646)&amp;""))</f>
        <v/>
      </c>
      <c r="H1646">
        <f>IF($Q1646="","",CHOOSE(WEEKDAY(INDEX(상세표[시작],$Q1646)),"일","월","화","수","목","금","토"))</f>
        <v/>
      </c>
      <c r="I1646" s="20">
        <f>IF($Q1646="","",INDEX(상세표[연속 시간],$Q1646))</f>
        <v/>
      </c>
      <c r="J1646">
        <f>IF($Q1646="","",INDEX(상세표[기록 수],$Q1646))</f>
        <v/>
      </c>
      <c r="K1646" s="20">
        <f>IF($Q1646="","",INDEX(상세표[블록 06~07시],$Q1646))</f>
        <v/>
      </c>
      <c r="L1646" s="20">
        <f>IF($Q1646="","",INDEX(상세표[블록 07~18시],$Q1646))</f>
        <v/>
      </c>
      <c r="M1646" s="20">
        <f>IF($Q1646="","",INDEX(상세표[블록 18~22시],$Q1646))</f>
        <v/>
      </c>
      <c r="N1646" s="20">
        <f>IF($Q1646="","",INDEX(상세표[블록 22~06시],$Q1646))</f>
        <v/>
      </c>
      <c r="O1646">
        <f>IF($Q1646="","",INDEX(상세표[주말·휴일 포함],$Q1646)&amp;"")</f>
        <v/>
      </c>
      <c r="P1646">
        <f>IF($Q1646="","",INDEX(상세표[월 넘김 포함],$Q1646)&amp;"")</f>
        <v/>
      </c>
      <c r="Q1646" s="4">
        <f>IFERROR(MATCH(1641,상세표[연속순번],0),"")</f>
        <v/>
      </c>
    </row>
    <row r="1647">
      <c r="A1647">
        <f>IF($Q1647="","",INDEX(상세표[부서],$Q1647)&amp;"")</f>
        <v/>
      </c>
      <c r="B1647">
        <f>IF($Q1647="","",INDEX(상세표[사번],$Q1647)&amp;"")</f>
        <v/>
      </c>
      <c r="C1647">
        <f>IF($Q1647="","",INDEX(상세표[성명],$Q1647)&amp;"")</f>
        <v/>
      </c>
      <c r="D1647">
        <f>IF($Q1647="","",INDEX(상세표[직위],$Q1647)&amp;"")</f>
        <v/>
      </c>
      <c r="E1647">
        <f>IF($Q1647="","",IF(ISNUMBER(INDEX(상세표[근무일자],$Q1647)),TEXT(INDEX(상세표[근무일자],$Q1647),"yyyy-mm-dd"),INDEX(상세표[근무일자],$Q1647)&amp;""))</f>
        <v/>
      </c>
      <c r="F1647">
        <f>IF($Q1647="","",IF(ISNUMBER(INDEX(상세표[시작],$Q1647)),TEXT(INDEX(상세표[시작],$Q1647),"yyyy-mm-dd hh:mm"),INDEX(상세표[시작],$Q1647)&amp;""))</f>
        <v/>
      </c>
      <c r="G1647">
        <f>IF($Q1647="","",IF(ISNUMBER(INDEX(상세표[블록종료],$Q1647)),TEXT(INDEX(상세표[블록종료],$Q1647),"yyyy-mm-dd hh:mm"),INDEX(상세표[블록종료],$Q1647)&amp;""))</f>
        <v/>
      </c>
      <c r="H1647">
        <f>IF($Q1647="","",CHOOSE(WEEKDAY(INDEX(상세표[시작],$Q1647)),"일","월","화","수","목","금","토"))</f>
        <v/>
      </c>
      <c r="I1647" s="20">
        <f>IF($Q1647="","",INDEX(상세표[연속 시간],$Q1647))</f>
        <v/>
      </c>
      <c r="J1647">
        <f>IF($Q1647="","",INDEX(상세표[기록 수],$Q1647))</f>
        <v/>
      </c>
      <c r="K1647" s="20">
        <f>IF($Q1647="","",INDEX(상세표[블록 06~07시],$Q1647))</f>
        <v/>
      </c>
      <c r="L1647" s="20">
        <f>IF($Q1647="","",INDEX(상세표[블록 07~18시],$Q1647))</f>
        <v/>
      </c>
      <c r="M1647" s="20">
        <f>IF($Q1647="","",INDEX(상세표[블록 18~22시],$Q1647))</f>
        <v/>
      </c>
      <c r="N1647" s="20">
        <f>IF($Q1647="","",INDEX(상세표[블록 22~06시],$Q1647))</f>
        <v/>
      </c>
      <c r="O1647">
        <f>IF($Q1647="","",INDEX(상세표[주말·휴일 포함],$Q1647)&amp;"")</f>
        <v/>
      </c>
      <c r="P1647">
        <f>IF($Q1647="","",INDEX(상세표[월 넘김 포함],$Q1647)&amp;"")</f>
        <v/>
      </c>
      <c r="Q1647" s="4">
        <f>IFERROR(MATCH(1642,상세표[연속순번],0),"")</f>
        <v/>
      </c>
    </row>
    <row r="1648">
      <c r="A1648">
        <f>IF($Q1648="","",INDEX(상세표[부서],$Q1648)&amp;"")</f>
        <v/>
      </c>
      <c r="B1648">
        <f>IF($Q1648="","",INDEX(상세표[사번],$Q1648)&amp;"")</f>
        <v/>
      </c>
      <c r="C1648">
        <f>IF($Q1648="","",INDEX(상세표[성명],$Q1648)&amp;"")</f>
        <v/>
      </c>
      <c r="D1648">
        <f>IF($Q1648="","",INDEX(상세표[직위],$Q1648)&amp;"")</f>
        <v/>
      </c>
      <c r="E1648">
        <f>IF($Q1648="","",IF(ISNUMBER(INDEX(상세표[근무일자],$Q1648)),TEXT(INDEX(상세표[근무일자],$Q1648),"yyyy-mm-dd"),INDEX(상세표[근무일자],$Q1648)&amp;""))</f>
        <v/>
      </c>
      <c r="F1648">
        <f>IF($Q1648="","",IF(ISNUMBER(INDEX(상세표[시작],$Q1648)),TEXT(INDEX(상세표[시작],$Q1648),"yyyy-mm-dd hh:mm"),INDEX(상세표[시작],$Q1648)&amp;""))</f>
        <v/>
      </c>
      <c r="G1648">
        <f>IF($Q1648="","",IF(ISNUMBER(INDEX(상세표[블록종료],$Q1648)),TEXT(INDEX(상세표[블록종료],$Q1648),"yyyy-mm-dd hh:mm"),INDEX(상세표[블록종료],$Q1648)&amp;""))</f>
        <v/>
      </c>
      <c r="H1648">
        <f>IF($Q1648="","",CHOOSE(WEEKDAY(INDEX(상세표[시작],$Q1648)),"일","월","화","수","목","금","토"))</f>
        <v/>
      </c>
      <c r="I1648" s="20">
        <f>IF($Q1648="","",INDEX(상세표[연속 시간],$Q1648))</f>
        <v/>
      </c>
      <c r="J1648">
        <f>IF($Q1648="","",INDEX(상세표[기록 수],$Q1648))</f>
        <v/>
      </c>
      <c r="K1648" s="20">
        <f>IF($Q1648="","",INDEX(상세표[블록 06~07시],$Q1648))</f>
        <v/>
      </c>
      <c r="L1648" s="20">
        <f>IF($Q1648="","",INDEX(상세표[블록 07~18시],$Q1648))</f>
        <v/>
      </c>
      <c r="M1648" s="20">
        <f>IF($Q1648="","",INDEX(상세표[블록 18~22시],$Q1648))</f>
        <v/>
      </c>
      <c r="N1648" s="20">
        <f>IF($Q1648="","",INDEX(상세표[블록 22~06시],$Q1648))</f>
        <v/>
      </c>
      <c r="O1648">
        <f>IF($Q1648="","",INDEX(상세표[주말·휴일 포함],$Q1648)&amp;"")</f>
        <v/>
      </c>
      <c r="P1648">
        <f>IF($Q1648="","",INDEX(상세표[월 넘김 포함],$Q1648)&amp;"")</f>
        <v/>
      </c>
      <c r="Q1648" s="4">
        <f>IFERROR(MATCH(1643,상세표[연속순번],0),"")</f>
        <v/>
      </c>
    </row>
    <row r="1649">
      <c r="A1649">
        <f>IF($Q1649="","",INDEX(상세표[부서],$Q1649)&amp;"")</f>
        <v/>
      </c>
      <c r="B1649">
        <f>IF($Q1649="","",INDEX(상세표[사번],$Q1649)&amp;"")</f>
        <v/>
      </c>
      <c r="C1649">
        <f>IF($Q1649="","",INDEX(상세표[성명],$Q1649)&amp;"")</f>
        <v/>
      </c>
      <c r="D1649">
        <f>IF($Q1649="","",INDEX(상세표[직위],$Q1649)&amp;"")</f>
        <v/>
      </c>
      <c r="E1649">
        <f>IF($Q1649="","",IF(ISNUMBER(INDEX(상세표[근무일자],$Q1649)),TEXT(INDEX(상세표[근무일자],$Q1649),"yyyy-mm-dd"),INDEX(상세표[근무일자],$Q1649)&amp;""))</f>
        <v/>
      </c>
      <c r="F1649">
        <f>IF($Q1649="","",IF(ISNUMBER(INDEX(상세표[시작],$Q1649)),TEXT(INDEX(상세표[시작],$Q1649),"yyyy-mm-dd hh:mm"),INDEX(상세표[시작],$Q1649)&amp;""))</f>
        <v/>
      </c>
      <c r="G1649">
        <f>IF($Q1649="","",IF(ISNUMBER(INDEX(상세표[블록종료],$Q1649)),TEXT(INDEX(상세표[블록종료],$Q1649),"yyyy-mm-dd hh:mm"),INDEX(상세표[블록종료],$Q1649)&amp;""))</f>
        <v/>
      </c>
      <c r="H1649">
        <f>IF($Q1649="","",CHOOSE(WEEKDAY(INDEX(상세표[시작],$Q1649)),"일","월","화","수","목","금","토"))</f>
        <v/>
      </c>
      <c r="I1649" s="20">
        <f>IF($Q1649="","",INDEX(상세표[연속 시간],$Q1649))</f>
        <v/>
      </c>
      <c r="J1649">
        <f>IF($Q1649="","",INDEX(상세표[기록 수],$Q1649))</f>
        <v/>
      </c>
      <c r="K1649" s="20">
        <f>IF($Q1649="","",INDEX(상세표[블록 06~07시],$Q1649))</f>
        <v/>
      </c>
      <c r="L1649" s="20">
        <f>IF($Q1649="","",INDEX(상세표[블록 07~18시],$Q1649))</f>
        <v/>
      </c>
      <c r="M1649" s="20">
        <f>IF($Q1649="","",INDEX(상세표[블록 18~22시],$Q1649))</f>
        <v/>
      </c>
      <c r="N1649" s="20">
        <f>IF($Q1649="","",INDEX(상세표[블록 22~06시],$Q1649))</f>
        <v/>
      </c>
      <c r="O1649">
        <f>IF($Q1649="","",INDEX(상세표[주말·휴일 포함],$Q1649)&amp;"")</f>
        <v/>
      </c>
      <c r="P1649">
        <f>IF($Q1649="","",INDEX(상세표[월 넘김 포함],$Q1649)&amp;"")</f>
        <v/>
      </c>
      <c r="Q1649" s="4">
        <f>IFERROR(MATCH(1644,상세표[연속순번],0),"")</f>
        <v/>
      </c>
    </row>
    <row r="1650">
      <c r="A1650">
        <f>IF($Q1650="","",INDEX(상세표[부서],$Q1650)&amp;"")</f>
        <v/>
      </c>
      <c r="B1650">
        <f>IF($Q1650="","",INDEX(상세표[사번],$Q1650)&amp;"")</f>
        <v/>
      </c>
      <c r="C1650">
        <f>IF($Q1650="","",INDEX(상세표[성명],$Q1650)&amp;"")</f>
        <v/>
      </c>
      <c r="D1650">
        <f>IF($Q1650="","",INDEX(상세표[직위],$Q1650)&amp;"")</f>
        <v/>
      </c>
      <c r="E1650">
        <f>IF($Q1650="","",IF(ISNUMBER(INDEX(상세표[근무일자],$Q1650)),TEXT(INDEX(상세표[근무일자],$Q1650),"yyyy-mm-dd"),INDEX(상세표[근무일자],$Q1650)&amp;""))</f>
        <v/>
      </c>
      <c r="F1650">
        <f>IF($Q1650="","",IF(ISNUMBER(INDEX(상세표[시작],$Q1650)),TEXT(INDEX(상세표[시작],$Q1650),"yyyy-mm-dd hh:mm"),INDEX(상세표[시작],$Q1650)&amp;""))</f>
        <v/>
      </c>
      <c r="G1650">
        <f>IF($Q1650="","",IF(ISNUMBER(INDEX(상세표[블록종료],$Q1650)),TEXT(INDEX(상세표[블록종료],$Q1650),"yyyy-mm-dd hh:mm"),INDEX(상세표[블록종료],$Q1650)&amp;""))</f>
        <v/>
      </c>
      <c r="H1650">
        <f>IF($Q1650="","",CHOOSE(WEEKDAY(INDEX(상세표[시작],$Q1650)),"일","월","화","수","목","금","토"))</f>
        <v/>
      </c>
      <c r="I1650" s="20">
        <f>IF($Q1650="","",INDEX(상세표[연속 시간],$Q1650))</f>
        <v/>
      </c>
      <c r="J1650">
        <f>IF($Q1650="","",INDEX(상세표[기록 수],$Q1650))</f>
        <v/>
      </c>
      <c r="K1650" s="20">
        <f>IF($Q1650="","",INDEX(상세표[블록 06~07시],$Q1650))</f>
        <v/>
      </c>
      <c r="L1650" s="20">
        <f>IF($Q1650="","",INDEX(상세표[블록 07~18시],$Q1650))</f>
        <v/>
      </c>
      <c r="M1650" s="20">
        <f>IF($Q1650="","",INDEX(상세표[블록 18~22시],$Q1650))</f>
        <v/>
      </c>
      <c r="N1650" s="20">
        <f>IF($Q1650="","",INDEX(상세표[블록 22~06시],$Q1650))</f>
        <v/>
      </c>
      <c r="O1650">
        <f>IF($Q1650="","",INDEX(상세표[주말·휴일 포함],$Q1650)&amp;"")</f>
        <v/>
      </c>
      <c r="P1650">
        <f>IF($Q1650="","",INDEX(상세표[월 넘김 포함],$Q1650)&amp;"")</f>
        <v/>
      </c>
      <c r="Q1650" s="4">
        <f>IFERROR(MATCH(1645,상세표[연속순번],0),"")</f>
        <v/>
      </c>
    </row>
    <row r="1651">
      <c r="A1651">
        <f>IF($Q1651="","",INDEX(상세표[부서],$Q1651)&amp;"")</f>
        <v/>
      </c>
      <c r="B1651">
        <f>IF($Q1651="","",INDEX(상세표[사번],$Q1651)&amp;"")</f>
        <v/>
      </c>
      <c r="C1651">
        <f>IF($Q1651="","",INDEX(상세표[성명],$Q1651)&amp;"")</f>
        <v/>
      </c>
      <c r="D1651">
        <f>IF($Q1651="","",INDEX(상세표[직위],$Q1651)&amp;"")</f>
        <v/>
      </c>
      <c r="E1651">
        <f>IF($Q1651="","",IF(ISNUMBER(INDEX(상세표[근무일자],$Q1651)),TEXT(INDEX(상세표[근무일자],$Q1651),"yyyy-mm-dd"),INDEX(상세표[근무일자],$Q1651)&amp;""))</f>
        <v/>
      </c>
      <c r="F1651">
        <f>IF($Q1651="","",IF(ISNUMBER(INDEX(상세표[시작],$Q1651)),TEXT(INDEX(상세표[시작],$Q1651),"yyyy-mm-dd hh:mm"),INDEX(상세표[시작],$Q1651)&amp;""))</f>
        <v/>
      </c>
      <c r="G1651">
        <f>IF($Q1651="","",IF(ISNUMBER(INDEX(상세표[블록종료],$Q1651)),TEXT(INDEX(상세표[블록종료],$Q1651),"yyyy-mm-dd hh:mm"),INDEX(상세표[블록종료],$Q1651)&amp;""))</f>
        <v/>
      </c>
      <c r="H1651">
        <f>IF($Q1651="","",CHOOSE(WEEKDAY(INDEX(상세표[시작],$Q1651)),"일","월","화","수","목","금","토"))</f>
        <v/>
      </c>
      <c r="I1651" s="20">
        <f>IF($Q1651="","",INDEX(상세표[연속 시간],$Q1651))</f>
        <v/>
      </c>
      <c r="J1651">
        <f>IF($Q1651="","",INDEX(상세표[기록 수],$Q1651))</f>
        <v/>
      </c>
      <c r="K1651" s="20">
        <f>IF($Q1651="","",INDEX(상세표[블록 06~07시],$Q1651))</f>
        <v/>
      </c>
      <c r="L1651" s="20">
        <f>IF($Q1651="","",INDEX(상세표[블록 07~18시],$Q1651))</f>
        <v/>
      </c>
      <c r="M1651" s="20">
        <f>IF($Q1651="","",INDEX(상세표[블록 18~22시],$Q1651))</f>
        <v/>
      </c>
      <c r="N1651" s="20">
        <f>IF($Q1651="","",INDEX(상세표[블록 22~06시],$Q1651))</f>
        <v/>
      </c>
      <c r="O1651">
        <f>IF($Q1651="","",INDEX(상세표[주말·휴일 포함],$Q1651)&amp;"")</f>
        <v/>
      </c>
      <c r="P1651">
        <f>IF($Q1651="","",INDEX(상세표[월 넘김 포함],$Q1651)&amp;"")</f>
        <v/>
      </c>
      <c r="Q1651" s="4">
        <f>IFERROR(MATCH(1646,상세표[연속순번],0),"")</f>
        <v/>
      </c>
    </row>
    <row r="1652">
      <c r="A1652">
        <f>IF($Q1652="","",INDEX(상세표[부서],$Q1652)&amp;"")</f>
        <v/>
      </c>
      <c r="B1652">
        <f>IF($Q1652="","",INDEX(상세표[사번],$Q1652)&amp;"")</f>
        <v/>
      </c>
      <c r="C1652">
        <f>IF($Q1652="","",INDEX(상세표[성명],$Q1652)&amp;"")</f>
        <v/>
      </c>
      <c r="D1652">
        <f>IF($Q1652="","",INDEX(상세표[직위],$Q1652)&amp;"")</f>
        <v/>
      </c>
      <c r="E1652">
        <f>IF($Q1652="","",IF(ISNUMBER(INDEX(상세표[근무일자],$Q1652)),TEXT(INDEX(상세표[근무일자],$Q1652),"yyyy-mm-dd"),INDEX(상세표[근무일자],$Q1652)&amp;""))</f>
        <v/>
      </c>
      <c r="F1652">
        <f>IF($Q1652="","",IF(ISNUMBER(INDEX(상세표[시작],$Q1652)),TEXT(INDEX(상세표[시작],$Q1652),"yyyy-mm-dd hh:mm"),INDEX(상세표[시작],$Q1652)&amp;""))</f>
        <v/>
      </c>
      <c r="G1652">
        <f>IF($Q1652="","",IF(ISNUMBER(INDEX(상세표[블록종료],$Q1652)),TEXT(INDEX(상세표[블록종료],$Q1652),"yyyy-mm-dd hh:mm"),INDEX(상세표[블록종료],$Q1652)&amp;""))</f>
        <v/>
      </c>
      <c r="H1652">
        <f>IF($Q1652="","",CHOOSE(WEEKDAY(INDEX(상세표[시작],$Q1652)),"일","월","화","수","목","금","토"))</f>
        <v/>
      </c>
      <c r="I1652" s="20">
        <f>IF($Q1652="","",INDEX(상세표[연속 시간],$Q1652))</f>
        <v/>
      </c>
      <c r="J1652">
        <f>IF($Q1652="","",INDEX(상세표[기록 수],$Q1652))</f>
        <v/>
      </c>
      <c r="K1652" s="20">
        <f>IF($Q1652="","",INDEX(상세표[블록 06~07시],$Q1652))</f>
        <v/>
      </c>
      <c r="L1652" s="20">
        <f>IF($Q1652="","",INDEX(상세표[블록 07~18시],$Q1652))</f>
        <v/>
      </c>
      <c r="M1652" s="20">
        <f>IF($Q1652="","",INDEX(상세표[블록 18~22시],$Q1652))</f>
        <v/>
      </c>
      <c r="N1652" s="20">
        <f>IF($Q1652="","",INDEX(상세표[블록 22~06시],$Q1652))</f>
        <v/>
      </c>
      <c r="O1652">
        <f>IF($Q1652="","",INDEX(상세표[주말·휴일 포함],$Q1652)&amp;"")</f>
        <v/>
      </c>
      <c r="P1652">
        <f>IF($Q1652="","",INDEX(상세표[월 넘김 포함],$Q1652)&amp;"")</f>
        <v/>
      </c>
      <c r="Q1652" s="4">
        <f>IFERROR(MATCH(1647,상세표[연속순번],0),"")</f>
        <v/>
      </c>
    </row>
    <row r="1653">
      <c r="A1653">
        <f>IF($Q1653="","",INDEX(상세표[부서],$Q1653)&amp;"")</f>
        <v/>
      </c>
      <c r="B1653">
        <f>IF($Q1653="","",INDEX(상세표[사번],$Q1653)&amp;"")</f>
        <v/>
      </c>
      <c r="C1653">
        <f>IF($Q1653="","",INDEX(상세표[성명],$Q1653)&amp;"")</f>
        <v/>
      </c>
      <c r="D1653">
        <f>IF($Q1653="","",INDEX(상세표[직위],$Q1653)&amp;"")</f>
        <v/>
      </c>
      <c r="E1653">
        <f>IF($Q1653="","",IF(ISNUMBER(INDEX(상세표[근무일자],$Q1653)),TEXT(INDEX(상세표[근무일자],$Q1653),"yyyy-mm-dd"),INDEX(상세표[근무일자],$Q1653)&amp;""))</f>
        <v/>
      </c>
      <c r="F1653">
        <f>IF($Q1653="","",IF(ISNUMBER(INDEX(상세표[시작],$Q1653)),TEXT(INDEX(상세표[시작],$Q1653),"yyyy-mm-dd hh:mm"),INDEX(상세표[시작],$Q1653)&amp;""))</f>
        <v/>
      </c>
      <c r="G1653">
        <f>IF($Q1653="","",IF(ISNUMBER(INDEX(상세표[블록종료],$Q1653)),TEXT(INDEX(상세표[블록종료],$Q1653),"yyyy-mm-dd hh:mm"),INDEX(상세표[블록종료],$Q1653)&amp;""))</f>
        <v/>
      </c>
      <c r="H1653">
        <f>IF($Q1653="","",CHOOSE(WEEKDAY(INDEX(상세표[시작],$Q1653)),"일","월","화","수","목","금","토"))</f>
        <v/>
      </c>
      <c r="I1653" s="20">
        <f>IF($Q1653="","",INDEX(상세표[연속 시간],$Q1653))</f>
        <v/>
      </c>
      <c r="J1653">
        <f>IF($Q1653="","",INDEX(상세표[기록 수],$Q1653))</f>
        <v/>
      </c>
      <c r="K1653" s="20">
        <f>IF($Q1653="","",INDEX(상세표[블록 06~07시],$Q1653))</f>
        <v/>
      </c>
      <c r="L1653" s="20">
        <f>IF($Q1653="","",INDEX(상세표[블록 07~18시],$Q1653))</f>
        <v/>
      </c>
      <c r="M1653" s="20">
        <f>IF($Q1653="","",INDEX(상세표[블록 18~22시],$Q1653))</f>
        <v/>
      </c>
      <c r="N1653" s="20">
        <f>IF($Q1653="","",INDEX(상세표[블록 22~06시],$Q1653))</f>
        <v/>
      </c>
      <c r="O1653">
        <f>IF($Q1653="","",INDEX(상세표[주말·휴일 포함],$Q1653)&amp;"")</f>
        <v/>
      </c>
      <c r="P1653">
        <f>IF($Q1653="","",INDEX(상세표[월 넘김 포함],$Q1653)&amp;"")</f>
        <v/>
      </c>
      <c r="Q1653" s="4">
        <f>IFERROR(MATCH(1648,상세표[연속순번],0),"")</f>
        <v/>
      </c>
    </row>
    <row r="1654">
      <c r="A1654">
        <f>IF($Q1654="","",INDEX(상세표[부서],$Q1654)&amp;"")</f>
        <v/>
      </c>
      <c r="B1654">
        <f>IF($Q1654="","",INDEX(상세표[사번],$Q1654)&amp;"")</f>
        <v/>
      </c>
      <c r="C1654">
        <f>IF($Q1654="","",INDEX(상세표[성명],$Q1654)&amp;"")</f>
        <v/>
      </c>
      <c r="D1654">
        <f>IF($Q1654="","",INDEX(상세표[직위],$Q1654)&amp;"")</f>
        <v/>
      </c>
      <c r="E1654">
        <f>IF($Q1654="","",IF(ISNUMBER(INDEX(상세표[근무일자],$Q1654)),TEXT(INDEX(상세표[근무일자],$Q1654),"yyyy-mm-dd"),INDEX(상세표[근무일자],$Q1654)&amp;""))</f>
        <v/>
      </c>
      <c r="F1654">
        <f>IF($Q1654="","",IF(ISNUMBER(INDEX(상세표[시작],$Q1654)),TEXT(INDEX(상세표[시작],$Q1654),"yyyy-mm-dd hh:mm"),INDEX(상세표[시작],$Q1654)&amp;""))</f>
        <v/>
      </c>
      <c r="G1654">
        <f>IF($Q1654="","",IF(ISNUMBER(INDEX(상세표[블록종료],$Q1654)),TEXT(INDEX(상세표[블록종료],$Q1654),"yyyy-mm-dd hh:mm"),INDEX(상세표[블록종료],$Q1654)&amp;""))</f>
        <v/>
      </c>
      <c r="H1654">
        <f>IF($Q1654="","",CHOOSE(WEEKDAY(INDEX(상세표[시작],$Q1654)),"일","월","화","수","목","금","토"))</f>
        <v/>
      </c>
      <c r="I1654" s="20">
        <f>IF($Q1654="","",INDEX(상세표[연속 시간],$Q1654))</f>
        <v/>
      </c>
      <c r="J1654">
        <f>IF($Q1654="","",INDEX(상세표[기록 수],$Q1654))</f>
        <v/>
      </c>
      <c r="K1654" s="20">
        <f>IF($Q1654="","",INDEX(상세표[블록 06~07시],$Q1654))</f>
        <v/>
      </c>
      <c r="L1654" s="20">
        <f>IF($Q1654="","",INDEX(상세표[블록 07~18시],$Q1654))</f>
        <v/>
      </c>
      <c r="M1654" s="20">
        <f>IF($Q1654="","",INDEX(상세표[블록 18~22시],$Q1654))</f>
        <v/>
      </c>
      <c r="N1654" s="20">
        <f>IF($Q1654="","",INDEX(상세표[블록 22~06시],$Q1654))</f>
        <v/>
      </c>
      <c r="O1654">
        <f>IF($Q1654="","",INDEX(상세표[주말·휴일 포함],$Q1654)&amp;"")</f>
        <v/>
      </c>
      <c r="P1654">
        <f>IF($Q1654="","",INDEX(상세표[월 넘김 포함],$Q1654)&amp;"")</f>
        <v/>
      </c>
      <c r="Q1654" s="4">
        <f>IFERROR(MATCH(1649,상세표[연속순번],0),"")</f>
        <v/>
      </c>
    </row>
    <row r="1655">
      <c r="A1655">
        <f>IF($Q1655="","",INDEX(상세표[부서],$Q1655)&amp;"")</f>
        <v/>
      </c>
      <c r="B1655">
        <f>IF($Q1655="","",INDEX(상세표[사번],$Q1655)&amp;"")</f>
        <v/>
      </c>
      <c r="C1655">
        <f>IF($Q1655="","",INDEX(상세표[성명],$Q1655)&amp;"")</f>
        <v/>
      </c>
      <c r="D1655">
        <f>IF($Q1655="","",INDEX(상세표[직위],$Q1655)&amp;"")</f>
        <v/>
      </c>
      <c r="E1655">
        <f>IF($Q1655="","",IF(ISNUMBER(INDEX(상세표[근무일자],$Q1655)),TEXT(INDEX(상세표[근무일자],$Q1655),"yyyy-mm-dd"),INDEX(상세표[근무일자],$Q1655)&amp;""))</f>
        <v/>
      </c>
      <c r="F1655">
        <f>IF($Q1655="","",IF(ISNUMBER(INDEX(상세표[시작],$Q1655)),TEXT(INDEX(상세표[시작],$Q1655),"yyyy-mm-dd hh:mm"),INDEX(상세표[시작],$Q1655)&amp;""))</f>
        <v/>
      </c>
      <c r="G1655">
        <f>IF($Q1655="","",IF(ISNUMBER(INDEX(상세표[블록종료],$Q1655)),TEXT(INDEX(상세표[블록종료],$Q1655),"yyyy-mm-dd hh:mm"),INDEX(상세표[블록종료],$Q1655)&amp;""))</f>
        <v/>
      </c>
      <c r="H1655">
        <f>IF($Q1655="","",CHOOSE(WEEKDAY(INDEX(상세표[시작],$Q1655)),"일","월","화","수","목","금","토"))</f>
        <v/>
      </c>
      <c r="I1655" s="20">
        <f>IF($Q1655="","",INDEX(상세표[연속 시간],$Q1655))</f>
        <v/>
      </c>
      <c r="J1655">
        <f>IF($Q1655="","",INDEX(상세표[기록 수],$Q1655))</f>
        <v/>
      </c>
      <c r="K1655" s="20">
        <f>IF($Q1655="","",INDEX(상세표[블록 06~07시],$Q1655))</f>
        <v/>
      </c>
      <c r="L1655" s="20">
        <f>IF($Q1655="","",INDEX(상세표[블록 07~18시],$Q1655))</f>
        <v/>
      </c>
      <c r="M1655" s="20">
        <f>IF($Q1655="","",INDEX(상세표[블록 18~22시],$Q1655))</f>
        <v/>
      </c>
      <c r="N1655" s="20">
        <f>IF($Q1655="","",INDEX(상세표[블록 22~06시],$Q1655))</f>
        <v/>
      </c>
      <c r="O1655">
        <f>IF($Q1655="","",INDEX(상세표[주말·휴일 포함],$Q1655)&amp;"")</f>
        <v/>
      </c>
      <c r="P1655">
        <f>IF($Q1655="","",INDEX(상세표[월 넘김 포함],$Q1655)&amp;"")</f>
        <v/>
      </c>
      <c r="Q1655" s="4">
        <f>IFERROR(MATCH(1650,상세표[연속순번],0),"")</f>
        <v/>
      </c>
    </row>
    <row r="1656">
      <c r="A1656">
        <f>IF($Q1656="","",INDEX(상세표[부서],$Q1656)&amp;"")</f>
        <v/>
      </c>
      <c r="B1656">
        <f>IF($Q1656="","",INDEX(상세표[사번],$Q1656)&amp;"")</f>
        <v/>
      </c>
      <c r="C1656">
        <f>IF($Q1656="","",INDEX(상세표[성명],$Q1656)&amp;"")</f>
        <v/>
      </c>
      <c r="D1656">
        <f>IF($Q1656="","",INDEX(상세표[직위],$Q1656)&amp;"")</f>
        <v/>
      </c>
      <c r="E1656">
        <f>IF($Q1656="","",IF(ISNUMBER(INDEX(상세표[근무일자],$Q1656)),TEXT(INDEX(상세표[근무일자],$Q1656),"yyyy-mm-dd"),INDEX(상세표[근무일자],$Q1656)&amp;""))</f>
        <v/>
      </c>
      <c r="F1656">
        <f>IF($Q1656="","",IF(ISNUMBER(INDEX(상세표[시작],$Q1656)),TEXT(INDEX(상세표[시작],$Q1656),"yyyy-mm-dd hh:mm"),INDEX(상세표[시작],$Q1656)&amp;""))</f>
        <v/>
      </c>
      <c r="G1656">
        <f>IF($Q1656="","",IF(ISNUMBER(INDEX(상세표[블록종료],$Q1656)),TEXT(INDEX(상세표[블록종료],$Q1656),"yyyy-mm-dd hh:mm"),INDEX(상세표[블록종료],$Q1656)&amp;""))</f>
        <v/>
      </c>
      <c r="H1656">
        <f>IF($Q1656="","",CHOOSE(WEEKDAY(INDEX(상세표[시작],$Q1656)),"일","월","화","수","목","금","토"))</f>
        <v/>
      </c>
      <c r="I1656" s="20">
        <f>IF($Q1656="","",INDEX(상세표[연속 시간],$Q1656))</f>
        <v/>
      </c>
      <c r="J1656">
        <f>IF($Q1656="","",INDEX(상세표[기록 수],$Q1656))</f>
        <v/>
      </c>
      <c r="K1656" s="20">
        <f>IF($Q1656="","",INDEX(상세표[블록 06~07시],$Q1656))</f>
        <v/>
      </c>
      <c r="L1656" s="20">
        <f>IF($Q1656="","",INDEX(상세표[블록 07~18시],$Q1656))</f>
        <v/>
      </c>
      <c r="M1656" s="20">
        <f>IF($Q1656="","",INDEX(상세표[블록 18~22시],$Q1656))</f>
        <v/>
      </c>
      <c r="N1656" s="20">
        <f>IF($Q1656="","",INDEX(상세표[블록 22~06시],$Q1656))</f>
        <v/>
      </c>
      <c r="O1656">
        <f>IF($Q1656="","",INDEX(상세표[주말·휴일 포함],$Q1656)&amp;"")</f>
        <v/>
      </c>
      <c r="P1656">
        <f>IF($Q1656="","",INDEX(상세표[월 넘김 포함],$Q1656)&amp;"")</f>
        <v/>
      </c>
      <c r="Q1656" s="4">
        <f>IFERROR(MATCH(1651,상세표[연속순번],0),"")</f>
        <v/>
      </c>
    </row>
    <row r="1657">
      <c r="A1657">
        <f>IF($Q1657="","",INDEX(상세표[부서],$Q1657)&amp;"")</f>
        <v/>
      </c>
      <c r="B1657">
        <f>IF($Q1657="","",INDEX(상세표[사번],$Q1657)&amp;"")</f>
        <v/>
      </c>
      <c r="C1657">
        <f>IF($Q1657="","",INDEX(상세표[성명],$Q1657)&amp;"")</f>
        <v/>
      </c>
      <c r="D1657">
        <f>IF($Q1657="","",INDEX(상세표[직위],$Q1657)&amp;"")</f>
        <v/>
      </c>
      <c r="E1657">
        <f>IF($Q1657="","",IF(ISNUMBER(INDEX(상세표[근무일자],$Q1657)),TEXT(INDEX(상세표[근무일자],$Q1657),"yyyy-mm-dd"),INDEX(상세표[근무일자],$Q1657)&amp;""))</f>
        <v/>
      </c>
      <c r="F1657">
        <f>IF($Q1657="","",IF(ISNUMBER(INDEX(상세표[시작],$Q1657)),TEXT(INDEX(상세표[시작],$Q1657),"yyyy-mm-dd hh:mm"),INDEX(상세표[시작],$Q1657)&amp;""))</f>
        <v/>
      </c>
      <c r="G1657">
        <f>IF($Q1657="","",IF(ISNUMBER(INDEX(상세표[블록종료],$Q1657)),TEXT(INDEX(상세표[블록종료],$Q1657),"yyyy-mm-dd hh:mm"),INDEX(상세표[블록종료],$Q1657)&amp;""))</f>
        <v/>
      </c>
      <c r="H1657">
        <f>IF($Q1657="","",CHOOSE(WEEKDAY(INDEX(상세표[시작],$Q1657)),"일","월","화","수","목","금","토"))</f>
        <v/>
      </c>
      <c r="I1657" s="20">
        <f>IF($Q1657="","",INDEX(상세표[연속 시간],$Q1657))</f>
        <v/>
      </c>
      <c r="J1657">
        <f>IF($Q1657="","",INDEX(상세표[기록 수],$Q1657))</f>
        <v/>
      </c>
      <c r="K1657" s="20">
        <f>IF($Q1657="","",INDEX(상세표[블록 06~07시],$Q1657))</f>
        <v/>
      </c>
      <c r="L1657" s="20">
        <f>IF($Q1657="","",INDEX(상세표[블록 07~18시],$Q1657))</f>
        <v/>
      </c>
      <c r="M1657" s="20">
        <f>IF($Q1657="","",INDEX(상세표[블록 18~22시],$Q1657))</f>
        <v/>
      </c>
      <c r="N1657" s="20">
        <f>IF($Q1657="","",INDEX(상세표[블록 22~06시],$Q1657))</f>
        <v/>
      </c>
      <c r="O1657">
        <f>IF($Q1657="","",INDEX(상세표[주말·휴일 포함],$Q1657)&amp;"")</f>
        <v/>
      </c>
      <c r="P1657">
        <f>IF($Q1657="","",INDEX(상세표[월 넘김 포함],$Q1657)&amp;"")</f>
        <v/>
      </c>
      <c r="Q1657" s="4">
        <f>IFERROR(MATCH(1652,상세표[연속순번],0),"")</f>
        <v/>
      </c>
    </row>
    <row r="1658">
      <c r="A1658">
        <f>IF($Q1658="","",INDEX(상세표[부서],$Q1658)&amp;"")</f>
        <v/>
      </c>
      <c r="B1658">
        <f>IF($Q1658="","",INDEX(상세표[사번],$Q1658)&amp;"")</f>
        <v/>
      </c>
      <c r="C1658">
        <f>IF($Q1658="","",INDEX(상세표[성명],$Q1658)&amp;"")</f>
        <v/>
      </c>
      <c r="D1658">
        <f>IF($Q1658="","",INDEX(상세표[직위],$Q1658)&amp;"")</f>
        <v/>
      </c>
      <c r="E1658">
        <f>IF($Q1658="","",IF(ISNUMBER(INDEX(상세표[근무일자],$Q1658)),TEXT(INDEX(상세표[근무일자],$Q1658),"yyyy-mm-dd"),INDEX(상세표[근무일자],$Q1658)&amp;""))</f>
        <v/>
      </c>
      <c r="F1658">
        <f>IF($Q1658="","",IF(ISNUMBER(INDEX(상세표[시작],$Q1658)),TEXT(INDEX(상세표[시작],$Q1658),"yyyy-mm-dd hh:mm"),INDEX(상세표[시작],$Q1658)&amp;""))</f>
        <v/>
      </c>
      <c r="G1658">
        <f>IF($Q1658="","",IF(ISNUMBER(INDEX(상세표[블록종료],$Q1658)),TEXT(INDEX(상세표[블록종료],$Q1658),"yyyy-mm-dd hh:mm"),INDEX(상세표[블록종료],$Q1658)&amp;""))</f>
        <v/>
      </c>
      <c r="H1658">
        <f>IF($Q1658="","",CHOOSE(WEEKDAY(INDEX(상세표[시작],$Q1658)),"일","월","화","수","목","금","토"))</f>
        <v/>
      </c>
      <c r="I1658" s="20">
        <f>IF($Q1658="","",INDEX(상세표[연속 시간],$Q1658))</f>
        <v/>
      </c>
      <c r="J1658">
        <f>IF($Q1658="","",INDEX(상세표[기록 수],$Q1658))</f>
        <v/>
      </c>
      <c r="K1658" s="20">
        <f>IF($Q1658="","",INDEX(상세표[블록 06~07시],$Q1658))</f>
        <v/>
      </c>
      <c r="L1658" s="20">
        <f>IF($Q1658="","",INDEX(상세표[블록 07~18시],$Q1658))</f>
        <v/>
      </c>
      <c r="M1658" s="20">
        <f>IF($Q1658="","",INDEX(상세표[블록 18~22시],$Q1658))</f>
        <v/>
      </c>
      <c r="N1658" s="20">
        <f>IF($Q1658="","",INDEX(상세표[블록 22~06시],$Q1658))</f>
        <v/>
      </c>
      <c r="O1658">
        <f>IF($Q1658="","",INDEX(상세표[주말·휴일 포함],$Q1658)&amp;"")</f>
        <v/>
      </c>
      <c r="P1658">
        <f>IF($Q1658="","",INDEX(상세표[월 넘김 포함],$Q1658)&amp;"")</f>
        <v/>
      </c>
      <c r="Q1658" s="4">
        <f>IFERROR(MATCH(1653,상세표[연속순번],0),"")</f>
        <v/>
      </c>
    </row>
    <row r="1659">
      <c r="A1659">
        <f>IF($Q1659="","",INDEX(상세표[부서],$Q1659)&amp;"")</f>
        <v/>
      </c>
      <c r="B1659">
        <f>IF($Q1659="","",INDEX(상세표[사번],$Q1659)&amp;"")</f>
        <v/>
      </c>
      <c r="C1659">
        <f>IF($Q1659="","",INDEX(상세표[성명],$Q1659)&amp;"")</f>
        <v/>
      </c>
      <c r="D1659">
        <f>IF($Q1659="","",INDEX(상세표[직위],$Q1659)&amp;"")</f>
        <v/>
      </c>
      <c r="E1659">
        <f>IF($Q1659="","",IF(ISNUMBER(INDEX(상세표[근무일자],$Q1659)),TEXT(INDEX(상세표[근무일자],$Q1659),"yyyy-mm-dd"),INDEX(상세표[근무일자],$Q1659)&amp;""))</f>
        <v/>
      </c>
      <c r="F1659">
        <f>IF($Q1659="","",IF(ISNUMBER(INDEX(상세표[시작],$Q1659)),TEXT(INDEX(상세표[시작],$Q1659),"yyyy-mm-dd hh:mm"),INDEX(상세표[시작],$Q1659)&amp;""))</f>
        <v/>
      </c>
      <c r="G1659">
        <f>IF($Q1659="","",IF(ISNUMBER(INDEX(상세표[블록종료],$Q1659)),TEXT(INDEX(상세표[블록종료],$Q1659),"yyyy-mm-dd hh:mm"),INDEX(상세표[블록종료],$Q1659)&amp;""))</f>
        <v/>
      </c>
      <c r="H1659">
        <f>IF($Q1659="","",CHOOSE(WEEKDAY(INDEX(상세표[시작],$Q1659)),"일","월","화","수","목","금","토"))</f>
        <v/>
      </c>
      <c r="I1659" s="20">
        <f>IF($Q1659="","",INDEX(상세표[연속 시간],$Q1659))</f>
        <v/>
      </c>
      <c r="J1659">
        <f>IF($Q1659="","",INDEX(상세표[기록 수],$Q1659))</f>
        <v/>
      </c>
      <c r="K1659" s="20">
        <f>IF($Q1659="","",INDEX(상세표[블록 06~07시],$Q1659))</f>
        <v/>
      </c>
      <c r="L1659" s="20">
        <f>IF($Q1659="","",INDEX(상세표[블록 07~18시],$Q1659))</f>
        <v/>
      </c>
      <c r="M1659" s="20">
        <f>IF($Q1659="","",INDEX(상세표[블록 18~22시],$Q1659))</f>
        <v/>
      </c>
      <c r="N1659" s="20">
        <f>IF($Q1659="","",INDEX(상세표[블록 22~06시],$Q1659))</f>
        <v/>
      </c>
      <c r="O1659">
        <f>IF($Q1659="","",INDEX(상세표[주말·휴일 포함],$Q1659)&amp;"")</f>
        <v/>
      </c>
      <c r="P1659">
        <f>IF($Q1659="","",INDEX(상세표[월 넘김 포함],$Q1659)&amp;"")</f>
        <v/>
      </c>
      <c r="Q1659" s="4">
        <f>IFERROR(MATCH(1654,상세표[연속순번],0),"")</f>
        <v/>
      </c>
    </row>
    <row r="1660">
      <c r="A1660">
        <f>IF($Q1660="","",INDEX(상세표[부서],$Q1660)&amp;"")</f>
        <v/>
      </c>
      <c r="B1660">
        <f>IF($Q1660="","",INDEX(상세표[사번],$Q1660)&amp;"")</f>
        <v/>
      </c>
      <c r="C1660">
        <f>IF($Q1660="","",INDEX(상세표[성명],$Q1660)&amp;"")</f>
        <v/>
      </c>
      <c r="D1660">
        <f>IF($Q1660="","",INDEX(상세표[직위],$Q1660)&amp;"")</f>
        <v/>
      </c>
      <c r="E1660">
        <f>IF($Q1660="","",IF(ISNUMBER(INDEX(상세표[근무일자],$Q1660)),TEXT(INDEX(상세표[근무일자],$Q1660),"yyyy-mm-dd"),INDEX(상세표[근무일자],$Q1660)&amp;""))</f>
        <v/>
      </c>
      <c r="F1660">
        <f>IF($Q1660="","",IF(ISNUMBER(INDEX(상세표[시작],$Q1660)),TEXT(INDEX(상세표[시작],$Q1660),"yyyy-mm-dd hh:mm"),INDEX(상세표[시작],$Q1660)&amp;""))</f>
        <v/>
      </c>
      <c r="G1660">
        <f>IF($Q1660="","",IF(ISNUMBER(INDEX(상세표[블록종료],$Q1660)),TEXT(INDEX(상세표[블록종료],$Q1660),"yyyy-mm-dd hh:mm"),INDEX(상세표[블록종료],$Q1660)&amp;""))</f>
        <v/>
      </c>
      <c r="H1660">
        <f>IF($Q1660="","",CHOOSE(WEEKDAY(INDEX(상세표[시작],$Q1660)),"일","월","화","수","목","금","토"))</f>
        <v/>
      </c>
      <c r="I1660" s="20">
        <f>IF($Q1660="","",INDEX(상세표[연속 시간],$Q1660))</f>
        <v/>
      </c>
      <c r="J1660">
        <f>IF($Q1660="","",INDEX(상세표[기록 수],$Q1660))</f>
        <v/>
      </c>
      <c r="K1660" s="20">
        <f>IF($Q1660="","",INDEX(상세표[블록 06~07시],$Q1660))</f>
        <v/>
      </c>
      <c r="L1660" s="20">
        <f>IF($Q1660="","",INDEX(상세표[블록 07~18시],$Q1660))</f>
        <v/>
      </c>
      <c r="M1660" s="20">
        <f>IF($Q1660="","",INDEX(상세표[블록 18~22시],$Q1660))</f>
        <v/>
      </c>
      <c r="N1660" s="20">
        <f>IF($Q1660="","",INDEX(상세표[블록 22~06시],$Q1660))</f>
        <v/>
      </c>
      <c r="O1660">
        <f>IF($Q1660="","",INDEX(상세표[주말·휴일 포함],$Q1660)&amp;"")</f>
        <v/>
      </c>
      <c r="P1660">
        <f>IF($Q1660="","",INDEX(상세표[월 넘김 포함],$Q1660)&amp;"")</f>
        <v/>
      </c>
      <c r="Q1660" s="4">
        <f>IFERROR(MATCH(1655,상세표[연속순번],0),"")</f>
        <v/>
      </c>
    </row>
    <row r="1661">
      <c r="A1661">
        <f>IF($Q1661="","",INDEX(상세표[부서],$Q1661)&amp;"")</f>
        <v/>
      </c>
      <c r="B1661">
        <f>IF($Q1661="","",INDEX(상세표[사번],$Q1661)&amp;"")</f>
        <v/>
      </c>
      <c r="C1661">
        <f>IF($Q1661="","",INDEX(상세표[성명],$Q1661)&amp;"")</f>
        <v/>
      </c>
      <c r="D1661">
        <f>IF($Q1661="","",INDEX(상세표[직위],$Q1661)&amp;"")</f>
        <v/>
      </c>
      <c r="E1661">
        <f>IF($Q1661="","",IF(ISNUMBER(INDEX(상세표[근무일자],$Q1661)),TEXT(INDEX(상세표[근무일자],$Q1661),"yyyy-mm-dd"),INDEX(상세표[근무일자],$Q1661)&amp;""))</f>
        <v/>
      </c>
      <c r="F1661">
        <f>IF($Q1661="","",IF(ISNUMBER(INDEX(상세표[시작],$Q1661)),TEXT(INDEX(상세표[시작],$Q1661),"yyyy-mm-dd hh:mm"),INDEX(상세표[시작],$Q1661)&amp;""))</f>
        <v/>
      </c>
      <c r="G1661">
        <f>IF($Q1661="","",IF(ISNUMBER(INDEX(상세표[블록종료],$Q1661)),TEXT(INDEX(상세표[블록종료],$Q1661),"yyyy-mm-dd hh:mm"),INDEX(상세표[블록종료],$Q1661)&amp;""))</f>
        <v/>
      </c>
      <c r="H1661">
        <f>IF($Q1661="","",CHOOSE(WEEKDAY(INDEX(상세표[시작],$Q1661)),"일","월","화","수","목","금","토"))</f>
        <v/>
      </c>
      <c r="I1661" s="20">
        <f>IF($Q1661="","",INDEX(상세표[연속 시간],$Q1661))</f>
        <v/>
      </c>
      <c r="J1661">
        <f>IF($Q1661="","",INDEX(상세표[기록 수],$Q1661))</f>
        <v/>
      </c>
      <c r="K1661" s="20">
        <f>IF($Q1661="","",INDEX(상세표[블록 06~07시],$Q1661))</f>
        <v/>
      </c>
      <c r="L1661" s="20">
        <f>IF($Q1661="","",INDEX(상세표[블록 07~18시],$Q1661))</f>
        <v/>
      </c>
      <c r="M1661" s="20">
        <f>IF($Q1661="","",INDEX(상세표[블록 18~22시],$Q1661))</f>
        <v/>
      </c>
      <c r="N1661" s="20">
        <f>IF($Q1661="","",INDEX(상세표[블록 22~06시],$Q1661))</f>
        <v/>
      </c>
      <c r="O1661">
        <f>IF($Q1661="","",INDEX(상세표[주말·휴일 포함],$Q1661)&amp;"")</f>
        <v/>
      </c>
      <c r="P1661">
        <f>IF($Q1661="","",INDEX(상세표[월 넘김 포함],$Q1661)&amp;"")</f>
        <v/>
      </c>
      <c r="Q1661" s="4">
        <f>IFERROR(MATCH(1656,상세표[연속순번],0),"")</f>
        <v/>
      </c>
    </row>
    <row r="1662">
      <c r="A1662">
        <f>IF($Q1662="","",INDEX(상세표[부서],$Q1662)&amp;"")</f>
        <v/>
      </c>
      <c r="B1662">
        <f>IF($Q1662="","",INDEX(상세표[사번],$Q1662)&amp;"")</f>
        <v/>
      </c>
      <c r="C1662">
        <f>IF($Q1662="","",INDEX(상세표[성명],$Q1662)&amp;"")</f>
        <v/>
      </c>
      <c r="D1662">
        <f>IF($Q1662="","",INDEX(상세표[직위],$Q1662)&amp;"")</f>
        <v/>
      </c>
      <c r="E1662">
        <f>IF($Q1662="","",IF(ISNUMBER(INDEX(상세표[근무일자],$Q1662)),TEXT(INDEX(상세표[근무일자],$Q1662),"yyyy-mm-dd"),INDEX(상세표[근무일자],$Q1662)&amp;""))</f>
        <v/>
      </c>
      <c r="F1662">
        <f>IF($Q1662="","",IF(ISNUMBER(INDEX(상세표[시작],$Q1662)),TEXT(INDEX(상세표[시작],$Q1662),"yyyy-mm-dd hh:mm"),INDEX(상세표[시작],$Q1662)&amp;""))</f>
        <v/>
      </c>
      <c r="G1662">
        <f>IF($Q1662="","",IF(ISNUMBER(INDEX(상세표[블록종료],$Q1662)),TEXT(INDEX(상세표[블록종료],$Q1662),"yyyy-mm-dd hh:mm"),INDEX(상세표[블록종료],$Q1662)&amp;""))</f>
        <v/>
      </c>
      <c r="H1662">
        <f>IF($Q1662="","",CHOOSE(WEEKDAY(INDEX(상세표[시작],$Q1662)),"일","월","화","수","목","금","토"))</f>
        <v/>
      </c>
      <c r="I1662" s="20">
        <f>IF($Q1662="","",INDEX(상세표[연속 시간],$Q1662))</f>
        <v/>
      </c>
      <c r="J1662">
        <f>IF($Q1662="","",INDEX(상세표[기록 수],$Q1662))</f>
        <v/>
      </c>
      <c r="K1662" s="20">
        <f>IF($Q1662="","",INDEX(상세표[블록 06~07시],$Q1662))</f>
        <v/>
      </c>
      <c r="L1662" s="20">
        <f>IF($Q1662="","",INDEX(상세표[블록 07~18시],$Q1662))</f>
        <v/>
      </c>
      <c r="M1662" s="20">
        <f>IF($Q1662="","",INDEX(상세표[블록 18~22시],$Q1662))</f>
        <v/>
      </c>
      <c r="N1662" s="20">
        <f>IF($Q1662="","",INDEX(상세표[블록 22~06시],$Q1662))</f>
        <v/>
      </c>
      <c r="O1662">
        <f>IF($Q1662="","",INDEX(상세표[주말·휴일 포함],$Q1662)&amp;"")</f>
        <v/>
      </c>
      <c r="P1662">
        <f>IF($Q1662="","",INDEX(상세표[월 넘김 포함],$Q1662)&amp;"")</f>
        <v/>
      </c>
      <c r="Q1662" s="4">
        <f>IFERROR(MATCH(1657,상세표[연속순번],0),"")</f>
        <v/>
      </c>
    </row>
    <row r="1663">
      <c r="A1663">
        <f>IF($Q1663="","",INDEX(상세표[부서],$Q1663)&amp;"")</f>
        <v/>
      </c>
      <c r="B1663">
        <f>IF($Q1663="","",INDEX(상세표[사번],$Q1663)&amp;"")</f>
        <v/>
      </c>
      <c r="C1663">
        <f>IF($Q1663="","",INDEX(상세표[성명],$Q1663)&amp;"")</f>
        <v/>
      </c>
      <c r="D1663">
        <f>IF($Q1663="","",INDEX(상세표[직위],$Q1663)&amp;"")</f>
        <v/>
      </c>
      <c r="E1663">
        <f>IF($Q1663="","",IF(ISNUMBER(INDEX(상세표[근무일자],$Q1663)),TEXT(INDEX(상세표[근무일자],$Q1663),"yyyy-mm-dd"),INDEX(상세표[근무일자],$Q1663)&amp;""))</f>
        <v/>
      </c>
      <c r="F1663">
        <f>IF($Q1663="","",IF(ISNUMBER(INDEX(상세표[시작],$Q1663)),TEXT(INDEX(상세표[시작],$Q1663),"yyyy-mm-dd hh:mm"),INDEX(상세표[시작],$Q1663)&amp;""))</f>
        <v/>
      </c>
      <c r="G1663">
        <f>IF($Q1663="","",IF(ISNUMBER(INDEX(상세표[블록종료],$Q1663)),TEXT(INDEX(상세표[블록종료],$Q1663),"yyyy-mm-dd hh:mm"),INDEX(상세표[블록종료],$Q1663)&amp;""))</f>
        <v/>
      </c>
      <c r="H1663">
        <f>IF($Q1663="","",CHOOSE(WEEKDAY(INDEX(상세표[시작],$Q1663)),"일","월","화","수","목","금","토"))</f>
        <v/>
      </c>
      <c r="I1663" s="20">
        <f>IF($Q1663="","",INDEX(상세표[연속 시간],$Q1663))</f>
        <v/>
      </c>
      <c r="J1663">
        <f>IF($Q1663="","",INDEX(상세표[기록 수],$Q1663))</f>
        <v/>
      </c>
      <c r="K1663" s="20">
        <f>IF($Q1663="","",INDEX(상세표[블록 06~07시],$Q1663))</f>
        <v/>
      </c>
      <c r="L1663" s="20">
        <f>IF($Q1663="","",INDEX(상세표[블록 07~18시],$Q1663))</f>
        <v/>
      </c>
      <c r="M1663" s="20">
        <f>IF($Q1663="","",INDEX(상세표[블록 18~22시],$Q1663))</f>
        <v/>
      </c>
      <c r="N1663" s="20">
        <f>IF($Q1663="","",INDEX(상세표[블록 22~06시],$Q1663))</f>
        <v/>
      </c>
      <c r="O1663">
        <f>IF($Q1663="","",INDEX(상세표[주말·휴일 포함],$Q1663)&amp;"")</f>
        <v/>
      </c>
      <c r="P1663">
        <f>IF($Q1663="","",INDEX(상세표[월 넘김 포함],$Q1663)&amp;"")</f>
        <v/>
      </c>
      <c r="Q1663" s="4">
        <f>IFERROR(MATCH(1658,상세표[연속순번],0),"")</f>
        <v/>
      </c>
    </row>
    <row r="1664">
      <c r="A1664">
        <f>IF($Q1664="","",INDEX(상세표[부서],$Q1664)&amp;"")</f>
        <v/>
      </c>
      <c r="B1664">
        <f>IF($Q1664="","",INDEX(상세표[사번],$Q1664)&amp;"")</f>
        <v/>
      </c>
      <c r="C1664">
        <f>IF($Q1664="","",INDEX(상세표[성명],$Q1664)&amp;"")</f>
        <v/>
      </c>
      <c r="D1664">
        <f>IF($Q1664="","",INDEX(상세표[직위],$Q1664)&amp;"")</f>
        <v/>
      </c>
      <c r="E1664">
        <f>IF($Q1664="","",IF(ISNUMBER(INDEX(상세표[근무일자],$Q1664)),TEXT(INDEX(상세표[근무일자],$Q1664),"yyyy-mm-dd"),INDEX(상세표[근무일자],$Q1664)&amp;""))</f>
        <v/>
      </c>
      <c r="F1664">
        <f>IF($Q1664="","",IF(ISNUMBER(INDEX(상세표[시작],$Q1664)),TEXT(INDEX(상세표[시작],$Q1664),"yyyy-mm-dd hh:mm"),INDEX(상세표[시작],$Q1664)&amp;""))</f>
        <v/>
      </c>
      <c r="G1664">
        <f>IF($Q1664="","",IF(ISNUMBER(INDEX(상세표[블록종료],$Q1664)),TEXT(INDEX(상세표[블록종료],$Q1664),"yyyy-mm-dd hh:mm"),INDEX(상세표[블록종료],$Q1664)&amp;""))</f>
        <v/>
      </c>
      <c r="H1664">
        <f>IF($Q1664="","",CHOOSE(WEEKDAY(INDEX(상세표[시작],$Q1664)),"일","월","화","수","목","금","토"))</f>
        <v/>
      </c>
      <c r="I1664" s="20">
        <f>IF($Q1664="","",INDEX(상세표[연속 시간],$Q1664))</f>
        <v/>
      </c>
      <c r="J1664">
        <f>IF($Q1664="","",INDEX(상세표[기록 수],$Q1664))</f>
        <v/>
      </c>
      <c r="K1664" s="20">
        <f>IF($Q1664="","",INDEX(상세표[블록 06~07시],$Q1664))</f>
        <v/>
      </c>
      <c r="L1664" s="20">
        <f>IF($Q1664="","",INDEX(상세표[블록 07~18시],$Q1664))</f>
        <v/>
      </c>
      <c r="M1664" s="20">
        <f>IF($Q1664="","",INDEX(상세표[블록 18~22시],$Q1664))</f>
        <v/>
      </c>
      <c r="N1664" s="20">
        <f>IF($Q1664="","",INDEX(상세표[블록 22~06시],$Q1664))</f>
        <v/>
      </c>
      <c r="O1664">
        <f>IF($Q1664="","",INDEX(상세표[주말·휴일 포함],$Q1664)&amp;"")</f>
        <v/>
      </c>
      <c r="P1664">
        <f>IF($Q1664="","",INDEX(상세표[월 넘김 포함],$Q1664)&amp;"")</f>
        <v/>
      </c>
      <c r="Q1664" s="4">
        <f>IFERROR(MATCH(1659,상세표[연속순번],0),"")</f>
        <v/>
      </c>
    </row>
    <row r="1665">
      <c r="A1665">
        <f>IF($Q1665="","",INDEX(상세표[부서],$Q1665)&amp;"")</f>
        <v/>
      </c>
      <c r="B1665">
        <f>IF($Q1665="","",INDEX(상세표[사번],$Q1665)&amp;"")</f>
        <v/>
      </c>
      <c r="C1665">
        <f>IF($Q1665="","",INDEX(상세표[성명],$Q1665)&amp;"")</f>
        <v/>
      </c>
      <c r="D1665">
        <f>IF($Q1665="","",INDEX(상세표[직위],$Q1665)&amp;"")</f>
        <v/>
      </c>
      <c r="E1665">
        <f>IF($Q1665="","",IF(ISNUMBER(INDEX(상세표[근무일자],$Q1665)),TEXT(INDEX(상세표[근무일자],$Q1665),"yyyy-mm-dd"),INDEX(상세표[근무일자],$Q1665)&amp;""))</f>
        <v/>
      </c>
      <c r="F1665">
        <f>IF($Q1665="","",IF(ISNUMBER(INDEX(상세표[시작],$Q1665)),TEXT(INDEX(상세표[시작],$Q1665),"yyyy-mm-dd hh:mm"),INDEX(상세표[시작],$Q1665)&amp;""))</f>
        <v/>
      </c>
      <c r="G1665">
        <f>IF($Q1665="","",IF(ISNUMBER(INDEX(상세표[블록종료],$Q1665)),TEXT(INDEX(상세표[블록종료],$Q1665),"yyyy-mm-dd hh:mm"),INDEX(상세표[블록종료],$Q1665)&amp;""))</f>
        <v/>
      </c>
      <c r="H1665">
        <f>IF($Q1665="","",CHOOSE(WEEKDAY(INDEX(상세표[시작],$Q1665)),"일","월","화","수","목","금","토"))</f>
        <v/>
      </c>
      <c r="I1665" s="20">
        <f>IF($Q1665="","",INDEX(상세표[연속 시간],$Q1665))</f>
        <v/>
      </c>
      <c r="J1665">
        <f>IF($Q1665="","",INDEX(상세표[기록 수],$Q1665))</f>
        <v/>
      </c>
      <c r="K1665" s="20">
        <f>IF($Q1665="","",INDEX(상세표[블록 06~07시],$Q1665))</f>
        <v/>
      </c>
      <c r="L1665" s="20">
        <f>IF($Q1665="","",INDEX(상세표[블록 07~18시],$Q1665))</f>
        <v/>
      </c>
      <c r="M1665" s="20">
        <f>IF($Q1665="","",INDEX(상세표[블록 18~22시],$Q1665))</f>
        <v/>
      </c>
      <c r="N1665" s="20">
        <f>IF($Q1665="","",INDEX(상세표[블록 22~06시],$Q1665))</f>
        <v/>
      </c>
      <c r="O1665">
        <f>IF($Q1665="","",INDEX(상세표[주말·휴일 포함],$Q1665)&amp;"")</f>
        <v/>
      </c>
      <c r="P1665">
        <f>IF($Q1665="","",INDEX(상세표[월 넘김 포함],$Q1665)&amp;"")</f>
        <v/>
      </c>
      <c r="Q1665" s="4">
        <f>IFERROR(MATCH(1660,상세표[연속순번],0),"")</f>
        <v/>
      </c>
    </row>
    <row r="1666">
      <c r="A1666">
        <f>IF($Q1666="","",INDEX(상세표[부서],$Q1666)&amp;"")</f>
        <v/>
      </c>
      <c r="B1666">
        <f>IF($Q1666="","",INDEX(상세표[사번],$Q1666)&amp;"")</f>
        <v/>
      </c>
      <c r="C1666">
        <f>IF($Q1666="","",INDEX(상세표[성명],$Q1666)&amp;"")</f>
        <v/>
      </c>
      <c r="D1666">
        <f>IF($Q1666="","",INDEX(상세표[직위],$Q1666)&amp;"")</f>
        <v/>
      </c>
      <c r="E1666">
        <f>IF($Q1666="","",IF(ISNUMBER(INDEX(상세표[근무일자],$Q1666)),TEXT(INDEX(상세표[근무일자],$Q1666),"yyyy-mm-dd"),INDEX(상세표[근무일자],$Q1666)&amp;""))</f>
        <v/>
      </c>
      <c r="F1666">
        <f>IF($Q1666="","",IF(ISNUMBER(INDEX(상세표[시작],$Q1666)),TEXT(INDEX(상세표[시작],$Q1666),"yyyy-mm-dd hh:mm"),INDEX(상세표[시작],$Q1666)&amp;""))</f>
        <v/>
      </c>
      <c r="G1666">
        <f>IF($Q1666="","",IF(ISNUMBER(INDEX(상세표[블록종료],$Q1666)),TEXT(INDEX(상세표[블록종료],$Q1666),"yyyy-mm-dd hh:mm"),INDEX(상세표[블록종료],$Q1666)&amp;""))</f>
        <v/>
      </c>
      <c r="H1666">
        <f>IF($Q1666="","",CHOOSE(WEEKDAY(INDEX(상세표[시작],$Q1666)),"일","월","화","수","목","금","토"))</f>
        <v/>
      </c>
      <c r="I1666" s="20">
        <f>IF($Q1666="","",INDEX(상세표[연속 시간],$Q1666))</f>
        <v/>
      </c>
      <c r="J1666">
        <f>IF($Q1666="","",INDEX(상세표[기록 수],$Q1666))</f>
        <v/>
      </c>
      <c r="K1666" s="20">
        <f>IF($Q1666="","",INDEX(상세표[블록 06~07시],$Q1666))</f>
        <v/>
      </c>
      <c r="L1666" s="20">
        <f>IF($Q1666="","",INDEX(상세표[블록 07~18시],$Q1666))</f>
        <v/>
      </c>
      <c r="M1666" s="20">
        <f>IF($Q1666="","",INDEX(상세표[블록 18~22시],$Q1666))</f>
        <v/>
      </c>
      <c r="N1666" s="20">
        <f>IF($Q1666="","",INDEX(상세표[블록 22~06시],$Q1666))</f>
        <v/>
      </c>
      <c r="O1666">
        <f>IF($Q1666="","",INDEX(상세표[주말·휴일 포함],$Q1666)&amp;"")</f>
        <v/>
      </c>
      <c r="P1666">
        <f>IF($Q1666="","",INDEX(상세표[월 넘김 포함],$Q1666)&amp;"")</f>
        <v/>
      </c>
      <c r="Q1666" s="4">
        <f>IFERROR(MATCH(1661,상세표[연속순번],0),"")</f>
        <v/>
      </c>
    </row>
    <row r="1667">
      <c r="A1667">
        <f>IF($Q1667="","",INDEX(상세표[부서],$Q1667)&amp;"")</f>
        <v/>
      </c>
      <c r="B1667">
        <f>IF($Q1667="","",INDEX(상세표[사번],$Q1667)&amp;"")</f>
        <v/>
      </c>
      <c r="C1667">
        <f>IF($Q1667="","",INDEX(상세표[성명],$Q1667)&amp;"")</f>
        <v/>
      </c>
      <c r="D1667">
        <f>IF($Q1667="","",INDEX(상세표[직위],$Q1667)&amp;"")</f>
        <v/>
      </c>
      <c r="E1667">
        <f>IF($Q1667="","",IF(ISNUMBER(INDEX(상세표[근무일자],$Q1667)),TEXT(INDEX(상세표[근무일자],$Q1667),"yyyy-mm-dd"),INDEX(상세표[근무일자],$Q1667)&amp;""))</f>
        <v/>
      </c>
      <c r="F1667">
        <f>IF($Q1667="","",IF(ISNUMBER(INDEX(상세표[시작],$Q1667)),TEXT(INDEX(상세표[시작],$Q1667),"yyyy-mm-dd hh:mm"),INDEX(상세표[시작],$Q1667)&amp;""))</f>
        <v/>
      </c>
      <c r="G1667">
        <f>IF($Q1667="","",IF(ISNUMBER(INDEX(상세표[블록종료],$Q1667)),TEXT(INDEX(상세표[블록종료],$Q1667),"yyyy-mm-dd hh:mm"),INDEX(상세표[블록종료],$Q1667)&amp;""))</f>
        <v/>
      </c>
      <c r="H1667">
        <f>IF($Q1667="","",CHOOSE(WEEKDAY(INDEX(상세표[시작],$Q1667)),"일","월","화","수","목","금","토"))</f>
        <v/>
      </c>
      <c r="I1667" s="20">
        <f>IF($Q1667="","",INDEX(상세표[연속 시간],$Q1667))</f>
        <v/>
      </c>
      <c r="J1667">
        <f>IF($Q1667="","",INDEX(상세표[기록 수],$Q1667))</f>
        <v/>
      </c>
      <c r="K1667" s="20">
        <f>IF($Q1667="","",INDEX(상세표[블록 06~07시],$Q1667))</f>
        <v/>
      </c>
      <c r="L1667" s="20">
        <f>IF($Q1667="","",INDEX(상세표[블록 07~18시],$Q1667))</f>
        <v/>
      </c>
      <c r="M1667" s="20">
        <f>IF($Q1667="","",INDEX(상세표[블록 18~22시],$Q1667))</f>
        <v/>
      </c>
      <c r="N1667" s="20">
        <f>IF($Q1667="","",INDEX(상세표[블록 22~06시],$Q1667))</f>
        <v/>
      </c>
      <c r="O1667">
        <f>IF($Q1667="","",INDEX(상세표[주말·휴일 포함],$Q1667)&amp;"")</f>
        <v/>
      </c>
      <c r="P1667">
        <f>IF($Q1667="","",INDEX(상세표[월 넘김 포함],$Q1667)&amp;"")</f>
        <v/>
      </c>
      <c r="Q1667" s="4">
        <f>IFERROR(MATCH(1662,상세표[연속순번],0),"")</f>
        <v/>
      </c>
    </row>
    <row r="1668">
      <c r="A1668">
        <f>IF($Q1668="","",INDEX(상세표[부서],$Q1668)&amp;"")</f>
        <v/>
      </c>
      <c r="B1668">
        <f>IF($Q1668="","",INDEX(상세표[사번],$Q1668)&amp;"")</f>
        <v/>
      </c>
      <c r="C1668">
        <f>IF($Q1668="","",INDEX(상세표[성명],$Q1668)&amp;"")</f>
        <v/>
      </c>
      <c r="D1668">
        <f>IF($Q1668="","",INDEX(상세표[직위],$Q1668)&amp;"")</f>
        <v/>
      </c>
      <c r="E1668">
        <f>IF($Q1668="","",IF(ISNUMBER(INDEX(상세표[근무일자],$Q1668)),TEXT(INDEX(상세표[근무일자],$Q1668),"yyyy-mm-dd"),INDEX(상세표[근무일자],$Q1668)&amp;""))</f>
        <v/>
      </c>
      <c r="F1668">
        <f>IF($Q1668="","",IF(ISNUMBER(INDEX(상세표[시작],$Q1668)),TEXT(INDEX(상세표[시작],$Q1668),"yyyy-mm-dd hh:mm"),INDEX(상세표[시작],$Q1668)&amp;""))</f>
        <v/>
      </c>
      <c r="G1668">
        <f>IF($Q1668="","",IF(ISNUMBER(INDEX(상세표[블록종료],$Q1668)),TEXT(INDEX(상세표[블록종료],$Q1668),"yyyy-mm-dd hh:mm"),INDEX(상세표[블록종료],$Q1668)&amp;""))</f>
        <v/>
      </c>
      <c r="H1668">
        <f>IF($Q1668="","",CHOOSE(WEEKDAY(INDEX(상세표[시작],$Q1668)),"일","월","화","수","목","금","토"))</f>
        <v/>
      </c>
      <c r="I1668" s="20">
        <f>IF($Q1668="","",INDEX(상세표[연속 시간],$Q1668))</f>
        <v/>
      </c>
      <c r="J1668">
        <f>IF($Q1668="","",INDEX(상세표[기록 수],$Q1668))</f>
        <v/>
      </c>
      <c r="K1668" s="20">
        <f>IF($Q1668="","",INDEX(상세표[블록 06~07시],$Q1668))</f>
        <v/>
      </c>
      <c r="L1668" s="20">
        <f>IF($Q1668="","",INDEX(상세표[블록 07~18시],$Q1668))</f>
        <v/>
      </c>
      <c r="M1668" s="20">
        <f>IF($Q1668="","",INDEX(상세표[블록 18~22시],$Q1668))</f>
        <v/>
      </c>
      <c r="N1668" s="20">
        <f>IF($Q1668="","",INDEX(상세표[블록 22~06시],$Q1668))</f>
        <v/>
      </c>
      <c r="O1668">
        <f>IF($Q1668="","",INDEX(상세표[주말·휴일 포함],$Q1668)&amp;"")</f>
        <v/>
      </c>
      <c r="P1668">
        <f>IF($Q1668="","",INDEX(상세표[월 넘김 포함],$Q1668)&amp;"")</f>
        <v/>
      </c>
      <c r="Q1668" s="4">
        <f>IFERROR(MATCH(1663,상세표[연속순번],0),"")</f>
        <v/>
      </c>
    </row>
    <row r="1669">
      <c r="A1669">
        <f>IF($Q1669="","",INDEX(상세표[부서],$Q1669)&amp;"")</f>
        <v/>
      </c>
      <c r="B1669">
        <f>IF($Q1669="","",INDEX(상세표[사번],$Q1669)&amp;"")</f>
        <v/>
      </c>
      <c r="C1669">
        <f>IF($Q1669="","",INDEX(상세표[성명],$Q1669)&amp;"")</f>
        <v/>
      </c>
      <c r="D1669">
        <f>IF($Q1669="","",INDEX(상세표[직위],$Q1669)&amp;"")</f>
        <v/>
      </c>
      <c r="E1669">
        <f>IF($Q1669="","",IF(ISNUMBER(INDEX(상세표[근무일자],$Q1669)),TEXT(INDEX(상세표[근무일자],$Q1669),"yyyy-mm-dd"),INDEX(상세표[근무일자],$Q1669)&amp;""))</f>
        <v/>
      </c>
      <c r="F1669">
        <f>IF($Q1669="","",IF(ISNUMBER(INDEX(상세표[시작],$Q1669)),TEXT(INDEX(상세표[시작],$Q1669),"yyyy-mm-dd hh:mm"),INDEX(상세표[시작],$Q1669)&amp;""))</f>
        <v/>
      </c>
      <c r="G1669">
        <f>IF($Q1669="","",IF(ISNUMBER(INDEX(상세표[블록종료],$Q1669)),TEXT(INDEX(상세표[블록종료],$Q1669),"yyyy-mm-dd hh:mm"),INDEX(상세표[블록종료],$Q1669)&amp;""))</f>
        <v/>
      </c>
      <c r="H1669">
        <f>IF($Q1669="","",CHOOSE(WEEKDAY(INDEX(상세표[시작],$Q1669)),"일","월","화","수","목","금","토"))</f>
        <v/>
      </c>
      <c r="I1669" s="20">
        <f>IF($Q1669="","",INDEX(상세표[연속 시간],$Q1669))</f>
        <v/>
      </c>
      <c r="J1669">
        <f>IF($Q1669="","",INDEX(상세표[기록 수],$Q1669))</f>
        <v/>
      </c>
      <c r="K1669" s="20">
        <f>IF($Q1669="","",INDEX(상세표[블록 06~07시],$Q1669))</f>
        <v/>
      </c>
      <c r="L1669" s="20">
        <f>IF($Q1669="","",INDEX(상세표[블록 07~18시],$Q1669))</f>
        <v/>
      </c>
      <c r="M1669" s="20">
        <f>IF($Q1669="","",INDEX(상세표[블록 18~22시],$Q1669))</f>
        <v/>
      </c>
      <c r="N1669" s="20">
        <f>IF($Q1669="","",INDEX(상세표[블록 22~06시],$Q1669))</f>
        <v/>
      </c>
      <c r="O1669">
        <f>IF($Q1669="","",INDEX(상세표[주말·휴일 포함],$Q1669)&amp;"")</f>
        <v/>
      </c>
      <c r="P1669">
        <f>IF($Q1669="","",INDEX(상세표[월 넘김 포함],$Q1669)&amp;"")</f>
        <v/>
      </c>
      <c r="Q1669" s="4">
        <f>IFERROR(MATCH(1664,상세표[연속순번],0),"")</f>
        <v/>
      </c>
    </row>
    <row r="1670">
      <c r="A1670">
        <f>IF($Q1670="","",INDEX(상세표[부서],$Q1670)&amp;"")</f>
        <v/>
      </c>
      <c r="B1670">
        <f>IF($Q1670="","",INDEX(상세표[사번],$Q1670)&amp;"")</f>
        <v/>
      </c>
      <c r="C1670">
        <f>IF($Q1670="","",INDEX(상세표[성명],$Q1670)&amp;"")</f>
        <v/>
      </c>
      <c r="D1670">
        <f>IF($Q1670="","",INDEX(상세표[직위],$Q1670)&amp;"")</f>
        <v/>
      </c>
      <c r="E1670">
        <f>IF($Q1670="","",IF(ISNUMBER(INDEX(상세표[근무일자],$Q1670)),TEXT(INDEX(상세표[근무일자],$Q1670),"yyyy-mm-dd"),INDEX(상세표[근무일자],$Q1670)&amp;""))</f>
        <v/>
      </c>
      <c r="F1670">
        <f>IF($Q1670="","",IF(ISNUMBER(INDEX(상세표[시작],$Q1670)),TEXT(INDEX(상세표[시작],$Q1670),"yyyy-mm-dd hh:mm"),INDEX(상세표[시작],$Q1670)&amp;""))</f>
        <v/>
      </c>
      <c r="G1670">
        <f>IF($Q1670="","",IF(ISNUMBER(INDEX(상세표[블록종료],$Q1670)),TEXT(INDEX(상세표[블록종료],$Q1670),"yyyy-mm-dd hh:mm"),INDEX(상세표[블록종료],$Q1670)&amp;""))</f>
        <v/>
      </c>
      <c r="H1670">
        <f>IF($Q1670="","",CHOOSE(WEEKDAY(INDEX(상세표[시작],$Q1670)),"일","월","화","수","목","금","토"))</f>
        <v/>
      </c>
      <c r="I1670" s="20">
        <f>IF($Q1670="","",INDEX(상세표[연속 시간],$Q1670))</f>
        <v/>
      </c>
      <c r="J1670">
        <f>IF($Q1670="","",INDEX(상세표[기록 수],$Q1670))</f>
        <v/>
      </c>
      <c r="K1670" s="20">
        <f>IF($Q1670="","",INDEX(상세표[블록 06~07시],$Q1670))</f>
        <v/>
      </c>
      <c r="L1670" s="20">
        <f>IF($Q1670="","",INDEX(상세표[블록 07~18시],$Q1670))</f>
        <v/>
      </c>
      <c r="M1670" s="20">
        <f>IF($Q1670="","",INDEX(상세표[블록 18~22시],$Q1670))</f>
        <v/>
      </c>
      <c r="N1670" s="20">
        <f>IF($Q1670="","",INDEX(상세표[블록 22~06시],$Q1670))</f>
        <v/>
      </c>
      <c r="O1670">
        <f>IF($Q1670="","",INDEX(상세표[주말·휴일 포함],$Q1670)&amp;"")</f>
        <v/>
      </c>
      <c r="P1670">
        <f>IF($Q1670="","",INDEX(상세표[월 넘김 포함],$Q1670)&amp;"")</f>
        <v/>
      </c>
      <c r="Q1670" s="4">
        <f>IFERROR(MATCH(1665,상세표[연속순번],0),"")</f>
        <v/>
      </c>
    </row>
    <row r="1671">
      <c r="A1671">
        <f>IF($Q1671="","",INDEX(상세표[부서],$Q1671)&amp;"")</f>
        <v/>
      </c>
      <c r="B1671">
        <f>IF($Q1671="","",INDEX(상세표[사번],$Q1671)&amp;"")</f>
        <v/>
      </c>
      <c r="C1671">
        <f>IF($Q1671="","",INDEX(상세표[성명],$Q1671)&amp;"")</f>
        <v/>
      </c>
      <c r="D1671">
        <f>IF($Q1671="","",INDEX(상세표[직위],$Q1671)&amp;"")</f>
        <v/>
      </c>
      <c r="E1671">
        <f>IF($Q1671="","",IF(ISNUMBER(INDEX(상세표[근무일자],$Q1671)),TEXT(INDEX(상세표[근무일자],$Q1671),"yyyy-mm-dd"),INDEX(상세표[근무일자],$Q1671)&amp;""))</f>
        <v/>
      </c>
      <c r="F1671">
        <f>IF($Q1671="","",IF(ISNUMBER(INDEX(상세표[시작],$Q1671)),TEXT(INDEX(상세표[시작],$Q1671),"yyyy-mm-dd hh:mm"),INDEX(상세표[시작],$Q1671)&amp;""))</f>
        <v/>
      </c>
      <c r="G1671">
        <f>IF($Q1671="","",IF(ISNUMBER(INDEX(상세표[블록종료],$Q1671)),TEXT(INDEX(상세표[블록종료],$Q1671),"yyyy-mm-dd hh:mm"),INDEX(상세표[블록종료],$Q1671)&amp;""))</f>
        <v/>
      </c>
      <c r="H1671">
        <f>IF($Q1671="","",CHOOSE(WEEKDAY(INDEX(상세표[시작],$Q1671)),"일","월","화","수","목","금","토"))</f>
        <v/>
      </c>
      <c r="I1671" s="20">
        <f>IF($Q1671="","",INDEX(상세표[연속 시간],$Q1671))</f>
        <v/>
      </c>
      <c r="J1671">
        <f>IF($Q1671="","",INDEX(상세표[기록 수],$Q1671))</f>
        <v/>
      </c>
      <c r="K1671" s="20">
        <f>IF($Q1671="","",INDEX(상세표[블록 06~07시],$Q1671))</f>
        <v/>
      </c>
      <c r="L1671" s="20">
        <f>IF($Q1671="","",INDEX(상세표[블록 07~18시],$Q1671))</f>
        <v/>
      </c>
      <c r="M1671" s="20">
        <f>IF($Q1671="","",INDEX(상세표[블록 18~22시],$Q1671))</f>
        <v/>
      </c>
      <c r="N1671" s="20">
        <f>IF($Q1671="","",INDEX(상세표[블록 22~06시],$Q1671))</f>
        <v/>
      </c>
      <c r="O1671">
        <f>IF($Q1671="","",INDEX(상세표[주말·휴일 포함],$Q1671)&amp;"")</f>
        <v/>
      </c>
      <c r="P1671">
        <f>IF($Q1671="","",INDEX(상세표[월 넘김 포함],$Q1671)&amp;"")</f>
        <v/>
      </c>
      <c r="Q1671" s="4">
        <f>IFERROR(MATCH(1666,상세표[연속순번],0),"")</f>
        <v/>
      </c>
    </row>
    <row r="1672">
      <c r="A1672">
        <f>IF($Q1672="","",INDEX(상세표[부서],$Q1672)&amp;"")</f>
        <v/>
      </c>
      <c r="B1672">
        <f>IF($Q1672="","",INDEX(상세표[사번],$Q1672)&amp;"")</f>
        <v/>
      </c>
      <c r="C1672">
        <f>IF($Q1672="","",INDEX(상세표[성명],$Q1672)&amp;"")</f>
        <v/>
      </c>
      <c r="D1672">
        <f>IF($Q1672="","",INDEX(상세표[직위],$Q1672)&amp;"")</f>
        <v/>
      </c>
      <c r="E1672">
        <f>IF($Q1672="","",IF(ISNUMBER(INDEX(상세표[근무일자],$Q1672)),TEXT(INDEX(상세표[근무일자],$Q1672),"yyyy-mm-dd"),INDEX(상세표[근무일자],$Q1672)&amp;""))</f>
        <v/>
      </c>
      <c r="F1672">
        <f>IF($Q1672="","",IF(ISNUMBER(INDEX(상세표[시작],$Q1672)),TEXT(INDEX(상세표[시작],$Q1672),"yyyy-mm-dd hh:mm"),INDEX(상세표[시작],$Q1672)&amp;""))</f>
        <v/>
      </c>
      <c r="G1672">
        <f>IF($Q1672="","",IF(ISNUMBER(INDEX(상세표[블록종료],$Q1672)),TEXT(INDEX(상세표[블록종료],$Q1672),"yyyy-mm-dd hh:mm"),INDEX(상세표[블록종료],$Q1672)&amp;""))</f>
        <v/>
      </c>
      <c r="H1672">
        <f>IF($Q1672="","",CHOOSE(WEEKDAY(INDEX(상세표[시작],$Q1672)),"일","월","화","수","목","금","토"))</f>
        <v/>
      </c>
      <c r="I1672" s="20">
        <f>IF($Q1672="","",INDEX(상세표[연속 시간],$Q1672))</f>
        <v/>
      </c>
      <c r="J1672">
        <f>IF($Q1672="","",INDEX(상세표[기록 수],$Q1672))</f>
        <v/>
      </c>
      <c r="K1672" s="20">
        <f>IF($Q1672="","",INDEX(상세표[블록 06~07시],$Q1672))</f>
        <v/>
      </c>
      <c r="L1672" s="20">
        <f>IF($Q1672="","",INDEX(상세표[블록 07~18시],$Q1672))</f>
        <v/>
      </c>
      <c r="M1672" s="20">
        <f>IF($Q1672="","",INDEX(상세표[블록 18~22시],$Q1672))</f>
        <v/>
      </c>
      <c r="N1672" s="20">
        <f>IF($Q1672="","",INDEX(상세표[블록 22~06시],$Q1672))</f>
        <v/>
      </c>
      <c r="O1672">
        <f>IF($Q1672="","",INDEX(상세표[주말·휴일 포함],$Q1672)&amp;"")</f>
        <v/>
      </c>
      <c r="P1672">
        <f>IF($Q1672="","",INDEX(상세표[월 넘김 포함],$Q1672)&amp;"")</f>
        <v/>
      </c>
      <c r="Q1672" s="4">
        <f>IFERROR(MATCH(1667,상세표[연속순번],0),"")</f>
        <v/>
      </c>
    </row>
    <row r="1673">
      <c r="A1673">
        <f>IF($Q1673="","",INDEX(상세표[부서],$Q1673)&amp;"")</f>
        <v/>
      </c>
      <c r="B1673">
        <f>IF($Q1673="","",INDEX(상세표[사번],$Q1673)&amp;"")</f>
        <v/>
      </c>
      <c r="C1673">
        <f>IF($Q1673="","",INDEX(상세표[성명],$Q1673)&amp;"")</f>
        <v/>
      </c>
      <c r="D1673">
        <f>IF($Q1673="","",INDEX(상세표[직위],$Q1673)&amp;"")</f>
        <v/>
      </c>
      <c r="E1673">
        <f>IF($Q1673="","",IF(ISNUMBER(INDEX(상세표[근무일자],$Q1673)),TEXT(INDEX(상세표[근무일자],$Q1673),"yyyy-mm-dd"),INDEX(상세표[근무일자],$Q1673)&amp;""))</f>
        <v/>
      </c>
      <c r="F1673">
        <f>IF($Q1673="","",IF(ISNUMBER(INDEX(상세표[시작],$Q1673)),TEXT(INDEX(상세표[시작],$Q1673),"yyyy-mm-dd hh:mm"),INDEX(상세표[시작],$Q1673)&amp;""))</f>
        <v/>
      </c>
      <c r="G1673">
        <f>IF($Q1673="","",IF(ISNUMBER(INDEX(상세표[블록종료],$Q1673)),TEXT(INDEX(상세표[블록종료],$Q1673),"yyyy-mm-dd hh:mm"),INDEX(상세표[블록종료],$Q1673)&amp;""))</f>
        <v/>
      </c>
      <c r="H1673">
        <f>IF($Q1673="","",CHOOSE(WEEKDAY(INDEX(상세표[시작],$Q1673)),"일","월","화","수","목","금","토"))</f>
        <v/>
      </c>
      <c r="I1673" s="20">
        <f>IF($Q1673="","",INDEX(상세표[연속 시간],$Q1673))</f>
        <v/>
      </c>
      <c r="J1673">
        <f>IF($Q1673="","",INDEX(상세표[기록 수],$Q1673))</f>
        <v/>
      </c>
      <c r="K1673" s="20">
        <f>IF($Q1673="","",INDEX(상세표[블록 06~07시],$Q1673))</f>
        <v/>
      </c>
      <c r="L1673" s="20">
        <f>IF($Q1673="","",INDEX(상세표[블록 07~18시],$Q1673))</f>
        <v/>
      </c>
      <c r="M1673" s="20">
        <f>IF($Q1673="","",INDEX(상세표[블록 18~22시],$Q1673))</f>
        <v/>
      </c>
      <c r="N1673" s="20">
        <f>IF($Q1673="","",INDEX(상세표[블록 22~06시],$Q1673))</f>
        <v/>
      </c>
      <c r="O1673">
        <f>IF($Q1673="","",INDEX(상세표[주말·휴일 포함],$Q1673)&amp;"")</f>
        <v/>
      </c>
      <c r="P1673">
        <f>IF($Q1673="","",INDEX(상세표[월 넘김 포함],$Q1673)&amp;"")</f>
        <v/>
      </c>
      <c r="Q1673" s="4">
        <f>IFERROR(MATCH(1668,상세표[연속순번],0),"")</f>
        <v/>
      </c>
    </row>
    <row r="1674">
      <c r="A1674">
        <f>IF($Q1674="","",INDEX(상세표[부서],$Q1674)&amp;"")</f>
        <v/>
      </c>
      <c r="B1674">
        <f>IF($Q1674="","",INDEX(상세표[사번],$Q1674)&amp;"")</f>
        <v/>
      </c>
      <c r="C1674">
        <f>IF($Q1674="","",INDEX(상세표[성명],$Q1674)&amp;"")</f>
        <v/>
      </c>
      <c r="D1674">
        <f>IF($Q1674="","",INDEX(상세표[직위],$Q1674)&amp;"")</f>
        <v/>
      </c>
      <c r="E1674">
        <f>IF($Q1674="","",IF(ISNUMBER(INDEX(상세표[근무일자],$Q1674)),TEXT(INDEX(상세표[근무일자],$Q1674),"yyyy-mm-dd"),INDEX(상세표[근무일자],$Q1674)&amp;""))</f>
        <v/>
      </c>
      <c r="F1674">
        <f>IF($Q1674="","",IF(ISNUMBER(INDEX(상세표[시작],$Q1674)),TEXT(INDEX(상세표[시작],$Q1674),"yyyy-mm-dd hh:mm"),INDEX(상세표[시작],$Q1674)&amp;""))</f>
        <v/>
      </c>
      <c r="G1674">
        <f>IF($Q1674="","",IF(ISNUMBER(INDEX(상세표[블록종료],$Q1674)),TEXT(INDEX(상세표[블록종료],$Q1674),"yyyy-mm-dd hh:mm"),INDEX(상세표[블록종료],$Q1674)&amp;""))</f>
        <v/>
      </c>
      <c r="H1674">
        <f>IF($Q1674="","",CHOOSE(WEEKDAY(INDEX(상세표[시작],$Q1674)),"일","월","화","수","목","금","토"))</f>
        <v/>
      </c>
      <c r="I1674" s="20">
        <f>IF($Q1674="","",INDEX(상세표[연속 시간],$Q1674))</f>
        <v/>
      </c>
      <c r="J1674">
        <f>IF($Q1674="","",INDEX(상세표[기록 수],$Q1674))</f>
        <v/>
      </c>
      <c r="K1674" s="20">
        <f>IF($Q1674="","",INDEX(상세표[블록 06~07시],$Q1674))</f>
        <v/>
      </c>
      <c r="L1674" s="20">
        <f>IF($Q1674="","",INDEX(상세표[블록 07~18시],$Q1674))</f>
        <v/>
      </c>
      <c r="M1674" s="20">
        <f>IF($Q1674="","",INDEX(상세표[블록 18~22시],$Q1674))</f>
        <v/>
      </c>
      <c r="N1674" s="20">
        <f>IF($Q1674="","",INDEX(상세표[블록 22~06시],$Q1674))</f>
        <v/>
      </c>
      <c r="O1674">
        <f>IF($Q1674="","",INDEX(상세표[주말·휴일 포함],$Q1674)&amp;"")</f>
        <v/>
      </c>
      <c r="P1674">
        <f>IF($Q1674="","",INDEX(상세표[월 넘김 포함],$Q1674)&amp;"")</f>
        <v/>
      </c>
      <c r="Q1674" s="4">
        <f>IFERROR(MATCH(1669,상세표[연속순번],0),"")</f>
        <v/>
      </c>
    </row>
    <row r="1675">
      <c r="A1675">
        <f>IF($Q1675="","",INDEX(상세표[부서],$Q1675)&amp;"")</f>
        <v/>
      </c>
      <c r="B1675">
        <f>IF($Q1675="","",INDEX(상세표[사번],$Q1675)&amp;"")</f>
        <v/>
      </c>
      <c r="C1675">
        <f>IF($Q1675="","",INDEX(상세표[성명],$Q1675)&amp;"")</f>
        <v/>
      </c>
      <c r="D1675">
        <f>IF($Q1675="","",INDEX(상세표[직위],$Q1675)&amp;"")</f>
        <v/>
      </c>
      <c r="E1675">
        <f>IF($Q1675="","",IF(ISNUMBER(INDEX(상세표[근무일자],$Q1675)),TEXT(INDEX(상세표[근무일자],$Q1675),"yyyy-mm-dd"),INDEX(상세표[근무일자],$Q1675)&amp;""))</f>
        <v/>
      </c>
      <c r="F1675">
        <f>IF($Q1675="","",IF(ISNUMBER(INDEX(상세표[시작],$Q1675)),TEXT(INDEX(상세표[시작],$Q1675),"yyyy-mm-dd hh:mm"),INDEX(상세표[시작],$Q1675)&amp;""))</f>
        <v/>
      </c>
      <c r="G1675">
        <f>IF($Q1675="","",IF(ISNUMBER(INDEX(상세표[블록종료],$Q1675)),TEXT(INDEX(상세표[블록종료],$Q1675),"yyyy-mm-dd hh:mm"),INDEX(상세표[블록종료],$Q1675)&amp;""))</f>
        <v/>
      </c>
      <c r="H1675">
        <f>IF($Q1675="","",CHOOSE(WEEKDAY(INDEX(상세표[시작],$Q1675)),"일","월","화","수","목","금","토"))</f>
        <v/>
      </c>
      <c r="I1675" s="20">
        <f>IF($Q1675="","",INDEX(상세표[연속 시간],$Q1675))</f>
        <v/>
      </c>
      <c r="J1675">
        <f>IF($Q1675="","",INDEX(상세표[기록 수],$Q1675))</f>
        <v/>
      </c>
      <c r="K1675" s="20">
        <f>IF($Q1675="","",INDEX(상세표[블록 06~07시],$Q1675))</f>
        <v/>
      </c>
      <c r="L1675" s="20">
        <f>IF($Q1675="","",INDEX(상세표[블록 07~18시],$Q1675))</f>
        <v/>
      </c>
      <c r="M1675" s="20">
        <f>IF($Q1675="","",INDEX(상세표[블록 18~22시],$Q1675))</f>
        <v/>
      </c>
      <c r="N1675" s="20">
        <f>IF($Q1675="","",INDEX(상세표[블록 22~06시],$Q1675))</f>
        <v/>
      </c>
      <c r="O1675">
        <f>IF($Q1675="","",INDEX(상세표[주말·휴일 포함],$Q1675)&amp;"")</f>
        <v/>
      </c>
      <c r="P1675">
        <f>IF($Q1675="","",INDEX(상세표[월 넘김 포함],$Q1675)&amp;"")</f>
        <v/>
      </c>
      <c r="Q1675" s="4">
        <f>IFERROR(MATCH(1670,상세표[연속순번],0),"")</f>
        <v/>
      </c>
    </row>
    <row r="1676">
      <c r="A1676">
        <f>IF($Q1676="","",INDEX(상세표[부서],$Q1676)&amp;"")</f>
        <v/>
      </c>
      <c r="B1676">
        <f>IF($Q1676="","",INDEX(상세표[사번],$Q1676)&amp;"")</f>
        <v/>
      </c>
      <c r="C1676">
        <f>IF($Q1676="","",INDEX(상세표[성명],$Q1676)&amp;"")</f>
        <v/>
      </c>
      <c r="D1676">
        <f>IF($Q1676="","",INDEX(상세표[직위],$Q1676)&amp;"")</f>
        <v/>
      </c>
      <c r="E1676">
        <f>IF($Q1676="","",IF(ISNUMBER(INDEX(상세표[근무일자],$Q1676)),TEXT(INDEX(상세표[근무일자],$Q1676),"yyyy-mm-dd"),INDEX(상세표[근무일자],$Q1676)&amp;""))</f>
        <v/>
      </c>
      <c r="F1676">
        <f>IF($Q1676="","",IF(ISNUMBER(INDEX(상세표[시작],$Q1676)),TEXT(INDEX(상세표[시작],$Q1676),"yyyy-mm-dd hh:mm"),INDEX(상세표[시작],$Q1676)&amp;""))</f>
        <v/>
      </c>
      <c r="G1676">
        <f>IF($Q1676="","",IF(ISNUMBER(INDEX(상세표[블록종료],$Q1676)),TEXT(INDEX(상세표[블록종료],$Q1676),"yyyy-mm-dd hh:mm"),INDEX(상세표[블록종료],$Q1676)&amp;""))</f>
        <v/>
      </c>
      <c r="H1676">
        <f>IF($Q1676="","",CHOOSE(WEEKDAY(INDEX(상세표[시작],$Q1676)),"일","월","화","수","목","금","토"))</f>
        <v/>
      </c>
      <c r="I1676" s="20">
        <f>IF($Q1676="","",INDEX(상세표[연속 시간],$Q1676))</f>
        <v/>
      </c>
      <c r="J1676">
        <f>IF($Q1676="","",INDEX(상세표[기록 수],$Q1676))</f>
        <v/>
      </c>
      <c r="K1676" s="20">
        <f>IF($Q1676="","",INDEX(상세표[블록 06~07시],$Q1676))</f>
        <v/>
      </c>
      <c r="L1676" s="20">
        <f>IF($Q1676="","",INDEX(상세표[블록 07~18시],$Q1676))</f>
        <v/>
      </c>
      <c r="M1676" s="20">
        <f>IF($Q1676="","",INDEX(상세표[블록 18~22시],$Q1676))</f>
        <v/>
      </c>
      <c r="N1676" s="20">
        <f>IF($Q1676="","",INDEX(상세표[블록 22~06시],$Q1676))</f>
        <v/>
      </c>
      <c r="O1676">
        <f>IF($Q1676="","",INDEX(상세표[주말·휴일 포함],$Q1676)&amp;"")</f>
        <v/>
      </c>
      <c r="P1676">
        <f>IF($Q1676="","",INDEX(상세표[월 넘김 포함],$Q1676)&amp;"")</f>
        <v/>
      </c>
      <c r="Q1676" s="4">
        <f>IFERROR(MATCH(1671,상세표[연속순번],0),"")</f>
        <v/>
      </c>
    </row>
    <row r="1677">
      <c r="A1677">
        <f>IF($Q1677="","",INDEX(상세표[부서],$Q1677)&amp;"")</f>
        <v/>
      </c>
      <c r="B1677">
        <f>IF($Q1677="","",INDEX(상세표[사번],$Q1677)&amp;"")</f>
        <v/>
      </c>
      <c r="C1677">
        <f>IF($Q1677="","",INDEX(상세표[성명],$Q1677)&amp;"")</f>
        <v/>
      </c>
      <c r="D1677">
        <f>IF($Q1677="","",INDEX(상세표[직위],$Q1677)&amp;"")</f>
        <v/>
      </c>
      <c r="E1677">
        <f>IF($Q1677="","",IF(ISNUMBER(INDEX(상세표[근무일자],$Q1677)),TEXT(INDEX(상세표[근무일자],$Q1677),"yyyy-mm-dd"),INDEX(상세표[근무일자],$Q1677)&amp;""))</f>
        <v/>
      </c>
      <c r="F1677">
        <f>IF($Q1677="","",IF(ISNUMBER(INDEX(상세표[시작],$Q1677)),TEXT(INDEX(상세표[시작],$Q1677),"yyyy-mm-dd hh:mm"),INDEX(상세표[시작],$Q1677)&amp;""))</f>
        <v/>
      </c>
      <c r="G1677">
        <f>IF($Q1677="","",IF(ISNUMBER(INDEX(상세표[블록종료],$Q1677)),TEXT(INDEX(상세표[블록종료],$Q1677),"yyyy-mm-dd hh:mm"),INDEX(상세표[블록종료],$Q1677)&amp;""))</f>
        <v/>
      </c>
      <c r="H1677">
        <f>IF($Q1677="","",CHOOSE(WEEKDAY(INDEX(상세표[시작],$Q1677)),"일","월","화","수","목","금","토"))</f>
        <v/>
      </c>
      <c r="I1677" s="20">
        <f>IF($Q1677="","",INDEX(상세표[연속 시간],$Q1677))</f>
        <v/>
      </c>
      <c r="J1677">
        <f>IF($Q1677="","",INDEX(상세표[기록 수],$Q1677))</f>
        <v/>
      </c>
      <c r="K1677" s="20">
        <f>IF($Q1677="","",INDEX(상세표[블록 06~07시],$Q1677))</f>
        <v/>
      </c>
      <c r="L1677" s="20">
        <f>IF($Q1677="","",INDEX(상세표[블록 07~18시],$Q1677))</f>
        <v/>
      </c>
      <c r="M1677" s="20">
        <f>IF($Q1677="","",INDEX(상세표[블록 18~22시],$Q1677))</f>
        <v/>
      </c>
      <c r="N1677" s="20">
        <f>IF($Q1677="","",INDEX(상세표[블록 22~06시],$Q1677))</f>
        <v/>
      </c>
      <c r="O1677">
        <f>IF($Q1677="","",INDEX(상세표[주말·휴일 포함],$Q1677)&amp;"")</f>
        <v/>
      </c>
      <c r="P1677">
        <f>IF($Q1677="","",INDEX(상세표[월 넘김 포함],$Q1677)&amp;"")</f>
        <v/>
      </c>
      <c r="Q1677" s="4">
        <f>IFERROR(MATCH(1672,상세표[연속순번],0),"")</f>
        <v/>
      </c>
    </row>
    <row r="1678">
      <c r="A1678">
        <f>IF($Q1678="","",INDEX(상세표[부서],$Q1678)&amp;"")</f>
        <v/>
      </c>
      <c r="B1678">
        <f>IF($Q1678="","",INDEX(상세표[사번],$Q1678)&amp;"")</f>
        <v/>
      </c>
      <c r="C1678">
        <f>IF($Q1678="","",INDEX(상세표[성명],$Q1678)&amp;"")</f>
        <v/>
      </c>
      <c r="D1678">
        <f>IF($Q1678="","",INDEX(상세표[직위],$Q1678)&amp;"")</f>
        <v/>
      </c>
      <c r="E1678">
        <f>IF($Q1678="","",IF(ISNUMBER(INDEX(상세표[근무일자],$Q1678)),TEXT(INDEX(상세표[근무일자],$Q1678),"yyyy-mm-dd"),INDEX(상세표[근무일자],$Q1678)&amp;""))</f>
        <v/>
      </c>
      <c r="F1678">
        <f>IF($Q1678="","",IF(ISNUMBER(INDEX(상세표[시작],$Q1678)),TEXT(INDEX(상세표[시작],$Q1678),"yyyy-mm-dd hh:mm"),INDEX(상세표[시작],$Q1678)&amp;""))</f>
        <v/>
      </c>
      <c r="G1678">
        <f>IF($Q1678="","",IF(ISNUMBER(INDEX(상세표[블록종료],$Q1678)),TEXT(INDEX(상세표[블록종료],$Q1678),"yyyy-mm-dd hh:mm"),INDEX(상세표[블록종료],$Q1678)&amp;""))</f>
        <v/>
      </c>
      <c r="H1678">
        <f>IF($Q1678="","",CHOOSE(WEEKDAY(INDEX(상세표[시작],$Q1678)),"일","월","화","수","목","금","토"))</f>
        <v/>
      </c>
      <c r="I1678" s="20">
        <f>IF($Q1678="","",INDEX(상세표[연속 시간],$Q1678))</f>
        <v/>
      </c>
      <c r="J1678">
        <f>IF($Q1678="","",INDEX(상세표[기록 수],$Q1678))</f>
        <v/>
      </c>
      <c r="K1678" s="20">
        <f>IF($Q1678="","",INDEX(상세표[블록 06~07시],$Q1678))</f>
        <v/>
      </c>
      <c r="L1678" s="20">
        <f>IF($Q1678="","",INDEX(상세표[블록 07~18시],$Q1678))</f>
        <v/>
      </c>
      <c r="M1678" s="20">
        <f>IF($Q1678="","",INDEX(상세표[블록 18~22시],$Q1678))</f>
        <v/>
      </c>
      <c r="N1678" s="20">
        <f>IF($Q1678="","",INDEX(상세표[블록 22~06시],$Q1678))</f>
        <v/>
      </c>
      <c r="O1678">
        <f>IF($Q1678="","",INDEX(상세표[주말·휴일 포함],$Q1678)&amp;"")</f>
        <v/>
      </c>
      <c r="P1678">
        <f>IF($Q1678="","",INDEX(상세표[월 넘김 포함],$Q1678)&amp;"")</f>
        <v/>
      </c>
      <c r="Q1678" s="4">
        <f>IFERROR(MATCH(1673,상세표[연속순번],0),"")</f>
        <v/>
      </c>
    </row>
    <row r="1679">
      <c r="A1679">
        <f>IF($Q1679="","",INDEX(상세표[부서],$Q1679)&amp;"")</f>
        <v/>
      </c>
      <c r="B1679">
        <f>IF($Q1679="","",INDEX(상세표[사번],$Q1679)&amp;"")</f>
        <v/>
      </c>
      <c r="C1679">
        <f>IF($Q1679="","",INDEX(상세표[성명],$Q1679)&amp;"")</f>
        <v/>
      </c>
      <c r="D1679">
        <f>IF($Q1679="","",INDEX(상세표[직위],$Q1679)&amp;"")</f>
        <v/>
      </c>
      <c r="E1679">
        <f>IF($Q1679="","",IF(ISNUMBER(INDEX(상세표[근무일자],$Q1679)),TEXT(INDEX(상세표[근무일자],$Q1679),"yyyy-mm-dd"),INDEX(상세표[근무일자],$Q1679)&amp;""))</f>
        <v/>
      </c>
      <c r="F1679">
        <f>IF($Q1679="","",IF(ISNUMBER(INDEX(상세표[시작],$Q1679)),TEXT(INDEX(상세표[시작],$Q1679),"yyyy-mm-dd hh:mm"),INDEX(상세표[시작],$Q1679)&amp;""))</f>
        <v/>
      </c>
      <c r="G1679">
        <f>IF($Q1679="","",IF(ISNUMBER(INDEX(상세표[블록종료],$Q1679)),TEXT(INDEX(상세표[블록종료],$Q1679),"yyyy-mm-dd hh:mm"),INDEX(상세표[블록종료],$Q1679)&amp;""))</f>
        <v/>
      </c>
      <c r="H1679">
        <f>IF($Q1679="","",CHOOSE(WEEKDAY(INDEX(상세표[시작],$Q1679)),"일","월","화","수","목","금","토"))</f>
        <v/>
      </c>
      <c r="I1679" s="20">
        <f>IF($Q1679="","",INDEX(상세표[연속 시간],$Q1679))</f>
        <v/>
      </c>
      <c r="J1679">
        <f>IF($Q1679="","",INDEX(상세표[기록 수],$Q1679))</f>
        <v/>
      </c>
      <c r="K1679" s="20">
        <f>IF($Q1679="","",INDEX(상세표[블록 06~07시],$Q1679))</f>
        <v/>
      </c>
      <c r="L1679" s="20">
        <f>IF($Q1679="","",INDEX(상세표[블록 07~18시],$Q1679))</f>
        <v/>
      </c>
      <c r="M1679" s="20">
        <f>IF($Q1679="","",INDEX(상세표[블록 18~22시],$Q1679))</f>
        <v/>
      </c>
      <c r="N1679" s="20">
        <f>IF($Q1679="","",INDEX(상세표[블록 22~06시],$Q1679))</f>
        <v/>
      </c>
      <c r="O1679">
        <f>IF($Q1679="","",INDEX(상세표[주말·휴일 포함],$Q1679)&amp;"")</f>
        <v/>
      </c>
      <c r="P1679">
        <f>IF($Q1679="","",INDEX(상세표[월 넘김 포함],$Q1679)&amp;"")</f>
        <v/>
      </c>
      <c r="Q1679" s="4">
        <f>IFERROR(MATCH(1674,상세표[연속순번],0),"")</f>
        <v/>
      </c>
    </row>
    <row r="1680">
      <c r="A1680">
        <f>IF($Q1680="","",INDEX(상세표[부서],$Q1680)&amp;"")</f>
        <v/>
      </c>
      <c r="B1680">
        <f>IF($Q1680="","",INDEX(상세표[사번],$Q1680)&amp;"")</f>
        <v/>
      </c>
      <c r="C1680">
        <f>IF($Q1680="","",INDEX(상세표[성명],$Q1680)&amp;"")</f>
        <v/>
      </c>
      <c r="D1680">
        <f>IF($Q1680="","",INDEX(상세표[직위],$Q1680)&amp;"")</f>
        <v/>
      </c>
      <c r="E1680">
        <f>IF($Q1680="","",IF(ISNUMBER(INDEX(상세표[근무일자],$Q1680)),TEXT(INDEX(상세표[근무일자],$Q1680),"yyyy-mm-dd"),INDEX(상세표[근무일자],$Q1680)&amp;""))</f>
        <v/>
      </c>
      <c r="F1680">
        <f>IF($Q1680="","",IF(ISNUMBER(INDEX(상세표[시작],$Q1680)),TEXT(INDEX(상세표[시작],$Q1680),"yyyy-mm-dd hh:mm"),INDEX(상세표[시작],$Q1680)&amp;""))</f>
        <v/>
      </c>
      <c r="G1680">
        <f>IF($Q1680="","",IF(ISNUMBER(INDEX(상세표[블록종료],$Q1680)),TEXT(INDEX(상세표[블록종료],$Q1680),"yyyy-mm-dd hh:mm"),INDEX(상세표[블록종료],$Q1680)&amp;""))</f>
        <v/>
      </c>
      <c r="H1680">
        <f>IF($Q1680="","",CHOOSE(WEEKDAY(INDEX(상세표[시작],$Q1680)),"일","월","화","수","목","금","토"))</f>
        <v/>
      </c>
      <c r="I1680" s="20">
        <f>IF($Q1680="","",INDEX(상세표[연속 시간],$Q1680))</f>
        <v/>
      </c>
      <c r="J1680">
        <f>IF($Q1680="","",INDEX(상세표[기록 수],$Q1680))</f>
        <v/>
      </c>
      <c r="K1680" s="20">
        <f>IF($Q1680="","",INDEX(상세표[블록 06~07시],$Q1680))</f>
        <v/>
      </c>
      <c r="L1680" s="20">
        <f>IF($Q1680="","",INDEX(상세표[블록 07~18시],$Q1680))</f>
        <v/>
      </c>
      <c r="M1680" s="20">
        <f>IF($Q1680="","",INDEX(상세표[블록 18~22시],$Q1680))</f>
        <v/>
      </c>
      <c r="N1680" s="20">
        <f>IF($Q1680="","",INDEX(상세표[블록 22~06시],$Q1680))</f>
        <v/>
      </c>
      <c r="O1680">
        <f>IF($Q1680="","",INDEX(상세표[주말·휴일 포함],$Q1680)&amp;"")</f>
        <v/>
      </c>
      <c r="P1680">
        <f>IF($Q1680="","",INDEX(상세표[월 넘김 포함],$Q1680)&amp;"")</f>
        <v/>
      </c>
      <c r="Q1680" s="4">
        <f>IFERROR(MATCH(1675,상세표[연속순번],0),"")</f>
        <v/>
      </c>
    </row>
    <row r="1681">
      <c r="A1681">
        <f>IF($Q1681="","",INDEX(상세표[부서],$Q1681)&amp;"")</f>
        <v/>
      </c>
      <c r="B1681">
        <f>IF($Q1681="","",INDEX(상세표[사번],$Q1681)&amp;"")</f>
        <v/>
      </c>
      <c r="C1681">
        <f>IF($Q1681="","",INDEX(상세표[성명],$Q1681)&amp;"")</f>
        <v/>
      </c>
      <c r="D1681">
        <f>IF($Q1681="","",INDEX(상세표[직위],$Q1681)&amp;"")</f>
        <v/>
      </c>
      <c r="E1681">
        <f>IF($Q1681="","",IF(ISNUMBER(INDEX(상세표[근무일자],$Q1681)),TEXT(INDEX(상세표[근무일자],$Q1681),"yyyy-mm-dd"),INDEX(상세표[근무일자],$Q1681)&amp;""))</f>
        <v/>
      </c>
      <c r="F1681">
        <f>IF($Q1681="","",IF(ISNUMBER(INDEX(상세표[시작],$Q1681)),TEXT(INDEX(상세표[시작],$Q1681),"yyyy-mm-dd hh:mm"),INDEX(상세표[시작],$Q1681)&amp;""))</f>
        <v/>
      </c>
      <c r="G1681">
        <f>IF($Q1681="","",IF(ISNUMBER(INDEX(상세표[블록종료],$Q1681)),TEXT(INDEX(상세표[블록종료],$Q1681),"yyyy-mm-dd hh:mm"),INDEX(상세표[블록종료],$Q1681)&amp;""))</f>
        <v/>
      </c>
      <c r="H1681">
        <f>IF($Q1681="","",CHOOSE(WEEKDAY(INDEX(상세표[시작],$Q1681)),"일","월","화","수","목","금","토"))</f>
        <v/>
      </c>
      <c r="I1681" s="20">
        <f>IF($Q1681="","",INDEX(상세표[연속 시간],$Q1681))</f>
        <v/>
      </c>
      <c r="J1681">
        <f>IF($Q1681="","",INDEX(상세표[기록 수],$Q1681))</f>
        <v/>
      </c>
      <c r="K1681" s="20">
        <f>IF($Q1681="","",INDEX(상세표[블록 06~07시],$Q1681))</f>
        <v/>
      </c>
      <c r="L1681" s="20">
        <f>IF($Q1681="","",INDEX(상세표[블록 07~18시],$Q1681))</f>
        <v/>
      </c>
      <c r="M1681" s="20">
        <f>IF($Q1681="","",INDEX(상세표[블록 18~22시],$Q1681))</f>
        <v/>
      </c>
      <c r="N1681" s="20">
        <f>IF($Q1681="","",INDEX(상세표[블록 22~06시],$Q1681))</f>
        <v/>
      </c>
      <c r="O1681">
        <f>IF($Q1681="","",INDEX(상세표[주말·휴일 포함],$Q1681)&amp;"")</f>
        <v/>
      </c>
      <c r="P1681">
        <f>IF($Q1681="","",INDEX(상세표[월 넘김 포함],$Q1681)&amp;"")</f>
        <v/>
      </c>
      <c r="Q1681" s="4">
        <f>IFERROR(MATCH(1676,상세표[연속순번],0),"")</f>
        <v/>
      </c>
    </row>
    <row r="1682">
      <c r="A1682">
        <f>IF($Q1682="","",INDEX(상세표[부서],$Q1682)&amp;"")</f>
        <v/>
      </c>
      <c r="B1682">
        <f>IF($Q1682="","",INDEX(상세표[사번],$Q1682)&amp;"")</f>
        <v/>
      </c>
      <c r="C1682">
        <f>IF($Q1682="","",INDEX(상세표[성명],$Q1682)&amp;"")</f>
        <v/>
      </c>
      <c r="D1682">
        <f>IF($Q1682="","",INDEX(상세표[직위],$Q1682)&amp;"")</f>
        <v/>
      </c>
      <c r="E1682">
        <f>IF($Q1682="","",IF(ISNUMBER(INDEX(상세표[근무일자],$Q1682)),TEXT(INDEX(상세표[근무일자],$Q1682),"yyyy-mm-dd"),INDEX(상세표[근무일자],$Q1682)&amp;""))</f>
        <v/>
      </c>
      <c r="F1682">
        <f>IF($Q1682="","",IF(ISNUMBER(INDEX(상세표[시작],$Q1682)),TEXT(INDEX(상세표[시작],$Q1682),"yyyy-mm-dd hh:mm"),INDEX(상세표[시작],$Q1682)&amp;""))</f>
        <v/>
      </c>
      <c r="G1682">
        <f>IF($Q1682="","",IF(ISNUMBER(INDEX(상세표[블록종료],$Q1682)),TEXT(INDEX(상세표[블록종료],$Q1682),"yyyy-mm-dd hh:mm"),INDEX(상세표[블록종료],$Q1682)&amp;""))</f>
        <v/>
      </c>
      <c r="H1682">
        <f>IF($Q1682="","",CHOOSE(WEEKDAY(INDEX(상세표[시작],$Q1682)),"일","월","화","수","목","금","토"))</f>
        <v/>
      </c>
      <c r="I1682" s="20">
        <f>IF($Q1682="","",INDEX(상세표[연속 시간],$Q1682))</f>
        <v/>
      </c>
      <c r="J1682">
        <f>IF($Q1682="","",INDEX(상세표[기록 수],$Q1682))</f>
        <v/>
      </c>
      <c r="K1682" s="20">
        <f>IF($Q1682="","",INDEX(상세표[블록 06~07시],$Q1682))</f>
        <v/>
      </c>
      <c r="L1682" s="20">
        <f>IF($Q1682="","",INDEX(상세표[블록 07~18시],$Q1682))</f>
        <v/>
      </c>
      <c r="M1682" s="20">
        <f>IF($Q1682="","",INDEX(상세표[블록 18~22시],$Q1682))</f>
        <v/>
      </c>
      <c r="N1682" s="20">
        <f>IF($Q1682="","",INDEX(상세표[블록 22~06시],$Q1682))</f>
        <v/>
      </c>
      <c r="O1682">
        <f>IF($Q1682="","",INDEX(상세표[주말·휴일 포함],$Q1682)&amp;"")</f>
        <v/>
      </c>
      <c r="P1682">
        <f>IF($Q1682="","",INDEX(상세표[월 넘김 포함],$Q1682)&amp;"")</f>
        <v/>
      </c>
      <c r="Q1682" s="4">
        <f>IFERROR(MATCH(1677,상세표[연속순번],0),"")</f>
        <v/>
      </c>
    </row>
    <row r="1683">
      <c r="A1683">
        <f>IF($Q1683="","",INDEX(상세표[부서],$Q1683)&amp;"")</f>
        <v/>
      </c>
      <c r="B1683">
        <f>IF($Q1683="","",INDEX(상세표[사번],$Q1683)&amp;"")</f>
        <v/>
      </c>
      <c r="C1683">
        <f>IF($Q1683="","",INDEX(상세표[성명],$Q1683)&amp;"")</f>
        <v/>
      </c>
      <c r="D1683">
        <f>IF($Q1683="","",INDEX(상세표[직위],$Q1683)&amp;"")</f>
        <v/>
      </c>
      <c r="E1683">
        <f>IF($Q1683="","",IF(ISNUMBER(INDEX(상세표[근무일자],$Q1683)),TEXT(INDEX(상세표[근무일자],$Q1683),"yyyy-mm-dd"),INDEX(상세표[근무일자],$Q1683)&amp;""))</f>
        <v/>
      </c>
      <c r="F1683">
        <f>IF($Q1683="","",IF(ISNUMBER(INDEX(상세표[시작],$Q1683)),TEXT(INDEX(상세표[시작],$Q1683),"yyyy-mm-dd hh:mm"),INDEX(상세표[시작],$Q1683)&amp;""))</f>
        <v/>
      </c>
      <c r="G1683">
        <f>IF($Q1683="","",IF(ISNUMBER(INDEX(상세표[블록종료],$Q1683)),TEXT(INDEX(상세표[블록종료],$Q1683),"yyyy-mm-dd hh:mm"),INDEX(상세표[블록종료],$Q1683)&amp;""))</f>
        <v/>
      </c>
      <c r="H1683">
        <f>IF($Q1683="","",CHOOSE(WEEKDAY(INDEX(상세표[시작],$Q1683)),"일","월","화","수","목","금","토"))</f>
        <v/>
      </c>
      <c r="I1683" s="20">
        <f>IF($Q1683="","",INDEX(상세표[연속 시간],$Q1683))</f>
        <v/>
      </c>
      <c r="J1683">
        <f>IF($Q1683="","",INDEX(상세표[기록 수],$Q1683))</f>
        <v/>
      </c>
      <c r="K1683" s="20">
        <f>IF($Q1683="","",INDEX(상세표[블록 06~07시],$Q1683))</f>
        <v/>
      </c>
      <c r="L1683" s="20">
        <f>IF($Q1683="","",INDEX(상세표[블록 07~18시],$Q1683))</f>
        <v/>
      </c>
      <c r="M1683" s="20">
        <f>IF($Q1683="","",INDEX(상세표[블록 18~22시],$Q1683))</f>
        <v/>
      </c>
      <c r="N1683" s="20">
        <f>IF($Q1683="","",INDEX(상세표[블록 22~06시],$Q1683))</f>
        <v/>
      </c>
      <c r="O1683">
        <f>IF($Q1683="","",INDEX(상세표[주말·휴일 포함],$Q1683)&amp;"")</f>
        <v/>
      </c>
      <c r="P1683">
        <f>IF($Q1683="","",INDEX(상세표[월 넘김 포함],$Q1683)&amp;"")</f>
        <v/>
      </c>
      <c r="Q1683" s="4">
        <f>IFERROR(MATCH(1678,상세표[연속순번],0),"")</f>
        <v/>
      </c>
    </row>
    <row r="1684">
      <c r="A1684">
        <f>IF($Q1684="","",INDEX(상세표[부서],$Q1684)&amp;"")</f>
        <v/>
      </c>
      <c r="B1684">
        <f>IF($Q1684="","",INDEX(상세표[사번],$Q1684)&amp;"")</f>
        <v/>
      </c>
      <c r="C1684">
        <f>IF($Q1684="","",INDEX(상세표[성명],$Q1684)&amp;"")</f>
        <v/>
      </c>
      <c r="D1684">
        <f>IF($Q1684="","",INDEX(상세표[직위],$Q1684)&amp;"")</f>
        <v/>
      </c>
      <c r="E1684">
        <f>IF($Q1684="","",IF(ISNUMBER(INDEX(상세표[근무일자],$Q1684)),TEXT(INDEX(상세표[근무일자],$Q1684),"yyyy-mm-dd"),INDEX(상세표[근무일자],$Q1684)&amp;""))</f>
        <v/>
      </c>
      <c r="F1684">
        <f>IF($Q1684="","",IF(ISNUMBER(INDEX(상세표[시작],$Q1684)),TEXT(INDEX(상세표[시작],$Q1684),"yyyy-mm-dd hh:mm"),INDEX(상세표[시작],$Q1684)&amp;""))</f>
        <v/>
      </c>
      <c r="G1684">
        <f>IF($Q1684="","",IF(ISNUMBER(INDEX(상세표[블록종료],$Q1684)),TEXT(INDEX(상세표[블록종료],$Q1684),"yyyy-mm-dd hh:mm"),INDEX(상세표[블록종료],$Q1684)&amp;""))</f>
        <v/>
      </c>
      <c r="H1684">
        <f>IF($Q1684="","",CHOOSE(WEEKDAY(INDEX(상세표[시작],$Q1684)),"일","월","화","수","목","금","토"))</f>
        <v/>
      </c>
      <c r="I1684" s="20">
        <f>IF($Q1684="","",INDEX(상세표[연속 시간],$Q1684))</f>
        <v/>
      </c>
      <c r="J1684">
        <f>IF($Q1684="","",INDEX(상세표[기록 수],$Q1684))</f>
        <v/>
      </c>
      <c r="K1684" s="20">
        <f>IF($Q1684="","",INDEX(상세표[블록 06~07시],$Q1684))</f>
        <v/>
      </c>
      <c r="L1684" s="20">
        <f>IF($Q1684="","",INDEX(상세표[블록 07~18시],$Q1684))</f>
        <v/>
      </c>
      <c r="M1684" s="20">
        <f>IF($Q1684="","",INDEX(상세표[블록 18~22시],$Q1684))</f>
        <v/>
      </c>
      <c r="N1684" s="20">
        <f>IF($Q1684="","",INDEX(상세표[블록 22~06시],$Q1684))</f>
        <v/>
      </c>
      <c r="O1684">
        <f>IF($Q1684="","",INDEX(상세표[주말·휴일 포함],$Q1684)&amp;"")</f>
        <v/>
      </c>
      <c r="P1684">
        <f>IF($Q1684="","",INDEX(상세표[월 넘김 포함],$Q1684)&amp;"")</f>
        <v/>
      </c>
      <c r="Q1684" s="4">
        <f>IFERROR(MATCH(1679,상세표[연속순번],0),"")</f>
        <v/>
      </c>
    </row>
    <row r="1685">
      <c r="A1685">
        <f>IF($Q1685="","",INDEX(상세표[부서],$Q1685)&amp;"")</f>
        <v/>
      </c>
      <c r="B1685">
        <f>IF($Q1685="","",INDEX(상세표[사번],$Q1685)&amp;"")</f>
        <v/>
      </c>
      <c r="C1685">
        <f>IF($Q1685="","",INDEX(상세표[성명],$Q1685)&amp;"")</f>
        <v/>
      </c>
      <c r="D1685">
        <f>IF($Q1685="","",INDEX(상세표[직위],$Q1685)&amp;"")</f>
        <v/>
      </c>
      <c r="E1685">
        <f>IF($Q1685="","",IF(ISNUMBER(INDEX(상세표[근무일자],$Q1685)),TEXT(INDEX(상세표[근무일자],$Q1685),"yyyy-mm-dd"),INDEX(상세표[근무일자],$Q1685)&amp;""))</f>
        <v/>
      </c>
      <c r="F1685">
        <f>IF($Q1685="","",IF(ISNUMBER(INDEX(상세표[시작],$Q1685)),TEXT(INDEX(상세표[시작],$Q1685),"yyyy-mm-dd hh:mm"),INDEX(상세표[시작],$Q1685)&amp;""))</f>
        <v/>
      </c>
      <c r="G1685">
        <f>IF($Q1685="","",IF(ISNUMBER(INDEX(상세표[블록종료],$Q1685)),TEXT(INDEX(상세표[블록종료],$Q1685),"yyyy-mm-dd hh:mm"),INDEX(상세표[블록종료],$Q1685)&amp;""))</f>
        <v/>
      </c>
      <c r="H1685">
        <f>IF($Q1685="","",CHOOSE(WEEKDAY(INDEX(상세표[시작],$Q1685)),"일","월","화","수","목","금","토"))</f>
        <v/>
      </c>
      <c r="I1685" s="20">
        <f>IF($Q1685="","",INDEX(상세표[연속 시간],$Q1685))</f>
        <v/>
      </c>
      <c r="J1685">
        <f>IF($Q1685="","",INDEX(상세표[기록 수],$Q1685))</f>
        <v/>
      </c>
      <c r="K1685" s="20">
        <f>IF($Q1685="","",INDEX(상세표[블록 06~07시],$Q1685))</f>
        <v/>
      </c>
      <c r="L1685" s="20">
        <f>IF($Q1685="","",INDEX(상세표[블록 07~18시],$Q1685))</f>
        <v/>
      </c>
      <c r="M1685" s="20">
        <f>IF($Q1685="","",INDEX(상세표[블록 18~22시],$Q1685))</f>
        <v/>
      </c>
      <c r="N1685" s="20">
        <f>IF($Q1685="","",INDEX(상세표[블록 22~06시],$Q1685))</f>
        <v/>
      </c>
      <c r="O1685">
        <f>IF($Q1685="","",INDEX(상세표[주말·휴일 포함],$Q1685)&amp;"")</f>
        <v/>
      </c>
      <c r="P1685">
        <f>IF($Q1685="","",INDEX(상세표[월 넘김 포함],$Q1685)&amp;"")</f>
        <v/>
      </c>
      <c r="Q1685" s="4">
        <f>IFERROR(MATCH(1680,상세표[연속순번],0),"")</f>
        <v/>
      </c>
    </row>
    <row r="1686">
      <c r="A1686">
        <f>IF($Q1686="","",INDEX(상세표[부서],$Q1686)&amp;"")</f>
        <v/>
      </c>
      <c r="B1686">
        <f>IF($Q1686="","",INDEX(상세표[사번],$Q1686)&amp;"")</f>
        <v/>
      </c>
      <c r="C1686">
        <f>IF($Q1686="","",INDEX(상세표[성명],$Q1686)&amp;"")</f>
        <v/>
      </c>
      <c r="D1686">
        <f>IF($Q1686="","",INDEX(상세표[직위],$Q1686)&amp;"")</f>
        <v/>
      </c>
      <c r="E1686">
        <f>IF($Q1686="","",IF(ISNUMBER(INDEX(상세표[근무일자],$Q1686)),TEXT(INDEX(상세표[근무일자],$Q1686),"yyyy-mm-dd"),INDEX(상세표[근무일자],$Q1686)&amp;""))</f>
        <v/>
      </c>
      <c r="F1686">
        <f>IF($Q1686="","",IF(ISNUMBER(INDEX(상세표[시작],$Q1686)),TEXT(INDEX(상세표[시작],$Q1686),"yyyy-mm-dd hh:mm"),INDEX(상세표[시작],$Q1686)&amp;""))</f>
        <v/>
      </c>
      <c r="G1686">
        <f>IF($Q1686="","",IF(ISNUMBER(INDEX(상세표[블록종료],$Q1686)),TEXT(INDEX(상세표[블록종료],$Q1686),"yyyy-mm-dd hh:mm"),INDEX(상세표[블록종료],$Q1686)&amp;""))</f>
        <v/>
      </c>
      <c r="H1686">
        <f>IF($Q1686="","",CHOOSE(WEEKDAY(INDEX(상세표[시작],$Q1686)),"일","월","화","수","목","금","토"))</f>
        <v/>
      </c>
      <c r="I1686" s="20">
        <f>IF($Q1686="","",INDEX(상세표[연속 시간],$Q1686))</f>
        <v/>
      </c>
      <c r="J1686">
        <f>IF($Q1686="","",INDEX(상세표[기록 수],$Q1686))</f>
        <v/>
      </c>
      <c r="K1686" s="20">
        <f>IF($Q1686="","",INDEX(상세표[블록 06~07시],$Q1686))</f>
        <v/>
      </c>
      <c r="L1686" s="20">
        <f>IF($Q1686="","",INDEX(상세표[블록 07~18시],$Q1686))</f>
        <v/>
      </c>
      <c r="M1686" s="20">
        <f>IF($Q1686="","",INDEX(상세표[블록 18~22시],$Q1686))</f>
        <v/>
      </c>
      <c r="N1686" s="20">
        <f>IF($Q1686="","",INDEX(상세표[블록 22~06시],$Q1686))</f>
        <v/>
      </c>
      <c r="O1686">
        <f>IF($Q1686="","",INDEX(상세표[주말·휴일 포함],$Q1686)&amp;"")</f>
        <v/>
      </c>
      <c r="P1686">
        <f>IF($Q1686="","",INDEX(상세표[월 넘김 포함],$Q1686)&amp;"")</f>
        <v/>
      </c>
      <c r="Q1686" s="4">
        <f>IFERROR(MATCH(1681,상세표[연속순번],0),"")</f>
        <v/>
      </c>
    </row>
    <row r="1687">
      <c r="A1687">
        <f>IF($Q1687="","",INDEX(상세표[부서],$Q1687)&amp;"")</f>
        <v/>
      </c>
      <c r="B1687">
        <f>IF($Q1687="","",INDEX(상세표[사번],$Q1687)&amp;"")</f>
        <v/>
      </c>
      <c r="C1687">
        <f>IF($Q1687="","",INDEX(상세표[성명],$Q1687)&amp;"")</f>
        <v/>
      </c>
      <c r="D1687">
        <f>IF($Q1687="","",INDEX(상세표[직위],$Q1687)&amp;"")</f>
        <v/>
      </c>
      <c r="E1687">
        <f>IF($Q1687="","",IF(ISNUMBER(INDEX(상세표[근무일자],$Q1687)),TEXT(INDEX(상세표[근무일자],$Q1687),"yyyy-mm-dd"),INDEX(상세표[근무일자],$Q1687)&amp;""))</f>
        <v/>
      </c>
      <c r="F1687">
        <f>IF($Q1687="","",IF(ISNUMBER(INDEX(상세표[시작],$Q1687)),TEXT(INDEX(상세표[시작],$Q1687),"yyyy-mm-dd hh:mm"),INDEX(상세표[시작],$Q1687)&amp;""))</f>
        <v/>
      </c>
      <c r="G1687">
        <f>IF($Q1687="","",IF(ISNUMBER(INDEX(상세표[블록종료],$Q1687)),TEXT(INDEX(상세표[블록종료],$Q1687),"yyyy-mm-dd hh:mm"),INDEX(상세표[블록종료],$Q1687)&amp;""))</f>
        <v/>
      </c>
      <c r="H1687">
        <f>IF($Q1687="","",CHOOSE(WEEKDAY(INDEX(상세표[시작],$Q1687)),"일","월","화","수","목","금","토"))</f>
        <v/>
      </c>
      <c r="I1687" s="20">
        <f>IF($Q1687="","",INDEX(상세표[연속 시간],$Q1687))</f>
        <v/>
      </c>
      <c r="J1687">
        <f>IF($Q1687="","",INDEX(상세표[기록 수],$Q1687))</f>
        <v/>
      </c>
      <c r="K1687" s="20">
        <f>IF($Q1687="","",INDEX(상세표[블록 06~07시],$Q1687))</f>
        <v/>
      </c>
      <c r="L1687" s="20">
        <f>IF($Q1687="","",INDEX(상세표[블록 07~18시],$Q1687))</f>
        <v/>
      </c>
      <c r="M1687" s="20">
        <f>IF($Q1687="","",INDEX(상세표[블록 18~22시],$Q1687))</f>
        <v/>
      </c>
      <c r="N1687" s="20">
        <f>IF($Q1687="","",INDEX(상세표[블록 22~06시],$Q1687))</f>
        <v/>
      </c>
      <c r="O1687">
        <f>IF($Q1687="","",INDEX(상세표[주말·휴일 포함],$Q1687)&amp;"")</f>
        <v/>
      </c>
      <c r="P1687">
        <f>IF($Q1687="","",INDEX(상세표[월 넘김 포함],$Q1687)&amp;"")</f>
        <v/>
      </c>
      <c r="Q1687" s="4">
        <f>IFERROR(MATCH(1682,상세표[연속순번],0),"")</f>
        <v/>
      </c>
    </row>
    <row r="1688">
      <c r="A1688">
        <f>IF($Q1688="","",INDEX(상세표[부서],$Q1688)&amp;"")</f>
        <v/>
      </c>
      <c r="B1688">
        <f>IF($Q1688="","",INDEX(상세표[사번],$Q1688)&amp;"")</f>
        <v/>
      </c>
      <c r="C1688">
        <f>IF($Q1688="","",INDEX(상세표[성명],$Q1688)&amp;"")</f>
        <v/>
      </c>
      <c r="D1688">
        <f>IF($Q1688="","",INDEX(상세표[직위],$Q1688)&amp;"")</f>
        <v/>
      </c>
      <c r="E1688">
        <f>IF($Q1688="","",IF(ISNUMBER(INDEX(상세표[근무일자],$Q1688)),TEXT(INDEX(상세표[근무일자],$Q1688),"yyyy-mm-dd"),INDEX(상세표[근무일자],$Q1688)&amp;""))</f>
        <v/>
      </c>
      <c r="F1688">
        <f>IF($Q1688="","",IF(ISNUMBER(INDEX(상세표[시작],$Q1688)),TEXT(INDEX(상세표[시작],$Q1688),"yyyy-mm-dd hh:mm"),INDEX(상세표[시작],$Q1688)&amp;""))</f>
        <v/>
      </c>
      <c r="G1688">
        <f>IF($Q1688="","",IF(ISNUMBER(INDEX(상세표[블록종료],$Q1688)),TEXT(INDEX(상세표[블록종료],$Q1688),"yyyy-mm-dd hh:mm"),INDEX(상세표[블록종료],$Q1688)&amp;""))</f>
        <v/>
      </c>
      <c r="H1688">
        <f>IF($Q1688="","",CHOOSE(WEEKDAY(INDEX(상세표[시작],$Q1688)),"일","월","화","수","목","금","토"))</f>
        <v/>
      </c>
      <c r="I1688" s="20">
        <f>IF($Q1688="","",INDEX(상세표[연속 시간],$Q1688))</f>
        <v/>
      </c>
      <c r="J1688">
        <f>IF($Q1688="","",INDEX(상세표[기록 수],$Q1688))</f>
        <v/>
      </c>
      <c r="K1688" s="20">
        <f>IF($Q1688="","",INDEX(상세표[블록 06~07시],$Q1688))</f>
        <v/>
      </c>
      <c r="L1688" s="20">
        <f>IF($Q1688="","",INDEX(상세표[블록 07~18시],$Q1688))</f>
        <v/>
      </c>
      <c r="M1688" s="20">
        <f>IF($Q1688="","",INDEX(상세표[블록 18~22시],$Q1688))</f>
        <v/>
      </c>
      <c r="N1688" s="20">
        <f>IF($Q1688="","",INDEX(상세표[블록 22~06시],$Q1688))</f>
        <v/>
      </c>
      <c r="O1688">
        <f>IF($Q1688="","",INDEX(상세표[주말·휴일 포함],$Q1688)&amp;"")</f>
        <v/>
      </c>
      <c r="P1688">
        <f>IF($Q1688="","",INDEX(상세표[월 넘김 포함],$Q1688)&amp;"")</f>
        <v/>
      </c>
      <c r="Q1688" s="4">
        <f>IFERROR(MATCH(1683,상세표[연속순번],0),"")</f>
        <v/>
      </c>
    </row>
    <row r="1689">
      <c r="A1689">
        <f>IF($Q1689="","",INDEX(상세표[부서],$Q1689)&amp;"")</f>
        <v/>
      </c>
      <c r="B1689">
        <f>IF($Q1689="","",INDEX(상세표[사번],$Q1689)&amp;"")</f>
        <v/>
      </c>
      <c r="C1689">
        <f>IF($Q1689="","",INDEX(상세표[성명],$Q1689)&amp;"")</f>
        <v/>
      </c>
      <c r="D1689">
        <f>IF($Q1689="","",INDEX(상세표[직위],$Q1689)&amp;"")</f>
        <v/>
      </c>
      <c r="E1689">
        <f>IF($Q1689="","",IF(ISNUMBER(INDEX(상세표[근무일자],$Q1689)),TEXT(INDEX(상세표[근무일자],$Q1689),"yyyy-mm-dd"),INDEX(상세표[근무일자],$Q1689)&amp;""))</f>
        <v/>
      </c>
      <c r="F1689">
        <f>IF($Q1689="","",IF(ISNUMBER(INDEX(상세표[시작],$Q1689)),TEXT(INDEX(상세표[시작],$Q1689),"yyyy-mm-dd hh:mm"),INDEX(상세표[시작],$Q1689)&amp;""))</f>
        <v/>
      </c>
      <c r="G1689">
        <f>IF($Q1689="","",IF(ISNUMBER(INDEX(상세표[블록종료],$Q1689)),TEXT(INDEX(상세표[블록종료],$Q1689),"yyyy-mm-dd hh:mm"),INDEX(상세표[블록종료],$Q1689)&amp;""))</f>
        <v/>
      </c>
      <c r="H1689">
        <f>IF($Q1689="","",CHOOSE(WEEKDAY(INDEX(상세표[시작],$Q1689)),"일","월","화","수","목","금","토"))</f>
        <v/>
      </c>
      <c r="I1689" s="20">
        <f>IF($Q1689="","",INDEX(상세표[연속 시간],$Q1689))</f>
        <v/>
      </c>
      <c r="J1689">
        <f>IF($Q1689="","",INDEX(상세표[기록 수],$Q1689))</f>
        <v/>
      </c>
      <c r="K1689" s="20">
        <f>IF($Q1689="","",INDEX(상세표[블록 06~07시],$Q1689))</f>
        <v/>
      </c>
      <c r="L1689" s="20">
        <f>IF($Q1689="","",INDEX(상세표[블록 07~18시],$Q1689))</f>
        <v/>
      </c>
      <c r="M1689" s="20">
        <f>IF($Q1689="","",INDEX(상세표[블록 18~22시],$Q1689))</f>
        <v/>
      </c>
      <c r="N1689" s="20">
        <f>IF($Q1689="","",INDEX(상세표[블록 22~06시],$Q1689))</f>
        <v/>
      </c>
      <c r="O1689">
        <f>IF($Q1689="","",INDEX(상세표[주말·휴일 포함],$Q1689)&amp;"")</f>
        <v/>
      </c>
      <c r="P1689">
        <f>IF($Q1689="","",INDEX(상세표[월 넘김 포함],$Q1689)&amp;"")</f>
        <v/>
      </c>
      <c r="Q1689" s="4">
        <f>IFERROR(MATCH(1684,상세표[연속순번],0),"")</f>
        <v/>
      </c>
    </row>
    <row r="1690">
      <c r="A1690">
        <f>IF($Q1690="","",INDEX(상세표[부서],$Q1690)&amp;"")</f>
        <v/>
      </c>
      <c r="B1690">
        <f>IF($Q1690="","",INDEX(상세표[사번],$Q1690)&amp;"")</f>
        <v/>
      </c>
      <c r="C1690">
        <f>IF($Q1690="","",INDEX(상세표[성명],$Q1690)&amp;"")</f>
        <v/>
      </c>
      <c r="D1690">
        <f>IF($Q1690="","",INDEX(상세표[직위],$Q1690)&amp;"")</f>
        <v/>
      </c>
      <c r="E1690">
        <f>IF($Q1690="","",IF(ISNUMBER(INDEX(상세표[근무일자],$Q1690)),TEXT(INDEX(상세표[근무일자],$Q1690),"yyyy-mm-dd"),INDEX(상세표[근무일자],$Q1690)&amp;""))</f>
        <v/>
      </c>
      <c r="F1690">
        <f>IF($Q1690="","",IF(ISNUMBER(INDEX(상세표[시작],$Q1690)),TEXT(INDEX(상세표[시작],$Q1690),"yyyy-mm-dd hh:mm"),INDEX(상세표[시작],$Q1690)&amp;""))</f>
        <v/>
      </c>
      <c r="G1690">
        <f>IF($Q1690="","",IF(ISNUMBER(INDEX(상세표[블록종료],$Q1690)),TEXT(INDEX(상세표[블록종료],$Q1690),"yyyy-mm-dd hh:mm"),INDEX(상세표[블록종료],$Q1690)&amp;""))</f>
        <v/>
      </c>
      <c r="H1690">
        <f>IF($Q1690="","",CHOOSE(WEEKDAY(INDEX(상세표[시작],$Q1690)),"일","월","화","수","목","금","토"))</f>
        <v/>
      </c>
      <c r="I1690" s="20">
        <f>IF($Q1690="","",INDEX(상세표[연속 시간],$Q1690))</f>
        <v/>
      </c>
      <c r="J1690">
        <f>IF($Q1690="","",INDEX(상세표[기록 수],$Q1690))</f>
        <v/>
      </c>
      <c r="K1690" s="20">
        <f>IF($Q1690="","",INDEX(상세표[블록 06~07시],$Q1690))</f>
        <v/>
      </c>
      <c r="L1690" s="20">
        <f>IF($Q1690="","",INDEX(상세표[블록 07~18시],$Q1690))</f>
        <v/>
      </c>
      <c r="M1690" s="20">
        <f>IF($Q1690="","",INDEX(상세표[블록 18~22시],$Q1690))</f>
        <v/>
      </c>
      <c r="N1690" s="20">
        <f>IF($Q1690="","",INDEX(상세표[블록 22~06시],$Q1690))</f>
        <v/>
      </c>
      <c r="O1690">
        <f>IF($Q1690="","",INDEX(상세표[주말·휴일 포함],$Q1690)&amp;"")</f>
        <v/>
      </c>
      <c r="P1690">
        <f>IF($Q1690="","",INDEX(상세표[월 넘김 포함],$Q1690)&amp;"")</f>
        <v/>
      </c>
      <c r="Q1690" s="4">
        <f>IFERROR(MATCH(1685,상세표[연속순번],0),"")</f>
        <v/>
      </c>
    </row>
    <row r="1691">
      <c r="A1691">
        <f>IF($Q1691="","",INDEX(상세표[부서],$Q1691)&amp;"")</f>
        <v/>
      </c>
      <c r="B1691">
        <f>IF($Q1691="","",INDEX(상세표[사번],$Q1691)&amp;"")</f>
        <v/>
      </c>
      <c r="C1691">
        <f>IF($Q1691="","",INDEX(상세표[성명],$Q1691)&amp;"")</f>
        <v/>
      </c>
      <c r="D1691">
        <f>IF($Q1691="","",INDEX(상세표[직위],$Q1691)&amp;"")</f>
        <v/>
      </c>
      <c r="E1691">
        <f>IF($Q1691="","",IF(ISNUMBER(INDEX(상세표[근무일자],$Q1691)),TEXT(INDEX(상세표[근무일자],$Q1691),"yyyy-mm-dd"),INDEX(상세표[근무일자],$Q1691)&amp;""))</f>
        <v/>
      </c>
      <c r="F1691">
        <f>IF($Q1691="","",IF(ISNUMBER(INDEX(상세표[시작],$Q1691)),TEXT(INDEX(상세표[시작],$Q1691),"yyyy-mm-dd hh:mm"),INDEX(상세표[시작],$Q1691)&amp;""))</f>
        <v/>
      </c>
      <c r="G1691">
        <f>IF($Q1691="","",IF(ISNUMBER(INDEX(상세표[블록종료],$Q1691)),TEXT(INDEX(상세표[블록종료],$Q1691),"yyyy-mm-dd hh:mm"),INDEX(상세표[블록종료],$Q1691)&amp;""))</f>
        <v/>
      </c>
      <c r="H1691">
        <f>IF($Q1691="","",CHOOSE(WEEKDAY(INDEX(상세표[시작],$Q1691)),"일","월","화","수","목","금","토"))</f>
        <v/>
      </c>
      <c r="I1691" s="20">
        <f>IF($Q1691="","",INDEX(상세표[연속 시간],$Q1691))</f>
        <v/>
      </c>
      <c r="J1691">
        <f>IF($Q1691="","",INDEX(상세표[기록 수],$Q1691))</f>
        <v/>
      </c>
      <c r="K1691" s="20">
        <f>IF($Q1691="","",INDEX(상세표[블록 06~07시],$Q1691))</f>
        <v/>
      </c>
      <c r="L1691" s="20">
        <f>IF($Q1691="","",INDEX(상세표[블록 07~18시],$Q1691))</f>
        <v/>
      </c>
      <c r="M1691" s="20">
        <f>IF($Q1691="","",INDEX(상세표[블록 18~22시],$Q1691))</f>
        <v/>
      </c>
      <c r="N1691" s="20">
        <f>IF($Q1691="","",INDEX(상세표[블록 22~06시],$Q1691))</f>
        <v/>
      </c>
      <c r="O1691">
        <f>IF($Q1691="","",INDEX(상세표[주말·휴일 포함],$Q1691)&amp;"")</f>
        <v/>
      </c>
      <c r="P1691">
        <f>IF($Q1691="","",INDEX(상세표[월 넘김 포함],$Q1691)&amp;"")</f>
        <v/>
      </c>
      <c r="Q1691" s="4">
        <f>IFERROR(MATCH(1686,상세표[연속순번],0),"")</f>
        <v/>
      </c>
    </row>
    <row r="1692">
      <c r="A1692">
        <f>IF($Q1692="","",INDEX(상세표[부서],$Q1692)&amp;"")</f>
        <v/>
      </c>
      <c r="B1692">
        <f>IF($Q1692="","",INDEX(상세표[사번],$Q1692)&amp;"")</f>
        <v/>
      </c>
      <c r="C1692">
        <f>IF($Q1692="","",INDEX(상세표[성명],$Q1692)&amp;"")</f>
        <v/>
      </c>
      <c r="D1692">
        <f>IF($Q1692="","",INDEX(상세표[직위],$Q1692)&amp;"")</f>
        <v/>
      </c>
      <c r="E1692">
        <f>IF($Q1692="","",IF(ISNUMBER(INDEX(상세표[근무일자],$Q1692)),TEXT(INDEX(상세표[근무일자],$Q1692),"yyyy-mm-dd"),INDEX(상세표[근무일자],$Q1692)&amp;""))</f>
        <v/>
      </c>
      <c r="F1692">
        <f>IF($Q1692="","",IF(ISNUMBER(INDEX(상세표[시작],$Q1692)),TEXT(INDEX(상세표[시작],$Q1692),"yyyy-mm-dd hh:mm"),INDEX(상세표[시작],$Q1692)&amp;""))</f>
        <v/>
      </c>
      <c r="G1692">
        <f>IF($Q1692="","",IF(ISNUMBER(INDEX(상세표[블록종료],$Q1692)),TEXT(INDEX(상세표[블록종료],$Q1692),"yyyy-mm-dd hh:mm"),INDEX(상세표[블록종료],$Q1692)&amp;""))</f>
        <v/>
      </c>
      <c r="H1692">
        <f>IF($Q1692="","",CHOOSE(WEEKDAY(INDEX(상세표[시작],$Q1692)),"일","월","화","수","목","금","토"))</f>
        <v/>
      </c>
      <c r="I1692" s="20">
        <f>IF($Q1692="","",INDEX(상세표[연속 시간],$Q1692))</f>
        <v/>
      </c>
      <c r="J1692">
        <f>IF($Q1692="","",INDEX(상세표[기록 수],$Q1692))</f>
        <v/>
      </c>
      <c r="K1692" s="20">
        <f>IF($Q1692="","",INDEX(상세표[블록 06~07시],$Q1692))</f>
        <v/>
      </c>
      <c r="L1692" s="20">
        <f>IF($Q1692="","",INDEX(상세표[블록 07~18시],$Q1692))</f>
        <v/>
      </c>
      <c r="M1692" s="20">
        <f>IF($Q1692="","",INDEX(상세표[블록 18~22시],$Q1692))</f>
        <v/>
      </c>
      <c r="N1692" s="20">
        <f>IF($Q1692="","",INDEX(상세표[블록 22~06시],$Q1692))</f>
        <v/>
      </c>
      <c r="O1692">
        <f>IF($Q1692="","",INDEX(상세표[주말·휴일 포함],$Q1692)&amp;"")</f>
        <v/>
      </c>
      <c r="P1692">
        <f>IF($Q1692="","",INDEX(상세표[월 넘김 포함],$Q1692)&amp;"")</f>
        <v/>
      </c>
      <c r="Q1692" s="4">
        <f>IFERROR(MATCH(1687,상세표[연속순번],0),"")</f>
        <v/>
      </c>
    </row>
    <row r="1693">
      <c r="A1693">
        <f>IF($Q1693="","",INDEX(상세표[부서],$Q1693)&amp;"")</f>
        <v/>
      </c>
      <c r="B1693">
        <f>IF($Q1693="","",INDEX(상세표[사번],$Q1693)&amp;"")</f>
        <v/>
      </c>
      <c r="C1693">
        <f>IF($Q1693="","",INDEX(상세표[성명],$Q1693)&amp;"")</f>
        <v/>
      </c>
      <c r="D1693">
        <f>IF($Q1693="","",INDEX(상세표[직위],$Q1693)&amp;"")</f>
        <v/>
      </c>
      <c r="E1693">
        <f>IF($Q1693="","",IF(ISNUMBER(INDEX(상세표[근무일자],$Q1693)),TEXT(INDEX(상세표[근무일자],$Q1693),"yyyy-mm-dd"),INDEX(상세표[근무일자],$Q1693)&amp;""))</f>
        <v/>
      </c>
      <c r="F1693">
        <f>IF($Q1693="","",IF(ISNUMBER(INDEX(상세표[시작],$Q1693)),TEXT(INDEX(상세표[시작],$Q1693),"yyyy-mm-dd hh:mm"),INDEX(상세표[시작],$Q1693)&amp;""))</f>
        <v/>
      </c>
      <c r="G1693">
        <f>IF($Q1693="","",IF(ISNUMBER(INDEX(상세표[블록종료],$Q1693)),TEXT(INDEX(상세표[블록종료],$Q1693),"yyyy-mm-dd hh:mm"),INDEX(상세표[블록종료],$Q1693)&amp;""))</f>
        <v/>
      </c>
      <c r="H1693">
        <f>IF($Q1693="","",CHOOSE(WEEKDAY(INDEX(상세표[시작],$Q1693)),"일","월","화","수","목","금","토"))</f>
        <v/>
      </c>
      <c r="I1693" s="20">
        <f>IF($Q1693="","",INDEX(상세표[연속 시간],$Q1693))</f>
        <v/>
      </c>
      <c r="J1693">
        <f>IF($Q1693="","",INDEX(상세표[기록 수],$Q1693))</f>
        <v/>
      </c>
      <c r="K1693" s="20">
        <f>IF($Q1693="","",INDEX(상세표[블록 06~07시],$Q1693))</f>
        <v/>
      </c>
      <c r="L1693" s="20">
        <f>IF($Q1693="","",INDEX(상세표[블록 07~18시],$Q1693))</f>
        <v/>
      </c>
      <c r="M1693" s="20">
        <f>IF($Q1693="","",INDEX(상세표[블록 18~22시],$Q1693))</f>
        <v/>
      </c>
      <c r="N1693" s="20">
        <f>IF($Q1693="","",INDEX(상세표[블록 22~06시],$Q1693))</f>
        <v/>
      </c>
      <c r="O1693">
        <f>IF($Q1693="","",INDEX(상세표[주말·휴일 포함],$Q1693)&amp;"")</f>
        <v/>
      </c>
      <c r="P1693">
        <f>IF($Q1693="","",INDEX(상세표[월 넘김 포함],$Q1693)&amp;"")</f>
        <v/>
      </c>
      <c r="Q1693" s="4">
        <f>IFERROR(MATCH(1688,상세표[연속순번],0),"")</f>
        <v/>
      </c>
    </row>
    <row r="1694">
      <c r="A1694">
        <f>IF($Q1694="","",INDEX(상세표[부서],$Q1694)&amp;"")</f>
        <v/>
      </c>
      <c r="B1694">
        <f>IF($Q1694="","",INDEX(상세표[사번],$Q1694)&amp;"")</f>
        <v/>
      </c>
      <c r="C1694">
        <f>IF($Q1694="","",INDEX(상세표[성명],$Q1694)&amp;"")</f>
        <v/>
      </c>
      <c r="D1694">
        <f>IF($Q1694="","",INDEX(상세표[직위],$Q1694)&amp;"")</f>
        <v/>
      </c>
      <c r="E1694">
        <f>IF($Q1694="","",IF(ISNUMBER(INDEX(상세표[근무일자],$Q1694)),TEXT(INDEX(상세표[근무일자],$Q1694),"yyyy-mm-dd"),INDEX(상세표[근무일자],$Q1694)&amp;""))</f>
        <v/>
      </c>
      <c r="F1694">
        <f>IF($Q1694="","",IF(ISNUMBER(INDEX(상세표[시작],$Q1694)),TEXT(INDEX(상세표[시작],$Q1694),"yyyy-mm-dd hh:mm"),INDEX(상세표[시작],$Q1694)&amp;""))</f>
        <v/>
      </c>
      <c r="G1694">
        <f>IF($Q1694="","",IF(ISNUMBER(INDEX(상세표[블록종료],$Q1694)),TEXT(INDEX(상세표[블록종료],$Q1694),"yyyy-mm-dd hh:mm"),INDEX(상세표[블록종료],$Q1694)&amp;""))</f>
        <v/>
      </c>
      <c r="H1694">
        <f>IF($Q1694="","",CHOOSE(WEEKDAY(INDEX(상세표[시작],$Q1694)),"일","월","화","수","목","금","토"))</f>
        <v/>
      </c>
      <c r="I1694" s="20">
        <f>IF($Q1694="","",INDEX(상세표[연속 시간],$Q1694))</f>
        <v/>
      </c>
      <c r="J1694">
        <f>IF($Q1694="","",INDEX(상세표[기록 수],$Q1694))</f>
        <v/>
      </c>
      <c r="K1694" s="20">
        <f>IF($Q1694="","",INDEX(상세표[블록 06~07시],$Q1694))</f>
        <v/>
      </c>
      <c r="L1694" s="20">
        <f>IF($Q1694="","",INDEX(상세표[블록 07~18시],$Q1694))</f>
        <v/>
      </c>
      <c r="M1694" s="20">
        <f>IF($Q1694="","",INDEX(상세표[블록 18~22시],$Q1694))</f>
        <v/>
      </c>
      <c r="N1694" s="20">
        <f>IF($Q1694="","",INDEX(상세표[블록 22~06시],$Q1694))</f>
        <v/>
      </c>
      <c r="O1694">
        <f>IF($Q1694="","",INDEX(상세표[주말·휴일 포함],$Q1694)&amp;"")</f>
        <v/>
      </c>
      <c r="P1694">
        <f>IF($Q1694="","",INDEX(상세표[월 넘김 포함],$Q1694)&amp;"")</f>
        <v/>
      </c>
      <c r="Q1694" s="4">
        <f>IFERROR(MATCH(1689,상세표[연속순번],0),"")</f>
        <v/>
      </c>
    </row>
    <row r="1695">
      <c r="A1695">
        <f>IF($Q1695="","",INDEX(상세표[부서],$Q1695)&amp;"")</f>
        <v/>
      </c>
      <c r="B1695">
        <f>IF($Q1695="","",INDEX(상세표[사번],$Q1695)&amp;"")</f>
        <v/>
      </c>
      <c r="C1695">
        <f>IF($Q1695="","",INDEX(상세표[성명],$Q1695)&amp;"")</f>
        <v/>
      </c>
      <c r="D1695">
        <f>IF($Q1695="","",INDEX(상세표[직위],$Q1695)&amp;"")</f>
        <v/>
      </c>
      <c r="E1695">
        <f>IF($Q1695="","",IF(ISNUMBER(INDEX(상세표[근무일자],$Q1695)),TEXT(INDEX(상세표[근무일자],$Q1695),"yyyy-mm-dd"),INDEX(상세표[근무일자],$Q1695)&amp;""))</f>
        <v/>
      </c>
      <c r="F1695">
        <f>IF($Q1695="","",IF(ISNUMBER(INDEX(상세표[시작],$Q1695)),TEXT(INDEX(상세표[시작],$Q1695),"yyyy-mm-dd hh:mm"),INDEX(상세표[시작],$Q1695)&amp;""))</f>
        <v/>
      </c>
      <c r="G1695">
        <f>IF($Q1695="","",IF(ISNUMBER(INDEX(상세표[블록종료],$Q1695)),TEXT(INDEX(상세표[블록종료],$Q1695),"yyyy-mm-dd hh:mm"),INDEX(상세표[블록종료],$Q1695)&amp;""))</f>
        <v/>
      </c>
      <c r="H1695">
        <f>IF($Q1695="","",CHOOSE(WEEKDAY(INDEX(상세표[시작],$Q1695)),"일","월","화","수","목","금","토"))</f>
        <v/>
      </c>
      <c r="I1695" s="20">
        <f>IF($Q1695="","",INDEX(상세표[연속 시간],$Q1695))</f>
        <v/>
      </c>
      <c r="J1695">
        <f>IF($Q1695="","",INDEX(상세표[기록 수],$Q1695))</f>
        <v/>
      </c>
      <c r="K1695" s="20">
        <f>IF($Q1695="","",INDEX(상세표[블록 06~07시],$Q1695))</f>
        <v/>
      </c>
      <c r="L1695" s="20">
        <f>IF($Q1695="","",INDEX(상세표[블록 07~18시],$Q1695))</f>
        <v/>
      </c>
      <c r="M1695" s="20">
        <f>IF($Q1695="","",INDEX(상세표[블록 18~22시],$Q1695))</f>
        <v/>
      </c>
      <c r="N1695" s="20">
        <f>IF($Q1695="","",INDEX(상세표[블록 22~06시],$Q1695))</f>
        <v/>
      </c>
      <c r="O1695">
        <f>IF($Q1695="","",INDEX(상세표[주말·휴일 포함],$Q1695)&amp;"")</f>
        <v/>
      </c>
      <c r="P1695">
        <f>IF($Q1695="","",INDEX(상세표[월 넘김 포함],$Q1695)&amp;"")</f>
        <v/>
      </c>
      <c r="Q1695" s="4">
        <f>IFERROR(MATCH(1690,상세표[연속순번],0),"")</f>
        <v/>
      </c>
    </row>
    <row r="1696">
      <c r="A1696">
        <f>IF($Q1696="","",INDEX(상세표[부서],$Q1696)&amp;"")</f>
        <v/>
      </c>
      <c r="B1696">
        <f>IF($Q1696="","",INDEX(상세표[사번],$Q1696)&amp;"")</f>
        <v/>
      </c>
      <c r="C1696">
        <f>IF($Q1696="","",INDEX(상세표[성명],$Q1696)&amp;"")</f>
        <v/>
      </c>
      <c r="D1696">
        <f>IF($Q1696="","",INDEX(상세표[직위],$Q1696)&amp;"")</f>
        <v/>
      </c>
      <c r="E1696">
        <f>IF($Q1696="","",IF(ISNUMBER(INDEX(상세표[근무일자],$Q1696)),TEXT(INDEX(상세표[근무일자],$Q1696),"yyyy-mm-dd"),INDEX(상세표[근무일자],$Q1696)&amp;""))</f>
        <v/>
      </c>
      <c r="F1696">
        <f>IF($Q1696="","",IF(ISNUMBER(INDEX(상세표[시작],$Q1696)),TEXT(INDEX(상세표[시작],$Q1696),"yyyy-mm-dd hh:mm"),INDEX(상세표[시작],$Q1696)&amp;""))</f>
        <v/>
      </c>
      <c r="G1696">
        <f>IF($Q1696="","",IF(ISNUMBER(INDEX(상세표[블록종료],$Q1696)),TEXT(INDEX(상세표[블록종료],$Q1696),"yyyy-mm-dd hh:mm"),INDEX(상세표[블록종료],$Q1696)&amp;""))</f>
        <v/>
      </c>
      <c r="H1696">
        <f>IF($Q1696="","",CHOOSE(WEEKDAY(INDEX(상세표[시작],$Q1696)),"일","월","화","수","목","금","토"))</f>
        <v/>
      </c>
      <c r="I1696" s="20">
        <f>IF($Q1696="","",INDEX(상세표[연속 시간],$Q1696))</f>
        <v/>
      </c>
      <c r="J1696">
        <f>IF($Q1696="","",INDEX(상세표[기록 수],$Q1696))</f>
        <v/>
      </c>
      <c r="K1696" s="20">
        <f>IF($Q1696="","",INDEX(상세표[블록 06~07시],$Q1696))</f>
        <v/>
      </c>
      <c r="L1696" s="20">
        <f>IF($Q1696="","",INDEX(상세표[블록 07~18시],$Q1696))</f>
        <v/>
      </c>
      <c r="M1696" s="20">
        <f>IF($Q1696="","",INDEX(상세표[블록 18~22시],$Q1696))</f>
        <v/>
      </c>
      <c r="N1696" s="20">
        <f>IF($Q1696="","",INDEX(상세표[블록 22~06시],$Q1696))</f>
        <v/>
      </c>
      <c r="O1696">
        <f>IF($Q1696="","",INDEX(상세표[주말·휴일 포함],$Q1696)&amp;"")</f>
        <v/>
      </c>
      <c r="P1696">
        <f>IF($Q1696="","",INDEX(상세표[월 넘김 포함],$Q1696)&amp;"")</f>
        <v/>
      </c>
      <c r="Q1696" s="4">
        <f>IFERROR(MATCH(1691,상세표[연속순번],0),"")</f>
        <v/>
      </c>
    </row>
    <row r="1697">
      <c r="A1697">
        <f>IF($Q1697="","",INDEX(상세표[부서],$Q1697)&amp;"")</f>
        <v/>
      </c>
      <c r="B1697">
        <f>IF($Q1697="","",INDEX(상세표[사번],$Q1697)&amp;"")</f>
        <v/>
      </c>
      <c r="C1697">
        <f>IF($Q1697="","",INDEX(상세표[성명],$Q1697)&amp;"")</f>
        <v/>
      </c>
      <c r="D1697">
        <f>IF($Q1697="","",INDEX(상세표[직위],$Q1697)&amp;"")</f>
        <v/>
      </c>
      <c r="E1697">
        <f>IF($Q1697="","",IF(ISNUMBER(INDEX(상세표[근무일자],$Q1697)),TEXT(INDEX(상세표[근무일자],$Q1697),"yyyy-mm-dd"),INDEX(상세표[근무일자],$Q1697)&amp;""))</f>
        <v/>
      </c>
      <c r="F1697">
        <f>IF($Q1697="","",IF(ISNUMBER(INDEX(상세표[시작],$Q1697)),TEXT(INDEX(상세표[시작],$Q1697),"yyyy-mm-dd hh:mm"),INDEX(상세표[시작],$Q1697)&amp;""))</f>
        <v/>
      </c>
      <c r="G1697">
        <f>IF($Q1697="","",IF(ISNUMBER(INDEX(상세표[블록종료],$Q1697)),TEXT(INDEX(상세표[블록종료],$Q1697),"yyyy-mm-dd hh:mm"),INDEX(상세표[블록종료],$Q1697)&amp;""))</f>
        <v/>
      </c>
      <c r="H1697">
        <f>IF($Q1697="","",CHOOSE(WEEKDAY(INDEX(상세표[시작],$Q1697)),"일","월","화","수","목","금","토"))</f>
        <v/>
      </c>
      <c r="I1697" s="20">
        <f>IF($Q1697="","",INDEX(상세표[연속 시간],$Q1697))</f>
        <v/>
      </c>
      <c r="J1697">
        <f>IF($Q1697="","",INDEX(상세표[기록 수],$Q1697))</f>
        <v/>
      </c>
      <c r="K1697" s="20">
        <f>IF($Q1697="","",INDEX(상세표[블록 06~07시],$Q1697))</f>
        <v/>
      </c>
      <c r="L1697" s="20">
        <f>IF($Q1697="","",INDEX(상세표[블록 07~18시],$Q1697))</f>
        <v/>
      </c>
      <c r="M1697" s="20">
        <f>IF($Q1697="","",INDEX(상세표[블록 18~22시],$Q1697))</f>
        <v/>
      </c>
      <c r="N1697" s="20">
        <f>IF($Q1697="","",INDEX(상세표[블록 22~06시],$Q1697))</f>
        <v/>
      </c>
      <c r="O1697">
        <f>IF($Q1697="","",INDEX(상세표[주말·휴일 포함],$Q1697)&amp;"")</f>
        <v/>
      </c>
      <c r="P1697">
        <f>IF($Q1697="","",INDEX(상세표[월 넘김 포함],$Q1697)&amp;"")</f>
        <v/>
      </c>
      <c r="Q1697" s="4">
        <f>IFERROR(MATCH(1692,상세표[연속순번],0),"")</f>
        <v/>
      </c>
    </row>
    <row r="1698">
      <c r="A1698">
        <f>IF($Q1698="","",INDEX(상세표[부서],$Q1698)&amp;"")</f>
        <v/>
      </c>
      <c r="B1698">
        <f>IF($Q1698="","",INDEX(상세표[사번],$Q1698)&amp;"")</f>
        <v/>
      </c>
      <c r="C1698">
        <f>IF($Q1698="","",INDEX(상세표[성명],$Q1698)&amp;"")</f>
        <v/>
      </c>
      <c r="D1698">
        <f>IF($Q1698="","",INDEX(상세표[직위],$Q1698)&amp;"")</f>
        <v/>
      </c>
      <c r="E1698">
        <f>IF($Q1698="","",IF(ISNUMBER(INDEX(상세표[근무일자],$Q1698)),TEXT(INDEX(상세표[근무일자],$Q1698),"yyyy-mm-dd"),INDEX(상세표[근무일자],$Q1698)&amp;""))</f>
        <v/>
      </c>
      <c r="F1698">
        <f>IF($Q1698="","",IF(ISNUMBER(INDEX(상세표[시작],$Q1698)),TEXT(INDEX(상세표[시작],$Q1698),"yyyy-mm-dd hh:mm"),INDEX(상세표[시작],$Q1698)&amp;""))</f>
        <v/>
      </c>
      <c r="G1698">
        <f>IF($Q1698="","",IF(ISNUMBER(INDEX(상세표[블록종료],$Q1698)),TEXT(INDEX(상세표[블록종료],$Q1698),"yyyy-mm-dd hh:mm"),INDEX(상세표[블록종료],$Q1698)&amp;""))</f>
        <v/>
      </c>
      <c r="H1698">
        <f>IF($Q1698="","",CHOOSE(WEEKDAY(INDEX(상세표[시작],$Q1698)),"일","월","화","수","목","금","토"))</f>
        <v/>
      </c>
      <c r="I1698" s="20">
        <f>IF($Q1698="","",INDEX(상세표[연속 시간],$Q1698))</f>
        <v/>
      </c>
      <c r="J1698">
        <f>IF($Q1698="","",INDEX(상세표[기록 수],$Q1698))</f>
        <v/>
      </c>
      <c r="K1698" s="20">
        <f>IF($Q1698="","",INDEX(상세표[블록 06~07시],$Q1698))</f>
        <v/>
      </c>
      <c r="L1698" s="20">
        <f>IF($Q1698="","",INDEX(상세표[블록 07~18시],$Q1698))</f>
        <v/>
      </c>
      <c r="M1698" s="20">
        <f>IF($Q1698="","",INDEX(상세표[블록 18~22시],$Q1698))</f>
        <v/>
      </c>
      <c r="N1698" s="20">
        <f>IF($Q1698="","",INDEX(상세표[블록 22~06시],$Q1698))</f>
        <v/>
      </c>
      <c r="O1698">
        <f>IF($Q1698="","",INDEX(상세표[주말·휴일 포함],$Q1698)&amp;"")</f>
        <v/>
      </c>
      <c r="P1698">
        <f>IF($Q1698="","",INDEX(상세표[월 넘김 포함],$Q1698)&amp;"")</f>
        <v/>
      </c>
      <c r="Q1698" s="4">
        <f>IFERROR(MATCH(1693,상세표[연속순번],0),"")</f>
        <v/>
      </c>
    </row>
    <row r="1699">
      <c r="A1699">
        <f>IF($Q1699="","",INDEX(상세표[부서],$Q1699)&amp;"")</f>
        <v/>
      </c>
      <c r="B1699">
        <f>IF($Q1699="","",INDEX(상세표[사번],$Q1699)&amp;"")</f>
        <v/>
      </c>
      <c r="C1699">
        <f>IF($Q1699="","",INDEX(상세표[성명],$Q1699)&amp;"")</f>
        <v/>
      </c>
      <c r="D1699">
        <f>IF($Q1699="","",INDEX(상세표[직위],$Q1699)&amp;"")</f>
        <v/>
      </c>
      <c r="E1699">
        <f>IF($Q1699="","",IF(ISNUMBER(INDEX(상세표[근무일자],$Q1699)),TEXT(INDEX(상세표[근무일자],$Q1699),"yyyy-mm-dd"),INDEX(상세표[근무일자],$Q1699)&amp;""))</f>
        <v/>
      </c>
      <c r="F1699">
        <f>IF($Q1699="","",IF(ISNUMBER(INDEX(상세표[시작],$Q1699)),TEXT(INDEX(상세표[시작],$Q1699),"yyyy-mm-dd hh:mm"),INDEX(상세표[시작],$Q1699)&amp;""))</f>
        <v/>
      </c>
      <c r="G1699">
        <f>IF($Q1699="","",IF(ISNUMBER(INDEX(상세표[블록종료],$Q1699)),TEXT(INDEX(상세표[블록종료],$Q1699),"yyyy-mm-dd hh:mm"),INDEX(상세표[블록종료],$Q1699)&amp;""))</f>
        <v/>
      </c>
      <c r="H1699">
        <f>IF($Q1699="","",CHOOSE(WEEKDAY(INDEX(상세표[시작],$Q1699)),"일","월","화","수","목","금","토"))</f>
        <v/>
      </c>
      <c r="I1699" s="20">
        <f>IF($Q1699="","",INDEX(상세표[연속 시간],$Q1699))</f>
        <v/>
      </c>
      <c r="J1699">
        <f>IF($Q1699="","",INDEX(상세표[기록 수],$Q1699))</f>
        <v/>
      </c>
      <c r="K1699" s="20">
        <f>IF($Q1699="","",INDEX(상세표[블록 06~07시],$Q1699))</f>
        <v/>
      </c>
      <c r="L1699" s="20">
        <f>IF($Q1699="","",INDEX(상세표[블록 07~18시],$Q1699))</f>
        <v/>
      </c>
      <c r="M1699" s="20">
        <f>IF($Q1699="","",INDEX(상세표[블록 18~22시],$Q1699))</f>
        <v/>
      </c>
      <c r="N1699" s="20">
        <f>IF($Q1699="","",INDEX(상세표[블록 22~06시],$Q1699))</f>
        <v/>
      </c>
      <c r="O1699">
        <f>IF($Q1699="","",INDEX(상세표[주말·휴일 포함],$Q1699)&amp;"")</f>
        <v/>
      </c>
      <c r="P1699">
        <f>IF($Q1699="","",INDEX(상세표[월 넘김 포함],$Q1699)&amp;"")</f>
        <v/>
      </c>
      <c r="Q1699" s="4">
        <f>IFERROR(MATCH(1694,상세표[연속순번],0),"")</f>
        <v/>
      </c>
    </row>
    <row r="1700">
      <c r="A1700">
        <f>IF($Q1700="","",INDEX(상세표[부서],$Q1700)&amp;"")</f>
        <v/>
      </c>
      <c r="B1700">
        <f>IF($Q1700="","",INDEX(상세표[사번],$Q1700)&amp;"")</f>
        <v/>
      </c>
      <c r="C1700">
        <f>IF($Q1700="","",INDEX(상세표[성명],$Q1700)&amp;"")</f>
        <v/>
      </c>
      <c r="D1700">
        <f>IF($Q1700="","",INDEX(상세표[직위],$Q1700)&amp;"")</f>
        <v/>
      </c>
      <c r="E1700">
        <f>IF($Q1700="","",IF(ISNUMBER(INDEX(상세표[근무일자],$Q1700)),TEXT(INDEX(상세표[근무일자],$Q1700),"yyyy-mm-dd"),INDEX(상세표[근무일자],$Q1700)&amp;""))</f>
        <v/>
      </c>
      <c r="F1700">
        <f>IF($Q1700="","",IF(ISNUMBER(INDEX(상세표[시작],$Q1700)),TEXT(INDEX(상세표[시작],$Q1700),"yyyy-mm-dd hh:mm"),INDEX(상세표[시작],$Q1700)&amp;""))</f>
        <v/>
      </c>
      <c r="G1700">
        <f>IF($Q1700="","",IF(ISNUMBER(INDEX(상세표[블록종료],$Q1700)),TEXT(INDEX(상세표[블록종료],$Q1700),"yyyy-mm-dd hh:mm"),INDEX(상세표[블록종료],$Q1700)&amp;""))</f>
        <v/>
      </c>
      <c r="H1700">
        <f>IF($Q1700="","",CHOOSE(WEEKDAY(INDEX(상세표[시작],$Q1700)),"일","월","화","수","목","금","토"))</f>
        <v/>
      </c>
      <c r="I1700" s="20">
        <f>IF($Q1700="","",INDEX(상세표[연속 시간],$Q1700))</f>
        <v/>
      </c>
      <c r="J1700">
        <f>IF($Q1700="","",INDEX(상세표[기록 수],$Q1700))</f>
        <v/>
      </c>
      <c r="K1700" s="20">
        <f>IF($Q1700="","",INDEX(상세표[블록 06~07시],$Q1700))</f>
        <v/>
      </c>
      <c r="L1700" s="20">
        <f>IF($Q1700="","",INDEX(상세표[블록 07~18시],$Q1700))</f>
        <v/>
      </c>
      <c r="M1700" s="20">
        <f>IF($Q1700="","",INDEX(상세표[블록 18~22시],$Q1700))</f>
        <v/>
      </c>
      <c r="N1700" s="20">
        <f>IF($Q1700="","",INDEX(상세표[블록 22~06시],$Q1700))</f>
        <v/>
      </c>
      <c r="O1700">
        <f>IF($Q1700="","",INDEX(상세표[주말·휴일 포함],$Q1700)&amp;"")</f>
        <v/>
      </c>
      <c r="P1700">
        <f>IF($Q1700="","",INDEX(상세표[월 넘김 포함],$Q1700)&amp;"")</f>
        <v/>
      </c>
      <c r="Q1700" s="4">
        <f>IFERROR(MATCH(1695,상세표[연속순번],0),"")</f>
        <v/>
      </c>
    </row>
    <row r="1701">
      <c r="A1701">
        <f>IF($Q1701="","",INDEX(상세표[부서],$Q1701)&amp;"")</f>
        <v/>
      </c>
      <c r="B1701">
        <f>IF($Q1701="","",INDEX(상세표[사번],$Q1701)&amp;"")</f>
        <v/>
      </c>
      <c r="C1701">
        <f>IF($Q1701="","",INDEX(상세표[성명],$Q1701)&amp;"")</f>
        <v/>
      </c>
      <c r="D1701">
        <f>IF($Q1701="","",INDEX(상세표[직위],$Q1701)&amp;"")</f>
        <v/>
      </c>
      <c r="E1701">
        <f>IF($Q1701="","",IF(ISNUMBER(INDEX(상세표[근무일자],$Q1701)),TEXT(INDEX(상세표[근무일자],$Q1701),"yyyy-mm-dd"),INDEX(상세표[근무일자],$Q1701)&amp;""))</f>
        <v/>
      </c>
      <c r="F1701">
        <f>IF($Q1701="","",IF(ISNUMBER(INDEX(상세표[시작],$Q1701)),TEXT(INDEX(상세표[시작],$Q1701),"yyyy-mm-dd hh:mm"),INDEX(상세표[시작],$Q1701)&amp;""))</f>
        <v/>
      </c>
      <c r="G1701">
        <f>IF($Q1701="","",IF(ISNUMBER(INDEX(상세표[블록종료],$Q1701)),TEXT(INDEX(상세표[블록종료],$Q1701),"yyyy-mm-dd hh:mm"),INDEX(상세표[블록종료],$Q1701)&amp;""))</f>
        <v/>
      </c>
      <c r="H1701">
        <f>IF($Q1701="","",CHOOSE(WEEKDAY(INDEX(상세표[시작],$Q1701)),"일","월","화","수","목","금","토"))</f>
        <v/>
      </c>
      <c r="I1701" s="20">
        <f>IF($Q1701="","",INDEX(상세표[연속 시간],$Q1701))</f>
        <v/>
      </c>
      <c r="J1701">
        <f>IF($Q1701="","",INDEX(상세표[기록 수],$Q1701))</f>
        <v/>
      </c>
      <c r="K1701" s="20">
        <f>IF($Q1701="","",INDEX(상세표[블록 06~07시],$Q1701))</f>
        <v/>
      </c>
      <c r="L1701" s="20">
        <f>IF($Q1701="","",INDEX(상세표[블록 07~18시],$Q1701))</f>
        <v/>
      </c>
      <c r="M1701" s="20">
        <f>IF($Q1701="","",INDEX(상세표[블록 18~22시],$Q1701))</f>
        <v/>
      </c>
      <c r="N1701" s="20">
        <f>IF($Q1701="","",INDEX(상세표[블록 22~06시],$Q1701))</f>
        <v/>
      </c>
      <c r="O1701">
        <f>IF($Q1701="","",INDEX(상세표[주말·휴일 포함],$Q1701)&amp;"")</f>
        <v/>
      </c>
      <c r="P1701">
        <f>IF($Q1701="","",INDEX(상세표[월 넘김 포함],$Q1701)&amp;"")</f>
        <v/>
      </c>
      <c r="Q1701" s="4">
        <f>IFERROR(MATCH(1696,상세표[연속순번],0),"")</f>
        <v/>
      </c>
    </row>
    <row r="1702">
      <c r="A1702">
        <f>IF($Q1702="","",INDEX(상세표[부서],$Q1702)&amp;"")</f>
        <v/>
      </c>
      <c r="B1702">
        <f>IF($Q1702="","",INDEX(상세표[사번],$Q1702)&amp;"")</f>
        <v/>
      </c>
      <c r="C1702">
        <f>IF($Q1702="","",INDEX(상세표[성명],$Q1702)&amp;"")</f>
        <v/>
      </c>
      <c r="D1702">
        <f>IF($Q1702="","",INDEX(상세표[직위],$Q1702)&amp;"")</f>
        <v/>
      </c>
      <c r="E1702">
        <f>IF($Q1702="","",IF(ISNUMBER(INDEX(상세표[근무일자],$Q1702)),TEXT(INDEX(상세표[근무일자],$Q1702),"yyyy-mm-dd"),INDEX(상세표[근무일자],$Q1702)&amp;""))</f>
        <v/>
      </c>
      <c r="F1702">
        <f>IF($Q1702="","",IF(ISNUMBER(INDEX(상세표[시작],$Q1702)),TEXT(INDEX(상세표[시작],$Q1702),"yyyy-mm-dd hh:mm"),INDEX(상세표[시작],$Q1702)&amp;""))</f>
        <v/>
      </c>
      <c r="G1702">
        <f>IF($Q1702="","",IF(ISNUMBER(INDEX(상세표[블록종료],$Q1702)),TEXT(INDEX(상세표[블록종료],$Q1702),"yyyy-mm-dd hh:mm"),INDEX(상세표[블록종료],$Q1702)&amp;""))</f>
        <v/>
      </c>
      <c r="H1702">
        <f>IF($Q1702="","",CHOOSE(WEEKDAY(INDEX(상세표[시작],$Q1702)),"일","월","화","수","목","금","토"))</f>
        <v/>
      </c>
      <c r="I1702" s="20">
        <f>IF($Q1702="","",INDEX(상세표[연속 시간],$Q1702))</f>
        <v/>
      </c>
      <c r="J1702">
        <f>IF($Q1702="","",INDEX(상세표[기록 수],$Q1702))</f>
        <v/>
      </c>
      <c r="K1702" s="20">
        <f>IF($Q1702="","",INDEX(상세표[블록 06~07시],$Q1702))</f>
        <v/>
      </c>
      <c r="L1702" s="20">
        <f>IF($Q1702="","",INDEX(상세표[블록 07~18시],$Q1702))</f>
        <v/>
      </c>
      <c r="M1702" s="20">
        <f>IF($Q1702="","",INDEX(상세표[블록 18~22시],$Q1702))</f>
        <v/>
      </c>
      <c r="N1702" s="20">
        <f>IF($Q1702="","",INDEX(상세표[블록 22~06시],$Q1702))</f>
        <v/>
      </c>
      <c r="O1702">
        <f>IF($Q1702="","",INDEX(상세표[주말·휴일 포함],$Q1702)&amp;"")</f>
        <v/>
      </c>
      <c r="P1702">
        <f>IF($Q1702="","",INDEX(상세표[월 넘김 포함],$Q1702)&amp;"")</f>
        <v/>
      </c>
      <c r="Q1702" s="4">
        <f>IFERROR(MATCH(1697,상세표[연속순번],0),"")</f>
        <v/>
      </c>
    </row>
    <row r="1703">
      <c r="A1703">
        <f>IF($Q1703="","",INDEX(상세표[부서],$Q1703)&amp;"")</f>
        <v/>
      </c>
      <c r="B1703">
        <f>IF($Q1703="","",INDEX(상세표[사번],$Q1703)&amp;"")</f>
        <v/>
      </c>
      <c r="C1703">
        <f>IF($Q1703="","",INDEX(상세표[성명],$Q1703)&amp;"")</f>
        <v/>
      </c>
      <c r="D1703">
        <f>IF($Q1703="","",INDEX(상세표[직위],$Q1703)&amp;"")</f>
        <v/>
      </c>
      <c r="E1703">
        <f>IF($Q1703="","",IF(ISNUMBER(INDEX(상세표[근무일자],$Q1703)),TEXT(INDEX(상세표[근무일자],$Q1703),"yyyy-mm-dd"),INDEX(상세표[근무일자],$Q1703)&amp;""))</f>
        <v/>
      </c>
      <c r="F1703">
        <f>IF($Q1703="","",IF(ISNUMBER(INDEX(상세표[시작],$Q1703)),TEXT(INDEX(상세표[시작],$Q1703),"yyyy-mm-dd hh:mm"),INDEX(상세표[시작],$Q1703)&amp;""))</f>
        <v/>
      </c>
      <c r="G1703">
        <f>IF($Q1703="","",IF(ISNUMBER(INDEX(상세표[블록종료],$Q1703)),TEXT(INDEX(상세표[블록종료],$Q1703),"yyyy-mm-dd hh:mm"),INDEX(상세표[블록종료],$Q1703)&amp;""))</f>
        <v/>
      </c>
      <c r="H1703">
        <f>IF($Q1703="","",CHOOSE(WEEKDAY(INDEX(상세표[시작],$Q1703)),"일","월","화","수","목","금","토"))</f>
        <v/>
      </c>
      <c r="I1703" s="20">
        <f>IF($Q1703="","",INDEX(상세표[연속 시간],$Q1703))</f>
        <v/>
      </c>
      <c r="J1703">
        <f>IF($Q1703="","",INDEX(상세표[기록 수],$Q1703))</f>
        <v/>
      </c>
      <c r="K1703" s="20">
        <f>IF($Q1703="","",INDEX(상세표[블록 06~07시],$Q1703))</f>
        <v/>
      </c>
      <c r="L1703" s="20">
        <f>IF($Q1703="","",INDEX(상세표[블록 07~18시],$Q1703))</f>
        <v/>
      </c>
      <c r="M1703" s="20">
        <f>IF($Q1703="","",INDEX(상세표[블록 18~22시],$Q1703))</f>
        <v/>
      </c>
      <c r="N1703" s="20">
        <f>IF($Q1703="","",INDEX(상세표[블록 22~06시],$Q1703))</f>
        <v/>
      </c>
      <c r="O1703">
        <f>IF($Q1703="","",INDEX(상세표[주말·휴일 포함],$Q1703)&amp;"")</f>
        <v/>
      </c>
      <c r="P1703">
        <f>IF($Q1703="","",INDEX(상세표[월 넘김 포함],$Q1703)&amp;"")</f>
        <v/>
      </c>
      <c r="Q1703" s="4">
        <f>IFERROR(MATCH(1698,상세표[연속순번],0),"")</f>
        <v/>
      </c>
    </row>
    <row r="1704">
      <c r="A1704">
        <f>IF($Q1704="","",INDEX(상세표[부서],$Q1704)&amp;"")</f>
        <v/>
      </c>
      <c r="B1704">
        <f>IF($Q1704="","",INDEX(상세표[사번],$Q1704)&amp;"")</f>
        <v/>
      </c>
      <c r="C1704">
        <f>IF($Q1704="","",INDEX(상세표[성명],$Q1704)&amp;"")</f>
        <v/>
      </c>
      <c r="D1704">
        <f>IF($Q1704="","",INDEX(상세표[직위],$Q1704)&amp;"")</f>
        <v/>
      </c>
      <c r="E1704">
        <f>IF($Q1704="","",IF(ISNUMBER(INDEX(상세표[근무일자],$Q1704)),TEXT(INDEX(상세표[근무일자],$Q1704),"yyyy-mm-dd"),INDEX(상세표[근무일자],$Q1704)&amp;""))</f>
        <v/>
      </c>
      <c r="F1704">
        <f>IF($Q1704="","",IF(ISNUMBER(INDEX(상세표[시작],$Q1704)),TEXT(INDEX(상세표[시작],$Q1704),"yyyy-mm-dd hh:mm"),INDEX(상세표[시작],$Q1704)&amp;""))</f>
        <v/>
      </c>
      <c r="G1704">
        <f>IF($Q1704="","",IF(ISNUMBER(INDEX(상세표[블록종료],$Q1704)),TEXT(INDEX(상세표[블록종료],$Q1704),"yyyy-mm-dd hh:mm"),INDEX(상세표[블록종료],$Q1704)&amp;""))</f>
        <v/>
      </c>
      <c r="H1704">
        <f>IF($Q1704="","",CHOOSE(WEEKDAY(INDEX(상세표[시작],$Q1704)),"일","월","화","수","목","금","토"))</f>
        <v/>
      </c>
      <c r="I1704" s="20">
        <f>IF($Q1704="","",INDEX(상세표[연속 시간],$Q1704))</f>
        <v/>
      </c>
      <c r="J1704">
        <f>IF($Q1704="","",INDEX(상세표[기록 수],$Q1704))</f>
        <v/>
      </c>
      <c r="K1704" s="20">
        <f>IF($Q1704="","",INDEX(상세표[블록 06~07시],$Q1704))</f>
        <v/>
      </c>
      <c r="L1704" s="20">
        <f>IF($Q1704="","",INDEX(상세표[블록 07~18시],$Q1704))</f>
        <v/>
      </c>
      <c r="M1704" s="20">
        <f>IF($Q1704="","",INDEX(상세표[블록 18~22시],$Q1704))</f>
        <v/>
      </c>
      <c r="N1704" s="20">
        <f>IF($Q1704="","",INDEX(상세표[블록 22~06시],$Q1704))</f>
        <v/>
      </c>
      <c r="O1704">
        <f>IF($Q1704="","",INDEX(상세표[주말·휴일 포함],$Q1704)&amp;"")</f>
        <v/>
      </c>
      <c r="P1704">
        <f>IF($Q1704="","",INDEX(상세표[월 넘김 포함],$Q1704)&amp;"")</f>
        <v/>
      </c>
      <c r="Q1704" s="4">
        <f>IFERROR(MATCH(1699,상세표[연속순번],0),"")</f>
        <v/>
      </c>
    </row>
    <row r="1705">
      <c r="A1705">
        <f>IF($Q1705="","",INDEX(상세표[부서],$Q1705)&amp;"")</f>
        <v/>
      </c>
      <c r="B1705">
        <f>IF($Q1705="","",INDEX(상세표[사번],$Q1705)&amp;"")</f>
        <v/>
      </c>
      <c r="C1705">
        <f>IF($Q1705="","",INDEX(상세표[성명],$Q1705)&amp;"")</f>
        <v/>
      </c>
      <c r="D1705">
        <f>IF($Q1705="","",INDEX(상세표[직위],$Q1705)&amp;"")</f>
        <v/>
      </c>
      <c r="E1705">
        <f>IF($Q1705="","",IF(ISNUMBER(INDEX(상세표[근무일자],$Q1705)),TEXT(INDEX(상세표[근무일자],$Q1705),"yyyy-mm-dd"),INDEX(상세표[근무일자],$Q1705)&amp;""))</f>
        <v/>
      </c>
      <c r="F1705">
        <f>IF($Q1705="","",IF(ISNUMBER(INDEX(상세표[시작],$Q1705)),TEXT(INDEX(상세표[시작],$Q1705),"yyyy-mm-dd hh:mm"),INDEX(상세표[시작],$Q1705)&amp;""))</f>
        <v/>
      </c>
      <c r="G1705">
        <f>IF($Q1705="","",IF(ISNUMBER(INDEX(상세표[블록종료],$Q1705)),TEXT(INDEX(상세표[블록종료],$Q1705),"yyyy-mm-dd hh:mm"),INDEX(상세표[블록종료],$Q1705)&amp;""))</f>
        <v/>
      </c>
      <c r="H1705">
        <f>IF($Q1705="","",CHOOSE(WEEKDAY(INDEX(상세표[시작],$Q1705)),"일","월","화","수","목","금","토"))</f>
        <v/>
      </c>
      <c r="I1705" s="20">
        <f>IF($Q1705="","",INDEX(상세표[연속 시간],$Q1705))</f>
        <v/>
      </c>
      <c r="J1705">
        <f>IF($Q1705="","",INDEX(상세표[기록 수],$Q1705))</f>
        <v/>
      </c>
      <c r="K1705" s="20">
        <f>IF($Q1705="","",INDEX(상세표[블록 06~07시],$Q1705))</f>
        <v/>
      </c>
      <c r="L1705" s="20">
        <f>IF($Q1705="","",INDEX(상세표[블록 07~18시],$Q1705))</f>
        <v/>
      </c>
      <c r="M1705" s="20">
        <f>IF($Q1705="","",INDEX(상세표[블록 18~22시],$Q1705))</f>
        <v/>
      </c>
      <c r="N1705" s="20">
        <f>IF($Q1705="","",INDEX(상세표[블록 22~06시],$Q1705))</f>
        <v/>
      </c>
      <c r="O1705">
        <f>IF($Q1705="","",INDEX(상세표[주말·휴일 포함],$Q1705)&amp;"")</f>
        <v/>
      </c>
      <c r="P1705">
        <f>IF($Q1705="","",INDEX(상세표[월 넘김 포함],$Q1705)&amp;"")</f>
        <v/>
      </c>
      <c r="Q1705" s="4">
        <f>IFERROR(MATCH(1700,상세표[연속순번],0),"")</f>
        <v/>
      </c>
    </row>
    <row r="1706">
      <c r="A1706">
        <f>IF($Q1706="","",INDEX(상세표[부서],$Q1706)&amp;"")</f>
        <v/>
      </c>
      <c r="B1706">
        <f>IF($Q1706="","",INDEX(상세표[사번],$Q1706)&amp;"")</f>
        <v/>
      </c>
      <c r="C1706">
        <f>IF($Q1706="","",INDEX(상세표[성명],$Q1706)&amp;"")</f>
        <v/>
      </c>
      <c r="D1706">
        <f>IF($Q1706="","",INDEX(상세표[직위],$Q1706)&amp;"")</f>
        <v/>
      </c>
      <c r="E1706">
        <f>IF($Q1706="","",IF(ISNUMBER(INDEX(상세표[근무일자],$Q1706)),TEXT(INDEX(상세표[근무일자],$Q1706),"yyyy-mm-dd"),INDEX(상세표[근무일자],$Q1706)&amp;""))</f>
        <v/>
      </c>
      <c r="F1706">
        <f>IF($Q1706="","",IF(ISNUMBER(INDEX(상세표[시작],$Q1706)),TEXT(INDEX(상세표[시작],$Q1706),"yyyy-mm-dd hh:mm"),INDEX(상세표[시작],$Q1706)&amp;""))</f>
        <v/>
      </c>
      <c r="G1706">
        <f>IF($Q1706="","",IF(ISNUMBER(INDEX(상세표[블록종료],$Q1706)),TEXT(INDEX(상세표[블록종료],$Q1706),"yyyy-mm-dd hh:mm"),INDEX(상세표[블록종료],$Q1706)&amp;""))</f>
        <v/>
      </c>
      <c r="H1706">
        <f>IF($Q1706="","",CHOOSE(WEEKDAY(INDEX(상세표[시작],$Q1706)),"일","월","화","수","목","금","토"))</f>
        <v/>
      </c>
      <c r="I1706" s="20">
        <f>IF($Q1706="","",INDEX(상세표[연속 시간],$Q1706))</f>
        <v/>
      </c>
      <c r="J1706">
        <f>IF($Q1706="","",INDEX(상세표[기록 수],$Q1706))</f>
        <v/>
      </c>
      <c r="K1706" s="20">
        <f>IF($Q1706="","",INDEX(상세표[블록 06~07시],$Q1706))</f>
        <v/>
      </c>
      <c r="L1706" s="20">
        <f>IF($Q1706="","",INDEX(상세표[블록 07~18시],$Q1706))</f>
        <v/>
      </c>
      <c r="M1706" s="20">
        <f>IF($Q1706="","",INDEX(상세표[블록 18~22시],$Q1706))</f>
        <v/>
      </c>
      <c r="N1706" s="20">
        <f>IF($Q1706="","",INDEX(상세표[블록 22~06시],$Q1706))</f>
        <v/>
      </c>
      <c r="O1706">
        <f>IF($Q1706="","",INDEX(상세표[주말·휴일 포함],$Q1706)&amp;"")</f>
        <v/>
      </c>
      <c r="P1706">
        <f>IF($Q1706="","",INDEX(상세표[월 넘김 포함],$Q1706)&amp;"")</f>
        <v/>
      </c>
      <c r="Q1706" s="4">
        <f>IFERROR(MATCH(1701,상세표[연속순번],0),"")</f>
        <v/>
      </c>
    </row>
    <row r="1707">
      <c r="A1707">
        <f>IF($Q1707="","",INDEX(상세표[부서],$Q1707)&amp;"")</f>
        <v/>
      </c>
      <c r="B1707">
        <f>IF($Q1707="","",INDEX(상세표[사번],$Q1707)&amp;"")</f>
        <v/>
      </c>
      <c r="C1707">
        <f>IF($Q1707="","",INDEX(상세표[성명],$Q1707)&amp;"")</f>
        <v/>
      </c>
      <c r="D1707">
        <f>IF($Q1707="","",INDEX(상세표[직위],$Q1707)&amp;"")</f>
        <v/>
      </c>
      <c r="E1707">
        <f>IF($Q1707="","",IF(ISNUMBER(INDEX(상세표[근무일자],$Q1707)),TEXT(INDEX(상세표[근무일자],$Q1707),"yyyy-mm-dd"),INDEX(상세표[근무일자],$Q1707)&amp;""))</f>
        <v/>
      </c>
      <c r="F1707">
        <f>IF($Q1707="","",IF(ISNUMBER(INDEX(상세표[시작],$Q1707)),TEXT(INDEX(상세표[시작],$Q1707),"yyyy-mm-dd hh:mm"),INDEX(상세표[시작],$Q1707)&amp;""))</f>
        <v/>
      </c>
      <c r="G1707">
        <f>IF($Q1707="","",IF(ISNUMBER(INDEX(상세표[블록종료],$Q1707)),TEXT(INDEX(상세표[블록종료],$Q1707),"yyyy-mm-dd hh:mm"),INDEX(상세표[블록종료],$Q1707)&amp;""))</f>
        <v/>
      </c>
      <c r="H1707">
        <f>IF($Q1707="","",CHOOSE(WEEKDAY(INDEX(상세표[시작],$Q1707)),"일","월","화","수","목","금","토"))</f>
        <v/>
      </c>
      <c r="I1707" s="20">
        <f>IF($Q1707="","",INDEX(상세표[연속 시간],$Q1707))</f>
        <v/>
      </c>
      <c r="J1707">
        <f>IF($Q1707="","",INDEX(상세표[기록 수],$Q1707))</f>
        <v/>
      </c>
      <c r="K1707" s="20">
        <f>IF($Q1707="","",INDEX(상세표[블록 06~07시],$Q1707))</f>
        <v/>
      </c>
      <c r="L1707" s="20">
        <f>IF($Q1707="","",INDEX(상세표[블록 07~18시],$Q1707))</f>
        <v/>
      </c>
      <c r="M1707" s="20">
        <f>IF($Q1707="","",INDEX(상세표[블록 18~22시],$Q1707))</f>
        <v/>
      </c>
      <c r="N1707" s="20">
        <f>IF($Q1707="","",INDEX(상세표[블록 22~06시],$Q1707))</f>
        <v/>
      </c>
      <c r="O1707">
        <f>IF($Q1707="","",INDEX(상세표[주말·휴일 포함],$Q1707)&amp;"")</f>
        <v/>
      </c>
      <c r="P1707">
        <f>IF($Q1707="","",INDEX(상세표[월 넘김 포함],$Q1707)&amp;"")</f>
        <v/>
      </c>
      <c r="Q1707" s="4">
        <f>IFERROR(MATCH(1702,상세표[연속순번],0),"")</f>
        <v/>
      </c>
    </row>
    <row r="1708">
      <c r="A1708">
        <f>IF($Q1708="","",INDEX(상세표[부서],$Q1708)&amp;"")</f>
        <v/>
      </c>
      <c r="B1708">
        <f>IF($Q1708="","",INDEX(상세표[사번],$Q1708)&amp;"")</f>
        <v/>
      </c>
      <c r="C1708">
        <f>IF($Q1708="","",INDEX(상세표[성명],$Q1708)&amp;"")</f>
        <v/>
      </c>
      <c r="D1708">
        <f>IF($Q1708="","",INDEX(상세표[직위],$Q1708)&amp;"")</f>
        <v/>
      </c>
      <c r="E1708">
        <f>IF($Q1708="","",IF(ISNUMBER(INDEX(상세표[근무일자],$Q1708)),TEXT(INDEX(상세표[근무일자],$Q1708),"yyyy-mm-dd"),INDEX(상세표[근무일자],$Q1708)&amp;""))</f>
        <v/>
      </c>
      <c r="F1708">
        <f>IF($Q1708="","",IF(ISNUMBER(INDEX(상세표[시작],$Q1708)),TEXT(INDEX(상세표[시작],$Q1708),"yyyy-mm-dd hh:mm"),INDEX(상세표[시작],$Q1708)&amp;""))</f>
        <v/>
      </c>
      <c r="G1708">
        <f>IF($Q1708="","",IF(ISNUMBER(INDEX(상세표[블록종료],$Q1708)),TEXT(INDEX(상세표[블록종료],$Q1708),"yyyy-mm-dd hh:mm"),INDEX(상세표[블록종료],$Q1708)&amp;""))</f>
        <v/>
      </c>
      <c r="H1708">
        <f>IF($Q1708="","",CHOOSE(WEEKDAY(INDEX(상세표[시작],$Q1708)),"일","월","화","수","목","금","토"))</f>
        <v/>
      </c>
      <c r="I1708" s="20">
        <f>IF($Q1708="","",INDEX(상세표[연속 시간],$Q1708))</f>
        <v/>
      </c>
      <c r="J1708">
        <f>IF($Q1708="","",INDEX(상세표[기록 수],$Q1708))</f>
        <v/>
      </c>
      <c r="K1708" s="20">
        <f>IF($Q1708="","",INDEX(상세표[블록 06~07시],$Q1708))</f>
        <v/>
      </c>
      <c r="L1708" s="20">
        <f>IF($Q1708="","",INDEX(상세표[블록 07~18시],$Q1708))</f>
        <v/>
      </c>
      <c r="M1708" s="20">
        <f>IF($Q1708="","",INDEX(상세표[블록 18~22시],$Q1708))</f>
        <v/>
      </c>
      <c r="N1708" s="20">
        <f>IF($Q1708="","",INDEX(상세표[블록 22~06시],$Q1708))</f>
        <v/>
      </c>
      <c r="O1708">
        <f>IF($Q1708="","",INDEX(상세표[주말·휴일 포함],$Q1708)&amp;"")</f>
        <v/>
      </c>
      <c r="P1708">
        <f>IF($Q1708="","",INDEX(상세표[월 넘김 포함],$Q1708)&amp;"")</f>
        <v/>
      </c>
      <c r="Q1708" s="4">
        <f>IFERROR(MATCH(1703,상세표[연속순번],0),"")</f>
        <v/>
      </c>
    </row>
    <row r="1709">
      <c r="A1709">
        <f>IF($Q1709="","",INDEX(상세표[부서],$Q1709)&amp;"")</f>
        <v/>
      </c>
      <c r="B1709">
        <f>IF($Q1709="","",INDEX(상세표[사번],$Q1709)&amp;"")</f>
        <v/>
      </c>
      <c r="C1709">
        <f>IF($Q1709="","",INDEX(상세표[성명],$Q1709)&amp;"")</f>
        <v/>
      </c>
      <c r="D1709">
        <f>IF($Q1709="","",INDEX(상세표[직위],$Q1709)&amp;"")</f>
        <v/>
      </c>
      <c r="E1709">
        <f>IF($Q1709="","",IF(ISNUMBER(INDEX(상세표[근무일자],$Q1709)),TEXT(INDEX(상세표[근무일자],$Q1709),"yyyy-mm-dd"),INDEX(상세표[근무일자],$Q1709)&amp;""))</f>
        <v/>
      </c>
      <c r="F1709">
        <f>IF($Q1709="","",IF(ISNUMBER(INDEX(상세표[시작],$Q1709)),TEXT(INDEX(상세표[시작],$Q1709),"yyyy-mm-dd hh:mm"),INDEX(상세표[시작],$Q1709)&amp;""))</f>
        <v/>
      </c>
      <c r="G1709">
        <f>IF($Q1709="","",IF(ISNUMBER(INDEX(상세표[블록종료],$Q1709)),TEXT(INDEX(상세표[블록종료],$Q1709),"yyyy-mm-dd hh:mm"),INDEX(상세표[블록종료],$Q1709)&amp;""))</f>
        <v/>
      </c>
      <c r="H1709">
        <f>IF($Q1709="","",CHOOSE(WEEKDAY(INDEX(상세표[시작],$Q1709)),"일","월","화","수","목","금","토"))</f>
        <v/>
      </c>
      <c r="I1709" s="20">
        <f>IF($Q1709="","",INDEX(상세표[연속 시간],$Q1709))</f>
        <v/>
      </c>
      <c r="J1709">
        <f>IF($Q1709="","",INDEX(상세표[기록 수],$Q1709))</f>
        <v/>
      </c>
      <c r="K1709" s="20">
        <f>IF($Q1709="","",INDEX(상세표[블록 06~07시],$Q1709))</f>
        <v/>
      </c>
      <c r="L1709" s="20">
        <f>IF($Q1709="","",INDEX(상세표[블록 07~18시],$Q1709))</f>
        <v/>
      </c>
      <c r="M1709" s="20">
        <f>IF($Q1709="","",INDEX(상세표[블록 18~22시],$Q1709))</f>
        <v/>
      </c>
      <c r="N1709" s="20">
        <f>IF($Q1709="","",INDEX(상세표[블록 22~06시],$Q1709))</f>
        <v/>
      </c>
      <c r="O1709">
        <f>IF($Q1709="","",INDEX(상세표[주말·휴일 포함],$Q1709)&amp;"")</f>
        <v/>
      </c>
      <c r="P1709">
        <f>IF($Q1709="","",INDEX(상세표[월 넘김 포함],$Q1709)&amp;"")</f>
        <v/>
      </c>
      <c r="Q1709" s="4">
        <f>IFERROR(MATCH(1704,상세표[연속순번],0),"")</f>
        <v/>
      </c>
    </row>
    <row r="1710">
      <c r="A1710">
        <f>IF($Q1710="","",INDEX(상세표[부서],$Q1710)&amp;"")</f>
        <v/>
      </c>
      <c r="B1710">
        <f>IF($Q1710="","",INDEX(상세표[사번],$Q1710)&amp;"")</f>
        <v/>
      </c>
      <c r="C1710">
        <f>IF($Q1710="","",INDEX(상세표[성명],$Q1710)&amp;"")</f>
        <v/>
      </c>
      <c r="D1710">
        <f>IF($Q1710="","",INDEX(상세표[직위],$Q1710)&amp;"")</f>
        <v/>
      </c>
      <c r="E1710">
        <f>IF($Q1710="","",IF(ISNUMBER(INDEX(상세표[근무일자],$Q1710)),TEXT(INDEX(상세표[근무일자],$Q1710),"yyyy-mm-dd"),INDEX(상세표[근무일자],$Q1710)&amp;""))</f>
        <v/>
      </c>
      <c r="F1710">
        <f>IF($Q1710="","",IF(ISNUMBER(INDEX(상세표[시작],$Q1710)),TEXT(INDEX(상세표[시작],$Q1710),"yyyy-mm-dd hh:mm"),INDEX(상세표[시작],$Q1710)&amp;""))</f>
        <v/>
      </c>
      <c r="G1710">
        <f>IF($Q1710="","",IF(ISNUMBER(INDEX(상세표[블록종료],$Q1710)),TEXT(INDEX(상세표[블록종료],$Q1710),"yyyy-mm-dd hh:mm"),INDEX(상세표[블록종료],$Q1710)&amp;""))</f>
        <v/>
      </c>
      <c r="H1710">
        <f>IF($Q1710="","",CHOOSE(WEEKDAY(INDEX(상세표[시작],$Q1710)),"일","월","화","수","목","금","토"))</f>
        <v/>
      </c>
      <c r="I1710" s="20">
        <f>IF($Q1710="","",INDEX(상세표[연속 시간],$Q1710))</f>
        <v/>
      </c>
      <c r="J1710">
        <f>IF($Q1710="","",INDEX(상세표[기록 수],$Q1710))</f>
        <v/>
      </c>
      <c r="K1710" s="20">
        <f>IF($Q1710="","",INDEX(상세표[블록 06~07시],$Q1710))</f>
        <v/>
      </c>
      <c r="L1710" s="20">
        <f>IF($Q1710="","",INDEX(상세표[블록 07~18시],$Q1710))</f>
        <v/>
      </c>
      <c r="M1710" s="20">
        <f>IF($Q1710="","",INDEX(상세표[블록 18~22시],$Q1710))</f>
        <v/>
      </c>
      <c r="N1710" s="20">
        <f>IF($Q1710="","",INDEX(상세표[블록 22~06시],$Q1710))</f>
        <v/>
      </c>
      <c r="O1710">
        <f>IF($Q1710="","",INDEX(상세표[주말·휴일 포함],$Q1710)&amp;"")</f>
        <v/>
      </c>
      <c r="P1710">
        <f>IF($Q1710="","",INDEX(상세표[월 넘김 포함],$Q1710)&amp;"")</f>
        <v/>
      </c>
      <c r="Q1710" s="4">
        <f>IFERROR(MATCH(1705,상세표[연속순번],0),"")</f>
        <v/>
      </c>
    </row>
    <row r="1711">
      <c r="A1711">
        <f>IF($Q1711="","",INDEX(상세표[부서],$Q1711)&amp;"")</f>
        <v/>
      </c>
      <c r="B1711">
        <f>IF($Q1711="","",INDEX(상세표[사번],$Q1711)&amp;"")</f>
        <v/>
      </c>
      <c r="C1711">
        <f>IF($Q1711="","",INDEX(상세표[성명],$Q1711)&amp;"")</f>
        <v/>
      </c>
      <c r="D1711">
        <f>IF($Q1711="","",INDEX(상세표[직위],$Q1711)&amp;"")</f>
        <v/>
      </c>
      <c r="E1711">
        <f>IF($Q1711="","",IF(ISNUMBER(INDEX(상세표[근무일자],$Q1711)),TEXT(INDEX(상세표[근무일자],$Q1711),"yyyy-mm-dd"),INDEX(상세표[근무일자],$Q1711)&amp;""))</f>
        <v/>
      </c>
      <c r="F1711">
        <f>IF($Q1711="","",IF(ISNUMBER(INDEX(상세표[시작],$Q1711)),TEXT(INDEX(상세표[시작],$Q1711),"yyyy-mm-dd hh:mm"),INDEX(상세표[시작],$Q1711)&amp;""))</f>
        <v/>
      </c>
      <c r="G1711">
        <f>IF($Q1711="","",IF(ISNUMBER(INDEX(상세표[블록종료],$Q1711)),TEXT(INDEX(상세표[블록종료],$Q1711),"yyyy-mm-dd hh:mm"),INDEX(상세표[블록종료],$Q1711)&amp;""))</f>
        <v/>
      </c>
      <c r="H1711">
        <f>IF($Q1711="","",CHOOSE(WEEKDAY(INDEX(상세표[시작],$Q1711)),"일","월","화","수","목","금","토"))</f>
        <v/>
      </c>
      <c r="I1711" s="20">
        <f>IF($Q1711="","",INDEX(상세표[연속 시간],$Q1711))</f>
        <v/>
      </c>
      <c r="J1711">
        <f>IF($Q1711="","",INDEX(상세표[기록 수],$Q1711))</f>
        <v/>
      </c>
      <c r="K1711" s="20">
        <f>IF($Q1711="","",INDEX(상세표[블록 06~07시],$Q1711))</f>
        <v/>
      </c>
      <c r="L1711" s="20">
        <f>IF($Q1711="","",INDEX(상세표[블록 07~18시],$Q1711))</f>
        <v/>
      </c>
      <c r="M1711" s="20">
        <f>IF($Q1711="","",INDEX(상세표[블록 18~22시],$Q1711))</f>
        <v/>
      </c>
      <c r="N1711" s="20">
        <f>IF($Q1711="","",INDEX(상세표[블록 22~06시],$Q1711))</f>
        <v/>
      </c>
      <c r="O1711">
        <f>IF($Q1711="","",INDEX(상세표[주말·휴일 포함],$Q1711)&amp;"")</f>
        <v/>
      </c>
      <c r="P1711">
        <f>IF($Q1711="","",INDEX(상세표[월 넘김 포함],$Q1711)&amp;"")</f>
        <v/>
      </c>
      <c r="Q1711" s="4">
        <f>IFERROR(MATCH(1706,상세표[연속순번],0),"")</f>
        <v/>
      </c>
    </row>
    <row r="1712">
      <c r="A1712">
        <f>IF($Q1712="","",INDEX(상세표[부서],$Q1712)&amp;"")</f>
        <v/>
      </c>
      <c r="B1712">
        <f>IF($Q1712="","",INDEX(상세표[사번],$Q1712)&amp;"")</f>
        <v/>
      </c>
      <c r="C1712">
        <f>IF($Q1712="","",INDEX(상세표[성명],$Q1712)&amp;"")</f>
        <v/>
      </c>
      <c r="D1712">
        <f>IF($Q1712="","",INDEX(상세표[직위],$Q1712)&amp;"")</f>
        <v/>
      </c>
      <c r="E1712">
        <f>IF($Q1712="","",IF(ISNUMBER(INDEX(상세표[근무일자],$Q1712)),TEXT(INDEX(상세표[근무일자],$Q1712),"yyyy-mm-dd"),INDEX(상세표[근무일자],$Q1712)&amp;""))</f>
        <v/>
      </c>
      <c r="F1712">
        <f>IF($Q1712="","",IF(ISNUMBER(INDEX(상세표[시작],$Q1712)),TEXT(INDEX(상세표[시작],$Q1712),"yyyy-mm-dd hh:mm"),INDEX(상세표[시작],$Q1712)&amp;""))</f>
        <v/>
      </c>
      <c r="G1712">
        <f>IF($Q1712="","",IF(ISNUMBER(INDEX(상세표[블록종료],$Q1712)),TEXT(INDEX(상세표[블록종료],$Q1712),"yyyy-mm-dd hh:mm"),INDEX(상세표[블록종료],$Q1712)&amp;""))</f>
        <v/>
      </c>
      <c r="H1712">
        <f>IF($Q1712="","",CHOOSE(WEEKDAY(INDEX(상세표[시작],$Q1712)),"일","월","화","수","목","금","토"))</f>
        <v/>
      </c>
      <c r="I1712" s="20">
        <f>IF($Q1712="","",INDEX(상세표[연속 시간],$Q1712))</f>
        <v/>
      </c>
      <c r="J1712">
        <f>IF($Q1712="","",INDEX(상세표[기록 수],$Q1712))</f>
        <v/>
      </c>
      <c r="K1712" s="20">
        <f>IF($Q1712="","",INDEX(상세표[블록 06~07시],$Q1712))</f>
        <v/>
      </c>
      <c r="L1712" s="20">
        <f>IF($Q1712="","",INDEX(상세표[블록 07~18시],$Q1712))</f>
        <v/>
      </c>
      <c r="M1712" s="20">
        <f>IF($Q1712="","",INDEX(상세표[블록 18~22시],$Q1712))</f>
        <v/>
      </c>
      <c r="N1712" s="20">
        <f>IF($Q1712="","",INDEX(상세표[블록 22~06시],$Q1712))</f>
        <v/>
      </c>
      <c r="O1712">
        <f>IF($Q1712="","",INDEX(상세표[주말·휴일 포함],$Q1712)&amp;"")</f>
        <v/>
      </c>
      <c r="P1712">
        <f>IF($Q1712="","",INDEX(상세표[월 넘김 포함],$Q1712)&amp;"")</f>
        <v/>
      </c>
      <c r="Q1712" s="4">
        <f>IFERROR(MATCH(1707,상세표[연속순번],0),"")</f>
        <v/>
      </c>
    </row>
    <row r="1713">
      <c r="A1713">
        <f>IF($Q1713="","",INDEX(상세표[부서],$Q1713)&amp;"")</f>
        <v/>
      </c>
      <c r="B1713">
        <f>IF($Q1713="","",INDEX(상세표[사번],$Q1713)&amp;"")</f>
        <v/>
      </c>
      <c r="C1713">
        <f>IF($Q1713="","",INDEX(상세표[성명],$Q1713)&amp;"")</f>
        <v/>
      </c>
      <c r="D1713">
        <f>IF($Q1713="","",INDEX(상세표[직위],$Q1713)&amp;"")</f>
        <v/>
      </c>
      <c r="E1713">
        <f>IF($Q1713="","",IF(ISNUMBER(INDEX(상세표[근무일자],$Q1713)),TEXT(INDEX(상세표[근무일자],$Q1713),"yyyy-mm-dd"),INDEX(상세표[근무일자],$Q1713)&amp;""))</f>
        <v/>
      </c>
      <c r="F1713">
        <f>IF($Q1713="","",IF(ISNUMBER(INDEX(상세표[시작],$Q1713)),TEXT(INDEX(상세표[시작],$Q1713),"yyyy-mm-dd hh:mm"),INDEX(상세표[시작],$Q1713)&amp;""))</f>
        <v/>
      </c>
      <c r="G1713">
        <f>IF($Q1713="","",IF(ISNUMBER(INDEX(상세표[블록종료],$Q1713)),TEXT(INDEX(상세표[블록종료],$Q1713),"yyyy-mm-dd hh:mm"),INDEX(상세표[블록종료],$Q1713)&amp;""))</f>
        <v/>
      </c>
      <c r="H1713">
        <f>IF($Q1713="","",CHOOSE(WEEKDAY(INDEX(상세표[시작],$Q1713)),"일","월","화","수","목","금","토"))</f>
        <v/>
      </c>
      <c r="I1713" s="20">
        <f>IF($Q1713="","",INDEX(상세표[연속 시간],$Q1713))</f>
        <v/>
      </c>
      <c r="J1713">
        <f>IF($Q1713="","",INDEX(상세표[기록 수],$Q1713))</f>
        <v/>
      </c>
      <c r="K1713" s="20">
        <f>IF($Q1713="","",INDEX(상세표[블록 06~07시],$Q1713))</f>
        <v/>
      </c>
      <c r="L1713" s="20">
        <f>IF($Q1713="","",INDEX(상세표[블록 07~18시],$Q1713))</f>
        <v/>
      </c>
      <c r="M1713" s="20">
        <f>IF($Q1713="","",INDEX(상세표[블록 18~22시],$Q1713))</f>
        <v/>
      </c>
      <c r="N1713" s="20">
        <f>IF($Q1713="","",INDEX(상세표[블록 22~06시],$Q1713))</f>
        <v/>
      </c>
      <c r="O1713">
        <f>IF($Q1713="","",INDEX(상세표[주말·휴일 포함],$Q1713)&amp;"")</f>
        <v/>
      </c>
      <c r="P1713">
        <f>IF($Q1713="","",INDEX(상세표[월 넘김 포함],$Q1713)&amp;"")</f>
        <v/>
      </c>
      <c r="Q1713" s="4">
        <f>IFERROR(MATCH(1708,상세표[연속순번],0),"")</f>
        <v/>
      </c>
    </row>
    <row r="1714">
      <c r="A1714">
        <f>IF($Q1714="","",INDEX(상세표[부서],$Q1714)&amp;"")</f>
        <v/>
      </c>
      <c r="B1714">
        <f>IF($Q1714="","",INDEX(상세표[사번],$Q1714)&amp;"")</f>
        <v/>
      </c>
      <c r="C1714">
        <f>IF($Q1714="","",INDEX(상세표[성명],$Q1714)&amp;"")</f>
        <v/>
      </c>
      <c r="D1714">
        <f>IF($Q1714="","",INDEX(상세표[직위],$Q1714)&amp;"")</f>
        <v/>
      </c>
      <c r="E1714">
        <f>IF($Q1714="","",IF(ISNUMBER(INDEX(상세표[근무일자],$Q1714)),TEXT(INDEX(상세표[근무일자],$Q1714),"yyyy-mm-dd"),INDEX(상세표[근무일자],$Q1714)&amp;""))</f>
        <v/>
      </c>
      <c r="F1714">
        <f>IF($Q1714="","",IF(ISNUMBER(INDEX(상세표[시작],$Q1714)),TEXT(INDEX(상세표[시작],$Q1714),"yyyy-mm-dd hh:mm"),INDEX(상세표[시작],$Q1714)&amp;""))</f>
        <v/>
      </c>
      <c r="G1714">
        <f>IF($Q1714="","",IF(ISNUMBER(INDEX(상세표[블록종료],$Q1714)),TEXT(INDEX(상세표[블록종료],$Q1714),"yyyy-mm-dd hh:mm"),INDEX(상세표[블록종료],$Q1714)&amp;""))</f>
        <v/>
      </c>
      <c r="H1714">
        <f>IF($Q1714="","",CHOOSE(WEEKDAY(INDEX(상세표[시작],$Q1714)),"일","월","화","수","목","금","토"))</f>
        <v/>
      </c>
      <c r="I1714" s="20">
        <f>IF($Q1714="","",INDEX(상세표[연속 시간],$Q1714))</f>
        <v/>
      </c>
      <c r="J1714">
        <f>IF($Q1714="","",INDEX(상세표[기록 수],$Q1714))</f>
        <v/>
      </c>
      <c r="K1714" s="20">
        <f>IF($Q1714="","",INDEX(상세표[블록 06~07시],$Q1714))</f>
        <v/>
      </c>
      <c r="L1714" s="20">
        <f>IF($Q1714="","",INDEX(상세표[블록 07~18시],$Q1714))</f>
        <v/>
      </c>
      <c r="M1714" s="20">
        <f>IF($Q1714="","",INDEX(상세표[블록 18~22시],$Q1714))</f>
        <v/>
      </c>
      <c r="N1714" s="20">
        <f>IF($Q1714="","",INDEX(상세표[블록 22~06시],$Q1714))</f>
        <v/>
      </c>
      <c r="O1714">
        <f>IF($Q1714="","",INDEX(상세표[주말·휴일 포함],$Q1714)&amp;"")</f>
        <v/>
      </c>
      <c r="P1714">
        <f>IF($Q1714="","",INDEX(상세표[월 넘김 포함],$Q1714)&amp;"")</f>
        <v/>
      </c>
      <c r="Q1714" s="4">
        <f>IFERROR(MATCH(1709,상세표[연속순번],0),"")</f>
        <v/>
      </c>
    </row>
    <row r="1715">
      <c r="A1715">
        <f>IF($Q1715="","",INDEX(상세표[부서],$Q1715)&amp;"")</f>
        <v/>
      </c>
      <c r="B1715">
        <f>IF($Q1715="","",INDEX(상세표[사번],$Q1715)&amp;"")</f>
        <v/>
      </c>
      <c r="C1715">
        <f>IF($Q1715="","",INDEX(상세표[성명],$Q1715)&amp;"")</f>
        <v/>
      </c>
      <c r="D1715">
        <f>IF($Q1715="","",INDEX(상세표[직위],$Q1715)&amp;"")</f>
        <v/>
      </c>
      <c r="E1715">
        <f>IF($Q1715="","",IF(ISNUMBER(INDEX(상세표[근무일자],$Q1715)),TEXT(INDEX(상세표[근무일자],$Q1715),"yyyy-mm-dd"),INDEX(상세표[근무일자],$Q1715)&amp;""))</f>
        <v/>
      </c>
      <c r="F1715">
        <f>IF($Q1715="","",IF(ISNUMBER(INDEX(상세표[시작],$Q1715)),TEXT(INDEX(상세표[시작],$Q1715),"yyyy-mm-dd hh:mm"),INDEX(상세표[시작],$Q1715)&amp;""))</f>
        <v/>
      </c>
      <c r="G1715">
        <f>IF($Q1715="","",IF(ISNUMBER(INDEX(상세표[블록종료],$Q1715)),TEXT(INDEX(상세표[블록종료],$Q1715),"yyyy-mm-dd hh:mm"),INDEX(상세표[블록종료],$Q1715)&amp;""))</f>
        <v/>
      </c>
      <c r="H1715">
        <f>IF($Q1715="","",CHOOSE(WEEKDAY(INDEX(상세표[시작],$Q1715)),"일","월","화","수","목","금","토"))</f>
        <v/>
      </c>
      <c r="I1715" s="20">
        <f>IF($Q1715="","",INDEX(상세표[연속 시간],$Q1715))</f>
        <v/>
      </c>
      <c r="J1715">
        <f>IF($Q1715="","",INDEX(상세표[기록 수],$Q1715))</f>
        <v/>
      </c>
      <c r="K1715" s="20">
        <f>IF($Q1715="","",INDEX(상세표[블록 06~07시],$Q1715))</f>
        <v/>
      </c>
      <c r="L1715" s="20">
        <f>IF($Q1715="","",INDEX(상세표[블록 07~18시],$Q1715))</f>
        <v/>
      </c>
      <c r="M1715" s="20">
        <f>IF($Q1715="","",INDEX(상세표[블록 18~22시],$Q1715))</f>
        <v/>
      </c>
      <c r="N1715" s="20">
        <f>IF($Q1715="","",INDEX(상세표[블록 22~06시],$Q1715))</f>
        <v/>
      </c>
      <c r="O1715">
        <f>IF($Q1715="","",INDEX(상세표[주말·휴일 포함],$Q1715)&amp;"")</f>
        <v/>
      </c>
      <c r="P1715">
        <f>IF($Q1715="","",INDEX(상세표[월 넘김 포함],$Q1715)&amp;"")</f>
        <v/>
      </c>
      <c r="Q1715" s="4">
        <f>IFERROR(MATCH(1710,상세표[연속순번],0),"")</f>
        <v/>
      </c>
    </row>
    <row r="1716">
      <c r="A1716">
        <f>IF($Q1716="","",INDEX(상세표[부서],$Q1716)&amp;"")</f>
        <v/>
      </c>
      <c r="B1716">
        <f>IF($Q1716="","",INDEX(상세표[사번],$Q1716)&amp;"")</f>
        <v/>
      </c>
      <c r="C1716">
        <f>IF($Q1716="","",INDEX(상세표[성명],$Q1716)&amp;"")</f>
        <v/>
      </c>
      <c r="D1716">
        <f>IF($Q1716="","",INDEX(상세표[직위],$Q1716)&amp;"")</f>
        <v/>
      </c>
      <c r="E1716">
        <f>IF($Q1716="","",IF(ISNUMBER(INDEX(상세표[근무일자],$Q1716)),TEXT(INDEX(상세표[근무일자],$Q1716),"yyyy-mm-dd"),INDEX(상세표[근무일자],$Q1716)&amp;""))</f>
        <v/>
      </c>
      <c r="F1716">
        <f>IF($Q1716="","",IF(ISNUMBER(INDEX(상세표[시작],$Q1716)),TEXT(INDEX(상세표[시작],$Q1716),"yyyy-mm-dd hh:mm"),INDEX(상세표[시작],$Q1716)&amp;""))</f>
        <v/>
      </c>
      <c r="G1716">
        <f>IF($Q1716="","",IF(ISNUMBER(INDEX(상세표[블록종료],$Q1716)),TEXT(INDEX(상세표[블록종료],$Q1716),"yyyy-mm-dd hh:mm"),INDEX(상세표[블록종료],$Q1716)&amp;""))</f>
        <v/>
      </c>
      <c r="H1716">
        <f>IF($Q1716="","",CHOOSE(WEEKDAY(INDEX(상세표[시작],$Q1716)),"일","월","화","수","목","금","토"))</f>
        <v/>
      </c>
      <c r="I1716" s="20">
        <f>IF($Q1716="","",INDEX(상세표[연속 시간],$Q1716))</f>
        <v/>
      </c>
      <c r="J1716">
        <f>IF($Q1716="","",INDEX(상세표[기록 수],$Q1716))</f>
        <v/>
      </c>
      <c r="K1716" s="20">
        <f>IF($Q1716="","",INDEX(상세표[블록 06~07시],$Q1716))</f>
        <v/>
      </c>
      <c r="L1716" s="20">
        <f>IF($Q1716="","",INDEX(상세표[블록 07~18시],$Q1716))</f>
        <v/>
      </c>
      <c r="M1716" s="20">
        <f>IF($Q1716="","",INDEX(상세표[블록 18~22시],$Q1716))</f>
        <v/>
      </c>
      <c r="N1716" s="20">
        <f>IF($Q1716="","",INDEX(상세표[블록 22~06시],$Q1716))</f>
        <v/>
      </c>
      <c r="O1716">
        <f>IF($Q1716="","",INDEX(상세표[주말·휴일 포함],$Q1716)&amp;"")</f>
        <v/>
      </c>
      <c r="P1716">
        <f>IF($Q1716="","",INDEX(상세표[월 넘김 포함],$Q1716)&amp;"")</f>
        <v/>
      </c>
      <c r="Q1716" s="4">
        <f>IFERROR(MATCH(1711,상세표[연속순번],0),"")</f>
        <v/>
      </c>
    </row>
    <row r="1717">
      <c r="A1717">
        <f>IF($Q1717="","",INDEX(상세표[부서],$Q1717)&amp;"")</f>
        <v/>
      </c>
      <c r="B1717">
        <f>IF($Q1717="","",INDEX(상세표[사번],$Q1717)&amp;"")</f>
        <v/>
      </c>
      <c r="C1717">
        <f>IF($Q1717="","",INDEX(상세표[성명],$Q1717)&amp;"")</f>
        <v/>
      </c>
      <c r="D1717">
        <f>IF($Q1717="","",INDEX(상세표[직위],$Q1717)&amp;"")</f>
        <v/>
      </c>
      <c r="E1717">
        <f>IF($Q1717="","",IF(ISNUMBER(INDEX(상세표[근무일자],$Q1717)),TEXT(INDEX(상세표[근무일자],$Q1717),"yyyy-mm-dd"),INDEX(상세표[근무일자],$Q1717)&amp;""))</f>
        <v/>
      </c>
      <c r="F1717">
        <f>IF($Q1717="","",IF(ISNUMBER(INDEX(상세표[시작],$Q1717)),TEXT(INDEX(상세표[시작],$Q1717),"yyyy-mm-dd hh:mm"),INDEX(상세표[시작],$Q1717)&amp;""))</f>
        <v/>
      </c>
      <c r="G1717">
        <f>IF($Q1717="","",IF(ISNUMBER(INDEX(상세표[블록종료],$Q1717)),TEXT(INDEX(상세표[블록종료],$Q1717),"yyyy-mm-dd hh:mm"),INDEX(상세표[블록종료],$Q1717)&amp;""))</f>
        <v/>
      </c>
      <c r="H1717">
        <f>IF($Q1717="","",CHOOSE(WEEKDAY(INDEX(상세표[시작],$Q1717)),"일","월","화","수","목","금","토"))</f>
        <v/>
      </c>
      <c r="I1717" s="20">
        <f>IF($Q1717="","",INDEX(상세표[연속 시간],$Q1717))</f>
        <v/>
      </c>
      <c r="J1717">
        <f>IF($Q1717="","",INDEX(상세표[기록 수],$Q1717))</f>
        <v/>
      </c>
      <c r="K1717" s="20">
        <f>IF($Q1717="","",INDEX(상세표[블록 06~07시],$Q1717))</f>
        <v/>
      </c>
      <c r="L1717" s="20">
        <f>IF($Q1717="","",INDEX(상세표[블록 07~18시],$Q1717))</f>
        <v/>
      </c>
      <c r="M1717" s="20">
        <f>IF($Q1717="","",INDEX(상세표[블록 18~22시],$Q1717))</f>
        <v/>
      </c>
      <c r="N1717" s="20">
        <f>IF($Q1717="","",INDEX(상세표[블록 22~06시],$Q1717))</f>
        <v/>
      </c>
      <c r="O1717">
        <f>IF($Q1717="","",INDEX(상세표[주말·휴일 포함],$Q1717)&amp;"")</f>
        <v/>
      </c>
      <c r="P1717">
        <f>IF($Q1717="","",INDEX(상세표[월 넘김 포함],$Q1717)&amp;"")</f>
        <v/>
      </c>
      <c r="Q1717" s="4">
        <f>IFERROR(MATCH(1712,상세표[연속순번],0),"")</f>
        <v/>
      </c>
    </row>
    <row r="1718">
      <c r="A1718">
        <f>IF($Q1718="","",INDEX(상세표[부서],$Q1718)&amp;"")</f>
        <v/>
      </c>
      <c r="B1718">
        <f>IF($Q1718="","",INDEX(상세표[사번],$Q1718)&amp;"")</f>
        <v/>
      </c>
      <c r="C1718">
        <f>IF($Q1718="","",INDEX(상세표[성명],$Q1718)&amp;"")</f>
        <v/>
      </c>
      <c r="D1718">
        <f>IF($Q1718="","",INDEX(상세표[직위],$Q1718)&amp;"")</f>
        <v/>
      </c>
      <c r="E1718">
        <f>IF($Q1718="","",IF(ISNUMBER(INDEX(상세표[근무일자],$Q1718)),TEXT(INDEX(상세표[근무일자],$Q1718),"yyyy-mm-dd"),INDEX(상세표[근무일자],$Q1718)&amp;""))</f>
        <v/>
      </c>
      <c r="F1718">
        <f>IF($Q1718="","",IF(ISNUMBER(INDEX(상세표[시작],$Q1718)),TEXT(INDEX(상세표[시작],$Q1718),"yyyy-mm-dd hh:mm"),INDEX(상세표[시작],$Q1718)&amp;""))</f>
        <v/>
      </c>
      <c r="G1718">
        <f>IF($Q1718="","",IF(ISNUMBER(INDEX(상세표[블록종료],$Q1718)),TEXT(INDEX(상세표[블록종료],$Q1718),"yyyy-mm-dd hh:mm"),INDEX(상세표[블록종료],$Q1718)&amp;""))</f>
        <v/>
      </c>
      <c r="H1718">
        <f>IF($Q1718="","",CHOOSE(WEEKDAY(INDEX(상세표[시작],$Q1718)),"일","월","화","수","목","금","토"))</f>
        <v/>
      </c>
      <c r="I1718" s="20">
        <f>IF($Q1718="","",INDEX(상세표[연속 시간],$Q1718))</f>
        <v/>
      </c>
      <c r="J1718">
        <f>IF($Q1718="","",INDEX(상세표[기록 수],$Q1718))</f>
        <v/>
      </c>
      <c r="K1718" s="20">
        <f>IF($Q1718="","",INDEX(상세표[블록 06~07시],$Q1718))</f>
        <v/>
      </c>
      <c r="L1718" s="20">
        <f>IF($Q1718="","",INDEX(상세표[블록 07~18시],$Q1718))</f>
        <v/>
      </c>
      <c r="M1718" s="20">
        <f>IF($Q1718="","",INDEX(상세표[블록 18~22시],$Q1718))</f>
        <v/>
      </c>
      <c r="N1718" s="20">
        <f>IF($Q1718="","",INDEX(상세표[블록 22~06시],$Q1718))</f>
        <v/>
      </c>
      <c r="O1718">
        <f>IF($Q1718="","",INDEX(상세표[주말·휴일 포함],$Q1718)&amp;"")</f>
        <v/>
      </c>
      <c r="P1718">
        <f>IF($Q1718="","",INDEX(상세표[월 넘김 포함],$Q1718)&amp;"")</f>
        <v/>
      </c>
      <c r="Q1718" s="4">
        <f>IFERROR(MATCH(1713,상세표[연속순번],0),"")</f>
        <v/>
      </c>
    </row>
    <row r="1719">
      <c r="A1719">
        <f>IF($Q1719="","",INDEX(상세표[부서],$Q1719)&amp;"")</f>
        <v/>
      </c>
      <c r="B1719">
        <f>IF($Q1719="","",INDEX(상세표[사번],$Q1719)&amp;"")</f>
        <v/>
      </c>
      <c r="C1719">
        <f>IF($Q1719="","",INDEX(상세표[성명],$Q1719)&amp;"")</f>
        <v/>
      </c>
      <c r="D1719">
        <f>IF($Q1719="","",INDEX(상세표[직위],$Q1719)&amp;"")</f>
        <v/>
      </c>
      <c r="E1719">
        <f>IF($Q1719="","",IF(ISNUMBER(INDEX(상세표[근무일자],$Q1719)),TEXT(INDEX(상세표[근무일자],$Q1719),"yyyy-mm-dd"),INDEX(상세표[근무일자],$Q1719)&amp;""))</f>
        <v/>
      </c>
      <c r="F1719">
        <f>IF($Q1719="","",IF(ISNUMBER(INDEX(상세표[시작],$Q1719)),TEXT(INDEX(상세표[시작],$Q1719),"yyyy-mm-dd hh:mm"),INDEX(상세표[시작],$Q1719)&amp;""))</f>
        <v/>
      </c>
      <c r="G1719">
        <f>IF($Q1719="","",IF(ISNUMBER(INDEX(상세표[블록종료],$Q1719)),TEXT(INDEX(상세표[블록종료],$Q1719),"yyyy-mm-dd hh:mm"),INDEX(상세표[블록종료],$Q1719)&amp;""))</f>
        <v/>
      </c>
      <c r="H1719">
        <f>IF($Q1719="","",CHOOSE(WEEKDAY(INDEX(상세표[시작],$Q1719)),"일","월","화","수","목","금","토"))</f>
        <v/>
      </c>
      <c r="I1719" s="20">
        <f>IF($Q1719="","",INDEX(상세표[연속 시간],$Q1719))</f>
        <v/>
      </c>
      <c r="J1719">
        <f>IF($Q1719="","",INDEX(상세표[기록 수],$Q1719))</f>
        <v/>
      </c>
      <c r="K1719" s="20">
        <f>IF($Q1719="","",INDEX(상세표[블록 06~07시],$Q1719))</f>
        <v/>
      </c>
      <c r="L1719" s="20">
        <f>IF($Q1719="","",INDEX(상세표[블록 07~18시],$Q1719))</f>
        <v/>
      </c>
      <c r="M1719" s="20">
        <f>IF($Q1719="","",INDEX(상세표[블록 18~22시],$Q1719))</f>
        <v/>
      </c>
      <c r="N1719" s="20">
        <f>IF($Q1719="","",INDEX(상세표[블록 22~06시],$Q1719))</f>
        <v/>
      </c>
      <c r="O1719">
        <f>IF($Q1719="","",INDEX(상세표[주말·휴일 포함],$Q1719)&amp;"")</f>
        <v/>
      </c>
      <c r="P1719">
        <f>IF($Q1719="","",INDEX(상세표[월 넘김 포함],$Q1719)&amp;"")</f>
        <v/>
      </c>
      <c r="Q1719" s="4">
        <f>IFERROR(MATCH(1714,상세표[연속순번],0),"")</f>
        <v/>
      </c>
    </row>
    <row r="1720">
      <c r="A1720">
        <f>IF($Q1720="","",INDEX(상세표[부서],$Q1720)&amp;"")</f>
        <v/>
      </c>
      <c r="B1720">
        <f>IF($Q1720="","",INDEX(상세표[사번],$Q1720)&amp;"")</f>
        <v/>
      </c>
      <c r="C1720">
        <f>IF($Q1720="","",INDEX(상세표[성명],$Q1720)&amp;"")</f>
        <v/>
      </c>
      <c r="D1720">
        <f>IF($Q1720="","",INDEX(상세표[직위],$Q1720)&amp;"")</f>
        <v/>
      </c>
      <c r="E1720">
        <f>IF($Q1720="","",IF(ISNUMBER(INDEX(상세표[근무일자],$Q1720)),TEXT(INDEX(상세표[근무일자],$Q1720),"yyyy-mm-dd"),INDEX(상세표[근무일자],$Q1720)&amp;""))</f>
        <v/>
      </c>
      <c r="F1720">
        <f>IF($Q1720="","",IF(ISNUMBER(INDEX(상세표[시작],$Q1720)),TEXT(INDEX(상세표[시작],$Q1720),"yyyy-mm-dd hh:mm"),INDEX(상세표[시작],$Q1720)&amp;""))</f>
        <v/>
      </c>
      <c r="G1720">
        <f>IF($Q1720="","",IF(ISNUMBER(INDEX(상세표[블록종료],$Q1720)),TEXT(INDEX(상세표[블록종료],$Q1720),"yyyy-mm-dd hh:mm"),INDEX(상세표[블록종료],$Q1720)&amp;""))</f>
        <v/>
      </c>
      <c r="H1720">
        <f>IF($Q1720="","",CHOOSE(WEEKDAY(INDEX(상세표[시작],$Q1720)),"일","월","화","수","목","금","토"))</f>
        <v/>
      </c>
      <c r="I1720" s="20">
        <f>IF($Q1720="","",INDEX(상세표[연속 시간],$Q1720))</f>
        <v/>
      </c>
      <c r="J1720">
        <f>IF($Q1720="","",INDEX(상세표[기록 수],$Q1720))</f>
        <v/>
      </c>
      <c r="K1720" s="20">
        <f>IF($Q1720="","",INDEX(상세표[블록 06~07시],$Q1720))</f>
        <v/>
      </c>
      <c r="L1720" s="20">
        <f>IF($Q1720="","",INDEX(상세표[블록 07~18시],$Q1720))</f>
        <v/>
      </c>
      <c r="M1720" s="20">
        <f>IF($Q1720="","",INDEX(상세표[블록 18~22시],$Q1720))</f>
        <v/>
      </c>
      <c r="N1720" s="20">
        <f>IF($Q1720="","",INDEX(상세표[블록 22~06시],$Q1720))</f>
        <v/>
      </c>
      <c r="O1720">
        <f>IF($Q1720="","",INDEX(상세표[주말·휴일 포함],$Q1720)&amp;"")</f>
        <v/>
      </c>
      <c r="P1720">
        <f>IF($Q1720="","",INDEX(상세표[월 넘김 포함],$Q1720)&amp;"")</f>
        <v/>
      </c>
      <c r="Q1720" s="4">
        <f>IFERROR(MATCH(1715,상세표[연속순번],0),"")</f>
        <v/>
      </c>
    </row>
    <row r="1721">
      <c r="A1721">
        <f>IF($Q1721="","",INDEX(상세표[부서],$Q1721)&amp;"")</f>
        <v/>
      </c>
      <c r="B1721">
        <f>IF($Q1721="","",INDEX(상세표[사번],$Q1721)&amp;"")</f>
        <v/>
      </c>
      <c r="C1721">
        <f>IF($Q1721="","",INDEX(상세표[성명],$Q1721)&amp;"")</f>
        <v/>
      </c>
      <c r="D1721">
        <f>IF($Q1721="","",INDEX(상세표[직위],$Q1721)&amp;"")</f>
        <v/>
      </c>
      <c r="E1721">
        <f>IF($Q1721="","",IF(ISNUMBER(INDEX(상세표[근무일자],$Q1721)),TEXT(INDEX(상세표[근무일자],$Q1721),"yyyy-mm-dd"),INDEX(상세표[근무일자],$Q1721)&amp;""))</f>
        <v/>
      </c>
      <c r="F1721">
        <f>IF($Q1721="","",IF(ISNUMBER(INDEX(상세표[시작],$Q1721)),TEXT(INDEX(상세표[시작],$Q1721),"yyyy-mm-dd hh:mm"),INDEX(상세표[시작],$Q1721)&amp;""))</f>
        <v/>
      </c>
      <c r="G1721">
        <f>IF($Q1721="","",IF(ISNUMBER(INDEX(상세표[블록종료],$Q1721)),TEXT(INDEX(상세표[블록종료],$Q1721),"yyyy-mm-dd hh:mm"),INDEX(상세표[블록종료],$Q1721)&amp;""))</f>
        <v/>
      </c>
      <c r="H1721">
        <f>IF($Q1721="","",CHOOSE(WEEKDAY(INDEX(상세표[시작],$Q1721)),"일","월","화","수","목","금","토"))</f>
        <v/>
      </c>
      <c r="I1721" s="20">
        <f>IF($Q1721="","",INDEX(상세표[연속 시간],$Q1721))</f>
        <v/>
      </c>
      <c r="J1721">
        <f>IF($Q1721="","",INDEX(상세표[기록 수],$Q1721))</f>
        <v/>
      </c>
      <c r="K1721" s="20">
        <f>IF($Q1721="","",INDEX(상세표[블록 06~07시],$Q1721))</f>
        <v/>
      </c>
      <c r="L1721" s="20">
        <f>IF($Q1721="","",INDEX(상세표[블록 07~18시],$Q1721))</f>
        <v/>
      </c>
      <c r="M1721" s="20">
        <f>IF($Q1721="","",INDEX(상세표[블록 18~22시],$Q1721))</f>
        <v/>
      </c>
      <c r="N1721" s="20">
        <f>IF($Q1721="","",INDEX(상세표[블록 22~06시],$Q1721))</f>
        <v/>
      </c>
      <c r="O1721">
        <f>IF($Q1721="","",INDEX(상세표[주말·휴일 포함],$Q1721)&amp;"")</f>
        <v/>
      </c>
      <c r="P1721">
        <f>IF($Q1721="","",INDEX(상세표[월 넘김 포함],$Q1721)&amp;"")</f>
        <v/>
      </c>
      <c r="Q1721" s="4">
        <f>IFERROR(MATCH(1716,상세표[연속순번],0),"")</f>
        <v/>
      </c>
    </row>
    <row r="1722">
      <c r="A1722">
        <f>IF($Q1722="","",INDEX(상세표[부서],$Q1722)&amp;"")</f>
        <v/>
      </c>
      <c r="B1722">
        <f>IF($Q1722="","",INDEX(상세표[사번],$Q1722)&amp;"")</f>
        <v/>
      </c>
      <c r="C1722">
        <f>IF($Q1722="","",INDEX(상세표[성명],$Q1722)&amp;"")</f>
        <v/>
      </c>
      <c r="D1722">
        <f>IF($Q1722="","",INDEX(상세표[직위],$Q1722)&amp;"")</f>
        <v/>
      </c>
      <c r="E1722">
        <f>IF($Q1722="","",IF(ISNUMBER(INDEX(상세표[근무일자],$Q1722)),TEXT(INDEX(상세표[근무일자],$Q1722),"yyyy-mm-dd"),INDEX(상세표[근무일자],$Q1722)&amp;""))</f>
        <v/>
      </c>
      <c r="F1722">
        <f>IF($Q1722="","",IF(ISNUMBER(INDEX(상세표[시작],$Q1722)),TEXT(INDEX(상세표[시작],$Q1722),"yyyy-mm-dd hh:mm"),INDEX(상세표[시작],$Q1722)&amp;""))</f>
        <v/>
      </c>
      <c r="G1722">
        <f>IF($Q1722="","",IF(ISNUMBER(INDEX(상세표[블록종료],$Q1722)),TEXT(INDEX(상세표[블록종료],$Q1722),"yyyy-mm-dd hh:mm"),INDEX(상세표[블록종료],$Q1722)&amp;""))</f>
        <v/>
      </c>
      <c r="H1722">
        <f>IF($Q1722="","",CHOOSE(WEEKDAY(INDEX(상세표[시작],$Q1722)),"일","월","화","수","목","금","토"))</f>
        <v/>
      </c>
      <c r="I1722" s="20">
        <f>IF($Q1722="","",INDEX(상세표[연속 시간],$Q1722))</f>
        <v/>
      </c>
      <c r="J1722">
        <f>IF($Q1722="","",INDEX(상세표[기록 수],$Q1722))</f>
        <v/>
      </c>
      <c r="K1722" s="20">
        <f>IF($Q1722="","",INDEX(상세표[블록 06~07시],$Q1722))</f>
        <v/>
      </c>
      <c r="L1722" s="20">
        <f>IF($Q1722="","",INDEX(상세표[블록 07~18시],$Q1722))</f>
        <v/>
      </c>
      <c r="M1722" s="20">
        <f>IF($Q1722="","",INDEX(상세표[블록 18~22시],$Q1722))</f>
        <v/>
      </c>
      <c r="N1722" s="20">
        <f>IF($Q1722="","",INDEX(상세표[블록 22~06시],$Q1722))</f>
        <v/>
      </c>
      <c r="O1722">
        <f>IF($Q1722="","",INDEX(상세표[주말·휴일 포함],$Q1722)&amp;"")</f>
        <v/>
      </c>
      <c r="P1722">
        <f>IF($Q1722="","",INDEX(상세표[월 넘김 포함],$Q1722)&amp;"")</f>
        <v/>
      </c>
      <c r="Q1722" s="4">
        <f>IFERROR(MATCH(1717,상세표[연속순번],0),"")</f>
        <v/>
      </c>
    </row>
    <row r="1723">
      <c r="A1723">
        <f>IF($Q1723="","",INDEX(상세표[부서],$Q1723)&amp;"")</f>
        <v/>
      </c>
      <c r="B1723">
        <f>IF($Q1723="","",INDEX(상세표[사번],$Q1723)&amp;"")</f>
        <v/>
      </c>
      <c r="C1723">
        <f>IF($Q1723="","",INDEX(상세표[성명],$Q1723)&amp;"")</f>
        <v/>
      </c>
      <c r="D1723">
        <f>IF($Q1723="","",INDEX(상세표[직위],$Q1723)&amp;"")</f>
        <v/>
      </c>
      <c r="E1723">
        <f>IF($Q1723="","",IF(ISNUMBER(INDEX(상세표[근무일자],$Q1723)),TEXT(INDEX(상세표[근무일자],$Q1723),"yyyy-mm-dd"),INDEX(상세표[근무일자],$Q1723)&amp;""))</f>
        <v/>
      </c>
      <c r="F1723">
        <f>IF($Q1723="","",IF(ISNUMBER(INDEX(상세표[시작],$Q1723)),TEXT(INDEX(상세표[시작],$Q1723),"yyyy-mm-dd hh:mm"),INDEX(상세표[시작],$Q1723)&amp;""))</f>
        <v/>
      </c>
      <c r="G1723">
        <f>IF($Q1723="","",IF(ISNUMBER(INDEX(상세표[블록종료],$Q1723)),TEXT(INDEX(상세표[블록종료],$Q1723),"yyyy-mm-dd hh:mm"),INDEX(상세표[블록종료],$Q1723)&amp;""))</f>
        <v/>
      </c>
      <c r="H1723">
        <f>IF($Q1723="","",CHOOSE(WEEKDAY(INDEX(상세표[시작],$Q1723)),"일","월","화","수","목","금","토"))</f>
        <v/>
      </c>
      <c r="I1723" s="20">
        <f>IF($Q1723="","",INDEX(상세표[연속 시간],$Q1723))</f>
        <v/>
      </c>
      <c r="J1723">
        <f>IF($Q1723="","",INDEX(상세표[기록 수],$Q1723))</f>
        <v/>
      </c>
      <c r="K1723" s="20">
        <f>IF($Q1723="","",INDEX(상세표[블록 06~07시],$Q1723))</f>
        <v/>
      </c>
      <c r="L1723" s="20">
        <f>IF($Q1723="","",INDEX(상세표[블록 07~18시],$Q1723))</f>
        <v/>
      </c>
      <c r="M1723" s="20">
        <f>IF($Q1723="","",INDEX(상세표[블록 18~22시],$Q1723))</f>
        <v/>
      </c>
      <c r="N1723" s="20">
        <f>IF($Q1723="","",INDEX(상세표[블록 22~06시],$Q1723))</f>
        <v/>
      </c>
      <c r="O1723">
        <f>IF($Q1723="","",INDEX(상세표[주말·휴일 포함],$Q1723)&amp;"")</f>
        <v/>
      </c>
      <c r="P1723">
        <f>IF($Q1723="","",INDEX(상세표[월 넘김 포함],$Q1723)&amp;"")</f>
        <v/>
      </c>
      <c r="Q1723" s="4">
        <f>IFERROR(MATCH(1718,상세표[연속순번],0),"")</f>
        <v/>
      </c>
    </row>
    <row r="1724">
      <c r="A1724">
        <f>IF($Q1724="","",INDEX(상세표[부서],$Q1724)&amp;"")</f>
        <v/>
      </c>
      <c r="B1724">
        <f>IF($Q1724="","",INDEX(상세표[사번],$Q1724)&amp;"")</f>
        <v/>
      </c>
      <c r="C1724">
        <f>IF($Q1724="","",INDEX(상세표[성명],$Q1724)&amp;"")</f>
        <v/>
      </c>
      <c r="D1724">
        <f>IF($Q1724="","",INDEX(상세표[직위],$Q1724)&amp;"")</f>
        <v/>
      </c>
      <c r="E1724">
        <f>IF($Q1724="","",IF(ISNUMBER(INDEX(상세표[근무일자],$Q1724)),TEXT(INDEX(상세표[근무일자],$Q1724),"yyyy-mm-dd"),INDEX(상세표[근무일자],$Q1724)&amp;""))</f>
        <v/>
      </c>
      <c r="F1724">
        <f>IF($Q1724="","",IF(ISNUMBER(INDEX(상세표[시작],$Q1724)),TEXT(INDEX(상세표[시작],$Q1724),"yyyy-mm-dd hh:mm"),INDEX(상세표[시작],$Q1724)&amp;""))</f>
        <v/>
      </c>
      <c r="G1724">
        <f>IF($Q1724="","",IF(ISNUMBER(INDEX(상세표[블록종료],$Q1724)),TEXT(INDEX(상세표[블록종료],$Q1724),"yyyy-mm-dd hh:mm"),INDEX(상세표[블록종료],$Q1724)&amp;""))</f>
        <v/>
      </c>
      <c r="H1724">
        <f>IF($Q1724="","",CHOOSE(WEEKDAY(INDEX(상세표[시작],$Q1724)),"일","월","화","수","목","금","토"))</f>
        <v/>
      </c>
      <c r="I1724" s="20">
        <f>IF($Q1724="","",INDEX(상세표[연속 시간],$Q1724))</f>
        <v/>
      </c>
      <c r="J1724">
        <f>IF($Q1724="","",INDEX(상세표[기록 수],$Q1724))</f>
        <v/>
      </c>
      <c r="K1724" s="20">
        <f>IF($Q1724="","",INDEX(상세표[블록 06~07시],$Q1724))</f>
        <v/>
      </c>
      <c r="L1724" s="20">
        <f>IF($Q1724="","",INDEX(상세표[블록 07~18시],$Q1724))</f>
        <v/>
      </c>
      <c r="M1724" s="20">
        <f>IF($Q1724="","",INDEX(상세표[블록 18~22시],$Q1724))</f>
        <v/>
      </c>
      <c r="N1724" s="20">
        <f>IF($Q1724="","",INDEX(상세표[블록 22~06시],$Q1724))</f>
        <v/>
      </c>
      <c r="O1724">
        <f>IF($Q1724="","",INDEX(상세표[주말·휴일 포함],$Q1724)&amp;"")</f>
        <v/>
      </c>
      <c r="P1724">
        <f>IF($Q1724="","",INDEX(상세표[월 넘김 포함],$Q1724)&amp;"")</f>
        <v/>
      </c>
      <c r="Q1724" s="4">
        <f>IFERROR(MATCH(1719,상세표[연속순번],0),"")</f>
        <v/>
      </c>
    </row>
    <row r="1725">
      <c r="A1725">
        <f>IF($Q1725="","",INDEX(상세표[부서],$Q1725)&amp;"")</f>
        <v/>
      </c>
      <c r="B1725">
        <f>IF($Q1725="","",INDEX(상세표[사번],$Q1725)&amp;"")</f>
        <v/>
      </c>
      <c r="C1725">
        <f>IF($Q1725="","",INDEX(상세표[성명],$Q1725)&amp;"")</f>
        <v/>
      </c>
      <c r="D1725">
        <f>IF($Q1725="","",INDEX(상세표[직위],$Q1725)&amp;"")</f>
        <v/>
      </c>
      <c r="E1725">
        <f>IF($Q1725="","",IF(ISNUMBER(INDEX(상세표[근무일자],$Q1725)),TEXT(INDEX(상세표[근무일자],$Q1725),"yyyy-mm-dd"),INDEX(상세표[근무일자],$Q1725)&amp;""))</f>
        <v/>
      </c>
      <c r="F1725">
        <f>IF($Q1725="","",IF(ISNUMBER(INDEX(상세표[시작],$Q1725)),TEXT(INDEX(상세표[시작],$Q1725),"yyyy-mm-dd hh:mm"),INDEX(상세표[시작],$Q1725)&amp;""))</f>
        <v/>
      </c>
      <c r="G1725">
        <f>IF($Q1725="","",IF(ISNUMBER(INDEX(상세표[블록종료],$Q1725)),TEXT(INDEX(상세표[블록종료],$Q1725),"yyyy-mm-dd hh:mm"),INDEX(상세표[블록종료],$Q1725)&amp;""))</f>
        <v/>
      </c>
      <c r="H1725">
        <f>IF($Q1725="","",CHOOSE(WEEKDAY(INDEX(상세표[시작],$Q1725)),"일","월","화","수","목","금","토"))</f>
        <v/>
      </c>
      <c r="I1725" s="20">
        <f>IF($Q1725="","",INDEX(상세표[연속 시간],$Q1725))</f>
        <v/>
      </c>
      <c r="J1725">
        <f>IF($Q1725="","",INDEX(상세표[기록 수],$Q1725))</f>
        <v/>
      </c>
      <c r="K1725" s="20">
        <f>IF($Q1725="","",INDEX(상세표[블록 06~07시],$Q1725))</f>
        <v/>
      </c>
      <c r="L1725" s="20">
        <f>IF($Q1725="","",INDEX(상세표[블록 07~18시],$Q1725))</f>
        <v/>
      </c>
      <c r="M1725" s="20">
        <f>IF($Q1725="","",INDEX(상세표[블록 18~22시],$Q1725))</f>
        <v/>
      </c>
      <c r="N1725" s="20">
        <f>IF($Q1725="","",INDEX(상세표[블록 22~06시],$Q1725))</f>
        <v/>
      </c>
      <c r="O1725">
        <f>IF($Q1725="","",INDEX(상세표[주말·휴일 포함],$Q1725)&amp;"")</f>
        <v/>
      </c>
      <c r="P1725">
        <f>IF($Q1725="","",INDEX(상세표[월 넘김 포함],$Q1725)&amp;"")</f>
        <v/>
      </c>
      <c r="Q1725" s="4">
        <f>IFERROR(MATCH(1720,상세표[연속순번],0),"")</f>
        <v/>
      </c>
    </row>
    <row r="1726">
      <c r="A1726">
        <f>IF($Q1726="","",INDEX(상세표[부서],$Q1726)&amp;"")</f>
        <v/>
      </c>
      <c r="B1726">
        <f>IF($Q1726="","",INDEX(상세표[사번],$Q1726)&amp;"")</f>
        <v/>
      </c>
      <c r="C1726">
        <f>IF($Q1726="","",INDEX(상세표[성명],$Q1726)&amp;"")</f>
        <v/>
      </c>
      <c r="D1726">
        <f>IF($Q1726="","",INDEX(상세표[직위],$Q1726)&amp;"")</f>
        <v/>
      </c>
      <c r="E1726">
        <f>IF($Q1726="","",IF(ISNUMBER(INDEX(상세표[근무일자],$Q1726)),TEXT(INDEX(상세표[근무일자],$Q1726),"yyyy-mm-dd"),INDEX(상세표[근무일자],$Q1726)&amp;""))</f>
        <v/>
      </c>
      <c r="F1726">
        <f>IF($Q1726="","",IF(ISNUMBER(INDEX(상세표[시작],$Q1726)),TEXT(INDEX(상세표[시작],$Q1726),"yyyy-mm-dd hh:mm"),INDEX(상세표[시작],$Q1726)&amp;""))</f>
        <v/>
      </c>
      <c r="G1726">
        <f>IF($Q1726="","",IF(ISNUMBER(INDEX(상세표[블록종료],$Q1726)),TEXT(INDEX(상세표[블록종료],$Q1726),"yyyy-mm-dd hh:mm"),INDEX(상세표[블록종료],$Q1726)&amp;""))</f>
        <v/>
      </c>
      <c r="H1726">
        <f>IF($Q1726="","",CHOOSE(WEEKDAY(INDEX(상세표[시작],$Q1726)),"일","월","화","수","목","금","토"))</f>
        <v/>
      </c>
      <c r="I1726" s="20">
        <f>IF($Q1726="","",INDEX(상세표[연속 시간],$Q1726))</f>
        <v/>
      </c>
      <c r="J1726">
        <f>IF($Q1726="","",INDEX(상세표[기록 수],$Q1726))</f>
        <v/>
      </c>
      <c r="K1726" s="20">
        <f>IF($Q1726="","",INDEX(상세표[블록 06~07시],$Q1726))</f>
        <v/>
      </c>
      <c r="L1726" s="20">
        <f>IF($Q1726="","",INDEX(상세표[블록 07~18시],$Q1726))</f>
        <v/>
      </c>
      <c r="M1726" s="20">
        <f>IF($Q1726="","",INDEX(상세표[블록 18~22시],$Q1726))</f>
        <v/>
      </c>
      <c r="N1726" s="20">
        <f>IF($Q1726="","",INDEX(상세표[블록 22~06시],$Q1726))</f>
        <v/>
      </c>
      <c r="O1726">
        <f>IF($Q1726="","",INDEX(상세표[주말·휴일 포함],$Q1726)&amp;"")</f>
        <v/>
      </c>
      <c r="P1726">
        <f>IF($Q1726="","",INDEX(상세표[월 넘김 포함],$Q1726)&amp;"")</f>
        <v/>
      </c>
      <c r="Q1726" s="4">
        <f>IFERROR(MATCH(1721,상세표[연속순번],0),"")</f>
        <v/>
      </c>
    </row>
    <row r="1727">
      <c r="A1727">
        <f>IF($Q1727="","",INDEX(상세표[부서],$Q1727)&amp;"")</f>
        <v/>
      </c>
      <c r="B1727">
        <f>IF($Q1727="","",INDEX(상세표[사번],$Q1727)&amp;"")</f>
        <v/>
      </c>
      <c r="C1727">
        <f>IF($Q1727="","",INDEX(상세표[성명],$Q1727)&amp;"")</f>
        <v/>
      </c>
      <c r="D1727">
        <f>IF($Q1727="","",INDEX(상세표[직위],$Q1727)&amp;"")</f>
        <v/>
      </c>
      <c r="E1727">
        <f>IF($Q1727="","",IF(ISNUMBER(INDEX(상세표[근무일자],$Q1727)),TEXT(INDEX(상세표[근무일자],$Q1727),"yyyy-mm-dd"),INDEX(상세표[근무일자],$Q1727)&amp;""))</f>
        <v/>
      </c>
      <c r="F1727">
        <f>IF($Q1727="","",IF(ISNUMBER(INDEX(상세표[시작],$Q1727)),TEXT(INDEX(상세표[시작],$Q1727),"yyyy-mm-dd hh:mm"),INDEX(상세표[시작],$Q1727)&amp;""))</f>
        <v/>
      </c>
      <c r="G1727">
        <f>IF($Q1727="","",IF(ISNUMBER(INDEX(상세표[블록종료],$Q1727)),TEXT(INDEX(상세표[블록종료],$Q1727),"yyyy-mm-dd hh:mm"),INDEX(상세표[블록종료],$Q1727)&amp;""))</f>
        <v/>
      </c>
      <c r="H1727">
        <f>IF($Q1727="","",CHOOSE(WEEKDAY(INDEX(상세표[시작],$Q1727)),"일","월","화","수","목","금","토"))</f>
        <v/>
      </c>
      <c r="I1727" s="20">
        <f>IF($Q1727="","",INDEX(상세표[연속 시간],$Q1727))</f>
        <v/>
      </c>
      <c r="J1727">
        <f>IF($Q1727="","",INDEX(상세표[기록 수],$Q1727))</f>
        <v/>
      </c>
      <c r="K1727" s="20">
        <f>IF($Q1727="","",INDEX(상세표[블록 06~07시],$Q1727))</f>
        <v/>
      </c>
      <c r="L1727" s="20">
        <f>IF($Q1727="","",INDEX(상세표[블록 07~18시],$Q1727))</f>
        <v/>
      </c>
      <c r="M1727" s="20">
        <f>IF($Q1727="","",INDEX(상세표[블록 18~22시],$Q1727))</f>
        <v/>
      </c>
      <c r="N1727" s="20">
        <f>IF($Q1727="","",INDEX(상세표[블록 22~06시],$Q1727))</f>
        <v/>
      </c>
      <c r="O1727">
        <f>IF($Q1727="","",INDEX(상세표[주말·휴일 포함],$Q1727)&amp;"")</f>
        <v/>
      </c>
      <c r="P1727">
        <f>IF($Q1727="","",INDEX(상세표[월 넘김 포함],$Q1727)&amp;"")</f>
        <v/>
      </c>
      <c r="Q1727" s="4">
        <f>IFERROR(MATCH(1722,상세표[연속순번],0),"")</f>
        <v/>
      </c>
    </row>
    <row r="1728">
      <c r="A1728">
        <f>IF($Q1728="","",INDEX(상세표[부서],$Q1728)&amp;"")</f>
        <v/>
      </c>
      <c r="B1728">
        <f>IF($Q1728="","",INDEX(상세표[사번],$Q1728)&amp;"")</f>
        <v/>
      </c>
      <c r="C1728">
        <f>IF($Q1728="","",INDEX(상세표[성명],$Q1728)&amp;"")</f>
        <v/>
      </c>
      <c r="D1728">
        <f>IF($Q1728="","",INDEX(상세표[직위],$Q1728)&amp;"")</f>
        <v/>
      </c>
      <c r="E1728">
        <f>IF($Q1728="","",IF(ISNUMBER(INDEX(상세표[근무일자],$Q1728)),TEXT(INDEX(상세표[근무일자],$Q1728),"yyyy-mm-dd"),INDEX(상세표[근무일자],$Q1728)&amp;""))</f>
        <v/>
      </c>
      <c r="F1728">
        <f>IF($Q1728="","",IF(ISNUMBER(INDEX(상세표[시작],$Q1728)),TEXT(INDEX(상세표[시작],$Q1728),"yyyy-mm-dd hh:mm"),INDEX(상세표[시작],$Q1728)&amp;""))</f>
        <v/>
      </c>
      <c r="G1728">
        <f>IF($Q1728="","",IF(ISNUMBER(INDEX(상세표[블록종료],$Q1728)),TEXT(INDEX(상세표[블록종료],$Q1728),"yyyy-mm-dd hh:mm"),INDEX(상세표[블록종료],$Q1728)&amp;""))</f>
        <v/>
      </c>
      <c r="H1728">
        <f>IF($Q1728="","",CHOOSE(WEEKDAY(INDEX(상세표[시작],$Q1728)),"일","월","화","수","목","금","토"))</f>
        <v/>
      </c>
      <c r="I1728" s="20">
        <f>IF($Q1728="","",INDEX(상세표[연속 시간],$Q1728))</f>
        <v/>
      </c>
      <c r="J1728">
        <f>IF($Q1728="","",INDEX(상세표[기록 수],$Q1728))</f>
        <v/>
      </c>
      <c r="K1728" s="20">
        <f>IF($Q1728="","",INDEX(상세표[블록 06~07시],$Q1728))</f>
        <v/>
      </c>
      <c r="L1728" s="20">
        <f>IF($Q1728="","",INDEX(상세표[블록 07~18시],$Q1728))</f>
        <v/>
      </c>
      <c r="M1728" s="20">
        <f>IF($Q1728="","",INDEX(상세표[블록 18~22시],$Q1728))</f>
        <v/>
      </c>
      <c r="N1728" s="20">
        <f>IF($Q1728="","",INDEX(상세표[블록 22~06시],$Q1728))</f>
        <v/>
      </c>
      <c r="O1728">
        <f>IF($Q1728="","",INDEX(상세표[주말·휴일 포함],$Q1728)&amp;"")</f>
        <v/>
      </c>
      <c r="P1728">
        <f>IF($Q1728="","",INDEX(상세표[월 넘김 포함],$Q1728)&amp;"")</f>
        <v/>
      </c>
      <c r="Q1728" s="4">
        <f>IFERROR(MATCH(1723,상세표[연속순번],0),"")</f>
        <v/>
      </c>
    </row>
    <row r="1729">
      <c r="A1729">
        <f>IF($Q1729="","",INDEX(상세표[부서],$Q1729)&amp;"")</f>
        <v/>
      </c>
      <c r="B1729">
        <f>IF($Q1729="","",INDEX(상세표[사번],$Q1729)&amp;"")</f>
        <v/>
      </c>
      <c r="C1729">
        <f>IF($Q1729="","",INDEX(상세표[성명],$Q1729)&amp;"")</f>
        <v/>
      </c>
      <c r="D1729">
        <f>IF($Q1729="","",INDEX(상세표[직위],$Q1729)&amp;"")</f>
        <v/>
      </c>
      <c r="E1729">
        <f>IF($Q1729="","",IF(ISNUMBER(INDEX(상세표[근무일자],$Q1729)),TEXT(INDEX(상세표[근무일자],$Q1729),"yyyy-mm-dd"),INDEX(상세표[근무일자],$Q1729)&amp;""))</f>
        <v/>
      </c>
      <c r="F1729">
        <f>IF($Q1729="","",IF(ISNUMBER(INDEX(상세표[시작],$Q1729)),TEXT(INDEX(상세표[시작],$Q1729),"yyyy-mm-dd hh:mm"),INDEX(상세표[시작],$Q1729)&amp;""))</f>
        <v/>
      </c>
      <c r="G1729">
        <f>IF($Q1729="","",IF(ISNUMBER(INDEX(상세표[블록종료],$Q1729)),TEXT(INDEX(상세표[블록종료],$Q1729),"yyyy-mm-dd hh:mm"),INDEX(상세표[블록종료],$Q1729)&amp;""))</f>
        <v/>
      </c>
      <c r="H1729">
        <f>IF($Q1729="","",CHOOSE(WEEKDAY(INDEX(상세표[시작],$Q1729)),"일","월","화","수","목","금","토"))</f>
        <v/>
      </c>
      <c r="I1729" s="20">
        <f>IF($Q1729="","",INDEX(상세표[연속 시간],$Q1729))</f>
        <v/>
      </c>
      <c r="J1729">
        <f>IF($Q1729="","",INDEX(상세표[기록 수],$Q1729))</f>
        <v/>
      </c>
      <c r="K1729" s="20">
        <f>IF($Q1729="","",INDEX(상세표[블록 06~07시],$Q1729))</f>
        <v/>
      </c>
      <c r="L1729" s="20">
        <f>IF($Q1729="","",INDEX(상세표[블록 07~18시],$Q1729))</f>
        <v/>
      </c>
      <c r="M1729" s="20">
        <f>IF($Q1729="","",INDEX(상세표[블록 18~22시],$Q1729))</f>
        <v/>
      </c>
      <c r="N1729" s="20">
        <f>IF($Q1729="","",INDEX(상세표[블록 22~06시],$Q1729))</f>
        <v/>
      </c>
      <c r="O1729">
        <f>IF($Q1729="","",INDEX(상세표[주말·휴일 포함],$Q1729)&amp;"")</f>
        <v/>
      </c>
      <c r="P1729">
        <f>IF($Q1729="","",INDEX(상세표[월 넘김 포함],$Q1729)&amp;"")</f>
        <v/>
      </c>
      <c r="Q1729" s="4">
        <f>IFERROR(MATCH(1724,상세표[연속순번],0),"")</f>
        <v/>
      </c>
    </row>
    <row r="1730">
      <c r="A1730">
        <f>IF($Q1730="","",INDEX(상세표[부서],$Q1730)&amp;"")</f>
        <v/>
      </c>
      <c r="B1730">
        <f>IF($Q1730="","",INDEX(상세표[사번],$Q1730)&amp;"")</f>
        <v/>
      </c>
      <c r="C1730">
        <f>IF($Q1730="","",INDEX(상세표[성명],$Q1730)&amp;"")</f>
        <v/>
      </c>
      <c r="D1730">
        <f>IF($Q1730="","",INDEX(상세표[직위],$Q1730)&amp;"")</f>
        <v/>
      </c>
      <c r="E1730">
        <f>IF($Q1730="","",IF(ISNUMBER(INDEX(상세표[근무일자],$Q1730)),TEXT(INDEX(상세표[근무일자],$Q1730),"yyyy-mm-dd"),INDEX(상세표[근무일자],$Q1730)&amp;""))</f>
        <v/>
      </c>
      <c r="F1730">
        <f>IF($Q1730="","",IF(ISNUMBER(INDEX(상세표[시작],$Q1730)),TEXT(INDEX(상세표[시작],$Q1730),"yyyy-mm-dd hh:mm"),INDEX(상세표[시작],$Q1730)&amp;""))</f>
        <v/>
      </c>
      <c r="G1730">
        <f>IF($Q1730="","",IF(ISNUMBER(INDEX(상세표[블록종료],$Q1730)),TEXT(INDEX(상세표[블록종료],$Q1730),"yyyy-mm-dd hh:mm"),INDEX(상세표[블록종료],$Q1730)&amp;""))</f>
        <v/>
      </c>
      <c r="H1730">
        <f>IF($Q1730="","",CHOOSE(WEEKDAY(INDEX(상세표[시작],$Q1730)),"일","월","화","수","목","금","토"))</f>
        <v/>
      </c>
      <c r="I1730" s="20">
        <f>IF($Q1730="","",INDEX(상세표[연속 시간],$Q1730))</f>
        <v/>
      </c>
      <c r="J1730">
        <f>IF($Q1730="","",INDEX(상세표[기록 수],$Q1730))</f>
        <v/>
      </c>
      <c r="K1730" s="20">
        <f>IF($Q1730="","",INDEX(상세표[블록 06~07시],$Q1730))</f>
        <v/>
      </c>
      <c r="L1730" s="20">
        <f>IF($Q1730="","",INDEX(상세표[블록 07~18시],$Q1730))</f>
        <v/>
      </c>
      <c r="M1730" s="20">
        <f>IF($Q1730="","",INDEX(상세표[블록 18~22시],$Q1730))</f>
        <v/>
      </c>
      <c r="N1730" s="20">
        <f>IF($Q1730="","",INDEX(상세표[블록 22~06시],$Q1730))</f>
        <v/>
      </c>
      <c r="O1730">
        <f>IF($Q1730="","",INDEX(상세표[주말·휴일 포함],$Q1730)&amp;"")</f>
        <v/>
      </c>
      <c r="P1730">
        <f>IF($Q1730="","",INDEX(상세표[월 넘김 포함],$Q1730)&amp;"")</f>
        <v/>
      </c>
      <c r="Q1730" s="4">
        <f>IFERROR(MATCH(1725,상세표[연속순번],0),"")</f>
        <v/>
      </c>
    </row>
    <row r="1731">
      <c r="A1731">
        <f>IF($Q1731="","",INDEX(상세표[부서],$Q1731)&amp;"")</f>
        <v/>
      </c>
      <c r="B1731">
        <f>IF($Q1731="","",INDEX(상세표[사번],$Q1731)&amp;"")</f>
        <v/>
      </c>
      <c r="C1731">
        <f>IF($Q1731="","",INDEX(상세표[성명],$Q1731)&amp;"")</f>
        <v/>
      </c>
      <c r="D1731">
        <f>IF($Q1731="","",INDEX(상세표[직위],$Q1731)&amp;"")</f>
        <v/>
      </c>
      <c r="E1731">
        <f>IF($Q1731="","",IF(ISNUMBER(INDEX(상세표[근무일자],$Q1731)),TEXT(INDEX(상세표[근무일자],$Q1731),"yyyy-mm-dd"),INDEX(상세표[근무일자],$Q1731)&amp;""))</f>
        <v/>
      </c>
      <c r="F1731">
        <f>IF($Q1731="","",IF(ISNUMBER(INDEX(상세표[시작],$Q1731)),TEXT(INDEX(상세표[시작],$Q1731),"yyyy-mm-dd hh:mm"),INDEX(상세표[시작],$Q1731)&amp;""))</f>
        <v/>
      </c>
      <c r="G1731">
        <f>IF($Q1731="","",IF(ISNUMBER(INDEX(상세표[블록종료],$Q1731)),TEXT(INDEX(상세표[블록종료],$Q1731),"yyyy-mm-dd hh:mm"),INDEX(상세표[블록종료],$Q1731)&amp;""))</f>
        <v/>
      </c>
      <c r="H1731">
        <f>IF($Q1731="","",CHOOSE(WEEKDAY(INDEX(상세표[시작],$Q1731)),"일","월","화","수","목","금","토"))</f>
        <v/>
      </c>
      <c r="I1731" s="20">
        <f>IF($Q1731="","",INDEX(상세표[연속 시간],$Q1731))</f>
        <v/>
      </c>
      <c r="J1731">
        <f>IF($Q1731="","",INDEX(상세표[기록 수],$Q1731))</f>
        <v/>
      </c>
      <c r="K1731" s="20">
        <f>IF($Q1731="","",INDEX(상세표[블록 06~07시],$Q1731))</f>
        <v/>
      </c>
      <c r="L1731" s="20">
        <f>IF($Q1731="","",INDEX(상세표[블록 07~18시],$Q1731))</f>
        <v/>
      </c>
      <c r="M1731" s="20">
        <f>IF($Q1731="","",INDEX(상세표[블록 18~22시],$Q1731))</f>
        <v/>
      </c>
      <c r="N1731" s="20">
        <f>IF($Q1731="","",INDEX(상세표[블록 22~06시],$Q1731))</f>
        <v/>
      </c>
      <c r="O1731">
        <f>IF($Q1731="","",INDEX(상세표[주말·휴일 포함],$Q1731)&amp;"")</f>
        <v/>
      </c>
      <c r="P1731">
        <f>IF($Q1731="","",INDEX(상세표[월 넘김 포함],$Q1731)&amp;"")</f>
        <v/>
      </c>
      <c r="Q1731" s="4">
        <f>IFERROR(MATCH(1726,상세표[연속순번],0),"")</f>
        <v/>
      </c>
    </row>
    <row r="1732">
      <c r="A1732">
        <f>IF($Q1732="","",INDEX(상세표[부서],$Q1732)&amp;"")</f>
        <v/>
      </c>
      <c r="B1732">
        <f>IF($Q1732="","",INDEX(상세표[사번],$Q1732)&amp;"")</f>
        <v/>
      </c>
      <c r="C1732">
        <f>IF($Q1732="","",INDEX(상세표[성명],$Q1732)&amp;"")</f>
        <v/>
      </c>
      <c r="D1732">
        <f>IF($Q1732="","",INDEX(상세표[직위],$Q1732)&amp;"")</f>
        <v/>
      </c>
      <c r="E1732">
        <f>IF($Q1732="","",IF(ISNUMBER(INDEX(상세표[근무일자],$Q1732)),TEXT(INDEX(상세표[근무일자],$Q1732),"yyyy-mm-dd"),INDEX(상세표[근무일자],$Q1732)&amp;""))</f>
        <v/>
      </c>
      <c r="F1732">
        <f>IF($Q1732="","",IF(ISNUMBER(INDEX(상세표[시작],$Q1732)),TEXT(INDEX(상세표[시작],$Q1732),"yyyy-mm-dd hh:mm"),INDEX(상세표[시작],$Q1732)&amp;""))</f>
        <v/>
      </c>
      <c r="G1732">
        <f>IF($Q1732="","",IF(ISNUMBER(INDEX(상세표[블록종료],$Q1732)),TEXT(INDEX(상세표[블록종료],$Q1732),"yyyy-mm-dd hh:mm"),INDEX(상세표[블록종료],$Q1732)&amp;""))</f>
        <v/>
      </c>
      <c r="H1732">
        <f>IF($Q1732="","",CHOOSE(WEEKDAY(INDEX(상세표[시작],$Q1732)),"일","월","화","수","목","금","토"))</f>
        <v/>
      </c>
      <c r="I1732" s="20">
        <f>IF($Q1732="","",INDEX(상세표[연속 시간],$Q1732))</f>
        <v/>
      </c>
      <c r="J1732">
        <f>IF($Q1732="","",INDEX(상세표[기록 수],$Q1732))</f>
        <v/>
      </c>
      <c r="K1732" s="20">
        <f>IF($Q1732="","",INDEX(상세표[블록 06~07시],$Q1732))</f>
        <v/>
      </c>
      <c r="L1732" s="20">
        <f>IF($Q1732="","",INDEX(상세표[블록 07~18시],$Q1732))</f>
        <v/>
      </c>
      <c r="M1732" s="20">
        <f>IF($Q1732="","",INDEX(상세표[블록 18~22시],$Q1732))</f>
        <v/>
      </c>
      <c r="N1732" s="20">
        <f>IF($Q1732="","",INDEX(상세표[블록 22~06시],$Q1732))</f>
        <v/>
      </c>
      <c r="O1732">
        <f>IF($Q1732="","",INDEX(상세표[주말·휴일 포함],$Q1732)&amp;"")</f>
        <v/>
      </c>
      <c r="P1732">
        <f>IF($Q1732="","",INDEX(상세표[월 넘김 포함],$Q1732)&amp;"")</f>
        <v/>
      </c>
      <c r="Q1732" s="4">
        <f>IFERROR(MATCH(1727,상세표[연속순번],0),"")</f>
        <v/>
      </c>
    </row>
    <row r="1733">
      <c r="A1733">
        <f>IF($Q1733="","",INDEX(상세표[부서],$Q1733)&amp;"")</f>
        <v/>
      </c>
      <c r="B1733">
        <f>IF($Q1733="","",INDEX(상세표[사번],$Q1733)&amp;"")</f>
        <v/>
      </c>
      <c r="C1733">
        <f>IF($Q1733="","",INDEX(상세표[성명],$Q1733)&amp;"")</f>
        <v/>
      </c>
      <c r="D1733">
        <f>IF($Q1733="","",INDEX(상세표[직위],$Q1733)&amp;"")</f>
        <v/>
      </c>
      <c r="E1733">
        <f>IF($Q1733="","",IF(ISNUMBER(INDEX(상세표[근무일자],$Q1733)),TEXT(INDEX(상세표[근무일자],$Q1733),"yyyy-mm-dd"),INDEX(상세표[근무일자],$Q1733)&amp;""))</f>
        <v/>
      </c>
      <c r="F1733">
        <f>IF($Q1733="","",IF(ISNUMBER(INDEX(상세표[시작],$Q1733)),TEXT(INDEX(상세표[시작],$Q1733),"yyyy-mm-dd hh:mm"),INDEX(상세표[시작],$Q1733)&amp;""))</f>
        <v/>
      </c>
      <c r="G1733">
        <f>IF($Q1733="","",IF(ISNUMBER(INDEX(상세표[블록종료],$Q1733)),TEXT(INDEX(상세표[블록종료],$Q1733),"yyyy-mm-dd hh:mm"),INDEX(상세표[블록종료],$Q1733)&amp;""))</f>
        <v/>
      </c>
      <c r="H1733">
        <f>IF($Q1733="","",CHOOSE(WEEKDAY(INDEX(상세표[시작],$Q1733)),"일","월","화","수","목","금","토"))</f>
        <v/>
      </c>
      <c r="I1733" s="20">
        <f>IF($Q1733="","",INDEX(상세표[연속 시간],$Q1733))</f>
        <v/>
      </c>
      <c r="J1733">
        <f>IF($Q1733="","",INDEX(상세표[기록 수],$Q1733))</f>
        <v/>
      </c>
      <c r="K1733" s="20">
        <f>IF($Q1733="","",INDEX(상세표[블록 06~07시],$Q1733))</f>
        <v/>
      </c>
      <c r="L1733" s="20">
        <f>IF($Q1733="","",INDEX(상세표[블록 07~18시],$Q1733))</f>
        <v/>
      </c>
      <c r="M1733" s="20">
        <f>IF($Q1733="","",INDEX(상세표[블록 18~22시],$Q1733))</f>
        <v/>
      </c>
      <c r="N1733" s="20">
        <f>IF($Q1733="","",INDEX(상세표[블록 22~06시],$Q1733))</f>
        <v/>
      </c>
      <c r="O1733">
        <f>IF($Q1733="","",INDEX(상세표[주말·휴일 포함],$Q1733)&amp;"")</f>
        <v/>
      </c>
      <c r="P1733">
        <f>IF($Q1733="","",INDEX(상세표[월 넘김 포함],$Q1733)&amp;"")</f>
        <v/>
      </c>
      <c r="Q1733" s="4">
        <f>IFERROR(MATCH(1728,상세표[연속순번],0),"")</f>
        <v/>
      </c>
    </row>
    <row r="1734">
      <c r="A1734">
        <f>IF($Q1734="","",INDEX(상세표[부서],$Q1734)&amp;"")</f>
        <v/>
      </c>
      <c r="B1734">
        <f>IF($Q1734="","",INDEX(상세표[사번],$Q1734)&amp;"")</f>
        <v/>
      </c>
      <c r="C1734">
        <f>IF($Q1734="","",INDEX(상세표[성명],$Q1734)&amp;"")</f>
        <v/>
      </c>
      <c r="D1734">
        <f>IF($Q1734="","",INDEX(상세표[직위],$Q1734)&amp;"")</f>
        <v/>
      </c>
      <c r="E1734">
        <f>IF($Q1734="","",IF(ISNUMBER(INDEX(상세표[근무일자],$Q1734)),TEXT(INDEX(상세표[근무일자],$Q1734),"yyyy-mm-dd"),INDEX(상세표[근무일자],$Q1734)&amp;""))</f>
        <v/>
      </c>
      <c r="F1734">
        <f>IF($Q1734="","",IF(ISNUMBER(INDEX(상세표[시작],$Q1734)),TEXT(INDEX(상세표[시작],$Q1734),"yyyy-mm-dd hh:mm"),INDEX(상세표[시작],$Q1734)&amp;""))</f>
        <v/>
      </c>
      <c r="G1734">
        <f>IF($Q1734="","",IF(ISNUMBER(INDEX(상세표[블록종료],$Q1734)),TEXT(INDEX(상세표[블록종료],$Q1734),"yyyy-mm-dd hh:mm"),INDEX(상세표[블록종료],$Q1734)&amp;""))</f>
        <v/>
      </c>
      <c r="H1734">
        <f>IF($Q1734="","",CHOOSE(WEEKDAY(INDEX(상세표[시작],$Q1734)),"일","월","화","수","목","금","토"))</f>
        <v/>
      </c>
      <c r="I1734" s="20">
        <f>IF($Q1734="","",INDEX(상세표[연속 시간],$Q1734))</f>
        <v/>
      </c>
      <c r="J1734">
        <f>IF($Q1734="","",INDEX(상세표[기록 수],$Q1734))</f>
        <v/>
      </c>
      <c r="K1734" s="20">
        <f>IF($Q1734="","",INDEX(상세표[블록 06~07시],$Q1734))</f>
        <v/>
      </c>
      <c r="L1734" s="20">
        <f>IF($Q1734="","",INDEX(상세표[블록 07~18시],$Q1734))</f>
        <v/>
      </c>
      <c r="M1734" s="20">
        <f>IF($Q1734="","",INDEX(상세표[블록 18~22시],$Q1734))</f>
        <v/>
      </c>
      <c r="N1734" s="20">
        <f>IF($Q1734="","",INDEX(상세표[블록 22~06시],$Q1734))</f>
        <v/>
      </c>
      <c r="O1734">
        <f>IF($Q1734="","",INDEX(상세표[주말·휴일 포함],$Q1734)&amp;"")</f>
        <v/>
      </c>
      <c r="P1734">
        <f>IF($Q1734="","",INDEX(상세표[월 넘김 포함],$Q1734)&amp;"")</f>
        <v/>
      </c>
      <c r="Q1734" s="4">
        <f>IFERROR(MATCH(1729,상세표[연속순번],0),"")</f>
        <v/>
      </c>
    </row>
    <row r="1735">
      <c r="A1735">
        <f>IF($Q1735="","",INDEX(상세표[부서],$Q1735)&amp;"")</f>
        <v/>
      </c>
      <c r="B1735">
        <f>IF($Q1735="","",INDEX(상세표[사번],$Q1735)&amp;"")</f>
        <v/>
      </c>
      <c r="C1735">
        <f>IF($Q1735="","",INDEX(상세표[성명],$Q1735)&amp;"")</f>
        <v/>
      </c>
      <c r="D1735">
        <f>IF($Q1735="","",INDEX(상세표[직위],$Q1735)&amp;"")</f>
        <v/>
      </c>
      <c r="E1735">
        <f>IF($Q1735="","",IF(ISNUMBER(INDEX(상세표[근무일자],$Q1735)),TEXT(INDEX(상세표[근무일자],$Q1735),"yyyy-mm-dd"),INDEX(상세표[근무일자],$Q1735)&amp;""))</f>
        <v/>
      </c>
      <c r="F1735">
        <f>IF($Q1735="","",IF(ISNUMBER(INDEX(상세표[시작],$Q1735)),TEXT(INDEX(상세표[시작],$Q1735),"yyyy-mm-dd hh:mm"),INDEX(상세표[시작],$Q1735)&amp;""))</f>
        <v/>
      </c>
      <c r="G1735">
        <f>IF($Q1735="","",IF(ISNUMBER(INDEX(상세표[블록종료],$Q1735)),TEXT(INDEX(상세표[블록종료],$Q1735),"yyyy-mm-dd hh:mm"),INDEX(상세표[블록종료],$Q1735)&amp;""))</f>
        <v/>
      </c>
      <c r="H1735">
        <f>IF($Q1735="","",CHOOSE(WEEKDAY(INDEX(상세표[시작],$Q1735)),"일","월","화","수","목","금","토"))</f>
        <v/>
      </c>
      <c r="I1735" s="20">
        <f>IF($Q1735="","",INDEX(상세표[연속 시간],$Q1735))</f>
        <v/>
      </c>
      <c r="J1735">
        <f>IF($Q1735="","",INDEX(상세표[기록 수],$Q1735))</f>
        <v/>
      </c>
      <c r="K1735" s="20">
        <f>IF($Q1735="","",INDEX(상세표[블록 06~07시],$Q1735))</f>
        <v/>
      </c>
      <c r="L1735" s="20">
        <f>IF($Q1735="","",INDEX(상세표[블록 07~18시],$Q1735))</f>
        <v/>
      </c>
      <c r="M1735" s="20">
        <f>IF($Q1735="","",INDEX(상세표[블록 18~22시],$Q1735))</f>
        <v/>
      </c>
      <c r="N1735" s="20">
        <f>IF($Q1735="","",INDEX(상세표[블록 22~06시],$Q1735))</f>
        <v/>
      </c>
      <c r="O1735">
        <f>IF($Q1735="","",INDEX(상세표[주말·휴일 포함],$Q1735)&amp;"")</f>
        <v/>
      </c>
      <c r="P1735">
        <f>IF($Q1735="","",INDEX(상세표[월 넘김 포함],$Q1735)&amp;"")</f>
        <v/>
      </c>
      <c r="Q1735" s="4">
        <f>IFERROR(MATCH(1730,상세표[연속순번],0),"")</f>
        <v/>
      </c>
    </row>
    <row r="1736">
      <c r="A1736">
        <f>IF($Q1736="","",INDEX(상세표[부서],$Q1736)&amp;"")</f>
        <v/>
      </c>
      <c r="B1736">
        <f>IF($Q1736="","",INDEX(상세표[사번],$Q1736)&amp;"")</f>
        <v/>
      </c>
      <c r="C1736">
        <f>IF($Q1736="","",INDEX(상세표[성명],$Q1736)&amp;"")</f>
        <v/>
      </c>
      <c r="D1736">
        <f>IF($Q1736="","",INDEX(상세표[직위],$Q1736)&amp;"")</f>
        <v/>
      </c>
      <c r="E1736">
        <f>IF($Q1736="","",IF(ISNUMBER(INDEX(상세표[근무일자],$Q1736)),TEXT(INDEX(상세표[근무일자],$Q1736),"yyyy-mm-dd"),INDEX(상세표[근무일자],$Q1736)&amp;""))</f>
        <v/>
      </c>
      <c r="F1736">
        <f>IF($Q1736="","",IF(ISNUMBER(INDEX(상세표[시작],$Q1736)),TEXT(INDEX(상세표[시작],$Q1736),"yyyy-mm-dd hh:mm"),INDEX(상세표[시작],$Q1736)&amp;""))</f>
        <v/>
      </c>
      <c r="G1736">
        <f>IF($Q1736="","",IF(ISNUMBER(INDEX(상세표[블록종료],$Q1736)),TEXT(INDEX(상세표[블록종료],$Q1736),"yyyy-mm-dd hh:mm"),INDEX(상세표[블록종료],$Q1736)&amp;""))</f>
        <v/>
      </c>
      <c r="H1736">
        <f>IF($Q1736="","",CHOOSE(WEEKDAY(INDEX(상세표[시작],$Q1736)),"일","월","화","수","목","금","토"))</f>
        <v/>
      </c>
      <c r="I1736" s="20">
        <f>IF($Q1736="","",INDEX(상세표[연속 시간],$Q1736))</f>
        <v/>
      </c>
      <c r="J1736">
        <f>IF($Q1736="","",INDEX(상세표[기록 수],$Q1736))</f>
        <v/>
      </c>
      <c r="K1736" s="20">
        <f>IF($Q1736="","",INDEX(상세표[블록 06~07시],$Q1736))</f>
        <v/>
      </c>
      <c r="L1736" s="20">
        <f>IF($Q1736="","",INDEX(상세표[블록 07~18시],$Q1736))</f>
        <v/>
      </c>
      <c r="M1736" s="20">
        <f>IF($Q1736="","",INDEX(상세표[블록 18~22시],$Q1736))</f>
        <v/>
      </c>
      <c r="N1736" s="20">
        <f>IF($Q1736="","",INDEX(상세표[블록 22~06시],$Q1736))</f>
        <v/>
      </c>
      <c r="O1736">
        <f>IF($Q1736="","",INDEX(상세표[주말·휴일 포함],$Q1736)&amp;"")</f>
        <v/>
      </c>
      <c r="P1736">
        <f>IF($Q1736="","",INDEX(상세표[월 넘김 포함],$Q1736)&amp;"")</f>
        <v/>
      </c>
      <c r="Q1736" s="4">
        <f>IFERROR(MATCH(1731,상세표[연속순번],0),"")</f>
        <v/>
      </c>
    </row>
    <row r="1737">
      <c r="A1737">
        <f>IF($Q1737="","",INDEX(상세표[부서],$Q1737)&amp;"")</f>
        <v/>
      </c>
      <c r="B1737">
        <f>IF($Q1737="","",INDEX(상세표[사번],$Q1737)&amp;"")</f>
        <v/>
      </c>
      <c r="C1737">
        <f>IF($Q1737="","",INDEX(상세표[성명],$Q1737)&amp;"")</f>
        <v/>
      </c>
      <c r="D1737">
        <f>IF($Q1737="","",INDEX(상세표[직위],$Q1737)&amp;"")</f>
        <v/>
      </c>
      <c r="E1737">
        <f>IF($Q1737="","",IF(ISNUMBER(INDEX(상세표[근무일자],$Q1737)),TEXT(INDEX(상세표[근무일자],$Q1737),"yyyy-mm-dd"),INDEX(상세표[근무일자],$Q1737)&amp;""))</f>
        <v/>
      </c>
      <c r="F1737">
        <f>IF($Q1737="","",IF(ISNUMBER(INDEX(상세표[시작],$Q1737)),TEXT(INDEX(상세표[시작],$Q1737),"yyyy-mm-dd hh:mm"),INDEX(상세표[시작],$Q1737)&amp;""))</f>
        <v/>
      </c>
      <c r="G1737">
        <f>IF($Q1737="","",IF(ISNUMBER(INDEX(상세표[블록종료],$Q1737)),TEXT(INDEX(상세표[블록종료],$Q1737),"yyyy-mm-dd hh:mm"),INDEX(상세표[블록종료],$Q1737)&amp;""))</f>
        <v/>
      </c>
      <c r="H1737">
        <f>IF($Q1737="","",CHOOSE(WEEKDAY(INDEX(상세표[시작],$Q1737)),"일","월","화","수","목","금","토"))</f>
        <v/>
      </c>
      <c r="I1737" s="20">
        <f>IF($Q1737="","",INDEX(상세표[연속 시간],$Q1737))</f>
        <v/>
      </c>
      <c r="J1737">
        <f>IF($Q1737="","",INDEX(상세표[기록 수],$Q1737))</f>
        <v/>
      </c>
      <c r="K1737" s="20">
        <f>IF($Q1737="","",INDEX(상세표[블록 06~07시],$Q1737))</f>
        <v/>
      </c>
      <c r="L1737" s="20">
        <f>IF($Q1737="","",INDEX(상세표[블록 07~18시],$Q1737))</f>
        <v/>
      </c>
      <c r="M1737" s="20">
        <f>IF($Q1737="","",INDEX(상세표[블록 18~22시],$Q1737))</f>
        <v/>
      </c>
      <c r="N1737" s="20">
        <f>IF($Q1737="","",INDEX(상세표[블록 22~06시],$Q1737))</f>
        <v/>
      </c>
      <c r="O1737">
        <f>IF($Q1737="","",INDEX(상세표[주말·휴일 포함],$Q1737)&amp;"")</f>
        <v/>
      </c>
      <c r="P1737">
        <f>IF($Q1737="","",INDEX(상세표[월 넘김 포함],$Q1737)&amp;"")</f>
        <v/>
      </c>
      <c r="Q1737" s="4">
        <f>IFERROR(MATCH(1732,상세표[연속순번],0),"")</f>
        <v/>
      </c>
    </row>
    <row r="1738">
      <c r="A1738">
        <f>IF($Q1738="","",INDEX(상세표[부서],$Q1738)&amp;"")</f>
        <v/>
      </c>
      <c r="B1738">
        <f>IF($Q1738="","",INDEX(상세표[사번],$Q1738)&amp;"")</f>
        <v/>
      </c>
      <c r="C1738">
        <f>IF($Q1738="","",INDEX(상세표[성명],$Q1738)&amp;"")</f>
        <v/>
      </c>
      <c r="D1738">
        <f>IF($Q1738="","",INDEX(상세표[직위],$Q1738)&amp;"")</f>
        <v/>
      </c>
      <c r="E1738">
        <f>IF($Q1738="","",IF(ISNUMBER(INDEX(상세표[근무일자],$Q1738)),TEXT(INDEX(상세표[근무일자],$Q1738),"yyyy-mm-dd"),INDEX(상세표[근무일자],$Q1738)&amp;""))</f>
        <v/>
      </c>
      <c r="F1738">
        <f>IF($Q1738="","",IF(ISNUMBER(INDEX(상세표[시작],$Q1738)),TEXT(INDEX(상세표[시작],$Q1738),"yyyy-mm-dd hh:mm"),INDEX(상세표[시작],$Q1738)&amp;""))</f>
        <v/>
      </c>
      <c r="G1738">
        <f>IF($Q1738="","",IF(ISNUMBER(INDEX(상세표[블록종료],$Q1738)),TEXT(INDEX(상세표[블록종료],$Q1738),"yyyy-mm-dd hh:mm"),INDEX(상세표[블록종료],$Q1738)&amp;""))</f>
        <v/>
      </c>
      <c r="H1738">
        <f>IF($Q1738="","",CHOOSE(WEEKDAY(INDEX(상세표[시작],$Q1738)),"일","월","화","수","목","금","토"))</f>
        <v/>
      </c>
      <c r="I1738" s="20">
        <f>IF($Q1738="","",INDEX(상세표[연속 시간],$Q1738))</f>
        <v/>
      </c>
      <c r="J1738">
        <f>IF($Q1738="","",INDEX(상세표[기록 수],$Q1738))</f>
        <v/>
      </c>
      <c r="K1738" s="20">
        <f>IF($Q1738="","",INDEX(상세표[블록 06~07시],$Q1738))</f>
        <v/>
      </c>
      <c r="L1738" s="20">
        <f>IF($Q1738="","",INDEX(상세표[블록 07~18시],$Q1738))</f>
        <v/>
      </c>
      <c r="M1738" s="20">
        <f>IF($Q1738="","",INDEX(상세표[블록 18~22시],$Q1738))</f>
        <v/>
      </c>
      <c r="N1738" s="20">
        <f>IF($Q1738="","",INDEX(상세표[블록 22~06시],$Q1738))</f>
        <v/>
      </c>
      <c r="O1738">
        <f>IF($Q1738="","",INDEX(상세표[주말·휴일 포함],$Q1738)&amp;"")</f>
        <v/>
      </c>
      <c r="P1738">
        <f>IF($Q1738="","",INDEX(상세표[월 넘김 포함],$Q1738)&amp;"")</f>
        <v/>
      </c>
      <c r="Q1738" s="4">
        <f>IFERROR(MATCH(1733,상세표[연속순번],0),"")</f>
        <v/>
      </c>
    </row>
    <row r="1739">
      <c r="A1739">
        <f>IF($Q1739="","",INDEX(상세표[부서],$Q1739)&amp;"")</f>
        <v/>
      </c>
      <c r="B1739">
        <f>IF($Q1739="","",INDEX(상세표[사번],$Q1739)&amp;"")</f>
        <v/>
      </c>
      <c r="C1739">
        <f>IF($Q1739="","",INDEX(상세표[성명],$Q1739)&amp;"")</f>
        <v/>
      </c>
      <c r="D1739">
        <f>IF($Q1739="","",INDEX(상세표[직위],$Q1739)&amp;"")</f>
        <v/>
      </c>
      <c r="E1739">
        <f>IF($Q1739="","",IF(ISNUMBER(INDEX(상세표[근무일자],$Q1739)),TEXT(INDEX(상세표[근무일자],$Q1739),"yyyy-mm-dd"),INDEX(상세표[근무일자],$Q1739)&amp;""))</f>
        <v/>
      </c>
      <c r="F1739">
        <f>IF($Q1739="","",IF(ISNUMBER(INDEX(상세표[시작],$Q1739)),TEXT(INDEX(상세표[시작],$Q1739),"yyyy-mm-dd hh:mm"),INDEX(상세표[시작],$Q1739)&amp;""))</f>
        <v/>
      </c>
      <c r="G1739">
        <f>IF($Q1739="","",IF(ISNUMBER(INDEX(상세표[블록종료],$Q1739)),TEXT(INDEX(상세표[블록종료],$Q1739),"yyyy-mm-dd hh:mm"),INDEX(상세표[블록종료],$Q1739)&amp;""))</f>
        <v/>
      </c>
      <c r="H1739">
        <f>IF($Q1739="","",CHOOSE(WEEKDAY(INDEX(상세표[시작],$Q1739)),"일","월","화","수","목","금","토"))</f>
        <v/>
      </c>
      <c r="I1739" s="20">
        <f>IF($Q1739="","",INDEX(상세표[연속 시간],$Q1739))</f>
        <v/>
      </c>
      <c r="J1739">
        <f>IF($Q1739="","",INDEX(상세표[기록 수],$Q1739))</f>
        <v/>
      </c>
      <c r="K1739" s="20">
        <f>IF($Q1739="","",INDEX(상세표[블록 06~07시],$Q1739))</f>
        <v/>
      </c>
      <c r="L1739" s="20">
        <f>IF($Q1739="","",INDEX(상세표[블록 07~18시],$Q1739))</f>
        <v/>
      </c>
      <c r="M1739" s="20">
        <f>IF($Q1739="","",INDEX(상세표[블록 18~22시],$Q1739))</f>
        <v/>
      </c>
      <c r="N1739" s="20">
        <f>IF($Q1739="","",INDEX(상세표[블록 22~06시],$Q1739))</f>
        <v/>
      </c>
      <c r="O1739">
        <f>IF($Q1739="","",INDEX(상세표[주말·휴일 포함],$Q1739)&amp;"")</f>
        <v/>
      </c>
      <c r="P1739">
        <f>IF($Q1739="","",INDEX(상세표[월 넘김 포함],$Q1739)&amp;"")</f>
        <v/>
      </c>
      <c r="Q1739" s="4">
        <f>IFERROR(MATCH(1734,상세표[연속순번],0),"")</f>
        <v/>
      </c>
    </row>
    <row r="1740">
      <c r="A1740">
        <f>IF($Q1740="","",INDEX(상세표[부서],$Q1740)&amp;"")</f>
        <v/>
      </c>
      <c r="B1740">
        <f>IF($Q1740="","",INDEX(상세표[사번],$Q1740)&amp;"")</f>
        <v/>
      </c>
      <c r="C1740">
        <f>IF($Q1740="","",INDEX(상세표[성명],$Q1740)&amp;"")</f>
        <v/>
      </c>
      <c r="D1740">
        <f>IF($Q1740="","",INDEX(상세표[직위],$Q1740)&amp;"")</f>
        <v/>
      </c>
      <c r="E1740">
        <f>IF($Q1740="","",IF(ISNUMBER(INDEX(상세표[근무일자],$Q1740)),TEXT(INDEX(상세표[근무일자],$Q1740),"yyyy-mm-dd"),INDEX(상세표[근무일자],$Q1740)&amp;""))</f>
        <v/>
      </c>
      <c r="F1740">
        <f>IF($Q1740="","",IF(ISNUMBER(INDEX(상세표[시작],$Q1740)),TEXT(INDEX(상세표[시작],$Q1740),"yyyy-mm-dd hh:mm"),INDEX(상세표[시작],$Q1740)&amp;""))</f>
        <v/>
      </c>
      <c r="G1740">
        <f>IF($Q1740="","",IF(ISNUMBER(INDEX(상세표[블록종료],$Q1740)),TEXT(INDEX(상세표[블록종료],$Q1740),"yyyy-mm-dd hh:mm"),INDEX(상세표[블록종료],$Q1740)&amp;""))</f>
        <v/>
      </c>
      <c r="H1740">
        <f>IF($Q1740="","",CHOOSE(WEEKDAY(INDEX(상세표[시작],$Q1740)),"일","월","화","수","목","금","토"))</f>
        <v/>
      </c>
      <c r="I1740" s="20">
        <f>IF($Q1740="","",INDEX(상세표[연속 시간],$Q1740))</f>
        <v/>
      </c>
      <c r="J1740">
        <f>IF($Q1740="","",INDEX(상세표[기록 수],$Q1740))</f>
        <v/>
      </c>
      <c r="K1740" s="20">
        <f>IF($Q1740="","",INDEX(상세표[블록 06~07시],$Q1740))</f>
        <v/>
      </c>
      <c r="L1740" s="20">
        <f>IF($Q1740="","",INDEX(상세표[블록 07~18시],$Q1740))</f>
        <v/>
      </c>
      <c r="M1740" s="20">
        <f>IF($Q1740="","",INDEX(상세표[블록 18~22시],$Q1740))</f>
        <v/>
      </c>
      <c r="N1740" s="20">
        <f>IF($Q1740="","",INDEX(상세표[블록 22~06시],$Q1740))</f>
        <v/>
      </c>
      <c r="O1740">
        <f>IF($Q1740="","",INDEX(상세표[주말·휴일 포함],$Q1740)&amp;"")</f>
        <v/>
      </c>
      <c r="P1740">
        <f>IF($Q1740="","",INDEX(상세표[월 넘김 포함],$Q1740)&amp;"")</f>
        <v/>
      </c>
      <c r="Q1740" s="4">
        <f>IFERROR(MATCH(1735,상세표[연속순번],0),"")</f>
        <v/>
      </c>
    </row>
    <row r="1741">
      <c r="A1741">
        <f>IF($Q1741="","",INDEX(상세표[부서],$Q1741)&amp;"")</f>
        <v/>
      </c>
      <c r="B1741">
        <f>IF($Q1741="","",INDEX(상세표[사번],$Q1741)&amp;"")</f>
        <v/>
      </c>
      <c r="C1741">
        <f>IF($Q1741="","",INDEX(상세표[성명],$Q1741)&amp;"")</f>
        <v/>
      </c>
      <c r="D1741">
        <f>IF($Q1741="","",INDEX(상세표[직위],$Q1741)&amp;"")</f>
        <v/>
      </c>
      <c r="E1741">
        <f>IF($Q1741="","",IF(ISNUMBER(INDEX(상세표[근무일자],$Q1741)),TEXT(INDEX(상세표[근무일자],$Q1741),"yyyy-mm-dd"),INDEX(상세표[근무일자],$Q1741)&amp;""))</f>
        <v/>
      </c>
      <c r="F1741">
        <f>IF($Q1741="","",IF(ISNUMBER(INDEX(상세표[시작],$Q1741)),TEXT(INDEX(상세표[시작],$Q1741),"yyyy-mm-dd hh:mm"),INDEX(상세표[시작],$Q1741)&amp;""))</f>
        <v/>
      </c>
      <c r="G1741">
        <f>IF($Q1741="","",IF(ISNUMBER(INDEX(상세표[블록종료],$Q1741)),TEXT(INDEX(상세표[블록종료],$Q1741),"yyyy-mm-dd hh:mm"),INDEX(상세표[블록종료],$Q1741)&amp;""))</f>
        <v/>
      </c>
      <c r="H1741">
        <f>IF($Q1741="","",CHOOSE(WEEKDAY(INDEX(상세표[시작],$Q1741)),"일","월","화","수","목","금","토"))</f>
        <v/>
      </c>
      <c r="I1741" s="20">
        <f>IF($Q1741="","",INDEX(상세표[연속 시간],$Q1741))</f>
        <v/>
      </c>
      <c r="J1741">
        <f>IF($Q1741="","",INDEX(상세표[기록 수],$Q1741))</f>
        <v/>
      </c>
      <c r="K1741" s="20">
        <f>IF($Q1741="","",INDEX(상세표[블록 06~07시],$Q1741))</f>
        <v/>
      </c>
      <c r="L1741" s="20">
        <f>IF($Q1741="","",INDEX(상세표[블록 07~18시],$Q1741))</f>
        <v/>
      </c>
      <c r="M1741" s="20">
        <f>IF($Q1741="","",INDEX(상세표[블록 18~22시],$Q1741))</f>
        <v/>
      </c>
      <c r="N1741" s="20">
        <f>IF($Q1741="","",INDEX(상세표[블록 22~06시],$Q1741))</f>
        <v/>
      </c>
      <c r="O1741">
        <f>IF($Q1741="","",INDEX(상세표[주말·휴일 포함],$Q1741)&amp;"")</f>
        <v/>
      </c>
      <c r="P1741">
        <f>IF($Q1741="","",INDEX(상세표[월 넘김 포함],$Q1741)&amp;"")</f>
        <v/>
      </c>
      <c r="Q1741" s="4">
        <f>IFERROR(MATCH(1736,상세표[연속순번],0),"")</f>
        <v/>
      </c>
    </row>
    <row r="1742">
      <c r="A1742">
        <f>IF($Q1742="","",INDEX(상세표[부서],$Q1742)&amp;"")</f>
        <v/>
      </c>
      <c r="B1742">
        <f>IF($Q1742="","",INDEX(상세표[사번],$Q1742)&amp;"")</f>
        <v/>
      </c>
      <c r="C1742">
        <f>IF($Q1742="","",INDEX(상세표[성명],$Q1742)&amp;"")</f>
        <v/>
      </c>
      <c r="D1742">
        <f>IF($Q1742="","",INDEX(상세표[직위],$Q1742)&amp;"")</f>
        <v/>
      </c>
      <c r="E1742">
        <f>IF($Q1742="","",IF(ISNUMBER(INDEX(상세표[근무일자],$Q1742)),TEXT(INDEX(상세표[근무일자],$Q1742),"yyyy-mm-dd"),INDEX(상세표[근무일자],$Q1742)&amp;""))</f>
        <v/>
      </c>
      <c r="F1742">
        <f>IF($Q1742="","",IF(ISNUMBER(INDEX(상세표[시작],$Q1742)),TEXT(INDEX(상세표[시작],$Q1742),"yyyy-mm-dd hh:mm"),INDEX(상세표[시작],$Q1742)&amp;""))</f>
        <v/>
      </c>
      <c r="G1742">
        <f>IF($Q1742="","",IF(ISNUMBER(INDEX(상세표[블록종료],$Q1742)),TEXT(INDEX(상세표[블록종료],$Q1742),"yyyy-mm-dd hh:mm"),INDEX(상세표[블록종료],$Q1742)&amp;""))</f>
        <v/>
      </c>
      <c r="H1742">
        <f>IF($Q1742="","",CHOOSE(WEEKDAY(INDEX(상세표[시작],$Q1742)),"일","월","화","수","목","금","토"))</f>
        <v/>
      </c>
      <c r="I1742" s="20">
        <f>IF($Q1742="","",INDEX(상세표[연속 시간],$Q1742))</f>
        <v/>
      </c>
      <c r="J1742">
        <f>IF($Q1742="","",INDEX(상세표[기록 수],$Q1742))</f>
        <v/>
      </c>
      <c r="K1742" s="20">
        <f>IF($Q1742="","",INDEX(상세표[블록 06~07시],$Q1742))</f>
        <v/>
      </c>
      <c r="L1742" s="20">
        <f>IF($Q1742="","",INDEX(상세표[블록 07~18시],$Q1742))</f>
        <v/>
      </c>
      <c r="M1742" s="20">
        <f>IF($Q1742="","",INDEX(상세표[블록 18~22시],$Q1742))</f>
        <v/>
      </c>
      <c r="N1742" s="20">
        <f>IF($Q1742="","",INDEX(상세표[블록 22~06시],$Q1742))</f>
        <v/>
      </c>
      <c r="O1742">
        <f>IF($Q1742="","",INDEX(상세표[주말·휴일 포함],$Q1742)&amp;"")</f>
        <v/>
      </c>
      <c r="P1742">
        <f>IF($Q1742="","",INDEX(상세표[월 넘김 포함],$Q1742)&amp;"")</f>
        <v/>
      </c>
      <c r="Q1742" s="4">
        <f>IFERROR(MATCH(1737,상세표[연속순번],0),"")</f>
        <v/>
      </c>
    </row>
    <row r="1743">
      <c r="A1743">
        <f>IF($Q1743="","",INDEX(상세표[부서],$Q1743)&amp;"")</f>
        <v/>
      </c>
      <c r="B1743">
        <f>IF($Q1743="","",INDEX(상세표[사번],$Q1743)&amp;"")</f>
        <v/>
      </c>
      <c r="C1743">
        <f>IF($Q1743="","",INDEX(상세표[성명],$Q1743)&amp;"")</f>
        <v/>
      </c>
      <c r="D1743">
        <f>IF($Q1743="","",INDEX(상세표[직위],$Q1743)&amp;"")</f>
        <v/>
      </c>
      <c r="E1743">
        <f>IF($Q1743="","",IF(ISNUMBER(INDEX(상세표[근무일자],$Q1743)),TEXT(INDEX(상세표[근무일자],$Q1743),"yyyy-mm-dd"),INDEX(상세표[근무일자],$Q1743)&amp;""))</f>
        <v/>
      </c>
      <c r="F1743">
        <f>IF($Q1743="","",IF(ISNUMBER(INDEX(상세표[시작],$Q1743)),TEXT(INDEX(상세표[시작],$Q1743),"yyyy-mm-dd hh:mm"),INDEX(상세표[시작],$Q1743)&amp;""))</f>
        <v/>
      </c>
      <c r="G1743">
        <f>IF($Q1743="","",IF(ISNUMBER(INDEX(상세표[블록종료],$Q1743)),TEXT(INDEX(상세표[블록종료],$Q1743),"yyyy-mm-dd hh:mm"),INDEX(상세표[블록종료],$Q1743)&amp;""))</f>
        <v/>
      </c>
      <c r="H1743">
        <f>IF($Q1743="","",CHOOSE(WEEKDAY(INDEX(상세표[시작],$Q1743)),"일","월","화","수","목","금","토"))</f>
        <v/>
      </c>
      <c r="I1743" s="20">
        <f>IF($Q1743="","",INDEX(상세표[연속 시간],$Q1743))</f>
        <v/>
      </c>
      <c r="J1743">
        <f>IF($Q1743="","",INDEX(상세표[기록 수],$Q1743))</f>
        <v/>
      </c>
      <c r="K1743" s="20">
        <f>IF($Q1743="","",INDEX(상세표[블록 06~07시],$Q1743))</f>
        <v/>
      </c>
      <c r="L1743" s="20">
        <f>IF($Q1743="","",INDEX(상세표[블록 07~18시],$Q1743))</f>
        <v/>
      </c>
      <c r="M1743" s="20">
        <f>IF($Q1743="","",INDEX(상세표[블록 18~22시],$Q1743))</f>
        <v/>
      </c>
      <c r="N1743" s="20">
        <f>IF($Q1743="","",INDEX(상세표[블록 22~06시],$Q1743))</f>
        <v/>
      </c>
      <c r="O1743">
        <f>IF($Q1743="","",INDEX(상세표[주말·휴일 포함],$Q1743)&amp;"")</f>
        <v/>
      </c>
      <c r="P1743">
        <f>IF($Q1743="","",INDEX(상세표[월 넘김 포함],$Q1743)&amp;"")</f>
        <v/>
      </c>
      <c r="Q1743" s="4">
        <f>IFERROR(MATCH(1738,상세표[연속순번],0),"")</f>
        <v/>
      </c>
    </row>
    <row r="1744">
      <c r="A1744">
        <f>IF($Q1744="","",INDEX(상세표[부서],$Q1744)&amp;"")</f>
        <v/>
      </c>
      <c r="B1744">
        <f>IF($Q1744="","",INDEX(상세표[사번],$Q1744)&amp;"")</f>
        <v/>
      </c>
      <c r="C1744">
        <f>IF($Q1744="","",INDEX(상세표[성명],$Q1744)&amp;"")</f>
        <v/>
      </c>
      <c r="D1744">
        <f>IF($Q1744="","",INDEX(상세표[직위],$Q1744)&amp;"")</f>
        <v/>
      </c>
      <c r="E1744">
        <f>IF($Q1744="","",IF(ISNUMBER(INDEX(상세표[근무일자],$Q1744)),TEXT(INDEX(상세표[근무일자],$Q1744),"yyyy-mm-dd"),INDEX(상세표[근무일자],$Q1744)&amp;""))</f>
        <v/>
      </c>
      <c r="F1744">
        <f>IF($Q1744="","",IF(ISNUMBER(INDEX(상세표[시작],$Q1744)),TEXT(INDEX(상세표[시작],$Q1744),"yyyy-mm-dd hh:mm"),INDEX(상세표[시작],$Q1744)&amp;""))</f>
        <v/>
      </c>
      <c r="G1744">
        <f>IF($Q1744="","",IF(ISNUMBER(INDEX(상세표[블록종료],$Q1744)),TEXT(INDEX(상세표[블록종료],$Q1744),"yyyy-mm-dd hh:mm"),INDEX(상세표[블록종료],$Q1744)&amp;""))</f>
        <v/>
      </c>
      <c r="H1744">
        <f>IF($Q1744="","",CHOOSE(WEEKDAY(INDEX(상세표[시작],$Q1744)),"일","월","화","수","목","금","토"))</f>
        <v/>
      </c>
      <c r="I1744" s="20">
        <f>IF($Q1744="","",INDEX(상세표[연속 시간],$Q1744))</f>
        <v/>
      </c>
      <c r="J1744">
        <f>IF($Q1744="","",INDEX(상세표[기록 수],$Q1744))</f>
        <v/>
      </c>
      <c r="K1744" s="20">
        <f>IF($Q1744="","",INDEX(상세표[블록 06~07시],$Q1744))</f>
        <v/>
      </c>
      <c r="L1744" s="20">
        <f>IF($Q1744="","",INDEX(상세표[블록 07~18시],$Q1744))</f>
        <v/>
      </c>
      <c r="M1744" s="20">
        <f>IF($Q1744="","",INDEX(상세표[블록 18~22시],$Q1744))</f>
        <v/>
      </c>
      <c r="N1744" s="20">
        <f>IF($Q1744="","",INDEX(상세표[블록 22~06시],$Q1744))</f>
        <v/>
      </c>
      <c r="O1744">
        <f>IF($Q1744="","",INDEX(상세표[주말·휴일 포함],$Q1744)&amp;"")</f>
        <v/>
      </c>
      <c r="P1744">
        <f>IF($Q1744="","",INDEX(상세표[월 넘김 포함],$Q1744)&amp;"")</f>
        <v/>
      </c>
      <c r="Q1744" s="4">
        <f>IFERROR(MATCH(1739,상세표[연속순번],0),"")</f>
        <v/>
      </c>
    </row>
    <row r="1745">
      <c r="A1745">
        <f>IF($Q1745="","",INDEX(상세표[부서],$Q1745)&amp;"")</f>
        <v/>
      </c>
      <c r="B1745">
        <f>IF($Q1745="","",INDEX(상세표[사번],$Q1745)&amp;"")</f>
        <v/>
      </c>
      <c r="C1745">
        <f>IF($Q1745="","",INDEX(상세표[성명],$Q1745)&amp;"")</f>
        <v/>
      </c>
      <c r="D1745">
        <f>IF($Q1745="","",INDEX(상세표[직위],$Q1745)&amp;"")</f>
        <v/>
      </c>
      <c r="E1745">
        <f>IF($Q1745="","",IF(ISNUMBER(INDEX(상세표[근무일자],$Q1745)),TEXT(INDEX(상세표[근무일자],$Q1745),"yyyy-mm-dd"),INDEX(상세표[근무일자],$Q1745)&amp;""))</f>
        <v/>
      </c>
      <c r="F1745">
        <f>IF($Q1745="","",IF(ISNUMBER(INDEX(상세표[시작],$Q1745)),TEXT(INDEX(상세표[시작],$Q1745),"yyyy-mm-dd hh:mm"),INDEX(상세표[시작],$Q1745)&amp;""))</f>
        <v/>
      </c>
      <c r="G1745">
        <f>IF($Q1745="","",IF(ISNUMBER(INDEX(상세표[블록종료],$Q1745)),TEXT(INDEX(상세표[블록종료],$Q1745),"yyyy-mm-dd hh:mm"),INDEX(상세표[블록종료],$Q1745)&amp;""))</f>
        <v/>
      </c>
      <c r="H1745">
        <f>IF($Q1745="","",CHOOSE(WEEKDAY(INDEX(상세표[시작],$Q1745)),"일","월","화","수","목","금","토"))</f>
        <v/>
      </c>
      <c r="I1745" s="20">
        <f>IF($Q1745="","",INDEX(상세표[연속 시간],$Q1745))</f>
        <v/>
      </c>
      <c r="J1745">
        <f>IF($Q1745="","",INDEX(상세표[기록 수],$Q1745))</f>
        <v/>
      </c>
      <c r="K1745" s="20">
        <f>IF($Q1745="","",INDEX(상세표[블록 06~07시],$Q1745))</f>
        <v/>
      </c>
      <c r="L1745" s="20">
        <f>IF($Q1745="","",INDEX(상세표[블록 07~18시],$Q1745))</f>
        <v/>
      </c>
      <c r="M1745" s="20">
        <f>IF($Q1745="","",INDEX(상세표[블록 18~22시],$Q1745))</f>
        <v/>
      </c>
      <c r="N1745" s="20">
        <f>IF($Q1745="","",INDEX(상세표[블록 22~06시],$Q1745))</f>
        <v/>
      </c>
      <c r="O1745">
        <f>IF($Q1745="","",INDEX(상세표[주말·휴일 포함],$Q1745)&amp;"")</f>
        <v/>
      </c>
      <c r="P1745">
        <f>IF($Q1745="","",INDEX(상세표[월 넘김 포함],$Q1745)&amp;"")</f>
        <v/>
      </c>
      <c r="Q1745" s="4">
        <f>IFERROR(MATCH(1740,상세표[연속순번],0),"")</f>
        <v/>
      </c>
    </row>
    <row r="1746">
      <c r="A1746">
        <f>IF($Q1746="","",INDEX(상세표[부서],$Q1746)&amp;"")</f>
        <v/>
      </c>
      <c r="B1746">
        <f>IF($Q1746="","",INDEX(상세표[사번],$Q1746)&amp;"")</f>
        <v/>
      </c>
      <c r="C1746">
        <f>IF($Q1746="","",INDEX(상세표[성명],$Q1746)&amp;"")</f>
        <v/>
      </c>
      <c r="D1746">
        <f>IF($Q1746="","",INDEX(상세표[직위],$Q1746)&amp;"")</f>
        <v/>
      </c>
      <c r="E1746">
        <f>IF($Q1746="","",IF(ISNUMBER(INDEX(상세표[근무일자],$Q1746)),TEXT(INDEX(상세표[근무일자],$Q1746),"yyyy-mm-dd"),INDEX(상세표[근무일자],$Q1746)&amp;""))</f>
        <v/>
      </c>
      <c r="F1746">
        <f>IF($Q1746="","",IF(ISNUMBER(INDEX(상세표[시작],$Q1746)),TEXT(INDEX(상세표[시작],$Q1746),"yyyy-mm-dd hh:mm"),INDEX(상세표[시작],$Q1746)&amp;""))</f>
        <v/>
      </c>
      <c r="G1746">
        <f>IF($Q1746="","",IF(ISNUMBER(INDEX(상세표[블록종료],$Q1746)),TEXT(INDEX(상세표[블록종료],$Q1746),"yyyy-mm-dd hh:mm"),INDEX(상세표[블록종료],$Q1746)&amp;""))</f>
        <v/>
      </c>
      <c r="H1746">
        <f>IF($Q1746="","",CHOOSE(WEEKDAY(INDEX(상세표[시작],$Q1746)),"일","월","화","수","목","금","토"))</f>
        <v/>
      </c>
      <c r="I1746" s="20">
        <f>IF($Q1746="","",INDEX(상세표[연속 시간],$Q1746))</f>
        <v/>
      </c>
      <c r="J1746">
        <f>IF($Q1746="","",INDEX(상세표[기록 수],$Q1746))</f>
        <v/>
      </c>
      <c r="K1746" s="20">
        <f>IF($Q1746="","",INDEX(상세표[블록 06~07시],$Q1746))</f>
        <v/>
      </c>
      <c r="L1746" s="20">
        <f>IF($Q1746="","",INDEX(상세표[블록 07~18시],$Q1746))</f>
        <v/>
      </c>
      <c r="M1746" s="20">
        <f>IF($Q1746="","",INDEX(상세표[블록 18~22시],$Q1746))</f>
        <v/>
      </c>
      <c r="N1746" s="20">
        <f>IF($Q1746="","",INDEX(상세표[블록 22~06시],$Q1746))</f>
        <v/>
      </c>
      <c r="O1746">
        <f>IF($Q1746="","",INDEX(상세표[주말·휴일 포함],$Q1746)&amp;"")</f>
        <v/>
      </c>
      <c r="P1746">
        <f>IF($Q1746="","",INDEX(상세표[월 넘김 포함],$Q1746)&amp;"")</f>
        <v/>
      </c>
      <c r="Q1746" s="4">
        <f>IFERROR(MATCH(1741,상세표[연속순번],0),"")</f>
        <v/>
      </c>
    </row>
    <row r="1747">
      <c r="A1747">
        <f>IF($Q1747="","",INDEX(상세표[부서],$Q1747)&amp;"")</f>
        <v/>
      </c>
      <c r="B1747">
        <f>IF($Q1747="","",INDEX(상세표[사번],$Q1747)&amp;"")</f>
        <v/>
      </c>
      <c r="C1747">
        <f>IF($Q1747="","",INDEX(상세표[성명],$Q1747)&amp;"")</f>
        <v/>
      </c>
      <c r="D1747">
        <f>IF($Q1747="","",INDEX(상세표[직위],$Q1747)&amp;"")</f>
        <v/>
      </c>
      <c r="E1747">
        <f>IF($Q1747="","",IF(ISNUMBER(INDEX(상세표[근무일자],$Q1747)),TEXT(INDEX(상세표[근무일자],$Q1747),"yyyy-mm-dd"),INDEX(상세표[근무일자],$Q1747)&amp;""))</f>
        <v/>
      </c>
      <c r="F1747">
        <f>IF($Q1747="","",IF(ISNUMBER(INDEX(상세표[시작],$Q1747)),TEXT(INDEX(상세표[시작],$Q1747),"yyyy-mm-dd hh:mm"),INDEX(상세표[시작],$Q1747)&amp;""))</f>
        <v/>
      </c>
      <c r="G1747">
        <f>IF($Q1747="","",IF(ISNUMBER(INDEX(상세표[블록종료],$Q1747)),TEXT(INDEX(상세표[블록종료],$Q1747),"yyyy-mm-dd hh:mm"),INDEX(상세표[블록종료],$Q1747)&amp;""))</f>
        <v/>
      </c>
      <c r="H1747">
        <f>IF($Q1747="","",CHOOSE(WEEKDAY(INDEX(상세표[시작],$Q1747)),"일","월","화","수","목","금","토"))</f>
        <v/>
      </c>
      <c r="I1747" s="20">
        <f>IF($Q1747="","",INDEX(상세표[연속 시간],$Q1747))</f>
        <v/>
      </c>
      <c r="J1747">
        <f>IF($Q1747="","",INDEX(상세표[기록 수],$Q1747))</f>
        <v/>
      </c>
      <c r="K1747" s="20">
        <f>IF($Q1747="","",INDEX(상세표[블록 06~07시],$Q1747))</f>
        <v/>
      </c>
      <c r="L1747" s="20">
        <f>IF($Q1747="","",INDEX(상세표[블록 07~18시],$Q1747))</f>
        <v/>
      </c>
      <c r="M1747" s="20">
        <f>IF($Q1747="","",INDEX(상세표[블록 18~22시],$Q1747))</f>
        <v/>
      </c>
      <c r="N1747" s="20">
        <f>IF($Q1747="","",INDEX(상세표[블록 22~06시],$Q1747))</f>
        <v/>
      </c>
      <c r="O1747">
        <f>IF($Q1747="","",INDEX(상세표[주말·휴일 포함],$Q1747)&amp;"")</f>
        <v/>
      </c>
      <c r="P1747">
        <f>IF($Q1747="","",INDEX(상세표[월 넘김 포함],$Q1747)&amp;"")</f>
        <v/>
      </c>
      <c r="Q1747" s="4">
        <f>IFERROR(MATCH(1742,상세표[연속순번],0),"")</f>
        <v/>
      </c>
    </row>
    <row r="1748">
      <c r="A1748">
        <f>IF($Q1748="","",INDEX(상세표[부서],$Q1748)&amp;"")</f>
        <v/>
      </c>
      <c r="B1748">
        <f>IF($Q1748="","",INDEX(상세표[사번],$Q1748)&amp;"")</f>
        <v/>
      </c>
      <c r="C1748">
        <f>IF($Q1748="","",INDEX(상세표[성명],$Q1748)&amp;"")</f>
        <v/>
      </c>
      <c r="D1748">
        <f>IF($Q1748="","",INDEX(상세표[직위],$Q1748)&amp;"")</f>
        <v/>
      </c>
      <c r="E1748">
        <f>IF($Q1748="","",IF(ISNUMBER(INDEX(상세표[근무일자],$Q1748)),TEXT(INDEX(상세표[근무일자],$Q1748),"yyyy-mm-dd"),INDEX(상세표[근무일자],$Q1748)&amp;""))</f>
        <v/>
      </c>
      <c r="F1748">
        <f>IF($Q1748="","",IF(ISNUMBER(INDEX(상세표[시작],$Q1748)),TEXT(INDEX(상세표[시작],$Q1748),"yyyy-mm-dd hh:mm"),INDEX(상세표[시작],$Q1748)&amp;""))</f>
        <v/>
      </c>
      <c r="G1748">
        <f>IF($Q1748="","",IF(ISNUMBER(INDEX(상세표[블록종료],$Q1748)),TEXT(INDEX(상세표[블록종료],$Q1748),"yyyy-mm-dd hh:mm"),INDEX(상세표[블록종료],$Q1748)&amp;""))</f>
        <v/>
      </c>
      <c r="H1748">
        <f>IF($Q1748="","",CHOOSE(WEEKDAY(INDEX(상세표[시작],$Q1748)),"일","월","화","수","목","금","토"))</f>
        <v/>
      </c>
      <c r="I1748" s="20">
        <f>IF($Q1748="","",INDEX(상세표[연속 시간],$Q1748))</f>
        <v/>
      </c>
      <c r="J1748">
        <f>IF($Q1748="","",INDEX(상세표[기록 수],$Q1748))</f>
        <v/>
      </c>
      <c r="K1748" s="20">
        <f>IF($Q1748="","",INDEX(상세표[블록 06~07시],$Q1748))</f>
        <v/>
      </c>
      <c r="L1748" s="20">
        <f>IF($Q1748="","",INDEX(상세표[블록 07~18시],$Q1748))</f>
        <v/>
      </c>
      <c r="M1748" s="20">
        <f>IF($Q1748="","",INDEX(상세표[블록 18~22시],$Q1748))</f>
        <v/>
      </c>
      <c r="N1748" s="20">
        <f>IF($Q1748="","",INDEX(상세표[블록 22~06시],$Q1748))</f>
        <v/>
      </c>
      <c r="O1748">
        <f>IF($Q1748="","",INDEX(상세표[주말·휴일 포함],$Q1748)&amp;"")</f>
        <v/>
      </c>
      <c r="P1748">
        <f>IF($Q1748="","",INDEX(상세표[월 넘김 포함],$Q1748)&amp;"")</f>
        <v/>
      </c>
      <c r="Q1748" s="4">
        <f>IFERROR(MATCH(1743,상세표[연속순번],0),"")</f>
        <v/>
      </c>
    </row>
    <row r="1749">
      <c r="A1749">
        <f>IF($Q1749="","",INDEX(상세표[부서],$Q1749)&amp;"")</f>
        <v/>
      </c>
      <c r="B1749">
        <f>IF($Q1749="","",INDEX(상세표[사번],$Q1749)&amp;"")</f>
        <v/>
      </c>
      <c r="C1749">
        <f>IF($Q1749="","",INDEX(상세표[성명],$Q1749)&amp;"")</f>
        <v/>
      </c>
      <c r="D1749">
        <f>IF($Q1749="","",INDEX(상세표[직위],$Q1749)&amp;"")</f>
        <v/>
      </c>
      <c r="E1749">
        <f>IF($Q1749="","",IF(ISNUMBER(INDEX(상세표[근무일자],$Q1749)),TEXT(INDEX(상세표[근무일자],$Q1749),"yyyy-mm-dd"),INDEX(상세표[근무일자],$Q1749)&amp;""))</f>
        <v/>
      </c>
      <c r="F1749">
        <f>IF($Q1749="","",IF(ISNUMBER(INDEX(상세표[시작],$Q1749)),TEXT(INDEX(상세표[시작],$Q1749),"yyyy-mm-dd hh:mm"),INDEX(상세표[시작],$Q1749)&amp;""))</f>
        <v/>
      </c>
      <c r="G1749">
        <f>IF($Q1749="","",IF(ISNUMBER(INDEX(상세표[블록종료],$Q1749)),TEXT(INDEX(상세표[블록종료],$Q1749),"yyyy-mm-dd hh:mm"),INDEX(상세표[블록종료],$Q1749)&amp;""))</f>
        <v/>
      </c>
      <c r="H1749">
        <f>IF($Q1749="","",CHOOSE(WEEKDAY(INDEX(상세표[시작],$Q1749)),"일","월","화","수","목","금","토"))</f>
        <v/>
      </c>
      <c r="I1749" s="20">
        <f>IF($Q1749="","",INDEX(상세표[연속 시간],$Q1749))</f>
        <v/>
      </c>
      <c r="J1749">
        <f>IF($Q1749="","",INDEX(상세표[기록 수],$Q1749))</f>
        <v/>
      </c>
      <c r="K1749" s="20">
        <f>IF($Q1749="","",INDEX(상세표[블록 06~07시],$Q1749))</f>
        <v/>
      </c>
      <c r="L1749" s="20">
        <f>IF($Q1749="","",INDEX(상세표[블록 07~18시],$Q1749))</f>
        <v/>
      </c>
      <c r="M1749" s="20">
        <f>IF($Q1749="","",INDEX(상세표[블록 18~22시],$Q1749))</f>
        <v/>
      </c>
      <c r="N1749" s="20">
        <f>IF($Q1749="","",INDEX(상세표[블록 22~06시],$Q1749))</f>
        <v/>
      </c>
      <c r="O1749">
        <f>IF($Q1749="","",INDEX(상세표[주말·휴일 포함],$Q1749)&amp;"")</f>
        <v/>
      </c>
      <c r="P1749">
        <f>IF($Q1749="","",INDEX(상세표[월 넘김 포함],$Q1749)&amp;"")</f>
        <v/>
      </c>
      <c r="Q1749" s="4">
        <f>IFERROR(MATCH(1744,상세표[연속순번],0),"")</f>
        <v/>
      </c>
    </row>
    <row r="1750">
      <c r="A1750">
        <f>IF($Q1750="","",INDEX(상세표[부서],$Q1750)&amp;"")</f>
        <v/>
      </c>
      <c r="B1750">
        <f>IF($Q1750="","",INDEX(상세표[사번],$Q1750)&amp;"")</f>
        <v/>
      </c>
      <c r="C1750">
        <f>IF($Q1750="","",INDEX(상세표[성명],$Q1750)&amp;"")</f>
        <v/>
      </c>
      <c r="D1750">
        <f>IF($Q1750="","",INDEX(상세표[직위],$Q1750)&amp;"")</f>
        <v/>
      </c>
      <c r="E1750">
        <f>IF($Q1750="","",IF(ISNUMBER(INDEX(상세표[근무일자],$Q1750)),TEXT(INDEX(상세표[근무일자],$Q1750),"yyyy-mm-dd"),INDEX(상세표[근무일자],$Q1750)&amp;""))</f>
        <v/>
      </c>
      <c r="F1750">
        <f>IF($Q1750="","",IF(ISNUMBER(INDEX(상세표[시작],$Q1750)),TEXT(INDEX(상세표[시작],$Q1750),"yyyy-mm-dd hh:mm"),INDEX(상세표[시작],$Q1750)&amp;""))</f>
        <v/>
      </c>
      <c r="G1750">
        <f>IF($Q1750="","",IF(ISNUMBER(INDEX(상세표[블록종료],$Q1750)),TEXT(INDEX(상세표[블록종료],$Q1750),"yyyy-mm-dd hh:mm"),INDEX(상세표[블록종료],$Q1750)&amp;""))</f>
        <v/>
      </c>
      <c r="H1750">
        <f>IF($Q1750="","",CHOOSE(WEEKDAY(INDEX(상세표[시작],$Q1750)),"일","월","화","수","목","금","토"))</f>
        <v/>
      </c>
      <c r="I1750" s="20">
        <f>IF($Q1750="","",INDEX(상세표[연속 시간],$Q1750))</f>
        <v/>
      </c>
      <c r="J1750">
        <f>IF($Q1750="","",INDEX(상세표[기록 수],$Q1750))</f>
        <v/>
      </c>
      <c r="K1750" s="20">
        <f>IF($Q1750="","",INDEX(상세표[블록 06~07시],$Q1750))</f>
        <v/>
      </c>
      <c r="L1750" s="20">
        <f>IF($Q1750="","",INDEX(상세표[블록 07~18시],$Q1750))</f>
        <v/>
      </c>
      <c r="M1750" s="20">
        <f>IF($Q1750="","",INDEX(상세표[블록 18~22시],$Q1750))</f>
        <v/>
      </c>
      <c r="N1750" s="20">
        <f>IF($Q1750="","",INDEX(상세표[블록 22~06시],$Q1750))</f>
        <v/>
      </c>
      <c r="O1750">
        <f>IF($Q1750="","",INDEX(상세표[주말·휴일 포함],$Q1750)&amp;"")</f>
        <v/>
      </c>
      <c r="P1750">
        <f>IF($Q1750="","",INDEX(상세표[월 넘김 포함],$Q1750)&amp;"")</f>
        <v/>
      </c>
      <c r="Q1750" s="4">
        <f>IFERROR(MATCH(1745,상세표[연속순번],0),"")</f>
        <v/>
      </c>
    </row>
    <row r="1751">
      <c r="A1751">
        <f>IF($Q1751="","",INDEX(상세표[부서],$Q1751)&amp;"")</f>
        <v/>
      </c>
      <c r="B1751">
        <f>IF($Q1751="","",INDEX(상세표[사번],$Q1751)&amp;"")</f>
        <v/>
      </c>
      <c r="C1751">
        <f>IF($Q1751="","",INDEX(상세표[성명],$Q1751)&amp;"")</f>
        <v/>
      </c>
      <c r="D1751">
        <f>IF($Q1751="","",INDEX(상세표[직위],$Q1751)&amp;"")</f>
        <v/>
      </c>
      <c r="E1751">
        <f>IF($Q1751="","",IF(ISNUMBER(INDEX(상세표[근무일자],$Q1751)),TEXT(INDEX(상세표[근무일자],$Q1751),"yyyy-mm-dd"),INDEX(상세표[근무일자],$Q1751)&amp;""))</f>
        <v/>
      </c>
      <c r="F1751">
        <f>IF($Q1751="","",IF(ISNUMBER(INDEX(상세표[시작],$Q1751)),TEXT(INDEX(상세표[시작],$Q1751),"yyyy-mm-dd hh:mm"),INDEX(상세표[시작],$Q1751)&amp;""))</f>
        <v/>
      </c>
      <c r="G1751">
        <f>IF($Q1751="","",IF(ISNUMBER(INDEX(상세표[블록종료],$Q1751)),TEXT(INDEX(상세표[블록종료],$Q1751),"yyyy-mm-dd hh:mm"),INDEX(상세표[블록종료],$Q1751)&amp;""))</f>
        <v/>
      </c>
      <c r="H1751">
        <f>IF($Q1751="","",CHOOSE(WEEKDAY(INDEX(상세표[시작],$Q1751)),"일","월","화","수","목","금","토"))</f>
        <v/>
      </c>
      <c r="I1751" s="20">
        <f>IF($Q1751="","",INDEX(상세표[연속 시간],$Q1751))</f>
        <v/>
      </c>
      <c r="J1751">
        <f>IF($Q1751="","",INDEX(상세표[기록 수],$Q1751))</f>
        <v/>
      </c>
      <c r="K1751" s="20">
        <f>IF($Q1751="","",INDEX(상세표[블록 06~07시],$Q1751))</f>
        <v/>
      </c>
      <c r="L1751" s="20">
        <f>IF($Q1751="","",INDEX(상세표[블록 07~18시],$Q1751))</f>
        <v/>
      </c>
      <c r="M1751" s="20">
        <f>IF($Q1751="","",INDEX(상세표[블록 18~22시],$Q1751))</f>
        <v/>
      </c>
      <c r="N1751" s="20">
        <f>IF($Q1751="","",INDEX(상세표[블록 22~06시],$Q1751))</f>
        <v/>
      </c>
      <c r="O1751">
        <f>IF($Q1751="","",INDEX(상세표[주말·휴일 포함],$Q1751)&amp;"")</f>
        <v/>
      </c>
      <c r="P1751">
        <f>IF($Q1751="","",INDEX(상세표[월 넘김 포함],$Q1751)&amp;"")</f>
        <v/>
      </c>
      <c r="Q1751" s="4">
        <f>IFERROR(MATCH(1746,상세표[연속순번],0),"")</f>
        <v/>
      </c>
    </row>
    <row r="1752">
      <c r="A1752">
        <f>IF($Q1752="","",INDEX(상세표[부서],$Q1752)&amp;"")</f>
        <v/>
      </c>
      <c r="B1752">
        <f>IF($Q1752="","",INDEX(상세표[사번],$Q1752)&amp;"")</f>
        <v/>
      </c>
      <c r="C1752">
        <f>IF($Q1752="","",INDEX(상세표[성명],$Q1752)&amp;"")</f>
        <v/>
      </c>
      <c r="D1752">
        <f>IF($Q1752="","",INDEX(상세표[직위],$Q1752)&amp;"")</f>
        <v/>
      </c>
      <c r="E1752">
        <f>IF($Q1752="","",IF(ISNUMBER(INDEX(상세표[근무일자],$Q1752)),TEXT(INDEX(상세표[근무일자],$Q1752),"yyyy-mm-dd"),INDEX(상세표[근무일자],$Q1752)&amp;""))</f>
        <v/>
      </c>
      <c r="F1752">
        <f>IF($Q1752="","",IF(ISNUMBER(INDEX(상세표[시작],$Q1752)),TEXT(INDEX(상세표[시작],$Q1752),"yyyy-mm-dd hh:mm"),INDEX(상세표[시작],$Q1752)&amp;""))</f>
        <v/>
      </c>
      <c r="G1752">
        <f>IF($Q1752="","",IF(ISNUMBER(INDEX(상세표[블록종료],$Q1752)),TEXT(INDEX(상세표[블록종료],$Q1752),"yyyy-mm-dd hh:mm"),INDEX(상세표[블록종료],$Q1752)&amp;""))</f>
        <v/>
      </c>
      <c r="H1752">
        <f>IF($Q1752="","",CHOOSE(WEEKDAY(INDEX(상세표[시작],$Q1752)),"일","월","화","수","목","금","토"))</f>
        <v/>
      </c>
      <c r="I1752" s="20">
        <f>IF($Q1752="","",INDEX(상세표[연속 시간],$Q1752))</f>
        <v/>
      </c>
      <c r="J1752">
        <f>IF($Q1752="","",INDEX(상세표[기록 수],$Q1752))</f>
        <v/>
      </c>
      <c r="K1752" s="20">
        <f>IF($Q1752="","",INDEX(상세표[블록 06~07시],$Q1752))</f>
        <v/>
      </c>
      <c r="L1752" s="20">
        <f>IF($Q1752="","",INDEX(상세표[블록 07~18시],$Q1752))</f>
        <v/>
      </c>
      <c r="M1752" s="20">
        <f>IF($Q1752="","",INDEX(상세표[블록 18~22시],$Q1752))</f>
        <v/>
      </c>
      <c r="N1752" s="20">
        <f>IF($Q1752="","",INDEX(상세표[블록 22~06시],$Q1752))</f>
        <v/>
      </c>
      <c r="O1752">
        <f>IF($Q1752="","",INDEX(상세표[주말·휴일 포함],$Q1752)&amp;"")</f>
        <v/>
      </c>
      <c r="P1752">
        <f>IF($Q1752="","",INDEX(상세표[월 넘김 포함],$Q1752)&amp;"")</f>
        <v/>
      </c>
      <c r="Q1752" s="4">
        <f>IFERROR(MATCH(1747,상세표[연속순번],0),"")</f>
        <v/>
      </c>
    </row>
    <row r="1753">
      <c r="A1753">
        <f>IF($Q1753="","",INDEX(상세표[부서],$Q1753)&amp;"")</f>
        <v/>
      </c>
      <c r="B1753">
        <f>IF($Q1753="","",INDEX(상세표[사번],$Q1753)&amp;"")</f>
        <v/>
      </c>
      <c r="C1753">
        <f>IF($Q1753="","",INDEX(상세표[성명],$Q1753)&amp;"")</f>
        <v/>
      </c>
      <c r="D1753">
        <f>IF($Q1753="","",INDEX(상세표[직위],$Q1753)&amp;"")</f>
        <v/>
      </c>
      <c r="E1753">
        <f>IF($Q1753="","",IF(ISNUMBER(INDEX(상세표[근무일자],$Q1753)),TEXT(INDEX(상세표[근무일자],$Q1753),"yyyy-mm-dd"),INDEX(상세표[근무일자],$Q1753)&amp;""))</f>
        <v/>
      </c>
      <c r="F1753">
        <f>IF($Q1753="","",IF(ISNUMBER(INDEX(상세표[시작],$Q1753)),TEXT(INDEX(상세표[시작],$Q1753),"yyyy-mm-dd hh:mm"),INDEX(상세표[시작],$Q1753)&amp;""))</f>
        <v/>
      </c>
      <c r="G1753">
        <f>IF($Q1753="","",IF(ISNUMBER(INDEX(상세표[블록종료],$Q1753)),TEXT(INDEX(상세표[블록종료],$Q1753),"yyyy-mm-dd hh:mm"),INDEX(상세표[블록종료],$Q1753)&amp;""))</f>
        <v/>
      </c>
      <c r="H1753">
        <f>IF($Q1753="","",CHOOSE(WEEKDAY(INDEX(상세표[시작],$Q1753)),"일","월","화","수","목","금","토"))</f>
        <v/>
      </c>
      <c r="I1753" s="20">
        <f>IF($Q1753="","",INDEX(상세표[연속 시간],$Q1753))</f>
        <v/>
      </c>
      <c r="J1753">
        <f>IF($Q1753="","",INDEX(상세표[기록 수],$Q1753))</f>
        <v/>
      </c>
      <c r="K1753" s="20">
        <f>IF($Q1753="","",INDEX(상세표[블록 06~07시],$Q1753))</f>
        <v/>
      </c>
      <c r="L1753" s="20">
        <f>IF($Q1753="","",INDEX(상세표[블록 07~18시],$Q1753))</f>
        <v/>
      </c>
      <c r="M1753" s="20">
        <f>IF($Q1753="","",INDEX(상세표[블록 18~22시],$Q1753))</f>
        <v/>
      </c>
      <c r="N1753" s="20">
        <f>IF($Q1753="","",INDEX(상세표[블록 22~06시],$Q1753))</f>
        <v/>
      </c>
      <c r="O1753">
        <f>IF($Q1753="","",INDEX(상세표[주말·휴일 포함],$Q1753)&amp;"")</f>
        <v/>
      </c>
      <c r="P1753">
        <f>IF($Q1753="","",INDEX(상세표[월 넘김 포함],$Q1753)&amp;"")</f>
        <v/>
      </c>
      <c r="Q1753" s="4">
        <f>IFERROR(MATCH(1748,상세표[연속순번],0),"")</f>
        <v/>
      </c>
    </row>
    <row r="1754">
      <c r="A1754">
        <f>IF($Q1754="","",INDEX(상세표[부서],$Q1754)&amp;"")</f>
        <v/>
      </c>
      <c r="B1754">
        <f>IF($Q1754="","",INDEX(상세표[사번],$Q1754)&amp;"")</f>
        <v/>
      </c>
      <c r="C1754">
        <f>IF($Q1754="","",INDEX(상세표[성명],$Q1754)&amp;"")</f>
        <v/>
      </c>
      <c r="D1754">
        <f>IF($Q1754="","",INDEX(상세표[직위],$Q1754)&amp;"")</f>
        <v/>
      </c>
      <c r="E1754">
        <f>IF($Q1754="","",IF(ISNUMBER(INDEX(상세표[근무일자],$Q1754)),TEXT(INDEX(상세표[근무일자],$Q1754),"yyyy-mm-dd"),INDEX(상세표[근무일자],$Q1754)&amp;""))</f>
        <v/>
      </c>
      <c r="F1754">
        <f>IF($Q1754="","",IF(ISNUMBER(INDEX(상세표[시작],$Q1754)),TEXT(INDEX(상세표[시작],$Q1754),"yyyy-mm-dd hh:mm"),INDEX(상세표[시작],$Q1754)&amp;""))</f>
        <v/>
      </c>
      <c r="G1754">
        <f>IF($Q1754="","",IF(ISNUMBER(INDEX(상세표[블록종료],$Q1754)),TEXT(INDEX(상세표[블록종료],$Q1754),"yyyy-mm-dd hh:mm"),INDEX(상세표[블록종료],$Q1754)&amp;""))</f>
        <v/>
      </c>
      <c r="H1754">
        <f>IF($Q1754="","",CHOOSE(WEEKDAY(INDEX(상세표[시작],$Q1754)),"일","월","화","수","목","금","토"))</f>
        <v/>
      </c>
      <c r="I1754" s="20">
        <f>IF($Q1754="","",INDEX(상세표[연속 시간],$Q1754))</f>
        <v/>
      </c>
      <c r="J1754">
        <f>IF($Q1754="","",INDEX(상세표[기록 수],$Q1754))</f>
        <v/>
      </c>
      <c r="K1754" s="20">
        <f>IF($Q1754="","",INDEX(상세표[블록 06~07시],$Q1754))</f>
        <v/>
      </c>
      <c r="L1754" s="20">
        <f>IF($Q1754="","",INDEX(상세표[블록 07~18시],$Q1754))</f>
        <v/>
      </c>
      <c r="M1754" s="20">
        <f>IF($Q1754="","",INDEX(상세표[블록 18~22시],$Q1754))</f>
        <v/>
      </c>
      <c r="N1754" s="20">
        <f>IF($Q1754="","",INDEX(상세표[블록 22~06시],$Q1754))</f>
        <v/>
      </c>
      <c r="O1754">
        <f>IF($Q1754="","",INDEX(상세표[주말·휴일 포함],$Q1754)&amp;"")</f>
        <v/>
      </c>
      <c r="P1754">
        <f>IF($Q1754="","",INDEX(상세표[월 넘김 포함],$Q1754)&amp;"")</f>
        <v/>
      </c>
      <c r="Q1754" s="4">
        <f>IFERROR(MATCH(1749,상세표[연속순번],0),"")</f>
        <v/>
      </c>
    </row>
    <row r="1755">
      <c r="A1755">
        <f>IF($Q1755="","",INDEX(상세표[부서],$Q1755)&amp;"")</f>
        <v/>
      </c>
      <c r="B1755">
        <f>IF($Q1755="","",INDEX(상세표[사번],$Q1755)&amp;"")</f>
        <v/>
      </c>
      <c r="C1755">
        <f>IF($Q1755="","",INDEX(상세표[성명],$Q1755)&amp;"")</f>
        <v/>
      </c>
      <c r="D1755">
        <f>IF($Q1755="","",INDEX(상세표[직위],$Q1755)&amp;"")</f>
        <v/>
      </c>
      <c r="E1755">
        <f>IF($Q1755="","",IF(ISNUMBER(INDEX(상세표[근무일자],$Q1755)),TEXT(INDEX(상세표[근무일자],$Q1755),"yyyy-mm-dd"),INDEX(상세표[근무일자],$Q1755)&amp;""))</f>
        <v/>
      </c>
      <c r="F1755">
        <f>IF($Q1755="","",IF(ISNUMBER(INDEX(상세표[시작],$Q1755)),TEXT(INDEX(상세표[시작],$Q1755),"yyyy-mm-dd hh:mm"),INDEX(상세표[시작],$Q1755)&amp;""))</f>
        <v/>
      </c>
      <c r="G1755">
        <f>IF($Q1755="","",IF(ISNUMBER(INDEX(상세표[블록종료],$Q1755)),TEXT(INDEX(상세표[블록종료],$Q1755),"yyyy-mm-dd hh:mm"),INDEX(상세표[블록종료],$Q1755)&amp;""))</f>
        <v/>
      </c>
      <c r="H1755">
        <f>IF($Q1755="","",CHOOSE(WEEKDAY(INDEX(상세표[시작],$Q1755)),"일","월","화","수","목","금","토"))</f>
        <v/>
      </c>
      <c r="I1755" s="20">
        <f>IF($Q1755="","",INDEX(상세표[연속 시간],$Q1755))</f>
        <v/>
      </c>
      <c r="J1755">
        <f>IF($Q1755="","",INDEX(상세표[기록 수],$Q1755))</f>
        <v/>
      </c>
      <c r="K1755" s="20">
        <f>IF($Q1755="","",INDEX(상세표[블록 06~07시],$Q1755))</f>
        <v/>
      </c>
      <c r="L1755" s="20">
        <f>IF($Q1755="","",INDEX(상세표[블록 07~18시],$Q1755))</f>
        <v/>
      </c>
      <c r="M1755" s="20">
        <f>IF($Q1755="","",INDEX(상세표[블록 18~22시],$Q1755))</f>
        <v/>
      </c>
      <c r="N1755" s="20">
        <f>IF($Q1755="","",INDEX(상세표[블록 22~06시],$Q1755))</f>
        <v/>
      </c>
      <c r="O1755">
        <f>IF($Q1755="","",INDEX(상세표[주말·휴일 포함],$Q1755)&amp;"")</f>
        <v/>
      </c>
      <c r="P1755">
        <f>IF($Q1755="","",INDEX(상세표[월 넘김 포함],$Q1755)&amp;"")</f>
        <v/>
      </c>
      <c r="Q1755" s="4">
        <f>IFERROR(MATCH(1750,상세표[연속순번],0),"")</f>
        <v/>
      </c>
    </row>
    <row r="1756">
      <c r="A1756">
        <f>IF($Q1756="","",INDEX(상세표[부서],$Q1756)&amp;"")</f>
        <v/>
      </c>
      <c r="B1756">
        <f>IF($Q1756="","",INDEX(상세표[사번],$Q1756)&amp;"")</f>
        <v/>
      </c>
      <c r="C1756">
        <f>IF($Q1756="","",INDEX(상세표[성명],$Q1756)&amp;"")</f>
        <v/>
      </c>
      <c r="D1756">
        <f>IF($Q1756="","",INDEX(상세표[직위],$Q1756)&amp;"")</f>
        <v/>
      </c>
      <c r="E1756">
        <f>IF($Q1756="","",IF(ISNUMBER(INDEX(상세표[근무일자],$Q1756)),TEXT(INDEX(상세표[근무일자],$Q1756),"yyyy-mm-dd"),INDEX(상세표[근무일자],$Q1756)&amp;""))</f>
        <v/>
      </c>
      <c r="F1756">
        <f>IF($Q1756="","",IF(ISNUMBER(INDEX(상세표[시작],$Q1756)),TEXT(INDEX(상세표[시작],$Q1756),"yyyy-mm-dd hh:mm"),INDEX(상세표[시작],$Q1756)&amp;""))</f>
        <v/>
      </c>
      <c r="G1756">
        <f>IF($Q1756="","",IF(ISNUMBER(INDEX(상세표[블록종료],$Q1756)),TEXT(INDEX(상세표[블록종료],$Q1756),"yyyy-mm-dd hh:mm"),INDEX(상세표[블록종료],$Q1756)&amp;""))</f>
        <v/>
      </c>
      <c r="H1756">
        <f>IF($Q1756="","",CHOOSE(WEEKDAY(INDEX(상세표[시작],$Q1756)),"일","월","화","수","목","금","토"))</f>
        <v/>
      </c>
      <c r="I1756" s="20">
        <f>IF($Q1756="","",INDEX(상세표[연속 시간],$Q1756))</f>
        <v/>
      </c>
      <c r="J1756">
        <f>IF($Q1756="","",INDEX(상세표[기록 수],$Q1756))</f>
        <v/>
      </c>
      <c r="K1756" s="20">
        <f>IF($Q1756="","",INDEX(상세표[블록 06~07시],$Q1756))</f>
        <v/>
      </c>
      <c r="L1756" s="20">
        <f>IF($Q1756="","",INDEX(상세표[블록 07~18시],$Q1756))</f>
        <v/>
      </c>
      <c r="M1756" s="20">
        <f>IF($Q1756="","",INDEX(상세표[블록 18~22시],$Q1756))</f>
        <v/>
      </c>
      <c r="N1756" s="20">
        <f>IF($Q1756="","",INDEX(상세표[블록 22~06시],$Q1756))</f>
        <v/>
      </c>
      <c r="O1756">
        <f>IF($Q1756="","",INDEX(상세표[주말·휴일 포함],$Q1756)&amp;"")</f>
        <v/>
      </c>
      <c r="P1756">
        <f>IF($Q1756="","",INDEX(상세표[월 넘김 포함],$Q1756)&amp;"")</f>
        <v/>
      </c>
      <c r="Q1756" s="4">
        <f>IFERROR(MATCH(1751,상세표[연속순번],0),"")</f>
        <v/>
      </c>
    </row>
    <row r="1757">
      <c r="A1757">
        <f>IF($Q1757="","",INDEX(상세표[부서],$Q1757)&amp;"")</f>
        <v/>
      </c>
      <c r="B1757">
        <f>IF($Q1757="","",INDEX(상세표[사번],$Q1757)&amp;"")</f>
        <v/>
      </c>
      <c r="C1757">
        <f>IF($Q1757="","",INDEX(상세표[성명],$Q1757)&amp;"")</f>
        <v/>
      </c>
      <c r="D1757">
        <f>IF($Q1757="","",INDEX(상세표[직위],$Q1757)&amp;"")</f>
        <v/>
      </c>
      <c r="E1757">
        <f>IF($Q1757="","",IF(ISNUMBER(INDEX(상세표[근무일자],$Q1757)),TEXT(INDEX(상세표[근무일자],$Q1757),"yyyy-mm-dd"),INDEX(상세표[근무일자],$Q1757)&amp;""))</f>
        <v/>
      </c>
      <c r="F1757">
        <f>IF($Q1757="","",IF(ISNUMBER(INDEX(상세표[시작],$Q1757)),TEXT(INDEX(상세표[시작],$Q1757),"yyyy-mm-dd hh:mm"),INDEX(상세표[시작],$Q1757)&amp;""))</f>
        <v/>
      </c>
      <c r="G1757">
        <f>IF($Q1757="","",IF(ISNUMBER(INDEX(상세표[블록종료],$Q1757)),TEXT(INDEX(상세표[블록종료],$Q1757),"yyyy-mm-dd hh:mm"),INDEX(상세표[블록종료],$Q1757)&amp;""))</f>
        <v/>
      </c>
      <c r="H1757">
        <f>IF($Q1757="","",CHOOSE(WEEKDAY(INDEX(상세표[시작],$Q1757)),"일","월","화","수","목","금","토"))</f>
        <v/>
      </c>
      <c r="I1757" s="20">
        <f>IF($Q1757="","",INDEX(상세표[연속 시간],$Q1757))</f>
        <v/>
      </c>
      <c r="J1757">
        <f>IF($Q1757="","",INDEX(상세표[기록 수],$Q1757))</f>
        <v/>
      </c>
      <c r="K1757" s="20">
        <f>IF($Q1757="","",INDEX(상세표[블록 06~07시],$Q1757))</f>
        <v/>
      </c>
      <c r="L1757" s="20">
        <f>IF($Q1757="","",INDEX(상세표[블록 07~18시],$Q1757))</f>
        <v/>
      </c>
      <c r="M1757" s="20">
        <f>IF($Q1757="","",INDEX(상세표[블록 18~22시],$Q1757))</f>
        <v/>
      </c>
      <c r="N1757" s="20">
        <f>IF($Q1757="","",INDEX(상세표[블록 22~06시],$Q1757))</f>
        <v/>
      </c>
      <c r="O1757">
        <f>IF($Q1757="","",INDEX(상세표[주말·휴일 포함],$Q1757)&amp;"")</f>
        <v/>
      </c>
      <c r="P1757">
        <f>IF($Q1757="","",INDEX(상세표[월 넘김 포함],$Q1757)&amp;"")</f>
        <v/>
      </c>
      <c r="Q1757" s="4">
        <f>IFERROR(MATCH(1752,상세표[연속순번],0),"")</f>
        <v/>
      </c>
    </row>
    <row r="1758">
      <c r="A1758">
        <f>IF($Q1758="","",INDEX(상세표[부서],$Q1758)&amp;"")</f>
        <v/>
      </c>
      <c r="B1758">
        <f>IF($Q1758="","",INDEX(상세표[사번],$Q1758)&amp;"")</f>
        <v/>
      </c>
      <c r="C1758">
        <f>IF($Q1758="","",INDEX(상세표[성명],$Q1758)&amp;"")</f>
        <v/>
      </c>
      <c r="D1758">
        <f>IF($Q1758="","",INDEX(상세표[직위],$Q1758)&amp;"")</f>
        <v/>
      </c>
      <c r="E1758">
        <f>IF($Q1758="","",IF(ISNUMBER(INDEX(상세표[근무일자],$Q1758)),TEXT(INDEX(상세표[근무일자],$Q1758),"yyyy-mm-dd"),INDEX(상세표[근무일자],$Q1758)&amp;""))</f>
        <v/>
      </c>
      <c r="F1758">
        <f>IF($Q1758="","",IF(ISNUMBER(INDEX(상세표[시작],$Q1758)),TEXT(INDEX(상세표[시작],$Q1758),"yyyy-mm-dd hh:mm"),INDEX(상세표[시작],$Q1758)&amp;""))</f>
        <v/>
      </c>
      <c r="G1758">
        <f>IF($Q1758="","",IF(ISNUMBER(INDEX(상세표[블록종료],$Q1758)),TEXT(INDEX(상세표[블록종료],$Q1758),"yyyy-mm-dd hh:mm"),INDEX(상세표[블록종료],$Q1758)&amp;""))</f>
        <v/>
      </c>
      <c r="H1758">
        <f>IF($Q1758="","",CHOOSE(WEEKDAY(INDEX(상세표[시작],$Q1758)),"일","월","화","수","목","금","토"))</f>
        <v/>
      </c>
      <c r="I1758" s="20">
        <f>IF($Q1758="","",INDEX(상세표[연속 시간],$Q1758))</f>
        <v/>
      </c>
      <c r="J1758">
        <f>IF($Q1758="","",INDEX(상세표[기록 수],$Q1758))</f>
        <v/>
      </c>
      <c r="K1758" s="20">
        <f>IF($Q1758="","",INDEX(상세표[블록 06~07시],$Q1758))</f>
        <v/>
      </c>
      <c r="L1758" s="20">
        <f>IF($Q1758="","",INDEX(상세표[블록 07~18시],$Q1758))</f>
        <v/>
      </c>
      <c r="M1758" s="20">
        <f>IF($Q1758="","",INDEX(상세표[블록 18~22시],$Q1758))</f>
        <v/>
      </c>
      <c r="N1758" s="20">
        <f>IF($Q1758="","",INDEX(상세표[블록 22~06시],$Q1758))</f>
        <v/>
      </c>
      <c r="O1758">
        <f>IF($Q1758="","",INDEX(상세표[주말·휴일 포함],$Q1758)&amp;"")</f>
        <v/>
      </c>
      <c r="P1758">
        <f>IF($Q1758="","",INDEX(상세표[월 넘김 포함],$Q1758)&amp;"")</f>
        <v/>
      </c>
      <c r="Q1758" s="4">
        <f>IFERROR(MATCH(1753,상세표[연속순번],0),"")</f>
        <v/>
      </c>
    </row>
    <row r="1759">
      <c r="A1759">
        <f>IF($Q1759="","",INDEX(상세표[부서],$Q1759)&amp;"")</f>
        <v/>
      </c>
      <c r="B1759">
        <f>IF($Q1759="","",INDEX(상세표[사번],$Q1759)&amp;"")</f>
        <v/>
      </c>
      <c r="C1759">
        <f>IF($Q1759="","",INDEX(상세표[성명],$Q1759)&amp;"")</f>
        <v/>
      </c>
      <c r="D1759">
        <f>IF($Q1759="","",INDEX(상세표[직위],$Q1759)&amp;"")</f>
        <v/>
      </c>
      <c r="E1759">
        <f>IF($Q1759="","",IF(ISNUMBER(INDEX(상세표[근무일자],$Q1759)),TEXT(INDEX(상세표[근무일자],$Q1759),"yyyy-mm-dd"),INDEX(상세표[근무일자],$Q1759)&amp;""))</f>
        <v/>
      </c>
      <c r="F1759">
        <f>IF($Q1759="","",IF(ISNUMBER(INDEX(상세표[시작],$Q1759)),TEXT(INDEX(상세표[시작],$Q1759),"yyyy-mm-dd hh:mm"),INDEX(상세표[시작],$Q1759)&amp;""))</f>
        <v/>
      </c>
      <c r="G1759">
        <f>IF($Q1759="","",IF(ISNUMBER(INDEX(상세표[블록종료],$Q1759)),TEXT(INDEX(상세표[블록종료],$Q1759),"yyyy-mm-dd hh:mm"),INDEX(상세표[블록종료],$Q1759)&amp;""))</f>
        <v/>
      </c>
      <c r="H1759">
        <f>IF($Q1759="","",CHOOSE(WEEKDAY(INDEX(상세표[시작],$Q1759)),"일","월","화","수","목","금","토"))</f>
        <v/>
      </c>
      <c r="I1759" s="20">
        <f>IF($Q1759="","",INDEX(상세표[연속 시간],$Q1759))</f>
        <v/>
      </c>
      <c r="J1759">
        <f>IF($Q1759="","",INDEX(상세표[기록 수],$Q1759))</f>
        <v/>
      </c>
      <c r="K1759" s="20">
        <f>IF($Q1759="","",INDEX(상세표[블록 06~07시],$Q1759))</f>
        <v/>
      </c>
      <c r="L1759" s="20">
        <f>IF($Q1759="","",INDEX(상세표[블록 07~18시],$Q1759))</f>
        <v/>
      </c>
      <c r="M1759" s="20">
        <f>IF($Q1759="","",INDEX(상세표[블록 18~22시],$Q1759))</f>
        <v/>
      </c>
      <c r="N1759" s="20">
        <f>IF($Q1759="","",INDEX(상세표[블록 22~06시],$Q1759))</f>
        <v/>
      </c>
      <c r="O1759">
        <f>IF($Q1759="","",INDEX(상세표[주말·휴일 포함],$Q1759)&amp;"")</f>
        <v/>
      </c>
      <c r="P1759">
        <f>IF($Q1759="","",INDEX(상세표[월 넘김 포함],$Q1759)&amp;"")</f>
        <v/>
      </c>
      <c r="Q1759" s="4">
        <f>IFERROR(MATCH(1754,상세표[연속순번],0),"")</f>
        <v/>
      </c>
    </row>
    <row r="1760">
      <c r="A1760">
        <f>IF($Q1760="","",INDEX(상세표[부서],$Q1760)&amp;"")</f>
        <v/>
      </c>
      <c r="B1760">
        <f>IF($Q1760="","",INDEX(상세표[사번],$Q1760)&amp;"")</f>
        <v/>
      </c>
      <c r="C1760">
        <f>IF($Q1760="","",INDEX(상세표[성명],$Q1760)&amp;"")</f>
        <v/>
      </c>
      <c r="D1760">
        <f>IF($Q1760="","",INDEX(상세표[직위],$Q1760)&amp;"")</f>
        <v/>
      </c>
      <c r="E1760">
        <f>IF($Q1760="","",IF(ISNUMBER(INDEX(상세표[근무일자],$Q1760)),TEXT(INDEX(상세표[근무일자],$Q1760),"yyyy-mm-dd"),INDEX(상세표[근무일자],$Q1760)&amp;""))</f>
        <v/>
      </c>
      <c r="F1760">
        <f>IF($Q1760="","",IF(ISNUMBER(INDEX(상세표[시작],$Q1760)),TEXT(INDEX(상세표[시작],$Q1760),"yyyy-mm-dd hh:mm"),INDEX(상세표[시작],$Q1760)&amp;""))</f>
        <v/>
      </c>
      <c r="G1760">
        <f>IF($Q1760="","",IF(ISNUMBER(INDEX(상세표[블록종료],$Q1760)),TEXT(INDEX(상세표[블록종료],$Q1760),"yyyy-mm-dd hh:mm"),INDEX(상세표[블록종료],$Q1760)&amp;""))</f>
        <v/>
      </c>
      <c r="H1760">
        <f>IF($Q1760="","",CHOOSE(WEEKDAY(INDEX(상세표[시작],$Q1760)),"일","월","화","수","목","금","토"))</f>
        <v/>
      </c>
      <c r="I1760" s="20">
        <f>IF($Q1760="","",INDEX(상세표[연속 시간],$Q1760))</f>
        <v/>
      </c>
      <c r="J1760">
        <f>IF($Q1760="","",INDEX(상세표[기록 수],$Q1760))</f>
        <v/>
      </c>
      <c r="K1760" s="20">
        <f>IF($Q1760="","",INDEX(상세표[블록 06~07시],$Q1760))</f>
        <v/>
      </c>
      <c r="L1760" s="20">
        <f>IF($Q1760="","",INDEX(상세표[블록 07~18시],$Q1760))</f>
        <v/>
      </c>
      <c r="M1760" s="20">
        <f>IF($Q1760="","",INDEX(상세표[블록 18~22시],$Q1760))</f>
        <v/>
      </c>
      <c r="N1760" s="20">
        <f>IF($Q1760="","",INDEX(상세표[블록 22~06시],$Q1760))</f>
        <v/>
      </c>
      <c r="O1760">
        <f>IF($Q1760="","",INDEX(상세표[주말·휴일 포함],$Q1760)&amp;"")</f>
        <v/>
      </c>
      <c r="P1760">
        <f>IF($Q1760="","",INDEX(상세표[월 넘김 포함],$Q1760)&amp;"")</f>
        <v/>
      </c>
      <c r="Q1760" s="4">
        <f>IFERROR(MATCH(1755,상세표[연속순번],0),"")</f>
        <v/>
      </c>
    </row>
    <row r="1761">
      <c r="A1761">
        <f>IF($Q1761="","",INDEX(상세표[부서],$Q1761)&amp;"")</f>
        <v/>
      </c>
      <c r="B1761">
        <f>IF($Q1761="","",INDEX(상세표[사번],$Q1761)&amp;"")</f>
        <v/>
      </c>
      <c r="C1761">
        <f>IF($Q1761="","",INDEX(상세표[성명],$Q1761)&amp;"")</f>
        <v/>
      </c>
      <c r="D1761">
        <f>IF($Q1761="","",INDEX(상세표[직위],$Q1761)&amp;"")</f>
        <v/>
      </c>
      <c r="E1761">
        <f>IF($Q1761="","",IF(ISNUMBER(INDEX(상세표[근무일자],$Q1761)),TEXT(INDEX(상세표[근무일자],$Q1761),"yyyy-mm-dd"),INDEX(상세표[근무일자],$Q1761)&amp;""))</f>
        <v/>
      </c>
      <c r="F1761">
        <f>IF($Q1761="","",IF(ISNUMBER(INDEX(상세표[시작],$Q1761)),TEXT(INDEX(상세표[시작],$Q1761),"yyyy-mm-dd hh:mm"),INDEX(상세표[시작],$Q1761)&amp;""))</f>
        <v/>
      </c>
      <c r="G1761">
        <f>IF($Q1761="","",IF(ISNUMBER(INDEX(상세표[블록종료],$Q1761)),TEXT(INDEX(상세표[블록종료],$Q1761),"yyyy-mm-dd hh:mm"),INDEX(상세표[블록종료],$Q1761)&amp;""))</f>
        <v/>
      </c>
      <c r="H1761">
        <f>IF($Q1761="","",CHOOSE(WEEKDAY(INDEX(상세표[시작],$Q1761)),"일","월","화","수","목","금","토"))</f>
        <v/>
      </c>
      <c r="I1761" s="20">
        <f>IF($Q1761="","",INDEX(상세표[연속 시간],$Q1761))</f>
        <v/>
      </c>
      <c r="J1761">
        <f>IF($Q1761="","",INDEX(상세표[기록 수],$Q1761))</f>
        <v/>
      </c>
      <c r="K1761" s="20">
        <f>IF($Q1761="","",INDEX(상세표[블록 06~07시],$Q1761))</f>
        <v/>
      </c>
      <c r="L1761" s="20">
        <f>IF($Q1761="","",INDEX(상세표[블록 07~18시],$Q1761))</f>
        <v/>
      </c>
      <c r="M1761" s="20">
        <f>IF($Q1761="","",INDEX(상세표[블록 18~22시],$Q1761))</f>
        <v/>
      </c>
      <c r="N1761" s="20">
        <f>IF($Q1761="","",INDEX(상세표[블록 22~06시],$Q1761))</f>
        <v/>
      </c>
      <c r="O1761">
        <f>IF($Q1761="","",INDEX(상세표[주말·휴일 포함],$Q1761)&amp;"")</f>
        <v/>
      </c>
      <c r="P1761">
        <f>IF($Q1761="","",INDEX(상세표[월 넘김 포함],$Q1761)&amp;"")</f>
        <v/>
      </c>
      <c r="Q1761" s="4">
        <f>IFERROR(MATCH(1756,상세표[연속순번],0),"")</f>
        <v/>
      </c>
    </row>
    <row r="1762">
      <c r="A1762">
        <f>IF($Q1762="","",INDEX(상세표[부서],$Q1762)&amp;"")</f>
        <v/>
      </c>
      <c r="B1762">
        <f>IF($Q1762="","",INDEX(상세표[사번],$Q1762)&amp;"")</f>
        <v/>
      </c>
      <c r="C1762">
        <f>IF($Q1762="","",INDEX(상세표[성명],$Q1762)&amp;"")</f>
        <v/>
      </c>
      <c r="D1762">
        <f>IF($Q1762="","",INDEX(상세표[직위],$Q1762)&amp;"")</f>
        <v/>
      </c>
      <c r="E1762">
        <f>IF($Q1762="","",IF(ISNUMBER(INDEX(상세표[근무일자],$Q1762)),TEXT(INDEX(상세표[근무일자],$Q1762),"yyyy-mm-dd"),INDEX(상세표[근무일자],$Q1762)&amp;""))</f>
        <v/>
      </c>
      <c r="F1762">
        <f>IF($Q1762="","",IF(ISNUMBER(INDEX(상세표[시작],$Q1762)),TEXT(INDEX(상세표[시작],$Q1762),"yyyy-mm-dd hh:mm"),INDEX(상세표[시작],$Q1762)&amp;""))</f>
        <v/>
      </c>
      <c r="G1762">
        <f>IF($Q1762="","",IF(ISNUMBER(INDEX(상세표[블록종료],$Q1762)),TEXT(INDEX(상세표[블록종료],$Q1762),"yyyy-mm-dd hh:mm"),INDEX(상세표[블록종료],$Q1762)&amp;""))</f>
        <v/>
      </c>
      <c r="H1762">
        <f>IF($Q1762="","",CHOOSE(WEEKDAY(INDEX(상세표[시작],$Q1762)),"일","월","화","수","목","금","토"))</f>
        <v/>
      </c>
      <c r="I1762" s="20">
        <f>IF($Q1762="","",INDEX(상세표[연속 시간],$Q1762))</f>
        <v/>
      </c>
      <c r="J1762">
        <f>IF($Q1762="","",INDEX(상세표[기록 수],$Q1762))</f>
        <v/>
      </c>
      <c r="K1762" s="20">
        <f>IF($Q1762="","",INDEX(상세표[블록 06~07시],$Q1762))</f>
        <v/>
      </c>
      <c r="L1762" s="20">
        <f>IF($Q1762="","",INDEX(상세표[블록 07~18시],$Q1762))</f>
        <v/>
      </c>
      <c r="M1762" s="20">
        <f>IF($Q1762="","",INDEX(상세표[블록 18~22시],$Q1762))</f>
        <v/>
      </c>
      <c r="N1762" s="20">
        <f>IF($Q1762="","",INDEX(상세표[블록 22~06시],$Q1762))</f>
        <v/>
      </c>
      <c r="O1762">
        <f>IF($Q1762="","",INDEX(상세표[주말·휴일 포함],$Q1762)&amp;"")</f>
        <v/>
      </c>
      <c r="P1762">
        <f>IF($Q1762="","",INDEX(상세표[월 넘김 포함],$Q1762)&amp;"")</f>
        <v/>
      </c>
      <c r="Q1762" s="4">
        <f>IFERROR(MATCH(1757,상세표[연속순번],0),"")</f>
        <v/>
      </c>
    </row>
    <row r="1763">
      <c r="A1763">
        <f>IF($Q1763="","",INDEX(상세표[부서],$Q1763)&amp;"")</f>
        <v/>
      </c>
      <c r="B1763">
        <f>IF($Q1763="","",INDEX(상세표[사번],$Q1763)&amp;"")</f>
        <v/>
      </c>
      <c r="C1763">
        <f>IF($Q1763="","",INDEX(상세표[성명],$Q1763)&amp;"")</f>
        <v/>
      </c>
      <c r="D1763">
        <f>IF($Q1763="","",INDEX(상세표[직위],$Q1763)&amp;"")</f>
        <v/>
      </c>
      <c r="E1763">
        <f>IF($Q1763="","",IF(ISNUMBER(INDEX(상세표[근무일자],$Q1763)),TEXT(INDEX(상세표[근무일자],$Q1763),"yyyy-mm-dd"),INDEX(상세표[근무일자],$Q1763)&amp;""))</f>
        <v/>
      </c>
      <c r="F1763">
        <f>IF($Q1763="","",IF(ISNUMBER(INDEX(상세표[시작],$Q1763)),TEXT(INDEX(상세표[시작],$Q1763),"yyyy-mm-dd hh:mm"),INDEX(상세표[시작],$Q1763)&amp;""))</f>
        <v/>
      </c>
      <c r="G1763">
        <f>IF($Q1763="","",IF(ISNUMBER(INDEX(상세표[블록종료],$Q1763)),TEXT(INDEX(상세표[블록종료],$Q1763),"yyyy-mm-dd hh:mm"),INDEX(상세표[블록종료],$Q1763)&amp;""))</f>
        <v/>
      </c>
      <c r="H1763">
        <f>IF($Q1763="","",CHOOSE(WEEKDAY(INDEX(상세표[시작],$Q1763)),"일","월","화","수","목","금","토"))</f>
        <v/>
      </c>
      <c r="I1763" s="20">
        <f>IF($Q1763="","",INDEX(상세표[연속 시간],$Q1763))</f>
        <v/>
      </c>
      <c r="J1763">
        <f>IF($Q1763="","",INDEX(상세표[기록 수],$Q1763))</f>
        <v/>
      </c>
      <c r="K1763" s="20">
        <f>IF($Q1763="","",INDEX(상세표[블록 06~07시],$Q1763))</f>
        <v/>
      </c>
      <c r="L1763" s="20">
        <f>IF($Q1763="","",INDEX(상세표[블록 07~18시],$Q1763))</f>
        <v/>
      </c>
      <c r="M1763" s="20">
        <f>IF($Q1763="","",INDEX(상세표[블록 18~22시],$Q1763))</f>
        <v/>
      </c>
      <c r="N1763" s="20">
        <f>IF($Q1763="","",INDEX(상세표[블록 22~06시],$Q1763))</f>
        <v/>
      </c>
      <c r="O1763">
        <f>IF($Q1763="","",INDEX(상세표[주말·휴일 포함],$Q1763)&amp;"")</f>
        <v/>
      </c>
      <c r="P1763">
        <f>IF($Q1763="","",INDEX(상세표[월 넘김 포함],$Q1763)&amp;"")</f>
        <v/>
      </c>
      <c r="Q1763" s="4">
        <f>IFERROR(MATCH(1758,상세표[연속순번],0),"")</f>
        <v/>
      </c>
    </row>
    <row r="1764">
      <c r="A1764">
        <f>IF($Q1764="","",INDEX(상세표[부서],$Q1764)&amp;"")</f>
        <v/>
      </c>
      <c r="B1764">
        <f>IF($Q1764="","",INDEX(상세표[사번],$Q1764)&amp;"")</f>
        <v/>
      </c>
      <c r="C1764">
        <f>IF($Q1764="","",INDEX(상세표[성명],$Q1764)&amp;"")</f>
        <v/>
      </c>
      <c r="D1764">
        <f>IF($Q1764="","",INDEX(상세표[직위],$Q1764)&amp;"")</f>
        <v/>
      </c>
      <c r="E1764">
        <f>IF($Q1764="","",IF(ISNUMBER(INDEX(상세표[근무일자],$Q1764)),TEXT(INDEX(상세표[근무일자],$Q1764),"yyyy-mm-dd"),INDEX(상세표[근무일자],$Q1764)&amp;""))</f>
        <v/>
      </c>
      <c r="F1764">
        <f>IF($Q1764="","",IF(ISNUMBER(INDEX(상세표[시작],$Q1764)),TEXT(INDEX(상세표[시작],$Q1764),"yyyy-mm-dd hh:mm"),INDEX(상세표[시작],$Q1764)&amp;""))</f>
        <v/>
      </c>
      <c r="G1764">
        <f>IF($Q1764="","",IF(ISNUMBER(INDEX(상세표[블록종료],$Q1764)),TEXT(INDEX(상세표[블록종료],$Q1764),"yyyy-mm-dd hh:mm"),INDEX(상세표[블록종료],$Q1764)&amp;""))</f>
        <v/>
      </c>
      <c r="H1764">
        <f>IF($Q1764="","",CHOOSE(WEEKDAY(INDEX(상세표[시작],$Q1764)),"일","월","화","수","목","금","토"))</f>
        <v/>
      </c>
      <c r="I1764" s="20">
        <f>IF($Q1764="","",INDEX(상세표[연속 시간],$Q1764))</f>
        <v/>
      </c>
      <c r="J1764">
        <f>IF($Q1764="","",INDEX(상세표[기록 수],$Q1764))</f>
        <v/>
      </c>
      <c r="K1764" s="20">
        <f>IF($Q1764="","",INDEX(상세표[블록 06~07시],$Q1764))</f>
        <v/>
      </c>
      <c r="L1764" s="20">
        <f>IF($Q1764="","",INDEX(상세표[블록 07~18시],$Q1764))</f>
        <v/>
      </c>
      <c r="M1764" s="20">
        <f>IF($Q1764="","",INDEX(상세표[블록 18~22시],$Q1764))</f>
        <v/>
      </c>
      <c r="N1764" s="20">
        <f>IF($Q1764="","",INDEX(상세표[블록 22~06시],$Q1764))</f>
        <v/>
      </c>
      <c r="O1764">
        <f>IF($Q1764="","",INDEX(상세표[주말·휴일 포함],$Q1764)&amp;"")</f>
        <v/>
      </c>
      <c r="P1764">
        <f>IF($Q1764="","",INDEX(상세표[월 넘김 포함],$Q1764)&amp;"")</f>
        <v/>
      </c>
      <c r="Q1764" s="4">
        <f>IFERROR(MATCH(1759,상세표[연속순번],0),"")</f>
        <v/>
      </c>
    </row>
    <row r="1765">
      <c r="A1765">
        <f>IF($Q1765="","",INDEX(상세표[부서],$Q1765)&amp;"")</f>
        <v/>
      </c>
      <c r="B1765">
        <f>IF($Q1765="","",INDEX(상세표[사번],$Q1765)&amp;"")</f>
        <v/>
      </c>
      <c r="C1765">
        <f>IF($Q1765="","",INDEX(상세표[성명],$Q1765)&amp;"")</f>
        <v/>
      </c>
      <c r="D1765">
        <f>IF($Q1765="","",INDEX(상세표[직위],$Q1765)&amp;"")</f>
        <v/>
      </c>
      <c r="E1765">
        <f>IF($Q1765="","",IF(ISNUMBER(INDEX(상세표[근무일자],$Q1765)),TEXT(INDEX(상세표[근무일자],$Q1765),"yyyy-mm-dd"),INDEX(상세표[근무일자],$Q1765)&amp;""))</f>
        <v/>
      </c>
      <c r="F1765">
        <f>IF($Q1765="","",IF(ISNUMBER(INDEX(상세표[시작],$Q1765)),TEXT(INDEX(상세표[시작],$Q1765),"yyyy-mm-dd hh:mm"),INDEX(상세표[시작],$Q1765)&amp;""))</f>
        <v/>
      </c>
      <c r="G1765">
        <f>IF($Q1765="","",IF(ISNUMBER(INDEX(상세표[블록종료],$Q1765)),TEXT(INDEX(상세표[블록종료],$Q1765),"yyyy-mm-dd hh:mm"),INDEX(상세표[블록종료],$Q1765)&amp;""))</f>
        <v/>
      </c>
      <c r="H1765">
        <f>IF($Q1765="","",CHOOSE(WEEKDAY(INDEX(상세표[시작],$Q1765)),"일","월","화","수","목","금","토"))</f>
        <v/>
      </c>
      <c r="I1765" s="20">
        <f>IF($Q1765="","",INDEX(상세표[연속 시간],$Q1765))</f>
        <v/>
      </c>
      <c r="J1765">
        <f>IF($Q1765="","",INDEX(상세표[기록 수],$Q1765))</f>
        <v/>
      </c>
      <c r="K1765" s="20">
        <f>IF($Q1765="","",INDEX(상세표[블록 06~07시],$Q1765))</f>
        <v/>
      </c>
      <c r="L1765" s="20">
        <f>IF($Q1765="","",INDEX(상세표[블록 07~18시],$Q1765))</f>
        <v/>
      </c>
      <c r="M1765" s="20">
        <f>IF($Q1765="","",INDEX(상세표[블록 18~22시],$Q1765))</f>
        <v/>
      </c>
      <c r="N1765" s="20">
        <f>IF($Q1765="","",INDEX(상세표[블록 22~06시],$Q1765))</f>
        <v/>
      </c>
      <c r="O1765">
        <f>IF($Q1765="","",INDEX(상세표[주말·휴일 포함],$Q1765)&amp;"")</f>
        <v/>
      </c>
      <c r="P1765">
        <f>IF($Q1765="","",INDEX(상세표[월 넘김 포함],$Q1765)&amp;"")</f>
        <v/>
      </c>
      <c r="Q1765" s="4">
        <f>IFERROR(MATCH(1760,상세표[연속순번],0),"")</f>
        <v/>
      </c>
    </row>
    <row r="1766">
      <c r="A1766">
        <f>IF($Q1766="","",INDEX(상세표[부서],$Q1766)&amp;"")</f>
        <v/>
      </c>
      <c r="B1766">
        <f>IF($Q1766="","",INDEX(상세표[사번],$Q1766)&amp;"")</f>
        <v/>
      </c>
      <c r="C1766">
        <f>IF($Q1766="","",INDEX(상세표[성명],$Q1766)&amp;"")</f>
        <v/>
      </c>
      <c r="D1766">
        <f>IF($Q1766="","",INDEX(상세표[직위],$Q1766)&amp;"")</f>
        <v/>
      </c>
      <c r="E1766">
        <f>IF($Q1766="","",IF(ISNUMBER(INDEX(상세표[근무일자],$Q1766)),TEXT(INDEX(상세표[근무일자],$Q1766),"yyyy-mm-dd"),INDEX(상세표[근무일자],$Q1766)&amp;""))</f>
        <v/>
      </c>
      <c r="F1766">
        <f>IF($Q1766="","",IF(ISNUMBER(INDEX(상세표[시작],$Q1766)),TEXT(INDEX(상세표[시작],$Q1766),"yyyy-mm-dd hh:mm"),INDEX(상세표[시작],$Q1766)&amp;""))</f>
        <v/>
      </c>
      <c r="G1766">
        <f>IF($Q1766="","",IF(ISNUMBER(INDEX(상세표[블록종료],$Q1766)),TEXT(INDEX(상세표[블록종료],$Q1766),"yyyy-mm-dd hh:mm"),INDEX(상세표[블록종료],$Q1766)&amp;""))</f>
        <v/>
      </c>
      <c r="H1766">
        <f>IF($Q1766="","",CHOOSE(WEEKDAY(INDEX(상세표[시작],$Q1766)),"일","월","화","수","목","금","토"))</f>
        <v/>
      </c>
      <c r="I1766" s="20">
        <f>IF($Q1766="","",INDEX(상세표[연속 시간],$Q1766))</f>
        <v/>
      </c>
      <c r="J1766">
        <f>IF($Q1766="","",INDEX(상세표[기록 수],$Q1766))</f>
        <v/>
      </c>
      <c r="K1766" s="20">
        <f>IF($Q1766="","",INDEX(상세표[블록 06~07시],$Q1766))</f>
        <v/>
      </c>
      <c r="L1766" s="20">
        <f>IF($Q1766="","",INDEX(상세표[블록 07~18시],$Q1766))</f>
        <v/>
      </c>
      <c r="M1766" s="20">
        <f>IF($Q1766="","",INDEX(상세표[블록 18~22시],$Q1766))</f>
        <v/>
      </c>
      <c r="N1766" s="20">
        <f>IF($Q1766="","",INDEX(상세표[블록 22~06시],$Q1766))</f>
        <v/>
      </c>
      <c r="O1766">
        <f>IF($Q1766="","",INDEX(상세표[주말·휴일 포함],$Q1766)&amp;"")</f>
        <v/>
      </c>
      <c r="P1766">
        <f>IF($Q1766="","",INDEX(상세표[월 넘김 포함],$Q1766)&amp;"")</f>
        <v/>
      </c>
      <c r="Q1766" s="4">
        <f>IFERROR(MATCH(1761,상세표[연속순번],0),"")</f>
        <v/>
      </c>
    </row>
    <row r="1767">
      <c r="A1767">
        <f>IF($Q1767="","",INDEX(상세표[부서],$Q1767)&amp;"")</f>
        <v/>
      </c>
      <c r="B1767">
        <f>IF($Q1767="","",INDEX(상세표[사번],$Q1767)&amp;"")</f>
        <v/>
      </c>
      <c r="C1767">
        <f>IF($Q1767="","",INDEX(상세표[성명],$Q1767)&amp;"")</f>
        <v/>
      </c>
      <c r="D1767">
        <f>IF($Q1767="","",INDEX(상세표[직위],$Q1767)&amp;"")</f>
        <v/>
      </c>
      <c r="E1767">
        <f>IF($Q1767="","",IF(ISNUMBER(INDEX(상세표[근무일자],$Q1767)),TEXT(INDEX(상세표[근무일자],$Q1767),"yyyy-mm-dd"),INDEX(상세표[근무일자],$Q1767)&amp;""))</f>
        <v/>
      </c>
      <c r="F1767">
        <f>IF($Q1767="","",IF(ISNUMBER(INDEX(상세표[시작],$Q1767)),TEXT(INDEX(상세표[시작],$Q1767),"yyyy-mm-dd hh:mm"),INDEX(상세표[시작],$Q1767)&amp;""))</f>
        <v/>
      </c>
      <c r="G1767">
        <f>IF($Q1767="","",IF(ISNUMBER(INDEX(상세표[블록종료],$Q1767)),TEXT(INDEX(상세표[블록종료],$Q1767),"yyyy-mm-dd hh:mm"),INDEX(상세표[블록종료],$Q1767)&amp;""))</f>
        <v/>
      </c>
      <c r="H1767">
        <f>IF($Q1767="","",CHOOSE(WEEKDAY(INDEX(상세표[시작],$Q1767)),"일","월","화","수","목","금","토"))</f>
        <v/>
      </c>
      <c r="I1767" s="20">
        <f>IF($Q1767="","",INDEX(상세표[연속 시간],$Q1767))</f>
        <v/>
      </c>
      <c r="J1767">
        <f>IF($Q1767="","",INDEX(상세표[기록 수],$Q1767))</f>
        <v/>
      </c>
      <c r="K1767" s="20">
        <f>IF($Q1767="","",INDEX(상세표[블록 06~07시],$Q1767))</f>
        <v/>
      </c>
      <c r="L1767" s="20">
        <f>IF($Q1767="","",INDEX(상세표[블록 07~18시],$Q1767))</f>
        <v/>
      </c>
      <c r="M1767" s="20">
        <f>IF($Q1767="","",INDEX(상세표[블록 18~22시],$Q1767))</f>
        <v/>
      </c>
      <c r="N1767" s="20">
        <f>IF($Q1767="","",INDEX(상세표[블록 22~06시],$Q1767))</f>
        <v/>
      </c>
      <c r="O1767">
        <f>IF($Q1767="","",INDEX(상세표[주말·휴일 포함],$Q1767)&amp;"")</f>
        <v/>
      </c>
      <c r="P1767">
        <f>IF($Q1767="","",INDEX(상세표[월 넘김 포함],$Q1767)&amp;"")</f>
        <v/>
      </c>
      <c r="Q1767" s="4">
        <f>IFERROR(MATCH(1762,상세표[연속순번],0),"")</f>
        <v/>
      </c>
    </row>
    <row r="1768">
      <c r="A1768">
        <f>IF($Q1768="","",INDEX(상세표[부서],$Q1768)&amp;"")</f>
        <v/>
      </c>
      <c r="B1768">
        <f>IF($Q1768="","",INDEX(상세표[사번],$Q1768)&amp;"")</f>
        <v/>
      </c>
      <c r="C1768">
        <f>IF($Q1768="","",INDEX(상세표[성명],$Q1768)&amp;"")</f>
        <v/>
      </c>
      <c r="D1768">
        <f>IF($Q1768="","",INDEX(상세표[직위],$Q1768)&amp;"")</f>
        <v/>
      </c>
      <c r="E1768">
        <f>IF($Q1768="","",IF(ISNUMBER(INDEX(상세표[근무일자],$Q1768)),TEXT(INDEX(상세표[근무일자],$Q1768),"yyyy-mm-dd"),INDEX(상세표[근무일자],$Q1768)&amp;""))</f>
        <v/>
      </c>
      <c r="F1768">
        <f>IF($Q1768="","",IF(ISNUMBER(INDEX(상세표[시작],$Q1768)),TEXT(INDEX(상세표[시작],$Q1768),"yyyy-mm-dd hh:mm"),INDEX(상세표[시작],$Q1768)&amp;""))</f>
        <v/>
      </c>
      <c r="G1768">
        <f>IF($Q1768="","",IF(ISNUMBER(INDEX(상세표[블록종료],$Q1768)),TEXT(INDEX(상세표[블록종료],$Q1768),"yyyy-mm-dd hh:mm"),INDEX(상세표[블록종료],$Q1768)&amp;""))</f>
        <v/>
      </c>
      <c r="H1768">
        <f>IF($Q1768="","",CHOOSE(WEEKDAY(INDEX(상세표[시작],$Q1768)),"일","월","화","수","목","금","토"))</f>
        <v/>
      </c>
      <c r="I1768" s="20">
        <f>IF($Q1768="","",INDEX(상세표[연속 시간],$Q1768))</f>
        <v/>
      </c>
      <c r="J1768">
        <f>IF($Q1768="","",INDEX(상세표[기록 수],$Q1768))</f>
        <v/>
      </c>
      <c r="K1768" s="20">
        <f>IF($Q1768="","",INDEX(상세표[블록 06~07시],$Q1768))</f>
        <v/>
      </c>
      <c r="L1768" s="20">
        <f>IF($Q1768="","",INDEX(상세표[블록 07~18시],$Q1768))</f>
        <v/>
      </c>
      <c r="M1768" s="20">
        <f>IF($Q1768="","",INDEX(상세표[블록 18~22시],$Q1768))</f>
        <v/>
      </c>
      <c r="N1768" s="20">
        <f>IF($Q1768="","",INDEX(상세표[블록 22~06시],$Q1768))</f>
        <v/>
      </c>
      <c r="O1768">
        <f>IF($Q1768="","",INDEX(상세표[주말·휴일 포함],$Q1768)&amp;"")</f>
        <v/>
      </c>
      <c r="P1768">
        <f>IF($Q1768="","",INDEX(상세표[월 넘김 포함],$Q1768)&amp;"")</f>
        <v/>
      </c>
      <c r="Q1768" s="4">
        <f>IFERROR(MATCH(1763,상세표[연속순번],0),"")</f>
        <v/>
      </c>
    </row>
    <row r="1769">
      <c r="A1769">
        <f>IF($Q1769="","",INDEX(상세표[부서],$Q1769)&amp;"")</f>
        <v/>
      </c>
      <c r="B1769">
        <f>IF($Q1769="","",INDEX(상세표[사번],$Q1769)&amp;"")</f>
        <v/>
      </c>
      <c r="C1769">
        <f>IF($Q1769="","",INDEX(상세표[성명],$Q1769)&amp;"")</f>
        <v/>
      </c>
      <c r="D1769">
        <f>IF($Q1769="","",INDEX(상세표[직위],$Q1769)&amp;"")</f>
        <v/>
      </c>
      <c r="E1769">
        <f>IF($Q1769="","",IF(ISNUMBER(INDEX(상세표[근무일자],$Q1769)),TEXT(INDEX(상세표[근무일자],$Q1769),"yyyy-mm-dd"),INDEX(상세표[근무일자],$Q1769)&amp;""))</f>
        <v/>
      </c>
      <c r="F1769">
        <f>IF($Q1769="","",IF(ISNUMBER(INDEX(상세표[시작],$Q1769)),TEXT(INDEX(상세표[시작],$Q1769),"yyyy-mm-dd hh:mm"),INDEX(상세표[시작],$Q1769)&amp;""))</f>
        <v/>
      </c>
      <c r="G1769">
        <f>IF($Q1769="","",IF(ISNUMBER(INDEX(상세표[블록종료],$Q1769)),TEXT(INDEX(상세표[블록종료],$Q1769),"yyyy-mm-dd hh:mm"),INDEX(상세표[블록종료],$Q1769)&amp;""))</f>
        <v/>
      </c>
      <c r="H1769">
        <f>IF($Q1769="","",CHOOSE(WEEKDAY(INDEX(상세표[시작],$Q1769)),"일","월","화","수","목","금","토"))</f>
        <v/>
      </c>
      <c r="I1769" s="20">
        <f>IF($Q1769="","",INDEX(상세표[연속 시간],$Q1769))</f>
        <v/>
      </c>
      <c r="J1769">
        <f>IF($Q1769="","",INDEX(상세표[기록 수],$Q1769))</f>
        <v/>
      </c>
      <c r="K1769" s="20">
        <f>IF($Q1769="","",INDEX(상세표[블록 06~07시],$Q1769))</f>
        <v/>
      </c>
      <c r="L1769" s="20">
        <f>IF($Q1769="","",INDEX(상세표[블록 07~18시],$Q1769))</f>
        <v/>
      </c>
      <c r="M1769" s="20">
        <f>IF($Q1769="","",INDEX(상세표[블록 18~22시],$Q1769))</f>
        <v/>
      </c>
      <c r="N1769" s="20">
        <f>IF($Q1769="","",INDEX(상세표[블록 22~06시],$Q1769))</f>
        <v/>
      </c>
      <c r="O1769">
        <f>IF($Q1769="","",INDEX(상세표[주말·휴일 포함],$Q1769)&amp;"")</f>
        <v/>
      </c>
      <c r="P1769">
        <f>IF($Q1769="","",INDEX(상세표[월 넘김 포함],$Q1769)&amp;"")</f>
        <v/>
      </c>
      <c r="Q1769" s="4">
        <f>IFERROR(MATCH(1764,상세표[연속순번],0),"")</f>
        <v/>
      </c>
    </row>
    <row r="1770">
      <c r="A1770">
        <f>IF($Q1770="","",INDEX(상세표[부서],$Q1770)&amp;"")</f>
        <v/>
      </c>
      <c r="B1770">
        <f>IF($Q1770="","",INDEX(상세표[사번],$Q1770)&amp;"")</f>
        <v/>
      </c>
      <c r="C1770">
        <f>IF($Q1770="","",INDEX(상세표[성명],$Q1770)&amp;"")</f>
        <v/>
      </c>
      <c r="D1770">
        <f>IF($Q1770="","",INDEX(상세표[직위],$Q1770)&amp;"")</f>
        <v/>
      </c>
      <c r="E1770">
        <f>IF($Q1770="","",IF(ISNUMBER(INDEX(상세표[근무일자],$Q1770)),TEXT(INDEX(상세표[근무일자],$Q1770),"yyyy-mm-dd"),INDEX(상세표[근무일자],$Q1770)&amp;""))</f>
        <v/>
      </c>
      <c r="F1770">
        <f>IF($Q1770="","",IF(ISNUMBER(INDEX(상세표[시작],$Q1770)),TEXT(INDEX(상세표[시작],$Q1770),"yyyy-mm-dd hh:mm"),INDEX(상세표[시작],$Q1770)&amp;""))</f>
        <v/>
      </c>
      <c r="G1770">
        <f>IF($Q1770="","",IF(ISNUMBER(INDEX(상세표[블록종료],$Q1770)),TEXT(INDEX(상세표[블록종료],$Q1770),"yyyy-mm-dd hh:mm"),INDEX(상세표[블록종료],$Q1770)&amp;""))</f>
        <v/>
      </c>
      <c r="H1770">
        <f>IF($Q1770="","",CHOOSE(WEEKDAY(INDEX(상세표[시작],$Q1770)),"일","월","화","수","목","금","토"))</f>
        <v/>
      </c>
      <c r="I1770" s="20">
        <f>IF($Q1770="","",INDEX(상세표[연속 시간],$Q1770))</f>
        <v/>
      </c>
      <c r="J1770">
        <f>IF($Q1770="","",INDEX(상세표[기록 수],$Q1770))</f>
        <v/>
      </c>
      <c r="K1770" s="20">
        <f>IF($Q1770="","",INDEX(상세표[블록 06~07시],$Q1770))</f>
        <v/>
      </c>
      <c r="L1770" s="20">
        <f>IF($Q1770="","",INDEX(상세표[블록 07~18시],$Q1770))</f>
        <v/>
      </c>
      <c r="M1770" s="20">
        <f>IF($Q1770="","",INDEX(상세표[블록 18~22시],$Q1770))</f>
        <v/>
      </c>
      <c r="N1770" s="20">
        <f>IF($Q1770="","",INDEX(상세표[블록 22~06시],$Q1770))</f>
        <v/>
      </c>
      <c r="O1770">
        <f>IF($Q1770="","",INDEX(상세표[주말·휴일 포함],$Q1770)&amp;"")</f>
        <v/>
      </c>
      <c r="P1770">
        <f>IF($Q1770="","",INDEX(상세표[월 넘김 포함],$Q1770)&amp;"")</f>
        <v/>
      </c>
      <c r="Q1770" s="4">
        <f>IFERROR(MATCH(1765,상세표[연속순번],0),"")</f>
        <v/>
      </c>
    </row>
    <row r="1771">
      <c r="A1771">
        <f>IF($Q1771="","",INDEX(상세표[부서],$Q1771)&amp;"")</f>
        <v/>
      </c>
      <c r="B1771">
        <f>IF($Q1771="","",INDEX(상세표[사번],$Q1771)&amp;"")</f>
        <v/>
      </c>
      <c r="C1771">
        <f>IF($Q1771="","",INDEX(상세표[성명],$Q1771)&amp;"")</f>
        <v/>
      </c>
      <c r="D1771">
        <f>IF($Q1771="","",INDEX(상세표[직위],$Q1771)&amp;"")</f>
        <v/>
      </c>
      <c r="E1771">
        <f>IF($Q1771="","",IF(ISNUMBER(INDEX(상세표[근무일자],$Q1771)),TEXT(INDEX(상세표[근무일자],$Q1771),"yyyy-mm-dd"),INDEX(상세표[근무일자],$Q1771)&amp;""))</f>
        <v/>
      </c>
      <c r="F1771">
        <f>IF($Q1771="","",IF(ISNUMBER(INDEX(상세표[시작],$Q1771)),TEXT(INDEX(상세표[시작],$Q1771),"yyyy-mm-dd hh:mm"),INDEX(상세표[시작],$Q1771)&amp;""))</f>
        <v/>
      </c>
      <c r="G1771">
        <f>IF($Q1771="","",IF(ISNUMBER(INDEX(상세표[블록종료],$Q1771)),TEXT(INDEX(상세표[블록종료],$Q1771),"yyyy-mm-dd hh:mm"),INDEX(상세표[블록종료],$Q1771)&amp;""))</f>
        <v/>
      </c>
      <c r="H1771">
        <f>IF($Q1771="","",CHOOSE(WEEKDAY(INDEX(상세표[시작],$Q1771)),"일","월","화","수","목","금","토"))</f>
        <v/>
      </c>
      <c r="I1771" s="20">
        <f>IF($Q1771="","",INDEX(상세표[연속 시간],$Q1771))</f>
        <v/>
      </c>
      <c r="J1771">
        <f>IF($Q1771="","",INDEX(상세표[기록 수],$Q1771))</f>
        <v/>
      </c>
      <c r="K1771" s="20">
        <f>IF($Q1771="","",INDEX(상세표[블록 06~07시],$Q1771))</f>
        <v/>
      </c>
      <c r="L1771" s="20">
        <f>IF($Q1771="","",INDEX(상세표[블록 07~18시],$Q1771))</f>
        <v/>
      </c>
      <c r="M1771" s="20">
        <f>IF($Q1771="","",INDEX(상세표[블록 18~22시],$Q1771))</f>
        <v/>
      </c>
      <c r="N1771" s="20">
        <f>IF($Q1771="","",INDEX(상세표[블록 22~06시],$Q1771))</f>
        <v/>
      </c>
      <c r="O1771">
        <f>IF($Q1771="","",INDEX(상세표[주말·휴일 포함],$Q1771)&amp;"")</f>
        <v/>
      </c>
      <c r="P1771">
        <f>IF($Q1771="","",INDEX(상세표[월 넘김 포함],$Q1771)&amp;"")</f>
        <v/>
      </c>
      <c r="Q1771" s="4">
        <f>IFERROR(MATCH(1766,상세표[연속순번],0),"")</f>
        <v/>
      </c>
    </row>
    <row r="1772">
      <c r="A1772">
        <f>IF($Q1772="","",INDEX(상세표[부서],$Q1772)&amp;"")</f>
        <v/>
      </c>
      <c r="B1772">
        <f>IF($Q1772="","",INDEX(상세표[사번],$Q1772)&amp;"")</f>
        <v/>
      </c>
      <c r="C1772">
        <f>IF($Q1772="","",INDEX(상세표[성명],$Q1772)&amp;"")</f>
        <v/>
      </c>
      <c r="D1772">
        <f>IF($Q1772="","",INDEX(상세표[직위],$Q1772)&amp;"")</f>
        <v/>
      </c>
      <c r="E1772">
        <f>IF($Q1772="","",IF(ISNUMBER(INDEX(상세표[근무일자],$Q1772)),TEXT(INDEX(상세표[근무일자],$Q1772),"yyyy-mm-dd"),INDEX(상세표[근무일자],$Q1772)&amp;""))</f>
        <v/>
      </c>
      <c r="F1772">
        <f>IF($Q1772="","",IF(ISNUMBER(INDEX(상세표[시작],$Q1772)),TEXT(INDEX(상세표[시작],$Q1772),"yyyy-mm-dd hh:mm"),INDEX(상세표[시작],$Q1772)&amp;""))</f>
        <v/>
      </c>
      <c r="G1772">
        <f>IF($Q1772="","",IF(ISNUMBER(INDEX(상세표[블록종료],$Q1772)),TEXT(INDEX(상세표[블록종료],$Q1772),"yyyy-mm-dd hh:mm"),INDEX(상세표[블록종료],$Q1772)&amp;""))</f>
        <v/>
      </c>
      <c r="H1772">
        <f>IF($Q1772="","",CHOOSE(WEEKDAY(INDEX(상세표[시작],$Q1772)),"일","월","화","수","목","금","토"))</f>
        <v/>
      </c>
      <c r="I1772" s="20">
        <f>IF($Q1772="","",INDEX(상세표[연속 시간],$Q1772))</f>
        <v/>
      </c>
      <c r="J1772">
        <f>IF($Q1772="","",INDEX(상세표[기록 수],$Q1772))</f>
        <v/>
      </c>
      <c r="K1772" s="20">
        <f>IF($Q1772="","",INDEX(상세표[블록 06~07시],$Q1772))</f>
        <v/>
      </c>
      <c r="L1772" s="20">
        <f>IF($Q1772="","",INDEX(상세표[블록 07~18시],$Q1772))</f>
        <v/>
      </c>
      <c r="M1772" s="20">
        <f>IF($Q1772="","",INDEX(상세표[블록 18~22시],$Q1772))</f>
        <v/>
      </c>
      <c r="N1772" s="20">
        <f>IF($Q1772="","",INDEX(상세표[블록 22~06시],$Q1772))</f>
        <v/>
      </c>
      <c r="O1772">
        <f>IF($Q1772="","",INDEX(상세표[주말·휴일 포함],$Q1772)&amp;"")</f>
        <v/>
      </c>
      <c r="P1772">
        <f>IF($Q1772="","",INDEX(상세표[월 넘김 포함],$Q1772)&amp;"")</f>
        <v/>
      </c>
      <c r="Q1772" s="4">
        <f>IFERROR(MATCH(1767,상세표[연속순번],0),"")</f>
        <v/>
      </c>
    </row>
    <row r="1773">
      <c r="A1773">
        <f>IF($Q1773="","",INDEX(상세표[부서],$Q1773)&amp;"")</f>
        <v/>
      </c>
      <c r="B1773">
        <f>IF($Q1773="","",INDEX(상세표[사번],$Q1773)&amp;"")</f>
        <v/>
      </c>
      <c r="C1773">
        <f>IF($Q1773="","",INDEX(상세표[성명],$Q1773)&amp;"")</f>
        <v/>
      </c>
      <c r="D1773">
        <f>IF($Q1773="","",INDEX(상세표[직위],$Q1773)&amp;"")</f>
        <v/>
      </c>
      <c r="E1773">
        <f>IF($Q1773="","",IF(ISNUMBER(INDEX(상세표[근무일자],$Q1773)),TEXT(INDEX(상세표[근무일자],$Q1773),"yyyy-mm-dd"),INDEX(상세표[근무일자],$Q1773)&amp;""))</f>
        <v/>
      </c>
      <c r="F1773">
        <f>IF($Q1773="","",IF(ISNUMBER(INDEX(상세표[시작],$Q1773)),TEXT(INDEX(상세표[시작],$Q1773),"yyyy-mm-dd hh:mm"),INDEX(상세표[시작],$Q1773)&amp;""))</f>
        <v/>
      </c>
      <c r="G1773">
        <f>IF($Q1773="","",IF(ISNUMBER(INDEX(상세표[블록종료],$Q1773)),TEXT(INDEX(상세표[블록종료],$Q1773),"yyyy-mm-dd hh:mm"),INDEX(상세표[블록종료],$Q1773)&amp;""))</f>
        <v/>
      </c>
      <c r="H1773">
        <f>IF($Q1773="","",CHOOSE(WEEKDAY(INDEX(상세표[시작],$Q1773)),"일","월","화","수","목","금","토"))</f>
        <v/>
      </c>
      <c r="I1773" s="20">
        <f>IF($Q1773="","",INDEX(상세표[연속 시간],$Q1773))</f>
        <v/>
      </c>
      <c r="J1773">
        <f>IF($Q1773="","",INDEX(상세표[기록 수],$Q1773))</f>
        <v/>
      </c>
      <c r="K1773" s="20">
        <f>IF($Q1773="","",INDEX(상세표[블록 06~07시],$Q1773))</f>
        <v/>
      </c>
      <c r="L1773" s="20">
        <f>IF($Q1773="","",INDEX(상세표[블록 07~18시],$Q1773))</f>
        <v/>
      </c>
      <c r="M1773" s="20">
        <f>IF($Q1773="","",INDEX(상세표[블록 18~22시],$Q1773))</f>
        <v/>
      </c>
      <c r="N1773" s="20">
        <f>IF($Q1773="","",INDEX(상세표[블록 22~06시],$Q1773))</f>
        <v/>
      </c>
      <c r="O1773">
        <f>IF($Q1773="","",INDEX(상세표[주말·휴일 포함],$Q1773)&amp;"")</f>
        <v/>
      </c>
      <c r="P1773">
        <f>IF($Q1773="","",INDEX(상세표[월 넘김 포함],$Q1773)&amp;"")</f>
        <v/>
      </c>
      <c r="Q1773" s="4">
        <f>IFERROR(MATCH(1768,상세표[연속순번],0),"")</f>
        <v/>
      </c>
    </row>
    <row r="1774">
      <c r="A1774">
        <f>IF($Q1774="","",INDEX(상세표[부서],$Q1774)&amp;"")</f>
        <v/>
      </c>
      <c r="B1774">
        <f>IF($Q1774="","",INDEX(상세표[사번],$Q1774)&amp;"")</f>
        <v/>
      </c>
      <c r="C1774">
        <f>IF($Q1774="","",INDEX(상세표[성명],$Q1774)&amp;"")</f>
        <v/>
      </c>
      <c r="D1774">
        <f>IF($Q1774="","",INDEX(상세표[직위],$Q1774)&amp;"")</f>
        <v/>
      </c>
      <c r="E1774">
        <f>IF($Q1774="","",IF(ISNUMBER(INDEX(상세표[근무일자],$Q1774)),TEXT(INDEX(상세표[근무일자],$Q1774),"yyyy-mm-dd"),INDEX(상세표[근무일자],$Q1774)&amp;""))</f>
        <v/>
      </c>
      <c r="F1774">
        <f>IF($Q1774="","",IF(ISNUMBER(INDEX(상세표[시작],$Q1774)),TEXT(INDEX(상세표[시작],$Q1774),"yyyy-mm-dd hh:mm"),INDEX(상세표[시작],$Q1774)&amp;""))</f>
        <v/>
      </c>
      <c r="G1774">
        <f>IF($Q1774="","",IF(ISNUMBER(INDEX(상세표[블록종료],$Q1774)),TEXT(INDEX(상세표[블록종료],$Q1774),"yyyy-mm-dd hh:mm"),INDEX(상세표[블록종료],$Q1774)&amp;""))</f>
        <v/>
      </c>
      <c r="H1774">
        <f>IF($Q1774="","",CHOOSE(WEEKDAY(INDEX(상세표[시작],$Q1774)),"일","월","화","수","목","금","토"))</f>
        <v/>
      </c>
      <c r="I1774" s="20">
        <f>IF($Q1774="","",INDEX(상세표[연속 시간],$Q1774))</f>
        <v/>
      </c>
      <c r="J1774">
        <f>IF($Q1774="","",INDEX(상세표[기록 수],$Q1774))</f>
        <v/>
      </c>
      <c r="K1774" s="20">
        <f>IF($Q1774="","",INDEX(상세표[블록 06~07시],$Q1774))</f>
        <v/>
      </c>
      <c r="L1774" s="20">
        <f>IF($Q1774="","",INDEX(상세표[블록 07~18시],$Q1774))</f>
        <v/>
      </c>
      <c r="M1774" s="20">
        <f>IF($Q1774="","",INDEX(상세표[블록 18~22시],$Q1774))</f>
        <v/>
      </c>
      <c r="N1774" s="20">
        <f>IF($Q1774="","",INDEX(상세표[블록 22~06시],$Q1774))</f>
        <v/>
      </c>
      <c r="O1774">
        <f>IF($Q1774="","",INDEX(상세표[주말·휴일 포함],$Q1774)&amp;"")</f>
        <v/>
      </c>
      <c r="P1774">
        <f>IF($Q1774="","",INDEX(상세표[월 넘김 포함],$Q1774)&amp;"")</f>
        <v/>
      </c>
      <c r="Q1774" s="4">
        <f>IFERROR(MATCH(1769,상세표[연속순번],0),"")</f>
        <v/>
      </c>
    </row>
    <row r="1775">
      <c r="A1775">
        <f>IF($Q1775="","",INDEX(상세표[부서],$Q1775)&amp;"")</f>
        <v/>
      </c>
      <c r="B1775">
        <f>IF($Q1775="","",INDEX(상세표[사번],$Q1775)&amp;"")</f>
        <v/>
      </c>
      <c r="C1775">
        <f>IF($Q1775="","",INDEX(상세표[성명],$Q1775)&amp;"")</f>
        <v/>
      </c>
      <c r="D1775">
        <f>IF($Q1775="","",INDEX(상세표[직위],$Q1775)&amp;"")</f>
        <v/>
      </c>
      <c r="E1775">
        <f>IF($Q1775="","",IF(ISNUMBER(INDEX(상세표[근무일자],$Q1775)),TEXT(INDEX(상세표[근무일자],$Q1775),"yyyy-mm-dd"),INDEX(상세표[근무일자],$Q1775)&amp;""))</f>
        <v/>
      </c>
      <c r="F1775">
        <f>IF($Q1775="","",IF(ISNUMBER(INDEX(상세표[시작],$Q1775)),TEXT(INDEX(상세표[시작],$Q1775),"yyyy-mm-dd hh:mm"),INDEX(상세표[시작],$Q1775)&amp;""))</f>
        <v/>
      </c>
      <c r="G1775">
        <f>IF($Q1775="","",IF(ISNUMBER(INDEX(상세표[블록종료],$Q1775)),TEXT(INDEX(상세표[블록종료],$Q1775),"yyyy-mm-dd hh:mm"),INDEX(상세표[블록종료],$Q1775)&amp;""))</f>
        <v/>
      </c>
      <c r="H1775">
        <f>IF($Q1775="","",CHOOSE(WEEKDAY(INDEX(상세표[시작],$Q1775)),"일","월","화","수","목","금","토"))</f>
        <v/>
      </c>
      <c r="I1775" s="20">
        <f>IF($Q1775="","",INDEX(상세표[연속 시간],$Q1775))</f>
        <v/>
      </c>
      <c r="J1775">
        <f>IF($Q1775="","",INDEX(상세표[기록 수],$Q1775))</f>
        <v/>
      </c>
      <c r="K1775" s="20">
        <f>IF($Q1775="","",INDEX(상세표[블록 06~07시],$Q1775))</f>
        <v/>
      </c>
      <c r="L1775" s="20">
        <f>IF($Q1775="","",INDEX(상세표[블록 07~18시],$Q1775))</f>
        <v/>
      </c>
      <c r="M1775" s="20">
        <f>IF($Q1775="","",INDEX(상세표[블록 18~22시],$Q1775))</f>
        <v/>
      </c>
      <c r="N1775" s="20">
        <f>IF($Q1775="","",INDEX(상세표[블록 22~06시],$Q1775))</f>
        <v/>
      </c>
      <c r="O1775">
        <f>IF($Q1775="","",INDEX(상세표[주말·휴일 포함],$Q1775)&amp;"")</f>
        <v/>
      </c>
      <c r="P1775">
        <f>IF($Q1775="","",INDEX(상세표[월 넘김 포함],$Q1775)&amp;"")</f>
        <v/>
      </c>
      <c r="Q1775" s="4">
        <f>IFERROR(MATCH(1770,상세표[연속순번],0),"")</f>
        <v/>
      </c>
    </row>
    <row r="1776">
      <c r="A1776">
        <f>IF($Q1776="","",INDEX(상세표[부서],$Q1776)&amp;"")</f>
        <v/>
      </c>
      <c r="B1776">
        <f>IF($Q1776="","",INDEX(상세표[사번],$Q1776)&amp;"")</f>
        <v/>
      </c>
      <c r="C1776">
        <f>IF($Q1776="","",INDEX(상세표[성명],$Q1776)&amp;"")</f>
        <v/>
      </c>
      <c r="D1776">
        <f>IF($Q1776="","",INDEX(상세표[직위],$Q1776)&amp;"")</f>
        <v/>
      </c>
      <c r="E1776">
        <f>IF($Q1776="","",IF(ISNUMBER(INDEX(상세표[근무일자],$Q1776)),TEXT(INDEX(상세표[근무일자],$Q1776),"yyyy-mm-dd"),INDEX(상세표[근무일자],$Q1776)&amp;""))</f>
        <v/>
      </c>
      <c r="F1776">
        <f>IF($Q1776="","",IF(ISNUMBER(INDEX(상세표[시작],$Q1776)),TEXT(INDEX(상세표[시작],$Q1776),"yyyy-mm-dd hh:mm"),INDEX(상세표[시작],$Q1776)&amp;""))</f>
        <v/>
      </c>
      <c r="G1776">
        <f>IF($Q1776="","",IF(ISNUMBER(INDEX(상세표[블록종료],$Q1776)),TEXT(INDEX(상세표[블록종료],$Q1776),"yyyy-mm-dd hh:mm"),INDEX(상세표[블록종료],$Q1776)&amp;""))</f>
        <v/>
      </c>
      <c r="H1776">
        <f>IF($Q1776="","",CHOOSE(WEEKDAY(INDEX(상세표[시작],$Q1776)),"일","월","화","수","목","금","토"))</f>
        <v/>
      </c>
      <c r="I1776" s="20">
        <f>IF($Q1776="","",INDEX(상세표[연속 시간],$Q1776))</f>
        <v/>
      </c>
      <c r="J1776">
        <f>IF($Q1776="","",INDEX(상세표[기록 수],$Q1776))</f>
        <v/>
      </c>
      <c r="K1776" s="20">
        <f>IF($Q1776="","",INDEX(상세표[블록 06~07시],$Q1776))</f>
        <v/>
      </c>
      <c r="L1776" s="20">
        <f>IF($Q1776="","",INDEX(상세표[블록 07~18시],$Q1776))</f>
        <v/>
      </c>
      <c r="M1776" s="20">
        <f>IF($Q1776="","",INDEX(상세표[블록 18~22시],$Q1776))</f>
        <v/>
      </c>
      <c r="N1776" s="20">
        <f>IF($Q1776="","",INDEX(상세표[블록 22~06시],$Q1776))</f>
        <v/>
      </c>
      <c r="O1776">
        <f>IF($Q1776="","",INDEX(상세표[주말·휴일 포함],$Q1776)&amp;"")</f>
        <v/>
      </c>
      <c r="P1776">
        <f>IF($Q1776="","",INDEX(상세표[월 넘김 포함],$Q1776)&amp;"")</f>
        <v/>
      </c>
      <c r="Q1776" s="4">
        <f>IFERROR(MATCH(1771,상세표[연속순번],0),"")</f>
        <v/>
      </c>
    </row>
    <row r="1777">
      <c r="A1777">
        <f>IF($Q1777="","",INDEX(상세표[부서],$Q1777)&amp;"")</f>
        <v/>
      </c>
      <c r="B1777">
        <f>IF($Q1777="","",INDEX(상세표[사번],$Q1777)&amp;"")</f>
        <v/>
      </c>
      <c r="C1777">
        <f>IF($Q1777="","",INDEX(상세표[성명],$Q1777)&amp;"")</f>
        <v/>
      </c>
      <c r="D1777">
        <f>IF($Q1777="","",INDEX(상세표[직위],$Q1777)&amp;"")</f>
        <v/>
      </c>
      <c r="E1777">
        <f>IF($Q1777="","",IF(ISNUMBER(INDEX(상세표[근무일자],$Q1777)),TEXT(INDEX(상세표[근무일자],$Q1777),"yyyy-mm-dd"),INDEX(상세표[근무일자],$Q1777)&amp;""))</f>
        <v/>
      </c>
      <c r="F1777">
        <f>IF($Q1777="","",IF(ISNUMBER(INDEX(상세표[시작],$Q1777)),TEXT(INDEX(상세표[시작],$Q1777),"yyyy-mm-dd hh:mm"),INDEX(상세표[시작],$Q1777)&amp;""))</f>
        <v/>
      </c>
      <c r="G1777">
        <f>IF($Q1777="","",IF(ISNUMBER(INDEX(상세표[블록종료],$Q1777)),TEXT(INDEX(상세표[블록종료],$Q1777),"yyyy-mm-dd hh:mm"),INDEX(상세표[블록종료],$Q1777)&amp;""))</f>
        <v/>
      </c>
      <c r="H1777">
        <f>IF($Q1777="","",CHOOSE(WEEKDAY(INDEX(상세표[시작],$Q1777)),"일","월","화","수","목","금","토"))</f>
        <v/>
      </c>
      <c r="I1777" s="20">
        <f>IF($Q1777="","",INDEX(상세표[연속 시간],$Q1777))</f>
        <v/>
      </c>
      <c r="J1777">
        <f>IF($Q1777="","",INDEX(상세표[기록 수],$Q1777))</f>
        <v/>
      </c>
      <c r="K1777" s="20">
        <f>IF($Q1777="","",INDEX(상세표[블록 06~07시],$Q1777))</f>
        <v/>
      </c>
      <c r="L1777" s="20">
        <f>IF($Q1777="","",INDEX(상세표[블록 07~18시],$Q1777))</f>
        <v/>
      </c>
      <c r="M1777" s="20">
        <f>IF($Q1777="","",INDEX(상세표[블록 18~22시],$Q1777))</f>
        <v/>
      </c>
      <c r="N1777" s="20">
        <f>IF($Q1777="","",INDEX(상세표[블록 22~06시],$Q1777))</f>
        <v/>
      </c>
      <c r="O1777">
        <f>IF($Q1777="","",INDEX(상세표[주말·휴일 포함],$Q1777)&amp;"")</f>
        <v/>
      </c>
      <c r="P1777">
        <f>IF($Q1777="","",INDEX(상세표[월 넘김 포함],$Q1777)&amp;"")</f>
        <v/>
      </c>
      <c r="Q1777" s="4">
        <f>IFERROR(MATCH(1772,상세표[연속순번],0),"")</f>
        <v/>
      </c>
    </row>
    <row r="1778">
      <c r="A1778">
        <f>IF($Q1778="","",INDEX(상세표[부서],$Q1778)&amp;"")</f>
        <v/>
      </c>
      <c r="B1778">
        <f>IF($Q1778="","",INDEX(상세표[사번],$Q1778)&amp;"")</f>
        <v/>
      </c>
      <c r="C1778">
        <f>IF($Q1778="","",INDEX(상세표[성명],$Q1778)&amp;"")</f>
        <v/>
      </c>
      <c r="D1778">
        <f>IF($Q1778="","",INDEX(상세표[직위],$Q1778)&amp;"")</f>
        <v/>
      </c>
      <c r="E1778">
        <f>IF($Q1778="","",IF(ISNUMBER(INDEX(상세표[근무일자],$Q1778)),TEXT(INDEX(상세표[근무일자],$Q1778),"yyyy-mm-dd"),INDEX(상세표[근무일자],$Q1778)&amp;""))</f>
        <v/>
      </c>
      <c r="F1778">
        <f>IF($Q1778="","",IF(ISNUMBER(INDEX(상세표[시작],$Q1778)),TEXT(INDEX(상세표[시작],$Q1778),"yyyy-mm-dd hh:mm"),INDEX(상세표[시작],$Q1778)&amp;""))</f>
        <v/>
      </c>
      <c r="G1778">
        <f>IF($Q1778="","",IF(ISNUMBER(INDEX(상세표[블록종료],$Q1778)),TEXT(INDEX(상세표[블록종료],$Q1778),"yyyy-mm-dd hh:mm"),INDEX(상세표[블록종료],$Q1778)&amp;""))</f>
        <v/>
      </c>
      <c r="H1778">
        <f>IF($Q1778="","",CHOOSE(WEEKDAY(INDEX(상세표[시작],$Q1778)),"일","월","화","수","목","금","토"))</f>
        <v/>
      </c>
      <c r="I1778" s="20">
        <f>IF($Q1778="","",INDEX(상세표[연속 시간],$Q1778))</f>
        <v/>
      </c>
      <c r="J1778">
        <f>IF($Q1778="","",INDEX(상세표[기록 수],$Q1778))</f>
        <v/>
      </c>
      <c r="K1778" s="20">
        <f>IF($Q1778="","",INDEX(상세표[블록 06~07시],$Q1778))</f>
        <v/>
      </c>
      <c r="L1778" s="20">
        <f>IF($Q1778="","",INDEX(상세표[블록 07~18시],$Q1778))</f>
        <v/>
      </c>
      <c r="M1778" s="20">
        <f>IF($Q1778="","",INDEX(상세표[블록 18~22시],$Q1778))</f>
        <v/>
      </c>
      <c r="N1778" s="20">
        <f>IF($Q1778="","",INDEX(상세표[블록 22~06시],$Q1778))</f>
        <v/>
      </c>
      <c r="O1778">
        <f>IF($Q1778="","",INDEX(상세표[주말·휴일 포함],$Q1778)&amp;"")</f>
        <v/>
      </c>
      <c r="P1778">
        <f>IF($Q1778="","",INDEX(상세표[월 넘김 포함],$Q1778)&amp;"")</f>
        <v/>
      </c>
      <c r="Q1778" s="4">
        <f>IFERROR(MATCH(1773,상세표[연속순번],0),"")</f>
        <v/>
      </c>
    </row>
    <row r="1779">
      <c r="A1779">
        <f>IF($Q1779="","",INDEX(상세표[부서],$Q1779)&amp;"")</f>
        <v/>
      </c>
      <c r="B1779">
        <f>IF($Q1779="","",INDEX(상세표[사번],$Q1779)&amp;"")</f>
        <v/>
      </c>
      <c r="C1779">
        <f>IF($Q1779="","",INDEX(상세표[성명],$Q1779)&amp;"")</f>
        <v/>
      </c>
      <c r="D1779">
        <f>IF($Q1779="","",INDEX(상세표[직위],$Q1779)&amp;"")</f>
        <v/>
      </c>
      <c r="E1779">
        <f>IF($Q1779="","",IF(ISNUMBER(INDEX(상세표[근무일자],$Q1779)),TEXT(INDEX(상세표[근무일자],$Q1779),"yyyy-mm-dd"),INDEX(상세표[근무일자],$Q1779)&amp;""))</f>
        <v/>
      </c>
      <c r="F1779">
        <f>IF($Q1779="","",IF(ISNUMBER(INDEX(상세표[시작],$Q1779)),TEXT(INDEX(상세표[시작],$Q1779),"yyyy-mm-dd hh:mm"),INDEX(상세표[시작],$Q1779)&amp;""))</f>
        <v/>
      </c>
      <c r="G1779">
        <f>IF($Q1779="","",IF(ISNUMBER(INDEX(상세표[블록종료],$Q1779)),TEXT(INDEX(상세표[블록종료],$Q1779),"yyyy-mm-dd hh:mm"),INDEX(상세표[블록종료],$Q1779)&amp;""))</f>
        <v/>
      </c>
      <c r="H1779">
        <f>IF($Q1779="","",CHOOSE(WEEKDAY(INDEX(상세표[시작],$Q1779)),"일","월","화","수","목","금","토"))</f>
        <v/>
      </c>
      <c r="I1779" s="20">
        <f>IF($Q1779="","",INDEX(상세표[연속 시간],$Q1779))</f>
        <v/>
      </c>
      <c r="J1779">
        <f>IF($Q1779="","",INDEX(상세표[기록 수],$Q1779))</f>
        <v/>
      </c>
      <c r="K1779" s="20">
        <f>IF($Q1779="","",INDEX(상세표[블록 06~07시],$Q1779))</f>
        <v/>
      </c>
      <c r="L1779" s="20">
        <f>IF($Q1779="","",INDEX(상세표[블록 07~18시],$Q1779))</f>
        <v/>
      </c>
      <c r="M1779" s="20">
        <f>IF($Q1779="","",INDEX(상세표[블록 18~22시],$Q1779))</f>
        <v/>
      </c>
      <c r="N1779" s="20">
        <f>IF($Q1779="","",INDEX(상세표[블록 22~06시],$Q1779))</f>
        <v/>
      </c>
      <c r="O1779">
        <f>IF($Q1779="","",INDEX(상세표[주말·휴일 포함],$Q1779)&amp;"")</f>
        <v/>
      </c>
      <c r="P1779">
        <f>IF($Q1779="","",INDEX(상세표[월 넘김 포함],$Q1779)&amp;"")</f>
        <v/>
      </c>
      <c r="Q1779" s="4">
        <f>IFERROR(MATCH(1774,상세표[연속순번],0),"")</f>
        <v/>
      </c>
    </row>
    <row r="1780">
      <c r="A1780">
        <f>IF($Q1780="","",INDEX(상세표[부서],$Q1780)&amp;"")</f>
        <v/>
      </c>
      <c r="B1780">
        <f>IF($Q1780="","",INDEX(상세표[사번],$Q1780)&amp;"")</f>
        <v/>
      </c>
      <c r="C1780">
        <f>IF($Q1780="","",INDEX(상세표[성명],$Q1780)&amp;"")</f>
        <v/>
      </c>
      <c r="D1780">
        <f>IF($Q1780="","",INDEX(상세표[직위],$Q1780)&amp;"")</f>
        <v/>
      </c>
      <c r="E1780">
        <f>IF($Q1780="","",IF(ISNUMBER(INDEX(상세표[근무일자],$Q1780)),TEXT(INDEX(상세표[근무일자],$Q1780),"yyyy-mm-dd"),INDEX(상세표[근무일자],$Q1780)&amp;""))</f>
        <v/>
      </c>
      <c r="F1780">
        <f>IF($Q1780="","",IF(ISNUMBER(INDEX(상세표[시작],$Q1780)),TEXT(INDEX(상세표[시작],$Q1780),"yyyy-mm-dd hh:mm"),INDEX(상세표[시작],$Q1780)&amp;""))</f>
        <v/>
      </c>
      <c r="G1780">
        <f>IF($Q1780="","",IF(ISNUMBER(INDEX(상세표[블록종료],$Q1780)),TEXT(INDEX(상세표[블록종료],$Q1780),"yyyy-mm-dd hh:mm"),INDEX(상세표[블록종료],$Q1780)&amp;""))</f>
        <v/>
      </c>
      <c r="H1780">
        <f>IF($Q1780="","",CHOOSE(WEEKDAY(INDEX(상세표[시작],$Q1780)),"일","월","화","수","목","금","토"))</f>
        <v/>
      </c>
      <c r="I1780" s="20">
        <f>IF($Q1780="","",INDEX(상세표[연속 시간],$Q1780))</f>
        <v/>
      </c>
      <c r="J1780">
        <f>IF($Q1780="","",INDEX(상세표[기록 수],$Q1780))</f>
        <v/>
      </c>
      <c r="K1780" s="20">
        <f>IF($Q1780="","",INDEX(상세표[블록 06~07시],$Q1780))</f>
        <v/>
      </c>
      <c r="L1780" s="20">
        <f>IF($Q1780="","",INDEX(상세표[블록 07~18시],$Q1780))</f>
        <v/>
      </c>
      <c r="M1780" s="20">
        <f>IF($Q1780="","",INDEX(상세표[블록 18~22시],$Q1780))</f>
        <v/>
      </c>
      <c r="N1780" s="20">
        <f>IF($Q1780="","",INDEX(상세표[블록 22~06시],$Q1780))</f>
        <v/>
      </c>
      <c r="O1780">
        <f>IF($Q1780="","",INDEX(상세표[주말·휴일 포함],$Q1780)&amp;"")</f>
        <v/>
      </c>
      <c r="P1780">
        <f>IF($Q1780="","",INDEX(상세표[월 넘김 포함],$Q1780)&amp;"")</f>
        <v/>
      </c>
      <c r="Q1780" s="4">
        <f>IFERROR(MATCH(1775,상세표[연속순번],0),"")</f>
        <v/>
      </c>
    </row>
    <row r="1781">
      <c r="A1781">
        <f>IF($Q1781="","",INDEX(상세표[부서],$Q1781)&amp;"")</f>
        <v/>
      </c>
      <c r="B1781">
        <f>IF($Q1781="","",INDEX(상세표[사번],$Q1781)&amp;"")</f>
        <v/>
      </c>
      <c r="C1781">
        <f>IF($Q1781="","",INDEX(상세표[성명],$Q1781)&amp;"")</f>
        <v/>
      </c>
      <c r="D1781">
        <f>IF($Q1781="","",INDEX(상세표[직위],$Q1781)&amp;"")</f>
        <v/>
      </c>
      <c r="E1781">
        <f>IF($Q1781="","",IF(ISNUMBER(INDEX(상세표[근무일자],$Q1781)),TEXT(INDEX(상세표[근무일자],$Q1781),"yyyy-mm-dd"),INDEX(상세표[근무일자],$Q1781)&amp;""))</f>
        <v/>
      </c>
      <c r="F1781">
        <f>IF($Q1781="","",IF(ISNUMBER(INDEX(상세표[시작],$Q1781)),TEXT(INDEX(상세표[시작],$Q1781),"yyyy-mm-dd hh:mm"),INDEX(상세표[시작],$Q1781)&amp;""))</f>
        <v/>
      </c>
      <c r="G1781">
        <f>IF($Q1781="","",IF(ISNUMBER(INDEX(상세표[블록종료],$Q1781)),TEXT(INDEX(상세표[블록종료],$Q1781),"yyyy-mm-dd hh:mm"),INDEX(상세표[블록종료],$Q1781)&amp;""))</f>
        <v/>
      </c>
      <c r="H1781">
        <f>IF($Q1781="","",CHOOSE(WEEKDAY(INDEX(상세표[시작],$Q1781)),"일","월","화","수","목","금","토"))</f>
        <v/>
      </c>
      <c r="I1781" s="20">
        <f>IF($Q1781="","",INDEX(상세표[연속 시간],$Q1781))</f>
        <v/>
      </c>
      <c r="J1781">
        <f>IF($Q1781="","",INDEX(상세표[기록 수],$Q1781))</f>
        <v/>
      </c>
      <c r="K1781" s="20">
        <f>IF($Q1781="","",INDEX(상세표[블록 06~07시],$Q1781))</f>
        <v/>
      </c>
      <c r="L1781" s="20">
        <f>IF($Q1781="","",INDEX(상세표[블록 07~18시],$Q1781))</f>
        <v/>
      </c>
      <c r="M1781" s="20">
        <f>IF($Q1781="","",INDEX(상세표[블록 18~22시],$Q1781))</f>
        <v/>
      </c>
      <c r="N1781" s="20">
        <f>IF($Q1781="","",INDEX(상세표[블록 22~06시],$Q1781))</f>
        <v/>
      </c>
      <c r="O1781">
        <f>IF($Q1781="","",INDEX(상세표[주말·휴일 포함],$Q1781)&amp;"")</f>
        <v/>
      </c>
      <c r="P1781">
        <f>IF($Q1781="","",INDEX(상세표[월 넘김 포함],$Q1781)&amp;"")</f>
        <v/>
      </c>
      <c r="Q1781" s="4">
        <f>IFERROR(MATCH(1776,상세표[연속순번],0),"")</f>
        <v/>
      </c>
    </row>
    <row r="1782">
      <c r="A1782">
        <f>IF($Q1782="","",INDEX(상세표[부서],$Q1782)&amp;"")</f>
        <v/>
      </c>
      <c r="B1782">
        <f>IF($Q1782="","",INDEX(상세표[사번],$Q1782)&amp;"")</f>
        <v/>
      </c>
      <c r="C1782">
        <f>IF($Q1782="","",INDEX(상세표[성명],$Q1782)&amp;"")</f>
        <v/>
      </c>
      <c r="D1782">
        <f>IF($Q1782="","",INDEX(상세표[직위],$Q1782)&amp;"")</f>
        <v/>
      </c>
      <c r="E1782">
        <f>IF($Q1782="","",IF(ISNUMBER(INDEX(상세표[근무일자],$Q1782)),TEXT(INDEX(상세표[근무일자],$Q1782),"yyyy-mm-dd"),INDEX(상세표[근무일자],$Q1782)&amp;""))</f>
        <v/>
      </c>
      <c r="F1782">
        <f>IF($Q1782="","",IF(ISNUMBER(INDEX(상세표[시작],$Q1782)),TEXT(INDEX(상세표[시작],$Q1782),"yyyy-mm-dd hh:mm"),INDEX(상세표[시작],$Q1782)&amp;""))</f>
        <v/>
      </c>
      <c r="G1782">
        <f>IF($Q1782="","",IF(ISNUMBER(INDEX(상세표[블록종료],$Q1782)),TEXT(INDEX(상세표[블록종료],$Q1782),"yyyy-mm-dd hh:mm"),INDEX(상세표[블록종료],$Q1782)&amp;""))</f>
        <v/>
      </c>
      <c r="H1782">
        <f>IF($Q1782="","",CHOOSE(WEEKDAY(INDEX(상세표[시작],$Q1782)),"일","월","화","수","목","금","토"))</f>
        <v/>
      </c>
      <c r="I1782" s="20">
        <f>IF($Q1782="","",INDEX(상세표[연속 시간],$Q1782))</f>
        <v/>
      </c>
      <c r="J1782">
        <f>IF($Q1782="","",INDEX(상세표[기록 수],$Q1782))</f>
        <v/>
      </c>
      <c r="K1782" s="20">
        <f>IF($Q1782="","",INDEX(상세표[블록 06~07시],$Q1782))</f>
        <v/>
      </c>
      <c r="L1782" s="20">
        <f>IF($Q1782="","",INDEX(상세표[블록 07~18시],$Q1782))</f>
        <v/>
      </c>
      <c r="M1782" s="20">
        <f>IF($Q1782="","",INDEX(상세표[블록 18~22시],$Q1782))</f>
        <v/>
      </c>
      <c r="N1782" s="20">
        <f>IF($Q1782="","",INDEX(상세표[블록 22~06시],$Q1782))</f>
        <v/>
      </c>
      <c r="O1782">
        <f>IF($Q1782="","",INDEX(상세표[주말·휴일 포함],$Q1782)&amp;"")</f>
        <v/>
      </c>
      <c r="P1782">
        <f>IF($Q1782="","",INDEX(상세표[월 넘김 포함],$Q1782)&amp;"")</f>
        <v/>
      </c>
      <c r="Q1782" s="4">
        <f>IFERROR(MATCH(1777,상세표[연속순번],0),"")</f>
        <v/>
      </c>
    </row>
    <row r="1783">
      <c r="A1783">
        <f>IF($Q1783="","",INDEX(상세표[부서],$Q1783)&amp;"")</f>
        <v/>
      </c>
      <c r="B1783">
        <f>IF($Q1783="","",INDEX(상세표[사번],$Q1783)&amp;"")</f>
        <v/>
      </c>
      <c r="C1783">
        <f>IF($Q1783="","",INDEX(상세표[성명],$Q1783)&amp;"")</f>
        <v/>
      </c>
      <c r="D1783">
        <f>IF($Q1783="","",INDEX(상세표[직위],$Q1783)&amp;"")</f>
        <v/>
      </c>
      <c r="E1783">
        <f>IF($Q1783="","",IF(ISNUMBER(INDEX(상세표[근무일자],$Q1783)),TEXT(INDEX(상세표[근무일자],$Q1783),"yyyy-mm-dd"),INDEX(상세표[근무일자],$Q1783)&amp;""))</f>
        <v/>
      </c>
      <c r="F1783">
        <f>IF($Q1783="","",IF(ISNUMBER(INDEX(상세표[시작],$Q1783)),TEXT(INDEX(상세표[시작],$Q1783),"yyyy-mm-dd hh:mm"),INDEX(상세표[시작],$Q1783)&amp;""))</f>
        <v/>
      </c>
      <c r="G1783">
        <f>IF($Q1783="","",IF(ISNUMBER(INDEX(상세표[블록종료],$Q1783)),TEXT(INDEX(상세표[블록종료],$Q1783),"yyyy-mm-dd hh:mm"),INDEX(상세표[블록종료],$Q1783)&amp;""))</f>
        <v/>
      </c>
      <c r="H1783">
        <f>IF($Q1783="","",CHOOSE(WEEKDAY(INDEX(상세표[시작],$Q1783)),"일","월","화","수","목","금","토"))</f>
        <v/>
      </c>
      <c r="I1783" s="20">
        <f>IF($Q1783="","",INDEX(상세표[연속 시간],$Q1783))</f>
        <v/>
      </c>
      <c r="J1783">
        <f>IF($Q1783="","",INDEX(상세표[기록 수],$Q1783))</f>
        <v/>
      </c>
      <c r="K1783" s="20">
        <f>IF($Q1783="","",INDEX(상세표[블록 06~07시],$Q1783))</f>
        <v/>
      </c>
      <c r="L1783" s="20">
        <f>IF($Q1783="","",INDEX(상세표[블록 07~18시],$Q1783))</f>
        <v/>
      </c>
      <c r="M1783" s="20">
        <f>IF($Q1783="","",INDEX(상세표[블록 18~22시],$Q1783))</f>
        <v/>
      </c>
      <c r="N1783" s="20">
        <f>IF($Q1783="","",INDEX(상세표[블록 22~06시],$Q1783))</f>
        <v/>
      </c>
      <c r="O1783">
        <f>IF($Q1783="","",INDEX(상세표[주말·휴일 포함],$Q1783)&amp;"")</f>
        <v/>
      </c>
      <c r="P1783">
        <f>IF($Q1783="","",INDEX(상세표[월 넘김 포함],$Q1783)&amp;"")</f>
        <v/>
      </c>
      <c r="Q1783" s="4">
        <f>IFERROR(MATCH(1778,상세표[연속순번],0),"")</f>
        <v/>
      </c>
    </row>
    <row r="1784">
      <c r="A1784">
        <f>IF($Q1784="","",INDEX(상세표[부서],$Q1784)&amp;"")</f>
        <v/>
      </c>
      <c r="B1784">
        <f>IF($Q1784="","",INDEX(상세표[사번],$Q1784)&amp;"")</f>
        <v/>
      </c>
      <c r="C1784">
        <f>IF($Q1784="","",INDEX(상세표[성명],$Q1784)&amp;"")</f>
        <v/>
      </c>
      <c r="D1784">
        <f>IF($Q1784="","",INDEX(상세표[직위],$Q1784)&amp;"")</f>
        <v/>
      </c>
      <c r="E1784">
        <f>IF($Q1784="","",IF(ISNUMBER(INDEX(상세표[근무일자],$Q1784)),TEXT(INDEX(상세표[근무일자],$Q1784),"yyyy-mm-dd"),INDEX(상세표[근무일자],$Q1784)&amp;""))</f>
        <v/>
      </c>
      <c r="F1784">
        <f>IF($Q1784="","",IF(ISNUMBER(INDEX(상세표[시작],$Q1784)),TEXT(INDEX(상세표[시작],$Q1784),"yyyy-mm-dd hh:mm"),INDEX(상세표[시작],$Q1784)&amp;""))</f>
        <v/>
      </c>
      <c r="G1784">
        <f>IF($Q1784="","",IF(ISNUMBER(INDEX(상세표[블록종료],$Q1784)),TEXT(INDEX(상세표[블록종료],$Q1784),"yyyy-mm-dd hh:mm"),INDEX(상세표[블록종료],$Q1784)&amp;""))</f>
        <v/>
      </c>
      <c r="H1784">
        <f>IF($Q1784="","",CHOOSE(WEEKDAY(INDEX(상세표[시작],$Q1784)),"일","월","화","수","목","금","토"))</f>
        <v/>
      </c>
      <c r="I1784" s="20">
        <f>IF($Q1784="","",INDEX(상세표[연속 시간],$Q1784))</f>
        <v/>
      </c>
      <c r="J1784">
        <f>IF($Q1784="","",INDEX(상세표[기록 수],$Q1784))</f>
        <v/>
      </c>
      <c r="K1784" s="20">
        <f>IF($Q1784="","",INDEX(상세표[블록 06~07시],$Q1784))</f>
        <v/>
      </c>
      <c r="L1784" s="20">
        <f>IF($Q1784="","",INDEX(상세표[블록 07~18시],$Q1784))</f>
        <v/>
      </c>
      <c r="M1784" s="20">
        <f>IF($Q1784="","",INDEX(상세표[블록 18~22시],$Q1784))</f>
        <v/>
      </c>
      <c r="N1784" s="20">
        <f>IF($Q1784="","",INDEX(상세표[블록 22~06시],$Q1784))</f>
        <v/>
      </c>
      <c r="O1784">
        <f>IF($Q1784="","",INDEX(상세표[주말·휴일 포함],$Q1784)&amp;"")</f>
        <v/>
      </c>
      <c r="P1784">
        <f>IF($Q1784="","",INDEX(상세표[월 넘김 포함],$Q1784)&amp;"")</f>
        <v/>
      </c>
      <c r="Q1784" s="4">
        <f>IFERROR(MATCH(1779,상세표[연속순번],0),"")</f>
        <v/>
      </c>
    </row>
    <row r="1785">
      <c r="A1785">
        <f>IF($Q1785="","",INDEX(상세표[부서],$Q1785)&amp;"")</f>
        <v/>
      </c>
      <c r="B1785">
        <f>IF($Q1785="","",INDEX(상세표[사번],$Q1785)&amp;"")</f>
        <v/>
      </c>
      <c r="C1785">
        <f>IF($Q1785="","",INDEX(상세표[성명],$Q1785)&amp;"")</f>
        <v/>
      </c>
      <c r="D1785">
        <f>IF($Q1785="","",INDEX(상세표[직위],$Q1785)&amp;"")</f>
        <v/>
      </c>
      <c r="E1785">
        <f>IF($Q1785="","",IF(ISNUMBER(INDEX(상세표[근무일자],$Q1785)),TEXT(INDEX(상세표[근무일자],$Q1785),"yyyy-mm-dd"),INDEX(상세표[근무일자],$Q1785)&amp;""))</f>
        <v/>
      </c>
      <c r="F1785">
        <f>IF($Q1785="","",IF(ISNUMBER(INDEX(상세표[시작],$Q1785)),TEXT(INDEX(상세표[시작],$Q1785),"yyyy-mm-dd hh:mm"),INDEX(상세표[시작],$Q1785)&amp;""))</f>
        <v/>
      </c>
      <c r="G1785">
        <f>IF($Q1785="","",IF(ISNUMBER(INDEX(상세표[블록종료],$Q1785)),TEXT(INDEX(상세표[블록종료],$Q1785),"yyyy-mm-dd hh:mm"),INDEX(상세표[블록종료],$Q1785)&amp;""))</f>
        <v/>
      </c>
      <c r="H1785">
        <f>IF($Q1785="","",CHOOSE(WEEKDAY(INDEX(상세표[시작],$Q1785)),"일","월","화","수","목","금","토"))</f>
        <v/>
      </c>
      <c r="I1785" s="20">
        <f>IF($Q1785="","",INDEX(상세표[연속 시간],$Q1785))</f>
        <v/>
      </c>
      <c r="J1785">
        <f>IF($Q1785="","",INDEX(상세표[기록 수],$Q1785))</f>
        <v/>
      </c>
      <c r="K1785" s="20">
        <f>IF($Q1785="","",INDEX(상세표[블록 06~07시],$Q1785))</f>
        <v/>
      </c>
      <c r="L1785" s="20">
        <f>IF($Q1785="","",INDEX(상세표[블록 07~18시],$Q1785))</f>
        <v/>
      </c>
      <c r="M1785" s="20">
        <f>IF($Q1785="","",INDEX(상세표[블록 18~22시],$Q1785))</f>
        <v/>
      </c>
      <c r="N1785" s="20">
        <f>IF($Q1785="","",INDEX(상세표[블록 22~06시],$Q1785))</f>
        <v/>
      </c>
      <c r="O1785">
        <f>IF($Q1785="","",INDEX(상세표[주말·휴일 포함],$Q1785)&amp;"")</f>
        <v/>
      </c>
      <c r="P1785">
        <f>IF($Q1785="","",INDEX(상세표[월 넘김 포함],$Q1785)&amp;"")</f>
        <v/>
      </c>
      <c r="Q1785" s="4">
        <f>IFERROR(MATCH(1780,상세표[연속순번],0),"")</f>
        <v/>
      </c>
    </row>
    <row r="1786">
      <c r="A1786">
        <f>IF($Q1786="","",INDEX(상세표[부서],$Q1786)&amp;"")</f>
        <v/>
      </c>
      <c r="B1786">
        <f>IF($Q1786="","",INDEX(상세표[사번],$Q1786)&amp;"")</f>
        <v/>
      </c>
      <c r="C1786">
        <f>IF($Q1786="","",INDEX(상세표[성명],$Q1786)&amp;"")</f>
        <v/>
      </c>
      <c r="D1786">
        <f>IF($Q1786="","",INDEX(상세표[직위],$Q1786)&amp;"")</f>
        <v/>
      </c>
      <c r="E1786">
        <f>IF($Q1786="","",IF(ISNUMBER(INDEX(상세표[근무일자],$Q1786)),TEXT(INDEX(상세표[근무일자],$Q1786),"yyyy-mm-dd"),INDEX(상세표[근무일자],$Q1786)&amp;""))</f>
        <v/>
      </c>
      <c r="F1786">
        <f>IF($Q1786="","",IF(ISNUMBER(INDEX(상세표[시작],$Q1786)),TEXT(INDEX(상세표[시작],$Q1786),"yyyy-mm-dd hh:mm"),INDEX(상세표[시작],$Q1786)&amp;""))</f>
        <v/>
      </c>
      <c r="G1786">
        <f>IF($Q1786="","",IF(ISNUMBER(INDEX(상세표[블록종료],$Q1786)),TEXT(INDEX(상세표[블록종료],$Q1786),"yyyy-mm-dd hh:mm"),INDEX(상세표[블록종료],$Q1786)&amp;""))</f>
        <v/>
      </c>
      <c r="H1786">
        <f>IF($Q1786="","",CHOOSE(WEEKDAY(INDEX(상세표[시작],$Q1786)),"일","월","화","수","목","금","토"))</f>
        <v/>
      </c>
      <c r="I1786" s="20">
        <f>IF($Q1786="","",INDEX(상세표[연속 시간],$Q1786))</f>
        <v/>
      </c>
      <c r="J1786">
        <f>IF($Q1786="","",INDEX(상세표[기록 수],$Q1786))</f>
        <v/>
      </c>
      <c r="K1786" s="20">
        <f>IF($Q1786="","",INDEX(상세표[블록 06~07시],$Q1786))</f>
        <v/>
      </c>
      <c r="L1786" s="20">
        <f>IF($Q1786="","",INDEX(상세표[블록 07~18시],$Q1786))</f>
        <v/>
      </c>
      <c r="M1786" s="20">
        <f>IF($Q1786="","",INDEX(상세표[블록 18~22시],$Q1786))</f>
        <v/>
      </c>
      <c r="N1786" s="20">
        <f>IF($Q1786="","",INDEX(상세표[블록 22~06시],$Q1786))</f>
        <v/>
      </c>
      <c r="O1786">
        <f>IF($Q1786="","",INDEX(상세표[주말·휴일 포함],$Q1786)&amp;"")</f>
        <v/>
      </c>
      <c r="P1786">
        <f>IF($Q1786="","",INDEX(상세표[월 넘김 포함],$Q1786)&amp;"")</f>
        <v/>
      </c>
      <c r="Q1786" s="4">
        <f>IFERROR(MATCH(1781,상세표[연속순번],0),"")</f>
        <v/>
      </c>
    </row>
    <row r="1787">
      <c r="A1787">
        <f>IF($Q1787="","",INDEX(상세표[부서],$Q1787)&amp;"")</f>
        <v/>
      </c>
      <c r="B1787">
        <f>IF($Q1787="","",INDEX(상세표[사번],$Q1787)&amp;"")</f>
        <v/>
      </c>
      <c r="C1787">
        <f>IF($Q1787="","",INDEX(상세표[성명],$Q1787)&amp;"")</f>
        <v/>
      </c>
      <c r="D1787">
        <f>IF($Q1787="","",INDEX(상세표[직위],$Q1787)&amp;"")</f>
        <v/>
      </c>
      <c r="E1787">
        <f>IF($Q1787="","",IF(ISNUMBER(INDEX(상세표[근무일자],$Q1787)),TEXT(INDEX(상세표[근무일자],$Q1787),"yyyy-mm-dd"),INDEX(상세표[근무일자],$Q1787)&amp;""))</f>
        <v/>
      </c>
      <c r="F1787">
        <f>IF($Q1787="","",IF(ISNUMBER(INDEX(상세표[시작],$Q1787)),TEXT(INDEX(상세표[시작],$Q1787),"yyyy-mm-dd hh:mm"),INDEX(상세표[시작],$Q1787)&amp;""))</f>
        <v/>
      </c>
      <c r="G1787">
        <f>IF($Q1787="","",IF(ISNUMBER(INDEX(상세표[블록종료],$Q1787)),TEXT(INDEX(상세표[블록종료],$Q1787),"yyyy-mm-dd hh:mm"),INDEX(상세표[블록종료],$Q1787)&amp;""))</f>
        <v/>
      </c>
      <c r="H1787">
        <f>IF($Q1787="","",CHOOSE(WEEKDAY(INDEX(상세표[시작],$Q1787)),"일","월","화","수","목","금","토"))</f>
        <v/>
      </c>
      <c r="I1787" s="20">
        <f>IF($Q1787="","",INDEX(상세표[연속 시간],$Q1787))</f>
        <v/>
      </c>
      <c r="J1787">
        <f>IF($Q1787="","",INDEX(상세표[기록 수],$Q1787))</f>
        <v/>
      </c>
      <c r="K1787" s="20">
        <f>IF($Q1787="","",INDEX(상세표[블록 06~07시],$Q1787))</f>
        <v/>
      </c>
      <c r="L1787" s="20">
        <f>IF($Q1787="","",INDEX(상세표[블록 07~18시],$Q1787))</f>
        <v/>
      </c>
      <c r="M1787" s="20">
        <f>IF($Q1787="","",INDEX(상세표[블록 18~22시],$Q1787))</f>
        <v/>
      </c>
      <c r="N1787" s="20">
        <f>IF($Q1787="","",INDEX(상세표[블록 22~06시],$Q1787))</f>
        <v/>
      </c>
      <c r="O1787">
        <f>IF($Q1787="","",INDEX(상세표[주말·휴일 포함],$Q1787)&amp;"")</f>
        <v/>
      </c>
      <c r="P1787">
        <f>IF($Q1787="","",INDEX(상세표[월 넘김 포함],$Q1787)&amp;"")</f>
        <v/>
      </c>
      <c r="Q1787" s="4">
        <f>IFERROR(MATCH(1782,상세표[연속순번],0),"")</f>
        <v/>
      </c>
    </row>
    <row r="1788">
      <c r="A1788">
        <f>IF($Q1788="","",INDEX(상세표[부서],$Q1788)&amp;"")</f>
        <v/>
      </c>
      <c r="B1788">
        <f>IF($Q1788="","",INDEX(상세표[사번],$Q1788)&amp;"")</f>
        <v/>
      </c>
      <c r="C1788">
        <f>IF($Q1788="","",INDEX(상세표[성명],$Q1788)&amp;"")</f>
        <v/>
      </c>
      <c r="D1788">
        <f>IF($Q1788="","",INDEX(상세표[직위],$Q1788)&amp;"")</f>
        <v/>
      </c>
      <c r="E1788">
        <f>IF($Q1788="","",IF(ISNUMBER(INDEX(상세표[근무일자],$Q1788)),TEXT(INDEX(상세표[근무일자],$Q1788),"yyyy-mm-dd"),INDEX(상세표[근무일자],$Q1788)&amp;""))</f>
        <v/>
      </c>
      <c r="F1788">
        <f>IF($Q1788="","",IF(ISNUMBER(INDEX(상세표[시작],$Q1788)),TEXT(INDEX(상세표[시작],$Q1788),"yyyy-mm-dd hh:mm"),INDEX(상세표[시작],$Q1788)&amp;""))</f>
        <v/>
      </c>
      <c r="G1788">
        <f>IF($Q1788="","",IF(ISNUMBER(INDEX(상세표[블록종료],$Q1788)),TEXT(INDEX(상세표[블록종료],$Q1788),"yyyy-mm-dd hh:mm"),INDEX(상세표[블록종료],$Q1788)&amp;""))</f>
        <v/>
      </c>
      <c r="H1788">
        <f>IF($Q1788="","",CHOOSE(WEEKDAY(INDEX(상세표[시작],$Q1788)),"일","월","화","수","목","금","토"))</f>
        <v/>
      </c>
      <c r="I1788" s="20">
        <f>IF($Q1788="","",INDEX(상세표[연속 시간],$Q1788))</f>
        <v/>
      </c>
      <c r="J1788">
        <f>IF($Q1788="","",INDEX(상세표[기록 수],$Q1788))</f>
        <v/>
      </c>
      <c r="K1788" s="20">
        <f>IF($Q1788="","",INDEX(상세표[블록 06~07시],$Q1788))</f>
        <v/>
      </c>
      <c r="L1788" s="20">
        <f>IF($Q1788="","",INDEX(상세표[블록 07~18시],$Q1788))</f>
        <v/>
      </c>
      <c r="M1788" s="20">
        <f>IF($Q1788="","",INDEX(상세표[블록 18~22시],$Q1788))</f>
        <v/>
      </c>
      <c r="N1788" s="20">
        <f>IF($Q1788="","",INDEX(상세표[블록 22~06시],$Q1788))</f>
        <v/>
      </c>
      <c r="O1788">
        <f>IF($Q1788="","",INDEX(상세표[주말·휴일 포함],$Q1788)&amp;"")</f>
        <v/>
      </c>
      <c r="P1788">
        <f>IF($Q1788="","",INDEX(상세표[월 넘김 포함],$Q1788)&amp;"")</f>
        <v/>
      </c>
      <c r="Q1788" s="4">
        <f>IFERROR(MATCH(1783,상세표[연속순번],0),"")</f>
        <v/>
      </c>
    </row>
    <row r="1789">
      <c r="A1789">
        <f>IF($Q1789="","",INDEX(상세표[부서],$Q1789)&amp;"")</f>
        <v/>
      </c>
      <c r="B1789">
        <f>IF($Q1789="","",INDEX(상세표[사번],$Q1789)&amp;"")</f>
        <v/>
      </c>
      <c r="C1789">
        <f>IF($Q1789="","",INDEX(상세표[성명],$Q1789)&amp;"")</f>
        <v/>
      </c>
      <c r="D1789">
        <f>IF($Q1789="","",INDEX(상세표[직위],$Q1789)&amp;"")</f>
        <v/>
      </c>
      <c r="E1789">
        <f>IF($Q1789="","",IF(ISNUMBER(INDEX(상세표[근무일자],$Q1789)),TEXT(INDEX(상세표[근무일자],$Q1789),"yyyy-mm-dd"),INDEX(상세표[근무일자],$Q1789)&amp;""))</f>
        <v/>
      </c>
      <c r="F1789">
        <f>IF($Q1789="","",IF(ISNUMBER(INDEX(상세표[시작],$Q1789)),TEXT(INDEX(상세표[시작],$Q1789),"yyyy-mm-dd hh:mm"),INDEX(상세표[시작],$Q1789)&amp;""))</f>
        <v/>
      </c>
      <c r="G1789">
        <f>IF($Q1789="","",IF(ISNUMBER(INDEX(상세표[블록종료],$Q1789)),TEXT(INDEX(상세표[블록종료],$Q1789),"yyyy-mm-dd hh:mm"),INDEX(상세표[블록종료],$Q1789)&amp;""))</f>
        <v/>
      </c>
      <c r="H1789">
        <f>IF($Q1789="","",CHOOSE(WEEKDAY(INDEX(상세표[시작],$Q1789)),"일","월","화","수","목","금","토"))</f>
        <v/>
      </c>
      <c r="I1789" s="20">
        <f>IF($Q1789="","",INDEX(상세표[연속 시간],$Q1789))</f>
        <v/>
      </c>
      <c r="J1789">
        <f>IF($Q1789="","",INDEX(상세표[기록 수],$Q1789))</f>
        <v/>
      </c>
      <c r="K1789" s="20">
        <f>IF($Q1789="","",INDEX(상세표[블록 06~07시],$Q1789))</f>
        <v/>
      </c>
      <c r="L1789" s="20">
        <f>IF($Q1789="","",INDEX(상세표[블록 07~18시],$Q1789))</f>
        <v/>
      </c>
      <c r="M1789" s="20">
        <f>IF($Q1789="","",INDEX(상세표[블록 18~22시],$Q1789))</f>
        <v/>
      </c>
      <c r="N1789" s="20">
        <f>IF($Q1789="","",INDEX(상세표[블록 22~06시],$Q1789))</f>
        <v/>
      </c>
      <c r="O1789">
        <f>IF($Q1789="","",INDEX(상세표[주말·휴일 포함],$Q1789)&amp;"")</f>
        <v/>
      </c>
      <c r="P1789">
        <f>IF($Q1789="","",INDEX(상세표[월 넘김 포함],$Q1789)&amp;"")</f>
        <v/>
      </c>
      <c r="Q1789" s="4">
        <f>IFERROR(MATCH(1784,상세표[연속순번],0),"")</f>
        <v/>
      </c>
    </row>
    <row r="1790">
      <c r="A1790">
        <f>IF($Q1790="","",INDEX(상세표[부서],$Q1790)&amp;"")</f>
        <v/>
      </c>
      <c r="B1790">
        <f>IF($Q1790="","",INDEX(상세표[사번],$Q1790)&amp;"")</f>
        <v/>
      </c>
      <c r="C1790">
        <f>IF($Q1790="","",INDEX(상세표[성명],$Q1790)&amp;"")</f>
        <v/>
      </c>
      <c r="D1790">
        <f>IF($Q1790="","",INDEX(상세표[직위],$Q1790)&amp;"")</f>
        <v/>
      </c>
      <c r="E1790">
        <f>IF($Q1790="","",IF(ISNUMBER(INDEX(상세표[근무일자],$Q1790)),TEXT(INDEX(상세표[근무일자],$Q1790),"yyyy-mm-dd"),INDEX(상세표[근무일자],$Q1790)&amp;""))</f>
        <v/>
      </c>
      <c r="F1790">
        <f>IF($Q1790="","",IF(ISNUMBER(INDEX(상세표[시작],$Q1790)),TEXT(INDEX(상세표[시작],$Q1790),"yyyy-mm-dd hh:mm"),INDEX(상세표[시작],$Q1790)&amp;""))</f>
        <v/>
      </c>
      <c r="G1790">
        <f>IF($Q1790="","",IF(ISNUMBER(INDEX(상세표[블록종료],$Q1790)),TEXT(INDEX(상세표[블록종료],$Q1790),"yyyy-mm-dd hh:mm"),INDEX(상세표[블록종료],$Q1790)&amp;""))</f>
        <v/>
      </c>
      <c r="H1790">
        <f>IF($Q1790="","",CHOOSE(WEEKDAY(INDEX(상세표[시작],$Q1790)),"일","월","화","수","목","금","토"))</f>
        <v/>
      </c>
      <c r="I1790" s="20">
        <f>IF($Q1790="","",INDEX(상세표[연속 시간],$Q1790))</f>
        <v/>
      </c>
      <c r="J1790">
        <f>IF($Q1790="","",INDEX(상세표[기록 수],$Q1790))</f>
        <v/>
      </c>
      <c r="K1790" s="20">
        <f>IF($Q1790="","",INDEX(상세표[블록 06~07시],$Q1790))</f>
        <v/>
      </c>
      <c r="L1790" s="20">
        <f>IF($Q1790="","",INDEX(상세표[블록 07~18시],$Q1790))</f>
        <v/>
      </c>
      <c r="M1790" s="20">
        <f>IF($Q1790="","",INDEX(상세표[블록 18~22시],$Q1790))</f>
        <v/>
      </c>
      <c r="N1790" s="20">
        <f>IF($Q1790="","",INDEX(상세표[블록 22~06시],$Q1790))</f>
        <v/>
      </c>
      <c r="O1790">
        <f>IF($Q1790="","",INDEX(상세표[주말·휴일 포함],$Q1790)&amp;"")</f>
        <v/>
      </c>
      <c r="P1790">
        <f>IF($Q1790="","",INDEX(상세표[월 넘김 포함],$Q1790)&amp;"")</f>
        <v/>
      </c>
      <c r="Q1790" s="4">
        <f>IFERROR(MATCH(1785,상세표[연속순번],0),"")</f>
        <v/>
      </c>
    </row>
    <row r="1791">
      <c r="A1791">
        <f>IF($Q1791="","",INDEX(상세표[부서],$Q1791)&amp;"")</f>
        <v/>
      </c>
      <c r="B1791">
        <f>IF($Q1791="","",INDEX(상세표[사번],$Q1791)&amp;"")</f>
        <v/>
      </c>
      <c r="C1791">
        <f>IF($Q1791="","",INDEX(상세표[성명],$Q1791)&amp;"")</f>
        <v/>
      </c>
      <c r="D1791">
        <f>IF($Q1791="","",INDEX(상세표[직위],$Q1791)&amp;"")</f>
        <v/>
      </c>
      <c r="E1791">
        <f>IF($Q1791="","",IF(ISNUMBER(INDEX(상세표[근무일자],$Q1791)),TEXT(INDEX(상세표[근무일자],$Q1791),"yyyy-mm-dd"),INDEX(상세표[근무일자],$Q1791)&amp;""))</f>
        <v/>
      </c>
      <c r="F1791">
        <f>IF($Q1791="","",IF(ISNUMBER(INDEX(상세표[시작],$Q1791)),TEXT(INDEX(상세표[시작],$Q1791),"yyyy-mm-dd hh:mm"),INDEX(상세표[시작],$Q1791)&amp;""))</f>
        <v/>
      </c>
      <c r="G1791">
        <f>IF($Q1791="","",IF(ISNUMBER(INDEX(상세표[블록종료],$Q1791)),TEXT(INDEX(상세표[블록종료],$Q1791),"yyyy-mm-dd hh:mm"),INDEX(상세표[블록종료],$Q1791)&amp;""))</f>
        <v/>
      </c>
      <c r="H1791">
        <f>IF($Q1791="","",CHOOSE(WEEKDAY(INDEX(상세표[시작],$Q1791)),"일","월","화","수","목","금","토"))</f>
        <v/>
      </c>
      <c r="I1791" s="20">
        <f>IF($Q1791="","",INDEX(상세표[연속 시간],$Q1791))</f>
        <v/>
      </c>
      <c r="J1791">
        <f>IF($Q1791="","",INDEX(상세표[기록 수],$Q1791))</f>
        <v/>
      </c>
      <c r="K1791" s="20">
        <f>IF($Q1791="","",INDEX(상세표[블록 06~07시],$Q1791))</f>
        <v/>
      </c>
      <c r="L1791" s="20">
        <f>IF($Q1791="","",INDEX(상세표[블록 07~18시],$Q1791))</f>
        <v/>
      </c>
      <c r="M1791" s="20">
        <f>IF($Q1791="","",INDEX(상세표[블록 18~22시],$Q1791))</f>
        <v/>
      </c>
      <c r="N1791" s="20">
        <f>IF($Q1791="","",INDEX(상세표[블록 22~06시],$Q1791))</f>
        <v/>
      </c>
      <c r="O1791">
        <f>IF($Q1791="","",INDEX(상세표[주말·휴일 포함],$Q1791)&amp;"")</f>
        <v/>
      </c>
      <c r="P1791">
        <f>IF($Q1791="","",INDEX(상세표[월 넘김 포함],$Q1791)&amp;"")</f>
        <v/>
      </c>
      <c r="Q1791" s="4">
        <f>IFERROR(MATCH(1786,상세표[연속순번],0),"")</f>
        <v/>
      </c>
    </row>
    <row r="1792">
      <c r="A1792">
        <f>IF($Q1792="","",INDEX(상세표[부서],$Q1792)&amp;"")</f>
        <v/>
      </c>
      <c r="B1792">
        <f>IF($Q1792="","",INDEX(상세표[사번],$Q1792)&amp;"")</f>
        <v/>
      </c>
      <c r="C1792">
        <f>IF($Q1792="","",INDEX(상세표[성명],$Q1792)&amp;"")</f>
        <v/>
      </c>
      <c r="D1792">
        <f>IF($Q1792="","",INDEX(상세표[직위],$Q1792)&amp;"")</f>
        <v/>
      </c>
      <c r="E1792">
        <f>IF($Q1792="","",IF(ISNUMBER(INDEX(상세표[근무일자],$Q1792)),TEXT(INDEX(상세표[근무일자],$Q1792),"yyyy-mm-dd"),INDEX(상세표[근무일자],$Q1792)&amp;""))</f>
        <v/>
      </c>
      <c r="F1792">
        <f>IF($Q1792="","",IF(ISNUMBER(INDEX(상세표[시작],$Q1792)),TEXT(INDEX(상세표[시작],$Q1792),"yyyy-mm-dd hh:mm"),INDEX(상세표[시작],$Q1792)&amp;""))</f>
        <v/>
      </c>
      <c r="G1792">
        <f>IF($Q1792="","",IF(ISNUMBER(INDEX(상세표[블록종료],$Q1792)),TEXT(INDEX(상세표[블록종료],$Q1792),"yyyy-mm-dd hh:mm"),INDEX(상세표[블록종료],$Q1792)&amp;""))</f>
        <v/>
      </c>
      <c r="H1792">
        <f>IF($Q1792="","",CHOOSE(WEEKDAY(INDEX(상세표[시작],$Q1792)),"일","월","화","수","목","금","토"))</f>
        <v/>
      </c>
      <c r="I1792" s="20">
        <f>IF($Q1792="","",INDEX(상세표[연속 시간],$Q1792))</f>
        <v/>
      </c>
      <c r="J1792">
        <f>IF($Q1792="","",INDEX(상세표[기록 수],$Q1792))</f>
        <v/>
      </c>
      <c r="K1792" s="20">
        <f>IF($Q1792="","",INDEX(상세표[블록 06~07시],$Q1792))</f>
        <v/>
      </c>
      <c r="L1792" s="20">
        <f>IF($Q1792="","",INDEX(상세표[블록 07~18시],$Q1792))</f>
        <v/>
      </c>
      <c r="M1792" s="20">
        <f>IF($Q1792="","",INDEX(상세표[블록 18~22시],$Q1792))</f>
        <v/>
      </c>
      <c r="N1792" s="20">
        <f>IF($Q1792="","",INDEX(상세표[블록 22~06시],$Q1792))</f>
        <v/>
      </c>
      <c r="O1792">
        <f>IF($Q1792="","",INDEX(상세표[주말·휴일 포함],$Q1792)&amp;"")</f>
        <v/>
      </c>
      <c r="P1792">
        <f>IF($Q1792="","",INDEX(상세표[월 넘김 포함],$Q1792)&amp;"")</f>
        <v/>
      </c>
      <c r="Q1792" s="4">
        <f>IFERROR(MATCH(1787,상세표[연속순번],0),"")</f>
        <v/>
      </c>
    </row>
    <row r="1793">
      <c r="A1793">
        <f>IF($Q1793="","",INDEX(상세표[부서],$Q1793)&amp;"")</f>
        <v/>
      </c>
      <c r="B1793">
        <f>IF($Q1793="","",INDEX(상세표[사번],$Q1793)&amp;"")</f>
        <v/>
      </c>
      <c r="C1793">
        <f>IF($Q1793="","",INDEX(상세표[성명],$Q1793)&amp;"")</f>
        <v/>
      </c>
      <c r="D1793">
        <f>IF($Q1793="","",INDEX(상세표[직위],$Q1793)&amp;"")</f>
        <v/>
      </c>
      <c r="E1793">
        <f>IF($Q1793="","",IF(ISNUMBER(INDEX(상세표[근무일자],$Q1793)),TEXT(INDEX(상세표[근무일자],$Q1793),"yyyy-mm-dd"),INDEX(상세표[근무일자],$Q1793)&amp;""))</f>
        <v/>
      </c>
      <c r="F1793">
        <f>IF($Q1793="","",IF(ISNUMBER(INDEX(상세표[시작],$Q1793)),TEXT(INDEX(상세표[시작],$Q1793),"yyyy-mm-dd hh:mm"),INDEX(상세표[시작],$Q1793)&amp;""))</f>
        <v/>
      </c>
      <c r="G1793">
        <f>IF($Q1793="","",IF(ISNUMBER(INDEX(상세표[블록종료],$Q1793)),TEXT(INDEX(상세표[블록종료],$Q1793),"yyyy-mm-dd hh:mm"),INDEX(상세표[블록종료],$Q1793)&amp;""))</f>
        <v/>
      </c>
      <c r="H1793">
        <f>IF($Q1793="","",CHOOSE(WEEKDAY(INDEX(상세표[시작],$Q1793)),"일","월","화","수","목","금","토"))</f>
        <v/>
      </c>
      <c r="I1793" s="20">
        <f>IF($Q1793="","",INDEX(상세표[연속 시간],$Q1793))</f>
        <v/>
      </c>
      <c r="J1793">
        <f>IF($Q1793="","",INDEX(상세표[기록 수],$Q1793))</f>
        <v/>
      </c>
      <c r="K1793" s="20">
        <f>IF($Q1793="","",INDEX(상세표[블록 06~07시],$Q1793))</f>
        <v/>
      </c>
      <c r="L1793" s="20">
        <f>IF($Q1793="","",INDEX(상세표[블록 07~18시],$Q1793))</f>
        <v/>
      </c>
      <c r="M1793" s="20">
        <f>IF($Q1793="","",INDEX(상세표[블록 18~22시],$Q1793))</f>
        <v/>
      </c>
      <c r="N1793" s="20">
        <f>IF($Q1793="","",INDEX(상세표[블록 22~06시],$Q1793))</f>
        <v/>
      </c>
      <c r="O1793">
        <f>IF($Q1793="","",INDEX(상세표[주말·휴일 포함],$Q1793)&amp;"")</f>
        <v/>
      </c>
      <c r="P1793">
        <f>IF($Q1793="","",INDEX(상세표[월 넘김 포함],$Q1793)&amp;"")</f>
        <v/>
      </c>
      <c r="Q1793" s="4">
        <f>IFERROR(MATCH(1788,상세표[연속순번],0),"")</f>
        <v/>
      </c>
    </row>
    <row r="1794">
      <c r="A1794">
        <f>IF($Q1794="","",INDEX(상세표[부서],$Q1794)&amp;"")</f>
        <v/>
      </c>
      <c r="B1794">
        <f>IF($Q1794="","",INDEX(상세표[사번],$Q1794)&amp;"")</f>
        <v/>
      </c>
      <c r="C1794">
        <f>IF($Q1794="","",INDEX(상세표[성명],$Q1794)&amp;"")</f>
        <v/>
      </c>
      <c r="D1794">
        <f>IF($Q1794="","",INDEX(상세표[직위],$Q1794)&amp;"")</f>
        <v/>
      </c>
      <c r="E1794">
        <f>IF($Q1794="","",IF(ISNUMBER(INDEX(상세표[근무일자],$Q1794)),TEXT(INDEX(상세표[근무일자],$Q1794),"yyyy-mm-dd"),INDEX(상세표[근무일자],$Q1794)&amp;""))</f>
        <v/>
      </c>
      <c r="F1794">
        <f>IF($Q1794="","",IF(ISNUMBER(INDEX(상세표[시작],$Q1794)),TEXT(INDEX(상세표[시작],$Q1794),"yyyy-mm-dd hh:mm"),INDEX(상세표[시작],$Q1794)&amp;""))</f>
        <v/>
      </c>
      <c r="G1794">
        <f>IF($Q1794="","",IF(ISNUMBER(INDEX(상세표[블록종료],$Q1794)),TEXT(INDEX(상세표[블록종료],$Q1794),"yyyy-mm-dd hh:mm"),INDEX(상세표[블록종료],$Q1794)&amp;""))</f>
        <v/>
      </c>
      <c r="H1794">
        <f>IF($Q1794="","",CHOOSE(WEEKDAY(INDEX(상세표[시작],$Q1794)),"일","월","화","수","목","금","토"))</f>
        <v/>
      </c>
      <c r="I1794" s="20">
        <f>IF($Q1794="","",INDEX(상세표[연속 시간],$Q1794))</f>
        <v/>
      </c>
      <c r="J1794">
        <f>IF($Q1794="","",INDEX(상세표[기록 수],$Q1794))</f>
        <v/>
      </c>
      <c r="K1794" s="20">
        <f>IF($Q1794="","",INDEX(상세표[블록 06~07시],$Q1794))</f>
        <v/>
      </c>
      <c r="L1794" s="20">
        <f>IF($Q1794="","",INDEX(상세표[블록 07~18시],$Q1794))</f>
        <v/>
      </c>
      <c r="M1794" s="20">
        <f>IF($Q1794="","",INDEX(상세표[블록 18~22시],$Q1794))</f>
        <v/>
      </c>
      <c r="N1794" s="20">
        <f>IF($Q1794="","",INDEX(상세표[블록 22~06시],$Q1794))</f>
        <v/>
      </c>
      <c r="O1794">
        <f>IF($Q1794="","",INDEX(상세표[주말·휴일 포함],$Q1794)&amp;"")</f>
        <v/>
      </c>
      <c r="P1794">
        <f>IF($Q1794="","",INDEX(상세표[월 넘김 포함],$Q1794)&amp;"")</f>
        <v/>
      </c>
      <c r="Q1794" s="4">
        <f>IFERROR(MATCH(1789,상세표[연속순번],0),"")</f>
        <v/>
      </c>
    </row>
    <row r="1795">
      <c r="A1795">
        <f>IF($Q1795="","",INDEX(상세표[부서],$Q1795)&amp;"")</f>
        <v/>
      </c>
      <c r="B1795">
        <f>IF($Q1795="","",INDEX(상세표[사번],$Q1795)&amp;"")</f>
        <v/>
      </c>
      <c r="C1795">
        <f>IF($Q1795="","",INDEX(상세표[성명],$Q1795)&amp;"")</f>
        <v/>
      </c>
      <c r="D1795">
        <f>IF($Q1795="","",INDEX(상세표[직위],$Q1795)&amp;"")</f>
        <v/>
      </c>
      <c r="E1795">
        <f>IF($Q1795="","",IF(ISNUMBER(INDEX(상세표[근무일자],$Q1795)),TEXT(INDEX(상세표[근무일자],$Q1795),"yyyy-mm-dd"),INDEX(상세표[근무일자],$Q1795)&amp;""))</f>
        <v/>
      </c>
      <c r="F1795">
        <f>IF($Q1795="","",IF(ISNUMBER(INDEX(상세표[시작],$Q1795)),TEXT(INDEX(상세표[시작],$Q1795),"yyyy-mm-dd hh:mm"),INDEX(상세표[시작],$Q1795)&amp;""))</f>
        <v/>
      </c>
      <c r="G1795">
        <f>IF($Q1795="","",IF(ISNUMBER(INDEX(상세표[블록종료],$Q1795)),TEXT(INDEX(상세표[블록종료],$Q1795),"yyyy-mm-dd hh:mm"),INDEX(상세표[블록종료],$Q1795)&amp;""))</f>
        <v/>
      </c>
      <c r="H1795">
        <f>IF($Q1795="","",CHOOSE(WEEKDAY(INDEX(상세표[시작],$Q1795)),"일","월","화","수","목","금","토"))</f>
        <v/>
      </c>
      <c r="I1795" s="20">
        <f>IF($Q1795="","",INDEX(상세표[연속 시간],$Q1795))</f>
        <v/>
      </c>
      <c r="J1795">
        <f>IF($Q1795="","",INDEX(상세표[기록 수],$Q1795))</f>
        <v/>
      </c>
      <c r="K1795" s="20">
        <f>IF($Q1795="","",INDEX(상세표[블록 06~07시],$Q1795))</f>
        <v/>
      </c>
      <c r="L1795" s="20">
        <f>IF($Q1795="","",INDEX(상세표[블록 07~18시],$Q1795))</f>
        <v/>
      </c>
      <c r="M1795" s="20">
        <f>IF($Q1795="","",INDEX(상세표[블록 18~22시],$Q1795))</f>
        <v/>
      </c>
      <c r="N1795" s="20">
        <f>IF($Q1795="","",INDEX(상세표[블록 22~06시],$Q1795))</f>
        <v/>
      </c>
      <c r="O1795">
        <f>IF($Q1795="","",INDEX(상세표[주말·휴일 포함],$Q1795)&amp;"")</f>
        <v/>
      </c>
      <c r="P1795">
        <f>IF($Q1795="","",INDEX(상세표[월 넘김 포함],$Q1795)&amp;"")</f>
        <v/>
      </c>
      <c r="Q1795" s="4">
        <f>IFERROR(MATCH(1790,상세표[연속순번],0),"")</f>
        <v/>
      </c>
    </row>
    <row r="1796">
      <c r="A1796">
        <f>IF($Q1796="","",INDEX(상세표[부서],$Q1796)&amp;"")</f>
        <v/>
      </c>
      <c r="B1796">
        <f>IF($Q1796="","",INDEX(상세표[사번],$Q1796)&amp;"")</f>
        <v/>
      </c>
      <c r="C1796">
        <f>IF($Q1796="","",INDEX(상세표[성명],$Q1796)&amp;"")</f>
        <v/>
      </c>
      <c r="D1796">
        <f>IF($Q1796="","",INDEX(상세표[직위],$Q1796)&amp;"")</f>
        <v/>
      </c>
      <c r="E1796">
        <f>IF($Q1796="","",IF(ISNUMBER(INDEX(상세표[근무일자],$Q1796)),TEXT(INDEX(상세표[근무일자],$Q1796),"yyyy-mm-dd"),INDEX(상세표[근무일자],$Q1796)&amp;""))</f>
        <v/>
      </c>
      <c r="F1796">
        <f>IF($Q1796="","",IF(ISNUMBER(INDEX(상세표[시작],$Q1796)),TEXT(INDEX(상세표[시작],$Q1796),"yyyy-mm-dd hh:mm"),INDEX(상세표[시작],$Q1796)&amp;""))</f>
        <v/>
      </c>
      <c r="G1796">
        <f>IF($Q1796="","",IF(ISNUMBER(INDEX(상세표[블록종료],$Q1796)),TEXT(INDEX(상세표[블록종료],$Q1796),"yyyy-mm-dd hh:mm"),INDEX(상세표[블록종료],$Q1796)&amp;""))</f>
        <v/>
      </c>
      <c r="H1796">
        <f>IF($Q1796="","",CHOOSE(WEEKDAY(INDEX(상세표[시작],$Q1796)),"일","월","화","수","목","금","토"))</f>
        <v/>
      </c>
      <c r="I1796" s="20">
        <f>IF($Q1796="","",INDEX(상세표[연속 시간],$Q1796))</f>
        <v/>
      </c>
      <c r="J1796">
        <f>IF($Q1796="","",INDEX(상세표[기록 수],$Q1796))</f>
        <v/>
      </c>
      <c r="K1796" s="20">
        <f>IF($Q1796="","",INDEX(상세표[블록 06~07시],$Q1796))</f>
        <v/>
      </c>
      <c r="L1796" s="20">
        <f>IF($Q1796="","",INDEX(상세표[블록 07~18시],$Q1796))</f>
        <v/>
      </c>
      <c r="M1796" s="20">
        <f>IF($Q1796="","",INDEX(상세표[블록 18~22시],$Q1796))</f>
        <v/>
      </c>
      <c r="N1796" s="20">
        <f>IF($Q1796="","",INDEX(상세표[블록 22~06시],$Q1796))</f>
        <v/>
      </c>
      <c r="O1796">
        <f>IF($Q1796="","",INDEX(상세표[주말·휴일 포함],$Q1796)&amp;"")</f>
        <v/>
      </c>
      <c r="P1796">
        <f>IF($Q1796="","",INDEX(상세표[월 넘김 포함],$Q1796)&amp;"")</f>
        <v/>
      </c>
      <c r="Q1796" s="4">
        <f>IFERROR(MATCH(1791,상세표[연속순번],0),"")</f>
        <v/>
      </c>
    </row>
    <row r="1797">
      <c r="A1797">
        <f>IF($Q1797="","",INDEX(상세표[부서],$Q1797)&amp;"")</f>
        <v/>
      </c>
      <c r="B1797">
        <f>IF($Q1797="","",INDEX(상세표[사번],$Q1797)&amp;"")</f>
        <v/>
      </c>
      <c r="C1797">
        <f>IF($Q1797="","",INDEX(상세표[성명],$Q1797)&amp;"")</f>
        <v/>
      </c>
      <c r="D1797">
        <f>IF($Q1797="","",INDEX(상세표[직위],$Q1797)&amp;"")</f>
        <v/>
      </c>
      <c r="E1797">
        <f>IF($Q1797="","",IF(ISNUMBER(INDEX(상세표[근무일자],$Q1797)),TEXT(INDEX(상세표[근무일자],$Q1797),"yyyy-mm-dd"),INDEX(상세표[근무일자],$Q1797)&amp;""))</f>
        <v/>
      </c>
      <c r="F1797">
        <f>IF($Q1797="","",IF(ISNUMBER(INDEX(상세표[시작],$Q1797)),TEXT(INDEX(상세표[시작],$Q1797),"yyyy-mm-dd hh:mm"),INDEX(상세표[시작],$Q1797)&amp;""))</f>
        <v/>
      </c>
      <c r="G1797">
        <f>IF($Q1797="","",IF(ISNUMBER(INDEX(상세표[블록종료],$Q1797)),TEXT(INDEX(상세표[블록종료],$Q1797),"yyyy-mm-dd hh:mm"),INDEX(상세표[블록종료],$Q1797)&amp;""))</f>
        <v/>
      </c>
      <c r="H1797">
        <f>IF($Q1797="","",CHOOSE(WEEKDAY(INDEX(상세표[시작],$Q1797)),"일","월","화","수","목","금","토"))</f>
        <v/>
      </c>
      <c r="I1797" s="20">
        <f>IF($Q1797="","",INDEX(상세표[연속 시간],$Q1797))</f>
        <v/>
      </c>
      <c r="J1797">
        <f>IF($Q1797="","",INDEX(상세표[기록 수],$Q1797))</f>
        <v/>
      </c>
      <c r="K1797" s="20">
        <f>IF($Q1797="","",INDEX(상세표[블록 06~07시],$Q1797))</f>
        <v/>
      </c>
      <c r="L1797" s="20">
        <f>IF($Q1797="","",INDEX(상세표[블록 07~18시],$Q1797))</f>
        <v/>
      </c>
      <c r="M1797" s="20">
        <f>IF($Q1797="","",INDEX(상세표[블록 18~22시],$Q1797))</f>
        <v/>
      </c>
      <c r="N1797" s="20">
        <f>IF($Q1797="","",INDEX(상세표[블록 22~06시],$Q1797))</f>
        <v/>
      </c>
      <c r="O1797">
        <f>IF($Q1797="","",INDEX(상세표[주말·휴일 포함],$Q1797)&amp;"")</f>
        <v/>
      </c>
      <c r="P1797">
        <f>IF($Q1797="","",INDEX(상세표[월 넘김 포함],$Q1797)&amp;"")</f>
        <v/>
      </c>
      <c r="Q1797" s="4">
        <f>IFERROR(MATCH(1792,상세표[연속순번],0),"")</f>
        <v/>
      </c>
    </row>
    <row r="1798">
      <c r="A1798">
        <f>IF($Q1798="","",INDEX(상세표[부서],$Q1798)&amp;"")</f>
        <v/>
      </c>
      <c r="B1798">
        <f>IF($Q1798="","",INDEX(상세표[사번],$Q1798)&amp;"")</f>
        <v/>
      </c>
      <c r="C1798">
        <f>IF($Q1798="","",INDEX(상세표[성명],$Q1798)&amp;"")</f>
        <v/>
      </c>
      <c r="D1798">
        <f>IF($Q1798="","",INDEX(상세표[직위],$Q1798)&amp;"")</f>
        <v/>
      </c>
      <c r="E1798">
        <f>IF($Q1798="","",IF(ISNUMBER(INDEX(상세표[근무일자],$Q1798)),TEXT(INDEX(상세표[근무일자],$Q1798),"yyyy-mm-dd"),INDEX(상세표[근무일자],$Q1798)&amp;""))</f>
        <v/>
      </c>
      <c r="F1798">
        <f>IF($Q1798="","",IF(ISNUMBER(INDEX(상세표[시작],$Q1798)),TEXT(INDEX(상세표[시작],$Q1798),"yyyy-mm-dd hh:mm"),INDEX(상세표[시작],$Q1798)&amp;""))</f>
        <v/>
      </c>
      <c r="G1798">
        <f>IF($Q1798="","",IF(ISNUMBER(INDEX(상세표[블록종료],$Q1798)),TEXT(INDEX(상세표[블록종료],$Q1798),"yyyy-mm-dd hh:mm"),INDEX(상세표[블록종료],$Q1798)&amp;""))</f>
        <v/>
      </c>
      <c r="H1798">
        <f>IF($Q1798="","",CHOOSE(WEEKDAY(INDEX(상세표[시작],$Q1798)),"일","월","화","수","목","금","토"))</f>
        <v/>
      </c>
      <c r="I1798" s="20">
        <f>IF($Q1798="","",INDEX(상세표[연속 시간],$Q1798))</f>
        <v/>
      </c>
      <c r="J1798">
        <f>IF($Q1798="","",INDEX(상세표[기록 수],$Q1798))</f>
        <v/>
      </c>
      <c r="K1798" s="20">
        <f>IF($Q1798="","",INDEX(상세표[블록 06~07시],$Q1798))</f>
        <v/>
      </c>
      <c r="L1798" s="20">
        <f>IF($Q1798="","",INDEX(상세표[블록 07~18시],$Q1798))</f>
        <v/>
      </c>
      <c r="M1798" s="20">
        <f>IF($Q1798="","",INDEX(상세표[블록 18~22시],$Q1798))</f>
        <v/>
      </c>
      <c r="N1798" s="20">
        <f>IF($Q1798="","",INDEX(상세표[블록 22~06시],$Q1798))</f>
        <v/>
      </c>
      <c r="O1798">
        <f>IF($Q1798="","",INDEX(상세표[주말·휴일 포함],$Q1798)&amp;"")</f>
        <v/>
      </c>
      <c r="P1798">
        <f>IF($Q1798="","",INDEX(상세표[월 넘김 포함],$Q1798)&amp;"")</f>
        <v/>
      </c>
      <c r="Q1798" s="4">
        <f>IFERROR(MATCH(1793,상세표[연속순번],0),"")</f>
        <v/>
      </c>
    </row>
    <row r="1799">
      <c r="A1799">
        <f>IF($Q1799="","",INDEX(상세표[부서],$Q1799)&amp;"")</f>
        <v/>
      </c>
      <c r="B1799">
        <f>IF($Q1799="","",INDEX(상세표[사번],$Q1799)&amp;"")</f>
        <v/>
      </c>
      <c r="C1799">
        <f>IF($Q1799="","",INDEX(상세표[성명],$Q1799)&amp;"")</f>
        <v/>
      </c>
      <c r="D1799">
        <f>IF($Q1799="","",INDEX(상세표[직위],$Q1799)&amp;"")</f>
        <v/>
      </c>
      <c r="E1799">
        <f>IF($Q1799="","",IF(ISNUMBER(INDEX(상세표[근무일자],$Q1799)),TEXT(INDEX(상세표[근무일자],$Q1799),"yyyy-mm-dd"),INDEX(상세표[근무일자],$Q1799)&amp;""))</f>
        <v/>
      </c>
      <c r="F1799">
        <f>IF($Q1799="","",IF(ISNUMBER(INDEX(상세표[시작],$Q1799)),TEXT(INDEX(상세표[시작],$Q1799),"yyyy-mm-dd hh:mm"),INDEX(상세표[시작],$Q1799)&amp;""))</f>
        <v/>
      </c>
      <c r="G1799">
        <f>IF($Q1799="","",IF(ISNUMBER(INDEX(상세표[블록종료],$Q1799)),TEXT(INDEX(상세표[블록종료],$Q1799),"yyyy-mm-dd hh:mm"),INDEX(상세표[블록종료],$Q1799)&amp;""))</f>
        <v/>
      </c>
      <c r="H1799">
        <f>IF($Q1799="","",CHOOSE(WEEKDAY(INDEX(상세표[시작],$Q1799)),"일","월","화","수","목","금","토"))</f>
        <v/>
      </c>
      <c r="I1799" s="20">
        <f>IF($Q1799="","",INDEX(상세표[연속 시간],$Q1799))</f>
        <v/>
      </c>
      <c r="J1799">
        <f>IF($Q1799="","",INDEX(상세표[기록 수],$Q1799))</f>
        <v/>
      </c>
      <c r="K1799" s="20">
        <f>IF($Q1799="","",INDEX(상세표[블록 06~07시],$Q1799))</f>
        <v/>
      </c>
      <c r="L1799" s="20">
        <f>IF($Q1799="","",INDEX(상세표[블록 07~18시],$Q1799))</f>
        <v/>
      </c>
      <c r="M1799" s="20">
        <f>IF($Q1799="","",INDEX(상세표[블록 18~22시],$Q1799))</f>
        <v/>
      </c>
      <c r="N1799" s="20">
        <f>IF($Q1799="","",INDEX(상세표[블록 22~06시],$Q1799))</f>
        <v/>
      </c>
      <c r="O1799">
        <f>IF($Q1799="","",INDEX(상세표[주말·휴일 포함],$Q1799)&amp;"")</f>
        <v/>
      </c>
      <c r="P1799">
        <f>IF($Q1799="","",INDEX(상세표[월 넘김 포함],$Q1799)&amp;"")</f>
        <v/>
      </c>
      <c r="Q1799" s="4">
        <f>IFERROR(MATCH(1794,상세표[연속순번],0),"")</f>
        <v/>
      </c>
    </row>
    <row r="1800">
      <c r="A1800">
        <f>IF($Q1800="","",INDEX(상세표[부서],$Q1800)&amp;"")</f>
        <v/>
      </c>
      <c r="B1800">
        <f>IF($Q1800="","",INDEX(상세표[사번],$Q1800)&amp;"")</f>
        <v/>
      </c>
      <c r="C1800">
        <f>IF($Q1800="","",INDEX(상세표[성명],$Q1800)&amp;"")</f>
        <v/>
      </c>
      <c r="D1800">
        <f>IF($Q1800="","",INDEX(상세표[직위],$Q1800)&amp;"")</f>
        <v/>
      </c>
      <c r="E1800">
        <f>IF($Q1800="","",IF(ISNUMBER(INDEX(상세표[근무일자],$Q1800)),TEXT(INDEX(상세표[근무일자],$Q1800),"yyyy-mm-dd"),INDEX(상세표[근무일자],$Q1800)&amp;""))</f>
        <v/>
      </c>
      <c r="F1800">
        <f>IF($Q1800="","",IF(ISNUMBER(INDEX(상세표[시작],$Q1800)),TEXT(INDEX(상세표[시작],$Q1800),"yyyy-mm-dd hh:mm"),INDEX(상세표[시작],$Q1800)&amp;""))</f>
        <v/>
      </c>
      <c r="G1800">
        <f>IF($Q1800="","",IF(ISNUMBER(INDEX(상세표[블록종료],$Q1800)),TEXT(INDEX(상세표[블록종료],$Q1800),"yyyy-mm-dd hh:mm"),INDEX(상세표[블록종료],$Q1800)&amp;""))</f>
        <v/>
      </c>
      <c r="H1800">
        <f>IF($Q1800="","",CHOOSE(WEEKDAY(INDEX(상세표[시작],$Q1800)),"일","월","화","수","목","금","토"))</f>
        <v/>
      </c>
      <c r="I1800" s="20">
        <f>IF($Q1800="","",INDEX(상세표[연속 시간],$Q1800))</f>
        <v/>
      </c>
      <c r="J1800">
        <f>IF($Q1800="","",INDEX(상세표[기록 수],$Q1800))</f>
        <v/>
      </c>
      <c r="K1800" s="20">
        <f>IF($Q1800="","",INDEX(상세표[블록 06~07시],$Q1800))</f>
        <v/>
      </c>
      <c r="L1800" s="20">
        <f>IF($Q1800="","",INDEX(상세표[블록 07~18시],$Q1800))</f>
        <v/>
      </c>
      <c r="M1800" s="20">
        <f>IF($Q1800="","",INDEX(상세표[블록 18~22시],$Q1800))</f>
        <v/>
      </c>
      <c r="N1800" s="20">
        <f>IF($Q1800="","",INDEX(상세표[블록 22~06시],$Q1800))</f>
        <v/>
      </c>
      <c r="O1800">
        <f>IF($Q1800="","",INDEX(상세표[주말·휴일 포함],$Q1800)&amp;"")</f>
        <v/>
      </c>
      <c r="P1800">
        <f>IF($Q1800="","",INDEX(상세표[월 넘김 포함],$Q1800)&amp;"")</f>
        <v/>
      </c>
      <c r="Q1800" s="4">
        <f>IFERROR(MATCH(1795,상세표[연속순번],0),"")</f>
        <v/>
      </c>
    </row>
    <row r="1801">
      <c r="A1801">
        <f>IF($Q1801="","",INDEX(상세표[부서],$Q1801)&amp;"")</f>
        <v/>
      </c>
      <c r="B1801">
        <f>IF($Q1801="","",INDEX(상세표[사번],$Q1801)&amp;"")</f>
        <v/>
      </c>
      <c r="C1801">
        <f>IF($Q1801="","",INDEX(상세표[성명],$Q1801)&amp;"")</f>
        <v/>
      </c>
      <c r="D1801">
        <f>IF($Q1801="","",INDEX(상세표[직위],$Q1801)&amp;"")</f>
        <v/>
      </c>
      <c r="E1801">
        <f>IF($Q1801="","",IF(ISNUMBER(INDEX(상세표[근무일자],$Q1801)),TEXT(INDEX(상세표[근무일자],$Q1801),"yyyy-mm-dd"),INDEX(상세표[근무일자],$Q1801)&amp;""))</f>
        <v/>
      </c>
      <c r="F1801">
        <f>IF($Q1801="","",IF(ISNUMBER(INDEX(상세표[시작],$Q1801)),TEXT(INDEX(상세표[시작],$Q1801),"yyyy-mm-dd hh:mm"),INDEX(상세표[시작],$Q1801)&amp;""))</f>
        <v/>
      </c>
      <c r="G1801">
        <f>IF($Q1801="","",IF(ISNUMBER(INDEX(상세표[블록종료],$Q1801)),TEXT(INDEX(상세표[블록종료],$Q1801),"yyyy-mm-dd hh:mm"),INDEX(상세표[블록종료],$Q1801)&amp;""))</f>
        <v/>
      </c>
      <c r="H1801">
        <f>IF($Q1801="","",CHOOSE(WEEKDAY(INDEX(상세표[시작],$Q1801)),"일","월","화","수","목","금","토"))</f>
        <v/>
      </c>
      <c r="I1801" s="20">
        <f>IF($Q1801="","",INDEX(상세표[연속 시간],$Q1801))</f>
        <v/>
      </c>
      <c r="J1801">
        <f>IF($Q1801="","",INDEX(상세표[기록 수],$Q1801))</f>
        <v/>
      </c>
      <c r="K1801" s="20">
        <f>IF($Q1801="","",INDEX(상세표[블록 06~07시],$Q1801))</f>
        <v/>
      </c>
      <c r="L1801" s="20">
        <f>IF($Q1801="","",INDEX(상세표[블록 07~18시],$Q1801))</f>
        <v/>
      </c>
      <c r="M1801" s="20">
        <f>IF($Q1801="","",INDEX(상세표[블록 18~22시],$Q1801))</f>
        <v/>
      </c>
      <c r="N1801" s="20">
        <f>IF($Q1801="","",INDEX(상세표[블록 22~06시],$Q1801))</f>
        <v/>
      </c>
      <c r="O1801">
        <f>IF($Q1801="","",INDEX(상세표[주말·휴일 포함],$Q1801)&amp;"")</f>
        <v/>
      </c>
      <c r="P1801">
        <f>IF($Q1801="","",INDEX(상세표[월 넘김 포함],$Q1801)&amp;"")</f>
        <v/>
      </c>
      <c r="Q1801" s="4">
        <f>IFERROR(MATCH(1796,상세표[연속순번],0),"")</f>
        <v/>
      </c>
    </row>
    <row r="1802">
      <c r="A1802">
        <f>IF($Q1802="","",INDEX(상세표[부서],$Q1802)&amp;"")</f>
        <v/>
      </c>
      <c r="B1802">
        <f>IF($Q1802="","",INDEX(상세표[사번],$Q1802)&amp;"")</f>
        <v/>
      </c>
      <c r="C1802">
        <f>IF($Q1802="","",INDEX(상세표[성명],$Q1802)&amp;"")</f>
        <v/>
      </c>
      <c r="D1802">
        <f>IF($Q1802="","",INDEX(상세표[직위],$Q1802)&amp;"")</f>
        <v/>
      </c>
      <c r="E1802">
        <f>IF($Q1802="","",IF(ISNUMBER(INDEX(상세표[근무일자],$Q1802)),TEXT(INDEX(상세표[근무일자],$Q1802),"yyyy-mm-dd"),INDEX(상세표[근무일자],$Q1802)&amp;""))</f>
        <v/>
      </c>
      <c r="F1802">
        <f>IF($Q1802="","",IF(ISNUMBER(INDEX(상세표[시작],$Q1802)),TEXT(INDEX(상세표[시작],$Q1802),"yyyy-mm-dd hh:mm"),INDEX(상세표[시작],$Q1802)&amp;""))</f>
        <v/>
      </c>
      <c r="G1802">
        <f>IF($Q1802="","",IF(ISNUMBER(INDEX(상세표[블록종료],$Q1802)),TEXT(INDEX(상세표[블록종료],$Q1802),"yyyy-mm-dd hh:mm"),INDEX(상세표[블록종료],$Q1802)&amp;""))</f>
        <v/>
      </c>
      <c r="H1802">
        <f>IF($Q1802="","",CHOOSE(WEEKDAY(INDEX(상세표[시작],$Q1802)),"일","월","화","수","목","금","토"))</f>
        <v/>
      </c>
      <c r="I1802" s="20">
        <f>IF($Q1802="","",INDEX(상세표[연속 시간],$Q1802))</f>
        <v/>
      </c>
      <c r="J1802">
        <f>IF($Q1802="","",INDEX(상세표[기록 수],$Q1802))</f>
        <v/>
      </c>
      <c r="K1802" s="20">
        <f>IF($Q1802="","",INDEX(상세표[블록 06~07시],$Q1802))</f>
        <v/>
      </c>
      <c r="L1802" s="20">
        <f>IF($Q1802="","",INDEX(상세표[블록 07~18시],$Q1802))</f>
        <v/>
      </c>
      <c r="M1802" s="20">
        <f>IF($Q1802="","",INDEX(상세표[블록 18~22시],$Q1802))</f>
        <v/>
      </c>
      <c r="N1802" s="20">
        <f>IF($Q1802="","",INDEX(상세표[블록 22~06시],$Q1802))</f>
        <v/>
      </c>
      <c r="O1802">
        <f>IF($Q1802="","",INDEX(상세표[주말·휴일 포함],$Q1802)&amp;"")</f>
        <v/>
      </c>
      <c r="P1802">
        <f>IF($Q1802="","",INDEX(상세표[월 넘김 포함],$Q1802)&amp;"")</f>
        <v/>
      </c>
      <c r="Q1802" s="4">
        <f>IFERROR(MATCH(1797,상세표[연속순번],0),"")</f>
        <v/>
      </c>
    </row>
    <row r="1803">
      <c r="A1803">
        <f>IF($Q1803="","",INDEX(상세표[부서],$Q1803)&amp;"")</f>
        <v/>
      </c>
      <c r="B1803">
        <f>IF($Q1803="","",INDEX(상세표[사번],$Q1803)&amp;"")</f>
        <v/>
      </c>
      <c r="C1803">
        <f>IF($Q1803="","",INDEX(상세표[성명],$Q1803)&amp;"")</f>
        <v/>
      </c>
      <c r="D1803">
        <f>IF($Q1803="","",INDEX(상세표[직위],$Q1803)&amp;"")</f>
        <v/>
      </c>
      <c r="E1803">
        <f>IF($Q1803="","",IF(ISNUMBER(INDEX(상세표[근무일자],$Q1803)),TEXT(INDEX(상세표[근무일자],$Q1803),"yyyy-mm-dd"),INDEX(상세표[근무일자],$Q1803)&amp;""))</f>
        <v/>
      </c>
      <c r="F1803">
        <f>IF($Q1803="","",IF(ISNUMBER(INDEX(상세표[시작],$Q1803)),TEXT(INDEX(상세표[시작],$Q1803),"yyyy-mm-dd hh:mm"),INDEX(상세표[시작],$Q1803)&amp;""))</f>
        <v/>
      </c>
      <c r="G1803">
        <f>IF($Q1803="","",IF(ISNUMBER(INDEX(상세표[블록종료],$Q1803)),TEXT(INDEX(상세표[블록종료],$Q1803),"yyyy-mm-dd hh:mm"),INDEX(상세표[블록종료],$Q1803)&amp;""))</f>
        <v/>
      </c>
      <c r="H1803">
        <f>IF($Q1803="","",CHOOSE(WEEKDAY(INDEX(상세표[시작],$Q1803)),"일","월","화","수","목","금","토"))</f>
        <v/>
      </c>
      <c r="I1803" s="20">
        <f>IF($Q1803="","",INDEX(상세표[연속 시간],$Q1803))</f>
        <v/>
      </c>
      <c r="J1803">
        <f>IF($Q1803="","",INDEX(상세표[기록 수],$Q1803))</f>
        <v/>
      </c>
      <c r="K1803" s="20">
        <f>IF($Q1803="","",INDEX(상세표[블록 06~07시],$Q1803))</f>
        <v/>
      </c>
      <c r="L1803" s="20">
        <f>IF($Q1803="","",INDEX(상세표[블록 07~18시],$Q1803))</f>
        <v/>
      </c>
      <c r="M1803" s="20">
        <f>IF($Q1803="","",INDEX(상세표[블록 18~22시],$Q1803))</f>
        <v/>
      </c>
      <c r="N1803" s="20">
        <f>IF($Q1803="","",INDEX(상세표[블록 22~06시],$Q1803))</f>
        <v/>
      </c>
      <c r="O1803">
        <f>IF($Q1803="","",INDEX(상세표[주말·휴일 포함],$Q1803)&amp;"")</f>
        <v/>
      </c>
      <c r="P1803">
        <f>IF($Q1803="","",INDEX(상세표[월 넘김 포함],$Q1803)&amp;"")</f>
        <v/>
      </c>
      <c r="Q1803" s="4">
        <f>IFERROR(MATCH(1798,상세표[연속순번],0),"")</f>
        <v/>
      </c>
    </row>
    <row r="1804">
      <c r="A1804">
        <f>IF($Q1804="","",INDEX(상세표[부서],$Q1804)&amp;"")</f>
        <v/>
      </c>
      <c r="B1804">
        <f>IF($Q1804="","",INDEX(상세표[사번],$Q1804)&amp;"")</f>
        <v/>
      </c>
      <c r="C1804">
        <f>IF($Q1804="","",INDEX(상세표[성명],$Q1804)&amp;"")</f>
        <v/>
      </c>
      <c r="D1804">
        <f>IF($Q1804="","",INDEX(상세표[직위],$Q1804)&amp;"")</f>
        <v/>
      </c>
      <c r="E1804">
        <f>IF($Q1804="","",IF(ISNUMBER(INDEX(상세표[근무일자],$Q1804)),TEXT(INDEX(상세표[근무일자],$Q1804),"yyyy-mm-dd"),INDEX(상세표[근무일자],$Q1804)&amp;""))</f>
        <v/>
      </c>
      <c r="F1804">
        <f>IF($Q1804="","",IF(ISNUMBER(INDEX(상세표[시작],$Q1804)),TEXT(INDEX(상세표[시작],$Q1804),"yyyy-mm-dd hh:mm"),INDEX(상세표[시작],$Q1804)&amp;""))</f>
        <v/>
      </c>
      <c r="G1804">
        <f>IF($Q1804="","",IF(ISNUMBER(INDEX(상세표[블록종료],$Q1804)),TEXT(INDEX(상세표[블록종료],$Q1804),"yyyy-mm-dd hh:mm"),INDEX(상세표[블록종료],$Q1804)&amp;""))</f>
        <v/>
      </c>
      <c r="H1804">
        <f>IF($Q1804="","",CHOOSE(WEEKDAY(INDEX(상세표[시작],$Q1804)),"일","월","화","수","목","금","토"))</f>
        <v/>
      </c>
      <c r="I1804" s="20">
        <f>IF($Q1804="","",INDEX(상세표[연속 시간],$Q1804))</f>
        <v/>
      </c>
      <c r="J1804">
        <f>IF($Q1804="","",INDEX(상세표[기록 수],$Q1804))</f>
        <v/>
      </c>
      <c r="K1804" s="20">
        <f>IF($Q1804="","",INDEX(상세표[블록 06~07시],$Q1804))</f>
        <v/>
      </c>
      <c r="L1804" s="20">
        <f>IF($Q1804="","",INDEX(상세표[블록 07~18시],$Q1804))</f>
        <v/>
      </c>
      <c r="M1804" s="20">
        <f>IF($Q1804="","",INDEX(상세표[블록 18~22시],$Q1804))</f>
        <v/>
      </c>
      <c r="N1804" s="20">
        <f>IF($Q1804="","",INDEX(상세표[블록 22~06시],$Q1804))</f>
        <v/>
      </c>
      <c r="O1804">
        <f>IF($Q1804="","",INDEX(상세표[주말·휴일 포함],$Q1804)&amp;"")</f>
        <v/>
      </c>
      <c r="P1804">
        <f>IF($Q1804="","",INDEX(상세표[월 넘김 포함],$Q1804)&amp;"")</f>
        <v/>
      </c>
      <c r="Q1804" s="4">
        <f>IFERROR(MATCH(1799,상세표[연속순번],0),"")</f>
        <v/>
      </c>
    </row>
    <row r="1805">
      <c r="A1805">
        <f>IF($Q1805="","",INDEX(상세표[부서],$Q1805)&amp;"")</f>
        <v/>
      </c>
      <c r="B1805">
        <f>IF($Q1805="","",INDEX(상세표[사번],$Q1805)&amp;"")</f>
        <v/>
      </c>
      <c r="C1805">
        <f>IF($Q1805="","",INDEX(상세표[성명],$Q1805)&amp;"")</f>
        <v/>
      </c>
      <c r="D1805">
        <f>IF($Q1805="","",INDEX(상세표[직위],$Q1805)&amp;"")</f>
        <v/>
      </c>
      <c r="E1805">
        <f>IF($Q1805="","",IF(ISNUMBER(INDEX(상세표[근무일자],$Q1805)),TEXT(INDEX(상세표[근무일자],$Q1805),"yyyy-mm-dd"),INDEX(상세표[근무일자],$Q1805)&amp;""))</f>
        <v/>
      </c>
      <c r="F1805">
        <f>IF($Q1805="","",IF(ISNUMBER(INDEX(상세표[시작],$Q1805)),TEXT(INDEX(상세표[시작],$Q1805),"yyyy-mm-dd hh:mm"),INDEX(상세표[시작],$Q1805)&amp;""))</f>
        <v/>
      </c>
      <c r="G1805">
        <f>IF($Q1805="","",IF(ISNUMBER(INDEX(상세표[블록종료],$Q1805)),TEXT(INDEX(상세표[블록종료],$Q1805),"yyyy-mm-dd hh:mm"),INDEX(상세표[블록종료],$Q1805)&amp;""))</f>
        <v/>
      </c>
      <c r="H1805">
        <f>IF($Q1805="","",CHOOSE(WEEKDAY(INDEX(상세표[시작],$Q1805)),"일","월","화","수","목","금","토"))</f>
        <v/>
      </c>
      <c r="I1805" s="20">
        <f>IF($Q1805="","",INDEX(상세표[연속 시간],$Q1805))</f>
        <v/>
      </c>
      <c r="J1805">
        <f>IF($Q1805="","",INDEX(상세표[기록 수],$Q1805))</f>
        <v/>
      </c>
      <c r="K1805" s="20">
        <f>IF($Q1805="","",INDEX(상세표[블록 06~07시],$Q1805))</f>
        <v/>
      </c>
      <c r="L1805" s="20">
        <f>IF($Q1805="","",INDEX(상세표[블록 07~18시],$Q1805))</f>
        <v/>
      </c>
      <c r="M1805" s="20">
        <f>IF($Q1805="","",INDEX(상세표[블록 18~22시],$Q1805))</f>
        <v/>
      </c>
      <c r="N1805" s="20">
        <f>IF($Q1805="","",INDEX(상세표[블록 22~06시],$Q1805))</f>
        <v/>
      </c>
      <c r="O1805">
        <f>IF($Q1805="","",INDEX(상세표[주말·휴일 포함],$Q1805)&amp;"")</f>
        <v/>
      </c>
      <c r="P1805">
        <f>IF($Q1805="","",INDEX(상세표[월 넘김 포함],$Q1805)&amp;"")</f>
        <v/>
      </c>
      <c r="Q1805" s="4">
        <f>IFERROR(MATCH(1800,상세표[연속순번],0),"")</f>
        <v/>
      </c>
    </row>
    <row r="1806">
      <c r="A1806">
        <f>IF($Q1806="","",INDEX(상세표[부서],$Q1806)&amp;"")</f>
        <v/>
      </c>
      <c r="B1806">
        <f>IF($Q1806="","",INDEX(상세표[사번],$Q1806)&amp;"")</f>
        <v/>
      </c>
      <c r="C1806">
        <f>IF($Q1806="","",INDEX(상세표[성명],$Q1806)&amp;"")</f>
        <v/>
      </c>
      <c r="D1806">
        <f>IF($Q1806="","",INDEX(상세표[직위],$Q1806)&amp;"")</f>
        <v/>
      </c>
      <c r="E1806">
        <f>IF($Q1806="","",IF(ISNUMBER(INDEX(상세표[근무일자],$Q1806)),TEXT(INDEX(상세표[근무일자],$Q1806),"yyyy-mm-dd"),INDEX(상세표[근무일자],$Q1806)&amp;""))</f>
        <v/>
      </c>
      <c r="F1806">
        <f>IF($Q1806="","",IF(ISNUMBER(INDEX(상세표[시작],$Q1806)),TEXT(INDEX(상세표[시작],$Q1806),"yyyy-mm-dd hh:mm"),INDEX(상세표[시작],$Q1806)&amp;""))</f>
        <v/>
      </c>
      <c r="G1806">
        <f>IF($Q1806="","",IF(ISNUMBER(INDEX(상세표[블록종료],$Q1806)),TEXT(INDEX(상세표[블록종료],$Q1806),"yyyy-mm-dd hh:mm"),INDEX(상세표[블록종료],$Q1806)&amp;""))</f>
        <v/>
      </c>
      <c r="H1806">
        <f>IF($Q1806="","",CHOOSE(WEEKDAY(INDEX(상세표[시작],$Q1806)),"일","월","화","수","목","금","토"))</f>
        <v/>
      </c>
      <c r="I1806" s="20">
        <f>IF($Q1806="","",INDEX(상세표[연속 시간],$Q1806))</f>
        <v/>
      </c>
      <c r="J1806">
        <f>IF($Q1806="","",INDEX(상세표[기록 수],$Q1806))</f>
        <v/>
      </c>
      <c r="K1806" s="20">
        <f>IF($Q1806="","",INDEX(상세표[블록 06~07시],$Q1806))</f>
        <v/>
      </c>
      <c r="L1806" s="20">
        <f>IF($Q1806="","",INDEX(상세표[블록 07~18시],$Q1806))</f>
        <v/>
      </c>
      <c r="M1806" s="20">
        <f>IF($Q1806="","",INDEX(상세표[블록 18~22시],$Q1806))</f>
        <v/>
      </c>
      <c r="N1806" s="20">
        <f>IF($Q1806="","",INDEX(상세표[블록 22~06시],$Q1806))</f>
        <v/>
      </c>
      <c r="O1806">
        <f>IF($Q1806="","",INDEX(상세표[주말·휴일 포함],$Q1806)&amp;"")</f>
        <v/>
      </c>
      <c r="P1806">
        <f>IF($Q1806="","",INDEX(상세표[월 넘김 포함],$Q1806)&amp;"")</f>
        <v/>
      </c>
      <c r="Q1806" s="4">
        <f>IFERROR(MATCH(1801,상세표[연속순번],0),"")</f>
        <v/>
      </c>
    </row>
    <row r="1807">
      <c r="A1807">
        <f>IF($Q1807="","",INDEX(상세표[부서],$Q1807)&amp;"")</f>
        <v/>
      </c>
      <c r="B1807">
        <f>IF($Q1807="","",INDEX(상세표[사번],$Q1807)&amp;"")</f>
        <v/>
      </c>
      <c r="C1807">
        <f>IF($Q1807="","",INDEX(상세표[성명],$Q1807)&amp;"")</f>
        <v/>
      </c>
      <c r="D1807">
        <f>IF($Q1807="","",INDEX(상세표[직위],$Q1807)&amp;"")</f>
        <v/>
      </c>
      <c r="E1807">
        <f>IF($Q1807="","",IF(ISNUMBER(INDEX(상세표[근무일자],$Q1807)),TEXT(INDEX(상세표[근무일자],$Q1807),"yyyy-mm-dd"),INDEX(상세표[근무일자],$Q1807)&amp;""))</f>
        <v/>
      </c>
      <c r="F1807">
        <f>IF($Q1807="","",IF(ISNUMBER(INDEX(상세표[시작],$Q1807)),TEXT(INDEX(상세표[시작],$Q1807),"yyyy-mm-dd hh:mm"),INDEX(상세표[시작],$Q1807)&amp;""))</f>
        <v/>
      </c>
      <c r="G1807">
        <f>IF($Q1807="","",IF(ISNUMBER(INDEX(상세표[블록종료],$Q1807)),TEXT(INDEX(상세표[블록종료],$Q1807),"yyyy-mm-dd hh:mm"),INDEX(상세표[블록종료],$Q1807)&amp;""))</f>
        <v/>
      </c>
      <c r="H1807">
        <f>IF($Q1807="","",CHOOSE(WEEKDAY(INDEX(상세표[시작],$Q1807)),"일","월","화","수","목","금","토"))</f>
        <v/>
      </c>
      <c r="I1807" s="20">
        <f>IF($Q1807="","",INDEX(상세표[연속 시간],$Q1807))</f>
        <v/>
      </c>
      <c r="J1807">
        <f>IF($Q1807="","",INDEX(상세표[기록 수],$Q1807))</f>
        <v/>
      </c>
      <c r="K1807" s="20">
        <f>IF($Q1807="","",INDEX(상세표[블록 06~07시],$Q1807))</f>
        <v/>
      </c>
      <c r="L1807" s="20">
        <f>IF($Q1807="","",INDEX(상세표[블록 07~18시],$Q1807))</f>
        <v/>
      </c>
      <c r="M1807" s="20">
        <f>IF($Q1807="","",INDEX(상세표[블록 18~22시],$Q1807))</f>
        <v/>
      </c>
      <c r="N1807" s="20">
        <f>IF($Q1807="","",INDEX(상세표[블록 22~06시],$Q1807))</f>
        <v/>
      </c>
      <c r="O1807">
        <f>IF($Q1807="","",INDEX(상세표[주말·휴일 포함],$Q1807)&amp;"")</f>
        <v/>
      </c>
      <c r="P1807">
        <f>IF($Q1807="","",INDEX(상세표[월 넘김 포함],$Q1807)&amp;"")</f>
        <v/>
      </c>
      <c r="Q1807" s="4">
        <f>IFERROR(MATCH(1802,상세표[연속순번],0),"")</f>
        <v/>
      </c>
    </row>
    <row r="1808">
      <c r="A1808">
        <f>IF($Q1808="","",INDEX(상세표[부서],$Q1808)&amp;"")</f>
        <v/>
      </c>
      <c r="B1808">
        <f>IF($Q1808="","",INDEX(상세표[사번],$Q1808)&amp;"")</f>
        <v/>
      </c>
      <c r="C1808">
        <f>IF($Q1808="","",INDEX(상세표[성명],$Q1808)&amp;"")</f>
        <v/>
      </c>
      <c r="D1808">
        <f>IF($Q1808="","",INDEX(상세표[직위],$Q1808)&amp;"")</f>
        <v/>
      </c>
      <c r="E1808">
        <f>IF($Q1808="","",IF(ISNUMBER(INDEX(상세표[근무일자],$Q1808)),TEXT(INDEX(상세표[근무일자],$Q1808),"yyyy-mm-dd"),INDEX(상세표[근무일자],$Q1808)&amp;""))</f>
        <v/>
      </c>
      <c r="F1808">
        <f>IF($Q1808="","",IF(ISNUMBER(INDEX(상세표[시작],$Q1808)),TEXT(INDEX(상세표[시작],$Q1808),"yyyy-mm-dd hh:mm"),INDEX(상세표[시작],$Q1808)&amp;""))</f>
        <v/>
      </c>
      <c r="G1808">
        <f>IF($Q1808="","",IF(ISNUMBER(INDEX(상세표[블록종료],$Q1808)),TEXT(INDEX(상세표[블록종료],$Q1808),"yyyy-mm-dd hh:mm"),INDEX(상세표[블록종료],$Q1808)&amp;""))</f>
        <v/>
      </c>
      <c r="H1808">
        <f>IF($Q1808="","",CHOOSE(WEEKDAY(INDEX(상세표[시작],$Q1808)),"일","월","화","수","목","금","토"))</f>
        <v/>
      </c>
      <c r="I1808" s="20">
        <f>IF($Q1808="","",INDEX(상세표[연속 시간],$Q1808))</f>
        <v/>
      </c>
      <c r="J1808">
        <f>IF($Q1808="","",INDEX(상세표[기록 수],$Q1808))</f>
        <v/>
      </c>
      <c r="K1808" s="20">
        <f>IF($Q1808="","",INDEX(상세표[블록 06~07시],$Q1808))</f>
        <v/>
      </c>
      <c r="L1808" s="20">
        <f>IF($Q1808="","",INDEX(상세표[블록 07~18시],$Q1808))</f>
        <v/>
      </c>
      <c r="M1808" s="20">
        <f>IF($Q1808="","",INDEX(상세표[블록 18~22시],$Q1808))</f>
        <v/>
      </c>
      <c r="N1808" s="20">
        <f>IF($Q1808="","",INDEX(상세표[블록 22~06시],$Q1808))</f>
        <v/>
      </c>
      <c r="O1808">
        <f>IF($Q1808="","",INDEX(상세표[주말·휴일 포함],$Q1808)&amp;"")</f>
        <v/>
      </c>
      <c r="P1808">
        <f>IF($Q1808="","",INDEX(상세표[월 넘김 포함],$Q1808)&amp;"")</f>
        <v/>
      </c>
      <c r="Q1808" s="4">
        <f>IFERROR(MATCH(1803,상세표[연속순번],0),"")</f>
        <v/>
      </c>
    </row>
    <row r="1809">
      <c r="A1809">
        <f>IF($Q1809="","",INDEX(상세표[부서],$Q1809)&amp;"")</f>
        <v/>
      </c>
      <c r="B1809">
        <f>IF($Q1809="","",INDEX(상세표[사번],$Q1809)&amp;"")</f>
        <v/>
      </c>
      <c r="C1809">
        <f>IF($Q1809="","",INDEX(상세표[성명],$Q1809)&amp;"")</f>
        <v/>
      </c>
      <c r="D1809">
        <f>IF($Q1809="","",INDEX(상세표[직위],$Q1809)&amp;"")</f>
        <v/>
      </c>
      <c r="E1809">
        <f>IF($Q1809="","",IF(ISNUMBER(INDEX(상세표[근무일자],$Q1809)),TEXT(INDEX(상세표[근무일자],$Q1809),"yyyy-mm-dd"),INDEX(상세표[근무일자],$Q1809)&amp;""))</f>
        <v/>
      </c>
      <c r="F1809">
        <f>IF($Q1809="","",IF(ISNUMBER(INDEX(상세표[시작],$Q1809)),TEXT(INDEX(상세표[시작],$Q1809),"yyyy-mm-dd hh:mm"),INDEX(상세표[시작],$Q1809)&amp;""))</f>
        <v/>
      </c>
      <c r="G1809">
        <f>IF($Q1809="","",IF(ISNUMBER(INDEX(상세표[블록종료],$Q1809)),TEXT(INDEX(상세표[블록종료],$Q1809),"yyyy-mm-dd hh:mm"),INDEX(상세표[블록종료],$Q1809)&amp;""))</f>
        <v/>
      </c>
      <c r="H1809">
        <f>IF($Q1809="","",CHOOSE(WEEKDAY(INDEX(상세표[시작],$Q1809)),"일","월","화","수","목","금","토"))</f>
        <v/>
      </c>
      <c r="I1809" s="20">
        <f>IF($Q1809="","",INDEX(상세표[연속 시간],$Q1809))</f>
        <v/>
      </c>
      <c r="J1809">
        <f>IF($Q1809="","",INDEX(상세표[기록 수],$Q1809))</f>
        <v/>
      </c>
      <c r="K1809" s="20">
        <f>IF($Q1809="","",INDEX(상세표[블록 06~07시],$Q1809))</f>
        <v/>
      </c>
      <c r="L1809" s="20">
        <f>IF($Q1809="","",INDEX(상세표[블록 07~18시],$Q1809))</f>
        <v/>
      </c>
      <c r="M1809" s="20">
        <f>IF($Q1809="","",INDEX(상세표[블록 18~22시],$Q1809))</f>
        <v/>
      </c>
      <c r="N1809" s="20">
        <f>IF($Q1809="","",INDEX(상세표[블록 22~06시],$Q1809))</f>
        <v/>
      </c>
      <c r="O1809">
        <f>IF($Q1809="","",INDEX(상세표[주말·휴일 포함],$Q1809)&amp;"")</f>
        <v/>
      </c>
      <c r="P1809">
        <f>IF($Q1809="","",INDEX(상세표[월 넘김 포함],$Q1809)&amp;"")</f>
        <v/>
      </c>
      <c r="Q1809" s="4">
        <f>IFERROR(MATCH(1804,상세표[연속순번],0),"")</f>
        <v/>
      </c>
    </row>
    <row r="1810">
      <c r="A1810">
        <f>IF($Q1810="","",INDEX(상세표[부서],$Q1810)&amp;"")</f>
        <v/>
      </c>
      <c r="B1810">
        <f>IF($Q1810="","",INDEX(상세표[사번],$Q1810)&amp;"")</f>
        <v/>
      </c>
      <c r="C1810">
        <f>IF($Q1810="","",INDEX(상세표[성명],$Q1810)&amp;"")</f>
        <v/>
      </c>
      <c r="D1810">
        <f>IF($Q1810="","",INDEX(상세표[직위],$Q1810)&amp;"")</f>
        <v/>
      </c>
      <c r="E1810">
        <f>IF($Q1810="","",IF(ISNUMBER(INDEX(상세표[근무일자],$Q1810)),TEXT(INDEX(상세표[근무일자],$Q1810),"yyyy-mm-dd"),INDEX(상세표[근무일자],$Q1810)&amp;""))</f>
        <v/>
      </c>
      <c r="F1810">
        <f>IF($Q1810="","",IF(ISNUMBER(INDEX(상세표[시작],$Q1810)),TEXT(INDEX(상세표[시작],$Q1810),"yyyy-mm-dd hh:mm"),INDEX(상세표[시작],$Q1810)&amp;""))</f>
        <v/>
      </c>
      <c r="G1810">
        <f>IF($Q1810="","",IF(ISNUMBER(INDEX(상세표[블록종료],$Q1810)),TEXT(INDEX(상세표[블록종료],$Q1810),"yyyy-mm-dd hh:mm"),INDEX(상세표[블록종료],$Q1810)&amp;""))</f>
        <v/>
      </c>
      <c r="H1810">
        <f>IF($Q1810="","",CHOOSE(WEEKDAY(INDEX(상세표[시작],$Q1810)),"일","월","화","수","목","금","토"))</f>
        <v/>
      </c>
      <c r="I1810" s="20">
        <f>IF($Q1810="","",INDEX(상세표[연속 시간],$Q1810))</f>
        <v/>
      </c>
      <c r="J1810">
        <f>IF($Q1810="","",INDEX(상세표[기록 수],$Q1810))</f>
        <v/>
      </c>
      <c r="K1810" s="20">
        <f>IF($Q1810="","",INDEX(상세표[블록 06~07시],$Q1810))</f>
        <v/>
      </c>
      <c r="L1810" s="20">
        <f>IF($Q1810="","",INDEX(상세표[블록 07~18시],$Q1810))</f>
        <v/>
      </c>
      <c r="M1810" s="20">
        <f>IF($Q1810="","",INDEX(상세표[블록 18~22시],$Q1810))</f>
        <v/>
      </c>
      <c r="N1810" s="20">
        <f>IF($Q1810="","",INDEX(상세표[블록 22~06시],$Q1810))</f>
        <v/>
      </c>
      <c r="O1810">
        <f>IF($Q1810="","",INDEX(상세표[주말·휴일 포함],$Q1810)&amp;"")</f>
        <v/>
      </c>
      <c r="P1810">
        <f>IF($Q1810="","",INDEX(상세표[월 넘김 포함],$Q1810)&amp;"")</f>
        <v/>
      </c>
      <c r="Q1810" s="4">
        <f>IFERROR(MATCH(1805,상세표[연속순번],0),"")</f>
        <v/>
      </c>
    </row>
    <row r="1811">
      <c r="A1811">
        <f>IF($Q1811="","",INDEX(상세표[부서],$Q1811)&amp;"")</f>
        <v/>
      </c>
      <c r="B1811">
        <f>IF($Q1811="","",INDEX(상세표[사번],$Q1811)&amp;"")</f>
        <v/>
      </c>
      <c r="C1811">
        <f>IF($Q1811="","",INDEX(상세표[성명],$Q1811)&amp;"")</f>
        <v/>
      </c>
      <c r="D1811">
        <f>IF($Q1811="","",INDEX(상세표[직위],$Q1811)&amp;"")</f>
        <v/>
      </c>
      <c r="E1811">
        <f>IF($Q1811="","",IF(ISNUMBER(INDEX(상세표[근무일자],$Q1811)),TEXT(INDEX(상세표[근무일자],$Q1811),"yyyy-mm-dd"),INDEX(상세표[근무일자],$Q1811)&amp;""))</f>
        <v/>
      </c>
      <c r="F1811">
        <f>IF($Q1811="","",IF(ISNUMBER(INDEX(상세표[시작],$Q1811)),TEXT(INDEX(상세표[시작],$Q1811),"yyyy-mm-dd hh:mm"),INDEX(상세표[시작],$Q1811)&amp;""))</f>
        <v/>
      </c>
      <c r="G1811">
        <f>IF($Q1811="","",IF(ISNUMBER(INDEX(상세표[블록종료],$Q1811)),TEXT(INDEX(상세표[블록종료],$Q1811),"yyyy-mm-dd hh:mm"),INDEX(상세표[블록종료],$Q1811)&amp;""))</f>
        <v/>
      </c>
      <c r="H1811">
        <f>IF($Q1811="","",CHOOSE(WEEKDAY(INDEX(상세표[시작],$Q1811)),"일","월","화","수","목","금","토"))</f>
        <v/>
      </c>
      <c r="I1811" s="20">
        <f>IF($Q1811="","",INDEX(상세표[연속 시간],$Q1811))</f>
        <v/>
      </c>
      <c r="J1811">
        <f>IF($Q1811="","",INDEX(상세표[기록 수],$Q1811))</f>
        <v/>
      </c>
      <c r="K1811" s="20">
        <f>IF($Q1811="","",INDEX(상세표[블록 06~07시],$Q1811))</f>
        <v/>
      </c>
      <c r="L1811" s="20">
        <f>IF($Q1811="","",INDEX(상세표[블록 07~18시],$Q1811))</f>
        <v/>
      </c>
      <c r="M1811" s="20">
        <f>IF($Q1811="","",INDEX(상세표[블록 18~22시],$Q1811))</f>
        <v/>
      </c>
      <c r="N1811" s="20">
        <f>IF($Q1811="","",INDEX(상세표[블록 22~06시],$Q1811))</f>
        <v/>
      </c>
      <c r="O1811">
        <f>IF($Q1811="","",INDEX(상세표[주말·휴일 포함],$Q1811)&amp;"")</f>
        <v/>
      </c>
      <c r="P1811">
        <f>IF($Q1811="","",INDEX(상세표[월 넘김 포함],$Q1811)&amp;"")</f>
        <v/>
      </c>
      <c r="Q1811" s="4">
        <f>IFERROR(MATCH(1806,상세표[연속순번],0),"")</f>
        <v/>
      </c>
    </row>
    <row r="1812">
      <c r="A1812">
        <f>IF($Q1812="","",INDEX(상세표[부서],$Q1812)&amp;"")</f>
        <v/>
      </c>
      <c r="B1812">
        <f>IF($Q1812="","",INDEX(상세표[사번],$Q1812)&amp;"")</f>
        <v/>
      </c>
      <c r="C1812">
        <f>IF($Q1812="","",INDEX(상세표[성명],$Q1812)&amp;"")</f>
        <v/>
      </c>
      <c r="D1812">
        <f>IF($Q1812="","",INDEX(상세표[직위],$Q1812)&amp;"")</f>
        <v/>
      </c>
      <c r="E1812">
        <f>IF($Q1812="","",IF(ISNUMBER(INDEX(상세표[근무일자],$Q1812)),TEXT(INDEX(상세표[근무일자],$Q1812),"yyyy-mm-dd"),INDEX(상세표[근무일자],$Q1812)&amp;""))</f>
        <v/>
      </c>
      <c r="F1812">
        <f>IF($Q1812="","",IF(ISNUMBER(INDEX(상세표[시작],$Q1812)),TEXT(INDEX(상세표[시작],$Q1812),"yyyy-mm-dd hh:mm"),INDEX(상세표[시작],$Q1812)&amp;""))</f>
        <v/>
      </c>
      <c r="G1812">
        <f>IF($Q1812="","",IF(ISNUMBER(INDEX(상세표[블록종료],$Q1812)),TEXT(INDEX(상세표[블록종료],$Q1812),"yyyy-mm-dd hh:mm"),INDEX(상세표[블록종료],$Q1812)&amp;""))</f>
        <v/>
      </c>
      <c r="H1812">
        <f>IF($Q1812="","",CHOOSE(WEEKDAY(INDEX(상세표[시작],$Q1812)),"일","월","화","수","목","금","토"))</f>
        <v/>
      </c>
      <c r="I1812" s="20">
        <f>IF($Q1812="","",INDEX(상세표[연속 시간],$Q1812))</f>
        <v/>
      </c>
      <c r="J1812">
        <f>IF($Q1812="","",INDEX(상세표[기록 수],$Q1812))</f>
        <v/>
      </c>
      <c r="K1812" s="20">
        <f>IF($Q1812="","",INDEX(상세표[블록 06~07시],$Q1812))</f>
        <v/>
      </c>
      <c r="L1812" s="20">
        <f>IF($Q1812="","",INDEX(상세표[블록 07~18시],$Q1812))</f>
        <v/>
      </c>
      <c r="M1812" s="20">
        <f>IF($Q1812="","",INDEX(상세표[블록 18~22시],$Q1812))</f>
        <v/>
      </c>
      <c r="N1812" s="20">
        <f>IF($Q1812="","",INDEX(상세표[블록 22~06시],$Q1812))</f>
        <v/>
      </c>
      <c r="O1812">
        <f>IF($Q1812="","",INDEX(상세표[주말·휴일 포함],$Q1812)&amp;"")</f>
        <v/>
      </c>
      <c r="P1812">
        <f>IF($Q1812="","",INDEX(상세표[월 넘김 포함],$Q1812)&amp;"")</f>
        <v/>
      </c>
      <c r="Q1812" s="4">
        <f>IFERROR(MATCH(1807,상세표[연속순번],0),"")</f>
        <v/>
      </c>
    </row>
    <row r="1813">
      <c r="A1813">
        <f>IF($Q1813="","",INDEX(상세표[부서],$Q1813)&amp;"")</f>
        <v/>
      </c>
      <c r="B1813">
        <f>IF($Q1813="","",INDEX(상세표[사번],$Q1813)&amp;"")</f>
        <v/>
      </c>
      <c r="C1813">
        <f>IF($Q1813="","",INDEX(상세표[성명],$Q1813)&amp;"")</f>
        <v/>
      </c>
      <c r="D1813">
        <f>IF($Q1813="","",INDEX(상세표[직위],$Q1813)&amp;"")</f>
        <v/>
      </c>
      <c r="E1813">
        <f>IF($Q1813="","",IF(ISNUMBER(INDEX(상세표[근무일자],$Q1813)),TEXT(INDEX(상세표[근무일자],$Q1813),"yyyy-mm-dd"),INDEX(상세표[근무일자],$Q1813)&amp;""))</f>
        <v/>
      </c>
      <c r="F1813">
        <f>IF($Q1813="","",IF(ISNUMBER(INDEX(상세표[시작],$Q1813)),TEXT(INDEX(상세표[시작],$Q1813),"yyyy-mm-dd hh:mm"),INDEX(상세표[시작],$Q1813)&amp;""))</f>
        <v/>
      </c>
      <c r="G1813">
        <f>IF($Q1813="","",IF(ISNUMBER(INDEX(상세표[블록종료],$Q1813)),TEXT(INDEX(상세표[블록종료],$Q1813),"yyyy-mm-dd hh:mm"),INDEX(상세표[블록종료],$Q1813)&amp;""))</f>
        <v/>
      </c>
      <c r="H1813">
        <f>IF($Q1813="","",CHOOSE(WEEKDAY(INDEX(상세표[시작],$Q1813)),"일","월","화","수","목","금","토"))</f>
        <v/>
      </c>
      <c r="I1813" s="20">
        <f>IF($Q1813="","",INDEX(상세표[연속 시간],$Q1813))</f>
        <v/>
      </c>
      <c r="J1813">
        <f>IF($Q1813="","",INDEX(상세표[기록 수],$Q1813))</f>
        <v/>
      </c>
      <c r="K1813" s="20">
        <f>IF($Q1813="","",INDEX(상세표[블록 06~07시],$Q1813))</f>
        <v/>
      </c>
      <c r="L1813" s="20">
        <f>IF($Q1813="","",INDEX(상세표[블록 07~18시],$Q1813))</f>
        <v/>
      </c>
      <c r="M1813" s="20">
        <f>IF($Q1813="","",INDEX(상세표[블록 18~22시],$Q1813))</f>
        <v/>
      </c>
      <c r="N1813" s="20">
        <f>IF($Q1813="","",INDEX(상세표[블록 22~06시],$Q1813))</f>
        <v/>
      </c>
      <c r="O1813">
        <f>IF($Q1813="","",INDEX(상세표[주말·휴일 포함],$Q1813)&amp;"")</f>
        <v/>
      </c>
      <c r="P1813">
        <f>IF($Q1813="","",INDEX(상세표[월 넘김 포함],$Q1813)&amp;"")</f>
        <v/>
      </c>
      <c r="Q1813" s="4">
        <f>IFERROR(MATCH(1808,상세표[연속순번],0),"")</f>
        <v/>
      </c>
    </row>
    <row r="1814">
      <c r="A1814">
        <f>IF($Q1814="","",INDEX(상세표[부서],$Q1814)&amp;"")</f>
        <v/>
      </c>
      <c r="B1814">
        <f>IF($Q1814="","",INDEX(상세표[사번],$Q1814)&amp;"")</f>
        <v/>
      </c>
      <c r="C1814">
        <f>IF($Q1814="","",INDEX(상세표[성명],$Q1814)&amp;"")</f>
        <v/>
      </c>
      <c r="D1814">
        <f>IF($Q1814="","",INDEX(상세표[직위],$Q1814)&amp;"")</f>
        <v/>
      </c>
      <c r="E1814">
        <f>IF($Q1814="","",IF(ISNUMBER(INDEX(상세표[근무일자],$Q1814)),TEXT(INDEX(상세표[근무일자],$Q1814),"yyyy-mm-dd"),INDEX(상세표[근무일자],$Q1814)&amp;""))</f>
        <v/>
      </c>
      <c r="F1814">
        <f>IF($Q1814="","",IF(ISNUMBER(INDEX(상세표[시작],$Q1814)),TEXT(INDEX(상세표[시작],$Q1814),"yyyy-mm-dd hh:mm"),INDEX(상세표[시작],$Q1814)&amp;""))</f>
        <v/>
      </c>
      <c r="G1814">
        <f>IF($Q1814="","",IF(ISNUMBER(INDEX(상세표[블록종료],$Q1814)),TEXT(INDEX(상세표[블록종료],$Q1814),"yyyy-mm-dd hh:mm"),INDEX(상세표[블록종료],$Q1814)&amp;""))</f>
        <v/>
      </c>
      <c r="H1814">
        <f>IF($Q1814="","",CHOOSE(WEEKDAY(INDEX(상세표[시작],$Q1814)),"일","월","화","수","목","금","토"))</f>
        <v/>
      </c>
      <c r="I1814" s="20">
        <f>IF($Q1814="","",INDEX(상세표[연속 시간],$Q1814))</f>
        <v/>
      </c>
      <c r="J1814">
        <f>IF($Q1814="","",INDEX(상세표[기록 수],$Q1814))</f>
        <v/>
      </c>
      <c r="K1814" s="20">
        <f>IF($Q1814="","",INDEX(상세표[블록 06~07시],$Q1814))</f>
        <v/>
      </c>
      <c r="L1814" s="20">
        <f>IF($Q1814="","",INDEX(상세표[블록 07~18시],$Q1814))</f>
        <v/>
      </c>
      <c r="M1814" s="20">
        <f>IF($Q1814="","",INDEX(상세표[블록 18~22시],$Q1814))</f>
        <v/>
      </c>
      <c r="N1814" s="20">
        <f>IF($Q1814="","",INDEX(상세표[블록 22~06시],$Q1814))</f>
        <v/>
      </c>
      <c r="O1814">
        <f>IF($Q1814="","",INDEX(상세표[주말·휴일 포함],$Q1814)&amp;"")</f>
        <v/>
      </c>
      <c r="P1814">
        <f>IF($Q1814="","",INDEX(상세표[월 넘김 포함],$Q1814)&amp;"")</f>
        <v/>
      </c>
      <c r="Q1814" s="4">
        <f>IFERROR(MATCH(1809,상세표[연속순번],0),"")</f>
        <v/>
      </c>
    </row>
    <row r="1815">
      <c r="A1815">
        <f>IF($Q1815="","",INDEX(상세표[부서],$Q1815)&amp;"")</f>
        <v/>
      </c>
      <c r="B1815">
        <f>IF($Q1815="","",INDEX(상세표[사번],$Q1815)&amp;"")</f>
        <v/>
      </c>
      <c r="C1815">
        <f>IF($Q1815="","",INDEX(상세표[성명],$Q1815)&amp;"")</f>
        <v/>
      </c>
      <c r="D1815">
        <f>IF($Q1815="","",INDEX(상세표[직위],$Q1815)&amp;"")</f>
        <v/>
      </c>
      <c r="E1815">
        <f>IF($Q1815="","",IF(ISNUMBER(INDEX(상세표[근무일자],$Q1815)),TEXT(INDEX(상세표[근무일자],$Q1815),"yyyy-mm-dd"),INDEX(상세표[근무일자],$Q1815)&amp;""))</f>
        <v/>
      </c>
      <c r="F1815">
        <f>IF($Q1815="","",IF(ISNUMBER(INDEX(상세표[시작],$Q1815)),TEXT(INDEX(상세표[시작],$Q1815),"yyyy-mm-dd hh:mm"),INDEX(상세표[시작],$Q1815)&amp;""))</f>
        <v/>
      </c>
      <c r="G1815">
        <f>IF($Q1815="","",IF(ISNUMBER(INDEX(상세표[블록종료],$Q1815)),TEXT(INDEX(상세표[블록종료],$Q1815),"yyyy-mm-dd hh:mm"),INDEX(상세표[블록종료],$Q1815)&amp;""))</f>
        <v/>
      </c>
      <c r="H1815">
        <f>IF($Q1815="","",CHOOSE(WEEKDAY(INDEX(상세표[시작],$Q1815)),"일","월","화","수","목","금","토"))</f>
        <v/>
      </c>
      <c r="I1815" s="20">
        <f>IF($Q1815="","",INDEX(상세표[연속 시간],$Q1815))</f>
        <v/>
      </c>
      <c r="J1815">
        <f>IF($Q1815="","",INDEX(상세표[기록 수],$Q1815))</f>
        <v/>
      </c>
      <c r="K1815" s="20">
        <f>IF($Q1815="","",INDEX(상세표[블록 06~07시],$Q1815))</f>
        <v/>
      </c>
      <c r="L1815" s="20">
        <f>IF($Q1815="","",INDEX(상세표[블록 07~18시],$Q1815))</f>
        <v/>
      </c>
      <c r="M1815" s="20">
        <f>IF($Q1815="","",INDEX(상세표[블록 18~22시],$Q1815))</f>
        <v/>
      </c>
      <c r="N1815" s="20">
        <f>IF($Q1815="","",INDEX(상세표[블록 22~06시],$Q1815))</f>
        <v/>
      </c>
      <c r="O1815">
        <f>IF($Q1815="","",INDEX(상세표[주말·휴일 포함],$Q1815)&amp;"")</f>
        <v/>
      </c>
      <c r="P1815">
        <f>IF($Q1815="","",INDEX(상세표[월 넘김 포함],$Q1815)&amp;"")</f>
        <v/>
      </c>
      <c r="Q1815" s="4">
        <f>IFERROR(MATCH(1810,상세표[연속순번],0),"")</f>
        <v/>
      </c>
    </row>
    <row r="1816">
      <c r="A1816">
        <f>IF($Q1816="","",INDEX(상세표[부서],$Q1816)&amp;"")</f>
        <v/>
      </c>
      <c r="B1816">
        <f>IF($Q1816="","",INDEX(상세표[사번],$Q1816)&amp;"")</f>
        <v/>
      </c>
      <c r="C1816">
        <f>IF($Q1816="","",INDEX(상세표[성명],$Q1816)&amp;"")</f>
        <v/>
      </c>
      <c r="D1816">
        <f>IF($Q1816="","",INDEX(상세표[직위],$Q1816)&amp;"")</f>
        <v/>
      </c>
      <c r="E1816">
        <f>IF($Q1816="","",IF(ISNUMBER(INDEX(상세표[근무일자],$Q1816)),TEXT(INDEX(상세표[근무일자],$Q1816),"yyyy-mm-dd"),INDEX(상세표[근무일자],$Q1816)&amp;""))</f>
        <v/>
      </c>
      <c r="F1816">
        <f>IF($Q1816="","",IF(ISNUMBER(INDEX(상세표[시작],$Q1816)),TEXT(INDEX(상세표[시작],$Q1816),"yyyy-mm-dd hh:mm"),INDEX(상세표[시작],$Q1816)&amp;""))</f>
        <v/>
      </c>
      <c r="G1816">
        <f>IF($Q1816="","",IF(ISNUMBER(INDEX(상세표[블록종료],$Q1816)),TEXT(INDEX(상세표[블록종료],$Q1816),"yyyy-mm-dd hh:mm"),INDEX(상세표[블록종료],$Q1816)&amp;""))</f>
        <v/>
      </c>
      <c r="H1816">
        <f>IF($Q1816="","",CHOOSE(WEEKDAY(INDEX(상세표[시작],$Q1816)),"일","월","화","수","목","금","토"))</f>
        <v/>
      </c>
      <c r="I1816" s="20">
        <f>IF($Q1816="","",INDEX(상세표[연속 시간],$Q1816))</f>
        <v/>
      </c>
      <c r="J1816">
        <f>IF($Q1816="","",INDEX(상세표[기록 수],$Q1816))</f>
        <v/>
      </c>
      <c r="K1816" s="20">
        <f>IF($Q1816="","",INDEX(상세표[블록 06~07시],$Q1816))</f>
        <v/>
      </c>
      <c r="L1816" s="20">
        <f>IF($Q1816="","",INDEX(상세표[블록 07~18시],$Q1816))</f>
        <v/>
      </c>
      <c r="M1816" s="20">
        <f>IF($Q1816="","",INDEX(상세표[블록 18~22시],$Q1816))</f>
        <v/>
      </c>
      <c r="N1816" s="20">
        <f>IF($Q1816="","",INDEX(상세표[블록 22~06시],$Q1816))</f>
        <v/>
      </c>
      <c r="O1816">
        <f>IF($Q1816="","",INDEX(상세표[주말·휴일 포함],$Q1816)&amp;"")</f>
        <v/>
      </c>
      <c r="P1816">
        <f>IF($Q1816="","",INDEX(상세표[월 넘김 포함],$Q1816)&amp;"")</f>
        <v/>
      </c>
      <c r="Q1816" s="4">
        <f>IFERROR(MATCH(1811,상세표[연속순번],0),"")</f>
        <v/>
      </c>
    </row>
    <row r="1817">
      <c r="A1817">
        <f>IF($Q1817="","",INDEX(상세표[부서],$Q1817)&amp;"")</f>
        <v/>
      </c>
      <c r="B1817">
        <f>IF($Q1817="","",INDEX(상세표[사번],$Q1817)&amp;"")</f>
        <v/>
      </c>
      <c r="C1817">
        <f>IF($Q1817="","",INDEX(상세표[성명],$Q1817)&amp;"")</f>
        <v/>
      </c>
      <c r="D1817">
        <f>IF($Q1817="","",INDEX(상세표[직위],$Q1817)&amp;"")</f>
        <v/>
      </c>
      <c r="E1817">
        <f>IF($Q1817="","",IF(ISNUMBER(INDEX(상세표[근무일자],$Q1817)),TEXT(INDEX(상세표[근무일자],$Q1817),"yyyy-mm-dd"),INDEX(상세표[근무일자],$Q1817)&amp;""))</f>
        <v/>
      </c>
      <c r="F1817">
        <f>IF($Q1817="","",IF(ISNUMBER(INDEX(상세표[시작],$Q1817)),TEXT(INDEX(상세표[시작],$Q1817),"yyyy-mm-dd hh:mm"),INDEX(상세표[시작],$Q1817)&amp;""))</f>
        <v/>
      </c>
      <c r="G1817">
        <f>IF($Q1817="","",IF(ISNUMBER(INDEX(상세표[블록종료],$Q1817)),TEXT(INDEX(상세표[블록종료],$Q1817),"yyyy-mm-dd hh:mm"),INDEX(상세표[블록종료],$Q1817)&amp;""))</f>
        <v/>
      </c>
      <c r="H1817">
        <f>IF($Q1817="","",CHOOSE(WEEKDAY(INDEX(상세표[시작],$Q1817)),"일","월","화","수","목","금","토"))</f>
        <v/>
      </c>
      <c r="I1817" s="20">
        <f>IF($Q1817="","",INDEX(상세표[연속 시간],$Q1817))</f>
        <v/>
      </c>
      <c r="J1817">
        <f>IF($Q1817="","",INDEX(상세표[기록 수],$Q1817))</f>
        <v/>
      </c>
      <c r="K1817" s="20">
        <f>IF($Q1817="","",INDEX(상세표[블록 06~07시],$Q1817))</f>
        <v/>
      </c>
      <c r="L1817" s="20">
        <f>IF($Q1817="","",INDEX(상세표[블록 07~18시],$Q1817))</f>
        <v/>
      </c>
      <c r="M1817" s="20">
        <f>IF($Q1817="","",INDEX(상세표[블록 18~22시],$Q1817))</f>
        <v/>
      </c>
      <c r="N1817" s="20">
        <f>IF($Q1817="","",INDEX(상세표[블록 22~06시],$Q1817))</f>
        <v/>
      </c>
      <c r="O1817">
        <f>IF($Q1817="","",INDEX(상세표[주말·휴일 포함],$Q1817)&amp;"")</f>
        <v/>
      </c>
      <c r="P1817">
        <f>IF($Q1817="","",INDEX(상세표[월 넘김 포함],$Q1817)&amp;"")</f>
        <v/>
      </c>
      <c r="Q1817" s="4">
        <f>IFERROR(MATCH(1812,상세표[연속순번],0),"")</f>
        <v/>
      </c>
    </row>
    <row r="1818">
      <c r="A1818">
        <f>IF($Q1818="","",INDEX(상세표[부서],$Q1818)&amp;"")</f>
        <v/>
      </c>
      <c r="B1818">
        <f>IF($Q1818="","",INDEX(상세표[사번],$Q1818)&amp;"")</f>
        <v/>
      </c>
      <c r="C1818">
        <f>IF($Q1818="","",INDEX(상세표[성명],$Q1818)&amp;"")</f>
        <v/>
      </c>
      <c r="D1818">
        <f>IF($Q1818="","",INDEX(상세표[직위],$Q1818)&amp;"")</f>
        <v/>
      </c>
      <c r="E1818">
        <f>IF($Q1818="","",IF(ISNUMBER(INDEX(상세표[근무일자],$Q1818)),TEXT(INDEX(상세표[근무일자],$Q1818),"yyyy-mm-dd"),INDEX(상세표[근무일자],$Q1818)&amp;""))</f>
        <v/>
      </c>
      <c r="F1818">
        <f>IF($Q1818="","",IF(ISNUMBER(INDEX(상세표[시작],$Q1818)),TEXT(INDEX(상세표[시작],$Q1818),"yyyy-mm-dd hh:mm"),INDEX(상세표[시작],$Q1818)&amp;""))</f>
        <v/>
      </c>
      <c r="G1818">
        <f>IF($Q1818="","",IF(ISNUMBER(INDEX(상세표[블록종료],$Q1818)),TEXT(INDEX(상세표[블록종료],$Q1818),"yyyy-mm-dd hh:mm"),INDEX(상세표[블록종료],$Q1818)&amp;""))</f>
        <v/>
      </c>
      <c r="H1818">
        <f>IF($Q1818="","",CHOOSE(WEEKDAY(INDEX(상세표[시작],$Q1818)),"일","월","화","수","목","금","토"))</f>
        <v/>
      </c>
      <c r="I1818" s="20">
        <f>IF($Q1818="","",INDEX(상세표[연속 시간],$Q1818))</f>
        <v/>
      </c>
      <c r="J1818">
        <f>IF($Q1818="","",INDEX(상세표[기록 수],$Q1818))</f>
        <v/>
      </c>
      <c r="K1818" s="20">
        <f>IF($Q1818="","",INDEX(상세표[블록 06~07시],$Q1818))</f>
        <v/>
      </c>
      <c r="L1818" s="20">
        <f>IF($Q1818="","",INDEX(상세표[블록 07~18시],$Q1818))</f>
        <v/>
      </c>
      <c r="M1818" s="20">
        <f>IF($Q1818="","",INDEX(상세표[블록 18~22시],$Q1818))</f>
        <v/>
      </c>
      <c r="N1818" s="20">
        <f>IF($Q1818="","",INDEX(상세표[블록 22~06시],$Q1818))</f>
        <v/>
      </c>
      <c r="O1818">
        <f>IF($Q1818="","",INDEX(상세표[주말·휴일 포함],$Q1818)&amp;"")</f>
        <v/>
      </c>
      <c r="P1818">
        <f>IF($Q1818="","",INDEX(상세표[월 넘김 포함],$Q1818)&amp;"")</f>
        <v/>
      </c>
      <c r="Q1818" s="4">
        <f>IFERROR(MATCH(1813,상세표[연속순번],0),"")</f>
        <v/>
      </c>
    </row>
    <row r="1819">
      <c r="A1819">
        <f>IF($Q1819="","",INDEX(상세표[부서],$Q1819)&amp;"")</f>
        <v/>
      </c>
      <c r="B1819">
        <f>IF($Q1819="","",INDEX(상세표[사번],$Q1819)&amp;"")</f>
        <v/>
      </c>
      <c r="C1819">
        <f>IF($Q1819="","",INDEX(상세표[성명],$Q1819)&amp;"")</f>
        <v/>
      </c>
      <c r="D1819">
        <f>IF($Q1819="","",INDEX(상세표[직위],$Q1819)&amp;"")</f>
        <v/>
      </c>
      <c r="E1819">
        <f>IF($Q1819="","",IF(ISNUMBER(INDEX(상세표[근무일자],$Q1819)),TEXT(INDEX(상세표[근무일자],$Q1819),"yyyy-mm-dd"),INDEX(상세표[근무일자],$Q1819)&amp;""))</f>
        <v/>
      </c>
      <c r="F1819">
        <f>IF($Q1819="","",IF(ISNUMBER(INDEX(상세표[시작],$Q1819)),TEXT(INDEX(상세표[시작],$Q1819),"yyyy-mm-dd hh:mm"),INDEX(상세표[시작],$Q1819)&amp;""))</f>
        <v/>
      </c>
      <c r="G1819">
        <f>IF($Q1819="","",IF(ISNUMBER(INDEX(상세표[블록종료],$Q1819)),TEXT(INDEX(상세표[블록종료],$Q1819),"yyyy-mm-dd hh:mm"),INDEX(상세표[블록종료],$Q1819)&amp;""))</f>
        <v/>
      </c>
      <c r="H1819">
        <f>IF($Q1819="","",CHOOSE(WEEKDAY(INDEX(상세표[시작],$Q1819)),"일","월","화","수","목","금","토"))</f>
        <v/>
      </c>
      <c r="I1819" s="20">
        <f>IF($Q1819="","",INDEX(상세표[연속 시간],$Q1819))</f>
        <v/>
      </c>
      <c r="J1819">
        <f>IF($Q1819="","",INDEX(상세표[기록 수],$Q1819))</f>
        <v/>
      </c>
      <c r="K1819" s="20">
        <f>IF($Q1819="","",INDEX(상세표[블록 06~07시],$Q1819))</f>
        <v/>
      </c>
      <c r="L1819" s="20">
        <f>IF($Q1819="","",INDEX(상세표[블록 07~18시],$Q1819))</f>
        <v/>
      </c>
      <c r="M1819" s="20">
        <f>IF($Q1819="","",INDEX(상세표[블록 18~22시],$Q1819))</f>
        <v/>
      </c>
      <c r="N1819" s="20">
        <f>IF($Q1819="","",INDEX(상세표[블록 22~06시],$Q1819))</f>
        <v/>
      </c>
      <c r="O1819">
        <f>IF($Q1819="","",INDEX(상세표[주말·휴일 포함],$Q1819)&amp;"")</f>
        <v/>
      </c>
      <c r="P1819">
        <f>IF($Q1819="","",INDEX(상세표[월 넘김 포함],$Q1819)&amp;"")</f>
        <v/>
      </c>
      <c r="Q1819" s="4">
        <f>IFERROR(MATCH(1814,상세표[연속순번],0),"")</f>
        <v/>
      </c>
    </row>
    <row r="1820">
      <c r="A1820">
        <f>IF($Q1820="","",INDEX(상세표[부서],$Q1820)&amp;"")</f>
        <v/>
      </c>
      <c r="B1820">
        <f>IF($Q1820="","",INDEX(상세표[사번],$Q1820)&amp;"")</f>
        <v/>
      </c>
      <c r="C1820">
        <f>IF($Q1820="","",INDEX(상세표[성명],$Q1820)&amp;"")</f>
        <v/>
      </c>
      <c r="D1820">
        <f>IF($Q1820="","",INDEX(상세표[직위],$Q1820)&amp;"")</f>
        <v/>
      </c>
      <c r="E1820">
        <f>IF($Q1820="","",IF(ISNUMBER(INDEX(상세표[근무일자],$Q1820)),TEXT(INDEX(상세표[근무일자],$Q1820),"yyyy-mm-dd"),INDEX(상세표[근무일자],$Q1820)&amp;""))</f>
        <v/>
      </c>
      <c r="F1820">
        <f>IF($Q1820="","",IF(ISNUMBER(INDEX(상세표[시작],$Q1820)),TEXT(INDEX(상세표[시작],$Q1820),"yyyy-mm-dd hh:mm"),INDEX(상세표[시작],$Q1820)&amp;""))</f>
        <v/>
      </c>
      <c r="G1820">
        <f>IF($Q1820="","",IF(ISNUMBER(INDEX(상세표[블록종료],$Q1820)),TEXT(INDEX(상세표[블록종료],$Q1820),"yyyy-mm-dd hh:mm"),INDEX(상세표[블록종료],$Q1820)&amp;""))</f>
        <v/>
      </c>
      <c r="H1820">
        <f>IF($Q1820="","",CHOOSE(WEEKDAY(INDEX(상세표[시작],$Q1820)),"일","월","화","수","목","금","토"))</f>
        <v/>
      </c>
      <c r="I1820" s="20">
        <f>IF($Q1820="","",INDEX(상세표[연속 시간],$Q1820))</f>
        <v/>
      </c>
      <c r="J1820">
        <f>IF($Q1820="","",INDEX(상세표[기록 수],$Q1820))</f>
        <v/>
      </c>
      <c r="K1820" s="20">
        <f>IF($Q1820="","",INDEX(상세표[블록 06~07시],$Q1820))</f>
        <v/>
      </c>
      <c r="L1820" s="20">
        <f>IF($Q1820="","",INDEX(상세표[블록 07~18시],$Q1820))</f>
        <v/>
      </c>
      <c r="M1820" s="20">
        <f>IF($Q1820="","",INDEX(상세표[블록 18~22시],$Q1820))</f>
        <v/>
      </c>
      <c r="N1820" s="20">
        <f>IF($Q1820="","",INDEX(상세표[블록 22~06시],$Q1820))</f>
        <v/>
      </c>
      <c r="O1820">
        <f>IF($Q1820="","",INDEX(상세표[주말·휴일 포함],$Q1820)&amp;"")</f>
        <v/>
      </c>
      <c r="P1820">
        <f>IF($Q1820="","",INDEX(상세표[월 넘김 포함],$Q1820)&amp;"")</f>
        <v/>
      </c>
      <c r="Q1820" s="4">
        <f>IFERROR(MATCH(1815,상세표[연속순번],0),"")</f>
        <v/>
      </c>
    </row>
    <row r="1821">
      <c r="A1821">
        <f>IF($Q1821="","",INDEX(상세표[부서],$Q1821)&amp;"")</f>
        <v/>
      </c>
      <c r="B1821">
        <f>IF($Q1821="","",INDEX(상세표[사번],$Q1821)&amp;"")</f>
        <v/>
      </c>
      <c r="C1821">
        <f>IF($Q1821="","",INDEX(상세표[성명],$Q1821)&amp;"")</f>
        <v/>
      </c>
      <c r="D1821">
        <f>IF($Q1821="","",INDEX(상세표[직위],$Q1821)&amp;"")</f>
        <v/>
      </c>
      <c r="E1821">
        <f>IF($Q1821="","",IF(ISNUMBER(INDEX(상세표[근무일자],$Q1821)),TEXT(INDEX(상세표[근무일자],$Q1821),"yyyy-mm-dd"),INDEX(상세표[근무일자],$Q1821)&amp;""))</f>
        <v/>
      </c>
      <c r="F1821">
        <f>IF($Q1821="","",IF(ISNUMBER(INDEX(상세표[시작],$Q1821)),TEXT(INDEX(상세표[시작],$Q1821),"yyyy-mm-dd hh:mm"),INDEX(상세표[시작],$Q1821)&amp;""))</f>
        <v/>
      </c>
      <c r="G1821">
        <f>IF($Q1821="","",IF(ISNUMBER(INDEX(상세표[블록종료],$Q1821)),TEXT(INDEX(상세표[블록종료],$Q1821),"yyyy-mm-dd hh:mm"),INDEX(상세표[블록종료],$Q1821)&amp;""))</f>
        <v/>
      </c>
      <c r="H1821">
        <f>IF($Q1821="","",CHOOSE(WEEKDAY(INDEX(상세표[시작],$Q1821)),"일","월","화","수","목","금","토"))</f>
        <v/>
      </c>
      <c r="I1821" s="20">
        <f>IF($Q1821="","",INDEX(상세표[연속 시간],$Q1821))</f>
        <v/>
      </c>
      <c r="J1821">
        <f>IF($Q1821="","",INDEX(상세표[기록 수],$Q1821))</f>
        <v/>
      </c>
      <c r="K1821" s="20">
        <f>IF($Q1821="","",INDEX(상세표[블록 06~07시],$Q1821))</f>
        <v/>
      </c>
      <c r="L1821" s="20">
        <f>IF($Q1821="","",INDEX(상세표[블록 07~18시],$Q1821))</f>
        <v/>
      </c>
      <c r="M1821" s="20">
        <f>IF($Q1821="","",INDEX(상세표[블록 18~22시],$Q1821))</f>
        <v/>
      </c>
      <c r="N1821" s="20">
        <f>IF($Q1821="","",INDEX(상세표[블록 22~06시],$Q1821))</f>
        <v/>
      </c>
      <c r="O1821">
        <f>IF($Q1821="","",INDEX(상세표[주말·휴일 포함],$Q1821)&amp;"")</f>
        <v/>
      </c>
      <c r="P1821">
        <f>IF($Q1821="","",INDEX(상세표[월 넘김 포함],$Q1821)&amp;"")</f>
        <v/>
      </c>
      <c r="Q1821" s="4">
        <f>IFERROR(MATCH(1816,상세표[연속순번],0),"")</f>
        <v/>
      </c>
    </row>
    <row r="1822">
      <c r="A1822">
        <f>IF($Q1822="","",INDEX(상세표[부서],$Q1822)&amp;"")</f>
        <v/>
      </c>
      <c r="B1822">
        <f>IF($Q1822="","",INDEX(상세표[사번],$Q1822)&amp;"")</f>
        <v/>
      </c>
      <c r="C1822">
        <f>IF($Q1822="","",INDEX(상세표[성명],$Q1822)&amp;"")</f>
        <v/>
      </c>
      <c r="D1822">
        <f>IF($Q1822="","",INDEX(상세표[직위],$Q1822)&amp;"")</f>
        <v/>
      </c>
      <c r="E1822">
        <f>IF($Q1822="","",IF(ISNUMBER(INDEX(상세표[근무일자],$Q1822)),TEXT(INDEX(상세표[근무일자],$Q1822),"yyyy-mm-dd"),INDEX(상세표[근무일자],$Q1822)&amp;""))</f>
        <v/>
      </c>
      <c r="F1822">
        <f>IF($Q1822="","",IF(ISNUMBER(INDEX(상세표[시작],$Q1822)),TEXT(INDEX(상세표[시작],$Q1822),"yyyy-mm-dd hh:mm"),INDEX(상세표[시작],$Q1822)&amp;""))</f>
        <v/>
      </c>
      <c r="G1822">
        <f>IF($Q1822="","",IF(ISNUMBER(INDEX(상세표[블록종료],$Q1822)),TEXT(INDEX(상세표[블록종료],$Q1822),"yyyy-mm-dd hh:mm"),INDEX(상세표[블록종료],$Q1822)&amp;""))</f>
        <v/>
      </c>
      <c r="H1822">
        <f>IF($Q1822="","",CHOOSE(WEEKDAY(INDEX(상세표[시작],$Q1822)),"일","월","화","수","목","금","토"))</f>
        <v/>
      </c>
      <c r="I1822" s="20">
        <f>IF($Q1822="","",INDEX(상세표[연속 시간],$Q1822))</f>
        <v/>
      </c>
      <c r="J1822">
        <f>IF($Q1822="","",INDEX(상세표[기록 수],$Q1822))</f>
        <v/>
      </c>
      <c r="K1822" s="20">
        <f>IF($Q1822="","",INDEX(상세표[블록 06~07시],$Q1822))</f>
        <v/>
      </c>
      <c r="L1822" s="20">
        <f>IF($Q1822="","",INDEX(상세표[블록 07~18시],$Q1822))</f>
        <v/>
      </c>
      <c r="M1822" s="20">
        <f>IF($Q1822="","",INDEX(상세표[블록 18~22시],$Q1822))</f>
        <v/>
      </c>
      <c r="N1822" s="20">
        <f>IF($Q1822="","",INDEX(상세표[블록 22~06시],$Q1822))</f>
        <v/>
      </c>
      <c r="O1822">
        <f>IF($Q1822="","",INDEX(상세표[주말·휴일 포함],$Q1822)&amp;"")</f>
        <v/>
      </c>
      <c r="P1822">
        <f>IF($Q1822="","",INDEX(상세표[월 넘김 포함],$Q1822)&amp;"")</f>
        <v/>
      </c>
      <c r="Q1822" s="4">
        <f>IFERROR(MATCH(1817,상세표[연속순번],0),"")</f>
        <v/>
      </c>
    </row>
    <row r="1823">
      <c r="A1823">
        <f>IF($Q1823="","",INDEX(상세표[부서],$Q1823)&amp;"")</f>
        <v/>
      </c>
      <c r="B1823">
        <f>IF($Q1823="","",INDEX(상세표[사번],$Q1823)&amp;"")</f>
        <v/>
      </c>
      <c r="C1823">
        <f>IF($Q1823="","",INDEX(상세표[성명],$Q1823)&amp;"")</f>
        <v/>
      </c>
      <c r="D1823">
        <f>IF($Q1823="","",INDEX(상세표[직위],$Q1823)&amp;"")</f>
        <v/>
      </c>
      <c r="E1823">
        <f>IF($Q1823="","",IF(ISNUMBER(INDEX(상세표[근무일자],$Q1823)),TEXT(INDEX(상세표[근무일자],$Q1823),"yyyy-mm-dd"),INDEX(상세표[근무일자],$Q1823)&amp;""))</f>
        <v/>
      </c>
      <c r="F1823">
        <f>IF($Q1823="","",IF(ISNUMBER(INDEX(상세표[시작],$Q1823)),TEXT(INDEX(상세표[시작],$Q1823),"yyyy-mm-dd hh:mm"),INDEX(상세표[시작],$Q1823)&amp;""))</f>
        <v/>
      </c>
      <c r="G1823">
        <f>IF($Q1823="","",IF(ISNUMBER(INDEX(상세표[블록종료],$Q1823)),TEXT(INDEX(상세표[블록종료],$Q1823),"yyyy-mm-dd hh:mm"),INDEX(상세표[블록종료],$Q1823)&amp;""))</f>
        <v/>
      </c>
      <c r="H1823">
        <f>IF($Q1823="","",CHOOSE(WEEKDAY(INDEX(상세표[시작],$Q1823)),"일","월","화","수","목","금","토"))</f>
        <v/>
      </c>
      <c r="I1823" s="20">
        <f>IF($Q1823="","",INDEX(상세표[연속 시간],$Q1823))</f>
        <v/>
      </c>
      <c r="J1823">
        <f>IF($Q1823="","",INDEX(상세표[기록 수],$Q1823))</f>
        <v/>
      </c>
      <c r="K1823" s="20">
        <f>IF($Q1823="","",INDEX(상세표[블록 06~07시],$Q1823))</f>
        <v/>
      </c>
      <c r="L1823" s="20">
        <f>IF($Q1823="","",INDEX(상세표[블록 07~18시],$Q1823))</f>
        <v/>
      </c>
      <c r="M1823" s="20">
        <f>IF($Q1823="","",INDEX(상세표[블록 18~22시],$Q1823))</f>
        <v/>
      </c>
      <c r="N1823" s="20">
        <f>IF($Q1823="","",INDEX(상세표[블록 22~06시],$Q1823))</f>
        <v/>
      </c>
      <c r="O1823">
        <f>IF($Q1823="","",INDEX(상세표[주말·휴일 포함],$Q1823)&amp;"")</f>
        <v/>
      </c>
      <c r="P1823">
        <f>IF($Q1823="","",INDEX(상세표[월 넘김 포함],$Q1823)&amp;"")</f>
        <v/>
      </c>
      <c r="Q1823" s="4">
        <f>IFERROR(MATCH(1818,상세표[연속순번],0),"")</f>
        <v/>
      </c>
    </row>
    <row r="1824">
      <c r="A1824">
        <f>IF($Q1824="","",INDEX(상세표[부서],$Q1824)&amp;"")</f>
        <v/>
      </c>
      <c r="B1824">
        <f>IF($Q1824="","",INDEX(상세표[사번],$Q1824)&amp;"")</f>
        <v/>
      </c>
      <c r="C1824">
        <f>IF($Q1824="","",INDEX(상세표[성명],$Q1824)&amp;"")</f>
        <v/>
      </c>
      <c r="D1824">
        <f>IF($Q1824="","",INDEX(상세표[직위],$Q1824)&amp;"")</f>
        <v/>
      </c>
      <c r="E1824">
        <f>IF($Q1824="","",IF(ISNUMBER(INDEX(상세표[근무일자],$Q1824)),TEXT(INDEX(상세표[근무일자],$Q1824),"yyyy-mm-dd"),INDEX(상세표[근무일자],$Q1824)&amp;""))</f>
        <v/>
      </c>
      <c r="F1824">
        <f>IF($Q1824="","",IF(ISNUMBER(INDEX(상세표[시작],$Q1824)),TEXT(INDEX(상세표[시작],$Q1824),"yyyy-mm-dd hh:mm"),INDEX(상세표[시작],$Q1824)&amp;""))</f>
        <v/>
      </c>
      <c r="G1824">
        <f>IF($Q1824="","",IF(ISNUMBER(INDEX(상세표[블록종료],$Q1824)),TEXT(INDEX(상세표[블록종료],$Q1824),"yyyy-mm-dd hh:mm"),INDEX(상세표[블록종료],$Q1824)&amp;""))</f>
        <v/>
      </c>
      <c r="H1824">
        <f>IF($Q1824="","",CHOOSE(WEEKDAY(INDEX(상세표[시작],$Q1824)),"일","월","화","수","목","금","토"))</f>
        <v/>
      </c>
      <c r="I1824" s="20">
        <f>IF($Q1824="","",INDEX(상세표[연속 시간],$Q1824))</f>
        <v/>
      </c>
      <c r="J1824">
        <f>IF($Q1824="","",INDEX(상세표[기록 수],$Q1824))</f>
        <v/>
      </c>
      <c r="K1824" s="20">
        <f>IF($Q1824="","",INDEX(상세표[블록 06~07시],$Q1824))</f>
        <v/>
      </c>
      <c r="L1824" s="20">
        <f>IF($Q1824="","",INDEX(상세표[블록 07~18시],$Q1824))</f>
        <v/>
      </c>
      <c r="M1824" s="20">
        <f>IF($Q1824="","",INDEX(상세표[블록 18~22시],$Q1824))</f>
        <v/>
      </c>
      <c r="N1824" s="20">
        <f>IF($Q1824="","",INDEX(상세표[블록 22~06시],$Q1824))</f>
        <v/>
      </c>
      <c r="O1824">
        <f>IF($Q1824="","",INDEX(상세표[주말·휴일 포함],$Q1824)&amp;"")</f>
        <v/>
      </c>
      <c r="P1824">
        <f>IF($Q1824="","",INDEX(상세표[월 넘김 포함],$Q1824)&amp;"")</f>
        <v/>
      </c>
      <c r="Q1824" s="4">
        <f>IFERROR(MATCH(1819,상세표[연속순번],0),"")</f>
        <v/>
      </c>
    </row>
    <row r="1825">
      <c r="A1825">
        <f>IF($Q1825="","",INDEX(상세표[부서],$Q1825)&amp;"")</f>
        <v/>
      </c>
      <c r="B1825">
        <f>IF($Q1825="","",INDEX(상세표[사번],$Q1825)&amp;"")</f>
        <v/>
      </c>
      <c r="C1825">
        <f>IF($Q1825="","",INDEX(상세표[성명],$Q1825)&amp;"")</f>
        <v/>
      </c>
      <c r="D1825">
        <f>IF($Q1825="","",INDEX(상세표[직위],$Q1825)&amp;"")</f>
        <v/>
      </c>
      <c r="E1825">
        <f>IF($Q1825="","",IF(ISNUMBER(INDEX(상세표[근무일자],$Q1825)),TEXT(INDEX(상세표[근무일자],$Q1825),"yyyy-mm-dd"),INDEX(상세표[근무일자],$Q1825)&amp;""))</f>
        <v/>
      </c>
      <c r="F1825">
        <f>IF($Q1825="","",IF(ISNUMBER(INDEX(상세표[시작],$Q1825)),TEXT(INDEX(상세표[시작],$Q1825),"yyyy-mm-dd hh:mm"),INDEX(상세표[시작],$Q1825)&amp;""))</f>
        <v/>
      </c>
      <c r="G1825">
        <f>IF($Q1825="","",IF(ISNUMBER(INDEX(상세표[블록종료],$Q1825)),TEXT(INDEX(상세표[블록종료],$Q1825),"yyyy-mm-dd hh:mm"),INDEX(상세표[블록종료],$Q1825)&amp;""))</f>
        <v/>
      </c>
      <c r="H1825">
        <f>IF($Q1825="","",CHOOSE(WEEKDAY(INDEX(상세표[시작],$Q1825)),"일","월","화","수","목","금","토"))</f>
        <v/>
      </c>
      <c r="I1825" s="20">
        <f>IF($Q1825="","",INDEX(상세표[연속 시간],$Q1825))</f>
        <v/>
      </c>
      <c r="J1825">
        <f>IF($Q1825="","",INDEX(상세표[기록 수],$Q1825))</f>
        <v/>
      </c>
      <c r="K1825" s="20">
        <f>IF($Q1825="","",INDEX(상세표[블록 06~07시],$Q1825))</f>
        <v/>
      </c>
      <c r="L1825" s="20">
        <f>IF($Q1825="","",INDEX(상세표[블록 07~18시],$Q1825))</f>
        <v/>
      </c>
      <c r="M1825" s="20">
        <f>IF($Q1825="","",INDEX(상세표[블록 18~22시],$Q1825))</f>
        <v/>
      </c>
      <c r="N1825" s="20">
        <f>IF($Q1825="","",INDEX(상세표[블록 22~06시],$Q1825))</f>
        <v/>
      </c>
      <c r="O1825">
        <f>IF($Q1825="","",INDEX(상세표[주말·휴일 포함],$Q1825)&amp;"")</f>
        <v/>
      </c>
      <c r="P1825">
        <f>IF($Q1825="","",INDEX(상세표[월 넘김 포함],$Q1825)&amp;"")</f>
        <v/>
      </c>
      <c r="Q1825" s="4">
        <f>IFERROR(MATCH(1820,상세표[연속순번],0),"")</f>
        <v/>
      </c>
    </row>
    <row r="1826">
      <c r="A1826">
        <f>IF($Q1826="","",INDEX(상세표[부서],$Q1826)&amp;"")</f>
        <v/>
      </c>
      <c r="B1826">
        <f>IF($Q1826="","",INDEX(상세표[사번],$Q1826)&amp;"")</f>
        <v/>
      </c>
      <c r="C1826">
        <f>IF($Q1826="","",INDEX(상세표[성명],$Q1826)&amp;"")</f>
        <v/>
      </c>
      <c r="D1826">
        <f>IF($Q1826="","",INDEX(상세표[직위],$Q1826)&amp;"")</f>
        <v/>
      </c>
      <c r="E1826">
        <f>IF($Q1826="","",IF(ISNUMBER(INDEX(상세표[근무일자],$Q1826)),TEXT(INDEX(상세표[근무일자],$Q1826),"yyyy-mm-dd"),INDEX(상세표[근무일자],$Q1826)&amp;""))</f>
        <v/>
      </c>
      <c r="F1826">
        <f>IF($Q1826="","",IF(ISNUMBER(INDEX(상세표[시작],$Q1826)),TEXT(INDEX(상세표[시작],$Q1826),"yyyy-mm-dd hh:mm"),INDEX(상세표[시작],$Q1826)&amp;""))</f>
        <v/>
      </c>
      <c r="G1826">
        <f>IF($Q1826="","",IF(ISNUMBER(INDEX(상세표[블록종료],$Q1826)),TEXT(INDEX(상세표[블록종료],$Q1826),"yyyy-mm-dd hh:mm"),INDEX(상세표[블록종료],$Q1826)&amp;""))</f>
        <v/>
      </c>
      <c r="H1826">
        <f>IF($Q1826="","",CHOOSE(WEEKDAY(INDEX(상세표[시작],$Q1826)),"일","월","화","수","목","금","토"))</f>
        <v/>
      </c>
      <c r="I1826" s="20">
        <f>IF($Q1826="","",INDEX(상세표[연속 시간],$Q1826))</f>
        <v/>
      </c>
      <c r="J1826">
        <f>IF($Q1826="","",INDEX(상세표[기록 수],$Q1826))</f>
        <v/>
      </c>
      <c r="K1826" s="20">
        <f>IF($Q1826="","",INDEX(상세표[블록 06~07시],$Q1826))</f>
        <v/>
      </c>
      <c r="L1826" s="20">
        <f>IF($Q1826="","",INDEX(상세표[블록 07~18시],$Q1826))</f>
        <v/>
      </c>
      <c r="M1826" s="20">
        <f>IF($Q1826="","",INDEX(상세표[블록 18~22시],$Q1826))</f>
        <v/>
      </c>
      <c r="N1826" s="20">
        <f>IF($Q1826="","",INDEX(상세표[블록 22~06시],$Q1826))</f>
        <v/>
      </c>
      <c r="O1826">
        <f>IF($Q1826="","",INDEX(상세표[주말·휴일 포함],$Q1826)&amp;"")</f>
        <v/>
      </c>
      <c r="P1826">
        <f>IF($Q1826="","",INDEX(상세표[월 넘김 포함],$Q1826)&amp;"")</f>
        <v/>
      </c>
      <c r="Q1826" s="4">
        <f>IFERROR(MATCH(1821,상세표[연속순번],0),"")</f>
        <v/>
      </c>
    </row>
    <row r="1827">
      <c r="A1827">
        <f>IF($Q1827="","",INDEX(상세표[부서],$Q1827)&amp;"")</f>
        <v/>
      </c>
      <c r="B1827">
        <f>IF($Q1827="","",INDEX(상세표[사번],$Q1827)&amp;"")</f>
        <v/>
      </c>
      <c r="C1827">
        <f>IF($Q1827="","",INDEX(상세표[성명],$Q1827)&amp;"")</f>
        <v/>
      </c>
      <c r="D1827">
        <f>IF($Q1827="","",INDEX(상세표[직위],$Q1827)&amp;"")</f>
        <v/>
      </c>
      <c r="E1827">
        <f>IF($Q1827="","",IF(ISNUMBER(INDEX(상세표[근무일자],$Q1827)),TEXT(INDEX(상세표[근무일자],$Q1827),"yyyy-mm-dd"),INDEX(상세표[근무일자],$Q1827)&amp;""))</f>
        <v/>
      </c>
      <c r="F1827">
        <f>IF($Q1827="","",IF(ISNUMBER(INDEX(상세표[시작],$Q1827)),TEXT(INDEX(상세표[시작],$Q1827),"yyyy-mm-dd hh:mm"),INDEX(상세표[시작],$Q1827)&amp;""))</f>
        <v/>
      </c>
      <c r="G1827">
        <f>IF($Q1827="","",IF(ISNUMBER(INDEX(상세표[블록종료],$Q1827)),TEXT(INDEX(상세표[블록종료],$Q1827),"yyyy-mm-dd hh:mm"),INDEX(상세표[블록종료],$Q1827)&amp;""))</f>
        <v/>
      </c>
      <c r="H1827">
        <f>IF($Q1827="","",CHOOSE(WEEKDAY(INDEX(상세표[시작],$Q1827)),"일","월","화","수","목","금","토"))</f>
        <v/>
      </c>
      <c r="I1827" s="20">
        <f>IF($Q1827="","",INDEX(상세표[연속 시간],$Q1827))</f>
        <v/>
      </c>
      <c r="J1827">
        <f>IF($Q1827="","",INDEX(상세표[기록 수],$Q1827))</f>
        <v/>
      </c>
      <c r="K1827" s="20">
        <f>IF($Q1827="","",INDEX(상세표[블록 06~07시],$Q1827))</f>
        <v/>
      </c>
      <c r="L1827" s="20">
        <f>IF($Q1827="","",INDEX(상세표[블록 07~18시],$Q1827))</f>
        <v/>
      </c>
      <c r="M1827" s="20">
        <f>IF($Q1827="","",INDEX(상세표[블록 18~22시],$Q1827))</f>
        <v/>
      </c>
      <c r="N1827" s="20">
        <f>IF($Q1827="","",INDEX(상세표[블록 22~06시],$Q1827))</f>
        <v/>
      </c>
      <c r="O1827">
        <f>IF($Q1827="","",INDEX(상세표[주말·휴일 포함],$Q1827)&amp;"")</f>
        <v/>
      </c>
      <c r="P1827">
        <f>IF($Q1827="","",INDEX(상세표[월 넘김 포함],$Q1827)&amp;"")</f>
        <v/>
      </c>
      <c r="Q1827" s="4">
        <f>IFERROR(MATCH(1822,상세표[연속순번],0),"")</f>
        <v/>
      </c>
    </row>
    <row r="1828">
      <c r="A1828">
        <f>IF($Q1828="","",INDEX(상세표[부서],$Q1828)&amp;"")</f>
        <v/>
      </c>
      <c r="B1828">
        <f>IF($Q1828="","",INDEX(상세표[사번],$Q1828)&amp;"")</f>
        <v/>
      </c>
      <c r="C1828">
        <f>IF($Q1828="","",INDEX(상세표[성명],$Q1828)&amp;"")</f>
        <v/>
      </c>
      <c r="D1828">
        <f>IF($Q1828="","",INDEX(상세표[직위],$Q1828)&amp;"")</f>
        <v/>
      </c>
      <c r="E1828">
        <f>IF($Q1828="","",IF(ISNUMBER(INDEX(상세표[근무일자],$Q1828)),TEXT(INDEX(상세표[근무일자],$Q1828),"yyyy-mm-dd"),INDEX(상세표[근무일자],$Q1828)&amp;""))</f>
        <v/>
      </c>
      <c r="F1828">
        <f>IF($Q1828="","",IF(ISNUMBER(INDEX(상세표[시작],$Q1828)),TEXT(INDEX(상세표[시작],$Q1828),"yyyy-mm-dd hh:mm"),INDEX(상세표[시작],$Q1828)&amp;""))</f>
        <v/>
      </c>
      <c r="G1828">
        <f>IF($Q1828="","",IF(ISNUMBER(INDEX(상세표[블록종료],$Q1828)),TEXT(INDEX(상세표[블록종료],$Q1828),"yyyy-mm-dd hh:mm"),INDEX(상세표[블록종료],$Q1828)&amp;""))</f>
        <v/>
      </c>
      <c r="H1828">
        <f>IF($Q1828="","",CHOOSE(WEEKDAY(INDEX(상세표[시작],$Q1828)),"일","월","화","수","목","금","토"))</f>
        <v/>
      </c>
      <c r="I1828" s="20">
        <f>IF($Q1828="","",INDEX(상세표[연속 시간],$Q1828))</f>
        <v/>
      </c>
      <c r="J1828">
        <f>IF($Q1828="","",INDEX(상세표[기록 수],$Q1828))</f>
        <v/>
      </c>
      <c r="K1828" s="20">
        <f>IF($Q1828="","",INDEX(상세표[블록 06~07시],$Q1828))</f>
        <v/>
      </c>
      <c r="L1828" s="20">
        <f>IF($Q1828="","",INDEX(상세표[블록 07~18시],$Q1828))</f>
        <v/>
      </c>
      <c r="M1828" s="20">
        <f>IF($Q1828="","",INDEX(상세표[블록 18~22시],$Q1828))</f>
        <v/>
      </c>
      <c r="N1828" s="20">
        <f>IF($Q1828="","",INDEX(상세표[블록 22~06시],$Q1828))</f>
        <v/>
      </c>
      <c r="O1828">
        <f>IF($Q1828="","",INDEX(상세표[주말·휴일 포함],$Q1828)&amp;"")</f>
        <v/>
      </c>
      <c r="P1828">
        <f>IF($Q1828="","",INDEX(상세표[월 넘김 포함],$Q1828)&amp;"")</f>
        <v/>
      </c>
      <c r="Q1828" s="4">
        <f>IFERROR(MATCH(1823,상세표[연속순번],0),"")</f>
        <v/>
      </c>
    </row>
    <row r="1829">
      <c r="A1829">
        <f>IF($Q1829="","",INDEX(상세표[부서],$Q1829)&amp;"")</f>
        <v/>
      </c>
      <c r="B1829">
        <f>IF($Q1829="","",INDEX(상세표[사번],$Q1829)&amp;"")</f>
        <v/>
      </c>
      <c r="C1829">
        <f>IF($Q1829="","",INDEX(상세표[성명],$Q1829)&amp;"")</f>
        <v/>
      </c>
      <c r="D1829">
        <f>IF($Q1829="","",INDEX(상세표[직위],$Q1829)&amp;"")</f>
        <v/>
      </c>
      <c r="E1829">
        <f>IF($Q1829="","",IF(ISNUMBER(INDEX(상세표[근무일자],$Q1829)),TEXT(INDEX(상세표[근무일자],$Q1829),"yyyy-mm-dd"),INDEX(상세표[근무일자],$Q1829)&amp;""))</f>
        <v/>
      </c>
      <c r="F1829">
        <f>IF($Q1829="","",IF(ISNUMBER(INDEX(상세표[시작],$Q1829)),TEXT(INDEX(상세표[시작],$Q1829),"yyyy-mm-dd hh:mm"),INDEX(상세표[시작],$Q1829)&amp;""))</f>
        <v/>
      </c>
      <c r="G1829">
        <f>IF($Q1829="","",IF(ISNUMBER(INDEX(상세표[블록종료],$Q1829)),TEXT(INDEX(상세표[블록종료],$Q1829),"yyyy-mm-dd hh:mm"),INDEX(상세표[블록종료],$Q1829)&amp;""))</f>
        <v/>
      </c>
      <c r="H1829">
        <f>IF($Q1829="","",CHOOSE(WEEKDAY(INDEX(상세표[시작],$Q1829)),"일","월","화","수","목","금","토"))</f>
        <v/>
      </c>
      <c r="I1829" s="20">
        <f>IF($Q1829="","",INDEX(상세표[연속 시간],$Q1829))</f>
        <v/>
      </c>
      <c r="J1829">
        <f>IF($Q1829="","",INDEX(상세표[기록 수],$Q1829))</f>
        <v/>
      </c>
      <c r="K1829" s="20">
        <f>IF($Q1829="","",INDEX(상세표[블록 06~07시],$Q1829))</f>
        <v/>
      </c>
      <c r="L1829" s="20">
        <f>IF($Q1829="","",INDEX(상세표[블록 07~18시],$Q1829))</f>
        <v/>
      </c>
      <c r="M1829" s="20">
        <f>IF($Q1829="","",INDEX(상세표[블록 18~22시],$Q1829))</f>
        <v/>
      </c>
      <c r="N1829" s="20">
        <f>IF($Q1829="","",INDEX(상세표[블록 22~06시],$Q1829))</f>
        <v/>
      </c>
      <c r="O1829">
        <f>IF($Q1829="","",INDEX(상세표[주말·휴일 포함],$Q1829)&amp;"")</f>
        <v/>
      </c>
      <c r="P1829">
        <f>IF($Q1829="","",INDEX(상세표[월 넘김 포함],$Q1829)&amp;"")</f>
        <v/>
      </c>
      <c r="Q1829" s="4">
        <f>IFERROR(MATCH(1824,상세표[연속순번],0),"")</f>
        <v/>
      </c>
    </row>
    <row r="1830">
      <c r="A1830">
        <f>IF($Q1830="","",INDEX(상세표[부서],$Q1830)&amp;"")</f>
        <v/>
      </c>
      <c r="B1830">
        <f>IF($Q1830="","",INDEX(상세표[사번],$Q1830)&amp;"")</f>
        <v/>
      </c>
      <c r="C1830">
        <f>IF($Q1830="","",INDEX(상세표[성명],$Q1830)&amp;"")</f>
        <v/>
      </c>
      <c r="D1830">
        <f>IF($Q1830="","",INDEX(상세표[직위],$Q1830)&amp;"")</f>
        <v/>
      </c>
      <c r="E1830">
        <f>IF($Q1830="","",IF(ISNUMBER(INDEX(상세표[근무일자],$Q1830)),TEXT(INDEX(상세표[근무일자],$Q1830),"yyyy-mm-dd"),INDEX(상세표[근무일자],$Q1830)&amp;""))</f>
        <v/>
      </c>
      <c r="F1830">
        <f>IF($Q1830="","",IF(ISNUMBER(INDEX(상세표[시작],$Q1830)),TEXT(INDEX(상세표[시작],$Q1830),"yyyy-mm-dd hh:mm"),INDEX(상세표[시작],$Q1830)&amp;""))</f>
        <v/>
      </c>
      <c r="G1830">
        <f>IF($Q1830="","",IF(ISNUMBER(INDEX(상세표[블록종료],$Q1830)),TEXT(INDEX(상세표[블록종료],$Q1830),"yyyy-mm-dd hh:mm"),INDEX(상세표[블록종료],$Q1830)&amp;""))</f>
        <v/>
      </c>
      <c r="H1830">
        <f>IF($Q1830="","",CHOOSE(WEEKDAY(INDEX(상세표[시작],$Q1830)),"일","월","화","수","목","금","토"))</f>
        <v/>
      </c>
      <c r="I1830" s="20">
        <f>IF($Q1830="","",INDEX(상세표[연속 시간],$Q1830))</f>
        <v/>
      </c>
      <c r="J1830">
        <f>IF($Q1830="","",INDEX(상세표[기록 수],$Q1830))</f>
        <v/>
      </c>
      <c r="K1830" s="20">
        <f>IF($Q1830="","",INDEX(상세표[블록 06~07시],$Q1830))</f>
        <v/>
      </c>
      <c r="L1830" s="20">
        <f>IF($Q1830="","",INDEX(상세표[블록 07~18시],$Q1830))</f>
        <v/>
      </c>
      <c r="M1830" s="20">
        <f>IF($Q1830="","",INDEX(상세표[블록 18~22시],$Q1830))</f>
        <v/>
      </c>
      <c r="N1830" s="20">
        <f>IF($Q1830="","",INDEX(상세표[블록 22~06시],$Q1830))</f>
        <v/>
      </c>
      <c r="O1830">
        <f>IF($Q1830="","",INDEX(상세표[주말·휴일 포함],$Q1830)&amp;"")</f>
        <v/>
      </c>
      <c r="P1830">
        <f>IF($Q1830="","",INDEX(상세표[월 넘김 포함],$Q1830)&amp;"")</f>
        <v/>
      </c>
      <c r="Q1830" s="4">
        <f>IFERROR(MATCH(1825,상세표[연속순번],0),"")</f>
        <v/>
      </c>
    </row>
    <row r="1831">
      <c r="A1831">
        <f>IF($Q1831="","",INDEX(상세표[부서],$Q1831)&amp;"")</f>
        <v/>
      </c>
      <c r="B1831">
        <f>IF($Q1831="","",INDEX(상세표[사번],$Q1831)&amp;"")</f>
        <v/>
      </c>
      <c r="C1831">
        <f>IF($Q1831="","",INDEX(상세표[성명],$Q1831)&amp;"")</f>
        <v/>
      </c>
      <c r="D1831">
        <f>IF($Q1831="","",INDEX(상세표[직위],$Q1831)&amp;"")</f>
        <v/>
      </c>
      <c r="E1831">
        <f>IF($Q1831="","",IF(ISNUMBER(INDEX(상세표[근무일자],$Q1831)),TEXT(INDEX(상세표[근무일자],$Q1831),"yyyy-mm-dd"),INDEX(상세표[근무일자],$Q1831)&amp;""))</f>
        <v/>
      </c>
      <c r="F1831">
        <f>IF($Q1831="","",IF(ISNUMBER(INDEX(상세표[시작],$Q1831)),TEXT(INDEX(상세표[시작],$Q1831),"yyyy-mm-dd hh:mm"),INDEX(상세표[시작],$Q1831)&amp;""))</f>
        <v/>
      </c>
      <c r="G1831">
        <f>IF($Q1831="","",IF(ISNUMBER(INDEX(상세표[블록종료],$Q1831)),TEXT(INDEX(상세표[블록종료],$Q1831),"yyyy-mm-dd hh:mm"),INDEX(상세표[블록종료],$Q1831)&amp;""))</f>
        <v/>
      </c>
      <c r="H1831">
        <f>IF($Q1831="","",CHOOSE(WEEKDAY(INDEX(상세표[시작],$Q1831)),"일","월","화","수","목","금","토"))</f>
        <v/>
      </c>
      <c r="I1831" s="20">
        <f>IF($Q1831="","",INDEX(상세표[연속 시간],$Q1831))</f>
        <v/>
      </c>
      <c r="J1831">
        <f>IF($Q1831="","",INDEX(상세표[기록 수],$Q1831))</f>
        <v/>
      </c>
      <c r="K1831" s="20">
        <f>IF($Q1831="","",INDEX(상세표[블록 06~07시],$Q1831))</f>
        <v/>
      </c>
      <c r="L1831" s="20">
        <f>IF($Q1831="","",INDEX(상세표[블록 07~18시],$Q1831))</f>
        <v/>
      </c>
      <c r="M1831" s="20">
        <f>IF($Q1831="","",INDEX(상세표[블록 18~22시],$Q1831))</f>
        <v/>
      </c>
      <c r="N1831" s="20">
        <f>IF($Q1831="","",INDEX(상세표[블록 22~06시],$Q1831))</f>
        <v/>
      </c>
      <c r="O1831">
        <f>IF($Q1831="","",INDEX(상세표[주말·휴일 포함],$Q1831)&amp;"")</f>
        <v/>
      </c>
      <c r="P1831">
        <f>IF($Q1831="","",INDEX(상세표[월 넘김 포함],$Q1831)&amp;"")</f>
        <v/>
      </c>
      <c r="Q1831" s="4">
        <f>IFERROR(MATCH(1826,상세표[연속순번],0),"")</f>
        <v/>
      </c>
    </row>
    <row r="1832">
      <c r="A1832">
        <f>IF($Q1832="","",INDEX(상세표[부서],$Q1832)&amp;"")</f>
        <v/>
      </c>
      <c r="B1832">
        <f>IF($Q1832="","",INDEX(상세표[사번],$Q1832)&amp;"")</f>
        <v/>
      </c>
      <c r="C1832">
        <f>IF($Q1832="","",INDEX(상세표[성명],$Q1832)&amp;"")</f>
        <v/>
      </c>
      <c r="D1832">
        <f>IF($Q1832="","",INDEX(상세표[직위],$Q1832)&amp;"")</f>
        <v/>
      </c>
      <c r="E1832">
        <f>IF($Q1832="","",IF(ISNUMBER(INDEX(상세표[근무일자],$Q1832)),TEXT(INDEX(상세표[근무일자],$Q1832),"yyyy-mm-dd"),INDEX(상세표[근무일자],$Q1832)&amp;""))</f>
        <v/>
      </c>
      <c r="F1832">
        <f>IF($Q1832="","",IF(ISNUMBER(INDEX(상세표[시작],$Q1832)),TEXT(INDEX(상세표[시작],$Q1832),"yyyy-mm-dd hh:mm"),INDEX(상세표[시작],$Q1832)&amp;""))</f>
        <v/>
      </c>
      <c r="G1832">
        <f>IF($Q1832="","",IF(ISNUMBER(INDEX(상세표[블록종료],$Q1832)),TEXT(INDEX(상세표[블록종료],$Q1832),"yyyy-mm-dd hh:mm"),INDEX(상세표[블록종료],$Q1832)&amp;""))</f>
        <v/>
      </c>
      <c r="H1832">
        <f>IF($Q1832="","",CHOOSE(WEEKDAY(INDEX(상세표[시작],$Q1832)),"일","월","화","수","목","금","토"))</f>
        <v/>
      </c>
      <c r="I1832" s="20">
        <f>IF($Q1832="","",INDEX(상세표[연속 시간],$Q1832))</f>
        <v/>
      </c>
      <c r="J1832">
        <f>IF($Q1832="","",INDEX(상세표[기록 수],$Q1832))</f>
        <v/>
      </c>
      <c r="K1832" s="20">
        <f>IF($Q1832="","",INDEX(상세표[블록 06~07시],$Q1832))</f>
        <v/>
      </c>
      <c r="L1832" s="20">
        <f>IF($Q1832="","",INDEX(상세표[블록 07~18시],$Q1832))</f>
        <v/>
      </c>
      <c r="M1832" s="20">
        <f>IF($Q1832="","",INDEX(상세표[블록 18~22시],$Q1832))</f>
        <v/>
      </c>
      <c r="N1832" s="20">
        <f>IF($Q1832="","",INDEX(상세표[블록 22~06시],$Q1832))</f>
        <v/>
      </c>
      <c r="O1832">
        <f>IF($Q1832="","",INDEX(상세표[주말·휴일 포함],$Q1832)&amp;"")</f>
        <v/>
      </c>
      <c r="P1832">
        <f>IF($Q1832="","",INDEX(상세표[월 넘김 포함],$Q1832)&amp;"")</f>
        <v/>
      </c>
      <c r="Q1832" s="4">
        <f>IFERROR(MATCH(1827,상세표[연속순번],0),"")</f>
        <v/>
      </c>
    </row>
    <row r="1833">
      <c r="A1833">
        <f>IF($Q1833="","",INDEX(상세표[부서],$Q1833)&amp;"")</f>
        <v/>
      </c>
      <c r="B1833">
        <f>IF($Q1833="","",INDEX(상세표[사번],$Q1833)&amp;"")</f>
        <v/>
      </c>
      <c r="C1833">
        <f>IF($Q1833="","",INDEX(상세표[성명],$Q1833)&amp;"")</f>
        <v/>
      </c>
      <c r="D1833">
        <f>IF($Q1833="","",INDEX(상세표[직위],$Q1833)&amp;"")</f>
        <v/>
      </c>
      <c r="E1833">
        <f>IF($Q1833="","",IF(ISNUMBER(INDEX(상세표[근무일자],$Q1833)),TEXT(INDEX(상세표[근무일자],$Q1833),"yyyy-mm-dd"),INDEX(상세표[근무일자],$Q1833)&amp;""))</f>
        <v/>
      </c>
      <c r="F1833">
        <f>IF($Q1833="","",IF(ISNUMBER(INDEX(상세표[시작],$Q1833)),TEXT(INDEX(상세표[시작],$Q1833),"yyyy-mm-dd hh:mm"),INDEX(상세표[시작],$Q1833)&amp;""))</f>
        <v/>
      </c>
      <c r="G1833">
        <f>IF($Q1833="","",IF(ISNUMBER(INDEX(상세표[블록종료],$Q1833)),TEXT(INDEX(상세표[블록종료],$Q1833),"yyyy-mm-dd hh:mm"),INDEX(상세표[블록종료],$Q1833)&amp;""))</f>
        <v/>
      </c>
      <c r="H1833">
        <f>IF($Q1833="","",CHOOSE(WEEKDAY(INDEX(상세표[시작],$Q1833)),"일","월","화","수","목","금","토"))</f>
        <v/>
      </c>
      <c r="I1833" s="20">
        <f>IF($Q1833="","",INDEX(상세표[연속 시간],$Q1833))</f>
        <v/>
      </c>
      <c r="J1833">
        <f>IF($Q1833="","",INDEX(상세표[기록 수],$Q1833))</f>
        <v/>
      </c>
      <c r="K1833" s="20">
        <f>IF($Q1833="","",INDEX(상세표[블록 06~07시],$Q1833))</f>
        <v/>
      </c>
      <c r="L1833" s="20">
        <f>IF($Q1833="","",INDEX(상세표[블록 07~18시],$Q1833))</f>
        <v/>
      </c>
      <c r="M1833" s="20">
        <f>IF($Q1833="","",INDEX(상세표[블록 18~22시],$Q1833))</f>
        <v/>
      </c>
      <c r="N1833" s="20">
        <f>IF($Q1833="","",INDEX(상세표[블록 22~06시],$Q1833))</f>
        <v/>
      </c>
      <c r="O1833">
        <f>IF($Q1833="","",INDEX(상세표[주말·휴일 포함],$Q1833)&amp;"")</f>
        <v/>
      </c>
      <c r="P1833">
        <f>IF($Q1833="","",INDEX(상세표[월 넘김 포함],$Q1833)&amp;"")</f>
        <v/>
      </c>
      <c r="Q1833" s="4">
        <f>IFERROR(MATCH(1828,상세표[연속순번],0),"")</f>
        <v/>
      </c>
    </row>
    <row r="1834">
      <c r="A1834">
        <f>IF($Q1834="","",INDEX(상세표[부서],$Q1834)&amp;"")</f>
        <v/>
      </c>
      <c r="B1834">
        <f>IF($Q1834="","",INDEX(상세표[사번],$Q1834)&amp;"")</f>
        <v/>
      </c>
      <c r="C1834">
        <f>IF($Q1834="","",INDEX(상세표[성명],$Q1834)&amp;"")</f>
        <v/>
      </c>
      <c r="D1834">
        <f>IF($Q1834="","",INDEX(상세표[직위],$Q1834)&amp;"")</f>
        <v/>
      </c>
      <c r="E1834">
        <f>IF($Q1834="","",IF(ISNUMBER(INDEX(상세표[근무일자],$Q1834)),TEXT(INDEX(상세표[근무일자],$Q1834),"yyyy-mm-dd"),INDEX(상세표[근무일자],$Q1834)&amp;""))</f>
        <v/>
      </c>
      <c r="F1834">
        <f>IF($Q1834="","",IF(ISNUMBER(INDEX(상세표[시작],$Q1834)),TEXT(INDEX(상세표[시작],$Q1834),"yyyy-mm-dd hh:mm"),INDEX(상세표[시작],$Q1834)&amp;""))</f>
        <v/>
      </c>
      <c r="G1834">
        <f>IF($Q1834="","",IF(ISNUMBER(INDEX(상세표[블록종료],$Q1834)),TEXT(INDEX(상세표[블록종료],$Q1834),"yyyy-mm-dd hh:mm"),INDEX(상세표[블록종료],$Q1834)&amp;""))</f>
        <v/>
      </c>
      <c r="H1834">
        <f>IF($Q1834="","",CHOOSE(WEEKDAY(INDEX(상세표[시작],$Q1834)),"일","월","화","수","목","금","토"))</f>
        <v/>
      </c>
      <c r="I1834" s="20">
        <f>IF($Q1834="","",INDEX(상세표[연속 시간],$Q1834))</f>
        <v/>
      </c>
      <c r="J1834">
        <f>IF($Q1834="","",INDEX(상세표[기록 수],$Q1834))</f>
        <v/>
      </c>
      <c r="K1834" s="20">
        <f>IF($Q1834="","",INDEX(상세표[블록 06~07시],$Q1834))</f>
        <v/>
      </c>
      <c r="L1834" s="20">
        <f>IF($Q1834="","",INDEX(상세표[블록 07~18시],$Q1834))</f>
        <v/>
      </c>
      <c r="M1834" s="20">
        <f>IF($Q1834="","",INDEX(상세표[블록 18~22시],$Q1834))</f>
        <v/>
      </c>
      <c r="N1834" s="20">
        <f>IF($Q1834="","",INDEX(상세표[블록 22~06시],$Q1834))</f>
        <v/>
      </c>
      <c r="O1834">
        <f>IF($Q1834="","",INDEX(상세표[주말·휴일 포함],$Q1834)&amp;"")</f>
        <v/>
      </c>
      <c r="P1834">
        <f>IF($Q1834="","",INDEX(상세표[월 넘김 포함],$Q1834)&amp;"")</f>
        <v/>
      </c>
      <c r="Q1834" s="4">
        <f>IFERROR(MATCH(1829,상세표[연속순번],0),"")</f>
        <v/>
      </c>
    </row>
    <row r="1835">
      <c r="A1835">
        <f>IF($Q1835="","",INDEX(상세표[부서],$Q1835)&amp;"")</f>
        <v/>
      </c>
      <c r="B1835">
        <f>IF($Q1835="","",INDEX(상세표[사번],$Q1835)&amp;"")</f>
        <v/>
      </c>
      <c r="C1835">
        <f>IF($Q1835="","",INDEX(상세표[성명],$Q1835)&amp;"")</f>
        <v/>
      </c>
      <c r="D1835">
        <f>IF($Q1835="","",INDEX(상세표[직위],$Q1835)&amp;"")</f>
        <v/>
      </c>
      <c r="E1835">
        <f>IF($Q1835="","",IF(ISNUMBER(INDEX(상세표[근무일자],$Q1835)),TEXT(INDEX(상세표[근무일자],$Q1835),"yyyy-mm-dd"),INDEX(상세표[근무일자],$Q1835)&amp;""))</f>
        <v/>
      </c>
      <c r="F1835">
        <f>IF($Q1835="","",IF(ISNUMBER(INDEX(상세표[시작],$Q1835)),TEXT(INDEX(상세표[시작],$Q1835),"yyyy-mm-dd hh:mm"),INDEX(상세표[시작],$Q1835)&amp;""))</f>
        <v/>
      </c>
      <c r="G1835">
        <f>IF($Q1835="","",IF(ISNUMBER(INDEX(상세표[블록종료],$Q1835)),TEXT(INDEX(상세표[블록종료],$Q1835),"yyyy-mm-dd hh:mm"),INDEX(상세표[블록종료],$Q1835)&amp;""))</f>
        <v/>
      </c>
      <c r="H1835">
        <f>IF($Q1835="","",CHOOSE(WEEKDAY(INDEX(상세표[시작],$Q1835)),"일","월","화","수","목","금","토"))</f>
        <v/>
      </c>
      <c r="I1835" s="20">
        <f>IF($Q1835="","",INDEX(상세표[연속 시간],$Q1835))</f>
        <v/>
      </c>
      <c r="J1835">
        <f>IF($Q1835="","",INDEX(상세표[기록 수],$Q1835))</f>
        <v/>
      </c>
      <c r="K1835" s="20">
        <f>IF($Q1835="","",INDEX(상세표[블록 06~07시],$Q1835))</f>
        <v/>
      </c>
      <c r="L1835" s="20">
        <f>IF($Q1835="","",INDEX(상세표[블록 07~18시],$Q1835))</f>
        <v/>
      </c>
      <c r="M1835" s="20">
        <f>IF($Q1835="","",INDEX(상세표[블록 18~22시],$Q1835))</f>
        <v/>
      </c>
      <c r="N1835" s="20">
        <f>IF($Q1835="","",INDEX(상세표[블록 22~06시],$Q1835))</f>
        <v/>
      </c>
      <c r="O1835">
        <f>IF($Q1835="","",INDEX(상세표[주말·휴일 포함],$Q1835)&amp;"")</f>
        <v/>
      </c>
      <c r="P1835">
        <f>IF($Q1835="","",INDEX(상세표[월 넘김 포함],$Q1835)&amp;"")</f>
        <v/>
      </c>
      <c r="Q1835" s="4">
        <f>IFERROR(MATCH(1830,상세표[연속순번],0),"")</f>
        <v/>
      </c>
    </row>
    <row r="1836">
      <c r="A1836">
        <f>IF($Q1836="","",INDEX(상세표[부서],$Q1836)&amp;"")</f>
        <v/>
      </c>
      <c r="B1836">
        <f>IF($Q1836="","",INDEX(상세표[사번],$Q1836)&amp;"")</f>
        <v/>
      </c>
      <c r="C1836">
        <f>IF($Q1836="","",INDEX(상세표[성명],$Q1836)&amp;"")</f>
        <v/>
      </c>
      <c r="D1836">
        <f>IF($Q1836="","",INDEX(상세표[직위],$Q1836)&amp;"")</f>
        <v/>
      </c>
      <c r="E1836">
        <f>IF($Q1836="","",IF(ISNUMBER(INDEX(상세표[근무일자],$Q1836)),TEXT(INDEX(상세표[근무일자],$Q1836),"yyyy-mm-dd"),INDEX(상세표[근무일자],$Q1836)&amp;""))</f>
        <v/>
      </c>
      <c r="F1836">
        <f>IF($Q1836="","",IF(ISNUMBER(INDEX(상세표[시작],$Q1836)),TEXT(INDEX(상세표[시작],$Q1836),"yyyy-mm-dd hh:mm"),INDEX(상세표[시작],$Q1836)&amp;""))</f>
        <v/>
      </c>
      <c r="G1836">
        <f>IF($Q1836="","",IF(ISNUMBER(INDEX(상세표[블록종료],$Q1836)),TEXT(INDEX(상세표[블록종료],$Q1836),"yyyy-mm-dd hh:mm"),INDEX(상세표[블록종료],$Q1836)&amp;""))</f>
        <v/>
      </c>
      <c r="H1836">
        <f>IF($Q1836="","",CHOOSE(WEEKDAY(INDEX(상세표[시작],$Q1836)),"일","월","화","수","목","금","토"))</f>
        <v/>
      </c>
      <c r="I1836" s="20">
        <f>IF($Q1836="","",INDEX(상세표[연속 시간],$Q1836))</f>
        <v/>
      </c>
      <c r="J1836">
        <f>IF($Q1836="","",INDEX(상세표[기록 수],$Q1836))</f>
        <v/>
      </c>
      <c r="K1836" s="20">
        <f>IF($Q1836="","",INDEX(상세표[블록 06~07시],$Q1836))</f>
        <v/>
      </c>
      <c r="L1836" s="20">
        <f>IF($Q1836="","",INDEX(상세표[블록 07~18시],$Q1836))</f>
        <v/>
      </c>
      <c r="M1836" s="20">
        <f>IF($Q1836="","",INDEX(상세표[블록 18~22시],$Q1836))</f>
        <v/>
      </c>
      <c r="N1836" s="20">
        <f>IF($Q1836="","",INDEX(상세표[블록 22~06시],$Q1836))</f>
        <v/>
      </c>
      <c r="O1836">
        <f>IF($Q1836="","",INDEX(상세표[주말·휴일 포함],$Q1836)&amp;"")</f>
        <v/>
      </c>
      <c r="P1836">
        <f>IF($Q1836="","",INDEX(상세표[월 넘김 포함],$Q1836)&amp;"")</f>
        <v/>
      </c>
      <c r="Q1836" s="4">
        <f>IFERROR(MATCH(1831,상세표[연속순번],0),"")</f>
        <v/>
      </c>
    </row>
    <row r="1837">
      <c r="A1837">
        <f>IF($Q1837="","",INDEX(상세표[부서],$Q1837)&amp;"")</f>
        <v/>
      </c>
      <c r="B1837">
        <f>IF($Q1837="","",INDEX(상세표[사번],$Q1837)&amp;"")</f>
        <v/>
      </c>
      <c r="C1837">
        <f>IF($Q1837="","",INDEX(상세표[성명],$Q1837)&amp;"")</f>
        <v/>
      </c>
      <c r="D1837">
        <f>IF($Q1837="","",INDEX(상세표[직위],$Q1837)&amp;"")</f>
        <v/>
      </c>
      <c r="E1837">
        <f>IF($Q1837="","",IF(ISNUMBER(INDEX(상세표[근무일자],$Q1837)),TEXT(INDEX(상세표[근무일자],$Q1837),"yyyy-mm-dd"),INDEX(상세표[근무일자],$Q1837)&amp;""))</f>
        <v/>
      </c>
      <c r="F1837">
        <f>IF($Q1837="","",IF(ISNUMBER(INDEX(상세표[시작],$Q1837)),TEXT(INDEX(상세표[시작],$Q1837),"yyyy-mm-dd hh:mm"),INDEX(상세표[시작],$Q1837)&amp;""))</f>
        <v/>
      </c>
      <c r="G1837">
        <f>IF($Q1837="","",IF(ISNUMBER(INDEX(상세표[블록종료],$Q1837)),TEXT(INDEX(상세표[블록종료],$Q1837),"yyyy-mm-dd hh:mm"),INDEX(상세표[블록종료],$Q1837)&amp;""))</f>
        <v/>
      </c>
      <c r="H1837">
        <f>IF($Q1837="","",CHOOSE(WEEKDAY(INDEX(상세표[시작],$Q1837)),"일","월","화","수","목","금","토"))</f>
        <v/>
      </c>
      <c r="I1837" s="20">
        <f>IF($Q1837="","",INDEX(상세표[연속 시간],$Q1837))</f>
        <v/>
      </c>
      <c r="J1837">
        <f>IF($Q1837="","",INDEX(상세표[기록 수],$Q1837))</f>
        <v/>
      </c>
      <c r="K1837" s="20">
        <f>IF($Q1837="","",INDEX(상세표[블록 06~07시],$Q1837))</f>
        <v/>
      </c>
      <c r="L1837" s="20">
        <f>IF($Q1837="","",INDEX(상세표[블록 07~18시],$Q1837))</f>
        <v/>
      </c>
      <c r="M1837" s="20">
        <f>IF($Q1837="","",INDEX(상세표[블록 18~22시],$Q1837))</f>
        <v/>
      </c>
      <c r="N1837" s="20">
        <f>IF($Q1837="","",INDEX(상세표[블록 22~06시],$Q1837))</f>
        <v/>
      </c>
      <c r="O1837">
        <f>IF($Q1837="","",INDEX(상세표[주말·휴일 포함],$Q1837)&amp;"")</f>
        <v/>
      </c>
      <c r="P1837">
        <f>IF($Q1837="","",INDEX(상세표[월 넘김 포함],$Q1837)&amp;"")</f>
        <v/>
      </c>
      <c r="Q1837" s="4">
        <f>IFERROR(MATCH(1832,상세표[연속순번],0),"")</f>
        <v/>
      </c>
    </row>
    <row r="1838">
      <c r="A1838">
        <f>IF($Q1838="","",INDEX(상세표[부서],$Q1838)&amp;"")</f>
        <v/>
      </c>
      <c r="B1838">
        <f>IF($Q1838="","",INDEX(상세표[사번],$Q1838)&amp;"")</f>
        <v/>
      </c>
      <c r="C1838">
        <f>IF($Q1838="","",INDEX(상세표[성명],$Q1838)&amp;"")</f>
        <v/>
      </c>
      <c r="D1838">
        <f>IF($Q1838="","",INDEX(상세표[직위],$Q1838)&amp;"")</f>
        <v/>
      </c>
      <c r="E1838">
        <f>IF($Q1838="","",IF(ISNUMBER(INDEX(상세표[근무일자],$Q1838)),TEXT(INDEX(상세표[근무일자],$Q1838),"yyyy-mm-dd"),INDEX(상세표[근무일자],$Q1838)&amp;""))</f>
        <v/>
      </c>
      <c r="F1838">
        <f>IF($Q1838="","",IF(ISNUMBER(INDEX(상세표[시작],$Q1838)),TEXT(INDEX(상세표[시작],$Q1838),"yyyy-mm-dd hh:mm"),INDEX(상세표[시작],$Q1838)&amp;""))</f>
        <v/>
      </c>
      <c r="G1838">
        <f>IF($Q1838="","",IF(ISNUMBER(INDEX(상세표[블록종료],$Q1838)),TEXT(INDEX(상세표[블록종료],$Q1838),"yyyy-mm-dd hh:mm"),INDEX(상세표[블록종료],$Q1838)&amp;""))</f>
        <v/>
      </c>
      <c r="H1838">
        <f>IF($Q1838="","",CHOOSE(WEEKDAY(INDEX(상세표[시작],$Q1838)),"일","월","화","수","목","금","토"))</f>
        <v/>
      </c>
      <c r="I1838" s="20">
        <f>IF($Q1838="","",INDEX(상세표[연속 시간],$Q1838))</f>
        <v/>
      </c>
      <c r="J1838">
        <f>IF($Q1838="","",INDEX(상세표[기록 수],$Q1838))</f>
        <v/>
      </c>
      <c r="K1838" s="20">
        <f>IF($Q1838="","",INDEX(상세표[블록 06~07시],$Q1838))</f>
        <v/>
      </c>
      <c r="L1838" s="20">
        <f>IF($Q1838="","",INDEX(상세표[블록 07~18시],$Q1838))</f>
        <v/>
      </c>
      <c r="M1838" s="20">
        <f>IF($Q1838="","",INDEX(상세표[블록 18~22시],$Q1838))</f>
        <v/>
      </c>
      <c r="N1838" s="20">
        <f>IF($Q1838="","",INDEX(상세표[블록 22~06시],$Q1838))</f>
        <v/>
      </c>
      <c r="O1838">
        <f>IF($Q1838="","",INDEX(상세표[주말·휴일 포함],$Q1838)&amp;"")</f>
        <v/>
      </c>
      <c r="P1838">
        <f>IF($Q1838="","",INDEX(상세표[월 넘김 포함],$Q1838)&amp;"")</f>
        <v/>
      </c>
      <c r="Q1838" s="4">
        <f>IFERROR(MATCH(1833,상세표[연속순번],0),"")</f>
        <v/>
      </c>
    </row>
    <row r="1839">
      <c r="A1839">
        <f>IF($Q1839="","",INDEX(상세표[부서],$Q1839)&amp;"")</f>
        <v/>
      </c>
      <c r="B1839">
        <f>IF($Q1839="","",INDEX(상세표[사번],$Q1839)&amp;"")</f>
        <v/>
      </c>
      <c r="C1839">
        <f>IF($Q1839="","",INDEX(상세표[성명],$Q1839)&amp;"")</f>
        <v/>
      </c>
      <c r="D1839">
        <f>IF($Q1839="","",INDEX(상세표[직위],$Q1839)&amp;"")</f>
        <v/>
      </c>
      <c r="E1839">
        <f>IF($Q1839="","",IF(ISNUMBER(INDEX(상세표[근무일자],$Q1839)),TEXT(INDEX(상세표[근무일자],$Q1839),"yyyy-mm-dd"),INDEX(상세표[근무일자],$Q1839)&amp;""))</f>
        <v/>
      </c>
      <c r="F1839">
        <f>IF($Q1839="","",IF(ISNUMBER(INDEX(상세표[시작],$Q1839)),TEXT(INDEX(상세표[시작],$Q1839),"yyyy-mm-dd hh:mm"),INDEX(상세표[시작],$Q1839)&amp;""))</f>
        <v/>
      </c>
      <c r="G1839">
        <f>IF($Q1839="","",IF(ISNUMBER(INDEX(상세표[블록종료],$Q1839)),TEXT(INDEX(상세표[블록종료],$Q1839),"yyyy-mm-dd hh:mm"),INDEX(상세표[블록종료],$Q1839)&amp;""))</f>
        <v/>
      </c>
      <c r="H1839">
        <f>IF($Q1839="","",CHOOSE(WEEKDAY(INDEX(상세표[시작],$Q1839)),"일","월","화","수","목","금","토"))</f>
        <v/>
      </c>
      <c r="I1839" s="20">
        <f>IF($Q1839="","",INDEX(상세표[연속 시간],$Q1839))</f>
        <v/>
      </c>
      <c r="J1839">
        <f>IF($Q1839="","",INDEX(상세표[기록 수],$Q1839))</f>
        <v/>
      </c>
      <c r="K1839" s="20">
        <f>IF($Q1839="","",INDEX(상세표[블록 06~07시],$Q1839))</f>
        <v/>
      </c>
      <c r="L1839" s="20">
        <f>IF($Q1839="","",INDEX(상세표[블록 07~18시],$Q1839))</f>
        <v/>
      </c>
      <c r="M1839" s="20">
        <f>IF($Q1839="","",INDEX(상세표[블록 18~22시],$Q1839))</f>
        <v/>
      </c>
      <c r="N1839" s="20">
        <f>IF($Q1839="","",INDEX(상세표[블록 22~06시],$Q1839))</f>
        <v/>
      </c>
      <c r="O1839">
        <f>IF($Q1839="","",INDEX(상세표[주말·휴일 포함],$Q1839)&amp;"")</f>
        <v/>
      </c>
      <c r="P1839">
        <f>IF($Q1839="","",INDEX(상세표[월 넘김 포함],$Q1839)&amp;"")</f>
        <v/>
      </c>
      <c r="Q1839" s="4">
        <f>IFERROR(MATCH(1834,상세표[연속순번],0),"")</f>
        <v/>
      </c>
    </row>
    <row r="1840">
      <c r="A1840">
        <f>IF($Q1840="","",INDEX(상세표[부서],$Q1840)&amp;"")</f>
        <v/>
      </c>
      <c r="B1840">
        <f>IF($Q1840="","",INDEX(상세표[사번],$Q1840)&amp;"")</f>
        <v/>
      </c>
      <c r="C1840">
        <f>IF($Q1840="","",INDEX(상세표[성명],$Q1840)&amp;"")</f>
        <v/>
      </c>
      <c r="D1840">
        <f>IF($Q1840="","",INDEX(상세표[직위],$Q1840)&amp;"")</f>
        <v/>
      </c>
      <c r="E1840">
        <f>IF($Q1840="","",IF(ISNUMBER(INDEX(상세표[근무일자],$Q1840)),TEXT(INDEX(상세표[근무일자],$Q1840),"yyyy-mm-dd"),INDEX(상세표[근무일자],$Q1840)&amp;""))</f>
        <v/>
      </c>
      <c r="F1840">
        <f>IF($Q1840="","",IF(ISNUMBER(INDEX(상세표[시작],$Q1840)),TEXT(INDEX(상세표[시작],$Q1840),"yyyy-mm-dd hh:mm"),INDEX(상세표[시작],$Q1840)&amp;""))</f>
        <v/>
      </c>
      <c r="G1840">
        <f>IF($Q1840="","",IF(ISNUMBER(INDEX(상세표[블록종료],$Q1840)),TEXT(INDEX(상세표[블록종료],$Q1840),"yyyy-mm-dd hh:mm"),INDEX(상세표[블록종료],$Q1840)&amp;""))</f>
        <v/>
      </c>
      <c r="H1840">
        <f>IF($Q1840="","",CHOOSE(WEEKDAY(INDEX(상세표[시작],$Q1840)),"일","월","화","수","목","금","토"))</f>
        <v/>
      </c>
      <c r="I1840" s="20">
        <f>IF($Q1840="","",INDEX(상세표[연속 시간],$Q1840))</f>
        <v/>
      </c>
      <c r="J1840">
        <f>IF($Q1840="","",INDEX(상세표[기록 수],$Q1840))</f>
        <v/>
      </c>
      <c r="K1840" s="20">
        <f>IF($Q1840="","",INDEX(상세표[블록 06~07시],$Q1840))</f>
        <v/>
      </c>
      <c r="L1840" s="20">
        <f>IF($Q1840="","",INDEX(상세표[블록 07~18시],$Q1840))</f>
        <v/>
      </c>
      <c r="M1840" s="20">
        <f>IF($Q1840="","",INDEX(상세표[블록 18~22시],$Q1840))</f>
        <v/>
      </c>
      <c r="N1840" s="20">
        <f>IF($Q1840="","",INDEX(상세표[블록 22~06시],$Q1840))</f>
        <v/>
      </c>
      <c r="O1840">
        <f>IF($Q1840="","",INDEX(상세표[주말·휴일 포함],$Q1840)&amp;"")</f>
        <v/>
      </c>
      <c r="P1840">
        <f>IF($Q1840="","",INDEX(상세표[월 넘김 포함],$Q1840)&amp;"")</f>
        <v/>
      </c>
      <c r="Q1840" s="4">
        <f>IFERROR(MATCH(1835,상세표[연속순번],0),"")</f>
        <v/>
      </c>
    </row>
    <row r="1841">
      <c r="A1841">
        <f>IF($Q1841="","",INDEX(상세표[부서],$Q1841)&amp;"")</f>
        <v/>
      </c>
      <c r="B1841">
        <f>IF($Q1841="","",INDEX(상세표[사번],$Q1841)&amp;"")</f>
        <v/>
      </c>
      <c r="C1841">
        <f>IF($Q1841="","",INDEX(상세표[성명],$Q1841)&amp;"")</f>
        <v/>
      </c>
      <c r="D1841">
        <f>IF($Q1841="","",INDEX(상세표[직위],$Q1841)&amp;"")</f>
        <v/>
      </c>
      <c r="E1841">
        <f>IF($Q1841="","",IF(ISNUMBER(INDEX(상세표[근무일자],$Q1841)),TEXT(INDEX(상세표[근무일자],$Q1841),"yyyy-mm-dd"),INDEX(상세표[근무일자],$Q1841)&amp;""))</f>
        <v/>
      </c>
      <c r="F1841">
        <f>IF($Q1841="","",IF(ISNUMBER(INDEX(상세표[시작],$Q1841)),TEXT(INDEX(상세표[시작],$Q1841),"yyyy-mm-dd hh:mm"),INDEX(상세표[시작],$Q1841)&amp;""))</f>
        <v/>
      </c>
      <c r="G1841">
        <f>IF($Q1841="","",IF(ISNUMBER(INDEX(상세표[블록종료],$Q1841)),TEXT(INDEX(상세표[블록종료],$Q1841),"yyyy-mm-dd hh:mm"),INDEX(상세표[블록종료],$Q1841)&amp;""))</f>
        <v/>
      </c>
      <c r="H1841">
        <f>IF($Q1841="","",CHOOSE(WEEKDAY(INDEX(상세표[시작],$Q1841)),"일","월","화","수","목","금","토"))</f>
        <v/>
      </c>
      <c r="I1841" s="20">
        <f>IF($Q1841="","",INDEX(상세표[연속 시간],$Q1841))</f>
        <v/>
      </c>
      <c r="J1841">
        <f>IF($Q1841="","",INDEX(상세표[기록 수],$Q1841))</f>
        <v/>
      </c>
      <c r="K1841" s="20">
        <f>IF($Q1841="","",INDEX(상세표[블록 06~07시],$Q1841))</f>
        <v/>
      </c>
      <c r="L1841" s="20">
        <f>IF($Q1841="","",INDEX(상세표[블록 07~18시],$Q1841))</f>
        <v/>
      </c>
      <c r="M1841" s="20">
        <f>IF($Q1841="","",INDEX(상세표[블록 18~22시],$Q1841))</f>
        <v/>
      </c>
      <c r="N1841" s="20">
        <f>IF($Q1841="","",INDEX(상세표[블록 22~06시],$Q1841))</f>
        <v/>
      </c>
      <c r="O1841">
        <f>IF($Q1841="","",INDEX(상세표[주말·휴일 포함],$Q1841)&amp;"")</f>
        <v/>
      </c>
      <c r="P1841">
        <f>IF($Q1841="","",INDEX(상세표[월 넘김 포함],$Q1841)&amp;"")</f>
        <v/>
      </c>
      <c r="Q1841" s="4">
        <f>IFERROR(MATCH(1836,상세표[연속순번],0),"")</f>
        <v/>
      </c>
    </row>
    <row r="1842">
      <c r="A1842">
        <f>IF($Q1842="","",INDEX(상세표[부서],$Q1842)&amp;"")</f>
        <v/>
      </c>
      <c r="B1842">
        <f>IF($Q1842="","",INDEX(상세표[사번],$Q1842)&amp;"")</f>
        <v/>
      </c>
      <c r="C1842">
        <f>IF($Q1842="","",INDEX(상세표[성명],$Q1842)&amp;"")</f>
        <v/>
      </c>
      <c r="D1842">
        <f>IF($Q1842="","",INDEX(상세표[직위],$Q1842)&amp;"")</f>
        <v/>
      </c>
      <c r="E1842">
        <f>IF($Q1842="","",IF(ISNUMBER(INDEX(상세표[근무일자],$Q1842)),TEXT(INDEX(상세표[근무일자],$Q1842),"yyyy-mm-dd"),INDEX(상세표[근무일자],$Q1842)&amp;""))</f>
        <v/>
      </c>
      <c r="F1842">
        <f>IF($Q1842="","",IF(ISNUMBER(INDEX(상세표[시작],$Q1842)),TEXT(INDEX(상세표[시작],$Q1842),"yyyy-mm-dd hh:mm"),INDEX(상세표[시작],$Q1842)&amp;""))</f>
        <v/>
      </c>
      <c r="G1842">
        <f>IF($Q1842="","",IF(ISNUMBER(INDEX(상세표[블록종료],$Q1842)),TEXT(INDEX(상세표[블록종료],$Q1842),"yyyy-mm-dd hh:mm"),INDEX(상세표[블록종료],$Q1842)&amp;""))</f>
        <v/>
      </c>
      <c r="H1842">
        <f>IF($Q1842="","",CHOOSE(WEEKDAY(INDEX(상세표[시작],$Q1842)),"일","월","화","수","목","금","토"))</f>
        <v/>
      </c>
      <c r="I1842" s="20">
        <f>IF($Q1842="","",INDEX(상세표[연속 시간],$Q1842))</f>
        <v/>
      </c>
      <c r="J1842">
        <f>IF($Q1842="","",INDEX(상세표[기록 수],$Q1842))</f>
        <v/>
      </c>
      <c r="K1842" s="20">
        <f>IF($Q1842="","",INDEX(상세표[블록 06~07시],$Q1842))</f>
        <v/>
      </c>
      <c r="L1842" s="20">
        <f>IF($Q1842="","",INDEX(상세표[블록 07~18시],$Q1842))</f>
        <v/>
      </c>
      <c r="M1842" s="20">
        <f>IF($Q1842="","",INDEX(상세표[블록 18~22시],$Q1842))</f>
        <v/>
      </c>
      <c r="N1842" s="20">
        <f>IF($Q1842="","",INDEX(상세표[블록 22~06시],$Q1842))</f>
        <v/>
      </c>
      <c r="O1842">
        <f>IF($Q1842="","",INDEX(상세표[주말·휴일 포함],$Q1842)&amp;"")</f>
        <v/>
      </c>
      <c r="P1842">
        <f>IF($Q1842="","",INDEX(상세표[월 넘김 포함],$Q1842)&amp;"")</f>
        <v/>
      </c>
      <c r="Q1842" s="4">
        <f>IFERROR(MATCH(1837,상세표[연속순번],0),"")</f>
        <v/>
      </c>
    </row>
    <row r="1843">
      <c r="A1843">
        <f>IF($Q1843="","",INDEX(상세표[부서],$Q1843)&amp;"")</f>
        <v/>
      </c>
      <c r="B1843">
        <f>IF($Q1843="","",INDEX(상세표[사번],$Q1843)&amp;"")</f>
        <v/>
      </c>
      <c r="C1843">
        <f>IF($Q1843="","",INDEX(상세표[성명],$Q1843)&amp;"")</f>
        <v/>
      </c>
      <c r="D1843">
        <f>IF($Q1843="","",INDEX(상세표[직위],$Q1843)&amp;"")</f>
        <v/>
      </c>
      <c r="E1843">
        <f>IF($Q1843="","",IF(ISNUMBER(INDEX(상세표[근무일자],$Q1843)),TEXT(INDEX(상세표[근무일자],$Q1843),"yyyy-mm-dd"),INDEX(상세표[근무일자],$Q1843)&amp;""))</f>
        <v/>
      </c>
      <c r="F1843">
        <f>IF($Q1843="","",IF(ISNUMBER(INDEX(상세표[시작],$Q1843)),TEXT(INDEX(상세표[시작],$Q1843),"yyyy-mm-dd hh:mm"),INDEX(상세표[시작],$Q1843)&amp;""))</f>
        <v/>
      </c>
      <c r="G1843">
        <f>IF($Q1843="","",IF(ISNUMBER(INDEX(상세표[블록종료],$Q1843)),TEXT(INDEX(상세표[블록종료],$Q1843),"yyyy-mm-dd hh:mm"),INDEX(상세표[블록종료],$Q1843)&amp;""))</f>
        <v/>
      </c>
      <c r="H1843">
        <f>IF($Q1843="","",CHOOSE(WEEKDAY(INDEX(상세표[시작],$Q1843)),"일","월","화","수","목","금","토"))</f>
        <v/>
      </c>
      <c r="I1843" s="20">
        <f>IF($Q1843="","",INDEX(상세표[연속 시간],$Q1843))</f>
        <v/>
      </c>
      <c r="J1843">
        <f>IF($Q1843="","",INDEX(상세표[기록 수],$Q1843))</f>
        <v/>
      </c>
      <c r="K1843" s="20">
        <f>IF($Q1843="","",INDEX(상세표[블록 06~07시],$Q1843))</f>
        <v/>
      </c>
      <c r="L1843" s="20">
        <f>IF($Q1843="","",INDEX(상세표[블록 07~18시],$Q1843))</f>
        <v/>
      </c>
      <c r="M1843" s="20">
        <f>IF($Q1843="","",INDEX(상세표[블록 18~22시],$Q1843))</f>
        <v/>
      </c>
      <c r="N1843" s="20">
        <f>IF($Q1843="","",INDEX(상세표[블록 22~06시],$Q1843))</f>
        <v/>
      </c>
      <c r="O1843">
        <f>IF($Q1843="","",INDEX(상세표[주말·휴일 포함],$Q1843)&amp;"")</f>
        <v/>
      </c>
      <c r="P1843">
        <f>IF($Q1843="","",INDEX(상세표[월 넘김 포함],$Q1843)&amp;"")</f>
        <v/>
      </c>
      <c r="Q1843" s="4">
        <f>IFERROR(MATCH(1838,상세표[연속순번],0),"")</f>
        <v/>
      </c>
    </row>
    <row r="1844">
      <c r="A1844">
        <f>IF($Q1844="","",INDEX(상세표[부서],$Q1844)&amp;"")</f>
        <v/>
      </c>
      <c r="B1844">
        <f>IF($Q1844="","",INDEX(상세표[사번],$Q1844)&amp;"")</f>
        <v/>
      </c>
      <c r="C1844">
        <f>IF($Q1844="","",INDEX(상세표[성명],$Q1844)&amp;"")</f>
        <v/>
      </c>
      <c r="D1844">
        <f>IF($Q1844="","",INDEX(상세표[직위],$Q1844)&amp;"")</f>
        <v/>
      </c>
      <c r="E1844">
        <f>IF($Q1844="","",IF(ISNUMBER(INDEX(상세표[근무일자],$Q1844)),TEXT(INDEX(상세표[근무일자],$Q1844),"yyyy-mm-dd"),INDEX(상세표[근무일자],$Q1844)&amp;""))</f>
        <v/>
      </c>
      <c r="F1844">
        <f>IF($Q1844="","",IF(ISNUMBER(INDEX(상세표[시작],$Q1844)),TEXT(INDEX(상세표[시작],$Q1844),"yyyy-mm-dd hh:mm"),INDEX(상세표[시작],$Q1844)&amp;""))</f>
        <v/>
      </c>
      <c r="G1844">
        <f>IF($Q1844="","",IF(ISNUMBER(INDEX(상세표[블록종료],$Q1844)),TEXT(INDEX(상세표[블록종료],$Q1844),"yyyy-mm-dd hh:mm"),INDEX(상세표[블록종료],$Q1844)&amp;""))</f>
        <v/>
      </c>
      <c r="H1844">
        <f>IF($Q1844="","",CHOOSE(WEEKDAY(INDEX(상세표[시작],$Q1844)),"일","월","화","수","목","금","토"))</f>
        <v/>
      </c>
      <c r="I1844" s="20">
        <f>IF($Q1844="","",INDEX(상세표[연속 시간],$Q1844))</f>
        <v/>
      </c>
      <c r="J1844">
        <f>IF($Q1844="","",INDEX(상세표[기록 수],$Q1844))</f>
        <v/>
      </c>
      <c r="K1844" s="20">
        <f>IF($Q1844="","",INDEX(상세표[블록 06~07시],$Q1844))</f>
        <v/>
      </c>
      <c r="L1844" s="20">
        <f>IF($Q1844="","",INDEX(상세표[블록 07~18시],$Q1844))</f>
        <v/>
      </c>
      <c r="M1844" s="20">
        <f>IF($Q1844="","",INDEX(상세표[블록 18~22시],$Q1844))</f>
        <v/>
      </c>
      <c r="N1844" s="20">
        <f>IF($Q1844="","",INDEX(상세표[블록 22~06시],$Q1844))</f>
        <v/>
      </c>
      <c r="O1844">
        <f>IF($Q1844="","",INDEX(상세표[주말·휴일 포함],$Q1844)&amp;"")</f>
        <v/>
      </c>
      <c r="P1844">
        <f>IF($Q1844="","",INDEX(상세표[월 넘김 포함],$Q1844)&amp;"")</f>
        <v/>
      </c>
      <c r="Q1844" s="4">
        <f>IFERROR(MATCH(1839,상세표[연속순번],0),"")</f>
        <v/>
      </c>
    </row>
    <row r="1845">
      <c r="A1845">
        <f>IF($Q1845="","",INDEX(상세표[부서],$Q1845)&amp;"")</f>
        <v/>
      </c>
      <c r="B1845">
        <f>IF($Q1845="","",INDEX(상세표[사번],$Q1845)&amp;"")</f>
        <v/>
      </c>
      <c r="C1845">
        <f>IF($Q1845="","",INDEX(상세표[성명],$Q1845)&amp;"")</f>
        <v/>
      </c>
      <c r="D1845">
        <f>IF($Q1845="","",INDEX(상세표[직위],$Q1845)&amp;"")</f>
        <v/>
      </c>
      <c r="E1845">
        <f>IF($Q1845="","",IF(ISNUMBER(INDEX(상세표[근무일자],$Q1845)),TEXT(INDEX(상세표[근무일자],$Q1845),"yyyy-mm-dd"),INDEX(상세표[근무일자],$Q1845)&amp;""))</f>
        <v/>
      </c>
      <c r="F1845">
        <f>IF($Q1845="","",IF(ISNUMBER(INDEX(상세표[시작],$Q1845)),TEXT(INDEX(상세표[시작],$Q1845),"yyyy-mm-dd hh:mm"),INDEX(상세표[시작],$Q1845)&amp;""))</f>
        <v/>
      </c>
      <c r="G1845">
        <f>IF($Q1845="","",IF(ISNUMBER(INDEX(상세표[블록종료],$Q1845)),TEXT(INDEX(상세표[블록종료],$Q1845),"yyyy-mm-dd hh:mm"),INDEX(상세표[블록종료],$Q1845)&amp;""))</f>
        <v/>
      </c>
      <c r="H1845">
        <f>IF($Q1845="","",CHOOSE(WEEKDAY(INDEX(상세표[시작],$Q1845)),"일","월","화","수","목","금","토"))</f>
        <v/>
      </c>
      <c r="I1845" s="20">
        <f>IF($Q1845="","",INDEX(상세표[연속 시간],$Q1845))</f>
        <v/>
      </c>
      <c r="J1845">
        <f>IF($Q1845="","",INDEX(상세표[기록 수],$Q1845))</f>
        <v/>
      </c>
      <c r="K1845" s="20">
        <f>IF($Q1845="","",INDEX(상세표[블록 06~07시],$Q1845))</f>
        <v/>
      </c>
      <c r="L1845" s="20">
        <f>IF($Q1845="","",INDEX(상세표[블록 07~18시],$Q1845))</f>
        <v/>
      </c>
      <c r="M1845" s="20">
        <f>IF($Q1845="","",INDEX(상세표[블록 18~22시],$Q1845))</f>
        <v/>
      </c>
      <c r="N1845" s="20">
        <f>IF($Q1845="","",INDEX(상세표[블록 22~06시],$Q1845))</f>
        <v/>
      </c>
      <c r="O1845">
        <f>IF($Q1845="","",INDEX(상세표[주말·휴일 포함],$Q1845)&amp;"")</f>
        <v/>
      </c>
      <c r="P1845">
        <f>IF($Q1845="","",INDEX(상세표[월 넘김 포함],$Q1845)&amp;"")</f>
        <v/>
      </c>
      <c r="Q1845" s="4">
        <f>IFERROR(MATCH(1840,상세표[연속순번],0),"")</f>
        <v/>
      </c>
    </row>
    <row r="1846">
      <c r="A1846">
        <f>IF($Q1846="","",INDEX(상세표[부서],$Q1846)&amp;"")</f>
        <v/>
      </c>
      <c r="B1846">
        <f>IF($Q1846="","",INDEX(상세표[사번],$Q1846)&amp;"")</f>
        <v/>
      </c>
      <c r="C1846">
        <f>IF($Q1846="","",INDEX(상세표[성명],$Q1846)&amp;"")</f>
        <v/>
      </c>
      <c r="D1846">
        <f>IF($Q1846="","",INDEX(상세표[직위],$Q1846)&amp;"")</f>
        <v/>
      </c>
      <c r="E1846">
        <f>IF($Q1846="","",IF(ISNUMBER(INDEX(상세표[근무일자],$Q1846)),TEXT(INDEX(상세표[근무일자],$Q1846),"yyyy-mm-dd"),INDEX(상세표[근무일자],$Q1846)&amp;""))</f>
        <v/>
      </c>
      <c r="F1846">
        <f>IF($Q1846="","",IF(ISNUMBER(INDEX(상세표[시작],$Q1846)),TEXT(INDEX(상세표[시작],$Q1846),"yyyy-mm-dd hh:mm"),INDEX(상세표[시작],$Q1846)&amp;""))</f>
        <v/>
      </c>
      <c r="G1846">
        <f>IF($Q1846="","",IF(ISNUMBER(INDEX(상세표[블록종료],$Q1846)),TEXT(INDEX(상세표[블록종료],$Q1846),"yyyy-mm-dd hh:mm"),INDEX(상세표[블록종료],$Q1846)&amp;""))</f>
        <v/>
      </c>
      <c r="H1846">
        <f>IF($Q1846="","",CHOOSE(WEEKDAY(INDEX(상세표[시작],$Q1846)),"일","월","화","수","목","금","토"))</f>
        <v/>
      </c>
      <c r="I1846" s="20">
        <f>IF($Q1846="","",INDEX(상세표[연속 시간],$Q1846))</f>
        <v/>
      </c>
      <c r="J1846">
        <f>IF($Q1846="","",INDEX(상세표[기록 수],$Q1846))</f>
        <v/>
      </c>
      <c r="K1846" s="20">
        <f>IF($Q1846="","",INDEX(상세표[블록 06~07시],$Q1846))</f>
        <v/>
      </c>
      <c r="L1846" s="20">
        <f>IF($Q1846="","",INDEX(상세표[블록 07~18시],$Q1846))</f>
        <v/>
      </c>
      <c r="M1846" s="20">
        <f>IF($Q1846="","",INDEX(상세표[블록 18~22시],$Q1846))</f>
        <v/>
      </c>
      <c r="N1846" s="20">
        <f>IF($Q1846="","",INDEX(상세표[블록 22~06시],$Q1846))</f>
        <v/>
      </c>
      <c r="O1846">
        <f>IF($Q1846="","",INDEX(상세표[주말·휴일 포함],$Q1846)&amp;"")</f>
        <v/>
      </c>
      <c r="P1846">
        <f>IF($Q1846="","",INDEX(상세표[월 넘김 포함],$Q1846)&amp;"")</f>
        <v/>
      </c>
      <c r="Q1846" s="4">
        <f>IFERROR(MATCH(1841,상세표[연속순번],0),"")</f>
        <v/>
      </c>
    </row>
    <row r="1847">
      <c r="A1847">
        <f>IF($Q1847="","",INDEX(상세표[부서],$Q1847)&amp;"")</f>
        <v/>
      </c>
      <c r="B1847">
        <f>IF($Q1847="","",INDEX(상세표[사번],$Q1847)&amp;"")</f>
        <v/>
      </c>
      <c r="C1847">
        <f>IF($Q1847="","",INDEX(상세표[성명],$Q1847)&amp;"")</f>
        <v/>
      </c>
      <c r="D1847">
        <f>IF($Q1847="","",INDEX(상세표[직위],$Q1847)&amp;"")</f>
        <v/>
      </c>
      <c r="E1847">
        <f>IF($Q1847="","",IF(ISNUMBER(INDEX(상세표[근무일자],$Q1847)),TEXT(INDEX(상세표[근무일자],$Q1847),"yyyy-mm-dd"),INDEX(상세표[근무일자],$Q1847)&amp;""))</f>
        <v/>
      </c>
      <c r="F1847">
        <f>IF($Q1847="","",IF(ISNUMBER(INDEX(상세표[시작],$Q1847)),TEXT(INDEX(상세표[시작],$Q1847),"yyyy-mm-dd hh:mm"),INDEX(상세표[시작],$Q1847)&amp;""))</f>
        <v/>
      </c>
      <c r="G1847">
        <f>IF($Q1847="","",IF(ISNUMBER(INDEX(상세표[블록종료],$Q1847)),TEXT(INDEX(상세표[블록종료],$Q1847),"yyyy-mm-dd hh:mm"),INDEX(상세표[블록종료],$Q1847)&amp;""))</f>
        <v/>
      </c>
      <c r="H1847">
        <f>IF($Q1847="","",CHOOSE(WEEKDAY(INDEX(상세표[시작],$Q1847)),"일","월","화","수","목","금","토"))</f>
        <v/>
      </c>
      <c r="I1847" s="20">
        <f>IF($Q1847="","",INDEX(상세표[연속 시간],$Q1847))</f>
        <v/>
      </c>
      <c r="J1847">
        <f>IF($Q1847="","",INDEX(상세표[기록 수],$Q1847))</f>
        <v/>
      </c>
      <c r="K1847" s="20">
        <f>IF($Q1847="","",INDEX(상세표[블록 06~07시],$Q1847))</f>
        <v/>
      </c>
      <c r="L1847" s="20">
        <f>IF($Q1847="","",INDEX(상세표[블록 07~18시],$Q1847))</f>
        <v/>
      </c>
      <c r="M1847" s="20">
        <f>IF($Q1847="","",INDEX(상세표[블록 18~22시],$Q1847))</f>
        <v/>
      </c>
      <c r="N1847" s="20">
        <f>IF($Q1847="","",INDEX(상세표[블록 22~06시],$Q1847))</f>
        <v/>
      </c>
      <c r="O1847">
        <f>IF($Q1847="","",INDEX(상세표[주말·휴일 포함],$Q1847)&amp;"")</f>
        <v/>
      </c>
      <c r="P1847">
        <f>IF($Q1847="","",INDEX(상세표[월 넘김 포함],$Q1847)&amp;"")</f>
        <v/>
      </c>
      <c r="Q1847" s="4">
        <f>IFERROR(MATCH(1842,상세표[연속순번],0),"")</f>
        <v/>
      </c>
    </row>
    <row r="1848">
      <c r="A1848">
        <f>IF($Q1848="","",INDEX(상세표[부서],$Q1848)&amp;"")</f>
        <v/>
      </c>
      <c r="B1848">
        <f>IF($Q1848="","",INDEX(상세표[사번],$Q1848)&amp;"")</f>
        <v/>
      </c>
      <c r="C1848">
        <f>IF($Q1848="","",INDEX(상세표[성명],$Q1848)&amp;"")</f>
        <v/>
      </c>
      <c r="D1848">
        <f>IF($Q1848="","",INDEX(상세표[직위],$Q1848)&amp;"")</f>
        <v/>
      </c>
      <c r="E1848">
        <f>IF($Q1848="","",IF(ISNUMBER(INDEX(상세표[근무일자],$Q1848)),TEXT(INDEX(상세표[근무일자],$Q1848),"yyyy-mm-dd"),INDEX(상세표[근무일자],$Q1848)&amp;""))</f>
        <v/>
      </c>
      <c r="F1848">
        <f>IF($Q1848="","",IF(ISNUMBER(INDEX(상세표[시작],$Q1848)),TEXT(INDEX(상세표[시작],$Q1848),"yyyy-mm-dd hh:mm"),INDEX(상세표[시작],$Q1848)&amp;""))</f>
        <v/>
      </c>
      <c r="G1848">
        <f>IF($Q1848="","",IF(ISNUMBER(INDEX(상세표[블록종료],$Q1848)),TEXT(INDEX(상세표[블록종료],$Q1848),"yyyy-mm-dd hh:mm"),INDEX(상세표[블록종료],$Q1848)&amp;""))</f>
        <v/>
      </c>
      <c r="H1848">
        <f>IF($Q1848="","",CHOOSE(WEEKDAY(INDEX(상세표[시작],$Q1848)),"일","월","화","수","목","금","토"))</f>
        <v/>
      </c>
      <c r="I1848" s="20">
        <f>IF($Q1848="","",INDEX(상세표[연속 시간],$Q1848))</f>
        <v/>
      </c>
      <c r="J1848">
        <f>IF($Q1848="","",INDEX(상세표[기록 수],$Q1848))</f>
        <v/>
      </c>
      <c r="K1848" s="20">
        <f>IF($Q1848="","",INDEX(상세표[블록 06~07시],$Q1848))</f>
        <v/>
      </c>
      <c r="L1848" s="20">
        <f>IF($Q1848="","",INDEX(상세표[블록 07~18시],$Q1848))</f>
        <v/>
      </c>
      <c r="M1848" s="20">
        <f>IF($Q1848="","",INDEX(상세표[블록 18~22시],$Q1848))</f>
        <v/>
      </c>
      <c r="N1848" s="20">
        <f>IF($Q1848="","",INDEX(상세표[블록 22~06시],$Q1848))</f>
        <v/>
      </c>
      <c r="O1848">
        <f>IF($Q1848="","",INDEX(상세표[주말·휴일 포함],$Q1848)&amp;"")</f>
        <v/>
      </c>
      <c r="P1848">
        <f>IF($Q1848="","",INDEX(상세표[월 넘김 포함],$Q1848)&amp;"")</f>
        <v/>
      </c>
      <c r="Q1848" s="4">
        <f>IFERROR(MATCH(1843,상세표[연속순번],0),"")</f>
        <v/>
      </c>
    </row>
    <row r="1849">
      <c r="A1849">
        <f>IF($Q1849="","",INDEX(상세표[부서],$Q1849)&amp;"")</f>
        <v/>
      </c>
      <c r="B1849">
        <f>IF($Q1849="","",INDEX(상세표[사번],$Q1849)&amp;"")</f>
        <v/>
      </c>
      <c r="C1849">
        <f>IF($Q1849="","",INDEX(상세표[성명],$Q1849)&amp;"")</f>
        <v/>
      </c>
      <c r="D1849">
        <f>IF($Q1849="","",INDEX(상세표[직위],$Q1849)&amp;"")</f>
        <v/>
      </c>
      <c r="E1849">
        <f>IF($Q1849="","",IF(ISNUMBER(INDEX(상세표[근무일자],$Q1849)),TEXT(INDEX(상세표[근무일자],$Q1849),"yyyy-mm-dd"),INDEX(상세표[근무일자],$Q1849)&amp;""))</f>
        <v/>
      </c>
      <c r="F1849">
        <f>IF($Q1849="","",IF(ISNUMBER(INDEX(상세표[시작],$Q1849)),TEXT(INDEX(상세표[시작],$Q1849),"yyyy-mm-dd hh:mm"),INDEX(상세표[시작],$Q1849)&amp;""))</f>
        <v/>
      </c>
      <c r="G1849">
        <f>IF($Q1849="","",IF(ISNUMBER(INDEX(상세표[블록종료],$Q1849)),TEXT(INDEX(상세표[블록종료],$Q1849),"yyyy-mm-dd hh:mm"),INDEX(상세표[블록종료],$Q1849)&amp;""))</f>
        <v/>
      </c>
      <c r="H1849">
        <f>IF($Q1849="","",CHOOSE(WEEKDAY(INDEX(상세표[시작],$Q1849)),"일","월","화","수","목","금","토"))</f>
        <v/>
      </c>
      <c r="I1849" s="20">
        <f>IF($Q1849="","",INDEX(상세표[연속 시간],$Q1849))</f>
        <v/>
      </c>
      <c r="J1849">
        <f>IF($Q1849="","",INDEX(상세표[기록 수],$Q1849))</f>
        <v/>
      </c>
      <c r="K1849" s="20">
        <f>IF($Q1849="","",INDEX(상세표[블록 06~07시],$Q1849))</f>
        <v/>
      </c>
      <c r="L1849" s="20">
        <f>IF($Q1849="","",INDEX(상세표[블록 07~18시],$Q1849))</f>
        <v/>
      </c>
      <c r="M1849" s="20">
        <f>IF($Q1849="","",INDEX(상세표[블록 18~22시],$Q1849))</f>
        <v/>
      </c>
      <c r="N1849" s="20">
        <f>IF($Q1849="","",INDEX(상세표[블록 22~06시],$Q1849))</f>
        <v/>
      </c>
      <c r="O1849">
        <f>IF($Q1849="","",INDEX(상세표[주말·휴일 포함],$Q1849)&amp;"")</f>
        <v/>
      </c>
      <c r="P1849">
        <f>IF($Q1849="","",INDEX(상세표[월 넘김 포함],$Q1849)&amp;"")</f>
        <v/>
      </c>
      <c r="Q1849" s="4">
        <f>IFERROR(MATCH(1844,상세표[연속순번],0),"")</f>
        <v/>
      </c>
    </row>
    <row r="1850">
      <c r="A1850">
        <f>IF($Q1850="","",INDEX(상세표[부서],$Q1850)&amp;"")</f>
        <v/>
      </c>
      <c r="B1850">
        <f>IF($Q1850="","",INDEX(상세표[사번],$Q1850)&amp;"")</f>
        <v/>
      </c>
      <c r="C1850">
        <f>IF($Q1850="","",INDEX(상세표[성명],$Q1850)&amp;"")</f>
        <v/>
      </c>
      <c r="D1850">
        <f>IF($Q1850="","",INDEX(상세표[직위],$Q1850)&amp;"")</f>
        <v/>
      </c>
      <c r="E1850">
        <f>IF($Q1850="","",IF(ISNUMBER(INDEX(상세표[근무일자],$Q1850)),TEXT(INDEX(상세표[근무일자],$Q1850),"yyyy-mm-dd"),INDEX(상세표[근무일자],$Q1850)&amp;""))</f>
        <v/>
      </c>
      <c r="F1850">
        <f>IF($Q1850="","",IF(ISNUMBER(INDEX(상세표[시작],$Q1850)),TEXT(INDEX(상세표[시작],$Q1850),"yyyy-mm-dd hh:mm"),INDEX(상세표[시작],$Q1850)&amp;""))</f>
        <v/>
      </c>
      <c r="G1850">
        <f>IF($Q1850="","",IF(ISNUMBER(INDEX(상세표[블록종료],$Q1850)),TEXT(INDEX(상세표[블록종료],$Q1850),"yyyy-mm-dd hh:mm"),INDEX(상세표[블록종료],$Q1850)&amp;""))</f>
        <v/>
      </c>
      <c r="H1850">
        <f>IF($Q1850="","",CHOOSE(WEEKDAY(INDEX(상세표[시작],$Q1850)),"일","월","화","수","목","금","토"))</f>
        <v/>
      </c>
      <c r="I1850" s="20">
        <f>IF($Q1850="","",INDEX(상세표[연속 시간],$Q1850))</f>
        <v/>
      </c>
      <c r="J1850">
        <f>IF($Q1850="","",INDEX(상세표[기록 수],$Q1850))</f>
        <v/>
      </c>
      <c r="K1850" s="20">
        <f>IF($Q1850="","",INDEX(상세표[블록 06~07시],$Q1850))</f>
        <v/>
      </c>
      <c r="L1850" s="20">
        <f>IF($Q1850="","",INDEX(상세표[블록 07~18시],$Q1850))</f>
        <v/>
      </c>
      <c r="M1850" s="20">
        <f>IF($Q1850="","",INDEX(상세표[블록 18~22시],$Q1850))</f>
        <v/>
      </c>
      <c r="N1850" s="20">
        <f>IF($Q1850="","",INDEX(상세표[블록 22~06시],$Q1850))</f>
        <v/>
      </c>
      <c r="O1850">
        <f>IF($Q1850="","",INDEX(상세표[주말·휴일 포함],$Q1850)&amp;"")</f>
        <v/>
      </c>
      <c r="P1850">
        <f>IF($Q1850="","",INDEX(상세표[월 넘김 포함],$Q1850)&amp;"")</f>
        <v/>
      </c>
      <c r="Q1850" s="4">
        <f>IFERROR(MATCH(1845,상세표[연속순번],0),"")</f>
        <v/>
      </c>
    </row>
    <row r="1851">
      <c r="A1851">
        <f>IF($Q1851="","",INDEX(상세표[부서],$Q1851)&amp;"")</f>
        <v/>
      </c>
      <c r="B1851">
        <f>IF($Q1851="","",INDEX(상세표[사번],$Q1851)&amp;"")</f>
        <v/>
      </c>
      <c r="C1851">
        <f>IF($Q1851="","",INDEX(상세표[성명],$Q1851)&amp;"")</f>
        <v/>
      </c>
      <c r="D1851">
        <f>IF($Q1851="","",INDEX(상세표[직위],$Q1851)&amp;"")</f>
        <v/>
      </c>
      <c r="E1851">
        <f>IF($Q1851="","",IF(ISNUMBER(INDEX(상세표[근무일자],$Q1851)),TEXT(INDEX(상세표[근무일자],$Q1851),"yyyy-mm-dd"),INDEX(상세표[근무일자],$Q1851)&amp;""))</f>
        <v/>
      </c>
      <c r="F1851">
        <f>IF($Q1851="","",IF(ISNUMBER(INDEX(상세표[시작],$Q1851)),TEXT(INDEX(상세표[시작],$Q1851),"yyyy-mm-dd hh:mm"),INDEX(상세표[시작],$Q1851)&amp;""))</f>
        <v/>
      </c>
      <c r="G1851">
        <f>IF($Q1851="","",IF(ISNUMBER(INDEX(상세표[블록종료],$Q1851)),TEXT(INDEX(상세표[블록종료],$Q1851),"yyyy-mm-dd hh:mm"),INDEX(상세표[블록종료],$Q1851)&amp;""))</f>
        <v/>
      </c>
      <c r="H1851">
        <f>IF($Q1851="","",CHOOSE(WEEKDAY(INDEX(상세표[시작],$Q1851)),"일","월","화","수","목","금","토"))</f>
        <v/>
      </c>
      <c r="I1851" s="20">
        <f>IF($Q1851="","",INDEX(상세표[연속 시간],$Q1851))</f>
        <v/>
      </c>
      <c r="J1851">
        <f>IF($Q1851="","",INDEX(상세표[기록 수],$Q1851))</f>
        <v/>
      </c>
      <c r="K1851" s="20">
        <f>IF($Q1851="","",INDEX(상세표[블록 06~07시],$Q1851))</f>
        <v/>
      </c>
      <c r="L1851" s="20">
        <f>IF($Q1851="","",INDEX(상세표[블록 07~18시],$Q1851))</f>
        <v/>
      </c>
      <c r="M1851" s="20">
        <f>IF($Q1851="","",INDEX(상세표[블록 18~22시],$Q1851))</f>
        <v/>
      </c>
      <c r="N1851" s="20">
        <f>IF($Q1851="","",INDEX(상세표[블록 22~06시],$Q1851))</f>
        <v/>
      </c>
      <c r="O1851">
        <f>IF($Q1851="","",INDEX(상세표[주말·휴일 포함],$Q1851)&amp;"")</f>
        <v/>
      </c>
      <c r="P1851">
        <f>IF($Q1851="","",INDEX(상세표[월 넘김 포함],$Q1851)&amp;"")</f>
        <v/>
      </c>
      <c r="Q1851" s="4">
        <f>IFERROR(MATCH(1846,상세표[연속순번],0),"")</f>
        <v/>
      </c>
    </row>
    <row r="1852">
      <c r="A1852">
        <f>IF($Q1852="","",INDEX(상세표[부서],$Q1852)&amp;"")</f>
        <v/>
      </c>
      <c r="B1852">
        <f>IF($Q1852="","",INDEX(상세표[사번],$Q1852)&amp;"")</f>
        <v/>
      </c>
      <c r="C1852">
        <f>IF($Q1852="","",INDEX(상세표[성명],$Q1852)&amp;"")</f>
        <v/>
      </c>
      <c r="D1852">
        <f>IF($Q1852="","",INDEX(상세표[직위],$Q1852)&amp;"")</f>
        <v/>
      </c>
      <c r="E1852">
        <f>IF($Q1852="","",IF(ISNUMBER(INDEX(상세표[근무일자],$Q1852)),TEXT(INDEX(상세표[근무일자],$Q1852),"yyyy-mm-dd"),INDEX(상세표[근무일자],$Q1852)&amp;""))</f>
        <v/>
      </c>
      <c r="F1852">
        <f>IF($Q1852="","",IF(ISNUMBER(INDEX(상세표[시작],$Q1852)),TEXT(INDEX(상세표[시작],$Q1852),"yyyy-mm-dd hh:mm"),INDEX(상세표[시작],$Q1852)&amp;""))</f>
        <v/>
      </c>
      <c r="G1852">
        <f>IF($Q1852="","",IF(ISNUMBER(INDEX(상세표[블록종료],$Q1852)),TEXT(INDEX(상세표[블록종료],$Q1852),"yyyy-mm-dd hh:mm"),INDEX(상세표[블록종료],$Q1852)&amp;""))</f>
        <v/>
      </c>
      <c r="H1852">
        <f>IF($Q1852="","",CHOOSE(WEEKDAY(INDEX(상세표[시작],$Q1852)),"일","월","화","수","목","금","토"))</f>
        <v/>
      </c>
      <c r="I1852" s="20">
        <f>IF($Q1852="","",INDEX(상세표[연속 시간],$Q1852))</f>
        <v/>
      </c>
      <c r="J1852">
        <f>IF($Q1852="","",INDEX(상세표[기록 수],$Q1852))</f>
        <v/>
      </c>
      <c r="K1852" s="20">
        <f>IF($Q1852="","",INDEX(상세표[블록 06~07시],$Q1852))</f>
        <v/>
      </c>
      <c r="L1852" s="20">
        <f>IF($Q1852="","",INDEX(상세표[블록 07~18시],$Q1852))</f>
        <v/>
      </c>
      <c r="M1852" s="20">
        <f>IF($Q1852="","",INDEX(상세표[블록 18~22시],$Q1852))</f>
        <v/>
      </c>
      <c r="N1852" s="20">
        <f>IF($Q1852="","",INDEX(상세표[블록 22~06시],$Q1852))</f>
        <v/>
      </c>
      <c r="O1852">
        <f>IF($Q1852="","",INDEX(상세표[주말·휴일 포함],$Q1852)&amp;"")</f>
        <v/>
      </c>
      <c r="P1852">
        <f>IF($Q1852="","",INDEX(상세표[월 넘김 포함],$Q1852)&amp;"")</f>
        <v/>
      </c>
      <c r="Q1852" s="4">
        <f>IFERROR(MATCH(1847,상세표[연속순번],0),"")</f>
        <v/>
      </c>
    </row>
    <row r="1853">
      <c r="A1853">
        <f>IF($Q1853="","",INDEX(상세표[부서],$Q1853)&amp;"")</f>
        <v/>
      </c>
      <c r="B1853">
        <f>IF($Q1853="","",INDEX(상세표[사번],$Q1853)&amp;"")</f>
        <v/>
      </c>
      <c r="C1853">
        <f>IF($Q1853="","",INDEX(상세표[성명],$Q1853)&amp;"")</f>
        <v/>
      </c>
      <c r="D1853">
        <f>IF($Q1853="","",INDEX(상세표[직위],$Q1853)&amp;"")</f>
        <v/>
      </c>
      <c r="E1853">
        <f>IF($Q1853="","",IF(ISNUMBER(INDEX(상세표[근무일자],$Q1853)),TEXT(INDEX(상세표[근무일자],$Q1853),"yyyy-mm-dd"),INDEX(상세표[근무일자],$Q1853)&amp;""))</f>
        <v/>
      </c>
      <c r="F1853">
        <f>IF($Q1853="","",IF(ISNUMBER(INDEX(상세표[시작],$Q1853)),TEXT(INDEX(상세표[시작],$Q1853),"yyyy-mm-dd hh:mm"),INDEX(상세표[시작],$Q1853)&amp;""))</f>
        <v/>
      </c>
      <c r="G1853">
        <f>IF($Q1853="","",IF(ISNUMBER(INDEX(상세표[블록종료],$Q1853)),TEXT(INDEX(상세표[블록종료],$Q1853),"yyyy-mm-dd hh:mm"),INDEX(상세표[블록종료],$Q1853)&amp;""))</f>
        <v/>
      </c>
      <c r="H1853">
        <f>IF($Q1853="","",CHOOSE(WEEKDAY(INDEX(상세표[시작],$Q1853)),"일","월","화","수","목","금","토"))</f>
        <v/>
      </c>
      <c r="I1853" s="20">
        <f>IF($Q1853="","",INDEX(상세표[연속 시간],$Q1853))</f>
        <v/>
      </c>
      <c r="J1853">
        <f>IF($Q1853="","",INDEX(상세표[기록 수],$Q1853))</f>
        <v/>
      </c>
      <c r="K1853" s="20">
        <f>IF($Q1853="","",INDEX(상세표[블록 06~07시],$Q1853))</f>
        <v/>
      </c>
      <c r="L1853" s="20">
        <f>IF($Q1853="","",INDEX(상세표[블록 07~18시],$Q1853))</f>
        <v/>
      </c>
      <c r="M1853" s="20">
        <f>IF($Q1853="","",INDEX(상세표[블록 18~22시],$Q1853))</f>
        <v/>
      </c>
      <c r="N1853" s="20">
        <f>IF($Q1853="","",INDEX(상세표[블록 22~06시],$Q1853))</f>
        <v/>
      </c>
      <c r="O1853">
        <f>IF($Q1853="","",INDEX(상세표[주말·휴일 포함],$Q1853)&amp;"")</f>
        <v/>
      </c>
      <c r="P1853">
        <f>IF($Q1853="","",INDEX(상세표[월 넘김 포함],$Q1853)&amp;"")</f>
        <v/>
      </c>
      <c r="Q1853" s="4">
        <f>IFERROR(MATCH(1848,상세표[연속순번],0),"")</f>
        <v/>
      </c>
    </row>
    <row r="1854">
      <c r="A1854">
        <f>IF($Q1854="","",INDEX(상세표[부서],$Q1854)&amp;"")</f>
        <v/>
      </c>
      <c r="B1854">
        <f>IF($Q1854="","",INDEX(상세표[사번],$Q1854)&amp;"")</f>
        <v/>
      </c>
      <c r="C1854">
        <f>IF($Q1854="","",INDEX(상세표[성명],$Q1854)&amp;"")</f>
        <v/>
      </c>
      <c r="D1854">
        <f>IF($Q1854="","",INDEX(상세표[직위],$Q1854)&amp;"")</f>
        <v/>
      </c>
      <c r="E1854">
        <f>IF($Q1854="","",IF(ISNUMBER(INDEX(상세표[근무일자],$Q1854)),TEXT(INDEX(상세표[근무일자],$Q1854),"yyyy-mm-dd"),INDEX(상세표[근무일자],$Q1854)&amp;""))</f>
        <v/>
      </c>
      <c r="F1854">
        <f>IF($Q1854="","",IF(ISNUMBER(INDEX(상세표[시작],$Q1854)),TEXT(INDEX(상세표[시작],$Q1854),"yyyy-mm-dd hh:mm"),INDEX(상세표[시작],$Q1854)&amp;""))</f>
        <v/>
      </c>
      <c r="G1854">
        <f>IF($Q1854="","",IF(ISNUMBER(INDEX(상세표[블록종료],$Q1854)),TEXT(INDEX(상세표[블록종료],$Q1854),"yyyy-mm-dd hh:mm"),INDEX(상세표[블록종료],$Q1854)&amp;""))</f>
        <v/>
      </c>
      <c r="H1854">
        <f>IF($Q1854="","",CHOOSE(WEEKDAY(INDEX(상세표[시작],$Q1854)),"일","월","화","수","목","금","토"))</f>
        <v/>
      </c>
      <c r="I1854" s="20">
        <f>IF($Q1854="","",INDEX(상세표[연속 시간],$Q1854))</f>
        <v/>
      </c>
      <c r="J1854">
        <f>IF($Q1854="","",INDEX(상세표[기록 수],$Q1854))</f>
        <v/>
      </c>
      <c r="K1854" s="20">
        <f>IF($Q1854="","",INDEX(상세표[블록 06~07시],$Q1854))</f>
        <v/>
      </c>
      <c r="L1854" s="20">
        <f>IF($Q1854="","",INDEX(상세표[블록 07~18시],$Q1854))</f>
        <v/>
      </c>
      <c r="M1854" s="20">
        <f>IF($Q1854="","",INDEX(상세표[블록 18~22시],$Q1854))</f>
        <v/>
      </c>
      <c r="N1854" s="20">
        <f>IF($Q1854="","",INDEX(상세표[블록 22~06시],$Q1854))</f>
        <v/>
      </c>
      <c r="O1854">
        <f>IF($Q1854="","",INDEX(상세표[주말·휴일 포함],$Q1854)&amp;"")</f>
        <v/>
      </c>
      <c r="P1854">
        <f>IF($Q1854="","",INDEX(상세표[월 넘김 포함],$Q1854)&amp;"")</f>
        <v/>
      </c>
      <c r="Q1854" s="4">
        <f>IFERROR(MATCH(1849,상세표[연속순번],0),"")</f>
        <v/>
      </c>
    </row>
    <row r="1855">
      <c r="A1855">
        <f>IF($Q1855="","",INDEX(상세표[부서],$Q1855)&amp;"")</f>
        <v/>
      </c>
      <c r="B1855">
        <f>IF($Q1855="","",INDEX(상세표[사번],$Q1855)&amp;"")</f>
        <v/>
      </c>
      <c r="C1855">
        <f>IF($Q1855="","",INDEX(상세표[성명],$Q1855)&amp;"")</f>
        <v/>
      </c>
      <c r="D1855">
        <f>IF($Q1855="","",INDEX(상세표[직위],$Q1855)&amp;"")</f>
        <v/>
      </c>
      <c r="E1855">
        <f>IF($Q1855="","",IF(ISNUMBER(INDEX(상세표[근무일자],$Q1855)),TEXT(INDEX(상세표[근무일자],$Q1855),"yyyy-mm-dd"),INDEX(상세표[근무일자],$Q1855)&amp;""))</f>
        <v/>
      </c>
      <c r="F1855">
        <f>IF($Q1855="","",IF(ISNUMBER(INDEX(상세표[시작],$Q1855)),TEXT(INDEX(상세표[시작],$Q1855),"yyyy-mm-dd hh:mm"),INDEX(상세표[시작],$Q1855)&amp;""))</f>
        <v/>
      </c>
      <c r="G1855">
        <f>IF($Q1855="","",IF(ISNUMBER(INDEX(상세표[블록종료],$Q1855)),TEXT(INDEX(상세표[블록종료],$Q1855),"yyyy-mm-dd hh:mm"),INDEX(상세표[블록종료],$Q1855)&amp;""))</f>
        <v/>
      </c>
      <c r="H1855">
        <f>IF($Q1855="","",CHOOSE(WEEKDAY(INDEX(상세표[시작],$Q1855)),"일","월","화","수","목","금","토"))</f>
        <v/>
      </c>
      <c r="I1855" s="20">
        <f>IF($Q1855="","",INDEX(상세표[연속 시간],$Q1855))</f>
        <v/>
      </c>
      <c r="J1855">
        <f>IF($Q1855="","",INDEX(상세표[기록 수],$Q1855))</f>
        <v/>
      </c>
      <c r="K1855" s="20">
        <f>IF($Q1855="","",INDEX(상세표[블록 06~07시],$Q1855))</f>
        <v/>
      </c>
      <c r="L1855" s="20">
        <f>IF($Q1855="","",INDEX(상세표[블록 07~18시],$Q1855))</f>
        <v/>
      </c>
      <c r="M1855" s="20">
        <f>IF($Q1855="","",INDEX(상세표[블록 18~22시],$Q1855))</f>
        <v/>
      </c>
      <c r="N1855" s="20">
        <f>IF($Q1855="","",INDEX(상세표[블록 22~06시],$Q1855))</f>
        <v/>
      </c>
      <c r="O1855">
        <f>IF($Q1855="","",INDEX(상세표[주말·휴일 포함],$Q1855)&amp;"")</f>
        <v/>
      </c>
      <c r="P1855">
        <f>IF($Q1855="","",INDEX(상세표[월 넘김 포함],$Q1855)&amp;"")</f>
        <v/>
      </c>
      <c r="Q1855" s="4">
        <f>IFERROR(MATCH(1850,상세표[연속순번],0),"")</f>
        <v/>
      </c>
    </row>
    <row r="1856">
      <c r="A1856">
        <f>IF($Q1856="","",INDEX(상세표[부서],$Q1856)&amp;"")</f>
        <v/>
      </c>
      <c r="B1856">
        <f>IF($Q1856="","",INDEX(상세표[사번],$Q1856)&amp;"")</f>
        <v/>
      </c>
      <c r="C1856">
        <f>IF($Q1856="","",INDEX(상세표[성명],$Q1856)&amp;"")</f>
        <v/>
      </c>
      <c r="D1856">
        <f>IF($Q1856="","",INDEX(상세표[직위],$Q1856)&amp;"")</f>
        <v/>
      </c>
      <c r="E1856">
        <f>IF($Q1856="","",IF(ISNUMBER(INDEX(상세표[근무일자],$Q1856)),TEXT(INDEX(상세표[근무일자],$Q1856),"yyyy-mm-dd"),INDEX(상세표[근무일자],$Q1856)&amp;""))</f>
        <v/>
      </c>
      <c r="F1856">
        <f>IF($Q1856="","",IF(ISNUMBER(INDEX(상세표[시작],$Q1856)),TEXT(INDEX(상세표[시작],$Q1856),"yyyy-mm-dd hh:mm"),INDEX(상세표[시작],$Q1856)&amp;""))</f>
        <v/>
      </c>
      <c r="G1856">
        <f>IF($Q1856="","",IF(ISNUMBER(INDEX(상세표[블록종료],$Q1856)),TEXT(INDEX(상세표[블록종료],$Q1856),"yyyy-mm-dd hh:mm"),INDEX(상세표[블록종료],$Q1856)&amp;""))</f>
        <v/>
      </c>
      <c r="H1856">
        <f>IF($Q1856="","",CHOOSE(WEEKDAY(INDEX(상세표[시작],$Q1856)),"일","월","화","수","목","금","토"))</f>
        <v/>
      </c>
      <c r="I1856" s="20">
        <f>IF($Q1856="","",INDEX(상세표[연속 시간],$Q1856))</f>
        <v/>
      </c>
      <c r="J1856">
        <f>IF($Q1856="","",INDEX(상세표[기록 수],$Q1856))</f>
        <v/>
      </c>
      <c r="K1856" s="20">
        <f>IF($Q1856="","",INDEX(상세표[블록 06~07시],$Q1856))</f>
        <v/>
      </c>
      <c r="L1856" s="20">
        <f>IF($Q1856="","",INDEX(상세표[블록 07~18시],$Q1856))</f>
        <v/>
      </c>
      <c r="M1856" s="20">
        <f>IF($Q1856="","",INDEX(상세표[블록 18~22시],$Q1856))</f>
        <v/>
      </c>
      <c r="N1856" s="20">
        <f>IF($Q1856="","",INDEX(상세표[블록 22~06시],$Q1856))</f>
        <v/>
      </c>
      <c r="O1856">
        <f>IF($Q1856="","",INDEX(상세표[주말·휴일 포함],$Q1856)&amp;"")</f>
        <v/>
      </c>
      <c r="P1856">
        <f>IF($Q1856="","",INDEX(상세표[월 넘김 포함],$Q1856)&amp;"")</f>
        <v/>
      </c>
      <c r="Q1856" s="4">
        <f>IFERROR(MATCH(1851,상세표[연속순번],0),"")</f>
        <v/>
      </c>
    </row>
    <row r="1857">
      <c r="A1857">
        <f>IF($Q1857="","",INDEX(상세표[부서],$Q1857)&amp;"")</f>
        <v/>
      </c>
      <c r="B1857">
        <f>IF($Q1857="","",INDEX(상세표[사번],$Q1857)&amp;"")</f>
        <v/>
      </c>
      <c r="C1857">
        <f>IF($Q1857="","",INDEX(상세표[성명],$Q1857)&amp;"")</f>
        <v/>
      </c>
      <c r="D1857">
        <f>IF($Q1857="","",INDEX(상세표[직위],$Q1857)&amp;"")</f>
        <v/>
      </c>
      <c r="E1857">
        <f>IF($Q1857="","",IF(ISNUMBER(INDEX(상세표[근무일자],$Q1857)),TEXT(INDEX(상세표[근무일자],$Q1857),"yyyy-mm-dd"),INDEX(상세표[근무일자],$Q1857)&amp;""))</f>
        <v/>
      </c>
      <c r="F1857">
        <f>IF($Q1857="","",IF(ISNUMBER(INDEX(상세표[시작],$Q1857)),TEXT(INDEX(상세표[시작],$Q1857),"yyyy-mm-dd hh:mm"),INDEX(상세표[시작],$Q1857)&amp;""))</f>
        <v/>
      </c>
      <c r="G1857">
        <f>IF($Q1857="","",IF(ISNUMBER(INDEX(상세표[블록종료],$Q1857)),TEXT(INDEX(상세표[블록종료],$Q1857),"yyyy-mm-dd hh:mm"),INDEX(상세표[블록종료],$Q1857)&amp;""))</f>
        <v/>
      </c>
      <c r="H1857">
        <f>IF($Q1857="","",CHOOSE(WEEKDAY(INDEX(상세표[시작],$Q1857)),"일","월","화","수","목","금","토"))</f>
        <v/>
      </c>
      <c r="I1857" s="20">
        <f>IF($Q1857="","",INDEX(상세표[연속 시간],$Q1857))</f>
        <v/>
      </c>
      <c r="J1857">
        <f>IF($Q1857="","",INDEX(상세표[기록 수],$Q1857))</f>
        <v/>
      </c>
      <c r="K1857" s="20">
        <f>IF($Q1857="","",INDEX(상세표[블록 06~07시],$Q1857))</f>
        <v/>
      </c>
      <c r="L1857" s="20">
        <f>IF($Q1857="","",INDEX(상세표[블록 07~18시],$Q1857))</f>
        <v/>
      </c>
      <c r="M1857" s="20">
        <f>IF($Q1857="","",INDEX(상세표[블록 18~22시],$Q1857))</f>
        <v/>
      </c>
      <c r="N1857" s="20">
        <f>IF($Q1857="","",INDEX(상세표[블록 22~06시],$Q1857))</f>
        <v/>
      </c>
      <c r="O1857">
        <f>IF($Q1857="","",INDEX(상세표[주말·휴일 포함],$Q1857)&amp;"")</f>
        <v/>
      </c>
      <c r="P1857">
        <f>IF($Q1857="","",INDEX(상세표[월 넘김 포함],$Q1857)&amp;"")</f>
        <v/>
      </c>
      <c r="Q1857" s="4">
        <f>IFERROR(MATCH(1852,상세표[연속순번],0),"")</f>
        <v/>
      </c>
    </row>
    <row r="1858">
      <c r="A1858">
        <f>IF($Q1858="","",INDEX(상세표[부서],$Q1858)&amp;"")</f>
        <v/>
      </c>
      <c r="B1858">
        <f>IF($Q1858="","",INDEX(상세표[사번],$Q1858)&amp;"")</f>
        <v/>
      </c>
      <c r="C1858">
        <f>IF($Q1858="","",INDEX(상세표[성명],$Q1858)&amp;"")</f>
        <v/>
      </c>
      <c r="D1858">
        <f>IF($Q1858="","",INDEX(상세표[직위],$Q1858)&amp;"")</f>
        <v/>
      </c>
      <c r="E1858">
        <f>IF($Q1858="","",IF(ISNUMBER(INDEX(상세표[근무일자],$Q1858)),TEXT(INDEX(상세표[근무일자],$Q1858),"yyyy-mm-dd"),INDEX(상세표[근무일자],$Q1858)&amp;""))</f>
        <v/>
      </c>
      <c r="F1858">
        <f>IF($Q1858="","",IF(ISNUMBER(INDEX(상세표[시작],$Q1858)),TEXT(INDEX(상세표[시작],$Q1858),"yyyy-mm-dd hh:mm"),INDEX(상세표[시작],$Q1858)&amp;""))</f>
        <v/>
      </c>
      <c r="G1858">
        <f>IF($Q1858="","",IF(ISNUMBER(INDEX(상세표[블록종료],$Q1858)),TEXT(INDEX(상세표[블록종료],$Q1858),"yyyy-mm-dd hh:mm"),INDEX(상세표[블록종료],$Q1858)&amp;""))</f>
        <v/>
      </c>
      <c r="H1858">
        <f>IF($Q1858="","",CHOOSE(WEEKDAY(INDEX(상세표[시작],$Q1858)),"일","월","화","수","목","금","토"))</f>
        <v/>
      </c>
      <c r="I1858" s="20">
        <f>IF($Q1858="","",INDEX(상세표[연속 시간],$Q1858))</f>
        <v/>
      </c>
      <c r="J1858">
        <f>IF($Q1858="","",INDEX(상세표[기록 수],$Q1858))</f>
        <v/>
      </c>
      <c r="K1858" s="20">
        <f>IF($Q1858="","",INDEX(상세표[블록 06~07시],$Q1858))</f>
        <v/>
      </c>
      <c r="L1858" s="20">
        <f>IF($Q1858="","",INDEX(상세표[블록 07~18시],$Q1858))</f>
        <v/>
      </c>
      <c r="M1858" s="20">
        <f>IF($Q1858="","",INDEX(상세표[블록 18~22시],$Q1858))</f>
        <v/>
      </c>
      <c r="N1858" s="20">
        <f>IF($Q1858="","",INDEX(상세표[블록 22~06시],$Q1858))</f>
        <v/>
      </c>
      <c r="O1858">
        <f>IF($Q1858="","",INDEX(상세표[주말·휴일 포함],$Q1858)&amp;"")</f>
        <v/>
      </c>
      <c r="P1858">
        <f>IF($Q1858="","",INDEX(상세표[월 넘김 포함],$Q1858)&amp;"")</f>
        <v/>
      </c>
      <c r="Q1858" s="4">
        <f>IFERROR(MATCH(1853,상세표[연속순번],0),"")</f>
        <v/>
      </c>
    </row>
    <row r="1859">
      <c r="A1859">
        <f>IF($Q1859="","",INDEX(상세표[부서],$Q1859)&amp;"")</f>
        <v/>
      </c>
      <c r="B1859">
        <f>IF($Q1859="","",INDEX(상세표[사번],$Q1859)&amp;"")</f>
        <v/>
      </c>
      <c r="C1859">
        <f>IF($Q1859="","",INDEX(상세표[성명],$Q1859)&amp;"")</f>
        <v/>
      </c>
      <c r="D1859">
        <f>IF($Q1859="","",INDEX(상세표[직위],$Q1859)&amp;"")</f>
        <v/>
      </c>
      <c r="E1859">
        <f>IF($Q1859="","",IF(ISNUMBER(INDEX(상세표[근무일자],$Q1859)),TEXT(INDEX(상세표[근무일자],$Q1859),"yyyy-mm-dd"),INDEX(상세표[근무일자],$Q1859)&amp;""))</f>
        <v/>
      </c>
      <c r="F1859">
        <f>IF($Q1859="","",IF(ISNUMBER(INDEX(상세표[시작],$Q1859)),TEXT(INDEX(상세표[시작],$Q1859),"yyyy-mm-dd hh:mm"),INDEX(상세표[시작],$Q1859)&amp;""))</f>
        <v/>
      </c>
      <c r="G1859">
        <f>IF($Q1859="","",IF(ISNUMBER(INDEX(상세표[블록종료],$Q1859)),TEXT(INDEX(상세표[블록종료],$Q1859),"yyyy-mm-dd hh:mm"),INDEX(상세표[블록종료],$Q1859)&amp;""))</f>
        <v/>
      </c>
      <c r="H1859">
        <f>IF($Q1859="","",CHOOSE(WEEKDAY(INDEX(상세표[시작],$Q1859)),"일","월","화","수","목","금","토"))</f>
        <v/>
      </c>
      <c r="I1859" s="20">
        <f>IF($Q1859="","",INDEX(상세표[연속 시간],$Q1859))</f>
        <v/>
      </c>
      <c r="J1859">
        <f>IF($Q1859="","",INDEX(상세표[기록 수],$Q1859))</f>
        <v/>
      </c>
      <c r="K1859" s="20">
        <f>IF($Q1859="","",INDEX(상세표[블록 06~07시],$Q1859))</f>
        <v/>
      </c>
      <c r="L1859" s="20">
        <f>IF($Q1859="","",INDEX(상세표[블록 07~18시],$Q1859))</f>
        <v/>
      </c>
      <c r="M1859" s="20">
        <f>IF($Q1859="","",INDEX(상세표[블록 18~22시],$Q1859))</f>
        <v/>
      </c>
      <c r="N1859" s="20">
        <f>IF($Q1859="","",INDEX(상세표[블록 22~06시],$Q1859))</f>
        <v/>
      </c>
      <c r="O1859">
        <f>IF($Q1859="","",INDEX(상세표[주말·휴일 포함],$Q1859)&amp;"")</f>
        <v/>
      </c>
      <c r="P1859">
        <f>IF($Q1859="","",INDEX(상세표[월 넘김 포함],$Q1859)&amp;"")</f>
        <v/>
      </c>
      <c r="Q1859" s="4">
        <f>IFERROR(MATCH(1854,상세표[연속순번],0),"")</f>
        <v/>
      </c>
    </row>
    <row r="1860">
      <c r="A1860">
        <f>IF($Q1860="","",INDEX(상세표[부서],$Q1860)&amp;"")</f>
        <v/>
      </c>
      <c r="B1860">
        <f>IF($Q1860="","",INDEX(상세표[사번],$Q1860)&amp;"")</f>
        <v/>
      </c>
      <c r="C1860">
        <f>IF($Q1860="","",INDEX(상세표[성명],$Q1860)&amp;"")</f>
        <v/>
      </c>
      <c r="D1860">
        <f>IF($Q1860="","",INDEX(상세표[직위],$Q1860)&amp;"")</f>
        <v/>
      </c>
      <c r="E1860">
        <f>IF($Q1860="","",IF(ISNUMBER(INDEX(상세표[근무일자],$Q1860)),TEXT(INDEX(상세표[근무일자],$Q1860),"yyyy-mm-dd"),INDEX(상세표[근무일자],$Q1860)&amp;""))</f>
        <v/>
      </c>
      <c r="F1860">
        <f>IF($Q1860="","",IF(ISNUMBER(INDEX(상세표[시작],$Q1860)),TEXT(INDEX(상세표[시작],$Q1860),"yyyy-mm-dd hh:mm"),INDEX(상세표[시작],$Q1860)&amp;""))</f>
        <v/>
      </c>
      <c r="G1860">
        <f>IF($Q1860="","",IF(ISNUMBER(INDEX(상세표[블록종료],$Q1860)),TEXT(INDEX(상세표[블록종료],$Q1860),"yyyy-mm-dd hh:mm"),INDEX(상세표[블록종료],$Q1860)&amp;""))</f>
        <v/>
      </c>
      <c r="H1860">
        <f>IF($Q1860="","",CHOOSE(WEEKDAY(INDEX(상세표[시작],$Q1860)),"일","월","화","수","목","금","토"))</f>
        <v/>
      </c>
      <c r="I1860" s="20">
        <f>IF($Q1860="","",INDEX(상세표[연속 시간],$Q1860))</f>
        <v/>
      </c>
      <c r="J1860">
        <f>IF($Q1860="","",INDEX(상세표[기록 수],$Q1860))</f>
        <v/>
      </c>
      <c r="K1860" s="20">
        <f>IF($Q1860="","",INDEX(상세표[블록 06~07시],$Q1860))</f>
        <v/>
      </c>
      <c r="L1860" s="20">
        <f>IF($Q1860="","",INDEX(상세표[블록 07~18시],$Q1860))</f>
        <v/>
      </c>
      <c r="M1860" s="20">
        <f>IF($Q1860="","",INDEX(상세표[블록 18~22시],$Q1860))</f>
        <v/>
      </c>
      <c r="N1860" s="20">
        <f>IF($Q1860="","",INDEX(상세표[블록 22~06시],$Q1860))</f>
        <v/>
      </c>
      <c r="O1860">
        <f>IF($Q1860="","",INDEX(상세표[주말·휴일 포함],$Q1860)&amp;"")</f>
        <v/>
      </c>
      <c r="P1860">
        <f>IF($Q1860="","",INDEX(상세표[월 넘김 포함],$Q1860)&amp;"")</f>
        <v/>
      </c>
      <c r="Q1860" s="4">
        <f>IFERROR(MATCH(1855,상세표[연속순번],0),"")</f>
        <v/>
      </c>
    </row>
    <row r="1861">
      <c r="A1861">
        <f>IF($Q1861="","",INDEX(상세표[부서],$Q1861)&amp;"")</f>
        <v/>
      </c>
      <c r="B1861">
        <f>IF($Q1861="","",INDEX(상세표[사번],$Q1861)&amp;"")</f>
        <v/>
      </c>
      <c r="C1861">
        <f>IF($Q1861="","",INDEX(상세표[성명],$Q1861)&amp;"")</f>
        <v/>
      </c>
      <c r="D1861">
        <f>IF($Q1861="","",INDEX(상세표[직위],$Q1861)&amp;"")</f>
        <v/>
      </c>
      <c r="E1861">
        <f>IF($Q1861="","",IF(ISNUMBER(INDEX(상세표[근무일자],$Q1861)),TEXT(INDEX(상세표[근무일자],$Q1861),"yyyy-mm-dd"),INDEX(상세표[근무일자],$Q1861)&amp;""))</f>
        <v/>
      </c>
      <c r="F1861">
        <f>IF($Q1861="","",IF(ISNUMBER(INDEX(상세표[시작],$Q1861)),TEXT(INDEX(상세표[시작],$Q1861),"yyyy-mm-dd hh:mm"),INDEX(상세표[시작],$Q1861)&amp;""))</f>
        <v/>
      </c>
      <c r="G1861">
        <f>IF($Q1861="","",IF(ISNUMBER(INDEX(상세표[블록종료],$Q1861)),TEXT(INDEX(상세표[블록종료],$Q1861),"yyyy-mm-dd hh:mm"),INDEX(상세표[블록종료],$Q1861)&amp;""))</f>
        <v/>
      </c>
      <c r="H1861">
        <f>IF($Q1861="","",CHOOSE(WEEKDAY(INDEX(상세표[시작],$Q1861)),"일","월","화","수","목","금","토"))</f>
        <v/>
      </c>
      <c r="I1861" s="20">
        <f>IF($Q1861="","",INDEX(상세표[연속 시간],$Q1861))</f>
        <v/>
      </c>
      <c r="J1861">
        <f>IF($Q1861="","",INDEX(상세표[기록 수],$Q1861))</f>
        <v/>
      </c>
      <c r="K1861" s="20">
        <f>IF($Q1861="","",INDEX(상세표[블록 06~07시],$Q1861))</f>
        <v/>
      </c>
      <c r="L1861" s="20">
        <f>IF($Q1861="","",INDEX(상세표[블록 07~18시],$Q1861))</f>
        <v/>
      </c>
      <c r="M1861" s="20">
        <f>IF($Q1861="","",INDEX(상세표[블록 18~22시],$Q1861))</f>
        <v/>
      </c>
      <c r="N1861" s="20">
        <f>IF($Q1861="","",INDEX(상세표[블록 22~06시],$Q1861))</f>
        <v/>
      </c>
      <c r="O1861">
        <f>IF($Q1861="","",INDEX(상세표[주말·휴일 포함],$Q1861)&amp;"")</f>
        <v/>
      </c>
      <c r="P1861">
        <f>IF($Q1861="","",INDEX(상세표[월 넘김 포함],$Q1861)&amp;"")</f>
        <v/>
      </c>
      <c r="Q1861" s="4">
        <f>IFERROR(MATCH(1856,상세표[연속순번],0),"")</f>
        <v/>
      </c>
    </row>
    <row r="1862">
      <c r="A1862">
        <f>IF($Q1862="","",INDEX(상세표[부서],$Q1862)&amp;"")</f>
        <v/>
      </c>
      <c r="B1862">
        <f>IF($Q1862="","",INDEX(상세표[사번],$Q1862)&amp;"")</f>
        <v/>
      </c>
      <c r="C1862">
        <f>IF($Q1862="","",INDEX(상세표[성명],$Q1862)&amp;"")</f>
        <v/>
      </c>
      <c r="D1862">
        <f>IF($Q1862="","",INDEX(상세표[직위],$Q1862)&amp;"")</f>
        <v/>
      </c>
      <c r="E1862">
        <f>IF($Q1862="","",IF(ISNUMBER(INDEX(상세표[근무일자],$Q1862)),TEXT(INDEX(상세표[근무일자],$Q1862),"yyyy-mm-dd"),INDEX(상세표[근무일자],$Q1862)&amp;""))</f>
        <v/>
      </c>
      <c r="F1862">
        <f>IF($Q1862="","",IF(ISNUMBER(INDEX(상세표[시작],$Q1862)),TEXT(INDEX(상세표[시작],$Q1862),"yyyy-mm-dd hh:mm"),INDEX(상세표[시작],$Q1862)&amp;""))</f>
        <v/>
      </c>
      <c r="G1862">
        <f>IF($Q1862="","",IF(ISNUMBER(INDEX(상세표[블록종료],$Q1862)),TEXT(INDEX(상세표[블록종료],$Q1862),"yyyy-mm-dd hh:mm"),INDEX(상세표[블록종료],$Q1862)&amp;""))</f>
        <v/>
      </c>
      <c r="H1862">
        <f>IF($Q1862="","",CHOOSE(WEEKDAY(INDEX(상세표[시작],$Q1862)),"일","월","화","수","목","금","토"))</f>
        <v/>
      </c>
      <c r="I1862" s="20">
        <f>IF($Q1862="","",INDEX(상세표[연속 시간],$Q1862))</f>
        <v/>
      </c>
      <c r="J1862">
        <f>IF($Q1862="","",INDEX(상세표[기록 수],$Q1862))</f>
        <v/>
      </c>
      <c r="K1862" s="20">
        <f>IF($Q1862="","",INDEX(상세표[블록 06~07시],$Q1862))</f>
        <v/>
      </c>
      <c r="L1862" s="20">
        <f>IF($Q1862="","",INDEX(상세표[블록 07~18시],$Q1862))</f>
        <v/>
      </c>
      <c r="M1862" s="20">
        <f>IF($Q1862="","",INDEX(상세표[블록 18~22시],$Q1862))</f>
        <v/>
      </c>
      <c r="N1862" s="20">
        <f>IF($Q1862="","",INDEX(상세표[블록 22~06시],$Q1862))</f>
        <v/>
      </c>
      <c r="O1862">
        <f>IF($Q1862="","",INDEX(상세표[주말·휴일 포함],$Q1862)&amp;"")</f>
        <v/>
      </c>
      <c r="P1862">
        <f>IF($Q1862="","",INDEX(상세표[월 넘김 포함],$Q1862)&amp;"")</f>
        <v/>
      </c>
      <c r="Q1862" s="4">
        <f>IFERROR(MATCH(1857,상세표[연속순번],0),"")</f>
        <v/>
      </c>
    </row>
    <row r="1863">
      <c r="A1863">
        <f>IF($Q1863="","",INDEX(상세표[부서],$Q1863)&amp;"")</f>
        <v/>
      </c>
      <c r="B1863">
        <f>IF($Q1863="","",INDEX(상세표[사번],$Q1863)&amp;"")</f>
        <v/>
      </c>
      <c r="C1863">
        <f>IF($Q1863="","",INDEX(상세표[성명],$Q1863)&amp;"")</f>
        <v/>
      </c>
      <c r="D1863">
        <f>IF($Q1863="","",INDEX(상세표[직위],$Q1863)&amp;"")</f>
        <v/>
      </c>
      <c r="E1863">
        <f>IF($Q1863="","",IF(ISNUMBER(INDEX(상세표[근무일자],$Q1863)),TEXT(INDEX(상세표[근무일자],$Q1863),"yyyy-mm-dd"),INDEX(상세표[근무일자],$Q1863)&amp;""))</f>
        <v/>
      </c>
      <c r="F1863">
        <f>IF($Q1863="","",IF(ISNUMBER(INDEX(상세표[시작],$Q1863)),TEXT(INDEX(상세표[시작],$Q1863),"yyyy-mm-dd hh:mm"),INDEX(상세표[시작],$Q1863)&amp;""))</f>
        <v/>
      </c>
      <c r="G1863">
        <f>IF($Q1863="","",IF(ISNUMBER(INDEX(상세표[블록종료],$Q1863)),TEXT(INDEX(상세표[블록종료],$Q1863),"yyyy-mm-dd hh:mm"),INDEX(상세표[블록종료],$Q1863)&amp;""))</f>
        <v/>
      </c>
      <c r="H1863">
        <f>IF($Q1863="","",CHOOSE(WEEKDAY(INDEX(상세표[시작],$Q1863)),"일","월","화","수","목","금","토"))</f>
        <v/>
      </c>
      <c r="I1863" s="20">
        <f>IF($Q1863="","",INDEX(상세표[연속 시간],$Q1863))</f>
        <v/>
      </c>
      <c r="J1863">
        <f>IF($Q1863="","",INDEX(상세표[기록 수],$Q1863))</f>
        <v/>
      </c>
      <c r="K1863" s="20">
        <f>IF($Q1863="","",INDEX(상세표[블록 06~07시],$Q1863))</f>
        <v/>
      </c>
      <c r="L1863" s="20">
        <f>IF($Q1863="","",INDEX(상세표[블록 07~18시],$Q1863))</f>
        <v/>
      </c>
      <c r="M1863" s="20">
        <f>IF($Q1863="","",INDEX(상세표[블록 18~22시],$Q1863))</f>
        <v/>
      </c>
      <c r="N1863" s="20">
        <f>IF($Q1863="","",INDEX(상세표[블록 22~06시],$Q1863))</f>
        <v/>
      </c>
      <c r="O1863">
        <f>IF($Q1863="","",INDEX(상세표[주말·휴일 포함],$Q1863)&amp;"")</f>
        <v/>
      </c>
      <c r="P1863">
        <f>IF($Q1863="","",INDEX(상세표[월 넘김 포함],$Q1863)&amp;"")</f>
        <v/>
      </c>
      <c r="Q1863" s="4">
        <f>IFERROR(MATCH(1858,상세표[연속순번],0),"")</f>
        <v/>
      </c>
    </row>
    <row r="1864">
      <c r="A1864">
        <f>IF($Q1864="","",INDEX(상세표[부서],$Q1864)&amp;"")</f>
        <v/>
      </c>
      <c r="B1864">
        <f>IF($Q1864="","",INDEX(상세표[사번],$Q1864)&amp;"")</f>
        <v/>
      </c>
      <c r="C1864">
        <f>IF($Q1864="","",INDEX(상세표[성명],$Q1864)&amp;"")</f>
        <v/>
      </c>
      <c r="D1864">
        <f>IF($Q1864="","",INDEX(상세표[직위],$Q1864)&amp;"")</f>
        <v/>
      </c>
      <c r="E1864">
        <f>IF($Q1864="","",IF(ISNUMBER(INDEX(상세표[근무일자],$Q1864)),TEXT(INDEX(상세표[근무일자],$Q1864),"yyyy-mm-dd"),INDEX(상세표[근무일자],$Q1864)&amp;""))</f>
        <v/>
      </c>
      <c r="F1864">
        <f>IF($Q1864="","",IF(ISNUMBER(INDEX(상세표[시작],$Q1864)),TEXT(INDEX(상세표[시작],$Q1864),"yyyy-mm-dd hh:mm"),INDEX(상세표[시작],$Q1864)&amp;""))</f>
        <v/>
      </c>
      <c r="G1864">
        <f>IF($Q1864="","",IF(ISNUMBER(INDEX(상세표[블록종료],$Q1864)),TEXT(INDEX(상세표[블록종료],$Q1864),"yyyy-mm-dd hh:mm"),INDEX(상세표[블록종료],$Q1864)&amp;""))</f>
        <v/>
      </c>
      <c r="H1864">
        <f>IF($Q1864="","",CHOOSE(WEEKDAY(INDEX(상세표[시작],$Q1864)),"일","월","화","수","목","금","토"))</f>
        <v/>
      </c>
      <c r="I1864" s="20">
        <f>IF($Q1864="","",INDEX(상세표[연속 시간],$Q1864))</f>
        <v/>
      </c>
      <c r="J1864">
        <f>IF($Q1864="","",INDEX(상세표[기록 수],$Q1864))</f>
        <v/>
      </c>
      <c r="K1864" s="20">
        <f>IF($Q1864="","",INDEX(상세표[블록 06~07시],$Q1864))</f>
        <v/>
      </c>
      <c r="L1864" s="20">
        <f>IF($Q1864="","",INDEX(상세표[블록 07~18시],$Q1864))</f>
        <v/>
      </c>
      <c r="M1864" s="20">
        <f>IF($Q1864="","",INDEX(상세표[블록 18~22시],$Q1864))</f>
        <v/>
      </c>
      <c r="N1864" s="20">
        <f>IF($Q1864="","",INDEX(상세표[블록 22~06시],$Q1864))</f>
        <v/>
      </c>
      <c r="O1864">
        <f>IF($Q1864="","",INDEX(상세표[주말·휴일 포함],$Q1864)&amp;"")</f>
        <v/>
      </c>
      <c r="P1864">
        <f>IF($Q1864="","",INDEX(상세표[월 넘김 포함],$Q1864)&amp;"")</f>
        <v/>
      </c>
      <c r="Q1864" s="4">
        <f>IFERROR(MATCH(1859,상세표[연속순번],0),"")</f>
        <v/>
      </c>
    </row>
    <row r="1865">
      <c r="A1865">
        <f>IF($Q1865="","",INDEX(상세표[부서],$Q1865)&amp;"")</f>
        <v/>
      </c>
      <c r="B1865">
        <f>IF($Q1865="","",INDEX(상세표[사번],$Q1865)&amp;"")</f>
        <v/>
      </c>
      <c r="C1865">
        <f>IF($Q1865="","",INDEX(상세표[성명],$Q1865)&amp;"")</f>
        <v/>
      </c>
      <c r="D1865">
        <f>IF($Q1865="","",INDEX(상세표[직위],$Q1865)&amp;"")</f>
        <v/>
      </c>
      <c r="E1865">
        <f>IF($Q1865="","",IF(ISNUMBER(INDEX(상세표[근무일자],$Q1865)),TEXT(INDEX(상세표[근무일자],$Q1865),"yyyy-mm-dd"),INDEX(상세표[근무일자],$Q1865)&amp;""))</f>
        <v/>
      </c>
      <c r="F1865">
        <f>IF($Q1865="","",IF(ISNUMBER(INDEX(상세표[시작],$Q1865)),TEXT(INDEX(상세표[시작],$Q1865),"yyyy-mm-dd hh:mm"),INDEX(상세표[시작],$Q1865)&amp;""))</f>
        <v/>
      </c>
      <c r="G1865">
        <f>IF($Q1865="","",IF(ISNUMBER(INDEX(상세표[블록종료],$Q1865)),TEXT(INDEX(상세표[블록종료],$Q1865),"yyyy-mm-dd hh:mm"),INDEX(상세표[블록종료],$Q1865)&amp;""))</f>
        <v/>
      </c>
      <c r="H1865">
        <f>IF($Q1865="","",CHOOSE(WEEKDAY(INDEX(상세표[시작],$Q1865)),"일","월","화","수","목","금","토"))</f>
        <v/>
      </c>
      <c r="I1865" s="20">
        <f>IF($Q1865="","",INDEX(상세표[연속 시간],$Q1865))</f>
        <v/>
      </c>
      <c r="J1865">
        <f>IF($Q1865="","",INDEX(상세표[기록 수],$Q1865))</f>
        <v/>
      </c>
      <c r="K1865" s="20">
        <f>IF($Q1865="","",INDEX(상세표[블록 06~07시],$Q1865))</f>
        <v/>
      </c>
      <c r="L1865" s="20">
        <f>IF($Q1865="","",INDEX(상세표[블록 07~18시],$Q1865))</f>
        <v/>
      </c>
      <c r="M1865" s="20">
        <f>IF($Q1865="","",INDEX(상세표[블록 18~22시],$Q1865))</f>
        <v/>
      </c>
      <c r="N1865" s="20">
        <f>IF($Q1865="","",INDEX(상세표[블록 22~06시],$Q1865))</f>
        <v/>
      </c>
      <c r="O1865">
        <f>IF($Q1865="","",INDEX(상세표[주말·휴일 포함],$Q1865)&amp;"")</f>
        <v/>
      </c>
      <c r="P1865">
        <f>IF($Q1865="","",INDEX(상세표[월 넘김 포함],$Q1865)&amp;"")</f>
        <v/>
      </c>
      <c r="Q1865" s="4">
        <f>IFERROR(MATCH(1860,상세표[연속순번],0),"")</f>
        <v/>
      </c>
    </row>
    <row r="1866">
      <c r="A1866">
        <f>IF($Q1866="","",INDEX(상세표[부서],$Q1866)&amp;"")</f>
        <v/>
      </c>
      <c r="B1866">
        <f>IF($Q1866="","",INDEX(상세표[사번],$Q1866)&amp;"")</f>
        <v/>
      </c>
      <c r="C1866">
        <f>IF($Q1866="","",INDEX(상세표[성명],$Q1866)&amp;"")</f>
        <v/>
      </c>
      <c r="D1866">
        <f>IF($Q1866="","",INDEX(상세표[직위],$Q1866)&amp;"")</f>
        <v/>
      </c>
      <c r="E1866">
        <f>IF($Q1866="","",IF(ISNUMBER(INDEX(상세표[근무일자],$Q1866)),TEXT(INDEX(상세표[근무일자],$Q1866),"yyyy-mm-dd"),INDEX(상세표[근무일자],$Q1866)&amp;""))</f>
        <v/>
      </c>
      <c r="F1866">
        <f>IF($Q1866="","",IF(ISNUMBER(INDEX(상세표[시작],$Q1866)),TEXT(INDEX(상세표[시작],$Q1866),"yyyy-mm-dd hh:mm"),INDEX(상세표[시작],$Q1866)&amp;""))</f>
        <v/>
      </c>
      <c r="G1866">
        <f>IF($Q1866="","",IF(ISNUMBER(INDEX(상세표[블록종료],$Q1866)),TEXT(INDEX(상세표[블록종료],$Q1866),"yyyy-mm-dd hh:mm"),INDEX(상세표[블록종료],$Q1866)&amp;""))</f>
        <v/>
      </c>
      <c r="H1866">
        <f>IF($Q1866="","",CHOOSE(WEEKDAY(INDEX(상세표[시작],$Q1866)),"일","월","화","수","목","금","토"))</f>
        <v/>
      </c>
      <c r="I1866" s="20">
        <f>IF($Q1866="","",INDEX(상세표[연속 시간],$Q1866))</f>
        <v/>
      </c>
      <c r="J1866">
        <f>IF($Q1866="","",INDEX(상세표[기록 수],$Q1866))</f>
        <v/>
      </c>
      <c r="K1866" s="20">
        <f>IF($Q1866="","",INDEX(상세표[블록 06~07시],$Q1866))</f>
        <v/>
      </c>
      <c r="L1866" s="20">
        <f>IF($Q1866="","",INDEX(상세표[블록 07~18시],$Q1866))</f>
        <v/>
      </c>
      <c r="M1866" s="20">
        <f>IF($Q1866="","",INDEX(상세표[블록 18~22시],$Q1866))</f>
        <v/>
      </c>
      <c r="N1866" s="20">
        <f>IF($Q1866="","",INDEX(상세표[블록 22~06시],$Q1866))</f>
        <v/>
      </c>
      <c r="O1866">
        <f>IF($Q1866="","",INDEX(상세표[주말·휴일 포함],$Q1866)&amp;"")</f>
        <v/>
      </c>
      <c r="P1866">
        <f>IF($Q1866="","",INDEX(상세표[월 넘김 포함],$Q1866)&amp;"")</f>
        <v/>
      </c>
      <c r="Q1866" s="4">
        <f>IFERROR(MATCH(1861,상세표[연속순번],0),"")</f>
        <v/>
      </c>
    </row>
    <row r="1867">
      <c r="A1867">
        <f>IF($Q1867="","",INDEX(상세표[부서],$Q1867)&amp;"")</f>
        <v/>
      </c>
      <c r="B1867">
        <f>IF($Q1867="","",INDEX(상세표[사번],$Q1867)&amp;"")</f>
        <v/>
      </c>
      <c r="C1867">
        <f>IF($Q1867="","",INDEX(상세표[성명],$Q1867)&amp;"")</f>
        <v/>
      </c>
      <c r="D1867">
        <f>IF($Q1867="","",INDEX(상세표[직위],$Q1867)&amp;"")</f>
        <v/>
      </c>
      <c r="E1867">
        <f>IF($Q1867="","",IF(ISNUMBER(INDEX(상세표[근무일자],$Q1867)),TEXT(INDEX(상세표[근무일자],$Q1867),"yyyy-mm-dd"),INDEX(상세표[근무일자],$Q1867)&amp;""))</f>
        <v/>
      </c>
      <c r="F1867">
        <f>IF($Q1867="","",IF(ISNUMBER(INDEX(상세표[시작],$Q1867)),TEXT(INDEX(상세표[시작],$Q1867),"yyyy-mm-dd hh:mm"),INDEX(상세표[시작],$Q1867)&amp;""))</f>
        <v/>
      </c>
      <c r="G1867">
        <f>IF($Q1867="","",IF(ISNUMBER(INDEX(상세표[블록종료],$Q1867)),TEXT(INDEX(상세표[블록종료],$Q1867),"yyyy-mm-dd hh:mm"),INDEX(상세표[블록종료],$Q1867)&amp;""))</f>
        <v/>
      </c>
      <c r="H1867">
        <f>IF($Q1867="","",CHOOSE(WEEKDAY(INDEX(상세표[시작],$Q1867)),"일","월","화","수","목","금","토"))</f>
        <v/>
      </c>
      <c r="I1867" s="20">
        <f>IF($Q1867="","",INDEX(상세표[연속 시간],$Q1867))</f>
        <v/>
      </c>
      <c r="J1867">
        <f>IF($Q1867="","",INDEX(상세표[기록 수],$Q1867))</f>
        <v/>
      </c>
      <c r="K1867" s="20">
        <f>IF($Q1867="","",INDEX(상세표[블록 06~07시],$Q1867))</f>
        <v/>
      </c>
      <c r="L1867" s="20">
        <f>IF($Q1867="","",INDEX(상세표[블록 07~18시],$Q1867))</f>
        <v/>
      </c>
      <c r="M1867" s="20">
        <f>IF($Q1867="","",INDEX(상세표[블록 18~22시],$Q1867))</f>
        <v/>
      </c>
      <c r="N1867" s="20">
        <f>IF($Q1867="","",INDEX(상세표[블록 22~06시],$Q1867))</f>
        <v/>
      </c>
      <c r="O1867">
        <f>IF($Q1867="","",INDEX(상세표[주말·휴일 포함],$Q1867)&amp;"")</f>
        <v/>
      </c>
      <c r="P1867">
        <f>IF($Q1867="","",INDEX(상세표[월 넘김 포함],$Q1867)&amp;"")</f>
        <v/>
      </c>
      <c r="Q1867" s="4">
        <f>IFERROR(MATCH(1862,상세표[연속순번],0),"")</f>
        <v/>
      </c>
    </row>
    <row r="1868">
      <c r="A1868">
        <f>IF($Q1868="","",INDEX(상세표[부서],$Q1868)&amp;"")</f>
        <v/>
      </c>
      <c r="B1868">
        <f>IF($Q1868="","",INDEX(상세표[사번],$Q1868)&amp;"")</f>
        <v/>
      </c>
      <c r="C1868">
        <f>IF($Q1868="","",INDEX(상세표[성명],$Q1868)&amp;"")</f>
        <v/>
      </c>
      <c r="D1868">
        <f>IF($Q1868="","",INDEX(상세표[직위],$Q1868)&amp;"")</f>
        <v/>
      </c>
      <c r="E1868">
        <f>IF($Q1868="","",IF(ISNUMBER(INDEX(상세표[근무일자],$Q1868)),TEXT(INDEX(상세표[근무일자],$Q1868),"yyyy-mm-dd"),INDEX(상세표[근무일자],$Q1868)&amp;""))</f>
        <v/>
      </c>
      <c r="F1868">
        <f>IF($Q1868="","",IF(ISNUMBER(INDEX(상세표[시작],$Q1868)),TEXT(INDEX(상세표[시작],$Q1868),"yyyy-mm-dd hh:mm"),INDEX(상세표[시작],$Q1868)&amp;""))</f>
        <v/>
      </c>
      <c r="G1868">
        <f>IF($Q1868="","",IF(ISNUMBER(INDEX(상세표[블록종료],$Q1868)),TEXT(INDEX(상세표[블록종료],$Q1868),"yyyy-mm-dd hh:mm"),INDEX(상세표[블록종료],$Q1868)&amp;""))</f>
        <v/>
      </c>
      <c r="H1868">
        <f>IF($Q1868="","",CHOOSE(WEEKDAY(INDEX(상세표[시작],$Q1868)),"일","월","화","수","목","금","토"))</f>
        <v/>
      </c>
      <c r="I1868" s="20">
        <f>IF($Q1868="","",INDEX(상세표[연속 시간],$Q1868))</f>
        <v/>
      </c>
      <c r="J1868">
        <f>IF($Q1868="","",INDEX(상세표[기록 수],$Q1868))</f>
        <v/>
      </c>
      <c r="K1868" s="20">
        <f>IF($Q1868="","",INDEX(상세표[블록 06~07시],$Q1868))</f>
        <v/>
      </c>
      <c r="L1868" s="20">
        <f>IF($Q1868="","",INDEX(상세표[블록 07~18시],$Q1868))</f>
        <v/>
      </c>
      <c r="M1868" s="20">
        <f>IF($Q1868="","",INDEX(상세표[블록 18~22시],$Q1868))</f>
        <v/>
      </c>
      <c r="N1868" s="20">
        <f>IF($Q1868="","",INDEX(상세표[블록 22~06시],$Q1868))</f>
        <v/>
      </c>
      <c r="O1868">
        <f>IF($Q1868="","",INDEX(상세표[주말·휴일 포함],$Q1868)&amp;"")</f>
        <v/>
      </c>
      <c r="P1868">
        <f>IF($Q1868="","",INDEX(상세표[월 넘김 포함],$Q1868)&amp;"")</f>
        <v/>
      </c>
      <c r="Q1868" s="4">
        <f>IFERROR(MATCH(1863,상세표[연속순번],0),"")</f>
        <v/>
      </c>
    </row>
    <row r="1869">
      <c r="A1869">
        <f>IF($Q1869="","",INDEX(상세표[부서],$Q1869)&amp;"")</f>
        <v/>
      </c>
      <c r="B1869">
        <f>IF($Q1869="","",INDEX(상세표[사번],$Q1869)&amp;"")</f>
        <v/>
      </c>
      <c r="C1869">
        <f>IF($Q1869="","",INDEX(상세표[성명],$Q1869)&amp;"")</f>
        <v/>
      </c>
      <c r="D1869">
        <f>IF($Q1869="","",INDEX(상세표[직위],$Q1869)&amp;"")</f>
        <v/>
      </c>
      <c r="E1869">
        <f>IF($Q1869="","",IF(ISNUMBER(INDEX(상세표[근무일자],$Q1869)),TEXT(INDEX(상세표[근무일자],$Q1869),"yyyy-mm-dd"),INDEX(상세표[근무일자],$Q1869)&amp;""))</f>
        <v/>
      </c>
      <c r="F1869">
        <f>IF($Q1869="","",IF(ISNUMBER(INDEX(상세표[시작],$Q1869)),TEXT(INDEX(상세표[시작],$Q1869),"yyyy-mm-dd hh:mm"),INDEX(상세표[시작],$Q1869)&amp;""))</f>
        <v/>
      </c>
      <c r="G1869">
        <f>IF($Q1869="","",IF(ISNUMBER(INDEX(상세표[블록종료],$Q1869)),TEXT(INDEX(상세표[블록종료],$Q1869),"yyyy-mm-dd hh:mm"),INDEX(상세표[블록종료],$Q1869)&amp;""))</f>
        <v/>
      </c>
      <c r="H1869">
        <f>IF($Q1869="","",CHOOSE(WEEKDAY(INDEX(상세표[시작],$Q1869)),"일","월","화","수","목","금","토"))</f>
        <v/>
      </c>
      <c r="I1869" s="20">
        <f>IF($Q1869="","",INDEX(상세표[연속 시간],$Q1869))</f>
        <v/>
      </c>
      <c r="J1869">
        <f>IF($Q1869="","",INDEX(상세표[기록 수],$Q1869))</f>
        <v/>
      </c>
      <c r="K1869" s="20">
        <f>IF($Q1869="","",INDEX(상세표[블록 06~07시],$Q1869))</f>
        <v/>
      </c>
      <c r="L1869" s="20">
        <f>IF($Q1869="","",INDEX(상세표[블록 07~18시],$Q1869))</f>
        <v/>
      </c>
      <c r="M1869" s="20">
        <f>IF($Q1869="","",INDEX(상세표[블록 18~22시],$Q1869))</f>
        <v/>
      </c>
      <c r="N1869" s="20">
        <f>IF($Q1869="","",INDEX(상세표[블록 22~06시],$Q1869))</f>
        <v/>
      </c>
      <c r="O1869">
        <f>IF($Q1869="","",INDEX(상세표[주말·휴일 포함],$Q1869)&amp;"")</f>
        <v/>
      </c>
      <c r="P1869">
        <f>IF($Q1869="","",INDEX(상세표[월 넘김 포함],$Q1869)&amp;"")</f>
        <v/>
      </c>
      <c r="Q1869" s="4">
        <f>IFERROR(MATCH(1864,상세표[연속순번],0),"")</f>
        <v/>
      </c>
    </row>
    <row r="1870">
      <c r="A1870">
        <f>IF($Q1870="","",INDEX(상세표[부서],$Q1870)&amp;"")</f>
        <v/>
      </c>
      <c r="B1870">
        <f>IF($Q1870="","",INDEX(상세표[사번],$Q1870)&amp;"")</f>
        <v/>
      </c>
      <c r="C1870">
        <f>IF($Q1870="","",INDEX(상세표[성명],$Q1870)&amp;"")</f>
        <v/>
      </c>
      <c r="D1870">
        <f>IF($Q1870="","",INDEX(상세표[직위],$Q1870)&amp;"")</f>
        <v/>
      </c>
      <c r="E1870">
        <f>IF($Q1870="","",IF(ISNUMBER(INDEX(상세표[근무일자],$Q1870)),TEXT(INDEX(상세표[근무일자],$Q1870),"yyyy-mm-dd"),INDEX(상세표[근무일자],$Q1870)&amp;""))</f>
        <v/>
      </c>
      <c r="F1870">
        <f>IF($Q1870="","",IF(ISNUMBER(INDEX(상세표[시작],$Q1870)),TEXT(INDEX(상세표[시작],$Q1870),"yyyy-mm-dd hh:mm"),INDEX(상세표[시작],$Q1870)&amp;""))</f>
        <v/>
      </c>
      <c r="G1870">
        <f>IF($Q1870="","",IF(ISNUMBER(INDEX(상세표[블록종료],$Q1870)),TEXT(INDEX(상세표[블록종료],$Q1870),"yyyy-mm-dd hh:mm"),INDEX(상세표[블록종료],$Q1870)&amp;""))</f>
        <v/>
      </c>
      <c r="H1870">
        <f>IF($Q1870="","",CHOOSE(WEEKDAY(INDEX(상세표[시작],$Q1870)),"일","월","화","수","목","금","토"))</f>
        <v/>
      </c>
      <c r="I1870" s="20">
        <f>IF($Q1870="","",INDEX(상세표[연속 시간],$Q1870))</f>
        <v/>
      </c>
      <c r="J1870">
        <f>IF($Q1870="","",INDEX(상세표[기록 수],$Q1870))</f>
        <v/>
      </c>
      <c r="K1870" s="20">
        <f>IF($Q1870="","",INDEX(상세표[블록 06~07시],$Q1870))</f>
        <v/>
      </c>
      <c r="L1870" s="20">
        <f>IF($Q1870="","",INDEX(상세표[블록 07~18시],$Q1870))</f>
        <v/>
      </c>
      <c r="M1870" s="20">
        <f>IF($Q1870="","",INDEX(상세표[블록 18~22시],$Q1870))</f>
        <v/>
      </c>
      <c r="N1870" s="20">
        <f>IF($Q1870="","",INDEX(상세표[블록 22~06시],$Q1870))</f>
        <v/>
      </c>
      <c r="O1870">
        <f>IF($Q1870="","",INDEX(상세표[주말·휴일 포함],$Q1870)&amp;"")</f>
        <v/>
      </c>
      <c r="P1870">
        <f>IF($Q1870="","",INDEX(상세표[월 넘김 포함],$Q1870)&amp;"")</f>
        <v/>
      </c>
      <c r="Q1870" s="4">
        <f>IFERROR(MATCH(1865,상세표[연속순번],0),"")</f>
        <v/>
      </c>
    </row>
    <row r="1871">
      <c r="A1871">
        <f>IF($Q1871="","",INDEX(상세표[부서],$Q1871)&amp;"")</f>
        <v/>
      </c>
      <c r="B1871">
        <f>IF($Q1871="","",INDEX(상세표[사번],$Q1871)&amp;"")</f>
        <v/>
      </c>
      <c r="C1871">
        <f>IF($Q1871="","",INDEX(상세표[성명],$Q1871)&amp;"")</f>
        <v/>
      </c>
      <c r="D1871">
        <f>IF($Q1871="","",INDEX(상세표[직위],$Q1871)&amp;"")</f>
        <v/>
      </c>
      <c r="E1871">
        <f>IF($Q1871="","",IF(ISNUMBER(INDEX(상세표[근무일자],$Q1871)),TEXT(INDEX(상세표[근무일자],$Q1871),"yyyy-mm-dd"),INDEX(상세표[근무일자],$Q1871)&amp;""))</f>
        <v/>
      </c>
      <c r="F1871">
        <f>IF($Q1871="","",IF(ISNUMBER(INDEX(상세표[시작],$Q1871)),TEXT(INDEX(상세표[시작],$Q1871),"yyyy-mm-dd hh:mm"),INDEX(상세표[시작],$Q1871)&amp;""))</f>
        <v/>
      </c>
      <c r="G1871">
        <f>IF($Q1871="","",IF(ISNUMBER(INDEX(상세표[블록종료],$Q1871)),TEXT(INDEX(상세표[블록종료],$Q1871),"yyyy-mm-dd hh:mm"),INDEX(상세표[블록종료],$Q1871)&amp;""))</f>
        <v/>
      </c>
      <c r="H1871">
        <f>IF($Q1871="","",CHOOSE(WEEKDAY(INDEX(상세표[시작],$Q1871)),"일","월","화","수","목","금","토"))</f>
        <v/>
      </c>
      <c r="I1871" s="20">
        <f>IF($Q1871="","",INDEX(상세표[연속 시간],$Q1871))</f>
        <v/>
      </c>
      <c r="J1871">
        <f>IF($Q1871="","",INDEX(상세표[기록 수],$Q1871))</f>
        <v/>
      </c>
      <c r="K1871" s="20">
        <f>IF($Q1871="","",INDEX(상세표[블록 06~07시],$Q1871))</f>
        <v/>
      </c>
      <c r="L1871" s="20">
        <f>IF($Q1871="","",INDEX(상세표[블록 07~18시],$Q1871))</f>
        <v/>
      </c>
      <c r="M1871" s="20">
        <f>IF($Q1871="","",INDEX(상세표[블록 18~22시],$Q1871))</f>
        <v/>
      </c>
      <c r="N1871" s="20">
        <f>IF($Q1871="","",INDEX(상세표[블록 22~06시],$Q1871))</f>
        <v/>
      </c>
      <c r="O1871">
        <f>IF($Q1871="","",INDEX(상세표[주말·휴일 포함],$Q1871)&amp;"")</f>
        <v/>
      </c>
      <c r="P1871">
        <f>IF($Q1871="","",INDEX(상세표[월 넘김 포함],$Q1871)&amp;"")</f>
        <v/>
      </c>
      <c r="Q1871" s="4">
        <f>IFERROR(MATCH(1866,상세표[연속순번],0),"")</f>
        <v/>
      </c>
    </row>
    <row r="1872">
      <c r="A1872">
        <f>IF($Q1872="","",INDEX(상세표[부서],$Q1872)&amp;"")</f>
        <v/>
      </c>
      <c r="B1872">
        <f>IF($Q1872="","",INDEX(상세표[사번],$Q1872)&amp;"")</f>
        <v/>
      </c>
      <c r="C1872">
        <f>IF($Q1872="","",INDEX(상세표[성명],$Q1872)&amp;"")</f>
        <v/>
      </c>
      <c r="D1872">
        <f>IF($Q1872="","",INDEX(상세표[직위],$Q1872)&amp;"")</f>
        <v/>
      </c>
      <c r="E1872">
        <f>IF($Q1872="","",IF(ISNUMBER(INDEX(상세표[근무일자],$Q1872)),TEXT(INDEX(상세표[근무일자],$Q1872),"yyyy-mm-dd"),INDEX(상세표[근무일자],$Q1872)&amp;""))</f>
        <v/>
      </c>
      <c r="F1872">
        <f>IF($Q1872="","",IF(ISNUMBER(INDEX(상세표[시작],$Q1872)),TEXT(INDEX(상세표[시작],$Q1872),"yyyy-mm-dd hh:mm"),INDEX(상세표[시작],$Q1872)&amp;""))</f>
        <v/>
      </c>
      <c r="G1872">
        <f>IF($Q1872="","",IF(ISNUMBER(INDEX(상세표[블록종료],$Q1872)),TEXT(INDEX(상세표[블록종료],$Q1872),"yyyy-mm-dd hh:mm"),INDEX(상세표[블록종료],$Q1872)&amp;""))</f>
        <v/>
      </c>
      <c r="H1872">
        <f>IF($Q1872="","",CHOOSE(WEEKDAY(INDEX(상세표[시작],$Q1872)),"일","월","화","수","목","금","토"))</f>
        <v/>
      </c>
      <c r="I1872" s="20">
        <f>IF($Q1872="","",INDEX(상세표[연속 시간],$Q1872))</f>
        <v/>
      </c>
      <c r="J1872">
        <f>IF($Q1872="","",INDEX(상세표[기록 수],$Q1872))</f>
        <v/>
      </c>
      <c r="K1872" s="20">
        <f>IF($Q1872="","",INDEX(상세표[블록 06~07시],$Q1872))</f>
        <v/>
      </c>
      <c r="L1872" s="20">
        <f>IF($Q1872="","",INDEX(상세표[블록 07~18시],$Q1872))</f>
        <v/>
      </c>
      <c r="M1872" s="20">
        <f>IF($Q1872="","",INDEX(상세표[블록 18~22시],$Q1872))</f>
        <v/>
      </c>
      <c r="N1872" s="20">
        <f>IF($Q1872="","",INDEX(상세표[블록 22~06시],$Q1872))</f>
        <v/>
      </c>
      <c r="O1872">
        <f>IF($Q1872="","",INDEX(상세표[주말·휴일 포함],$Q1872)&amp;"")</f>
        <v/>
      </c>
      <c r="P1872">
        <f>IF($Q1872="","",INDEX(상세표[월 넘김 포함],$Q1872)&amp;"")</f>
        <v/>
      </c>
      <c r="Q1872" s="4">
        <f>IFERROR(MATCH(1867,상세표[연속순번],0),"")</f>
        <v/>
      </c>
    </row>
    <row r="1873">
      <c r="A1873">
        <f>IF($Q1873="","",INDEX(상세표[부서],$Q1873)&amp;"")</f>
        <v/>
      </c>
      <c r="B1873">
        <f>IF($Q1873="","",INDEX(상세표[사번],$Q1873)&amp;"")</f>
        <v/>
      </c>
      <c r="C1873">
        <f>IF($Q1873="","",INDEX(상세표[성명],$Q1873)&amp;"")</f>
        <v/>
      </c>
      <c r="D1873">
        <f>IF($Q1873="","",INDEX(상세표[직위],$Q1873)&amp;"")</f>
        <v/>
      </c>
      <c r="E1873">
        <f>IF($Q1873="","",IF(ISNUMBER(INDEX(상세표[근무일자],$Q1873)),TEXT(INDEX(상세표[근무일자],$Q1873),"yyyy-mm-dd"),INDEX(상세표[근무일자],$Q1873)&amp;""))</f>
        <v/>
      </c>
      <c r="F1873">
        <f>IF($Q1873="","",IF(ISNUMBER(INDEX(상세표[시작],$Q1873)),TEXT(INDEX(상세표[시작],$Q1873),"yyyy-mm-dd hh:mm"),INDEX(상세표[시작],$Q1873)&amp;""))</f>
        <v/>
      </c>
      <c r="G1873">
        <f>IF($Q1873="","",IF(ISNUMBER(INDEX(상세표[블록종료],$Q1873)),TEXT(INDEX(상세표[블록종료],$Q1873),"yyyy-mm-dd hh:mm"),INDEX(상세표[블록종료],$Q1873)&amp;""))</f>
        <v/>
      </c>
      <c r="H1873">
        <f>IF($Q1873="","",CHOOSE(WEEKDAY(INDEX(상세표[시작],$Q1873)),"일","월","화","수","목","금","토"))</f>
        <v/>
      </c>
      <c r="I1873" s="20">
        <f>IF($Q1873="","",INDEX(상세표[연속 시간],$Q1873))</f>
        <v/>
      </c>
      <c r="J1873">
        <f>IF($Q1873="","",INDEX(상세표[기록 수],$Q1873))</f>
        <v/>
      </c>
      <c r="K1873" s="20">
        <f>IF($Q1873="","",INDEX(상세표[블록 06~07시],$Q1873))</f>
        <v/>
      </c>
      <c r="L1873" s="20">
        <f>IF($Q1873="","",INDEX(상세표[블록 07~18시],$Q1873))</f>
        <v/>
      </c>
      <c r="M1873" s="20">
        <f>IF($Q1873="","",INDEX(상세표[블록 18~22시],$Q1873))</f>
        <v/>
      </c>
      <c r="N1873" s="20">
        <f>IF($Q1873="","",INDEX(상세표[블록 22~06시],$Q1873))</f>
        <v/>
      </c>
      <c r="O1873">
        <f>IF($Q1873="","",INDEX(상세표[주말·휴일 포함],$Q1873)&amp;"")</f>
        <v/>
      </c>
      <c r="P1873">
        <f>IF($Q1873="","",INDEX(상세표[월 넘김 포함],$Q1873)&amp;"")</f>
        <v/>
      </c>
      <c r="Q1873" s="4">
        <f>IFERROR(MATCH(1868,상세표[연속순번],0),"")</f>
        <v/>
      </c>
    </row>
    <row r="1874">
      <c r="A1874">
        <f>IF($Q1874="","",INDEX(상세표[부서],$Q1874)&amp;"")</f>
        <v/>
      </c>
      <c r="B1874">
        <f>IF($Q1874="","",INDEX(상세표[사번],$Q1874)&amp;"")</f>
        <v/>
      </c>
      <c r="C1874">
        <f>IF($Q1874="","",INDEX(상세표[성명],$Q1874)&amp;"")</f>
        <v/>
      </c>
      <c r="D1874">
        <f>IF($Q1874="","",INDEX(상세표[직위],$Q1874)&amp;"")</f>
        <v/>
      </c>
      <c r="E1874">
        <f>IF($Q1874="","",IF(ISNUMBER(INDEX(상세표[근무일자],$Q1874)),TEXT(INDEX(상세표[근무일자],$Q1874),"yyyy-mm-dd"),INDEX(상세표[근무일자],$Q1874)&amp;""))</f>
        <v/>
      </c>
      <c r="F1874">
        <f>IF($Q1874="","",IF(ISNUMBER(INDEX(상세표[시작],$Q1874)),TEXT(INDEX(상세표[시작],$Q1874),"yyyy-mm-dd hh:mm"),INDEX(상세표[시작],$Q1874)&amp;""))</f>
        <v/>
      </c>
      <c r="G1874">
        <f>IF($Q1874="","",IF(ISNUMBER(INDEX(상세표[블록종료],$Q1874)),TEXT(INDEX(상세표[블록종료],$Q1874),"yyyy-mm-dd hh:mm"),INDEX(상세표[블록종료],$Q1874)&amp;""))</f>
        <v/>
      </c>
      <c r="H1874">
        <f>IF($Q1874="","",CHOOSE(WEEKDAY(INDEX(상세표[시작],$Q1874)),"일","월","화","수","목","금","토"))</f>
        <v/>
      </c>
      <c r="I1874" s="20">
        <f>IF($Q1874="","",INDEX(상세표[연속 시간],$Q1874))</f>
        <v/>
      </c>
      <c r="J1874">
        <f>IF($Q1874="","",INDEX(상세표[기록 수],$Q1874))</f>
        <v/>
      </c>
      <c r="K1874" s="20">
        <f>IF($Q1874="","",INDEX(상세표[블록 06~07시],$Q1874))</f>
        <v/>
      </c>
      <c r="L1874" s="20">
        <f>IF($Q1874="","",INDEX(상세표[블록 07~18시],$Q1874))</f>
        <v/>
      </c>
      <c r="M1874" s="20">
        <f>IF($Q1874="","",INDEX(상세표[블록 18~22시],$Q1874))</f>
        <v/>
      </c>
      <c r="N1874" s="20">
        <f>IF($Q1874="","",INDEX(상세표[블록 22~06시],$Q1874))</f>
        <v/>
      </c>
      <c r="O1874">
        <f>IF($Q1874="","",INDEX(상세표[주말·휴일 포함],$Q1874)&amp;"")</f>
        <v/>
      </c>
      <c r="P1874">
        <f>IF($Q1874="","",INDEX(상세표[월 넘김 포함],$Q1874)&amp;"")</f>
        <v/>
      </c>
      <c r="Q1874" s="4">
        <f>IFERROR(MATCH(1869,상세표[연속순번],0),"")</f>
        <v/>
      </c>
    </row>
    <row r="1875">
      <c r="A1875">
        <f>IF($Q1875="","",INDEX(상세표[부서],$Q1875)&amp;"")</f>
        <v/>
      </c>
      <c r="B1875">
        <f>IF($Q1875="","",INDEX(상세표[사번],$Q1875)&amp;"")</f>
        <v/>
      </c>
      <c r="C1875">
        <f>IF($Q1875="","",INDEX(상세표[성명],$Q1875)&amp;"")</f>
        <v/>
      </c>
      <c r="D1875">
        <f>IF($Q1875="","",INDEX(상세표[직위],$Q1875)&amp;"")</f>
        <v/>
      </c>
      <c r="E1875">
        <f>IF($Q1875="","",IF(ISNUMBER(INDEX(상세표[근무일자],$Q1875)),TEXT(INDEX(상세표[근무일자],$Q1875),"yyyy-mm-dd"),INDEX(상세표[근무일자],$Q1875)&amp;""))</f>
        <v/>
      </c>
      <c r="F1875">
        <f>IF($Q1875="","",IF(ISNUMBER(INDEX(상세표[시작],$Q1875)),TEXT(INDEX(상세표[시작],$Q1875),"yyyy-mm-dd hh:mm"),INDEX(상세표[시작],$Q1875)&amp;""))</f>
        <v/>
      </c>
      <c r="G1875">
        <f>IF($Q1875="","",IF(ISNUMBER(INDEX(상세표[블록종료],$Q1875)),TEXT(INDEX(상세표[블록종료],$Q1875),"yyyy-mm-dd hh:mm"),INDEX(상세표[블록종료],$Q1875)&amp;""))</f>
        <v/>
      </c>
      <c r="H1875">
        <f>IF($Q1875="","",CHOOSE(WEEKDAY(INDEX(상세표[시작],$Q1875)),"일","월","화","수","목","금","토"))</f>
        <v/>
      </c>
      <c r="I1875" s="20">
        <f>IF($Q1875="","",INDEX(상세표[연속 시간],$Q1875))</f>
        <v/>
      </c>
      <c r="J1875">
        <f>IF($Q1875="","",INDEX(상세표[기록 수],$Q1875))</f>
        <v/>
      </c>
      <c r="K1875" s="20">
        <f>IF($Q1875="","",INDEX(상세표[블록 06~07시],$Q1875))</f>
        <v/>
      </c>
      <c r="L1875" s="20">
        <f>IF($Q1875="","",INDEX(상세표[블록 07~18시],$Q1875))</f>
        <v/>
      </c>
      <c r="M1875" s="20">
        <f>IF($Q1875="","",INDEX(상세표[블록 18~22시],$Q1875))</f>
        <v/>
      </c>
      <c r="N1875" s="20">
        <f>IF($Q1875="","",INDEX(상세표[블록 22~06시],$Q1875))</f>
        <v/>
      </c>
      <c r="O1875">
        <f>IF($Q1875="","",INDEX(상세표[주말·휴일 포함],$Q1875)&amp;"")</f>
        <v/>
      </c>
      <c r="P1875">
        <f>IF($Q1875="","",INDEX(상세표[월 넘김 포함],$Q1875)&amp;"")</f>
        <v/>
      </c>
      <c r="Q1875" s="4">
        <f>IFERROR(MATCH(1870,상세표[연속순번],0),"")</f>
        <v/>
      </c>
    </row>
    <row r="1876">
      <c r="A1876">
        <f>IF($Q1876="","",INDEX(상세표[부서],$Q1876)&amp;"")</f>
        <v/>
      </c>
      <c r="B1876">
        <f>IF($Q1876="","",INDEX(상세표[사번],$Q1876)&amp;"")</f>
        <v/>
      </c>
      <c r="C1876">
        <f>IF($Q1876="","",INDEX(상세표[성명],$Q1876)&amp;"")</f>
        <v/>
      </c>
      <c r="D1876">
        <f>IF($Q1876="","",INDEX(상세표[직위],$Q1876)&amp;"")</f>
        <v/>
      </c>
      <c r="E1876">
        <f>IF($Q1876="","",IF(ISNUMBER(INDEX(상세표[근무일자],$Q1876)),TEXT(INDEX(상세표[근무일자],$Q1876),"yyyy-mm-dd"),INDEX(상세표[근무일자],$Q1876)&amp;""))</f>
        <v/>
      </c>
      <c r="F1876">
        <f>IF($Q1876="","",IF(ISNUMBER(INDEX(상세표[시작],$Q1876)),TEXT(INDEX(상세표[시작],$Q1876),"yyyy-mm-dd hh:mm"),INDEX(상세표[시작],$Q1876)&amp;""))</f>
        <v/>
      </c>
      <c r="G1876">
        <f>IF($Q1876="","",IF(ISNUMBER(INDEX(상세표[블록종료],$Q1876)),TEXT(INDEX(상세표[블록종료],$Q1876),"yyyy-mm-dd hh:mm"),INDEX(상세표[블록종료],$Q1876)&amp;""))</f>
        <v/>
      </c>
      <c r="H1876">
        <f>IF($Q1876="","",CHOOSE(WEEKDAY(INDEX(상세표[시작],$Q1876)),"일","월","화","수","목","금","토"))</f>
        <v/>
      </c>
      <c r="I1876" s="20">
        <f>IF($Q1876="","",INDEX(상세표[연속 시간],$Q1876))</f>
        <v/>
      </c>
      <c r="J1876">
        <f>IF($Q1876="","",INDEX(상세표[기록 수],$Q1876))</f>
        <v/>
      </c>
      <c r="K1876" s="20">
        <f>IF($Q1876="","",INDEX(상세표[블록 06~07시],$Q1876))</f>
        <v/>
      </c>
      <c r="L1876" s="20">
        <f>IF($Q1876="","",INDEX(상세표[블록 07~18시],$Q1876))</f>
        <v/>
      </c>
      <c r="M1876" s="20">
        <f>IF($Q1876="","",INDEX(상세표[블록 18~22시],$Q1876))</f>
        <v/>
      </c>
      <c r="N1876" s="20">
        <f>IF($Q1876="","",INDEX(상세표[블록 22~06시],$Q1876))</f>
        <v/>
      </c>
      <c r="O1876">
        <f>IF($Q1876="","",INDEX(상세표[주말·휴일 포함],$Q1876)&amp;"")</f>
        <v/>
      </c>
      <c r="P1876">
        <f>IF($Q1876="","",INDEX(상세표[월 넘김 포함],$Q1876)&amp;"")</f>
        <v/>
      </c>
      <c r="Q1876" s="4">
        <f>IFERROR(MATCH(1871,상세표[연속순번],0),"")</f>
        <v/>
      </c>
    </row>
    <row r="1877">
      <c r="A1877">
        <f>IF($Q1877="","",INDEX(상세표[부서],$Q1877)&amp;"")</f>
        <v/>
      </c>
      <c r="B1877">
        <f>IF($Q1877="","",INDEX(상세표[사번],$Q1877)&amp;"")</f>
        <v/>
      </c>
      <c r="C1877">
        <f>IF($Q1877="","",INDEX(상세표[성명],$Q1877)&amp;"")</f>
        <v/>
      </c>
      <c r="D1877">
        <f>IF($Q1877="","",INDEX(상세표[직위],$Q1877)&amp;"")</f>
        <v/>
      </c>
      <c r="E1877">
        <f>IF($Q1877="","",IF(ISNUMBER(INDEX(상세표[근무일자],$Q1877)),TEXT(INDEX(상세표[근무일자],$Q1877),"yyyy-mm-dd"),INDEX(상세표[근무일자],$Q1877)&amp;""))</f>
        <v/>
      </c>
      <c r="F1877">
        <f>IF($Q1877="","",IF(ISNUMBER(INDEX(상세표[시작],$Q1877)),TEXT(INDEX(상세표[시작],$Q1877),"yyyy-mm-dd hh:mm"),INDEX(상세표[시작],$Q1877)&amp;""))</f>
        <v/>
      </c>
      <c r="G1877">
        <f>IF($Q1877="","",IF(ISNUMBER(INDEX(상세표[블록종료],$Q1877)),TEXT(INDEX(상세표[블록종료],$Q1877),"yyyy-mm-dd hh:mm"),INDEX(상세표[블록종료],$Q1877)&amp;""))</f>
        <v/>
      </c>
      <c r="H1877">
        <f>IF($Q1877="","",CHOOSE(WEEKDAY(INDEX(상세표[시작],$Q1877)),"일","월","화","수","목","금","토"))</f>
        <v/>
      </c>
      <c r="I1877" s="20">
        <f>IF($Q1877="","",INDEX(상세표[연속 시간],$Q1877))</f>
        <v/>
      </c>
      <c r="J1877">
        <f>IF($Q1877="","",INDEX(상세표[기록 수],$Q1877))</f>
        <v/>
      </c>
      <c r="K1877" s="20">
        <f>IF($Q1877="","",INDEX(상세표[블록 06~07시],$Q1877))</f>
        <v/>
      </c>
      <c r="L1877" s="20">
        <f>IF($Q1877="","",INDEX(상세표[블록 07~18시],$Q1877))</f>
        <v/>
      </c>
      <c r="M1877" s="20">
        <f>IF($Q1877="","",INDEX(상세표[블록 18~22시],$Q1877))</f>
        <v/>
      </c>
      <c r="N1877" s="20">
        <f>IF($Q1877="","",INDEX(상세표[블록 22~06시],$Q1877))</f>
        <v/>
      </c>
      <c r="O1877">
        <f>IF($Q1877="","",INDEX(상세표[주말·휴일 포함],$Q1877)&amp;"")</f>
        <v/>
      </c>
      <c r="P1877">
        <f>IF($Q1877="","",INDEX(상세표[월 넘김 포함],$Q1877)&amp;"")</f>
        <v/>
      </c>
      <c r="Q1877" s="4">
        <f>IFERROR(MATCH(1872,상세표[연속순번],0),"")</f>
        <v/>
      </c>
    </row>
    <row r="1878">
      <c r="A1878">
        <f>IF($Q1878="","",INDEX(상세표[부서],$Q1878)&amp;"")</f>
        <v/>
      </c>
      <c r="B1878">
        <f>IF($Q1878="","",INDEX(상세표[사번],$Q1878)&amp;"")</f>
        <v/>
      </c>
      <c r="C1878">
        <f>IF($Q1878="","",INDEX(상세표[성명],$Q1878)&amp;"")</f>
        <v/>
      </c>
      <c r="D1878">
        <f>IF($Q1878="","",INDEX(상세표[직위],$Q1878)&amp;"")</f>
        <v/>
      </c>
      <c r="E1878">
        <f>IF($Q1878="","",IF(ISNUMBER(INDEX(상세표[근무일자],$Q1878)),TEXT(INDEX(상세표[근무일자],$Q1878),"yyyy-mm-dd"),INDEX(상세표[근무일자],$Q1878)&amp;""))</f>
        <v/>
      </c>
      <c r="F1878">
        <f>IF($Q1878="","",IF(ISNUMBER(INDEX(상세표[시작],$Q1878)),TEXT(INDEX(상세표[시작],$Q1878),"yyyy-mm-dd hh:mm"),INDEX(상세표[시작],$Q1878)&amp;""))</f>
        <v/>
      </c>
      <c r="G1878">
        <f>IF($Q1878="","",IF(ISNUMBER(INDEX(상세표[블록종료],$Q1878)),TEXT(INDEX(상세표[블록종료],$Q1878),"yyyy-mm-dd hh:mm"),INDEX(상세표[블록종료],$Q1878)&amp;""))</f>
        <v/>
      </c>
      <c r="H1878">
        <f>IF($Q1878="","",CHOOSE(WEEKDAY(INDEX(상세표[시작],$Q1878)),"일","월","화","수","목","금","토"))</f>
        <v/>
      </c>
      <c r="I1878" s="20">
        <f>IF($Q1878="","",INDEX(상세표[연속 시간],$Q1878))</f>
        <v/>
      </c>
      <c r="J1878">
        <f>IF($Q1878="","",INDEX(상세표[기록 수],$Q1878))</f>
        <v/>
      </c>
      <c r="K1878" s="20">
        <f>IF($Q1878="","",INDEX(상세표[블록 06~07시],$Q1878))</f>
        <v/>
      </c>
      <c r="L1878" s="20">
        <f>IF($Q1878="","",INDEX(상세표[블록 07~18시],$Q1878))</f>
        <v/>
      </c>
      <c r="M1878" s="20">
        <f>IF($Q1878="","",INDEX(상세표[블록 18~22시],$Q1878))</f>
        <v/>
      </c>
      <c r="N1878" s="20">
        <f>IF($Q1878="","",INDEX(상세표[블록 22~06시],$Q1878))</f>
        <v/>
      </c>
      <c r="O1878">
        <f>IF($Q1878="","",INDEX(상세표[주말·휴일 포함],$Q1878)&amp;"")</f>
        <v/>
      </c>
      <c r="P1878">
        <f>IF($Q1878="","",INDEX(상세표[월 넘김 포함],$Q1878)&amp;"")</f>
        <v/>
      </c>
      <c r="Q1878" s="4">
        <f>IFERROR(MATCH(1873,상세표[연속순번],0),"")</f>
        <v/>
      </c>
    </row>
    <row r="1879">
      <c r="A1879">
        <f>IF($Q1879="","",INDEX(상세표[부서],$Q1879)&amp;"")</f>
        <v/>
      </c>
      <c r="B1879">
        <f>IF($Q1879="","",INDEX(상세표[사번],$Q1879)&amp;"")</f>
        <v/>
      </c>
      <c r="C1879">
        <f>IF($Q1879="","",INDEX(상세표[성명],$Q1879)&amp;"")</f>
        <v/>
      </c>
      <c r="D1879">
        <f>IF($Q1879="","",INDEX(상세표[직위],$Q1879)&amp;"")</f>
        <v/>
      </c>
      <c r="E1879">
        <f>IF($Q1879="","",IF(ISNUMBER(INDEX(상세표[근무일자],$Q1879)),TEXT(INDEX(상세표[근무일자],$Q1879),"yyyy-mm-dd"),INDEX(상세표[근무일자],$Q1879)&amp;""))</f>
        <v/>
      </c>
      <c r="F1879">
        <f>IF($Q1879="","",IF(ISNUMBER(INDEX(상세표[시작],$Q1879)),TEXT(INDEX(상세표[시작],$Q1879),"yyyy-mm-dd hh:mm"),INDEX(상세표[시작],$Q1879)&amp;""))</f>
        <v/>
      </c>
      <c r="G1879">
        <f>IF($Q1879="","",IF(ISNUMBER(INDEX(상세표[블록종료],$Q1879)),TEXT(INDEX(상세표[블록종료],$Q1879),"yyyy-mm-dd hh:mm"),INDEX(상세표[블록종료],$Q1879)&amp;""))</f>
        <v/>
      </c>
      <c r="H1879">
        <f>IF($Q1879="","",CHOOSE(WEEKDAY(INDEX(상세표[시작],$Q1879)),"일","월","화","수","목","금","토"))</f>
        <v/>
      </c>
      <c r="I1879" s="20">
        <f>IF($Q1879="","",INDEX(상세표[연속 시간],$Q1879))</f>
        <v/>
      </c>
      <c r="J1879">
        <f>IF($Q1879="","",INDEX(상세표[기록 수],$Q1879))</f>
        <v/>
      </c>
      <c r="K1879" s="20">
        <f>IF($Q1879="","",INDEX(상세표[블록 06~07시],$Q1879))</f>
        <v/>
      </c>
      <c r="L1879" s="20">
        <f>IF($Q1879="","",INDEX(상세표[블록 07~18시],$Q1879))</f>
        <v/>
      </c>
      <c r="M1879" s="20">
        <f>IF($Q1879="","",INDEX(상세표[블록 18~22시],$Q1879))</f>
        <v/>
      </c>
      <c r="N1879" s="20">
        <f>IF($Q1879="","",INDEX(상세표[블록 22~06시],$Q1879))</f>
        <v/>
      </c>
      <c r="O1879">
        <f>IF($Q1879="","",INDEX(상세표[주말·휴일 포함],$Q1879)&amp;"")</f>
        <v/>
      </c>
      <c r="P1879">
        <f>IF($Q1879="","",INDEX(상세표[월 넘김 포함],$Q1879)&amp;"")</f>
        <v/>
      </c>
      <c r="Q1879" s="4">
        <f>IFERROR(MATCH(1874,상세표[연속순번],0),"")</f>
        <v/>
      </c>
    </row>
    <row r="1880">
      <c r="A1880">
        <f>IF($Q1880="","",INDEX(상세표[부서],$Q1880)&amp;"")</f>
        <v/>
      </c>
      <c r="B1880">
        <f>IF($Q1880="","",INDEX(상세표[사번],$Q1880)&amp;"")</f>
        <v/>
      </c>
      <c r="C1880">
        <f>IF($Q1880="","",INDEX(상세표[성명],$Q1880)&amp;"")</f>
        <v/>
      </c>
      <c r="D1880">
        <f>IF($Q1880="","",INDEX(상세표[직위],$Q1880)&amp;"")</f>
        <v/>
      </c>
      <c r="E1880">
        <f>IF($Q1880="","",IF(ISNUMBER(INDEX(상세표[근무일자],$Q1880)),TEXT(INDEX(상세표[근무일자],$Q1880),"yyyy-mm-dd"),INDEX(상세표[근무일자],$Q1880)&amp;""))</f>
        <v/>
      </c>
      <c r="F1880">
        <f>IF($Q1880="","",IF(ISNUMBER(INDEX(상세표[시작],$Q1880)),TEXT(INDEX(상세표[시작],$Q1880),"yyyy-mm-dd hh:mm"),INDEX(상세표[시작],$Q1880)&amp;""))</f>
        <v/>
      </c>
      <c r="G1880">
        <f>IF($Q1880="","",IF(ISNUMBER(INDEX(상세표[블록종료],$Q1880)),TEXT(INDEX(상세표[블록종료],$Q1880),"yyyy-mm-dd hh:mm"),INDEX(상세표[블록종료],$Q1880)&amp;""))</f>
        <v/>
      </c>
      <c r="H1880">
        <f>IF($Q1880="","",CHOOSE(WEEKDAY(INDEX(상세표[시작],$Q1880)),"일","월","화","수","목","금","토"))</f>
        <v/>
      </c>
      <c r="I1880" s="20">
        <f>IF($Q1880="","",INDEX(상세표[연속 시간],$Q1880))</f>
        <v/>
      </c>
      <c r="J1880">
        <f>IF($Q1880="","",INDEX(상세표[기록 수],$Q1880))</f>
        <v/>
      </c>
      <c r="K1880" s="20">
        <f>IF($Q1880="","",INDEX(상세표[블록 06~07시],$Q1880))</f>
        <v/>
      </c>
      <c r="L1880" s="20">
        <f>IF($Q1880="","",INDEX(상세표[블록 07~18시],$Q1880))</f>
        <v/>
      </c>
      <c r="M1880" s="20">
        <f>IF($Q1880="","",INDEX(상세표[블록 18~22시],$Q1880))</f>
        <v/>
      </c>
      <c r="N1880" s="20">
        <f>IF($Q1880="","",INDEX(상세표[블록 22~06시],$Q1880))</f>
        <v/>
      </c>
      <c r="O1880">
        <f>IF($Q1880="","",INDEX(상세표[주말·휴일 포함],$Q1880)&amp;"")</f>
        <v/>
      </c>
      <c r="P1880">
        <f>IF($Q1880="","",INDEX(상세표[월 넘김 포함],$Q1880)&amp;"")</f>
        <v/>
      </c>
      <c r="Q1880" s="4">
        <f>IFERROR(MATCH(1875,상세표[연속순번],0),"")</f>
        <v/>
      </c>
    </row>
    <row r="1881">
      <c r="A1881">
        <f>IF($Q1881="","",INDEX(상세표[부서],$Q1881)&amp;"")</f>
        <v/>
      </c>
      <c r="B1881">
        <f>IF($Q1881="","",INDEX(상세표[사번],$Q1881)&amp;"")</f>
        <v/>
      </c>
      <c r="C1881">
        <f>IF($Q1881="","",INDEX(상세표[성명],$Q1881)&amp;"")</f>
        <v/>
      </c>
      <c r="D1881">
        <f>IF($Q1881="","",INDEX(상세표[직위],$Q1881)&amp;"")</f>
        <v/>
      </c>
      <c r="E1881">
        <f>IF($Q1881="","",IF(ISNUMBER(INDEX(상세표[근무일자],$Q1881)),TEXT(INDEX(상세표[근무일자],$Q1881),"yyyy-mm-dd"),INDEX(상세표[근무일자],$Q1881)&amp;""))</f>
        <v/>
      </c>
      <c r="F1881">
        <f>IF($Q1881="","",IF(ISNUMBER(INDEX(상세표[시작],$Q1881)),TEXT(INDEX(상세표[시작],$Q1881),"yyyy-mm-dd hh:mm"),INDEX(상세표[시작],$Q1881)&amp;""))</f>
        <v/>
      </c>
      <c r="G1881">
        <f>IF($Q1881="","",IF(ISNUMBER(INDEX(상세표[블록종료],$Q1881)),TEXT(INDEX(상세표[블록종료],$Q1881),"yyyy-mm-dd hh:mm"),INDEX(상세표[블록종료],$Q1881)&amp;""))</f>
        <v/>
      </c>
      <c r="H1881">
        <f>IF($Q1881="","",CHOOSE(WEEKDAY(INDEX(상세표[시작],$Q1881)),"일","월","화","수","목","금","토"))</f>
        <v/>
      </c>
      <c r="I1881" s="20">
        <f>IF($Q1881="","",INDEX(상세표[연속 시간],$Q1881))</f>
        <v/>
      </c>
      <c r="J1881">
        <f>IF($Q1881="","",INDEX(상세표[기록 수],$Q1881))</f>
        <v/>
      </c>
      <c r="K1881" s="20">
        <f>IF($Q1881="","",INDEX(상세표[블록 06~07시],$Q1881))</f>
        <v/>
      </c>
      <c r="L1881" s="20">
        <f>IF($Q1881="","",INDEX(상세표[블록 07~18시],$Q1881))</f>
        <v/>
      </c>
      <c r="M1881" s="20">
        <f>IF($Q1881="","",INDEX(상세표[블록 18~22시],$Q1881))</f>
        <v/>
      </c>
      <c r="N1881" s="20">
        <f>IF($Q1881="","",INDEX(상세표[블록 22~06시],$Q1881))</f>
        <v/>
      </c>
      <c r="O1881">
        <f>IF($Q1881="","",INDEX(상세표[주말·휴일 포함],$Q1881)&amp;"")</f>
        <v/>
      </c>
      <c r="P1881">
        <f>IF($Q1881="","",INDEX(상세표[월 넘김 포함],$Q1881)&amp;"")</f>
        <v/>
      </c>
      <c r="Q1881" s="4">
        <f>IFERROR(MATCH(1876,상세표[연속순번],0),"")</f>
        <v/>
      </c>
    </row>
    <row r="1882">
      <c r="A1882">
        <f>IF($Q1882="","",INDEX(상세표[부서],$Q1882)&amp;"")</f>
        <v/>
      </c>
      <c r="B1882">
        <f>IF($Q1882="","",INDEX(상세표[사번],$Q1882)&amp;"")</f>
        <v/>
      </c>
      <c r="C1882">
        <f>IF($Q1882="","",INDEX(상세표[성명],$Q1882)&amp;"")</f>
        <v/>
      </c>
      <c r="D1882">
        <f>IF($Q1882="","",INDEX(상세표[직위],$Q1882)&amp;"")</f>
        <v/>
      </c>
      <c r="E1882">
        <f>IF($Q1882="","",IF(ISNUMBER(INDEX(상세표[근무일자],$Q1882)),TEXT(INDEX(상세표[근무일자],$Q1882),"yyyy-mm-dd"),INDEX(상세표[근무일자],$Q1882)&amp;""))</f>
        <v/>
      </c>
      <c r="F1882">
        <f>IF($Q1882="","",IF(ISNUMBER(INDEX(상세표[시작],$Q1882)),TEXT(INDEX(상세표[시작],$Q1882),"yyyy-mm-dd hh:mm"),INDEX(상세표[시작],$Q1882)&amp;""))</f>
        <v/>
      </c>
      <c r="G1882">
        <f>IF($Q1882="","",IF(ISNUMBER(INDEX(상세표[블록종료],$Q1882)),TEXT(INDEX(상세표[블록종료],$Q1882),"yyyy-mm-dd hh:mm"),INDEX(상세표[블록종료],$Q1882)&amp;""))</f>
        <v/>
      </c>
      <c r="H1882">
        <f>IF($Q1882="","",CHOOSE(WEEKDAY(INDEX(상세표[시작],$Q1882)),"일","월","화","수","목","금","토"))</f>
        <v/>
      </c>
      <c r="I1882" s="20">
        <f>IF($Q1882="","",INDEX(상세표[연속 시간],$Q1882))</f>
        <v/>
      </c>
      <c r="J1882">
        <f>IF($Q1882="","",INDEX(상세표[기록 수],$Q1882))</f>
        <v/>
      </c>
      <c r="K1882" s="20">
        <f>IF($Q1882="","",INDEX(상세표[블록 06~07시],$Q1882))</f>
        <v/>
      </c>
      <c r="L1882" s="20">
        <f>IF($Q1882="","",INDEX(상세표[블록 07~18시],$Q1882))</f>
        <v/>
      </c>
      <c r="M1882" s="20">
        <f>IF($Q1882="","",INDEX(상세표[블록 18~22시],$Q1882))</f>
        <v/>
      </c>
      <c r="N1882" s="20">
        <f>IF($Q1882="","",INDEX(상세표[블록 22~06시],$Q1882))</f>
        <v/>
      </c>
      <c r="O1882">
        <f>IF($Q1882="","",INDEX(상세표[주말·휴일 포함],$Q1882)&amp;"")</f>
        <v/>
      </c>
      <c r="P1882">
        <f>IF($Q1882="","",INDEX(상세표[월 넘김 포함],$Q1882)&amp;"")</f>
        <v/>
      </c>
      <c r="Q1882" s="4">
        <f>IFERROR(MATCH(1877,상세표[연속순번],0),"")</f>
        <v/>
      </c>
    </row>
    <row r="1883">
      <c r="A1883">
        <f>IF($Q1883="","",INDEX(상세표[부서],$Q1883)&amp;"")</f>
        <v/>
      </c>
      <c r="B1883">
        <f>IF($Q1883="","",INDEX(상세표[사번],$Q1883)&amp;"")</f>
        <v/>
      </c>
      <c r="C1883">
        <f>IF($Q1883="","",INDEX(상세표[성명],$Q1883)&amp;"")</f>
        <v/>
      </c>
      <c r="D1883">
        <f>IF($Q1883="","",INDEX(상세표[직위],$Q1883)&amp;"")</f>
        <v/>
      </c>
      <c r="E1883">
        <f>IF($Q1883="","",IF(ISNUMBER(INDEX(상세표[근무일자],$Q1883)),TEXT(INDEX(상세표[근무일자],$Q1883),"yyyy-mm-dd"),INDEX(상세표[근무일자],$Q1883)&amp;""))</f>
        <v/>
      </c>
      <c r="F1883">
        <f>IF($Q1883="","",IF(ISNUMBER(INDEX(상세표[시작],$Q1883)),TEXT(INDEX(상세표[시작],$Q1883),"yyyy-mm-dd hh:mm"),INDEX(상세표[시작],$Q1883)&amp;""))</f>
        <v/>
      </c>
      <c r="G1883">
        <f>IF($Q1883="","",IF(ISNUMBER(INDEX(상세표[블록종료],$Q1883)),TEXT(INDEX(상세표[블록종료],$Q1883),"yyyy-mm-dd hh:mm"),INDEX(상세표[블록종료],$Q1883)&amp;""))</f>
        <v/>
      </c>
      <c r="H1883">
        <f>IF($Q1883="","",CHOOSE(WEEKDAY(INDEX(상세표[시작],$Q1883)),"일","월","화","수","목","금","토"))</f>
        <v/>
      </c>
      <c r="I1883" s="20">
        <f>IF($Q1883="","",INDEX(상세표[연속 시간],$Q1883))</f>
        <v/>
      </c>
      <c r="J1883">
        <f>IF($Q1883="","",INDEX(상세표[기록 수],$Q1883))</f>
        <v/>
      </c>
      <c r="K1883" s="20">
        <f>IF($Q1883="","",INDEX(상세표[블록 06~07시],$Q1883))</f>
        <v/>
      </c>
      <c r="L1883" s="20">
        <f>IF($Q1883="","",INDEX(상세표[블록 07~18시],$Q1883))</f>
        <v/>
      </c>
      <c r="M1883" s="20">
        <f>IF($Q1883="","",INDEX(상세표[블록 18~22시],$Q1883))</f>
        <v/>
      </c>
      <c r="N1883" s="20">
        <f>IF($Q1883="","",INDEX(상세표[블록 22~06시],$Q1883))</f>
        <v/>
      </c>
      <c r="O1883">
        <f>IF($Q1883="","",INDEX(상세표[주말·휴일 포함],$Q1883)&amp;"")</f>
        <v/>
      </c>
      <c r="P1883">
        <f>IF($Q1883="","",INDEX(상세표[월 넘김 포함],$Q1883)&amp;"")</f>
        <v/>
      </c>
      <c r="Q1883" s="4">
        <f>IFERROR(MATCH(1878,상세표[연속순번],0),"")</f>
        <v/>
      </c>
    </row>
    <row r="1884">
      <c r="A1884">
        <f>IF($Q1884="","",INDEX(상세표[부서],$Q1884)&amp;"")</f>
        <v/>
      </c>
      <c r="B1884">
        <f>IF($Q1884="","",INDEX(상세표[사번],$Q1884)&amp;"")</f>
        <v/>
      </c>
      <c r="C1884">
        <f>IF($Q1884="","",INDEX(상세표[성명],$Q1884)&amp;"")</f>
        <v/>
      </c>
      <c r="D1884">
        <f>IF($Q1884="","",INDEX(상세표[직위],$Q1884)&amp;"")</f>
        <v/>
      </c>
      <c r="E1884">
        <f>IF($Q1884="","",IF(ISNUMBER(INDEX(상세표[근무일자],$Q1884)),TEXT(INDEX(상세표[근무일자],$Q1884),"yyyy-mm-dd"),INDEX(상세표[근무일자],$Q1884)&amp;""))</f>
        <v/>
      </c>
      <c r="F1884">
        <f>IF($Q1884="","",IF(ISNUMBER(INDEX(상세표[시작],$Q1884)),TEXT(INDEX(상세표[시작],$Q1884),"yyyy-mm-dd hh:mm"),INDEX(상세표[시작],$Q1884)&amp;""))</f>
        <v/>
      </c>
      <c r="G1884">
        <f>IF($Q1884="","",IF(ISNUMBER(INDEX(상세표[블록종료],$Q1884)),TEXT(INDEX(상세표[블록종료],$Q1884),"yyyy-mm-dd hh:mm"),INDEX(상세표[블록종료],$Q1884)&amp;""))</f>
        <v/>
      </c>
      <c r="H1884">
        <f>IF($Q1884="","",CHOOSE(WEEKDAY(INDEX(상세표[시작],$Q1884)),"일","월","화","수","목","금","토"))</f>
        <v/>
      </c>
      <c r="I1884" s="20">
        <f>IF($Q1884="","",INDEX(상세표[연속 시간],$Q1884))</f>
        <v/>
      </c>
      <c r="J1884">
        <f>IF($Q1884="","",INDEX(상세표[기록 수],$Q1884))</f>
        <v/>
      </c>
      <c r="K1884" s="20">
        <f>IF($Q1884="","",INDEX(상세표[블록 06~07시],$Q1884))</f>
        <v/>
      </c>
      <c r="L1884" s="20">
        <f>IF($Q1884="","",INDEX(상세표[블록 07~18시],$Q1884))</f>
        <v/>
      </c>
      <c r="M1884" s="20">
        <f>IF($Q1884="","",INDEX(상세표[블록 18~22시],$Q1884))</f>
        <v/>
      </c>
      <c r="N1884" s="20">
        <f>IF($Q1884="","",INDEX(상세표[블록 22~06시],$Q1884))</f>
        <v/>
      </c>
      <c r="O1884">
        <f>IF($Q1884="","",INDEX(상세표[주말·휴일 포함],$Q1884)&amp;"")</f>
        <v/>
      </c>
      <c r="P1884">
        <f>IF($Q1884="","",INDEX(상세표[월 넘김 포함],$Q1884)&amp;"")</f>
        <v/>
      </c>
      <c r="Q1884" s="4">
        <f>IFERROR(MATCH(1879,상세표[연속순번],0),"")</f>
        <v/>
      </c>
    </row>
    <row r="1885">
      <c r="A1885">
        <f>IF($Q1885="","",INDEX(상세표[부서],$Q1885)&amp;"")</f>
        <v/>
      </c>
      <c r="B1885">
        <f>IF($Q1885="","",INDEX(상세표[사번],$Q1885)&amp;"")</f>
        <v/>
      </c>
      <c r="C1885">
        <f>IF($Q1885="","",INDEX(상세표[성명],$Q1885)&amp;"")</f>
        <v/>
      </c>
      <c r="D1885">
        <f>IF($Q1885="","",INDEX(상세표[직위],$Q1885)&amp;"")</f>
        <v/>
      </c>
      <c r="E1885">
        <f>IF($Q1885="","",IF(ISNUMBER(INDEX(상세표[근무일자],$Q1885)),TEXT(INDEX(상세표[근무일자],$Q1885),"yyyy-mm-dd"),INDEX(상세표[근무일자],$Q1885)&amp;""))</f>
        <v/>
      </c>
      <c r="F1885">
        <f>IF($Q1885="","",IF(ISNUMBER(INDEX(상세표[시작],$Q1885)),TEXT(INDEX(상세표[시작],$Q1885),"yyyy-mm-dd hh:mm"),INDEX(상세표[시작],$Q1885)&amp;""))</f>
        <v/>
      </c>
      <c r="G1885">
        <f>IF($Q1885="","",IF(ISNUMBER(INDEX(상세표[블록종료],$Q1885)),TEXT(INDEX(상세표[블록종료],$Q1885),"yyyy-mm-dd hh:mm"),INDEX(상세표[블록종료],$Q1885)&amp;""))</f>
        <v/>
      </c>
      <c r="H1885">
        <f>IF($Q1885="","",CHOOSE(WEEKDAY(INDEX(상세표[시작],$Q1885)),"일","월","화","수","목","금","토"))</f>
        <v/>
      </c>
      <c r="I1885" s="20">
        <f>IF($Q1885="","",INDEX(상세표[연속 시간],$Q1885))</f>
        <v/>
      </c>
      <c r="J1885">
        <f>IF($Q1885="","",INDEX(상세표[기록 수],$Q1885))</f>
        <v/>
      </c>
      <c r="K1885" s="20">
        <f>IF($Q1885="","",INDEX(상세표[블록 06~07시],$Q1885))</f>
        <v/>
      </c>
      <c r="L1885" s="20">
        <f>IF($Q1885="","",INDEX(상세표[블록 07~18시],$Q1885))</f>
        <v/>
      </c>
      <c r="M1885" s="20">
        <f>IF($Q1885="","",INDEX(상세표[블록 18~22시],$Q1885))</f>
        <v/>
      </c>
      <c r="N1885" s="20">
        <f>IF($Q1885="","",INDEX(상세표[블록 22~06시],$Q1885))</f>
        <v/>
      </c>
      <c r="O1885">
        <f>IF($Q1885="","",INDEX(상세표[주말·휴일 포함],$Q1885)&amp;"")</f>
        <v/>
      </c>
      <c r="P1885">
        <f>IF($Q1885="","",INDEX(상세표[월 넘김 포함],$Q1885)&amp;"")</f>
        <v/>
      </c>
      <c r="Q1885" s="4">
        <f>IFERROR(MATCH(1880,상세표[연속순번],0),"")</f>
        <v/>
      </c>
    </row>
    <row r="1886">
      <c r="A1886">
        <f>IF($Q1886="","",INDEX(상세표[부서],$Q1886)&amp;"")</f>
        <v/>
      </c>
      <c r="B1886">
        <f>IF($Q1886="","",INDEX(상세표[사번],$Q1886)&amp;"")</f>
        <v/>
      </c>
      <c r="C1886">
        <f>IF($Q1886="","",INDEX(상세표[성명],$Q1886)&amp;"")</f>
        <v/>
      </c>
      <c r="D1886">
        <f>IF($Q1886="","",INDEX(상세표[직위],$Q1886)&amp;"")</f>
        <v/>
      </c>
      <c r="E1886">
        <f>IF($Q1886="","",IF(ISNUMBER(INDEX(상세표[근무일자],$Q1886)),TEXT(INDEX(상세표[근무일자],$Q1886),"yyyy-mm-dd"),INDEX(상세표[근무일자],$Q1886)&amp;""))</f>
        <v/>
      </c>
      <c r="F1886">
        <f>IF($Q1886="","",IF(ISNUMBER(INDEX(상세표[시작],$Q1886)),TEXT(INDEX(상세표[시작],$Q1886),"yyyy-mm-dd hh:mm"),INDEX(상세표[시작],$Q1886)&amp;""))</f>
        <v/>
      </c>
      <c r="G1886">
        <f>IF($Q1886="","",IF(ISNUMBER(INDEX(상세표[블록종료],$Q1886)),TEXT(INDEX(상세표[블록종료],$Q1886),"yyyy-mm-dd hh:mm"),INDEX(상세표[블록종료],$Q1886)&amp;""))</f>
        <v/>
      </c>
      <c r="H1886">
        <f>IF($Q1886="","",CHOOSE(WEEKDAY(INDEX(상세표[시작],$Q1886)),"일","월","화","수","목","금","토"))</f>
        <v/>
      </c>
      <c r="I1886" s="20">
        <f>IF($Q1886="","",INDEX(상세표[연속 시간],$Q1886))</f>
        <v/>
      </c>
      <c r="J1886">
        <f>IF($Q1886="","",INDEX(상세표[기록 수],$Q1886))</f>
        <v/>
      </c>
      <c r="K1886" s="20">
        <f>IF($Q1886="","",INDEX(상세표[블록 06~07시],$Q1886))</f>
        <v/>
      </c>
      <c r="L1886" s="20">
        <f>IF($Q1886="","",INDEX(상세표[블록 07~18시],$Q1886))</f>
        <v/>
      </c>
      <c r="M1886" s="20">
        <f>IF($Q1886="","",INDEX(상세표[블록 18~22시],$Q1886))</f>
        <v/>
      </c>
      <c r="N1886" s="20">
        <f>IF($Q1886="","",INDEX(상세표[블록 22~06시],$Q1886))</f>
        <v/>
      </c>
      <c r="O1886">
        <f>IF($Q1886="","",INDEX(상세표[주말·휴일 포함],$Q1886)&amp;"")</f>
        <v/>
      </c>
      <c r="P1886">
        <f>IF($Q1886="","",INDEX(상세표[월 넘김 포함],$Q1886)&amp;"")</f>
        <v/>
      </c>
      <c r="Q1886" s="4">
        <f>IFERROR(MATCH(1881,상세표[연속순번],0),"")</f>
        <v/>
      </c>
    </row>
    <row r="1887">
      <c r="A1887">
        <f>IF($Q1887="","",INDEX(상세표[부서],$Q1887)&amp;"")</f>
        <v/>
      </c>
      <c r="B1887">
        <f>IF($Q1887="","",INDEX(상세표[사번],$Q1887)&amp;"")</f>
        <v/>
      </c>
      <c r="C1887">
        <f>IF($Q1887="","",INDEX(상세표[성명],$Q1887)&amp;"")</f>
        <v/>
      </c>
      <c r="D1887">
        <f>IF($Q1887="","",INDEX(상세표[직위],$Q1887)&amp;"")</f>
        <v/>
      </c>
      <c r="E1887">
        <f>IF($Q1887="","",IF(ISNUMBER(INDEX(상세표[근무일자],$Q1887)),TEXT(INDEX(상세표[근무일자],$Q1887),"yyyy-mm-dd"),INDEX(상세표[근무일자],$Q1887)&amp;""))</f>
        <v/>
      </c>
      <c r="F1887">
        <f>IF($Q1887="","",IF(ISNUMBER(INDEX(상세표[시작],$Q1887)),TEXT(INDEX(상세표[시작],$Q1887),"yyyy-mm-dd hh:mm"),INDEX(상세표[시작],$Q1887)&amp;""))</f>
        <v/>
      </c>
      <c r="G1887">
        <f>IF($Q1887="","",IF(ISNUMBER(INDEX(상세표[블록종료],$Q1887)),TEXT(INDEX(상세표[블록종료],$Q1887),"yyyy-mm-dd hh:mm"),INDEX(상세표[블록종료],$Q1887)&amp;""))</f>
        <v/>
      </c>
      <c r="H1887">
        <f>IF($Q1887="","",CHOOSE(WEEKDAY(INDEX(상세표[시작],$Q1887)),"일","월","화","수","목","금","토"))</f>
        <v/>
      </c>
      <c r="I1887" s="20">
        <f>IF($Q1887="","",INDEX(상세표[연속 시간],$Q1887))</f>
        <v/>
      </c>
      <c r="J1887">
        <f>IF($Q1887="","",INDEX(상세표[기록 수],$Q1887))</f>
        <v/>
      </c>
      <c r="K1887" s="20">
        <f>IF($Q1887="","",INDEX(상세표[블록 06~07시],$Q1887))</f>
        <v/>
      </c>
      <c r="L1887" s="20">
        <f>IF($Q1887="","",INDEX(상세표[블록 07~18시],$Q1887))</f>
        <v/>
      </c>
      <c r="M1887" s="20">
        <f>IF($Q1887="","",INDEX(상세표[블록 18~22시],$Q1887))</f>
        <v/>
      </c>
      <c r="N1887" s="20">
        <f>IF($Q1887="","",INDEX(상세표[블록 22~06시],$Q1887))</f>
        <v/>
      </c>
      <c r="O1887">
        <f>IF($Q1887="","",INDEX(상세표[주말·휴일 포함],$Q1887)&amp;"")</f>
        <v/>
      </c>
      <c r="P1887">
        <f>IF($Q1887="","",INDEX(상세표[월 넘김 포함],$Q1887)&amp;"")</f>
        <v/>
      </c>
      <c r="Q1887" s="4">
        <f>IFERROR(MATCH(1882,상세표[연속순번],0),"")</f>
        <v/>
      </c>
    </row>
    <row r="1888">
      <c r="A1888">
        <f>IF($Q1888="","",INDEX(상세표[부서],$Q1888)&amp;"")</f>
        <v/>
      </c>
      <c r="B1888">
        <f>IF($Q1888="","",INDEX(상세표[사번],$Q1888)&amp;"")</f>
        <v/>
      </c>
      <c r="C1888">
        <f>IF($Q1888="","",INDEX(상세표[성명],$Q1888)&amp;"")</f>
        <v/>
      </c>
      <c r="D1888">
        <f>IF($Q1888="","",INDEX(상세표[직위],$Q1888)&amp;"")</f>
        <v/>
      </c>
      <c r="E1888">
        <f>IF($Q1888="","",IF(ISNUMBER(INDEX(상세표[근무일자],$Q1888)),TEXT(INDEX(상세표[근무일자],$Q1888),"yyyy-mm-dd"),INDEX(상세표[근무일자],$Q1888)&amp;""))</f>
        <v/>
      </c>
      <c r="F1888">
        <f>IF($Q1888="","",IF(ISNUMBER(INDEX(상세표[시작],$Q1888)),TEXT(INDEX(상세표[시작],$Q1888),"yyyy-mm-dd hh:mm"),INDEX(상세표[시작],$Q1888)&amp;""))</f>
        <v/>
      </c>
      <c r="G1888">
        <f>IF($Q1888="","",IF(ISNUMBER(INDEX(상세표[블록종료],$Q1888)),TEXT(INDEX(상세표[블록종료],$Q1888),"yyyy-mm-dd hh:mm"),INDEX(상세표[블록종료],$Q1888)&amp;""))</f>
        <v/>
      </c>
      <c r="H1888">
        <f>IF($Q1888="","",CHOOSE(WEEKDAY(INDEX(상세표[시작],$Q1888)),"일","월","화","수","목","금","토"))</f>
        <v/>
      </c>
      <c r="I1888" s="20">
        <f>IF($Q1888="","",INDEX(상세표[연속 시간],$Q1888))</f>
        <v/>
      </c>
      <c r="J1888">
        <f>IF($Q1888="","",INDEX(상세표[기록 수],$Q1888))</f>
        <v/>
      </c>
      <c r="K1888" s="20">
        <f>IF($Q1888="","",INDEX(상세표[블록 06~07시],$Q1888))</f>
        <v/>
      </c>
      <c r="L1888" s="20">
        <f>IF($Q1888="","",INDEX(상세표[블록 07~18시],$Q1888))</f>
        <v/>
      </c>
      <c r="M1888" s="20">
        <f>IF($Q1888="","",INDEX(상세표[블록 18~22시],$Q1888))</f>
        <v/>
      </c>
      <c r="N1888" s="20">
        <f>IF($Q1888="","",INDEX(상세표[블록 22~06시],$Q1888))</f>
        <v/>
      </c>
      <c r="O1888">
        <f>IF($Q1888="","",INDEX(상세표[주말·휴일 포함],$Q1888)&amp;"")</f>
        <v/>
      </c>
      <c r="P1888">
        <f>IF($Q1888="","",INDEX(상세표[월 넘김 포함],$Q1888)&amp;"")</f>
        <v/>
      </c>
      <c r="Q1888" s="4">
        <f>IFERROR(MATCH(1883,상세표[연속순번],0),"")</f>
        <v/>
      </c>
    </row>
    <row r="1889">
      <c r="A1889">
        <f>IF($Q1889="","",INDEX(상세표[부서],$Q1889)&amp;"")</f>
        <v/>
      </c>
      <c r="B1889">
        <f>IF($Q1889="","",INDEX(상세표[사번],$Q1889)&amp;"")</f>
        <v/>
      </c>
      <c r="C1889">
        <f>IF($Q1889="","",INDEX(상세표[성명],$Q1889)&amp;"")</f>
        <v/>
      </c>
      <c r="D1889">
        <f>IF($Q1889="","",INDEX(상세표[직위],$Q1889)&amp;"")</f>
        <v/>
      </c>
      <c r="E1889">
        <f>IF($Q1889="","",IF(ISNUMBER(INDEX(상세표[근무일자],$Q1889)),TEXT(INDEX(상세표[근무일자],$Q1889),"yyyy-mm-dd"),INDEX(상세표[근무일자],$Q1889)&amp;""))</f>
        <v/>
      </c>
      <c r="F1889">
        <f>IF($Q1889="","",IF(ISNUMBER(INDEX(상세표[시작],$Q1889)),TEXT(INDEX(상세표[시작],$Q1889),"yyyy-mm-dd hh:mm"),INDEX(상세표[시작],$Q1889)&amp;""))</f>
        <v/>
      </c>
      <c r="G1889">
        <f>IF($Q1889="","",IF(ISNUMBER(INDEX(상세표[블록종료],$Q1889)),TEXT(INDEX(상세표[블록종료],$Q1889),"yyyy-mm-dd hh:mm"),INDEX(상세표[블록종료],$Q1889)&amp;""))</f>
        <v/>
      </c>
      <c r="H1889">
        <f>IF($Q1889="","",CHOOSE(WEEKDAY(INDEX(상세표[시작],$Q1889)),"일","월","화","수","목","금","토"))</f>
        <v/>
      </c>
      <c r="I1889" s="20">
        <f>IF($Q1889="","",INDEX(상세표[연속 시간],$Q1889))</f>
        <v/>
      </c>
      <c r="J1889">
        <f>IF($Q1889="","",INDEX(상세표[기록 수],$Q1889))</f>
        <v/>
      </c>
      <c r="K1889" s="20">
        <f>IF($Q1889="","",INDEX(상세표[블록 06~07시],$Q1889))</f>
        <v/>
      </c>
      <c r="L1889" s="20">
        <f>IF($Q1889="","",INDEX(상세표[블록 07~18시],$Q1889))</f>
        <v/>
      </c>
      <c r="M1889" s="20">
        <f>IF($Q1889="","",INDEX(상세표[블록 18~22시],$Q1889))</f>
        <v/>
      </c>
      <c r="N1889" s="20">
        <f>IF($Q1889="","",INDEX(상세표[블록 22~06시],$Q1889))</f>
        <v/>
      </c>
      <c r="O1889">
        <f>IF($Q1889="","",INDEX(상세표[주말·휴일 포함],$Q1889)&amp;"")</f>
        <v/>
      </c>
      <c r="P1889">
        <f>IF($Q1889="","",INDEX(상세표[월 넘김 포함],$Q1889)&amp;"")</f>
        <v/>
      </c>
      <c r="Q1889" s="4">
        <f>IFERROR(MATCH(1884,상세표[연속순번],0),"")</f>
        <v/>
      </c>
    </row>
    <row r="1890">
      <c r="A1890">
        <f>IF($Q1890="","",INDEX(상세표[부서],$Q1890)&amp;"")</f>
        <v/>
      </c>
      <c r="B1890">
        <f>IF($Q1890="","",INDEX(상세표[사번],$Q1890)&amp;"")</f>
        <v/>
      </c>
      <c r="C1890">
        <f>IF($Q1890="","",INDEX(상세표[성명],$Q1890)&amp;"")</f>
        <v/>
      </c>
      <c r="D1890">
        <f>IF($Q1890="","",INDEX(상세표[직위],$Q1890)&amp;"")</f>
        <v/>
      </c>
      <c r="E1890">
        <f>IF($Q1890="","",IF(ISNUMBER(INDEX(상세표[근무일자],$Q1890)),TEXT(INDEX(상세표[근무일자],$Q1890),"yyyy-mm-dd"),INDEX(상세표[근무일자],$Q1890)&amp;""))</f>
        <v/>
      </c>
      <c r="F1890">
        <f>IF($Q1890="","",IF(ISNUMBER(INDEX(상세표[시작],$Q1890)),TEXT(INDEX(상세표[시작],$Q1890),"yyyy-mm-dd hh:mm"),INDEX(상세표[시작],$Q1890)&amp;""))</f>
        <v/>
      </c>
      <c r="G1890">
        <f>IF($Q1890="","",IF(ISNUMBER(INDEX(상세표[블록종료],$Q1890)),TEXT(INDEX(상세표[블록종료],$Q1890),"yyyy-mm-dd hh:mm"),INDEX(상세표[블록종료],$Q1890)&amp;""))</f>
        <v/>
      </c>
      <c r="H1890">
        <f>IF($Q1890="","",CHOOSE(WEEKDAY(INDEX(상세표[시작],$Q1890)),"일","월","화","수","목","금","토"))</f>
        <v/>
      </c>
      <c r="I1890" s="20">
        <f>IF($Q1890="","",INDEX(상세표[연속 시간],$Q1890))</f>
        <v/>
      </c>
      <c r="J1890">
        <f>IF($Q1890="","",INDEX(상세표[기록 수],$Q1890))</f>
        <v/>
      </c>
      <c r="K1890" s="20">
        <f>IF($Q1890="","",INDEX(상세표[블록 06~07시],$Q1890))</f>
        <v/>
      </c>
      <c r="L1890" s="20">
        <f>IF($Q1890="","",INDEX(상세표[블록 07~18시],$Q1890))</f>
        <v/>
      </c>
      <c r="M1890" s="20">
        <f>IF($Q1890="","",INDEX(상세표[블록 18~22시],$Q1890))</f>
        <v/>
      </c>
      <c r="N1890" s="20">
        <f>IF($Q1890="","",INDEX(상세표[블록 22~06시],$Q1890))</f>
        <v/>
      </c>
      <c r="O1890">
        <f>IF($Q1890="","",INDEX(상세표[주말·휴일 포함],$Q1890)&amp;"")</f>
        <v/>
      </c>
      <c r="P1890">
        <f>IF($Q1890="","",INDEX(상세표[월 넘김 포함],$Q1890)&amp;"")</f>
        <v/>
      </c>
      <c r="Q1890" s="4">
        <f>IFERROR(MATCH(1885,상세표[연속순번],0),"")</f>
        <v/>
      </c>
    </row>
    <row r="1891">
      <c r="A1891">
        <f>IF($Q1891="","",INDEX(상세표[부서],$Q1891)&amp;"")</f>
        <v/>
      </c>
      <c r="B1891">
        <f>IF($Q1891="","",INDEX(상세표[사번],$Q1891)&amp;"")</f>
        <v/>
      </c>
      <c r="C1891">
        <f>IF($Q1891="","",INDEX(상세표[성명],$Q1891)&amp;"")</f>
        <v/>
      </c>
      <c r="D1891">
        <f>IF($Q1891="","",INDEX(상세표[직위],$Q1891)&amp;"")</f>
        <v/>
      </c>
      <c r="E1891">
        <f>IF($Q1891="","",IF(ISNUMBER(INDEX(상세표[근무일자],$Q1891)),TEXT(INDEX(상세표[근무일자],$Q1891),"yyyy-mm-dd"),INDEX(상세표[근무일자],$Q1891)&amp;""))</f>
        <v/>
      </c>
      <c r="F1891">
        <f>IF($Q1891="","",IF(ISNUMBER(INDEX(상세표[시작],$Q1891)),TEXT(INDEX(상세표[시작],$Q1891),"yyyy-mm-dd hh:mm"),INDEX(상세표[시작],$Q1891)&amp;""))</f>
        <v/>
      </c>
      <c r="G1891">
        <f>IF($Q1891="","",IF(ISNUMBER(INDEX(상세표[블록종료],$Q1891)),TEXT(INDEX(상세표[블록종료],$Q1891),"yyyy-mm-dd hh:mm"),INDEX(상세표[블록종료],$Q1891)&amp;""))</f>
        <v/>
      </c>
      <c r="H1891">
        <f>IF($Q1891="","",CHOOSE(WEEKDAY(INDEX(상세표[시작],$Q1891)),"일","월","화","수","목","금","토"))</f>
        <v/>
      </c>
      <c r="I1891" s="20">
        <f>IF($Q1891="","",INDEX(상세표[연속 시간],$Q1891))</f>
        <v/>
      </c>
      <c r="J1891">
        <f>IF($Q1891="","",INDEX(상세표[기록 수],$Q1891))</f>
        <v/>
      </c>
      <c r="K1891" s="20">
        <f>IF($Q1891="","",INDEX(상세표[블록 06~07시],$Q1891))</f>
        <v/>
      </c>
      <c r="L1891" s="20">
        <f>IF($Q1891="","",INDEX(상세표[블록 07~18시],$Q1891))</f>
        <v/>
      </c>
      <c r="M1891" s="20">
        <f>IF($Q1891="","",INDEX(상세표[블록 18~22시],$Q1891))</f>
        <v/>
      </c>
      <c r="N1891" s="20">
        <f>IF($Q1891="","",INDEX(상세표[블록 22~06시],$Q1891))</f>
        <v/>
      </c>
      <c r="O1891">
        <f>IF($Q1891="","",INDEX(상세표[주말·휴일 포함],$Q1891)&amp;"")</f>
        <v/>
      </c>
      <c r="P1891">
        <f>IF($Q1891="","",INDEX(상세표[월 넘김 포함],$Q1891)&amp;"")</f>
        <v/>
      </c>
      <c r="Q1891" s="4">
        <f>IFERROR(MATCH(1886,상세표[연속순번],0),"")</f>
        <v/>
      </c>
    </row>
    <row r="1892">
      <c r="A1892">
        <f>IF($Q1892="","",INDEX(상세표[부서],$Q1892)&amp;"")</f>
        <v/>
      </c>
      <c r="B1892">
        <f>IF($Q1892="","",INDEX(상세표[사번],$Q1892)&amp;"")</f>
        <v/>
      </c>
      <c r="C1892">
        <f>IF($Q1892="","",INDEX(상세표[성명],$Q1892)&amp;"")</f>
        <v/>
      </c>
      <c r="D1892">
        <f>IF($Q1892="","",INDEX(상세표[직위],$Q1892)&amp;"")</f>
        <v/>
      </c>
      <c r="E1892">
        <f>IF($Q1892="","",IF(ISNUMBER(INDEX(상세표[근무일자],$Q1892)),TEXT(INDEX(상세표[근무일자],$Q1892),"yyyy-mm-dd"),INDEX(상세표[근무일자],$Q1892)&amp;""))</f>
        <v/>
      </c>
      <c r="F1892">
        <f>IF($Q1892="","",IF(ISNUMBER(INDEX(상세표[시작],$Q1892)),TEXT(INDEX(상세표[시작],$Q1892),"yyyy-mm-dd hh:mm"),INDEX(상세표[시작],$Q1892)&amp;""))</f>
        <v/>
      </c>
      <c r="G1892">
        <f>IF($Q1892="","",IF(ISNUMBER(INDEX(상세표[블록종료],$Q1892)),TEXT(INDEX(상세표[블록종료],$Q1892),"yyyy-mm-dd hh:mm"),INDEX(상세표[블록종료],$Q1892)&amp;""))</f>
        <v/>
      </c>
      <c r="H1892">
        <f>IF($Q1892="","",CHOOSE(WEEKDAY(INDEX(상세표[시작],$Q1892)),"일","월","화","수","목","금","토"))</f>
        <v/>
      </c>
      <c r="I1892" s="20">
        <f>IF($Q1892="","",INDEX(상세표[연속 시간],$Q1892))</f>
        <v/>
      </c>
      <c r="J1892">
        <f>IF($Q1892="","",INDEX(상세표[기록 수],$Q1892))</f>
        <v/>
      </c>
      <c r="K1892" s="20">
        <f>IF($Q1892="","",INDEX(상세표[블록 06~07시],$Q1892))</f>
        <v/>
      </c>
      <c r="L1892" s="20">
        <f>IF($Q1892="","",INDEX(상세표[블록 07~18시],$Q1892))</f>
        <v/>
      </c>
      <c r="M1892" s="20">
        <f>IF($Q1892="","",INDEX(상세표[블록 18~22시],$Q1892))</f>
        <v/>
      </c>
      <c r="N1892" s="20">
        <f>IF($Q1892="","",INDEX(상세표[블록 22~06시],$Q1892))</f>
        <v/>
      </c>
      <c r="O1892">
        <f>IF($Q1892="","",INDEX(상세표[주말·휴일 포함],$Q1892)&amp;"")</f>
        <v/>
      </c>
      <c r="P1892">
        <f>IF($Q1892="","",INDEX(상세표[월 넘김 포함],$Q1892)&amp;"")</f>
        <v/>
      </c>
      <c r="Q1892" s="4">
        <f>IFERROR(MATCH(1887,상세표[연속순번],0),"")</f>
        <v/>
      </c>
    </row>
    <row r="1893">
      <c r="A1893">
        <f>IF($Q1893="","",INDEX(상세표[부서],$Q1893)&amp;"")</f>
        <v/>
      </c>
      <c r="B1893">
        <f>IF($Q1893="","",INDEX(상세표[사번],$Q1893)&amp;"")</f>
        <v/>
      </c>
      <c r="C1893">
        <f>IF($Q1893="","",INDEX(상세표[성명],$Q1893)&amp;"")</f>
        <v/>
      </c>
      <c r="D1893">
        <f>IF($Q1893="","",INDEX(상세표[직위],$Q1893)&amp;"")</f>
        <v/>
      </c>
      <c r="E1893">
        <f>IF($Q1893="","",IF(ISNUMBER(INDEX(상세표[근무일자],$Q1893)),TEXT(INDEX(상세표[근무일자],$Q1893),"yyyy-mm-dd"),INDEX(상세표[근무일자],$Q1893)&amp;""))</f>
        <v/>
      </c>
      <c r="F1893">
        <f>IF($Q1893="","",IF(ISNUMBER(INDEX(상세표[시작],$Q1893)),TEXT(INDEX(상세표[시작],$Q1893),"yyyy-mm-dd hh:mm"),INDEX(상세표[시작],$Q1893)&amp;""))</f>
        <v/>
      </c>
      <c r="G1893">
        <f>IF($Q1893="","",IF(ISNUMBER(INDEX(상세표[블록종료],$Q1893)),TEXT(INDEX(상세표[블록종료],$Q1893),"yyyy-mm-dd hh:mm"),INDEX(상세표[블록종료],$Q1893)&amp;""))</f>
        <v/>
      </c>
      <c r="H1893">
        <f>IF($Q1893="","",CHOOSE(WEEKDAY(INDEX(상세표[시작],$Q1893)),"일","월","화","수","목","금","토"))</f>
        <v/>
      </c>
      <c r="I1893" s="20">
        <f>IF($Q1893="","",INDEX(상세표[연속 시간],$Q1893))</f>
        <v/>
      </c>
      <c r="J1893">
        <f>IF($Q1893="","",INDEX(상세표[기록 수],$Q1893))</f>
        <v/>
      </c>
      <c r="K1893" s="20">
        <f>IF($Q1893="","",INDEX(상세표[블록 06~07시],$Q1893))</f>
        <v/>
      </c>
      <c r="L1893" s="20">
        <f>IF($Q1893="","",INDEX(상세표[블록 07~18시],$Q1893))</f>
        <v/>
      </c>
      <c r="M1893" s="20">
        <f>IF($Q1893="","",INDEX(상세표[블록 18~22시],$Q1893))</f>
        <v/>
      </c>
      <c r="N1893" s="20">
        <f>IF($Q1893="","",INDEX(상세표[블록 22~06시],$Q1893))</f>
        <v/>
      </c>
      <c r="O1893">
        <f>IF($Q1893="","",INDEX(상세표[주말·휴일 포함],$Q1893)&amp;"")</f>
        <v/>
      </c>
      <c r="P1893">
        <f>IF($Q1893="","",INDEX(상세표[월 넘김 포함],$Q1893)&amp;"")</f>
        <v/>
      </c>
      <c r="Q1893" s="4">
        <f>IFERROR(MATCH(1888,상세표[연속순번],0),"")</f>
        <v/>
      </c>
    </row>
    <row r="1894">
      <c r="A1894">
        <f>IF($Q1894="","",INDEX(상세표[부서],$Q1894)&amp;"")</f>
        <v/>
      </c>
      <c r="B1894">
        <f>IF($Q1894="","",INDEX(상세표[사번],$Q1894)&amp;"")</f>
        <v/>
      </c>
      <c r="C1894">
        <f>IF($Q1894="","",INDEX(상세표[성명],$Q1894)&amp;"")</f>
        <v/>
      </c>
      <c r="D1894">
        <f>IF($Q1894="","",INDEX(상세표[직위],$Q1894)&amp;"")</f>
        <v/>
      </c>
      <c r="E1894">
        <f>IF($Q1894="","",IF(ISNUMBER(INDEX(상세표[근무일자],$Q1894)),TEXT(INDEX(상세표[근무일자],$Q1894),"yyyy-mm-dd"),INDEX(상세표[근무일자],$Q1894)&amp;""))</f>
        <v/>
      </c>
      <c r="F1894">
        <f>IF($Q1894="","",IF(ISNUMBER(INDEX(상세표[시작],$Q1894)),TEXT(INDEX(상세표[시작],$Q1894),"yyyy-mm-dd hh:mm"),INDEX(상세표[시작],$Q1894)&amp;""))</f>
        <v/>
      </c>
      <c r="G1894">
        <f>IF($Q1894="","",IF(ISNUMBER(INDEX(상세표[블록종료],$Q1894)),TEXT(INDEX(상세표[블록종료],$Q1894),"yyyy-mm-dd hh:mm"),INDEX(상세표[블록종료],$Q1894)&amp;""))</f>
        <v/>
      </c>
      <c r="H1894">
        <f>IF($Q1894="","",CHOOSE(WEEKDAY(INDEX(상세표[시작],$Q1894)),"일","월","화","수","목","금","토"))</f>
        <v/>
      </c>
      <c r="I1894" s="20">
        <f>IF($Q1894="","",INDEX(상세표[연속 시간],$Q1894))</f>
        <v/>
      </c>
      <c r="J1894">
        <f>IF($Q1894="","",INDEX(상세표[기록 수],$Q1894))</f>
        <v/>
      </c>
      <c r="K1894" s="20">
        <f>IF($Q1894="","",INDEX(상세표[블록 06~07시],$Q1894))</f>
        <v/>
      </c>
      <c r="L1894" s="20">
        <f>IF($Q1894="","",INDEX(상세표[블록 07~18시],$Q1894))</f>
        <v/>
      </c>
      <c r="M1894" s="20">
        <f>IF($Q1894="","",INDEX(상세표[블록 18~22시],$Q1894))</f>
        <v/>
      </c>
      <c r="N1894" s="20">
        <f>IF($Q1894="","",INDEX(상세표[블록 22~06시],$Q1894))</f>
        <v/>
      </c>
      <c r="O1894">
        <f>IF($Q1894="","",INDEX(상세표[주말·휴일 포함],$Q1894)&amp;"")</f>
        <v/>
      </c>
      <c r="P1894">
        <f>IF($Q1894="","",INDEX(상세표[월 넘김 포함],$Q1894)&amp;"")</f>
        <v/>
      </c>
      <c r="Q1894" s="4">
        <f>IFERROR(MATCH(1889,상세표[연속순번],0),"")</f>
        <v/>
      </c>
    </row>
    <row r="1895">
      <c r="A1895">
        <f>IF($Q1895="","",INDEX(상세표[부서],$Q1895)&amp;"")</f>
        <v/>
      </c>
      <c r="B1895">
        <f>IF($Q1895="","",INDEX(상세표[사번],$Q1895)&amp;"")</f>
        <v/>
      </c>
      <c r="C1895">
        <f>IF($Q1895="","",INDEX(상세표[성명],$Q1895)&amp;"")</f>
        <v/>
      </c>
      <c r="D1895">
        <f>IF($Q1895="","",INDEX(상세표[직위],$Q1895)&amp;"")</f>
        <v/>
      </c>
      <c r="E1895">
        <f>IF($Q1895="","",IF(ISNUMBER(INDEX(상세표[근무일자],$Q1895)),TEXT(INDEX(상세표[근무일자],$Q1895),"yyyy-mm-dd"),INDEX(상세표[근무일자],$Q1895)&amp;""))</f>
        <v/>
      </c>
      <c r="F1895">
        <f>IF($Q1895="","",IF(ISNUMBER(INDEX(상세표[시작],$Q1895)),TEXT(INDEX(상세표[시작],$Q1895),"yyyy-mm-dd hh:mm"),INDEX(상세표[시작],$Q1895)&amp;""))</f>
        <v/>
      </c>
      <c r="G1895">
        <f>IF($Q1895="","",IF(ISNUMBER(INDEX(상세표[블록종료],$Q1895)),TEXT(INDEX(상세표[블록종료],$Q1895),"yyyy-mm-dd hh:mm"),INDEX(상세표[블록종료],$Q1895)&amp;""))</f>
        <v/>
      </c>
      <c r="H1895">
        <f>IF($Q1895="","",CHOOSE(WEEKDAY(INDEX(상세표[시작],$Q1895)),"일","월","화","수","목","금","토"))</f>
        <v/>
      </c>
      <c r="I1895" s="20">
        <f>IF($Q1895="","",INDEX(상세표[연속 시간],$Q1895))</f>
        <v/>
      </c>
      <c r="J1895">
        <f>IF($Q1895="","",INDEX(상세표[기록 수],$Q1895))</f>
        <v/>
      </c>
      <c r="K1895" s="20">
        <f>IF($Q1895="","",INDEX(상세표[블록 06~07시],$Q1895))</f>
        <v/>
      </c>
      <c r="L1895" s="20">
        <f>IF($Q1895="","",INDEX(상세표[블록 07~18시],$Q1895))</f>
        <v/>
      </c>
      <c r="M1895" s="20">
        <f>IF($Q1895="","",INDEX(상세표[블록 18~22시],$Q1895))</f>
        <v/>
      </c>
      <c r="N1895" s="20">
        <f>IF($Q1895="","",INDEX(상세표[블록 22~06시],$Q1895))</f>
        <v/>
      </c>
      <c r="O1895">
        <f>IF($Q1895="","",INDEX(상세표[주말·휴일 포함],$Q1895)&amp;"")</f>
        <v/>
      </c>
      <c r="P1895">
        <f>IF($Q1895="","",INDEX(상세표[월 넘김 포함],$Q1895)&amp;"")</f>
        <v/>
      </c>
      <c r="Q1895" s="4">
        <f>IFERROR(MATCH(1890,상세표[연속순번],0),"")</f>
        <v/>
      </c>
    </row>
    <row r="1896">
      <c r="A1896">
        <f>IF($Q1896="","",INDEX(상세표[부서],$Q1896)&amp;"")</f>
        <v/>
      </c>
      <c r="B1896">
        <f>IF($Q1896="","",INDEX(상세표[사번],$Q1896)&amp;"")</f>
        <v/>
      </c>
      <c r="C1896">
        <f>IF($Q1896="","",INDEX(상세표[성명],$Q1896)&amp;"")</f>
        <v/>
      </c>
      <c r="D1896">
        <f>IF($Q1896="","",INDEX(상세표[직위],$Q1896)&amp;"")</f>
        <v/>
      </c>
      <c r="E1896">
        <f>IF($Q1896="","",IF(ISNUMBER(INDEX(상세표[근무일자],$Q1896)),TEXT(INDEX(상세표[근무일자],$Q1896),"yyyy-mm-dd"),INDEX(상세표[근무일자],$Q1896)&amp;""))</f>
        <v/>
      </c>
      <c r="F1896">
        <f>IF($Q1896="","",IF(ISNUMBER(INDEX(상세표[시작],$Q1896)),TEXT(INDEX(상세표[시작],$Q1896),"yyyy-mm-dd hh:mm"),INDEX(상세표[시작],$Q1896)&amp;""))</f>
        <v/>
      </c>
      <c r="G1896">
        <f>IF($Q1896="","",IF(ISNUMBER(INDEX(상세표[블록종료],$Q1896)),TEXT(INDEX(상세표[블록종료],$Q1896),"yyyy-mm-dd hh:mm"),INDEX(상세표[블록종료],$Q1896)&amp;""))</f>
        <v/>
      </c>
      <c r="H1896">
        <f>IF($Q1896="","",CHOOSE(WEEKDAY(INDEX(상세표[시작],$Q1896)),"일","월","화","수","목","금","토"))</f>
        <v/>
      </c>
      <c r="I1896" s="20">
        <f>IF($Q1896="","",INDEX(상세표[연속 시간],$Q1896))</f>
        <v/>
      </c>
      <c r="J1896">
        <f>IF($Q1896="","",INDEX(상세표[기록 수],$Q1896))</f>
        <v/>
      </c>
      <c r="K1896" s="20">
        <f>IF($Q1896="","",INDEX(상세표[블록 06~07시],$Q1896))</f>
        <v/>
      </c>
      <c r="L1896" s="20">
        <f>IF($Q1896="","",INDEX(상세표[블록 07~18시],$Q1896))</f>
        <v/>
      </c>
      <c r="M1896" s="20">
        <f>IF($Q1896="","",INDEX(상세표[블록 18~22시],$Q1896))</f>
        <v/>
      </c>
      <c r="N1896" s="20">
        <f>IF($Q1896="","",INDEX(상세표[블록 22~06시],$Q1896))</f>
        <v/>
      </c>
      <c r="O1896">
        <f>IF($Q1896="","",INDEX(상세표[주말·휴일 포함],$Q1896)&amp;"")</f>
        <v/>
      </c>
      <c r="P1896">
        <f>IF($Q1896="","",INDEX(상세표[월 넘김 포함],$Q1896)&amp;"")</f>
        <v/>
      </c>
      <c r="Q1896" s="4">
        <f>IFERROR(MATCH(1891,상세표[연속순번],0),"")</f>
        <v/>
      </c>
    </row>
    <row r="1897">
      <c r="A1897">
        <f>IF($Q1897="","",INDEX(상세표[부서],$Q1897)&amp;"")</f>
        <v/>
      </c>
      <c r="B1897">
        <f>IF($Q1897="","",INDEX(상세표[사번],$Q1897)&amp;"")</f>
        <v/>
      </c>
      <c r="C1897">
        <f>IF($Q1897="","",INDEX(상세표[성명],$Q1897)&amp;"")</f>
        <v/>
      </c>
      <c r="D1897">
        <f>IF($Q1897="","",INDEX(상세표[직위],$Q1897)&amp;"")</f>
        <v/>
      </c>
      <c r="E1897">
        <f>IF($Q1897="","",IF(ISNUMBER(INDEX(상세표[근무일자],$Q1897)),TEXT(INDEX(상세표[근무일자],$Q1897),"yyyy-mm-dd"),INDEX(상세표[근무일자],$Q1897)&amp;""))</f>
        <v/>
      </c>
      <c r="F1897">
        <f>IF($Q1897="","",IF(ISNUMBER(INDEX(상세표[시작],$Q1897)),TEXT(INDEX(상세표[시작],$Q1897),"yyyy-mm-dd hh:mm"),INDEX(상세표[시작],$Q1897)&amp;""))</f>
        <v/>
      </c>
      <c r="G1897">
        <f>IF($Q1897="","",IF(ISNUMBER(INDEX(상세표[블록종료],$Q1897)),TEXT(INDEX(상세표[블록종료],$Q1897),"yyyy-mm-dd hh:mm"),INDEX(상세표[블록종료],$Q1897)&amp;""))</f>
        <v/>
      </c>
      <c r="H1897">
        <f>IF($Q1897="","",CHOOSE(WEEKDAY(INDEX(상세표[시작],$Q1897)),"일","월","화","수","목","금","토"))</f>
        <v/>
      </c>
      <c r="I1897" s="20">
        <f>IF($Q1897="","",INDEX(상세표[연속 시간],$Q1897))</f>
        <v/>
      </c>
      <c r="J1897">
        <f>IF($Q1897="","",INDEX(상세표[기록 수],$Q1897))</f>
        <v/>
      </c>
      <c r="K1897" s="20">
        <f>IF($Q1897="","",INDEX(상세표[블록 06~07시],$Q1897))</f>
        <v/>
      </c>
      <c r="L1897" s="20">
        <f>IF($Q1897="","",INDEX(상세표[블록 07~18시],$Q1897))</f>
        <v/>
      </c>
      <c r="M1897" s="20">
        <f>IF($Q1897="","",INDEX(상세표[블록 18~22시],$Q1897))</f>
        <v/>
      </c>
      <c r="N1897" s="20">
        <f>IF($Q1897="","",INDEX(상세표[블록 22~06시],$Q1897))</f>
        <v/>
      </c>
      <c r="O1897">
        <f>IF($Q1897="","",INDEX(상세표[주말·휴일 포함],$Q1897)&amp;"")</f>
        <v/>
      </c>
      <c r="P1897">
        <f>IF($Q1897="","",INDEX(상세표[월 넘김 포함],$Q1897)&amp;"")</f>
        <v/>
      </c>
      <c r="Q1897" s="4">
        <f>IFERROR(MATCH(1892,상세표[연속순번],0),"")</f>
        <v/>
      </c>
    </row>
    <row r="1898">
      <c r="A1898">
        <f>IF($Q1898="","",INDEX(상세표[부서],$Q1898)&amp;"")</f>
        <v/>
      </c>
      <c r="B1898">
        <f>IF($Q1898="","",INDEX(상세표[사번],$Q1898)&amp;"")</f>
        <v/>
      </c>
      <c r="C1898">
        <f>IF($Q1898="","",INDEX(상세표[성명],$Q1898)&amp;"")</f>
        <v/>
      </c>
      <c r="D1898">
        <f>IF($Q1898="","",INDEX(상세표[직위],$Q1898)&amp;"")</f>
        <v/>
      </c>
      <c r="E1898">
        <f>IF($Q1898="","",IF(ISNUMBER(INDEX(상세표[근무일자],$Q1898)),TEXT(INDEX(상세표[근무일자],$Q1898),"yyyy-mm-dd"),INDEX(상세표[근무일자],$Q1898)&amp;""))</f>
        <v/>
      </c>
      <c r="F1898">
        <f>IF($Q1898="","",IF(ISNUMBER(INDEX(상세표[시작],$Q1898)),TEXT(INDEX(상세표[시작],$Q1898),"yyyy-mm-dd hh:mm"),INDEX(상세표[시작],$Q1898)&amp;""))</f>
        <v/>
      </c>
      <c r="G1898">
        <f>IF($Q1898="","",IF(ISNUMBER(INDEX(상세표[블록종료],$Q1898)),TEXT(INDEX(상세표[블록종료],$Q1898),"yyyy-mm-dd hh:mm"),INDEX(상세표[블록종료],$Q1898)&amp;""))</f>
        <v/>
      </c>
      <c r="H1898">
        <f>IF($Q1898="","",CHOOSE(WEEKDAY(INDEX(상세표[시작],$Q1898)),"일","월","화","수","목","금","토"))</f>
        <v/>
      </c>
      <c r="I1898" s="20">
        <f>IF($Q1898="","",INDEX(상세표[연속 시간],$Q1898))</f>
        <v/>
      </c>
      <c r="J1898">
        <f>IF($Q1898="","",INDEX(상세표[기록 수],$Q1898))</f>
        <v/>
      </c>
      <c r="K1898" s="20">
        <f>IF($Q1898="","",INDEX(상세표[블록 06~07시],$Q1898))</f>
        <v/>
      </c>
      <c r="L1898" s="20">
        <f>IF($Q1898="","",INDEX(상세표[블록 07~18시],$Q1898))</f>
        <v/>
      </c>
      <c r="M1898" s="20">
        <f>IF($Q1898="","",INDEX(상세표[블록 18~22시],$Q1898))</f>
        <v/>
      </c>
      <c r="N1898" s="20">
        <f>IF($Q1898="","",INDEX(상세표[블록 22~06시],$Q1898))</f>
        <v/>
      </c>
      <c r="O1898">
        <f>IF($Q1898="","",INDEX(상세표[주말·휴일 포함],$Q1898)&amp;"")</f>
        <v/>
      </c>
      <c r="P1898">
        <f>IF($Q1898="","",INDEX(상세표[월 넘김 포함],$Q1898)&amp;"")</f>
        <v/>
      </c>
      <c r="Q1898" s="4">
        <f>IFERROR(MATCH(1893,상세표[연속순번],0),"")</f>
        <v/>
      </c>
    </row>
    <row r="1899">
      <c r="A1899">
        <f>IF($Q1899="","",INDEX(상세표[부서],$Q1899)&amp;"")</f>
        <v/>
      </c>
      <c r="B1899">
        <f>IF($Q1899="","",INDEX(상세표[사번],$Q1899)&amp;"")</f>
        <v/>
      </c>
      <c r="C1899">
        <f>IF($Q1899="","",INDEX(상세표[성명],$Q1899)&amp;"")</f>
        <v/>
      </c>
      <c r="D1899">
        <f>IF($Q1899="","",INDEX(상세표[직위],$Q1899)&amp;"")</f>
        <v/>
      </c>
      <c r="E1899">
        <f>IF($Q1899="","",IF(ISNUMBER(INDEX(상세표[근무일자],$Q1899)),TEXT(INDEX(상세표[근무일자],$Q1899),"yyyy-mm-dd"),INDEX(상세표[근무일자],$Q1899)&amp;""))</f>
        <v/>
      </c>
      <c r="F1899">
        <f>IF($Q1899="","",IF(ISNUMBER(INDEX(상세표[시작],$Q1899)),TEXT(INDEX(상세표[시작],$Q1899),"yyyy-mm-dd hh:mm"),INDEX(상세표[시작],$Q1899)&amp;""))</f>
        <v/>
      </c>
      <c r="G1899">
        <f>IF($Q1899="","",IF(ISNUMBER(INDEX(상세표[블록종료],$Q1899)),TEXT(INDEX(상세표[블록종료],$Q1899),"yyyy-mm-dd hh:mm"),INDEX(상세표[블록종료],$Q1899)&amp;""))</f>
        <v/>
      </c>
      <c r="H1899">
        <f>IF($Q1899="","",CHOOSE(WEEKDAY(INDEX(상세표[시작],$Q1899)),"일","월","화","수","목","금","토"))</f>
        <v/>
      </c>
      <c r="I1899" s="20">
        <f>IF($Q1899="","",INDEX(상세표[연속 시간],$Q1899))</f>
        <v/>
      </c>
      <c r="J1899">
        <f>IF($Q1899="","",INDEX(상세표[기록 수],$Q1899))</f>
        <v/>
      </c>
      <c r="K1899" s="20">
        <f>IF($Q1899="","",INDEX(상세표[블록 06~07시],$Q1899))</f>
        <v/>
      </c>
      <c r="L1899" s="20">
        <f>IF($Q1899="","",INDEX(상세표[블록 07~18시],$Q1899))</f>
        <v/>
      </c>
      <c r="M1899" s="20">
        <f>IF($Q1899="","",INDEX(상세표[블록 18~22시],$Q1899))</f>
        <v/>
      </c>
      <c r="N1899" s="20">
        <f>IF($Q1899="","",INDEX(상세표[블록 22~06시],$Q1899))</f>
        <v/>
      </c>
      <c r="O1899">
        <f>IF($Q1899="","",INDEX(상세표[주말·휴일 포함],$Q1899)&amp;"")</f>
        <v/>
      </c>
      <c r="P1899">
        <f>IF($Q1899="","",INDEX(상세표[월 넘김 포함],$Q1899)&amp;"")</f>
        <v/>
      </c>
      <c r="Q1899" s="4">
        <f>IFERROR(MATCH(1894,상세표[연속순번],0),"")</f>
        <v/>
      </c>
    </row>
    <row r="1900">
      <c r="A1900">
        <f>IF($Q1900="","",INDEX(상세표[부서],$Q1900)&amp;"")</f>
        <v/>
      </c>
      <c r="B1900">
        <f>IF($Q1900="","",INDEX(상세표[사번],$Q1900)&amp;"")</f>
        <v/>
      </c>
      <c r="C1900">
        <f>IF($Q1900="","",INDEX(상세표[성명],$Q1900)&amp;"")</f>
        <v/>
      </c>
      <c r="D1900">
        <f>IF($Q1900="","",INDEX(상세표[직위],$Q1900)&amp;"")</f>
        <v/>
      </c>
      <c r="E1900">
        <f>IF($Q1900="","",IF(ISNUMBER(INDEX(상세표[근무일자],$Q1900)),TEXT(INDEX(상세표[근무일자],$Q1900),"yyyy-mm-dd"),INDEX(상세표[근무일자],$Q1900)&amp;""))</f>
        <v/>
      </c>
      <c r="F1900">
        <f>IF($Q1900="","",IF(ISNUMBER(INDEX(상세표[시작],$Q1900)),TEXT(INDEX(상세표[시작],$Q1900),"yyyy-mm-dd hh:mm"),INDEX(상세표[시작],$Q1900)&amp;""))</f>
        <v/>
      </c>
      <c r="G1900">
        <f>IF($Q1900="","",IF(ISNUMBER(INDEX(상세표[블록종료],$Q1900)),TEXT(INDEX(상세표[블록종료],$Q1900),"yyyy-mm-dd hh:mm"),INDEX(상세표[블록종료],$Q1900)&amp;""))</f>
        <v/>
      </c>
      <c r="H1900">
        <f>IF($Q1900="","",CHOOSE(WEEKDAY(INDEX(상세표[시작],$Q1900)),"일","월","화","수","목","금","토"))</f>
        <v/>
      </c>
      <c r="I1900" s="20">
        <f>IF($Q1900="","",INDEX(상세표[연속 시간],$Q1900))</f>
        <v/>
      </c>
      <c r="J1900">
        <f>IF($Q1900="","",INDEX(상세표[기록 수],$Q1900))</f>
        <v/>
      </c>
      <c r="K1900" s="20">
        <f>IF($Q1900="","",INDEX(상세표[블록 06~07시],$Q1900))</f>
        <v/>
      </c>
      <c r="L1900" s="20">
        <f>IF($Q1900="","",INDEX(상세표[블록 07~18시],$Q1900))</f>
        <v/>
      </c>
      <c r="M1900" s="20">
        <f>IF($Q1900="","",INDEX(상세표[블록 18~22시],$Q1900))</f>
        <v/>
      </c>
      <c r="N1900" s="20">
        <f>IF($Q1900="","",INDEX(상세표[블록 22~06시],$Q1900))</f>
        <v/>
      </c>
      <c r="O1900">
        <f>IF($Q1900="","",INDEX(상세표[주말·휴일 포함],$Q1900)&amp;"")</f>
        <v/>
      </c>
      <c r="P1900">
        <f>IF($Q1900="","",INDEX(상세표[월 넘김 포함],$Q1900)&amp;"")</f>
        <v/>
      </c>
      <c r="Q1900" s="4">
        <f>IFERROR(MATCH(1895,상세표[연속순번],0),"")</f>
        <v/>
      </c>
    </row>
    <row r="1901">
      <c r="A1901">
        <f>IF($Q1901="","",INDEX(상세표[부서],$Q1901)&amp;"")</f>
        <v/>
      </c>
      <c r="B1901">
        <f>IF($Q1901="","",INDEX(상세표[사번],$Q1901)&amp;"")</f>
        <v/>
      </c>
      <c r="C1901">
        <f>IF($Q1901="","",INDEX(상세표[성명],$Q1901)&amp;"")</f>
        <v/>
      </c>
      <c r="D1901">
        <f>IF($Q1901="","",INDEX(상세표[직위],$Q1901)&amp;"")</f>
        <v/>
      </c>
      <c r="E1901">
        <f>IF($Q1901="","",IF(ISNUMBER(INDEX(상세표[근무일자],$Q1901)),TEXT(INDEX(상세표[근무일자],$Q1901),"yyyy-mm-dd"),INDEX(상세표[근무일자],$Q1901)&amp;""))</f>
        <v/>
      </c>
      <c r="F1901">
        <f>IF($Q1901="","",IF(ISNUMBER(INDEX(상세표[시작],$Q1901)),TEXT(INDEX(상세표[시작],$Q1901),"yyyy-mm-dd hh:mm"),INDEX(상세표[시작],$Q1901)&amp;""))</f>
        <v/>
      </c>
      <c r="G1901">
        <f>IF($Q1901="","",IF(ISNUMBER(INDEX(상세표[블록종료],$Q1901)),TEXT(INDEX(상세표[블록종료],$Q1901),"yyyy-mm-dd hh:mm"),INDEX(상세표[블록종료],$Q1901)&amp;""))</f>
        <v/>
      </c>
      <c r="H1901">
        <f>IF($Q1901="","",CHOOSE(WEEKDAY(INDEX(상세표[시작],$Q1901)),"일","월","화","수","목","금","토"))</f>
        <v/>
      </c>
      <c r="I1901" s="20">
        <f>IF($Q1901="","",INDEX(상세표[연속 시간],$Q1901))</f>
        <v/>
      </c>
      <c r="J1901">
        <f>IF($Q1901="","",INDEX(상세표[기록 수],$Q1901))</f>
        <v/>
      </c>
      <c r="K1901" s="20">
        <f>IF($Q1901="","",INDEX(상세표[블록 06~07시],$Q1901))</f>
        <v/>
      </c>
      <c r="L1901" s="20">
        <f>IF($Q1901="","",INDEX(상세표[블록 07~18시],$Q1901))</f>
        <v/>
      </c>
      <c r="M1901" s="20">
        <f>IF($Q1901="","",INDEX(상세표[블록 18~22시],$Q1901))</f>
        <v/>
      </c>
      <c r="N1901" s="20">
        <f>IF($Q1901="","",INDEX(상세표[블록 22~06시],$Q1901))</f>
        <v/>
      </c>
      <c r="O1901">
        <f>IF($Q1901="","",INDEX(상세표[주말·휴일 포함],$Q1901)&amp;"")</f>
        <v/>
      </c>
      <c r="P1901">
        <f>IF($Q1901="","",INDEX(상세표[월 넘김 포함],$Q1901)&amp;"")</f>
        <v/>
      </c>
      <c r="Q1901" s="4">
        <f>IFERROR(MATCH(1896,상세표[연속순번],0),"")</f>
        <v/>
      </c>
    </row>
    <row r="1902">
      <c r="A1902">
        <f>IF($Q1902="","",INDEX(상세표[부서],$Q1902)&amp;"")</f>
        <v/>
      </c>
      <c r="B1902">
        <f>IF($Q1902="","",INDEX(상세표[사번],$Q1902)&amp;"")</f>
        <v/>
      </c>
      <c r="C1902">
        <f>IF($Q1902="","",INDEX(상세표[성명],$Q1902)&amp;"")</f>
        <v/>
      </c>
      <c r="D1902">
        <f>IF($Q1902="","",INDEX(상세표[직위],$Q1902)&amp;"")</f>
        <v/>
      </c>
      <c r="E1902">
        <f>IF($Q1902="","",IF(ISNUMBER(INDEX(상세표[근무일자],$Q1902)),TEXT(INDEX(상세표[근무일자],$Q1902),"yyyy-mm-dd"),INDEX(상세표[근무일자],$Q1902)&amp;""))</f>
        <v/>
      </c>
      <c r="F1902">
        <f>IF($Q1902="","",IF(ISNUMBER(INDEX(상세표[시작],$Q1902)),TEXT(INDEX(상세표[시작],$Q1902),"yyyy-mm-dd hh:mm"),INDEX(상세표[시작],$Q1902)&amp;""))</f>
        <v/>
      </c>
      <c r="G1902">
        <f>IF($Q1902="","",IF(ISNUMBER(INDEX(상세표[블록종료],$Q1902)),TEXT(INDEX(상세표[블록종료],$Q1902),"yyyy-mm-dd hh:mm"),INDEX(상세표[블록종료],$Q1902)&amp;""))</f>
        <v/>
      </c>
      <c r="H1902">
        <f>IF($Q1902="","",CHOOSE(WEEKDAY(INDEX(상세표[시작],$Q1902)),"일","월","화","수","목","금","토"))</f>
        <v/>
      </c>
      <c r="I1902" s="20">
        <f>IF($Q1902="","",INDEX(상세표[연속 시간],$Q1902))</f>
        <v/>
      </c>
      <c r="J1902">
        <f>IF($Q1902="","",INDEX(상세표[기록 수],$Q1902))</f>
        <v/>
      </c>
      <c r="K1902" s="20">
        <f>IF($Q1902="","",INDEX(상세표[블록 06~07시],$Q1902))</f>
        <v/>
      </c>
      <c r="L1902" s="20">
        <f>IF($Q1902="","",INDEX(상세표[블록 07~18시],$Q1902))</f>
        <v/>
      </c>
      <c r="M1902" s="20">
        <f>IF($Q1902="","",INDEX(상세표[블록 18~22시],$Q1902))</f>
        <v/>
      </c>
      <c r="N1902" s="20">
        <f>IF($Q1902="","",INDEX(상세표[블록 22~06시],$Q1902))</f>
        <v/>
      </c>
      <c r="O1902">
        <f>IF($Q1902="","",INDEX(상세표[주말·휴일 포함],$Q1902)&amp;"")</f>
        <v/>
      </c>
      <c r="P1902">
        <f>IF($Q1902="","",INDEX(상세표[월 넘김 포함],$Q1902)&amp;"")</f>
        <v/>
      </c>
      <c r="Q1902" s="4">
        <f>IFERROR(MATCH(1897,상세표[연속순번],0),"")</f>
        <v/>
      </c>
    </row>
    <row r="1903">
      <c r="A1903">
        <f>IF($Q1903="","",INDEX(상세표[부서],$Q1903)&amp;"")</f>
        <v/>
      </c>
      <c r="B1903">
        <f>IF($Q1903="","",INDEX(상세표[사번],$Q1903)&amp;"")</f>
        <v/>
      </c>
      <c r="C1903">
        <f>IF($Q1903="","",INDEX(상세표[성명],$Q1903)&amp;"")</f>
        <v/>
      </c>
      <c r="D1903">
        <f>IF($Q1903="","",INDEX(상세표[직위],$Q1903)&amp;"")</f>
        <v/>
      </c>
      <c r="E1903">
        <f>IF($Q1903="","",IF(ISNUMBER(INDEX(상세표[근무일자],$Q1903)),TEXT(INDEX(상세표[근무일자],$Q1903),"yyyy-mm-dd"),INDEX(상세표[근무일자],$Q1903)&amp;""))</f>
        <v/>
      </c>
      <c r="F1903">
        <f>IF($Q1903="","",IF(ISNUMBER(INDEX(상세표[시작],$Q1903)),TEXT(INDEX(상세표[시작],$Q1903),"yyyy-mm-dd hh:mm"),INDEX(상세표[시작],$Q1903)&amp;""))</f>
        <v/>
      </c>
      <c r="G1903">
        <f>IF($Q1903="","",IF(ISNUMBER(INDEX(상세표[블록종료],$Q1903)),TEXT(INDEX(상세표[블록종료],$Q1903),"yyyy-mm-dd hh:mm"),INDEX(상세표[블록종료],$Q1903)&amp;""))</f>
        <v/>
      </c>
      <c r="H1903">
        <f>IF($Q1903="","",CHOOSE(WEEKDAY(INDEX(상세표[시작],$Q1903)),"일","월","화","수","목","금","토"))</f>
        <v/>
      </c>
      <c r="I1903" s="20">
        <f>IF($Q1903="","",INDEX(상세표[연속 시간],$Q1903))</f>
        <v/>
      </c>
      <c r="J1903">
        <f>IF($Q1903="","",INDEX(상세표[기록 수],$Q1903))</f>
        <v/>
      </c>
      <c r="K1903" s="20">
        <f>IF($Q1903="","",INDEX(상세표[블록 06~07시],$Q1903))</f>
        <v/>
      </c>
      <c r="L1903" s="20">
        <f>IF($Q1903="","",INDEX(상세표[블록 07~18시],$Q1903))</f>
        <v/>
      </c>
      <c r="M1903" s="20">
        <f>IF($Q1903="","",INDEX(상세표[블록 18~22시],$Q1903))</f>
        <v/>
      </c>
      <c r="N1903" s="20">
        <f>IF($Q1903="","",INDEX(상세표[블록 22~06시],$Q1903))</f>
        <v/>
      </c>
      <c r="O1903">
        <f>IF($Q1903="","",INDEX(상세표[주말·휴일 포함],$Q1903)&amp;"")</f>
        <v/>
      </c>
      <c r="P1903">
        <f>IF($Q1903="","",INDEX(상세표[월 넘김 포함],$Q1903)&amp;"")</f>
        <v/>
      </c>
      <c r="Q1903" s="4">
        <f>IFERROR(MATCH(1898,상세표[연속순번],0),"")</f>
        <v/>
      </c>
    </row>
    <row r="1904">
      <c r="A1904">
        <f>IF($Q1904="","",INDEX(상세표[부서],$Q1904)&amp;"")</f>
        <v/>
      </c>
      <c r="B1904">
        <f>IF($Q1904="","",INDEX(상세표[사번],$Q1904)&amp;"")</f>
        <v/>
      </c>
      <c r="C1904">
        <f>IF($Q1904="","",INDEX(상세표[성명],$Q1904)&amp;"")</f>
        <v/>
      </c>
      <c r="D1904">
        <f>IF($Q1904="","",INDEX(상세표[직위],$Q1904)&amp;"")</f>
        <v/>
      </c>
      <c r="E1904">
        <f>IF($Q1904="","",IF(ISNUMBER(INDEX(상세표[근무일자],$Q1904)),TEXT(INDEX(상세표[근무일자],$Q1904),"yyyy-mm-dd"),INDEX(상세표[근무일자],$Q1904)&amp;""))</f>
        <v/>
      </c>
      <c r="F1904">
        <f>IF($Q1904="","",IF(ISNUMBER(INDEX(상세표[시작],$Q1904)),TEXT(INDEX(상세표[시작],$Q1904),"yyyy-mm-dd hh:mm"),INDEX(상세표[시작],$Q1904)&amp;""))</f>
        <v/>
      </c>
      <c r="G1904">
        <f>IF($Q1904="","",IF(ISNUMBER(INDEX(상세표[블록종료],$Q1904)),TEXT(INDEX(상세표[블록종료],$Q1904),"yyyy-mm-dd hh:mm"),INDEX(상세표[블록종료],$Q1904)&amp;""))</f>
        <v/>
      </c>
      <c r="H1904">
        <f>IF($Q1904="","",CHOOSE(WEEKDAY(INDEX(상세표[시작],$Q1904)),"일","월","화","수","목","금","토"))</f>
        <v/>
      </c>
      <c r="I1904" s="20">
        <f>IF($Q1904="","",INDEX(상세표[연속 시간],$Q1904))</f>
        <v/>
      </c>
      <c r="J1904">
        <f>IF($Q1904="","",INDEX(상세표[기록 수],$Q1904))</f>
        <v/>
      </c>
      <c r="K1904" s="20">
        <f>IF($Q1904="","",INDEX(상세표[블록 06~07시],$Q1904))</f>
        <v/>
      </c>
      <c r="L1904" s="20">
        <f>IF($Q1904="","",INDEX(상세표[블록 07~18시],$Q1904))</f>
        <v/>
      </c>
      <c r="M1904" s="20">
        <f>IF($Q1904="","",INDEX(상세표[블록 18~22시],$Q1904))</f>
        <v/>
      </c>
      <c r="N1904" s="20">
        <f>IF($Q1904="","",INDEX(상세표[블록 22~06시],$Q1904))</f>
        <v/>
      </c>
      <c r="O1904">
        <f>IF($Q1904="","",INDEX(상세표[주말·휴일 포함],$Q1904)&amp;"")</f>
        <v/>
      </c>
      <c r="P1904">
        <f>IF($Q1904="","",INDEX(상세표[월 넘김 포함],$Q1904)&amp;"")</f>
        <v/>
      </c>
      <c r="Q1904" s="4">
        <f>IFERROR(MATCH(1899,상세표[연속순번],0),"")</f>
        <v/>
      </c>
    </row>
    <row r="1905">
      <c r="A1905">
        <f>IF($Q1905="","",INDEX(상세표[부서],$Q1905)&amp;"")</f>
        <v/>
      </c>
      <c r="B1905">
        <f>IF($Q1905="","",INDEX(상세표[사번],$Q1905)&amp;"")</f>
        <v/>
      </c>
      <c r="C1905">
        <f>IF($Q1905="","",INDEX(상세표[성명],$Q1905)&amp;"")</f>
        <v/>
      </c>
      <c r="D1905">
        <f>IF($Q1905="","",INDEX(상세표[직위],$Q1905)&amp;"")</f>
        <v/>
      </c>
      <c r="E1905">
        <f>IF($Q1905="","",IF(ISNUMBER(INDEX(상세표[근무일자],$Q1905)),TEXT(INDEX(상세표[근무일자],$Q1905),"yyyy-mm-dd"),INDEX(상세표[근무일자],$Q1905)&amp;""))</f>
        <v/>
      </c>
      <c r="F1905">
        <f>IF($Q1905="","",IF(ISNUMBER(INDEX(상세표[시작],$Q1905)),TEXT(INDEX(상세표[시작],$Q1905),"yyyy-mm-dd hh:mm"),INDEX(상세표[시작],$Q1905)&amp;""))</f>
        <v/>
      </c>
      <c r="G1905">
        <f>IF($Q1905="","",IF(ISNUMBER(INDEX(상세표[블록종료],$Q1905)),TEXT(INDEX(상세표[블록종료],$Q1905),"yyyy-mm-dd hh:mm"),INDEX(상세표[블록종료],$Q1905)&amp;""))</f>
        <v/>
      </c>
      <c r="H1905">
        <f>IF($Q1905="","",CHOOSE(WEEKDAY(INDEX(상세표[시작],$Q1905)),"일","월","화","수","목","금","토"))</f>
        <v/>
      </c>
      <c r="I1905" s="20">
        <f>IF($Q1905="","",INDEX(상세표[연속 시간],$Q1905))</f>
        <v/>
      </c>
      <c r="J1905">
        <f>IF($Q1905="","",INDEX(상세표[기록 수],$Q1905))</f>
        <v/>
      </c>
      <c r="K1905" s="20">
        <f>IF($Q1905="","",INDEX(상세표[블록 06~07시],$Q1905))</f>
        <v/>
      </c>
      <c r="L1905" s="20">
        <f>IF($Q1905="","",INDEX(상세표[블록 07~18시],$Q1905))</f>
        <v/>
      </c>
      <c r="M1905" s="20">
        <f>IF($Q1905="","",INDEX(상세표[블록 18~22시],$Q1905))</f>
        <v/>
      </c>
      <c r="N1905" s="20">
        <f>IF($Q1905="","",INDEX(상세표[블록 22~06시],$Q1905))</f>
        <v/>
      </c>
      <c r="O1905">
        <f>IF($Q1905="","",INDEX(상세표[주말·휴일 포함],$Q1905)&amp;"")</f>
        <v/>
      </c>
      <c r="P1905">
        <f>IF($Q1905="","",INDEX(상세표[월 넘김 포함],$Q1905)&amp;"")</f>
        <v/>
      </c>
      <c r="Q1905" s="4">
        <f>IFERROR(MATCH(1900,상세표[연속순번],0),"")</f>
        <v/>
      </c>
    </row>
    <row r="1906">
      <c r="A1906">
        <f>IF($Q1906="","",INDEX(상세표[부서],$Q1906)&amp;"")</f>
        <v/>
      </c>
      <c r="B1906">
        <f>IF($Q1906="","",INDEX(상세표[사번],$Q1906)&amp;"")</f>
        <v/>
      </c>
      <c r="C1906">
        <f>IF($Q1906="","",INDEX(상세표[성명],$Q1906)&amp;"")</f>
        <v/>
      </c>
      <c r="D1906">
        <f>IF($Q1906="","",INDEX(상세표[직위],$Q1906)&amp;"")</f>
        <v/>
      </c>
      <c r="E1906">
        <f>IF($Q1906="","",IF(ISNUMBER(INDEX(상세표[근무일자],$Q1906)),TEXT(INDEX(상세표[근무일자],$Q1906),"yyyy-mm-dd"),INDEX(상세표[근무일자],$Q1906)&amp;""))</f>
        <v/>
      </c>
      <c r="F1906">
        <f>IF($Q1906="","",IF(ISNUMBER(INDEX(상세표[시작],$Q1906)),TEXT(INDEX(상세표[시작],$Q1906),"yyyy-mm-dd hh:mm"),INDEX(상세표[시작],$Q1906)&amp;""))</f>
        <v/>
      </c>
      <c r="G1906">
        <f>IF($Q1906="","",IF(ISNUMBER(INDEX(상세표[블록종료],$Q1906)),TEXT(INDEX(상세표[블록종료],$Q1906),"yyyy-mm-dd hh:mm"),INDEX(상세표[블록종료],$Q1906)&amp;""))</f>
        <v/>
      </c>
      <c r="H1906">
        <f>IF($Q1906="","",CHOOSE(WEEKDAY(INDEX(상세표[시작],$Q1906)),"일","월","화","수","목","금","토"))</f>
        <v/>
      </c>
      <c r="I1906" s="20">
        <f>IF($Q1906="","",INDEX(상세표[연속 시간],$Q1906))</f>
        <v/>
      </c>
      <c r="J1906">
        <f>IF($Q1906="","",INDEX(상세표[기록 수],$Q1906))</f>
        <v/>
      </c>
      <c r="K1906" s="20">
        <f>IF($Q1906="","",INDEX(상세표[블록 06~07시],$Q1906))</f>
        <v/>
      </c>
      <c r="L1906" s="20">
        <f>IF($Q1906="","",INDEX(상세표[블록 07~18시],$Q1906))</f>
        <v/>
      </c>
      <c r="M1906" s="20">
        <f>IF($Q1906="","",INDEX(상세표[블록 18~22시],$Q1906))</f>
        <v/>
      </c>
      <c r="N1906" s="20">
        <f>IF($Q1906="","",INDEX(상세표[블록 22~06시],$Q1906))</f>
        <v/>
      </c>
      <c r="O1906">
        <f>IF($Q1906="","",INDEX(상세표[주말·휴일 포함],$Q1906)&amp;"")</f>
        <v/>
      </c>
      <c r="P1906">
        <f>IF($Q1906="","",INDEX(상세표[월 넘김 포함],$Q1906)&amp;"")</f>
        <v/>
      </c>
      <c r="Q1906" s="4">
        <f>IFERROR(MATCH(1901,상세표[연속순번],0),"")</f>
        <v/>
      </c>
    </row>
    <row r="1907">
      <c r="A1907">
        <f>IF($Q1907="","",INDEX(상세표[부서],$Q1907)&amp;"")</f>
        <v/>
      </c>
      <c r="B1907">
        <f>IF($Q1907="","",INDEX(상세표[사번],$Q1907)&amp;"")</f>
        <v/>
      </c>
      <c r="C1907">
        <f>IF($Q1907="","",INDEX(상세표[성명],$Q1907)&amp;"")</f>
        <v/>
      </c>
      <c r="D1907">
        <f>IF($Q1907="","",INDEX(상세표[직위],$Q1907)&amp;"")</f>
        <v/>
      </c>
      <c r="E1907">
        <f>IF($Q1907="","",IF(ISNUMBER(INDEX(상세표[근무일자],$Q1907)),TEXT(INDEX(상세표[근무일자],$Q1907),"yyyy-mm-dd"),INDEX(상세표[근무일자],$Q1907)&amp;""))</f>
        <v/>
      </c>
      <c r="F1907">
        <f>IF($Q1907="","",IF(ISNUMBER(INDEX(상세표[시작],$Q1907)),TEXT(INDEX(상세표[시작],$Q1907),"yyyy-mm-dd hh:mm"),INDEX(상세표[시작],$Q1907)&amp;""))</f>
        <v/>
      </c>
      <c r="G1907">
        <f>IF($Q1907="","",IF(ISNUMBER(INDEX(상세표[블록종료],$Q1907)),TEXT(INDEX(상세표[블록종료],$Q1907),"yyyy-mm-dd hh:mm"),INDEX(상세표[블록종료],$Q1907)&amp;""))</f>
        <v/>
      </c>
      <c r="H1907">
        <f>IF($Q1907="","",CHOOSE(WEEKDAY(INDEX(상세표[시작],$Q1907)),"일","월","화","수","목","금","토"))</f>
        <v/>
      </c>
      <c r="I1907" s="20">
        <f>IF($Q1907="","",INDEX(상세표[연속 시간],$Q1907))</f>
        <v/>
      </c>
      <c r="J1907">
        <f>IF($Q1907="","",INDEX(상세표[기록 수],$Q1907))</f>
        <v/>
      </c>
      <c r="K1907" s="20">
        <f>IF($Q1907="","",INDEX(상세표[블록 06~07시],$Q1907))</f>
        <v/>
      </c>
      <c r="L1907" s="20">
        <f>IF($Q1907="","",INDEX(상세표[블록 07~18시],$Q1907))</f>
        <v/>
      </c>
      <c r="M1907" s="20">
        <f>IF($Q1907="","",INDEX(상세표[블록 18~22시],$Q1907))</f>
        <v/>
      </c>
      <c r="N1907" s="20">
        <f>IF($Q1907="","",INDEX(상세표[블록 22~06시],$Q1907))</f>
        <v/>
      </c>
      <c r="O1907">
        <f>IF($Q1907="","",INDEX(상세표[주말·휴일 포함],$Q1907)&amp;"")</f>
        <v/>
      </c>
      <c r="P1907">
        <f>IF($Q1907="","",INDEX(상세표[월 넘김 포함],$Q1907)&amp;"")</f>
        <v/>
      </c>
      <c r="Q1907" s="4">
        <f>IFERROR(MATCH(1902,상세표[연속순번],0),"")</f>
        <v/>
      </c>
    </row>
    <row r="1908">
      <c r="A1908">
        <f>IF($Q1908="","",INDEX(상세표[부서],$Q1908)&amp;"")</f>
        <v/>
      </c>
      <c r="B1908">
        <f>IF($Q1908="","",INDEX(상세표[사번],$Q1908)&amp;"")</f>
        <v/>
      </c>
      <c r="C1908">
        <f>IF($Q1908="","",INDEX(상세표[성명],$Q1908)&amp;"")</f>
        <v/>
      </c>
      <c r="D1908">
        <f>IF($Q1908="","",INDEX(상세표[직위],$Q1908)&amp;"")</f>
        <v/>
      </c>
      <c r="E1908">
        <f>IF($Q1908="","",IF(ISNUMBER(INDEX(상세표[근무일자],$Q1908)),TEXT(INDEX(상세표[근무일자],$Q1908),"yyyy-mm-dd"),INDEX(상세표[근무일자],$Q1908)&amp;""))</f>
        <v/>
      </c>
      <c r="F1908">
        <f>IF($Q1908="","",IF(ISNUMBER(INDEX(상세표[시작],$Q1908)),TEXT(INDEX(상세표[시작],$Q1908),"yyyy-mm-dd hh:mm"),INDEX(상세표[시작],$Q1908)&amp;""))</f>
        <v/>
      </c>
      <c r="G1908">
        <f>IF($Q1908="","",IF(ISNUMBER(INDEX(상세표[블록종료],$Q1908)),TEXT(INDEX(상세표[블록종료],$Q1908),"yyyy-mm-dd hh:mm"),INDEX(상세표[블록종료],$Q1908)&amp;""))</f>
        <v/>
      </c>
      <c r="H1908">
        <f>IF($Q1908="","",CHOOSE(WEEKDAY(INDEX(상세표[시작],$Q1908)),"일","월","화","수","목","금","토"))</f>
        <v/>
      </c>
      <c r="I1908" s="20">
        <f>IF($Q1908="","",INDEX(상세표[연속 시간],$Q1908))</f>
        <v/>
      </c>
      <c r="J1908">
        <f>IF($Q1908="","",INDEX(상세표[기록 수],$Q1908))</f>
        <v/>
      </c>
      <c r="K1908" s="20">
        <f>IF($Q1908="","",INDEX(상세표[블록 06~07시],$Q1908))</f>
        <v/>
      </c>
      <c r="L1908" s="20">
        <f>IF($Q1908="","",INDEX(상세표[블록 07~18시],$Q1908))</f>
        <v/>
      </c>
      <c r="M1908" s="20">
        <f>IF($Q1908="","",INDEX(상세표[블록 18~22시],$Q1908))</f>
        <v/>
      </c>
      <c r="N1908" s="20">
        <f>IF($Q1908="","",INDEX(상세표[블록 22~06시],$Q1908))</f>
        <v/>
      </c>
      <c r="O1908">
        <f>IF($Q1908="","",INDEX(상세표[주말·휴일 포함],$Q1908)&amp;"")</f>
        <v/>
      </c>
      <c r="P1908">
        <f>IF($Q1908="","",INDEX(상세표[월 넘김 포함],$Q1908)&amp;"")</f>
        <v/>
      </c>
      <c r="Q1908" s="4">
        <f>IFERROR(MATCH(1903,상세표[연속순번],0),"")</f>
        <v/>
      </c>
    </row>
    <row r="1909">
      <c r="A1909">
        <f>IF($Q1909="","",INDEX(상세표[부서],$Q1909)&amp;"")</f>
        <v/>
      </c>
      <c r="B1909">
        <f>IF($Q1909="","",INDEX(상세표[사번],$Q1909)&amp;"")</f>
        <v/>
      </c>
      <c r="C1909">
        <f>IF($Q1909="","",INDEX(상세표[성명],$Q1909)&amp;"")</f>
        <v/>
      </c>
      <c r="D1909">
        <f>IF($Q1909="","",INDEX(상세표[직위],$Q1909)&amp;"")</f>
        <v/>
      </c>
      <c r="E1909">
        <f>IF($Q1909="","",IF(ISNUMBER(INDEX(상세표[근무일자],$Q1909)),TEXT(INDEX(상세표[근무일자],$Q1909),"yyyy-mm-dd"),INDEX(상세표[근무일자],$Q1909)&amp;""))</f>
        <v/>
      </c>
      <c r="F1909">
        <f>IF($Q1909="","",IF(ISNUMBER(INDEX(상세표[시작],$Q1909)),TEXT(INDEX(상세표[시작],$Q1909),"yyyy-mm-dd hh:mm"),INDEX(상세표[시작],$Q1909)&amp;""))</f>
        <v/>
      </c>
      <c r="G1909">
        <f>IF($Q1909="","",IF(ISNUMBER(INDEX(상세표[블록종료],$Q1909)),TEXT(INDEX(상세표[블록종료],$Q1909),"yyyy-mm-dd hh:mm"),INDEX(상세표[블록종료],$Q1909)&amp;""))</f>
        <v/>
      </c>
      <c r="H1909">
        <f>IF($Q1909="","",CHOOSE(WEEKDAY(INDEX(상세표[시작],$Q1909)),"일","월","화","수","목","금","토"))</f>
        <v/>
      </c>
      <c r="I1909" s="20">
        <f>IF($Q1909="","",INDEX(상세표[연속 시간],$Q1909))</f>
        <v/>
      </c>
      <c r="J1909">
        <f>IF($Q1909="","",INDEX(상세표[기록 수],$Q1909))</f>
        <v/>
      </c>
      <c r="K1909" s="20">
        <f>IF($Q1909="","",INDEX(상세표[블록 06~07시],$Q1909))</f>
        <v/>
      </c>
      <c r="L1909" s="20">
        <f>IF($Q1909="","",INDEX(상세표[블록 07~18시],$Q1909))</f>
        <v/>
      </c>
      <c r="M1909" s="20">
        <f>IF($Q1909="","",INDEX(상세표[블록 18~22시],$Q1909))</f>
        <v/>
      </c>
      <c r="N1909" s="20">
        <f>IF($Q1909="","",INDEX(상세표[블록 22~06시],$Q1909))</f>
        <v/>
      </c>
      <c r="O1909">
        <f>IF($Q1909="","",INDEX(상세표[주말·휴일 포함],$Q1909)&amp;"")</f>
        <v/>
      </c>
      <c r="P1909">
        <f>IF($Q1909="","",INDEX(상세표[월 넘김 포함],$Q1909)&amp;"")</f>
        <v/>
      </c>
      <c r="Q1909" s="4">
        <f>IFERROR(MATCH(1904,상세표[연속순번],0),"")</f>
        <v/>
      </c>
    </row>
    <row r="1910">
      <c r="A1910">
        <f>IF($Q1910="","",INDEX(상세표[부서],$Q1910)&amp;"")</f>
        <v/>
      </c>
      <c r="B1910">
        <f>IF($Q1910="","",INDEX(상세표[사번],$Q1910)&amp;"")</f>
        <v/>
      </c>
      <c r="C1910">
        <f>IF($Q1910="","",INDEX(상세표[성명],$Q1910)&amp;"")</f>
        <v/>
      </c>
      <c r="D1910">
        <f>IF($Q1910="","",INDEX(상세표[직위],$Q1910)&amp;"")</f>
        <v/>
      </c>
      <c r="E1910">
        <f>IF($Q1910="","",IF(ISNUMBER(INDEX(상세표[근무일자],$Q1910)),TEXT(INDEX(상세표[근무일자],$Q1910),"yyyy-mm-dd"),INDEX(상세표[근무일자],$Q1910)&amp;""))</f>
        <v/>
      </c>
      <c r="F1910">
        <f>IF($Q1910="","",IF(ISNUMBER(INDEX(상세표[시작],$Q1910)),TEXT(INDEX(상세표[시작],$Q1910),"yyyy-mm-dd hh:mm"),INDEX(상세표[시작],$Q1910)&amp;""))</f>
        <v/>
      </c>
      <c r="G1910">
        <f>IF($Q1910="","",IF(ISNUMBER(INDEX(상세표[블록종료],$Q1910)),TEXT(INDEX(상세표[블록종료],$Q1910),"yyyy-mm-dd hh:mm"),INDEX(상세표[블록종료],$Q1910)&amp;""))</f>
        <v/>
      </c>
      <c r="H1910">
        <f>IF($Q1910="","",CHOOSE(WEEKDAY(INDEX(상세표[시작],$Q1910)),"일","월","화","수","목","금","토"))</f>
        <v/>
      </c>
      <c r="I1910" s="20">
        <f>IF($Q1910="","",INDEX(상세표[연속 시간],$Q1910))</f>
        <v/>
      </c>
      <c r="J1910">
        <f>IF($Q1910="","",INDEX(상세표[기록 수],$Q1910))</f>
        <v/>
      </c>
      <c r="K1910" s="20">
        <f>IF($Q1910="","",INDEX(상세표[블록 06~07시],$Q1910))</f>
        <v/>
      </c>
      <c r="L1910" s="20">
        <f>IF($Q1910="","",INDEX(상세표[블록 07~18시],$Q1910))</f>
        <v/>
      </c>
      <c r="M1910" s="20">
        <f>IF($Q1910="","",INDEX(상세표[블록 18~22시],$Q1910))</f>
        <v/>
      </c>
      <c r="N1910" s="20">
        <f>IF($Q1910="","",INDEX(상세표[블록 22~06시],$Q1910))</f>
        <v/>
      </c>
      <c r="O1910">
        <f>IF($Q1910="","",INDEX(상세표[주말·휴일 포함],$Q1910)&amp;"")</f>
        <v/>
      </c>
      <c r="P1910">
        <f>IF($Q1910="","",INDEX(상세표[월 넘김 포함],$Q1910)&amp;"")</f>
        <v/>
      </c>
      <c r="Q1910" s="4">
        <f>IFERROR(MATCH(1905,상세표[연속순번],0),"")</f>
        <v/>
      </c>
    </row>
    <row r="1911">
      <c r="A1911">
        <f>IF($Q1911="","",INDEX(상세표[부서],$Q1911)&amp;"")</f>
        <v/>
      </c>
      <c r="B1911">
        <f>IF($Q1911="","",INDEX(상세표[사번],$Q1911)&amp;"")</f>
        <v/>
      </c>
      <c r="C1911">
        <f>IF($Q1911="","",INDEX(상세표[성명],$Q1911)&amp;"")</f>
        <v/>
      </c>
      <c r="D1911">
        <f>IF($Q1911="","",INDEX(상세표[직위],$Q1911)&amp;"")</f>
        <v/>
      </c>
      <c r="E1911">
        <f>IF($Q1911="","",IF(ISNUMBER(INDEX(상세표[근무일자],$Q1911)),TEXT(INDEX(상세표[근무일자],$Q1911),"yyyy-mm-dd"),INDEX(상세표[근무일자],$Q1911)&amp;""))</f>
        <v/>
      </c>
      <c r="F1911">
        <f>IF($Q1911="","",IF(ISNUMBER(INDEX(상세표[시작],$Q1911)),TEXT(INDEX(상세표[시작],$Q1911),"yyyy-mm-dd hh:mm"),INDEX(상세표[시작],$Q1911)&amp;""))</f>
        <v/>
      </c>
      <c r="G1911">
        <f>IF($Q1911="","",IF(ISNUMBER(INDEX(상세표[블록종료],$Q1911)),TEXT(INDEX(상세표[블록종료],$Q1911),"yyyy-mm-dd hh:mm"),INDEX(상세표[블록종료],$Q1911)&amp;""))</f>
        <v/>
      </c>
      <c r="H1911">
        <f>IF($Q1911="","",CHOOSE(WEEKDAY(INDEX(상세표[시작],$Q1911)),"일","월","화","수","목","금","토"))</f>
        <v/>
      </c>
      <c r="I1911" s="20">
        <f>IF($Q1911="","",INDEX(상세표[연속 시간],$Q1911))</f>
        <v/>
      </c>
      <c r="J1911">
        <f>IF($Q1911="","",INDEX(상세표[기록 수],$Q1911))</f>
        <v/>
      </c>
      <c r="K1911" s="20">
        <f>IF($Q1911="","",INDEX(상세표[블록 06~07시],$Q1911))</f>
        <v/>
      </c>
      <c r="L1911" s="20">
        <f>IF($Q1911="","",INDEX(상세표[블록 07~18시],$Q1911))</f>
        <v/>
      </c>
      <c r="M1911" s="20">
        <f>IF($Q1911="","",INDEX(상세표[블록 18~22시],$Q1911))</f>
        <v/>
      </c>
      <c r="N1911" s="20">
        <f>IF($Q1911="","",INDEX(상세표[블록 22~06시],$Q1911))</f>
        <v/>
      </c>
      <c r="O1911">
        <f>IF($Q1911="","",INDEX(상세표[주말·휴일 포함],$Q1911)&amp;"")</f>
        <v/>
      </c>
      <c r="P1911">
        <f>IF($Q1911="","",INDEX(상세표[월 넘김 포함],$Q1911)&amp;"")</f>
        <v/>
      </c>
      <c r="Q1911" s="4">
        <f>IFERROR(MATCH(1906,상세표[연속순번],0),"")</f>
        <v/>
      </c>
    </row>
    <row r="1912">
      <c r="A1912">
        <f>IF($Q1912="","",INDEX(상세표[부서],$Q1912)&amp;"")</f>
        <v/>
      </c>
      <c r="B1912">
        <f>IF($Q1912="","",INDEX(상세표[사번],$Q1912)&amp;"")</f>
        <v/>
      </c>
      <c r="C1912">
        <f>IF($Q1912="","",INDEX(상세표[성명],$Q1912)&amp;"")</f>
        <v/>
      </c>
      <c r="D1912">
        <f>IF($Q1912="","",INDEX(상세표[직위],$Q1912)&amp;"")</f>
        <v/>
      </c>
      <c r="E1912">
        <f>IF($Q1912="","",IF(ISNUMBER(INDEX(상세표[근무일자],$Q1912)),TEXT(INDEX(상세표[근무일자],$Q1912),"yyyy-mm-dd"),INDEX(상세표[근무일자],$Q1912)&amp;""))</f>
        <v/>
      </c>
      <c r="F1912">
        <f>IF($Q1912="","",IF(ISNUMBER(INDEX(상세표[시작],$Q1912)),TEXT(INDEX(상세표[시작],$Q1912),"yyyy-mm-dd hh:mm"),INDEX(상세표[시작],$Q1912)&amp;""))</f>
        <v/>
      </c>
      <c r="G1912">
        <f>IF($Q1912="","",IF(ISNUMBER(INDEX(상세표[블록종료],$Q1912)),TEXT(INDEX(상세표[블록종료],$Q1912),"yyyy-mm-dd hh:mm"),INDEX(상세표[블록종료],$Q1912)&amp;""))</f>
        <v/>
      </c>
      <c r="H1912">
        <f>IF($Q1912="","",CHOOSE(WEEKDAY(INDEX(상세표[시작],$Q1912)),"일","월","화","수","목","금","토"))</f>
        <v/>
      </c>
      <c r="I1912" s="20">
        <f>IF($Q1912="","",INDEX(상세표[연속 시간],$Q1912))</f>
        <v/>
      </c>
      <c r="J1912">
        <f>IF($Q1912="","",INDEX(상세표[기록 수],$Q1912))</f>
        <v/>
      </c>
      <c r="K1912" s="20">
        <f>IF($Q1912="","",INDEX(상세표[블록 06~07시],$Q1912))</f>
        <v/>
      </c>
      <c r="L1912" s="20">
        <f>IF($Q1912="","",INDEX(상세표[블록 07~18시],$Q1912))</f>
        <v/>
      </c>
      <c r="M1912" s="20">
        <f>IF($Q1912="","",INDEX(상세표[블록 18~22시],$Q1912))</f>
        <v/>
      </c>
      <c r="N1912" s="20">
        <f>IF($Q1912="","",INDEX(상세표[블록 22~06시],$Q1912))</f>
        <v/>
      </c>
      <c r="O1912">
        <f>IF($Q1912="","",INDEX(상세표[주말·휴일 포함],$Q1912)&amp;"")</f>
        <v/>
      </c>
      <c r="P1912">
        <f>IF($Q1912="","",INDEX(상세표[월 넘김 포함],$Q1912)&amp;"")</f>
        <v/>
      </c>
      <c r="Q1912" s="4">
        <f>IFERROR(MATCH(1907,상세표[연속순번],0),"")</f>
        <v/>
      </c>
    </row>
    <row r="1913">
      <c r="A1913">
        <f>IF($Q1913="","",INDEX(상세표[부서],$Q1913)&amp;"")</f>
        <v/>
      </c>
      <c r="B1913">
        <f>IF($Q1913="","",INDEX(상세표[사번],$Q1913)&amp;"")</f>
        <v/>
      </c>
      <c r="C1913">
        <f>IF($Q1913="","",INDEX(상세표[성명],$Q1913)&amp;"")</f>
        <v/>
      </c>
      <c r="D1913">
        <f>IF($Q1913="","",INDEX(상세표[직위],$Q1913)&amp;"")</f>
        <v/>
      </c>
      <c r="E1913">
        <f>IF($Q1913="","",IF(ISNUMBER(INDEX(상세표[근무일자],$Q1913)),TEXT(INDEX(상세표[근무일자],$Q1913),"yyyy-mm-dd"),INDEX(상세표[근무일자],$Q1913)&amp;""))</f>
        <v/>
      </c>
      <c r="F1913">
        <f>IF($Q1913="","",IF(ISNUMBER(INDEX(상세표[시작],$Q1913)),TEXT(INDEX(상세표[시작],$Q1913),"yyyy-mm-dd hh:mm"),INDEX(상세표[시작],$Q1913)&amp;""))</f>
        <v/>
      </c>
      <c r="G1913">
        <f>IF($Q1913="","",IF(ISNUMBER(INDEX(상세표[블록종료],$Q1913)),TEXT(INDEX(상세표[블록종료],$Q1913),"yyyy-mm-dd hh:mm"),INDEX(상세표[블록종료],$Q1913)&amp;""))</f>
        <v/>
      </c>
      <c r="H1913">
        <f>IF($Q1913="","",CHOOSE(WEEKDAY(INDEX(상세표[시작],$Q1913)),"일","월","화","수","목","금","토"))</f>
        <v/>
      </c>
      <c r="I1913" s="20">
        <f>IF($Q1913="","",INDEX(상세표[연속 시간],$Q1913))</f>
        <v/>
      </c>
      <c r="J1913">
        <f>IF($Q1913="","",INDEX(상세표[기록 수],$Q1913))</f>
        <v/>
      </c>
      <c r="K1913" s="20">
        <f>IF($Q1913="","",INDEX(상세표[블록 06~07시],$Q1913))</f>
        <v/>
      </c>
      <c r="L1913" s="20">
        <f>IF($Q1913="","",INDEX(상세표[블록 07~18시],$Q1913))</f>
        <v/>
      </c>
      <c r="M1913" s="20">
        <f>IF($Q1913="","",INDEX(상세표[블록 18~22시],$Q1913))</f>
        <v/>
      </c>
      <c r="N1913" s="20">
        <f>IF($Q1913="","",INDEX(상세표[블록 22~06시],$Q1913))</f>
        <v/>
      </c>
      <c r="O1913">
        <f>IF($Q1913="","",INDEX(상세표[주말·휴일 포함],$Q1913)&amp;"")</f>
        <v/>
      </c>
      <c r="P1913">
        <f>IF($Q1913="","",INDEX(상세표[월 넘김 포함],$Q1913)&amp;"")</f>
        <v/>
      </c>
      <c r="Q1913" s="4">
        <f>IFERROR(MATCH(1908,상세표[연속순번],0),"")</f>
        <v/>
      </c>
    </row>
    <row r="1914">
      <c r="A1914">
        <f>IF($Q1914="","",INDEX(상세표[부서],$Q1914)&amp;"")</f>
        <v/>
      </c>
      <c r="B1914">
        <f>IF($Q1914="","",INDEX(상세표[사번],$Q1914)&amp;"")</f>
        <v/>
      </c>
      <c r="C1914">
        <f>IF($Q1914="","",INDEX(상세표[성명],$Q1914)&amp;"")</f>
        <v/>
      </c>
      <c r="D1914">
        <f>IF($Q1914="","",INDEX(상세표[직위],$Q1914)&amp;"")</f>
        <v/>
      </c>
      <c r="E1914">
        <f>IF($Q1914="","",IF(ISNUMBER(INDEX(상세표[근무일자],$Q1914)),TEXT(INDEX(상세표[근무일자],$Q1914),"yyyy-mm-dd"),INDEX(상세표[근무일자],$Q1914)&amp;""))</f>
        <v/>
      </c>
      <c r="F1914">
        <f>IF($Q1914="","",IF(ISNUMBER(INDEX(상세표[시작],$Q1914)),TEXT(INDEX(상세표[시작],$Q1914),"yyyy-mm-dd hh:mm"),INDEX(상세표[시작],$Q1914)&amp;""))</f>
        <v/>
      </c>
      <c r="G1914">
        <f>IF($Q1914="","",IF(ISNUMBER(INDEX(상세표[블록종료],$Q1914)),TEXT(INDEX(상세표[블록종료],$Q1914),"yyyy-mm-dd hh:mm"),INDEX(상세표[블록종료],$Q1914)&amp;""))</f>
        <v/>
      </c>
      <c r="H1914">
        <f>IF($Q1914="","",CHOOSE(WEEKDAY(INDEX(상세표[시작],$Q1914)),"일","월","화","수","목","금","토"))</f>
        <v/>
      </c>
      <c r="I1914" s="20">
        <f>IF($Q1914="","",INDEX(상세표[연속 시간],$Q1914))</f>
        <v/>
      </c>
      <c r="J1914">
        <f>IF($Q1914="","",INDEX(상세표[기록 수],$Q1914))</f>
        <v/>
      </c>
      <c r="K1914" s="20">
        <f>IF($Q1914="","",INDEX(상세표[블록 06~07시],$Q1914))</f>
        <v/>
      </c>
      <c r="L1914" s="20">
        <f>IF($Q1914="","",INDEX(상세표[블록 07~18시],$Q1914))</f>
        <v/>
      </c>
      <c r="M1914" s="20">
        <f>IF($Q1914="","",INDEX(상세표[블록 18~22시],$Q1914))</f>
        <v/>
      </c>
      <c r="N1914" s="20">
        <f>IF($Q1914="","",INDEX(상세표[블록 22~06시],$Q1914))</f>
        <v/>
      </c>
      <c r="O1914">
        <f>IF($Q1914="","",INDEX(상세표[주말·휴일 포함],$Q1914)&amp;"")</f>
        <v/>
      </c>
      <c r="P1914">
        <f>IF($Q1914="","",INDEX(상세표[월 넘김 포함],$Q1914)&amp;"")</f>
        <v/>
      </c>
      <c r="Q1914" s="4">
        <f>IFERROR(MATCH(1909,상세표[연속순번],0),"")</f>
        <v/>
      </c>
    </row>
    <row r="1915">
      <c r="A1915">
        <f>IF($Q1915="","",INDEX(상세표[부서],$Q1915)&amp;"")</f>
        <v/>
      </c>
      <c r="B1915">
        <f>IF($Q1915="","",INDEX(상세표[사번],$Q1915)&amp;"")</f>
        <v/>
      </c>
      <c r="C1915">
        <f>IF($Q1915="","",INDEX(상세표[성명],$Q1915)&amp;"")</f>
        <v/>
      </c>
      <c r="D1915">
        <f>IF($Q1915="","",INDEX(상세표[직위],$Q1915)&amp;"")</f>
        <v/>
      </c>
      <c r="E1915">
        <f>IF($Q1915="","",IF(ISNUMBER(INDEX(상세표[근무일자],$Q1915)),TEXT(INDEX(상세표[근무일자],$Q1915),"yyyy-mm-dd"),INDEX(상세표[근무일자],$Q1915)&amp;""))</f>
        <v/>
      </c>
      <c r="F1915">
        <f>IF($Q1915="","",IF(ISNUMBER(INDEX(상세표[시작],$Q1915)),TEXT(INDEX(상세표[시작],$Q1915),"yyyy-mm-dd hh:mm"),INDEX(상세표[시작],$Q1915)&amp;""))</f>
        <v/>
      </c>
      <c r="G1915">
        <f>IF($Q1915="","",IF(ISNUMBER(INDEX(상세표[블록종료],$Q1915)),TEXT(INDEX(상세표[블록종료],$Q1915),"yyyy-mm-dd hh:mm"),INDEX(상세표[블록종료],$Q1915)&amp;""))</f>
        <v/>
      </c>
      <c r="H1915">
        <f>IF($Q1915="","",CHOOSE(WEEKDAY(INDEX(상세표[시작],$Q1915)),"일","월","화","수","목","금","토"))</f>
        <v/>
      </c>
      <c r="I1915" s="20">
        <f>IF($Q1915="","",INDEX(상세표[연속 시간],$Q1915))</f>
        <v/>
      </c>
      <c r="J1915">
        <f>IF($Q1915="","",INDEX(상세표[기록 수],$Q1915))</f>
        <v/>
      </c>
      <c r="K1915" s="20">
        <f>IF($Q1915="","",INDEX(상세표[블록 06~07시],$Q1915))</f>
        <v/>
      </c>
      <c r="L1915" s="20">
        <f>IF($Q1915="","",INDEX(상세표[블록 07~18시],$Q1915))</f>
        <v/>
      </c>
      <c r="M1915" s="20">
        <f>IF($Q1915="","",INDEX(상세표[블록 18~22시],$Q1915))</f>
        <v/>
      </c>
      <c r="N1915" s="20">
        <f>IF($Q1915="","",INDEX(상세표[블록 22~06시],$Q1915))</f>
        <v/>
      </c>
      <c r="O1915">
        <f>IF($Q1915="","",INDEX(상세표[주말·휴일 포함],$Q1915)&amp;"")</f>
        <v/>
      </c>
      <c r="P1915">
        <f>IF($Q1915="","",INDEX(상세표[월 넘김 포함],$Q1915)&amp;"")</f>
        <v/>
      </c>
      <c r="Q1915" s="4">
        <f>IFERROR(MATCH(1910,상세표[연속순번],0),"")</f>
        <v/>
      </c>
    </row>
    <row r="1916">
      <c r="A1916">
        <f>IF($Q1916="","",INDEX(상세표[부서],$Q1916)&amp;"")</f>
        <v/>
      </c>
      <c r="B1916">
        <f>IF($Q1916="","",INDEX(상세표[사번],$Q1916)&amp;"")</f>
        <v/>
      </c>
      <c r="C1916">
        <f>IF($Q1916="","",INDEX(상세표[성명],$Q1916)&amp;"")</f>
        <v/>
      </c>
      <c r="D1916">
        <f>IF($Q1916="","",INDEX(상세표[직위],$Q1916)&amp;"")</f>
        <v/>
      </c>
      <c r="E1916">
        <f>IF($Q1916="","",IF(ISNUMBER(INDEX(상세표[근무일자],$Q1916)),TEXT(INDEX(상세표[근무일자],$Q1916),"yyyy-mm-dd"),INDEX(상세표[근무일자],$Q1916)&amp;""))</f>
        <v/>
      </c>
      <c r="F1916">
        <f>IF($Q1916="","",IF(ISNUMBER(INDEX(상세표[시작],$Q1916)),TEXT(INDEX(상세표[시작],$Q1916),"yyyy-mm-dd hh:mm"),INDEX(상세표[시작],$Q1916)&amp;""))</f>
        <v/>
      </c>
      <c r="G1916">
        <f>IF($Q1916="","",IF(ISNUMBER(INDEX(상세표[블록종료],$Q1916)),TEXT(INDEX(상세표[블록종료],$Q1916),"yyyy-mm-dd hh:mm"),INDEX(상세표[블록종료],$Q1916)&amp;""))</f>
        <v/>
      </c>
      <c r="H1916">
        <f>IF($Q1916="","",CHOOSE(WEEKDAY(INDEX(상세표[시작],$Q1916)),"일","월","화","수","목","금","토"))</f>
        <v/>
      </c>
      <c r="I1916" s="20">
        <f>IF($Q1916="","",INDEX(상세표[연속 시간],$Q1916))</f>
        <v/>
      </c>
      <c r="J1916">
        <f>IF($Q1916="","",INDEX(상세표[기록 수],$Q1916))</f>
        <v/>
      </c>
      <c r="K1916" s="20">
        <f>IF($Q1916="","",INDEX(상세표[블록 06~07시],$Q1916))</f>
        <v/>
      </c>
      <c r="L1916" s="20">
        <f>IF($Q1916="","",INDEX(상세표[블록 07~18시],$Q1916))</f>
        <v/>
      </c>
      <c r="M1916" s="20">
        <f>IF($Q1916="","",INDEX(상세표[블록 18~22시],$Q1916))</f>
        <v/>
      </c>
      <c r="N1916" s="20">
        <f>IF($Q1916="","",INDEX(상세표[블록 22~06시],$Q1916))</f>
        <v/>
      </c>
      <c r="O1916">
        <f>IF($Q1916="","",INDEX(상세표[주말·휴일 포함],$Q1916)&amp;"")</f>
        <v/>
      </c>
      <c r="P1916">
        <f>IF($Q1916="","",INDEX(상세표[월 넘김 포함],$Q1916)&amp;"")</f>
        <v/>
      </c>
      <c r="Q1916" s="4">
        <f>IFERROR(MATCH(1911,상세표[연속순번],0),"")</f>
        <v/>
      </c>
    </row>
    <row r="1917">
      <c r="A1917">
        <f>IF($Q1917="","",INDEX(상세표[부서],$Q1917)&amp;"")</f>
        <v/>
      </c>
      <c r="B1917">
        <f>IF($Q1917="","",INDEX(상세표[사번],$Q1917)&amp;"")</f>
        <v/>
      </c>
      <c r="C1917">
        <f>IF($Q1917="","",INDEX(상세표[성명],$Q1917)&amp;"")</f>
        <v/>
      </c>
      <c r="D1917">
        <f>IF($Q1917="","",INDEX(상세표[직위],$Q1917)&amp;"")</f>
        <v/>
      </c>
      <c r="E1917">
        <f>IF($Q1917="","",IF(ISNUMBER(INDEX(상세표[근무일자],$Q1917)),TEXT(INDEX(상세표[근무일자],$Q1917),"yyyy-mm-dd"),INDEX(상세표[근무일자],$Q1917)&amp;""))</f>
        <v/>
      </c>
      <c r="F1917">
        <f>IF($Q1917="","",IF(ISNUMBER(INDEX(상세표[시작],$Q1917)),TEXT(INDEX(상세표[시작],$Q1917),"yyyy-mm-dd hh:mm"),INDEX(상세표[시작],$Q1917)&amp;""))</f>
        <v/>
      </c>
      <c r="G1917">
        <f>IF($Q1917="","",IF(ISNUMBER(INDEX(상세표[블록종료],$Q1917)),TEXT(INDEX(상세표[블록종료],$Q1917),"yyyy-mm-dd hh:mm"),INDEX(상세표[블록종료],$Q1917)&amp;""))</f>
        <v/>
      </c>
      <c r="H1917">
        <f>IF($Q1917="","",CHOOSE(WEEKDAY(INDEX(상세표[시작],$Q1917)),"일","월","화","수","목","금","토"))</f>
        <v/>
      </c>
      <c r="I1917" s="20">
        <f>IF($Q1917="","",INDEX(상세표[연속 시간],$Q1917))</f>
        <v/>
      </c>
      <c r="J1917">
        <f>IF($Q1917="","",INDEX(상세표[기록 수],$Q1917))</f>
        <v/>
      </c>
      <c r="K1917" s="20">
        <f>IF($Q1917="","",INDEX(상세표[블록 06~07시],$Q1917))</f>
        <v/>
      </c>
      <c r="L1917" s="20">
        <f>IF($Q1917="","",INDEX(상세표[블록 07~18시],$Q1917))</f>
        <v/>
      </c>
      <c r="M1917" s="20">
        <f>IF($Q1917="","",INDEX(상세표[블록 18~22시],$Q1917))</f>
        <v/>
      </c>
      <c r="N1917" s="20">
        <f>IF($Q1917="","",INDEX(상세표[블록 22~06시],$Q1917))</f>
        <v/>
      </c>
      <c r="O1917">
        <f>IF($Q1917="","",INDEX(상세표[주말·휴일 포함],$Q1917)&amp;"")</f>
        <v/>
      </c>
      <c r="P1917">
        <f>IF($Q1917="","",INDEX(상세표[월 넘김 포함],$Q1917)&amp;"")</f>
        <v/>
      </c>
      <c r="Q1917" s="4">
        <f>IFERROR(MATCH(1912,상세표[연속순번],0),"")</f>
        <v/>
      </c>
    </row>
    <row r="1918">
      <c r="A1918">
        <f>IF($Q1918="","",INDEX(상세표[부서],$Q1918)&amp;"")</f>
        <v/>
      </c>
      <c r="B1918">
        <f>IF($Q1918="","",INDEX(상세표[사번],$Q1918)&amp;"")</f>
        <v/>
      </c>
      <c r="C1918">
        <f>IF($Q1918="","",INDEX(상세표[성명],$Q1918)&amp;"")</f>
        <v/>
      </c>
      <c r="D1918">
        <f>IF($Q1918="","",INDEX(상세표[직위],$Q1918)&amp;"")</f>
        <v/>
      </c>
      <c r="E1918">
        <f>IF($Q1918="","",IF(ISNUMBER(INDEX(상세표[근무일자],$Q1918)),TEXT(INDEX(상세표[근무일자],$Q1918),"yyyy-mm-dd"),INDEX(상세표[근무일자],$Q1918)&amp;""))</f>
        <v/>
      </c>
      <c r="F1918">
        <f>IF($Q1918="","",IF(ISNUMBER(INDEX(상세표[시작],$Q1918)),TEXT(INDEX(상세표[시작],$Q1918),"yyyy-mm-dd hh:mm"),INDEX(상세표[시작],$Q1918)&amp;""))</f>
        <v/>
      </c>
      <c r="G1918">
        <f>IF($Q1918="","",IF(ISNUMBER(INDEX(상세표[블록종료],$Q1918)),TEXT(INDEX(상세표[블록종료],$Q1918),"yyyy-mm-dd hh:mm"),INDEX(상세표[블록종료],$Q1918)&amp;""))</f>
        <v/>
      </c>
      <c r="H1918">
        <f>IF($Q1918="","",CHOOSE(WEEKDAY(INDEX(상세표[시작],$Q1918)),"일","월","화","수","목","금","토"))</f>
        <v/>
      </c>
      <c r="I1918" s="20">
        <f>IF($Q1918="","",INDEX(상세표[연속 시간],$Q1918))</f>
        <v/>
      </c>
      <c r="J1918">
        <f>IF($Q1918="","",INDEX(상세표[기록 수],$Q1918))</f>
        <v/>
      </c>
      <c r="K1918" s="20">
        <f>IF($Q1918="","",INDEX(상세표[블록 06~07시],$Q1918))</f>
        <v/>
      </c>
      <c r="L1918" s="20">
        <f>IF($Q1918="","",INDEX(상세표[블록 07~18시],$Q1918))</f>
        <v/>
      </c>
      <c r="M1918" s="20">
        <f>IF($Q1918="","",INDEX(상세표[블록 18~22시],$Q1918))</f>
        <v/>
      </c>
      <c r="N1918" s="20">
        <f>IF($Q1918="","",INDEX(상세표[블록 22~06시],$Q1918))</f>
        <v/>
      </c>
      <c r="O1918">
        <f>IF($Q1918="","",INDEX(상세표[주말·휴일 포함],$Q1918)&amp;"")</f>
        <v/>
      </c>
      <c r="P1918">
        <f>IF($Q1918="","",INDEX(상세표[월 넘김 포함],$Q1918)&amp;"")</f>
        <v/>
      </c>
      <c r="Q1918" s="4">
        <f>IFERROR(MATCH(1913,상세표[연속순번],0),"")</f>
        <v/>
      </c>
    </row>
    <row r="1919">
      <c r="A1919">
        <f>IF($Q1919="","",INDEX(상세표[부서],$Q1919)&amp;"")</f>
        <v/>
      </c>
      <c r="B1919">
        <f>IF($Q1919="","",INDEX(상세표[사번],$Q1919)&amp;"")</f>
        <v/>
      </c>
      <c r="C1919">
        <f>IF($Q1919="","",INDEX(상세표[성명],$Q1919)&amp;"")</f>
        <v/>
      </c>
      <c r="D1919">
        <f>IF($Q1919="","",INDEX(상세표[직위],$Q1919)&amp;"")</f>
        <v/>
      </c>
      <c r="E1919">
        <f>IF($Q1919="","",IF(ISNUMBER(INDEX(상세표[근무일자],$Q1919)),TEXT(INDEX(상세표[근무일자],$Q1919),"yyyy-mm-dd"),INDEX(상세표[근무일자],$Q1919)&amp;""))</f>
        <v/>
      </c>
      <c r="F1919">
        <f>IF($Q1919="","",IF(ISNUMBER(INDEX(상세표[시작],$Q1919)),TEXT(INDEX(상세표[시작],$Q1919),"yyyy-mm-dd hh:mm"),INDEX(상세표[시작],$Q1919)&amp;""))</f>
        <v/>
      </c>
      <c r="G1919">
        <f>IF($Q1919="","",IF(ISNUMBER(INDEX(상세표[블록종료],$Q1919)),TEXT(INDEX(상세표[블록종료],$Q1919),"yyyy-mm-dd hh:mm"),INDEX(상세표[블록종료],$Q1919)&amp;""))</f>
        <v/>
      </c>
      <c r="H1919">
        <f>IF($Q1919="","",CHOOSE(WEEKDAY(INDEX(상세표[시작],$Q1919)),"일","월","화","수","목","금","토"))</f>
        <v/>
      </c>
      <c r="I1919" s="20">
        <f>IF($Q1919="","",INDEX(상세표[연속 시간],$Q1919))</f>
        <v/>
      </c>
      <c r="J1919">
        <f>IF($Q1919="","",INDEX(상세표[기록 수],$Q1919))</f>
        <v/>
      </c>
      <c r="K1919" s="20">
        <f>IF($Q1919="","",INDEX(상세표[블록 06~07시],$Q1919))</f>
        <v/>
      </c>
      <c r="L1919" s="20">
        <f>IF($Q1919="","",INDEX(상세표[블록 07~18시],$Q1919))</f>
        <v/>
      </c>
      <c r="M1919" s="20">
        <f>IF($Q1919="","",INDEX(상세표[블록 18~22시],$Q1919))</f>
        <v/>
      </c>
      <c r="N1919" s="20">
        <f>IF($Q1919="","",INDEX(상세표[블록 22~06시],$Q1919))</f>
        <v/>
      </c>
      <c r="O1919">
        <f>IF($Q1919="","",INDEX(상세표[주말·휴일 포함],$Q1919)&amp;"")</f>
        <v/>
      </c>
      <c r="P1919">
        <f>IF($Q1919="","",INDEX(상세표[월 넘김 포함],$Q1919)&amp;"")</f>
        <v/>
      </c>
      <c r="Q1919" s="4">
        <f>IFERROR(MATCH(1914,상세표[연속순번],0),"")</f>
        <v/>
      </c>
    </row>
    <row r="1920">
      <c r="A1920">
        <f>IF($Q1920="","",INDEX(상세표[부서],$Q1920)&amp;"")</f>
        <v/>
      </c>
      <c r="B1920">
        <f>IF($Q1920="","",INDEX(상세표[사번],$Q1920)&amp;"")</f>
        <v/>
      </c>
      <c r="C1920">
        <f>IF($Q1920="","",INDEX(상세표[성명],$Q1920)&amp;"")</f>
        <v/>
      </c>
      <c r="D1920">
        <f>IF($Q1920="","",INDEX(상세표[직위],$Q1920)&amp;"")</f>
        <v/>
      </c>
      <c r="E1920">
        <f>IF($Q1920="","",IF(ISNUMBER(INDEX(상세표[근무일자],$Q1920)),TEXT(INDEX(상세표[근무일자],$Q1920),"yyyy-mm-dd"),INDEX(상세표[근무일자],$Q1920)&amp;""))</f>
        <v/>
      </c>
      <c r="F1920">
        <f>IF($Q1920="","",IF(ISNUMBER(INDEX(상세표[시작],$Q1920)),TEXT(INDEX(상세표[시작],$Q1920),"yyyy-mm-dd hh:mm"),INDEX(상세표[시작],$Q1920)&amp;""))</f>
        <v/>
      </c>
      <c r="G1920">
        <f>IF($Q1920="","",IF(ISNUMBER(INDEX(상세표[블록종료],$Q1920)),TEXT(INDEX(상세표[블록종료],$Q1920),"yyyy-mm-dd hh:mm"),INDEX(상세표[블록종료],$Q1920)&amp;""))</f>
        <v/>
      </c>
      <c r="H1920">
        <f>IF($Q1920="","",CHOOSE(WEEKDAY(INDEX(상세표[시작],$Q1920)),"일","월","화","수","목","금","토"))</f>
        <v/>
      </c>
      <c r="I1920" s="20">
        <f>IF($Q1920="","",INDEX(상세표[연속 시간],$Q1920))</f>
        <v/>
      </c>
      <c r="J1920">
        <f>IF($Q1920="","",INDEX(상세표[기록 수],$Q1920))</f>
        <v/>
      </c>
      <c r="K1920" s="20">
        <f>IF($Q1920="","",INDEX(상세표[블록 06~07시],$Q1920))</f>
        <v/>
      </c>
      <c r="L1920" s="20">
        <f>IF($Q1920="","",INDEX(상세표[블록 07~18시],$Q1920))</f>
        <v/>
      </c>
      <c r="M1920" s="20">
        <f>IF($Q1920="","",INDEX(상세표[블록 18~22시],$Q1920))</f>
        <v/>
      </c>
      <c r="N1920" s="20">
        <f>IF($Q1920="","",INDEX(상세표[블록 22~06시],$Q1920))</f>
        <v/>
      </c>
      <c r="O1920">
        <f>IF($Q1920="","",INDEX(상세표[주말·휴일 포함],$Q1920)&amp;"")</f>
        <v/>
      </c>
      <c r="P1920">
        <f>IF($Q1920="","",INDEX(상세표[월 넘김 포함],$Q1920)&amp;"")</f>
        <v/>
      </c>
      <c r="Q1920" s="4">
        <f>IFERROR(MATCH(1915,상세표[연속순번],0),"")</f>
        <v/>
      </c>
    </row>
    <row r="1921">
      <c r="A1921">
        <f>IF($Q1921="","",INDEX(상세표[부서],$Q1921)&amp;"")</f>
        <v/>
      </c>
      <c r="B1921">
        <f>IF($Q1921="","",INDEX(상세표[사번],$Q1921)&amp;"")</f>
        <v/>
      </c>
      <c r="C1921">
        <f>IF($Q1921="","",INDEX(상세표[성명],$Q1921)&amp;"")</f>
        <v/>
      </c>
      <c r="D1921">
        <f>IF($Q1921="","",INDEX(상세표[직위],$Q1921)&amp;"")</f>
        <v/>
      </c>
      <c r="E1921">
        <f>IF($Q1921="","",IF(ISNUMBER(INDEX(상세표[근무일자],$Q1921)),TEXT(INDEX(상세표[근무일자],$Q1921),"yyyy-mm-dd"),INDEX(상세표[근무일자],$Q1921)&amp;""))</f>
        <v/>
      </c>
      <c r="F1921">
        <f>IF($Q1921="","",IF(ISNUMBER(INDEX(상세표[시작],$Q1921)),TEXT(INDEX(상세표[시작],$Q1921),"yyyy-mm-dd hh:mm"),INDEX(상세표[시작],$Q1921)&amp;""))</f>
        <v/>
      </c>
      <c r="G1921">
        <f>IF($Q1921="","",IF(ISNUMBER(INDEX(상세표[블록종료],$Q1921)),TEXT(INDEX(상세표[블록종료],$Q1921),"yyyy-mm-dd hh:mm"),INDEX(상세표[블록종료],$Q1921)&amp;""))</f>
        <v/>
      </c>
      <c r="H1921">
        <f>IF($Q1921="","",CHOOSE(WEEKDAY(INDEX(상세표[시작],$Q1921)),"일","월","화","수","목","금","토"))</f>
        <v/>
      </c>
      <c r="I1921" s="20">
        <f>IF($Q1921="","",INDEX(상세표[연속 시간],$Q1921))</f>
        <v/>
      </c>
      <c r="J1921">
        <f>IF($Q1921="","",INDEX(상세표[기록 수],$Q1921))</f>
        <v/>
      </c>
      <c r="K1921" s="20">
        <f>IF($Q1921="","",INDEX(상세표[블록 06~07시],$Q1921))</f>
        <v/>
      </c>
      <c r="L1921" s="20">
        <f>IF($Q1921="","",INDEX(상세표[블록 07~18시],$Q1921))</f>
        <v/>
      </c>
      <c r="M1921" s="20">
        <f>IF($Q1921="","",INDEX(상세표[블록 18~22시],$Q1921))</f>
        <v/>
      </c>
      <c r="N1921" s="20">
        <f>IF($Q1921="","",INDEX(상세표[블록 22~06시],$Q1921))</f>
        <v/>
      </c>
      <c r="O1921">
        <f>IF($Q1921="","",INDEX(상세표[주말·휴일 포함],$Q1921)&amp;"")</f>
        <v/>
      </c>
      <c r="P1921">
        <f>IF($Q1921="","",INDEX(상세표[월 넘김 포함],$Q1921)&amp;"")</f>
        <v/>
      </c>
      <c r="Q1921" s="4">
        <f>IFERROR(MATCH(1916,상세표[연속순번],0),"")</f>
        <v/>
      </c>
    </row>
    <row r="1922">
      <c r="A1922">
        <f>IF($Q1922="","",INDEX(상세표[부서],$Q1922)&amp;"")</f>
        <v/>
      </c>
      <c r="B1922">
        <f>IF($Q1922="","",INDEX(상세표[사번],$Q1922)&amp;"")</f>
        <v/>
      </c>
      <c r="C1922">
        <f>IF($Q1922="","",INDEX(상세표[성명],$Q1922)&amp;"")</f>
        <v/>
      </c>
      <c r="D1922">
        <f>IF($Q1922="","",INDEX(상세표[직위],$Q1922)&amp;"")</f>
        <v/>
      </c>
      <c r="E1922">
        <f>IF($Q1922="","",IF(ISNUMBER(INDEX(상세표[근무일자],$Q1922)),TEXT(INDEX(상세표[근무일자],$Q1922),"yyyy-mm-dd"),INDEX(상세표[근무일자],$Q1922)&amp;""))</f>
        <v/>
      </c>
      <c r="F1922">
        <f>IF($Q1922="","",IF(ISNUMBER(INDEX(상세표[시작],$Q1922)),TEXT(INDEX(상세표[시작],$Q1922),"yyyy-mm-dd hh:mm"),INDEX(상세표[시작],$Q1922)&amp;""))</f>
        <v/>
      </c>
      <c r="G1922">
        <f>IF($Q1922="","",IF(ISNUMBER(INDEX(상세표[블록종료],$Q1922)),TEXT(INDEX(상세표[블록종료],$Q1922),"yyyy-mm-dd hh:mm"),INDEX(상세표[블록종료],$Q1922)&amp;""))</f>
        <v/>
      </c>
      <c r="H1922">
        <f>IF($Q1922="","",CHOOSE(WEEKDAY(INDEX(상세표[시작],$Q1922)),"일","월","화","수","목","금","토"))</f>
        <v/>
      </c>
      <c r="I1922" s="20">
        <f>IF($Q1922="","",INDEX(상세표[연속 시간],$Q1922))</f>
        <v/>
      </c>
      <c r="J1922">
        <f>IF($Q1922="","",INDEX(상세표[기록 수],$Q1922))</f>
        <v/>
      </c>
      <c r="K1922" s="20">
        <f>IF($Q1922="","",INDEX(상세표[블록 06~07시],$Q1922))</f>
        <v/>
      </c>
      <c r="L1922" s="20">
        <f>IF($Q1922="","",INDEX(상세표[블록 07~18시],$Q1922))</f>
        <v/>
      </c>
      <c r="M1922" s="20">
        <f>IF($Q1922="","",INDEX(상세표[블록 18~22시],$Q1922))</f>
        <v/>
      </c>
      <c r="N1922" s="20">
        <f>IF($Q1922="","",INDEX(상세표[블록 22~06시],$Q1922))</f>
        <v/>
      </c>
      <c r="O1922">
        <f>IF($Q1922="","",INDEX(상세표[주말·휴일 포함],$Q1922)&amp;"")</f>
        <v/>
      </c>
      <c r="P1922">
        <f>IF($Q1922="","",INDEX(상세표[월 넘김 포함],$Q1922)&amp;"")</f>
        <v/>
      </c>
      <c r="Q1922" s="4">
        <f>IFERROR(MATCH(1917,상세표[연속순번],0),"")</f>
        <v/>
      </c>
    </row>
    <row r="1923">
      <c r="A1923">
        <f>IF($Q1923="","",INDEX(상세표[부서],$Q1923)&amp;"")</f>
        <v/>
      </c>
      <c r="B1923">
        <f>IF($Q1923="","",INDEX(상세표[사번],$Q1923)&amp;"")</f>
        <v/>
      </c>
      <c r="C1923">
        <f>IF($Q1923="","",INDEX(상세표[성명],$Q1923)&amp;"")</f>
        <v/>
      </c>
      <c r="D1923">
        <f>IF($Q1923="","",INDEX(상세표[직위],$Q1923)&amp;"")</f>
        <v/>
      </c>
      <c r="E1923">
        <f>IF($Q1923="","",IF(ISNUMBER(INDEX(상세표[근무일자],$Q1923)),TEXT(INDEX(상세표[근무일자],$Q1923),"yyyy-mm-dd"),INDEX(상세표[근무일자],$Q1923)&amp;""))</f>
        <v/>
      </c>
      <c r="F1923">
        <f>IF($Q1923="","",IF(ISNUMBER(INDEX(상세표[시작],$Q1923)),TEXT(INDEX(상세표[시작],$Q1923),"yyyy-mm-dd hh:mm"),INDEX(상세표[시작],$Q1923)&amp;""))</f>
        <v/>
      </c>
      <c r="G1923">
        <f>IF($Q1923="","",IF(ISNUMBER(INDEX(상세표[블록종료],$Q1923)),TEXT(INDEX(상세표[블록종료],$Q1923),"yyyy-mm-dd hh:mm"),INDEX(상세표[블록종료],$Q1923)&amp;""))</f>
        <v/>
      </c>
      <c r="H1923">
        <f>IF($Q1923="","",CHOOSE(WEEKDAY(INDEX(상세표[시작],$Q1923)),"일","월","화","수","목","금","토"))</f>
        <v/>
      </c>
      <c r="I1923" s="20">
        <f>IF($Q1923="","",INDEX(상세표[연속 시간],$Q1923))</f>
        <v/>
      </c>
      <c r="J1923">
        <f>IF($Q1923="","",INDEX(상세표[기록 수],$Q1923))</f>
        <v/>
      </c>
      <c r="K1923" s="20">
        <f>IF($Q1923="","",INDEX(상세표[블록 06~07시],$Q1923))</f>
        <v/>
      </c>
      <c r="L1923" s="20">
        <f>IF($Q1923="","",INDEX(상세표[블록 07~18시],$Q1923))</f>
        <v/>
      </c>
      <c r="M1923" s="20">
        <f>IF($Q1923="","",INDEX(상세표[블록 18~22시],$Q1923))</f>
        <v/>
      </c>
      <c r="N1923" s="20">
        <f>IF($Q1923="","",INDEX(상세표[블록 22~06시],$Q1923))</f>
        <v/>
      </c>
      <c r="O1923">
        <f>IF($Q1923="","",INDEX(상세표[주말·휴일 포함],$Q1923)&amp;"")</f>
        <v/>
      </c>
      <c r="P1923">
        <f>IF($Q1923="","",INDEX(상세표[월 넘김 포함],$Q1923)&amp;"")</f>
        <v/>
      </c>
      <c r="Q1923" s="4">
        <f>IFERROR(MATCH(1918,상세표[연속순번],0),"")</f>
        <v/>
      </c>
    </row>
    <row r="1924">
      <c r="A1924">
        <f>IF($Q1924="","",INDEX(상세표[부서],$Q1924)&amp;"")</f>
        <v/>
      </c>
      <c r="B1924">
        <f>IF($Q1924="","",INDEX(상세표[사번],$Q1924)&amp;"")</f>
        <v/>
      </c>
      <c r="C1924">
        <f>IF($Q1924="","",INDEX(상세표[성명],$Q1924)&amp;"")</f>
        <v/>
      </c>
      <c r="D1924">
        <f>IF($Q1924="","",INDEX(상세표[직위],$Q1924)&amp;"")</f>
        <v/>
      </c>
      <c r="E1924">
        <f>IF($Q1924="","",IF(ISNUMBER(INDEX(상세표[근무일자],$Q1924)),TEXT(INDEX(상세표[근무일자],$Q1924),"yyyy-mm-dd"),INDEX(상세표[근무일자],$Q1924)&amp;""))</f>
        <v/>
      </c>
      <c r="F1924">
        <f>IF($Q1924="","",IF(ISNUMBER(INDEX(상세표[시작],$Q1924)),TEXT(INDEX(상세표[시작],$Q1924),"yyyy-mm-dd hh:mm"),INDEX(상세표[시작],$Q1924)&amp;""))</f>
        <v/>
      </c>
      <c r="G1924">
        <f>IF($Q1924="","",IF(ISNUMBER(INDEX(상세표[블록종료],$Q1924)),TEXT(INDEX(상세표[블록종료],$Q1924),"yyyy-mm-dd hh:mm"),INDEX(상세표[블록종료],$Q1924)&amp;""))</f>
        <v/>
      </c>
      <c r="H1924">
        <f>IF($Q1924="","",CHOOSE(WEEKDAY(INDEX(상세표[시작],$Q1924)),"일","월","화","수","목","금","토"))</f>
        <v/>
      </c>
      <c r="I1924" s="20">
        <f>IF($Q1924="","",INDEX(상세표[연속 시간],$Q1924))</f>
        <v/>
      </c>
      <c r="J1924">
        <f>IF($Q1924="","",INDEX(상세표[기록 수],$Q1924))</f>
        <v/>
      </c>
      <c r="K1924" s="20">
        <f>IF($Q1924="","",INDEX(상세표[블록 06~07시],$Q1924))</f>
        <v/>
      </c>
      <c r="L1924" s="20">
        <f>IF($Q1924="","",INDEX(상세표[블록 07~18시],$Q1924))</f>
        <v/>
      </c>
      <c r="M1924" s="20">
        <f>IF($Q1924="","",INDEX(상세표[블록 18~22시],$Q1924))</f>
        <v/>
      </c>
      <c r="N1924" s="20">
        <f>IF($Q1924="","",INDEX(상세표[블록 22~06시],$Q1924))</f>
        <v/>
      </c>
      <c r="O1924">
        <f>IF($Q1924="","",INDEX(상세표[주말·휴일 포함],$Q1924)&amp;"")</f>
        <v/>
      </c>
      <c r="P1924">
        <f>IF($Q1924="","",INDEX(상세표[월 넘김 포함],$Q1924)&amp;"")</f>
        <v/>
      </c>
      <c r="Q1924" s="4">
        <f>IFERROR(MATCH(1919,상세표[연속순번],0),"")</f>
        <v/>
      </c>
    </row>
    <row r="1925">
      <c r="A1925">
        <f>IF($Q1925="","",INDEX(상세표[부서],$Q1925)&amp;"")</f>
        <v/>
      </c>
      <c r="B1925">
        <f>IF($Q1925="","",INDEX(상세표[사번],$Q1925)&amp;"")</f>
        <v/>
      </c>
      <c r="C1925">
        <f>IF($Q1925="","",INDEX(상세표[성명],$Q1925)&amp;"")</f>
        <v/>
      </c>
      <c r="D1925">
        <f>IF($Q1925="","",INDEX(상세표[직위],$Q1925)&amp;"")</f>
        <v/>
      </c>
      <c r="E1925">
        <f>IF($Q1925="","",IF(ISNUMBER(INDEX(상세표[근무일자],$Q1925)),TEXT(INDEX(상세표[근무일자],$Q1925),"yyyy-mm-dd"),INDEX(상세표[근무일자],$Q1925)&amp;""))</f>
        <v/>
      </c>
      <c r="F1925">
        <f>IF($Q1925="","",IF(ISNUMBER(INDEX(상세표[시작],$Q1925)),TEXT(INDEX(상세표[시작],$Q1925),"yyyy-mm-dd hh:mm"),INDEX(상세표[시작],$Q1925)&amp;""))</f>
        <v/>
      </c>
      <c r="G1925">
        <f>IF($Q1925="","",IF(ISNUMBER(INDEX(상세표[블록종료],$Q1925)),TEXT(INDEX(상세표[블록종료],$Q1925),"yyyy-mm-dd hh:mm"),INDEX(상세표[블록종료],$Q1925)&amp;""))</f>
        <v/>
      </c>
      <c r="H1925">
        <f>IF($Q1925="","",CHOOSE(WEEKDAY(INDEX(상세표[시작],$Q1925)),"일","월","화","수","목","금","토"))</f>
        <v/>
      </c>
      <c r="I1925" s="20">
        <f>IF($Q1925="","",INDEX(상세표[연속 시간],$Q1925))</f>
        <v/>
      </c>
      <c r="J1925">
        <f>IF($Q1925="","",INDEX(상세표[기록 수],$Q1925))</f>
        <v/>
      </c>
      <c r="K1925" s="20">
        <f>IF($Q1925="","",INDEX(상세표[블록 06~07시],$Q1925))</f>
        <v/>
      </c>
      <c r="L1925" s="20">
        <f>IF($Q1925="","",INDEX(상세표[블록 07~18시],$Q1925))</f>
        <v/>
      </c>
      <c r="M1925" s="20">
        <f>IF($Q1925="","",INDEX(상세표[블록 18~22시],$Q1925))</f>
        <v/>
      </c>
      <c r="N1925" s="20">
        <f>IF($Q1925="","",INDEX(상세표[블록 22~06시],$Q1925))</f>
        <v/>
      </c>
      <c r="O1925">
        <f>IF($Q1925="","",INDEX(상세표[주말·휴일 포함],$Q1925)&amp;"")</f>
        <v/>
      </c>
      <c r="P1925">
        <f>IF($Q1925="","",INDEX(상세표[월 넘김 포함],$Q1925)&amp;"")</f>
        <v/>
      </c>
      <c r="Q1925" s="4">
        <f>IFERROR(MATCH(1920,상세표[연속순번],0),"")</f>
        <v/>
      </c>
    </row>
    <row r="1926">
      <c r="A1926">
        <f>IF($Q1926="","",INDEX(상세표[부서],$Q1926)&amp;"")</f>
        <v/>
      </c>
      <c r="B1926">
        <f>IF($Q1926="","",INDEX(상세표[사번],$Q1926)&amp;"")</f>
        <v/>
      </c>
      <c r="C1926">
        <f>IF($Q1926="","",INDEX(상세표[성명],$Q1926)&amp;"")</f>
        <v/>
      </c>
      <c r="D1926">
        <f>IF($Q1926="","",INDEX(상세표[직위],$Q1926)&amp;"")</f>
        <v/>
      </c>
      <c r="E1926">
        <f>IF($Q1926="","",IF(ISNUMBER(INDEX(상세표[근무일자],$Q1926)),TEXT(INDEX(상세표[근무일자],$Q1926),"yyyy-mm-dd"),INDEX(상세표[근무일자],$Q1926)&amp;""))</f>
        <v/>
      </c>
      <c r="F1926">
        <f>IF($Q1926="","",IF(ISNUMBER(INDEX(상세표[시작],$Q1926)),TEXT(INDEX(상세표[시작],$Q1926),"yyyy-mm-dd hh:mm"),INDEX(상세표[시작],$Q1926)&amp;""))</f>
        <v/>
      </c>
      <c r="G1926">
        <f>IF($Q1926="","",IF(ISNUMBER(INDEX(상세표[블록종료],$Q1926)),TEXT(INDEX(상세표[블록종료],$Q1926),"yyyy-mm-dd hh:mm"),INDEX(상세표[블록종료],$Q1926)&amp;""))</f>
        <v/>
      </c>
      <c r="H1926">
        <f>IF($Q1926="","",CHOOSE(WEEKDAY(INDEX(상세표[시작],$Q1926)),"일","월","화","수","목","금","토"))</f>
        <v/>
      </c>
      <c r="I1926" s="20">
        <f>IF($Q1926="","",INDEX(상세표[연속 시간],$Q1926))</f>
        <v/>
      </c>
      <c r="J1926">
        <f>IF($Q1926="","",INDEX(상세표[기록 수],$Q1926))</f>
        <v/>
      </c>
      <c r="K1926" s="20">
        <f>IF($Q1926="","",INDEX(상세표[블록 06~07시],$Q1926))</f>
        <v/>
      </c>
      <c r="L1926" s="20">
        <f>IF($Q1926="","",INDEX(상세표[블록 07~18시],$Q1926))</f>
        <v/>
      </c>
      <c r="M1926" s="20">
        <f>IF($Q1926="","",INDEX(상세표[블록 18~22시],$Q1926))</f>
        <v/>
      </c>
      <c r="N1926" s="20">
        <f>IF($Q1926="","",INDEX(상세표[블록 22~06시],$Q1926))</f>
        <v/>
      </c>
      <c r="O1926">
        <f>IF($Q1926="","",INDEX(상세표[주말·휴일 포함],$Q1926)&amp;"")</f>
        <v/>
      </c>
      <c r="P1926">
        <f>IF($Q1926="","",INDEX(상세표[월 넘김 포함],$Q1926)&amp;"")</f>
        <v/>
      </c>
      <c r="Q1926" s="4">
        <f>IFERROR(MATCH(1921,상세표[연속순번],0),"")</f>
        <v/>
      </c>
    </row>
    <row r="1927">
      <c r="A1927">
        <f>IF($Q1927="","",INDEX(상세표[부서],$Q1927)&amp;"")</f>
        <v/>
      </c>
      <c r="B1927">
        <f>IF($Q1927="","",INDEX(상세표[사번],$Q1927)&amp;"")</f>
        <v/>
      </c>
      <c r="C1927">
        <f>IF($Q1927="","",INDEX(상세표[성명],$Q1927)&amp;"")</f>
        <v/>
      </c>
      <c r="D1927">
        <f>IF($Q1927="","",INDEX(상세표[직위],$Q1927)&amp;"")</f>
        <v/>
      </c>
      <c r="E1927">
        <f>IF($Q1927="","",IF(ISNUMBER(INDEX(상세표[근무일자],$Q1927)),TEXT(INDEX(상세표[근무일자],$Q1927),"yyyy-mm-dd"),INDEX(상세표[근무일자],$Q1927)&amp;""))</f>
        <v/>
      </c>
      <c r="F1927">
        <f>IF($Q1927="","",IF(ISNUMBER(INDEX(상세표[시작],$Q1927)),TEXT(INDEX(상세표[시작],$Q1927),"yyyy-mm-dd hh:mm"),INDEX(상세표[시작],$Q1927)&amp;""))</f>
        <v/>
      </c>
      <c r="G1927">
        <f>IF($Q1927="","",IF(ISNUMBER(INDEX(상세표[블록종료],$Q1927)),TEXT(INDEX(상세표[블록종료],$Q1927),"yyyy-mm-dd hh:mm"),INDEX(상세표[블록종료],$Q1927)&amp;""))</f>
        <v/>
      </c>
      <c r="H1927">
        <f>IF($Q1927="","",CHOOSE(WEEKDAY(INDEX(상세표[시작],$Q1927)),"일","월","화","수","목","금","토"))</f>
        <v/>
      </c>
      <c r="I1927" s="20">
        <f>IF($Q1927="","",INDEX(상세표[연속 시간],$Q1927))</f>
        <v/>
      </c>
      <c r="J1927">
        <f>IF($Q1927="","",INDEX(상세표[기록 수],$Q1927))</f>
        <v/>
      </c>
      <c r="K1927" s="20">
        <f>IF($Q1927="","",INDEX(상세표[블록 06~07시],$Q1927))</f>
        <v/>
      </c>
      <c r="L1927" s="20">
        <f>IF($Q1927="","",INDEX(상세표[블록 07~18시],$Q1927))</f>
        <v/>
      </c>
      <c r="M1927" s="20">
        <f>IF($Q1927="","",INDEX(상세표[블록 18~22시],$Q1927))</f>
        <v/>
      </c>
      <c r="N1927" s="20">
        <f>IF($Q1927="","",INDEX(상세표[블록 22~06시],$Q1927))</f>
        <v/>
      </c>
      <c r="O1927">
        <f>IF($Q1927="","",INDEX(상세표[주말·휴일 포함],$Q1927)&amp;"")</f>
        <v/>
      </c>
      <c r="P1927">
        <f>IF($Q1927="","",INDEX(상세표[월 넘김 포함],$Q1927)&amp;"")</f>
        <v/>
      </c>
      <c r="Q1927" s="4">
        <f>IFERROR(MATCH(1922,상세표[연속순번],0),"")</f>
        <v/>
      </c>
    </row>
    <row r="1928">
      <c r="A1928">
        <f>IF($Q1928="","",INDEX(상세표[부서],$Q1928)&amp;"")</f>
        <v/>
      </c>
      <c r="B1928">
        <f>IF($Q1928="","",INDEX(상세표[사번],$Q1928)&amp;"")</f>
        <v/>
      </c>
      <c r="C1928">
        <f>IF($Q1928="","",INDEX(상세표[성명],$Q1928)&amp;"")</f>
        <v/>
      </c>
      <c r="D1928">
        <f>IF($Q1928="","",INDEX(상세표[직위],$Q1928)&amp;"")</f>
        <v/>
      </c>
      <c r="E1928">
        <f>IF($Q1928="","",IF(ISNUMBER(INDEX(상세표[근무일자],$Q1928)),TEXT(INDEX(상세표[근무일자],$Q1928),"yyyy-mm-dd"),INDEX(상세표[근무일자],$Q1928)&amp;""))</f>
        <v/>
      </c>
      <c r="F1928">
        <f>IF($Q1928="","",IF(ISNUMBER(INDEX(상세표[시작],$Q1928)),TEXT(INDEX(상세표[시작],$Q1928),"yyyy-mm-dd hh:mm"),INDEX(상세표[시작],$Q1928)&amp;""))</f>
        <v/>
      </c>
      <c r="G1928">
        <f>IF($Q1928="","",IF(ISNUMBER(INDEX(상세표[블록종료],$Q1928)),TEXT(INDEX(상세표[블록종료],$Q1928),"yyyy-mm-dd hh:mm"),INDEX(상세표[블록종료],$Q1928)&amp;""))</f>
        <v/>
      </c>
      <c r="H1928">
        <f>IF($Q1928="","",CHOOSE(WEEKDAY(INDEX(상세표[시작],$Q1928)),"일","월","화","수","목","금","토"))</f>
        <v/>
      </c>
      <c r="I1928" s="20">
        <f>IF($Q1928="","",INDEX(상세표[연속 시간],$Q1928))</f>
        <v/>
      </c>
      <c r="J1928">
        <f>IF($Q1928="","",INDEX(상세표[기록 수],$Q1928))</f>
        <v/>
      </c>
      <c r="K1928" s="20">
        <f>IF($Q1928="","",INDEX(상세표[블록 06~07시],$Q1928))</f>
        <v/>
      </c>
      <c r="L1928" s="20">
        <f>IF($Q1928="","",INDEX(상세표[블록 07~18시],$Q1928))</f>
        <v/>
      </c>
      <c r="M1928" s="20">
        <f>IF($Q1928="","",INDEX(상세표[블록 18~22시],$Q1928))</f>
        <v/>
      </c>
      <c r="N1928" s="20">
        <f>IF($Q1928="","",INDEX(상세표[블록 22~06시],$Q1928))</f>
        <v/>
      </c>
      <c r="O1928">
        <f>IF($Q1928="","",INDEX(상세표[주말·휴일 포함],$Q1928)&amp;"")</f>
        <v/>
      </c>
      <c r="P1928">
        <f>IF($Q1928="","",INDEX(상세표[월 넘김 포함],$Q1928)&amp;"")</f>
        <v/>
      </c>
      <c r="Q1928" s="4">
        <f>IFERROR(MATCH(1923,상세표[연속순번],0),"")</f>
        <v/>
      </c>
    </row>
    <row r="1929">
      <c r="A1929">
        <f>IF($Q1929="","",INDEX(상세표[부서],$Q1929)&amp;"")</f>
        <v/>
      </c>
      <c r="B1929">
        <f>IF($Q1929="","",INDEX(상세표[사번],$Q1929)&amp;"")</f>
        <v/>
      </c>
      <c r="C1929">
        <f>IF($Q1929="","",INDEX(상세표[성명],$Q1929)&amp;"")</f>
        <v/>
      </c>
      <c r="D1929">
        <f>IF($Q1929="","",INDEX(상세표[직위],$Q1929)&amp;"")</f>
        <v/>
      </c>
      <c r="E1929">
        <f>IF($Q1929="","",IF(ISNUMBER(INDEX(상세표[근무일자],$Q1929)),TEXT(INDEX(상세표[근무일자],$Q1929),"yyyy-mm-dd"),INDEX(상세표[근무일자],$Q1929)&amp;""))</f>
        <v/>
      </c>
      <c r="F1929">
        <f>IF($Q1929="","",IF(ISNUMBER(INDEX(상세표[시작],$Q1929)),TEXT(INDEX(상세표[시작],$Q1929),"yyyy-mm-dd hh:mm"),INDEX(상세표[시작],$Q1929)&amp;""))</f>
        <v/>
      </c>
      <c r="G1929">
        <f>IF($Q1929="","",IF(ISNUMBER(INDEX(상세표[블록종료],$Q1929)),TEXT(INDEX(상세표[블록종료],$Q1929),"yyyy-mm-dd hh:mm"),INDEX(상세표[블록종료],$Q1929)&amp;""))</f>
        <v/>
      </c>
      <c r="H1929">
        <f>IF($Q1929="","",CHOOSE(WEEKDAY(INDEX(상세표[시작],$Q1929)),"일","월","화","수","목","금","토"))</f>
        <v/>
      </c>
      <c r="I1929" s="20">
        <f>IF($Q1929="","",INDEX(상세표[연속 시간],$Q1929))</f>
        <v/>
      </c>
      <c r="J1929">
        <f>IF($Q1929="","",INDEX(상세표[기록 수],$Q1929))</f>
        <v/>
      </c>
      <c r="K1929" s="20">
        <f>IF($Q1929="","",INDEX(상세표[블록 06~07시],$Q1929))</f>
        <v/>
      </c>
      <c r="L1929" s="20">
        <f>IF($Q1929="","",INDEX(상세표[블록 07~18시],$Q1929))</f>
        <v/>
      </c>
      <c r="M1929" s="20">
        <f>IF($Q1929="","",INDEX(상세표[블록 18~22시],$Q1929))</f>
        <v/>
      </c>
      <c r="N1929" s="20">
        <f>IF($Q1929="","",INDEX(상세표[블록 22~06시],$Q1929))</f>
        <v/>
      </c>
      <c r="O1929">
        <f>IF($Q1929="","",INDEX(상세표[주말·휴일 포함],$Q1929)&amp;"")</f>
        <v/>
      </c>
      <c r="P1929">
        <f>IF($Q1929="","",INDEX(상세표[월 넘김 포함],$Q1929)&amp;"")</f>
        <v/>
      </c>
      <c r="Q1929" s="4">
        <f>IFERROR(MATCH(1924,상세표[연속순번],0),"")</f>
        <v/>
      </c>
    </row>
    <row r="1930">
      <c r="A1930">
        <f>IF($Q1930="","",INDEX(상세표[부서],$Q1930)&amp;"")</f>
        <v/>
      </c>
      <c r="B1930">
        <f>IF($Q1930="","",INDEX(상세표[사번],$Q1930)&amp;"")</f>
        <v/>
      </c>
      <c r="C1930">
        <f>IF($Q1930="","",INDEX(상세표[성명],$Q1930)&amp;"")</f>
        <v/>
      </c>
      <c r="D1930">
        <f>IF($Q1930="","",INDEX(상세표[직위],$Q1930)&amp;"")</f>
        <v/>
      </c>
      <c r="E1930">
        <f>IF($Q1930="","",IF(ISNUMBER(INDEX(상세표[근무일자],$Q1930)),TEXT(INDEX(상세표[근무일자],$Q1930),"yyyy-mm-dd"),INDEX(상세표[근무일자],$Q1930)&amp;""))</f>
        <v/>
      </c>
      <c r="F1930">
        <f>IF($Q1930="","",IF(ISNUMBER(INDEX(상세표[시작],$Q1930)),TEXT(INDEX(상세표[시작],$Q1930),"yyyy-mm-dd hh:mm"),INDEX(상세표[시작],$Q1930)&amp;""))</f>
        <v/>
      </c>
      <c r="G1930">
        <f>IF($Q1930="","",IF(ISNUMBER(INDEX(상세표[블록종료],$Q1930)),TEXT(INDEX(상세표[블록종료],$Q1930),"yyyy-mm-dd hh:mm"),INDEX(상세표[블록종료],$Q1930)&amp;""))</f>
        <v/>
      </c>
      <c r="H1930">
        <f>IF($Q1930="","",CHOOSE(WEEKDAY(INDEX(상세표[시작],$Q1930)),"일","월","화","수","목","금","토"))</f>
        <v/>
      </c>
      <c r="I1930" s="20">
        <f>IF($Q1930="","",INDEX(상세표[연속 시간],$Q1930))</f>
        <v/>
      </c>
      <c r="J1930">
        <f>IF($Q1930="","",INDEX(상세표[기록 수],$Q1930))</f>
        <v/>
      </c>
      <c r="K1930" s="20">
        <f>IF($Q1930="","",INDEX(상세표[블록 06~07시],$Q1930))</f>
        <v/>
      </c>
      <c r="L1930" s="20">
        <f>IF($Q1930="","",INDEX(상세표[블록 07~18시],$Q1930))</f>
        <v/>
      </c>
      <c r="M1930" s="20">
        <f>IF($Q1930="","",INDEX(상세표[블록 18~22시],$Q1930))</f>
        <v/>
      </c>
      <c r="N1930" s="20">
        <f>IF($Q1930="","",INDEX(상세표[블록 22~06시],$Q1930))</f>
        <v/>
      </c>
      <c r="O1930">
        <f>IF($Q1930="","",INDEX(상세표[주말·휴일 포함],$Q1930)&amp;"")</f>
        <v/>
      </c>
      <c r="P1930">
        <f>IF($Q1930="","",INDEX(상세표[월 넘김 포함],$Q1930)&amp;"")</f>
        <v/>
      </c>
      <c r="Q1930" s="4">
        <f>IFERROR(MATCH(1925,상세표[연속순번],0),"")</f>
        <v/>
      </c>
    </row>
    <row r="1931">
      <c r="A1931">
        <f>IF($Q1931="","",INDEX(상세표[부서],$Q1931)&amp;"")</f>
        <v/>
      </c>
      <c r="B1931">
        <f>IF($Q1931="","",INDEX(상세표[사번],$Q1931)&amp;"")</f>
        <v/>
      </c>
      <c r="C1931">
        <f>IF($Q1931="","",INDEX(상세표[성명],$Q1931)&amp;"")</f>
        <v/>
      </c>
      <c r="D1931">
        <f>IF($Q1931="","",INDEX(상세표[직위],$Q1931)&amp;"")</f>
        <v/>
      </c>
      <c r="E1931">
        <f>IF($Q1931="","",IF(ISNUMBER(INDEX(상세표[근무일자],$Q1931)),TEXT(INDEX(상세표[근무일자],$Q1931),"yyyy-mm-dd"),INDEX(상세표[근무일자],$Q1931)&amp;""))</f>
        <v/>
      </c>
      <c r="F1931">
        <f>IF($Q1931="","",IF(ISNUMBER(INDEX(상세표[시작],$Q1931)),TEXT(INDEX(상세표[시작],$Q1931),"yyyy-mm-dd hh:mm"),INDEX(상세표[시작],$Q1931)&amp;""))</f>
        <v/>
      </c>
      <c r="G1931">
        <f>IF($Q1931="","",IF(ISNUMBER(INDEX(상세표[블록종료],$Q1931)),TEXT(INDEX(상세표[블록종료],$Q1931),"yyyy-mm-dd hh:mm"),INDEX(상세표[블록종료],$Q1931)&amp;""))</f>
        <v/>
      </c>
      <c r="H1931">
        <f>IF($Q1931="","",CHOOSE(WEEKDAY(INDEX(상세표[시작],$Q1931)),"일","월","화","수","목","금","토"))</f>
        <v/>
      </c>
      <c r="I1931" s="20">
        <f>IF($Q1931="","",INDEX(상세표[연속 시간],$Q1931))</f>
        <v/>
      </c>
      <c r="J1931">
        <f>IF($Q1931="","",INDEX(상세표[기록 수],$Q1931))</f>
        <v/>
      </c>
      <c r="K1931" s="20">
        <f>IF($Q1931="","",INDEX(상세표[블록 06~07시],$Q1931))</f>
        <v/>
      </c>
      <c r="L1931" s="20">
        <f>IF($Q1931="","",INDEX(상세표[블록 07~18시],$Q1931))</f>
        <v/>
      </c>
      <c r="M1931" s="20">
        <f>IF($Q1931="","",INDEX(상세표[블록 18~22시],$Q1931))</f>
        <v/>
      </c>
      <c r="N1931" s="20">
        <f>IF($Q1931="","",INDEX(상세표[블록 22~06시],$Q1931))</f>
        <v/>
      </c>
      <c r="O1931">
        <f>IF($Q1931="","",INDEX(상세표[주말·휴일 포함],$Q1931)&amp;"")</f>
        <v/>
      </c>
      <c r="P1931">
        <f>IF($Q1931="","",INDEX(상세표[월 넘김 포함],$Q1931)&amp;"")</f>
        <v/>
      </c>
      <c r="Q1931" s="4">
        <f>IFERROR(MATCH(1926,상세표[연속순번],0),"")</f>
        <v/>
      </c>
    </row>
    <row r="1932">
      <c r="A1932">
        <f>IF($Q1932="","",INDEX(상세표[부서],$Q1932)&amp;"")</f>
        <v/>
      </c>
      <c r="B1932">
        <f>IF($Q1932="","",INDEX(상세표[사번],$Q1932)&amp;"")</f>
        <v/>
      </c>
      <c r="C1932">
        <f>IF($Q1932="","",INDEX(상세표[성명],$Q1932)&amp;"")</f>
        <v/>
      </c>
      <c r="D1932">
        <f>IF($Q1932="","",INDEX(상세표[직위],$Q1932)&amp;"")</f>
        <v/>
      </c>
      <c r="E1932">
        <f>IF($Q1932="","",IF(ISNUMBER(INDEX(상세표[근무일자],$Q1932)),TEXT(INDEX(상세표[근무일자],$Q1932),"yyyy-mm-dd"),INDEX(상세표[근무일자],$Q1932)&amp;""))</f>
        <v/>
      </c>
      <c r="F1932">
        <f>IF($Q1932="","",IF(ISNUMBER(INDEX(상세표[시작],$Q1932)),TEXT(INDEX(상세표[시작],$Q1932),"yyyy-mm-dd hh:mm"),INDEX(상세표[시작],$Q1932)&amp;""))</f>
        <v/>
      </c>
      <c r="G1932">
        <f>IF($Q1932="","",IF(ISNUMBER(INDEX(상세표[블록종료],$Q1932)),TEXT(INDEX(상세표[블록종료],$Q1932),"yyyy-mm-dd hh:mm"),INDEX(상세표[블록종료],$Q1932)&amp;""))</f>
        <v/>
      </c>
      <c r="H1932">
        <f>IF($Q1932="","",CHOOSE(WEEKDAY(INDEX(상세표[시작],$Q1932)),"일","월","화","수","목","금","토"))</f>
        <v/>
      </c>
      <c r="I1932" s="20">
        <f>IF($Q1932="","",INDEX(상세표[연속 시간],$Q1932))</f>
        <v/>
      </c>
      <c r="J1932">
        <f>IF($Q1932="","",INDEX(상세표[기록 수],$Q1932))</f>
        <v/>
      </c>
      <c r="K1932" s="20">
        <f>IF($Q1932="","",INDEX(상세표[블록 06~07시],$Q1932))</f>
        <v/>
      </c>
      <c r="L1932" s="20">
        <f>IF($Q1932="","",INDEX(상세표[블록 07~18시],$Q1932))</f>
        <v/>
      </c>
      <c r="M1932" s="20">
        <f>IF($Q1932="","",INDEX(상세표[블록 18~22시],$Q1932))</f>
        <v/>
      </c>
      <c r="N1932" s="20">
        <f>IF($Q1932="","",INDEX(상세표[블록 22~06시],$Q1932))</f>
        <v/>
      </c>
      <c r="O1932">
        <f>IF($Q1932="","",INDEX(상세표[주말·휴일 포함],$Q1932)&amp;"")</f>
        <v/>
      </c>
      <c r="P1932">
        <f>IF($Q1932="","",INDEX(상세표[월 넘김 포함],$Q1932)&amp;"")</f>
        <v/>
      </c>
      <c r="Q1932" s="4">
        <f>IFERROR(MATCH(1927,상세표[연속순번],0),"")</f>
        <v/>
      </c>
    </row>
    <row r="1933">
      <c r="A1933">
        <f>IF($Q1933="","",INDEX(상세표[부서],$Q1933)&amp;"")</f>
        <v/>
      </c>
      <c r="B1933">
        <f>IF($Q1933="","",INDEX(상세표[사번],$Q1933)&amp;"")</f>
        <v/>
      </c>
      <c r="C1933">
        <f>IF($Q1933="","",INDEX(상세표[성명],$Q1933)&amp;"")</f>
        <v/>
      </c>
      <c r="D1933">
        <f>IF($Q1933="","",INDEX(상세표[직위],$Q1933)&amp;"")</f>
        <v/>
      </c>
      <c r="E1933">
        <f>IF($Q1933="","",IF(ISNUMBER(INDEX(상세표[근무일자],$Q1933)),TEXT(INDEX(상세표[근무일자],$Q1933),"yyyy-mm-dd"),INDEX(상세표[근무일자],$Q1933)&amp;""))</f>
        <v/>
      </c>
      <c r="F1933">
        <f>IF($Q1933="","",IF(ISNUMBER(INDEX(상세표[시작],$Q1933)),TEXT(INDEX(상세표[시작],$Q1933),"yyyy-mm-dd hh:mm"),INDEX(상세표[시작],$Q1933)&amp;""))</f>
        <v/>
      </c>
      <c r="G1933">
        <f>IF($Q1933="","",IF(ISNUMBER(INDEX(상세표[블록종료],$Q1933)),TEXT(INDEX(상세표[블록종료],$Q1933),"yyyy-mm-dd hh:mm"),INDEX(상세표[블록종료],$Q1933)&amp;""))</f>
        <v/>
      </c>
      <c r="H1933">
        <f>IF($Q1933="","",CHOOSE(WEEKDAY(INDEX(상세표[시작],$Q1933)),"일","월","화","수","목","금","토"))</f>
        <v/>
      </c>
      <c r="I1933" s="20">
        <f>IF($Q1933="","",INDEX(상세표[연속 시간],$Q1933))</f>
        <v/>
      </c>
      <c r="J1933">
        <f>IF($Q1933="","",INDEX(상세표[기록 수],$Q1933))</f>
        <v/>
      </c>
      <c r="K1933" s="20">
        <f>IF($Q1933="","",INDEX(상세표[블록 06~07시],$Q1933))</f>
        <v/>
      </c>
      <c r="L1933" s="20">
        <f>IF($Q1933="","",INDEX(상세표[블록 07~18시],$Q1933))</f>
        <v/>
      </c>
      <c r="M1933" s="20">
        <f>IF($Q1933="","",INDEX(상세표[블록 18~22시],$Q1933))</f>
        <v/>
      </c>
      <c r="N1933" s="20">
        <f>IF($Q1933="","",INDEX(상세표[블록 22~06시],$Q1933))</f>
        <v/>
      </c>
      <c r="O1933">
        <f>IF($Q1933="","",INDEX(상세표[주말·휴일 포함],$Q1933)&amp;"")</f>
        <v/>
      </c>
      <c r="P1933">
        <f>IF($Q1933="","",INDEX(상세표[월 넘김 포함],$Q1933)&amp;"")</f>
        <v/>
      </c>
      <c r="Q1933" s="4">
        <f>IFERROR(MATCH(1928,상세표[연속순번],0),"")</f>
        <v/>
      </c>
    </row>
    <row r="1934">
      <c r="A1934">
        <f>IF($Q1934="","",INDEX(상세표[부서],$Q1934)&amp;"")</f>
        <v/>
      </c>
      <c r="B1934">
        <f>IF($Q1934="","",INDEX(상세표[사번],$Q1934)&amp;"")</f>
        <v/>
      </c>
      <c r="C1934">
        <f>IF($Q1934="","",INDEX(상세표[성명],$Q1934)&amp;"")</f>
        <v/>
      </c>
      <c r="D1934">
        <f>IF($Q1934="","",INDEX(상세표[직위],$Q1934)&amp;"")</f>
        <v/>
      </c>
      <c r="E1934">
        <f>IF($Q1934="","",IF(ISNUMBER(INDEX(상세표[근무일자],$Q1934)),TEXT(INDEX(상세표[근무일자],$Q1934),"yyyy-mm-dd"),INDEX(상세표[근무일자],$Q1934)&amp;""))</f>
        <v/>
      </c>
      <c r="F1934">
        <f>IF($Q1934="","",IF(ISNUMBER(INDEX(상세표[시작],$Q1934)),TEXT(INDEX(상세표[시작],$Q1934),"yyyy-mm-dd hh:mm"),INDEX(상세표[시작],$Q1934)&amp;""))</f>
        <v/>
      </c>
      <c r="G1934">
        <f>IF($Q1934="","",IF(ISNUMBER(INDEX(상세표[블록종료],$Q1934)),TEXT(INDEX(상세표[블록종료],$Q1934),"yyyy-mm-dd hh:mm"),INDEX(상세표[블록종료],$Q1934)&amp;""))</f>
        <v/>
      </c>
      <c r="H1934">
        <f>IF($Q1934="","",CHOOSE(WEEKDAY(INDEX(상세표[시작],$Q1934)),"일","월","화","수","목","금","토"))</f>
        <v/>
      </c>
      <c r="I1934" s="20">
        <f>IF($Q1934="","",INDEX(상세표[연속 시간],$Q1934))</f>
        <v/>
      </c>
      <c r="J1934">
        <f>IF($Q1934="","",INDEX(상세표[기록 수],$Q1934))</f>
        <v/>
      </c>
      <c r="K1934" s="20">
        <f>IF($Q1934="","",INDEX(상세표[블록 06~07시],$Q1934))</f>
        <v/>
      </c>
      <c r="L1934" s="20">
        <f>IF($Q1934="","",INDEX(상세표[블록 07~18시],$Q1934))</f>
        <v/>
      </c>
      <c r="M1934" s="20">
        <f>IF($Q1934="","",INDEX(상세표[블록 18~22시],$Q1934))</f>
        <v/>
      </c>
      <c r="N1934" s="20">
        <f>IF($Q1934="","",INDEX(상세표[블록 22~06시],$Q1934))</f>
        <v/>
      </c>
      <c r="O1934">
        <f>IF($Q1934="","",INDEX(상세표[주말·휴일 포함],$Q1934)&amp;"")</f>
        <v/>
      </c>
      <c r="P1934">
        <f>IF($Q1934="","",INDEX(상세표[월 넘김 포함],$Q1934)&amp;"")</f>
        <v/>
      </c>
      <c r="Q1934" s="4">
        <f>IFERROR(MATCH(1929,상세표[연속순번],0),"")</f>
        <v/>
      </c>
    </row>
    <row r="1935">
      <c r="A1935">
        <f>IF($Q1935="","",INDEX(상세표[부서],$Q1935)&amp;"")</f>
        <v/>
      </c>
      <c r="B1935">
        <f>IF($Q1935="","",INDEX(상세표[사번],$Q1935)&amp;"")</f>
        <v/>
      </c>
      <c r="C1935">
        <f>IF($Q1935="","",INDEX(상세표[성명],$Q1935)&amp;"")</f>
        <v/>
      </c>
      <c r="D1935">
        <f>IF($Q1935="","",INDEX(상세표[직위],$Q1935)&amp;"")</f>
        <v/>
      </c>
      <c r="E1935">
        <f>IF($Q1935="","",IF(ISNUMBER(INDEX(상세표[근무일자],$Q1935)),TEXT(INDEX(상세표[근무일자],$Q1935),"yyyy-mm-dd"),INDEX(상세표[근무일자],$Q1935)&amp;""))</f>
        <v/>
      </c>
      <c r="F1935">
        <f>IF($Q1935="","",IF(ISNUMBER(INDEX(상세표[시작],$Q1935)),TEXT(INDEX(상세표[시작],$Q1935),"yyyy-mm-dd hh:mm"),INDEX(상세표[시작],$Q1935)&amp;""))</f>
        <v/>
      </c>
      <c r="G1935">
        <f>IF($Q1935="","",IF(ISNUMBER(INDEX(상세표[블록종료],$Q1935)),TEXT(INDEX(상세표[블록종료],$Q1935),"yyyy-mm-dd hh:mm"),INDEX(상세표[블록종료],$Q1935)&amp;""))</f>
        <v/>
      </c>
      <c r="H1935">
        <f>IF($Q1935="","",CHOOSE(WEEKDAY(INDEX(상세표[시작],$Q1935)),"일","월","화","수","목","금","토"))</f>
        <v/>
      </c>
      <c r="I1935" s="20">
        <f>IF($Q1935="","",INDEX(상세표[연속 시간],$Q1935))</f>
        <v/>
      </c>
      <c r="J1935">
        <f>IF($Q1935="","",INDEX(상세표[기록 수],$Q1935))</f>
        <v/>
      </c>
      <c r="K1935" s="20">
        <f>IF($Q1935="","",INDEX(상세표[블록 06~07시],$Q1935))</f>
        <v/>
      </c>
      <c r="L1935" s="20">
        <f>IF($Q1935="","",INDEX(상세표[블록 07~18시],$Q1935))</f>
        <v/>
      </c>
      <c r="M1935" s="20">
        <f>IF($Q1935="","",INDEX(상세표[블록 18~22시],$Q1935))</f>
        <v/>
      </c>
      <c r="N1935" s="20">
        <f>IF($Q1935="","",INDEX(상세표[블록 22~06시],$Q1935))</f>
        <v/>
      </c>
      <c r="O1935">
        <f>IF($Q1935="","",INDEX(상세표[주말·휴일 포함],$Q1935)&amp;"")</f>
        <v/>
      </c>
      <c r="P1935">
        <f>IF($Q1935="","",INDEX(상세표[월 넘김 포함],$Q1935)&amp;"")</f>
        <v/>
      </c>
      <c r="Q1935" s="4">
        <f>IFERROR(MATCH(1930,상세표[연속순번],0),"")</f>
        <v/>
      </c>
    </row>
    <row r="1936">
      <c r="A1936">
        <f>IF($Q1936="","",INDEX(상세표[부서],$Q1936)&amp;"")</f>
        <v/>
      </c>
      <c r="B1936">
        <f>IF($Q1936="","",INDEX(상세표[사번],$Q1936)&amp;"")</f>
        <v/>
      </c>
      <c r="C1936">
        <f>IF($Q1936="","",INDEX(상세표[성명],$Q1936)&amp;"")</f>
        <v/>
      </c>
      <c r="D1936">
        <f>IF($Q1936="","",INDEX(상세표[직위],$Q1936)&amp;"")</f>
        <v/>
      </c>
      <c r="E1936">
        <f>IF($Q1936="","",IF(ISNUMBER(INDEX(상세표[근무일자],$Q1936)),TEXT(INDEX(상세표[근무일자],$Q1936),"yyyy-mm-dd"),INDEX(상세표[근무일자],$Q1936)&amp;""))</f>
        <v/>
      </c>
      <c r="F1936">
        <f>IF($Q1936="","",IF(ISNUMBER(INDEX(상세표[시작],$Q1936)),TEXT(INDEX(상세표[시작],$Q1936),"yyyy-mm-dd hh:mm"),INDEX(상세표[시작],$Q1936)&amp;""))</f>
        <v/>
      </c>
      <c r="G1936">
        <f>IF($Q1936="","",IF(ISNUMBER(INDEX(상세표[블록종료],$Q1936)),TEXT(INDEX(상세표[블록종료],$Q1936),"yyyy-mm-dd hh:mm"),INDEX(상세표[블록종료],$Q1936)&amp;""))</f>
        <v/>
      </c>
      <c r="H1936">
        <f>IF($Q1936="","",CHOOSE(WEEKDAY(INDEX(상세표[시작],$Q1936)),"일","월","화","수","목","금","토"))</f>
        <v/>
      </c>
      <c r="I1936" s="20">
        <f>IF($Q1936="","",INDEX(상세표[연속 시간],$Q1936))</f>
        <v/>
      </c>
      <c r="J1936">
        <f>IF($Q1936="","",INDEX(상세표[기록 수],$Q1936))</f>
        <v/>
      </c>
      <c r="K1936" s="20">
        <f>IF($Q1936="","",INDEX(상세표[블록 06~07시],$Q1936))</f>
        <v/>
      </c>
      <c r="L1936" s="20">
        <f>IF($Q1936="","",INDEX(상세표[블록 07~18시],$Q1936))</f>
        <v/>
      </c>
      <c r="M1936" s="20">
        <f>IF($Q1936="","",INDEX(상세표[블록 18~22시],$Q1936))</f>
        <v/>
      </c>
      <c r="N1936" s="20">
        <f>IF($Q1936="","",INDEX(상세표[블록 22~06시],$Q1936))</f>
        <v/>
      </c>
      <c r="O1936">
        <f>IF($Q1936="","",INDEX(상세표[주말·휴일 포함],$Q1936)&amp;"")</f>
        <v/>
      </c>
      <c r="P1936">
        <f>IF($Q1936="","",INDEX(상세표[월 넘김 포함],$Q1936)&amp;"")</f>
        <v/>
      </c>
      <c r="Q1936" s="4">
        <f>IFERROR(MATCH(1931,상세표[연속순번],0),"")</f>
        <v/>
      </c>
    </row>
    <row r="1937">
      <c r="A1937">
        <f>IF($Q1937="","",INDEX(상세표[부서],$Q1937)&amp;"")</f>
        <v/>
      </c>
      <c r="B1937">
        <f>IF($Q1937="","",INDEX(상세표[사번],$Q1937)&amp;"")</f>
        <v/>
      </c>
      <c r="C1937">
        <f>IF($Q1937="","",INDEX(상세표[성명],$Q1937)&amp;"")</f>
        <v/>
      </c>
      <c r="D1937">
        <f>IF($Q1937="","",INDEX(상세표[직위],$Q1937)&amp;"")</f>
        <v/>
      </c>
      <c r="E1937">
        <f>IF($Q1937="","",IF(ISNUMBER(INDEX(상세표[근무일자],$Q1937)),TEXT(INDEX(상세표[근무일자],$Q1937),"yyyy-mm-dd"),INDEX(상세표[근무일자],$Q1937)&amp;""))</f>
        <v/>
      </c>
      <c r="F1937">
        <f>IF($Q1937="","",IF(ISNUMBER(INDEX(상세표[시작],$Q1937)),TEXT(INDEX(상세표[시작],$Q1937),"yyyy-mm-dd hh:mm"),INDEX(상세표[시작],$Q1937)&amp;""))</f>
        <v/>
      </c>
      <c r="G1937">
        <f>IF($Q1937="","",IF(ISNUMBER(INDEX(상세표[블록종료],$Q1937)),TEXT(INDEX(상세표[블록종료],$Q1937),"yyyy-mm-dd hh:mm"),INDEX(상세표[블록종료],$Q1937)&amp;""))</f>
        <v/>
      </c>
      <c r="H1937">
        <f>IF($Q1937="","",CHOOSE(WEEKDAY(INDEX(상세표[시작],$Q1937)),"일","월","화","수","목","금","토"))</f>
        <v/>
      </c>
      <c r="I1937" s="20">
        <f>IF($Q1937="","",INDEX(상세표[연속 시간],$Q1937))</f>
        <v/>
      </c>
      <c r="J1937">
        <f>IF($Q1937="","",INDEX(상세표[기록 수],$Q1937))</f>
        <v/>
      </c>
      <c r="K1937" s="20">
        <f>IF($Q1937="","",INDEX(상세표[블록 06~07시],$Q1937))</f>
        <v/>
      </c>
      <c r="L1937" s="20">
        <f>IF($Q1937="","",INDEX(상세표[블록 07~18시],$Q1937))</f>
        <v/>
      </c>
      <c r="M1937" s="20">
        <f>IF($Q1937="","",INDEX(상세표[블록 18~22시],$Q1937))</f>
        <v/>
      </c>
      <c r="N1937" s="20">
        <f>IF($Q1937="","",INDEX(상세표[블록 22~06시],$Q1937))</f>
        <v/>
      </c>
      <c r="O1937">
        <f>IF($Q1937="","",INDEX(상세표[주말·휴일 포함],$Q1937)&amp;"")</f>
        <v/>
      </c>
      <c r="P1937">
        <f>IF($Q1937="","",INDEX(상세표[월 넘김 포함],$Q1937)&amp;"")</f>
        <v/>
      </c>
      <c r="Q1937" s="4">
        <f>IFERROR(MATCH(1932,상세표[연속순번],0),"")</f>
        <v/>
      </c>
    </row>
    <row r="1938">
      <c r="A1938">
        <f>IF($Q1938="","",INDEX(상세표[부서],$Q1938)&amp;"")</f>
        <v/>
      </c>
      <c r="B1938">
        <f>IF($Q1938="","",INDEX(상세표[사번],$Q1938)&amp;"")</f>
        <v/>
      </c>
      <c r="C1938">
        <f>IF($Q1938="","",INDEX(상세표[성명],$Q1938)&amp;"")</f>
        <v/>
      </c>
      <c r="D1938">
        <f>IF($Q1938="","",INDEX(상세표[직위],$Q1938)&amp;"")</f>
        <v/>
      </c>
      <c r="E1938">
        <f>IF($Q1938="","",IF(ISNUMBER(INDEX(상세표[근무일자],$Q1938)),TEXT(INDEX(상세표[근무일자],$Q1938),"yyyy-mm-dd"),INDEX(상세표[근무일자],$Q1938)&amp;""))</f>
        <v/>
      </c>
      <c r="F1938">
        <f>IF($Q1938="","",IF(ISNUMBER(INDEX(상세표[시작],$Q1938)),TEXT(INDEX(상세표[시작],$Q1938),"yyyy-mm-dd hh:mm"),INDEX(상세표[시작],$Q1938)&amp;""))</f>
        <v/>
      </c>
      <c r="G1938">
        <f>IF($Q1938="","",IF(ISNUMBER(INDEX(상세표[블록종료],$Q1938)),TEXT(INDEX(상세표[블록종료],$Q1938),"yyyy-mm-dd hh:mm"),INDEX(상세표[블록종료],$Q1938)&amp;""))</f>
        <v/>
      </c>
      <c r="H1938">
        <f>IF($Q1938="","",CHOOSE(WEEKDAY(INDEX(상세표[시작],$Q1938)),"일","월","화","수","목","금","토"))</f>
        <v/>
      </c>
      <c r="I1938" s="20">
        <f>IF($Q1938="","",INDEX(상세표[연속 시간],$Q1938))</f>
        <v/>
      </c>
      <c r="J1938">
        <f>IF($Q1938="","",INDEX(상세표[기록 수],$Q1938))</f>
        <v/>
      </c>
      <c r="K1938" s="20">
        <f>IF($Q1938="","",INDEX(상세표[블록 06~07시],$Q1938))</f>
        <v/>
      </c>
      <c r="L1938" s="20">
        <f>IF($Q1938="","",INDEX(상세표[블록 07~18시],$Q1938))</f>
        <v/>
      </c>
      <c r="M1938" s="20">
        <f>IF($Q1938="","",INDEX(상세표[블록 18~22시],$Q1938))</f>
        <v/>
      </c>
      <c r="N1938" s="20">
        <f>IF($Q1938="","",INDEX(상세표[블록 22~06시],$Q1938))</f>
        <v/>
      </c>
      <c r="O1938">
        <f>IF($Q1938="","",INDEX(상세표[주말·휴일 포함],$Q1938)&amp;"")</f>
        <v/>
      </c>
      <c r="P1938">
        <f>IF($Q1938="","",INDEX(상세표[월 넘김 포함],$Q1938)&amp;"")</f>
        <v/>
      </c>
      <c r="Q1938" s="4">
        <f>IFERROR(MATCH(1933,상세표[연속순번],0),"")</f>
        <v/>
      </c>
    </row>
    <row r="1939">
      <c r="A1939">
        <f>IF($Q1939="","",INDEX(상세표[부서],$Q1939)&amp;"")</f>
        <v/>
      </c>
      <c r="B1939">
        <f>IF($Q1939="","",INDEX(상세표[사번],$Q1939)&amp;"")</f>
        <v/>
      </c>
      <c r="C1939">
        <f>IF($Q1939="","",INDEX(상세표[성명],$Q1939)&amp;"")</f>
        <v/>
      </c>
      <c r="D1939">
        <f>IF($Q1939="","",INDEX(상세표[직위],$Q1939)&amp;"")</f>
        <v/>
      </c>
      <c r="E1939">
        <f>IF($Q1939="","",IF(ISNUMBER(INDEX(상세표[근무일자],$Q1939)),TEXT(INDEX(상세표[근무일자],$Q1939),"yyyy-mm-dd"),INDEX(상세표[근무일자],$Q1939)&amp;""))</f>
        <v/>
      </c>
      <c r="F1939">
        <f>IF($Q1939="","",IF(ISNUMBER(INDEX(상세표[시작],$Q1939)),TEXT(INDEX(상세표[시작],$Q1939),"yyyy-mm-dd hh:mm"),INDEX(상세표[시작],$Q1939)&amp;""))</f>
        <v/>
      </c>
      <c r="G1939">
        <f>IF($Q1939="","",IF(ISNUMBER(INDEX(상세표[블록종료],$Q1939)),TEXT(INDEX(상세표[블록종료],$Q1939),"yyyy-mm-dd hh:mm"),INDEX(상세표[블록종료],$Q1939)&amp;""))</f>
        <v/>
      </c>
      <c r="H1939">
        <f>IF($Q1939="","",CHOOSE(WEEKDAY(INDEX(상세표[시작],$Q1939)),"일","월","화","수","목","금","토"))</f>
        <v/>
      </c>
      <c r="I1939" s="20">
        <f>IF($Q1939="","",INDEX(상세표[연속 시간],$Q1939))</f>
        <v/>
      </c>
      <c r="J1939">
        <f>IF($Q1939="","",INDEX(상세표[기록 수],$Q1939))</f>
        <v/>
      </c>
      <c r="K1939" s="20">
        <f>IF($Q1939="","",INDEX(상세표[블록 06~07시],$Q1939))</f>
        <v/>
      </c>
      <c r="L1939" s="20">
        <f>IF($Q1939="","",INDEX(상세표[블록 07~18시],$Q1939))</f>
        <v/>
      </c>
      <c r="M1939" s="20">
        <f>IF($Q1939="","",INDEX(상세표[블록 18~22시],$Q1939))</f>
        <v/>
      </c>
      <c r="N1939" s="20">
        <f>IF($Q1939="","",INDEX(상세표[블록 22~06시],$Q1939))</f>
        <v/>
      </c>
      <c r="O1939">
        <f>IF($Q1939="","",INDEX(상세표[주말·휴일 포함],$Q1939)&amp;"")</f>
        <v/>
      </c>
      <c r="P1939">
        <f>IF($Q1939="","",INDEX(상세표[월 넘김 포함],$Q1939)&amp;"")</f>
        <v/>
      </c>
      <c r="Q1939" s="4">
        <f>IFERROR(MATCH(1934,상세표[연속순번],0),"")</f>
        <v/>
      </c>
    </row>
    <row r="1940">
      <c r="A1940">
        <f>IF($Q1940="","",INDEX(상세표[부서],$Q1940)&amp;"")</f>
        <v/>
      </c>
      <c r="B1940">
        <f>IF($Q1940="","",INDEX(상세표[사번],$Q1940)&amp;"")</f>
        <v/>
      </c>
      <c r="C1940">
        <f>IF($Q1940="","",INDEX(상세표[성명],$Q1940)&amp;"")</f>
        <v/>
      </c>
      <c r="D1940">
        <f>IF($Q1940="","",INDEX(상세표[직위],$Q1940)&amp;"")</f>
        <v/>
      </c>
      <c r="E1940">
        <f>IF($Q1940="","",IF(ISNUMBER(INDEX(상세표[근무일자],$Q1940)),TEXT(INDEX(상세표[근무일자],$Q1940),"yyyy-mm-dd"),INDEX(상세표[근무일자],$Q1940)&amp;""))</f>
        <v/>
      </c>
      <c r="F1940">
        <f>IF($Q1940="","",IF(ISNUMBER(INDEX(상세표[시작],$Q1940)),TEXT(INDEX(상세표[시작],$Q1940),"yyyy-mm-dd hh:mm"),INDEX(상세표[시작],$Q1940)&amp;""))</f>
        <v/>
      </c>
      <c r="G1940">
        <f>IF($Q1940="","",IF(ISNUMBER(INDEX(상세표[블록종료],$Q1940)),TEXT(INDEX(상세표[블록종료],$Q1940),"yyyy-mm-dd hh:mm"),INDEX(상세표[블록종료],$Q1940)&amp;""))</f>
        <v/>
      </c>
      <c r="H1940">
        <f>IF($Q1940="","",CHOOSE(WEEKDAY(INDEX(상세표[시작],$Q1940)),"일","월","화","수","목","금","토"))</f>
        <v/>
      </c>
      <c r="I1940" s="20">
        <f>IF($Q1940="","",INDEX(상세표[연속 시간],$Q1940))</f>
        <v/>
      </c>
      <c r="J1940">
        <f>IF($Q1940="","",INDEX(상세표[기록 수],$Q1940))</f>
        <v/>
      </c>
      <c r="K1940" s="20">
        <f>IF($Q1940="","",INDEX(상세표[블록 06~07시],$Q1940))</f>
        <v/>
      </c>
      <c r="L1940" s="20">
        <f>IF($Q1940="","",INDEX(상세표[블록 07~18시],$Q1940))</f>
        <v/>
      </c>
      <c r="M1940" s="20">
        <f>IF($Q1940="","",INDEX(상세표[블록 18~22시],$Q1940))</f>
        <v/>
      </c>
      <c r="N1940" s="20">
        <f>IF($Q1940="","",INDEX(상세표[블록 22~06시],$Q1940))</f>
        <v/>
      </c>
      <c r="O1940">
        <f>IF($Q1940="","",INDEX(상세표[주말·휴일 포함],$Q1940)&amp;"")</f>
        <v/>
      </c>
      <c r="P1940">
        <f>IF($Q1940="","",INDEX(상세표[월 넘김 포함],$Q1940)&amp;"")</f>
        <v/>
      </c>
      <c r="Q1940" s="4">
        <f>IFERROR(MATCH(1935,상세표[연속순번],0),"")</f>
        <v/>
      </c>
    </row>
    <row r="1941">
      <c r="A1941">
        <f>IF($Q1941="","",INDEX(상세표[부서],$Q1941)&amp;"")</f>
        <v/>
      </c>
      <c r="B1941">
        <f>IF($Q1941="","",INDEX(상세표[사번],$Q1941)&amp;"")</f>
        <v/>
      </c>
      <c r="C1941">
        <f>IF($Q1941="","",INDEX(상세표[성명],$Q1941)&amp;"")</f>
        <v/>
      </c>
      <c r="D1941">
        <f>IF($Q1941="","",INDEX(상세표[직위],$Q1941)&amp;"")</f>
        <v/>
      </c>
      <c r="E1941">
        <f>IF($Q1941="","",IF(ISNUMBER(INDEX(상세표[근무일자],$Q1941)),TEXT(INDEX(상세표[근무일자],$Q1941),"yyyy-mm-dd"),INDEX(상세표[근무일자],$Q1941)&amp;""))</f>
        <v/>
      </c>
      <c r="F1941">
        <f>IF($Q1941="","",IF(ISNUMBER(INDEX(상세표[시작],$Q1941)),TEXT(INDEX(상세표[시작],$Q1941),"yyyy-mm-dd hh:mm"),INDEX(상세표[시작],$Q1941)&amp;""))</f>
        <v/>
      </c>
      <c r="G1941">
        <f>IF($Q1941="","",IF(ISNUMBER(INDEX(상세표[블록종료],$Q1941)),TEXT(INDEX(상세표[블록종료],$Q1941),"yyyy-mm-dd hh:mm"),INDEX(상세표[블록종료],$Q1941)&amp;""))</f>
        <v/>
      </c>
      <c r="H1941">
        <f>IF($Q1941="","",CHOOSE(WEEKDAY(INDEX(상세표[시작],$Q1941)),"일","월","화","수","목","금","토"))</f>
        <v/>
      </c>
      <c r="I1941" s="20">
        <f>IF($Q1941="","",INDEX(상세표[연속 시간],$Q1941))</f>
        <v/>
      </c>
      <c r="J1941">
        <f>IF($Q1941="","",INDEX(상세표[기록 수],$Q1941))</f>
        <v/>
      </c>
      <c r="K1941" s="20">
        <f>IF($Q1941="","",INDEX(상세표[블록 06~07시],$Q1941))</f>
        <v/>
      </c>
      <c r="L1941" s="20">
        <f>IF($Q1941="","",INDEX(상세표[블록 07~18시],$Q1941))</f>
        <v/>
      </c>
      <c r="M1941" s="20">
        <f>IF($Q1941="","",INDEX(상세표[블록 18~22시],$Q1941))</f>
        <v/>
      </c>
      <c r="N1941" s="20">
        <f>IF($Q1941="","",INDEX(상세표[블록 22~06시],$Q1941))</f>
        <v/>
      </c>
      <c r="O1941">
        <f>IF($Q1941="","",INDEX(상세표[주말·휴일 포함],$Q1941)&amp;"")</f>
        <v/>
      </c>
      <c r="P1941">
        <f>IF($Q1941="","",INDEX(상세표[월 넘김 포함],$Q1941)&amp;"")</f>
        <v/>
      </c>
      <c r="Q1941" s="4">
        <f>IFERROR(MATCH(1936,상세표[연속순번],0),"")</f>
        <v/>
      </c>
    </row>
    <row r="1942">
      <c r="A1942">
        <f>IF($Q1942="","",INDEX(상세표[부서],$Q1942)&amp;"")</f>
        <v/>
      </c>
      <c r="B1942">
        <f>IF($Q1942="","",INDEX(상세표[사번],$Q1942)&amp;"")</f>
        <v/>
      </c>
      <c r="C1942">
        <f>IF($Q1942="","",INDEX(상세표[성명],$Q1942)&amp;"")</f>
        <v/>
      </c>
      <c r="D1942">
        <f>IF($Q1942="","",INDEX(상세표[직위],$Q1942)&amp;"")</f>
        <v/>
      </c>
      <c r="E1942">
        <f>IF($Q1942="","",IF(ISNUMBER(INDEX(상세표[근무일자],$Q1942)),TEXT(INDEX(상세표[근무일자],$Q1942),"yyyy-mm-dd"),INDEX(상세표[근무일자],$Q1942)&amp;""))</f>
        <v/>
      </c>
      <c r="F1942">
        <f>IF($Q1942="","",IF(ISNUMBER(INDEX(상세표[시작],$Q1942)),TEXT(INDEX(상세표[시작],$Q1942),"yyyy-mm-dd hh:mm"),INDEX(상세표[시작],$Q1942)&amp;""))</f>
        <v/>
      </c>
      <c r="G1942">
        <f>IF($Q1942="","",IF(ISNUMBER(INDEX(상세표[블록종료],$Q1942)),TEXT(INDEX(상세표[블록종료],$Q1942),"yyyy-mm-dd hh:mm"),INDEX(상세표[블록종료],$Q1942)&amp;""))</f>
        <v/>
      </c>
      <c r="H1942">
        <f>IF($Q1942="","",CHOOSE(WEEKDAY(INDEX(상세표[시작],$Q1942)),"일","월","화","수","목","금","토"))</f>
        <v/>
      </c>
      <c r="I1942" s="20">
        <f>IF($Q1942="","",INDEX(상세표[연속 시간],$Q1942))</f>
        <v/>
      </c>
      <c r="J1942">
        <f>IF($Q1942="","",INDEX(상세표[기록 수],$Q1942))</f>
        <v/>
      </c>
      <c r="K1942" s="20">
        <f>IF($Q1942="","",INDEX(상세표[블록 06~07시],$Q1942))</f>
        <v/>
      </c>
      <c r="L1942" s="20">
        <f>IF($Q1942="","",INDEX(상세표[블록 07~18시],$Q1942))</f>
        <v/>
      </c>
      <c r="M1942" s="20">
        <f>IF($Q1942="","",INDEX(상세표[블록 18~22시],$Q1942))</f>
        <v/>
      </c>
      <c r="N1942" s="20">
        <f>IF($Q1942="","",INDEX(상세표[블록 22~06시],$Q1942))</f>
        <v/>
      </c>
      <c r="O1942">
        <f>IF($Q1942="","",INDEX(상세표[주말·휴일 포함],$Q1942)&amp;"")</f>
        <v/>
      </c>
      <c r="P1942">
        <f>IF($Q1942="","",INDEX(상세표[월 넘김 포함],$Q1942)&amp;"")</f>
        <v/>
      </c>
      <c r="Q1942" s="4">
        <f>IFERROR(MATCH(1937,상세표[연속순번],0),"")</f>
        <v/>
      </c>
    </row>
    <row r="1943">
      <c r="A1943">
        <f>IF($Q1943="","",INDEX(상세표[부서],$Q1943)&amp;"")</f>
        <v/>
      </c>
      <c r="B1943">
        <f>IF($Q1943="","",INDEX(상세표[사번],$Q1943)&amp;"")</f>
        <v/>
      </c>
      <c r="C1943">
        <f>IF($Q1943="","",INDEX(상세표[성명],$Q1943)&amp;"")</f>
        <v/>
      </c>
      <c r="D1943">
        <f>IF($Q1943="","",INDEX(상세표[직위],$Q1943)&amp;"")</f>
        <v/>
      </c>
      <c r="E1943">
        <f>IF($Q1943="","",IF(ISNUMBER(INDEX(상세표[근무일자],$Q1943)),TEXT(INDEX(상세표[근무일자],$Q1943),"yyyy-mm-dd"),INDEX(상세표[근무일자],$Q1943)&amp;""))</f>
        <v/>
      </c>
      <c r="F1943">
        <f>IF($Q1943="","",IF(ISNUMBER(INDEX(상세표[시작],$Q1943)),TEXT(INDEX(상세표[시작],$Q1943),"yyyy-mm-dd hh:mm"),INDEX(상세표[시작],$Q1943)&amp;""))</f>
        <v/>
      </c>
      <c r="G1943">
        <f>IF($Q1943="","",IF(ISNUMBER(INDEX(상세표[블록종료],$Q1943)),TEXT(INDEX(상세표[블록종료],$Q1943),"yyyy-mm-dd hh:mm"),INDEX(상세표[블록종료],$Q1943)&amp;""))</f>
        <v/>
      </c>
      <c r="H1943">
        <f>IF($Q1943="","",CHOOSE(WEEKDAY(INDEX(상세표[시작],$Q1943)),"일","월","화","수","목","금","토"))</f>
        <v/>
      </c>
      <c r="I1943" s="20">
        <f>IF($Q1943="","",INDEX(상세표[연속 시간],$Q1943))</f>
        <v/>
      </c>
      <c r="J1943">
        <f>IF($Q1943="","",INDEX(상세표[기록 수],$Q1943))</f>
        <v/>
      </c>
      <c r="K1943" s="20">
        <f>IF($Q1943="","",INDEX(상세표[블록 06~07시],$Q1943))</f>
        <v/>
      </c>
      <c r="L1943" s="20">
        <f>IF($Q1943="","",INDEX(상세표[블록 07~18시],$Q1943))</f>
        <v/>
      </c>
      <c r="M1943" s="20">
        <f>IF($Q1943="","",INDEX(상세표[블록 18~22시],$Q1943))</f>
        <v/>
      </c>
      <c r="N1943" s="20">
        <f>IF($Q1943="","",INDEX(상세표[블록 22~06시],$Q1943))</f>
        <v/>
      </c>
      <c r="O1943">
        <f>IF($Q1943="","",INDEX(상세표[주말·휴일 포함],$Q1943)&amp;"")</f>
        <v/>
      </c>
      <c r="P1943">
        <f>IF($Q1943="","",INDEX(상세표[월 넘김 포함],$Q1943)&amp;"")</f>
        <v/>
      </c>
      <c r="Q1943" s="4">
        <f>IFERROR(MATCH(1938,상세표[연속순번],0),"")</f>
        <v/>
      </c>
    </row>
    <row r="1944">
      <c r="A1944">
        <f>IF($Q1944="","",INDEX(상세표[부서],$Q1944)&amp;"")</f>
        <v/>
      </c>
      <c r="B1944">
        <f>IF($Q1944="","",INDEX(상세표[사번],$Q1944)&amp;"")</f>
        <v/>
      </c>
      <c r="C1944">
        <f>IF($Q1944="","",INDEX(상세표[성명],$Q1944)&amp;"")</f>
        <v/>
      </c>
      <c r="D1944">
        <f>IF($Q1944="","",INDEX(상세표[직위],$Q1944)&amp;"")</f>
        <v/>
      </c>
      <c r="E1944">
        <f>IF($Q1944="","",IF(ISNUMBER(INDEX(상세표[근무일자],$Q1944)),TEXT(INDEX(상세표[근무일자],$Q1944),"yyyy-mm-dd"),INDEX(상세표[근무일자],$Q1944)&amp;""))</f>
        <v/>
      </c>
      <c r="F1944">
        <f>IF($Q1944="","",IF(ISNUMBER(INDEX(상세표[시작],$Q1944)),TEXT(INDEX(상세표[시작],$Q1944),"yyyy-mm-dd hh:mm"),INDEX(상세표[시작],$Q1944)&amp;""))</f>
        <v/>
      </c>
      <c r="G1944">
        <f>IF($Q1944="","",IF(ISNUMBER(INDEX(상세표[블록종료],$Q1944)),TEXT(INDEX(상세표[블록종료],$Q1944),"yyyy-mm-dd hh:mm"),INDEX(상세표[블록종료],$Q1944)&amp;""))</f>
        <v/>
      </c>
      <c r="H1944">
        <f>IF($Q1944="","",CHOOSE(WEEKDAY(INDEX(상세표[시작],$Q1944)),"일","월","화","수","목","금","토"))</f>
        <v/>
      </c>
      <c r="I1944" s="20">
        <f>IF($Q1944="","",INDEX(상세표[연속 시간],$Q1944))</f>
        <v/>
      </c>
      <c r="J1944">
        <f>IF($Q1944="","",INDEX(상세표[기록 수],$Q1944))</f>
        <v/>
      </c>
      <c r="K1944" s="20">
        <f>IF($Q1944="","",INDEX(상세표[블록 06~07시],$Q1944))</f>
        <v/>
      </c>
      <c r="L1944" s="20">
        <f>IF($Q1944="","",INDEX(상세표[블록 07~18시],$Q1944))</f>
        <v/>
      </c>
      <c r="M1944" s="20">
        <f>IF($Q1944="","",INDEX(상세표[블록 18~22시],$Q1944))</f>
        <v/>
      </c>
      <c r="N1944" s="20">
        <f>IF($Q1944="","",INDEX(상세표[블록 22~06시],$Q1944))</f>
        <v/>
      </c>
      <c r="O1944">
        <f>IF($Q1944="","",INDEX(상세표[주말·휴일 포함],$Q1944)&amp;"")</f>
        <v/>
      </c>
      <c r="P1944">
        <f>IF($Q1944="","",INDEX(상세표[월 넘김 포함],$Q1944)&amp;"")</f>
        <v/>
      </c>
      <c r="Q1944" s="4">
        <f>IFERROR(MATCH(1939,상세표[연속순번],0),"")</f>
        <v/>
      </c>
    </row>
    <row r="1945">
      <c r="A1945">
        <f>IF($Q1945="","",INDEX(상세표[부서],$Q1945)&amp;"")</f>
        <v/>
      </c>
      <c r="B1945">
        <f>IF($Q1945="","",INDEX(상세표[사번],$Q1945)&amp;"")</f>
        <v/>
      </c>
      <c r="C1945">
        <f>IF($Q1945="","",INDEX(상세표[성명],$Q1945)&amp;"")</f>
        <v/>
      </c>
      <c r="D1945">
        <f>IF($Q1945="","",INDEX(상세표[직위],$Q1945)&amp;"")</f>
        <v/>
      </c>
      <c r="E1945">
        <f>IF($Q1945="","",IF(ISNUMBER(INDEX(상세표[근무일자],$Q1945)),TEXT(INDEX(상세표[근무일자],$Q1945),"yyyy-mm-dd"),INDEX(상세표[근무일자],$Q1945)&amp;""))</f>
        <v/>
      </c>
      <c r="F1945">
        <f>IF($Q1945="","",IF(ISNUMBER(INDEX(상세표[시작],$Q1945)),TEXT(INDEX(상세표[시작],$Q1945),"yyyy-mm-dd hh:mm"),INDEX(상세표[시작],$Q1945)&amp;""))</f>
        <v/>
      </c>
      <c r="G1945">
        <f>IF($Q1945="","",IF(ISNUMBER(INDEX(상세표[블록종료],$Q1945)),TEXT(INDEX(상세표[블록종료],$Q1945),"yyyy-mm-dd hh:mm"),INDEX(상세표[블록종료],$Q1945)&amp;""))</f>
        <v/>
      </c>
      <c r="H1945">
        <f>IF($Q1945="","",CHOOSE(WEEKDAY(INDEX(상세표[시작],$Q1945)),"일","월","화","수","목","금","토"))</f>
        <v/>
      </c>
      <c r="I1945" s="20">
        <f>IF($Q1945="","",INDEX(상세표[연속 시간],$Q1945))</f>
        <v/>
      </c>
      <c r="J1945">
        <f>IF($Q1945="","",INDEX(상세표[기록 수],$Q1945))</f>
        <v/>
      </c>
      <c r="K1945" s="20">
        <f>IF($Q1945="","",INDEX(상세표[블록 06~07시],$Q1945))</f>
        <v/>
      </c>
      <c r="L1945" s="20">
        <f>IF($Q1945="","",INDEX(상세표[블록 07~18시],$Q1945))</f>
        <v/>
      </c>
      <c r="M1945" s="20">
        <f>IF($Q1945="","",INDEX(상세표[블록 18~22시],$Q1945))</f>
        <v/>
      </c>
      <c r="N1945" s="20">
        <f>IF($Q1945="","",INDEX(상세표[블록 22~06시],$Q1945))</f>
        <v/>
      </c>
      <c r="O1945">
        <f>IF($Q1945="","",INDEX(상세표[주말·휴일 포함],$Q1945)&amp;"")</f>
        <v/>
      </c>
      <c r="P1945">
        <f>IF($Q1945="","",INDEX(상세표[월 넘김 포함],$Q1945)&amp;"")</f>
        <v/>
      </c>
      <c r="Q1945" s="4">
        <f>IFERROR(MATCH(1940,상세표[연속순번],0),"")</f>
        <v/>
      </c>
    </row>
    <row r="1946">
      <c r="A1946">
        <f>IF($Q1946="","",INDEX(상세표[부서],$Q1946)&amp;"")</f>
        <v/>
      </c>
      <c r="B1946">
        <f>IF($Q1946="","",INDEX(상세표[사번],$Q1946)&amp;"")</f>
        <v/>
      </c>
      <c r="C1946">
        <f>IF($Q1946="","",INDEX(상세표[성명],$Q1946)&amp;"")</f>
        <v/>
      </c>
      <c r="D1946">
        <f>IF($Q1946="","",INDEX(상세표[직위],$Q1946)&amp;"")</f>
        <v/>
      </c>
      <c r="E1946">
        <f>IF($Q1946="","",IF(ISNUMBER(INDEX(상세표[근무일자],$Q1946)),TEXT(INDEX(상세표[근무일자],$Q1946),"yyyy-mm-dd"),INDEX(상세표[근무일자],$Q1946)&amp;""))</f>
        <v/>
      </c>
      <c r="F1946">
        <f>IF($Q1946="","",IF(ISNUMBER(INDEX(상세표[시작],$Q1946)),TEXT(INDEX(상세표[시작],$Q1946),"yyyy-mm-dd hh:mm"),INDEX(상세표[시작],$Q1946)&amp;""))</f>
        <v/>
      </c>
      <c r="G1946">
        <f>IF($Q1946="","",IF(ISNUMBER(INDEX(상세표[블록종료],$Q1946)),TEXT(INDEX(상세표[블록종료],$Q1946),"yyyy-mm-dd hh:mm"),INDEX(상세표[블록종료],$Q1946)&amp;""))</f>
        <v/>
      </c>
      <c r="H1946">
        <f>IF($Q1946="","",CHOOSE(WEEKDAY(INDEX(상세표[시작],$Q1946)),"일","월","화","수","목","금","토"))</f>
        <v/>
      </c>
      <c r="I1946" s="20">
        <f>IF($Q1946="","",INDEX(상세표[연속 시간],$Q1946))</f>
        <v/>
      </c>
      <c r="J1946">
        <f>IF($Q1946="","",INDEX(상세표[기록 수],$Q1946))</f>
        <v/>
      </c>
      <c r="K1946" s="20">
        <f>IF($Q1946="","",INDEX(상세표[블록 06~07시],$Q1946))</f>
        <v/>
      </c>
      <c r="L1946" s="20">
        <f>IF($Q1946="","",INDEX(상세표[블록 07~18시],$Q1946))</f>
        <v/>
      </c>
      <c r="M1946" s="20">
        <f>IF($Q1946="","",INDEX(상세표[블록 18~22시],$Q1946))</f>
        <v/>
      </c>
      <c r="N1946" s="20">
        <f>IF($Q1946="","",INDEX(상세표[블록 22~06시],$Q1946))</f>
        <v/>
      </c>
      <c r="O1946">
        <f>IF($Q1946="","",INDEX(상세표[주말·휴일 포함],$Q1946)&amp;"")</f>
        <v/>
      </c>
      <c r="P1946">
        <f>IF($Q1946="","",INDEX(상세표[월 넘김 포함],$Q1946)&amp;"")</f>
        <v/>
      </c>
      <c r="Q1946" s="4">
        <f>IFERROR(MATCH(1941,상세표[연속순번],0),"")</f>
        <v/>
      </c>
    </row>
    <row r="1947">
      <c r="A1947">
        <f>IF($Q1947="","",INDEX(상세표[부서],$Q1947)&amp;"")</f>
        <v/>
      </c>
      <c r="B1947">
        <f>IF($Q1947="","",INDEX(상세표[사번],$Q1947)&amp;"")</f>
        <v/>
      </c>
      <c r="C1947">
        <f>IF($Q1947="","",INDEX(상세표[성명],$Q1947)&amp;"")</f>
        <v/>
      </c>
      <c r="D1947">
        <f>IF($Q1947="","",INDEX(상세표[직위],$Q1947)&amp;"")</f>
        <v/>
      </c>
      <c r="E1947">
        <f>IF($Q1947="","",IF(ISNUMBER(INDEX(상세표[근무일자],$Q1947)),TEXT(INDEX(상세표[근무일자],$Q1947),"yyyy-mm-dd"),INDEX(상세표[근무일자],$Q1947)&amp;""))</f>
        <v/>
      </c>
      <c r="F1947">
        <f>IF($Q1947="","",IF(ISNUMBER(INDEX(상세표[시작],$Q1947)),TEXT(INDEX(상세표[시작],$Q1947),"yyyy-mm-dd hh:mm"),INDEX(상세표[시작],$Q1947)&amp;""))</f>
        <v/>
      </c>
      <c r="G1947">
        <f>IF($Q1947="","",IF(ISNUMBER(INDEX(상세표[블록종료],$Q1947)),TEXT(INDEX(상세표[블록종료],$Q1947),"yyyy-mm-dd hh:mm"),INDEX(상세표[블록종료],$Q1947)&amp;""))</f>
        <v/>
      </c>
      <c r="H1947">
        <f>IF($Q1947="","",CHOOSE(WEEKDAY(INDEX(상세표[시작],$Q1947)),"일","월","화","수","목","금","토"))</f>
        <v/>
      </c>
      <c r="I1947" s="20">
        <f>IF($Q1947="","",INDEX(상세표[연속 시간],$Q1947))</f>
        <v/>
      </c>
      <c r="J1947">
        <f>IF($Q1947="","",INDEX(상세표[기록 수],$Q1947))</f>
        <v/>
      </c>
      <c r="K1947" s="20">
        <f>IF($Q1947="","",INDEX(상세표[블록 06~07시],$Q1947))</f>
        <v/>
      </c>
      <c r="L1947" s="20">
        <f>IF($Q1947="","",INDEX(상세표[블록 07~18시],$Q1947))</f>
        <v/>
      </c>
      <c r="M1947" s="20">
        <f>IF($Q1947="","",INDEX(상세표[블록 18~22시],$Q1947))</f>
        <v/>
      </c>
      <c r="N1947" s="20">
        <f>IF($Q1947="","",INDEX(상세표[블록 22~06시],$Q1947))</f>
        <v/>
      </c>
      <c r="O1947">
        <f>IF($Q1947="","",INDEX(상세표[주말·휴일 포함],$Q1947)&amp;"")</f>
        <v/>
      </c>
      <c r="P1947">
        <f>IF($Q1947="","",INDEX(상세표[월 넘김 포함],$Q1947)&amp;"")</f>
        <v/>
      </c>
      <c r="Q1947" s="4">
        <f>IFERROR(MATCH(1942,상세표[연속순번],0),"")</f>
        <v/>
      </c>
    </row>
    <row r="1948">
      <c r="A1948">
        <f>IF($Q1948="","",INDEX(상세표[부서],$Q1948)&amp;"")</f>
        <v/>
      </c>
      <c r="B1948">
        <f>IF($Q1948="","",INDEX(상세표[사번],$Q1948)&amp;"")</f>
        <v/>
      </c>
      <c r="C1948">
        <f>IF($Q1948="","",INDEX(상세표[성명],$Q1948)&amp;"")</f>
        <v/>
      </c>
      <c r="D1948">
        <f>IF($Q1948="","",INDEX(상세표[직위],$Q1948)&amp;"")</f>
        <v/>
      </c>
      <c r="E1948">
        <f>IF($Q1948="","",IF(ISNUMBER(INDEX(상세표[근무일자],$Q1948)),TEXT(INDEX(상세표[근무일자],$Q1948),"yyyy-mm-dd"),INDEX(상세표[근무일자],$Q1948)&amp;""))</f>
        <v/>
      </c>
      <c r="F1948">
        <f>IF($Q1948="","",IF(ISNUMBER(INDEX(상세표[시작],$Q1948)),TEXT(INDEX(상세표[시작],$Q1948),"yyyy-mm-dd hh:mm"),INDEX(상세표[시작],$Q1948)&amp;""))</f>
        <v/>
      </c>
      <c r="G1948">
        <f>IF($Q1948="","",IF(ISNUMBER(INDEX(상세표[블록종료],$Q1948)),TEXT(INDEX(상세표[블록종료],$Q1948),"yyyy-mm-dd hh:mm"),INDEX(상세표[블록종료],$Q1948)&amp;""))</f>
        <v/>
      </c>
      <c r="H1948">
        <f>IF($Q1948="","",CHOOSE(WEEKDAY(INDEX(상세표[시작],$Q1948)),"일","월","화","수","목","금","토"))</f>
        <v/>
      </c>
      <c r="I1948" s="20">
        <f>IF($Q1948="","",INDEX(상세표[연속 시간],$Q1948))</f>
        <v/>
      </c>
      <c r="J1948">
        <f>IF($Q1948="","",INDEX(상세표[기록 수],$Q1948))</f>
        <v/>
      </c>
      <c r="K1948" s="20">
        <f>IF($Q1948="","",INDEX(상세표[블록 06~07시],$Q1948))</f>
        <v/>
      </c>
      <c r="L1948" s="20">
        <f>IF($Q1948="","",INDEX(상세표[블록 07~18시],$Q1948))</f>
        <v/>
      </c>
      <c r="M1948" s="20">
        <f>IF($Q1948="","",INDEX(상세표[블록 18~22시],$Q1948))</f>
        <v/>
      </c>
      <c r="N1948" s="20">
        <f>IF($Q1948="","",INDEX(상세표[블록 22~06시],$Q1948))</f>
        <v/>
      </c>
      <c r="O1948">
        <f>IF($Q1948="","",INDEX(상세표[주말·휴일 포함],$Q1948)&amp;"")</f>
        <v/>
      </c>
      <c r="P1948">
        <f>IF($Q1948="","",INDEX(상세표[월 넘김 포함],$Q1948)&amp;"")</f>
        <v/>
      </c>
      <c r="Q1948" s="4">
        <f>IFERROR(MATCH(1943,상세표[연속순번],0),"")</f>
        <v/>
      </c>
    </row>
    <row r="1949">
      <c r="A1949">
        <f>IF($Q1949="","",INDEX(상세표[부서],$Q1949)&amp;"")</f>
        <v/>
      </c>
      <c r="B1949">
        <f>IF($Q1949="","",INDEX(상세표[사번],$Q1949)&amp;"")</f>
        <v/>
      </c>
      <c r="C1949">
        <f>IF($Q1949="","",INDEX(상세표[성명],$Q1949)&amp;"")</f>
        <v/>
      </c>
      <c r="D1949">
        <f>IF($Q1949="","",INDEX(상세표[직위],$Q1949)&amp;"")</f>
        <v/>
      </c>
      <c r="E1949">
        <f>IF($Q1949="","",IF(ISNUMBER(INDEX(상세표[근무일자],$Q1949)),TEXT(INDEX(상세표[근무일자],$Q1949),"yyyy-mm-dd"),INDEX(상세표[근무일자],$Q1949)&amp;""))</f>
        <v/>
      </c>
      <c r="F1949">
        <f>IF($Q1949="","",IF(ISNUMBER(INDEX(상세표[시작],$Q1949)),TEXT(INDEX(상세표[시작],$Q1949),"yyyy-mm-dd hh:mm"),INDEX(상세표[시작],$Q1949)&amp;""))</f>
        <v/>
      </c>
      <c r="G1949">
        <f>IF($Q1949="","",IF(ISNUMBER(INDEX(상세표[블록종료],$Q1949)),TEXT(INDEX(상세표[블록종료],$Q1949),"yyyy-mm-dd hh:mm"),INDEX(상세표[블록종료],$Q1949)&amp;""))</f>
        <v/>
      </c>
      <c r="H1949">
        <f>IF($Q1949="","",CHOOSE(WEEKDAY(INDEX(상세표[시작],$Q1949)),"일","월","화","수","목","금","토"))</f>
        <v/>
      </c>
      <c r="I1949" s="20">
        <f>IF($Q1949="","",INDEX(상세표[연속 시간],$Q1949))</f>
        <v/>
      </c>
      <c r="J1949">
        <f>IF($Q1949="","",INDEX(상세표[기록 수],$Q1949))</f>
        <v/>
      </c>
      <c r="K1949" s="20">
        <f>IF($Q1949="","",INDEX(상세표[블록 06~07시],$Q1949))</f>
        <v/>
      </c>
      <c r="L1949" s="20">
        <f>IF($Q1949="","",INDEX(상세표[블록 07~18시],$Q1949))</f>
        <v/>
      </c>
      <c r="M1949" s="20">
        <f>IF($Q1949="","",INDEX(상세표[블록 18~22시],$Q1949))</f>
        <v/>
      </c>
      <c r="N1949" s="20">
        <f>IF($Q1949="","",INDEX(상세표[블록 22~06시],$Q1949))</f>
        <v/>
      </c>
      <c r="O1949">
        <f>IF($Q1949="","",INDEX(상세표[주말·휴일 포함],$Q1949)&amp;"")</f>
        <v/>
      </c>
      <c r="P1949">
        <f>IF($Q1949="","",INDEX(상세표[월 넘김 포함],$Q1949)&amp;"")</f>
        <v/>
      </c>
      <c r="Q1949" s="4">
        <f>IFERROR(MATCH(1944,상세표[연속순번],0),"")</f>
        <v/>
      </c>
    </row>
    <row r="1950">
      <c r="A1950">
        <f>IF($Q1950="","",INDEX(상세표[부서],$Q1950)&amp;"")</f>
        <v/>
      </c>
      <c r="B1950">
        <f>IF($Q1950="","",INDEX(상세표[사번],$Q1950)&amp;"")</f>
        <v/>
      </c>
      <c r="C1950">
        <f>IF($Q1950="","",INDEX(상세표[성명],$Q1950)&amp;"")</f>
        <v/>
      </c>
      <c r="D1950">
        <f>IF($Q1950="","",INDEX(상세표[직위],$Q1950)&amp;"")</f>
        <v/>
      </c>
      <c r="E1950">
        <f>IF($Q1950="","",IF(ISNUMBER(INDEX(상세표[근무일자],$Q1950)),TEXT(INDEX(상세표[근무일자],$Q1950),"yyyy-mm-dd"),INDEX(상세표[근무일자],$Q1950)&amp;""))</f>
        <v/>
      </c>
      <c r="F1950">
        <f>IF($Q1950="","",IF(ISNUMBER(INDEX(상세표[시작],$Q1950)),TEXT(INDEX(상세표[시작],$Q1950),"yyyy-mm-dd hh:mm"),INDEX(상세표[시작],$Q1950)&amp;""))</f>
        <v/>
      </c>
      <c r="G1950">
        <f>IF($Q1950="","",IF(ISNUMBER(INDEX(상세표[블록종료],$Q1950)),TEXT(INDEX(상세표[블록종료],$Q1950),"yyyy-mm-dd hh:mm"),INDEX(상세표[블록종료],$Q1950)&amp;""))</f>
        <v/>
      </c>
      <c r="H1950">
        <f>IF($Q1950="","",CHOOSE(WEEKDAY(INDEX(상세표[시작],$Q1950)),"일","월","화","수","목","금","토"))</f>
        <v/>
      </c>
      <c r="I1950" s="20">
        <f>IF($Q1950="","",INDEX(상세표[연속 시간],$Q1950))</f>
        <v/>
      </c>
      <c r="J1950">
        <f>IF($Q1950="","",INDEX(상세표[기록 수],$Q1950))</f>
        <v/>
      </c>
      <c r="K1950" s="20">
        <f>IF($Q1950="","",INDEX(상세표[블록 06~07시],$Q1950))</f>
        <v/>
      </c>
      <c r="L1950" s="20">
        <f>IF($Q1950="","",INDEX(상세표[블록 07~18시],$Q1950))</f>
        <v/>
      </c>
      <c r="M1950" s="20">
        <f>IF($Q1950="","",INDEX(상세표[블록 18~22시],$Q1950))</f>
        <v/>
      </c>
      <c r="N1950" s="20">
        <f>IF($Q1950="","",INDEX(상세표[블록 22~06시],$Q1950))</f>
        <v/>
      </c>
      <c r="O1950">
        <f>IF($Q1950="","",INDEX(상세표[주말·휴일 포함],$Q1950)&amp;"")</f>
        <v/>
      </c>
      <c r="P1950">
        <f>IF($Q1950="","",INDEX(상세표[월 넘김 포함],$Q1950)&amp;"")</f>
        <v/>
      </c>
      <c r="Q1950" s="4">
        <f>IFERROR(MATCH(1945,상세표[연속순번],0),"")</f>
        <v/>
      </c>
    </row>
    <row r="1951">
      <c r="A1951">
        <f>IF($Q1951="","",INDEX(상세표[부서],$Q1951)&amp;"")</f>
        <v/>
      </c>
      <c r="B1951">
        <f>IF($Q1951="","",INDEX(상세표[사번],$Q1951)&amp;"")</f>
        <v/>
      </c>
      <c r="C1951">
        <f>IF($Q1951="","",INDEX(상세표[성명],$Q1951)&amp;"")</f>
        <v/>
      </c>
      <c r="D1951">
        <f>IF($Q1951="","",INDEX(상세표[직위],$Q1951)&amp;"")</f>
        <v/>
      </c>
      <c r="E1951">
        <f>IF($Q1951="","",IF(ISNUMBER(INDEX(상세표[근무일자],$Q1951)),TEXT(INDEX(상세표[근무일자],$Q1951),"yyyy-mm-dd"),INDEX(상세표[근무일자],$Q1951)&amp;""))</f>
        <v/>
      </c>
      <c r="F1951">
        <f>IF($Q1951="","",IF(ISNUMBER(INDEX(상세표[시작],$Q1951)),TEXT(INDEX(상세표[시작],$Q1951),"yyyy-mm-dd hh:mm"),INDEX(상세표[시작],$Q1951)&amp;""))</f>
        <v/>
      </c>
      <c r="G1951">
        <f>IF($Q1951="","",IF(ISNUMBER(INDEX(상세표[블록종료],$Q1951)),TEXT(INDEX(상세표[블록종료],$Q1951),"yyyy-mm-dd hh:mm"),INDEX(상세표[블록종료],$Q1951)&amp;""))</f>
        <v/>
      </c>
      <c r="H1951">
        <f>IF($Q1951="","",CHOOSE(WEEKDAY(INDEX(상세표[시작],$Q1951)),"일","월","화","수","목","금","토"))</f>
        <v/>
      </c>
      <c r="I1951" s="20">
        <f>IF($Q1951="","",INDEX(상세표[연속 시간],$Q1951))</f>
        <v/>
      </c>
      <c r="J1951">
        <f>IF($Q1951="","",INDEX(상세표[기록 수],$Q1951))</f>
        <v/>
      </c>
      <c r="K1951" s="20">
        <f>IF($Q1951="","",INDEX(상세표[블록 06~07시],$Q1951))</f>
        <v/>
      </c>
      <c r="L1951" s="20">
        <f>IF($Q1951="","",INDEX(상세표[블록 07~18시],$Q1951))</f>
        <v/>
      </c>
      <c r="M1951" s="20">
        <f>IF($Q1951="","",INDEX(상세표[블록 18~22시],$Q1951))</f>
        <v/>
      </c>
      <c r="N1951" s="20">
        <f>IF($Q1951="","",INDEX(상세표[블록 22~06시],$Q1951))</f>
        <v/>
      </c>
      <c r="O1951">
        <f>IF($Q1951="","",INDEX(상세표[주말·휴일 포함],$Q1951)&amp;"")</f>
        <v/>
      </c>
      <c r="P1951">
        <f>IF($Q1951="","",INDEX(상세표[월 넘김 포함],$Q1951)&amp;"")</f>
        <v/>
      </c>
      <c r="Q1951" s="4">
        <f>IFERROR(MATCH(1946,상세표[연속순번],0),"")</f>
        <v/>
      </c>
    </row>
    <row r="1952">
      <c r="A1952">
        <f>IF($Q1952="","",INDEX(상세표[부서],$Q1952)&amp;"")</f>
        <v/>
      </c>
      <c r="B1952">
        <f>IF($Q1952="","",INDEX(상세표[사번],$Q1952)&amp;"")</f>
        <v/>
      </c>
      <c r="C1952">
        <f>IF($Q1952="","",INDEX(상세표[성명],$Q1952)&amp;"")</f>
        <v/>
      </c>
      <c r="D1952">
        <f>IF($Q1952="","",INDEX(상세표[직위],$Q1952)&amp;"")</f>
        <v/>
      </c>
      <c r="E1952">
        <f>IF($Q1952="","",IF(ISNUMBER(INDEX(상세표[근무일자],$Q1952)),TEXT(INDEX(상세표[근무일자],$Q1952),"yyyy-mm-dd"),INDEX(상세표[근무일자],$Q1952)&amp;""))</f>
        <v/>
      </c>
      <c r="F1952">
        <f>IF($Q1952="","",IF(ISNUMBER(INDEX(상세표[시작],$Q1952)),TEXT(INDEX(상세표[시작],$Q1952),"yyyy-mm-dd hh:mm"),INDEX(상세표[시작],$Q1952)&amp;""))</f>
        <v/>
      </c>
      <c r="G1952">
        <f>IF($Q1952="","",IF(ISNUMBER(INDEX(상세표[블록종료],$Q1952)),TEXT(INDEX(상세표[블록종료],$Q1952),"yyyy-mm-dd hh:mm"),INDEX(상세표[블록종료],$Q1952)&amp;""))</f>
        <v/>
      </c>
      <c r="H1952">
        <f>IF($Q1952="","",CHOOSE(WEEKDAY(INDEX(상세표[시작],$Q1952)),"일","월","화","수","목","금","토"))</f>
        <v/>
      </c>
      <c r="I1952" s="20">
        <f>IF($Q1952="","",INDEX(상세표[연속 시간],$Q1952))</f>
        <v/>
      </c>
      <c r="J1952">
        <f>IF($Q1952="","",INDEX(상세표[기록 수],$Q1952))</f>
        <v/>
      </c>
      <c r="K1952" s="20">
        <f>IF($Q1952="","",INDEX(상세표[블록 06~07시],$Q1952))</f>
        <v/>
      </c>
      <c r="L1952" s="20">
        <f>IF($Q1952="","",INDEX(상세표[블록 07~18시],$Q1952))</f>
        <v/>
      </c>
      <c r="M1952" s="20">
        <f>IF($Q1952="","",INDEX(상세표[블록 18~22시],$Q1952))</f>
        <v/>
      </c>
      <c r="N1952" s="20">
        <f>IF($Q1952="","",INDEX(상세표[블록 22~06시],$Q1952))</f>
        <v/>
      </c>
      <c r="O1952">
        <f>IF($Q1952="","",INDEX(상세표[주말·휴일 포함],$Q1952)&amp;"")</f>
        <v/>
      </c>
      <c r="P1952">
        <f>IF($Q1952="","",INDEX(상세표[월 넘김 포함],$Q1952)&amp;"")</f>
        <v/>
      </c>
      <c r="Q1952" s="4">
        <f>IFERROR(MATCH(1947,상세표[연속순번],0),"")</f>
        <v/>
      </c>
    </row>
    <row r="1953">
      <c r="A1953">
        <f>IF($Q1953="","",INDEX(상세표[부서],$Q1953)&amp;"")</f>
        <v/>
      </c>
      <c r="B1953">
        <f>IF($Q1953="","",INDEX(상세표[사번],$Q1953)&amp;"")</f>
        <v/>
      </c>
      <c r="C1953">
        <f>IF($Q1953="","",INDEX(상세표[성명],$Q1953)&amp;"")</f>
        <v/>
      </c>
      <c r="D1953">
        <f>IF($Q1953="","",INDEX(상세표[직위],$Q1953)&amp;"")</f>
        <v/>
      </c>
      <c r="E1953">
        <f>IF($Q1953="","",IF(ISNUMBER(INDEX(상세표[근무일자],$Q1953)),TEXT(INDEX(상세표[근무일자],$Q1953),"yyyy-mm-dd"),INDEX(상세표[근무일자],$Q1953)&amp;""))</f>
        <v/>
      </c>
      <c r="F1953">
        <f>IF($Q1953="","",IF(ISNUMBER(INDEX(상세표[시작],$Q1953)),TEXT(INDEX(상세표[시작],$Q1953),"yyyy-mm-dd hh:mm"),INDEX(상세표[시작],$Q1953)&amp;""))</f>
        <v/>
      </c>
      <c r="G1953">
        <f>IF($Q1953="","",IF(ISNUMBER(INDEX(상세표[블록종료],$Q1953)),TEXT(INDEX(상세표[블록종료],$Q1953),"yyyy-mm-dd hh:mm"),INDEX(상세표[블록종료],$Q1953)&amp;""))</f>
        <v/>
      </c>
      <c r="H1953">
        <f>IF($Q1953="","",CHOOSE(WEEKDAY(INDEX(상세표[시작],$Q1953)),"일","월","화","수","목","금","토"))</f>
        <v/>
      </c>
      <c r="I1953" s="20">
        <f>IF($Q1953="","",INDEX(상세표[연속 시간],$Q1953))</f>
        <v/>
      </c>
      <c r="J1953">
        <f>IF($Q1953="","",INDEX(상세표[기록 수],$Q1953))</f>
        <v/>
      </c>
      <c r="K1953" s="20">
        <f>IF($Q1953="","",INDEX(상세표[블록 06~07시],$Q1953))</f>
        <v/>
      </c>
      <c r="L1953" s="20">
        <f>IF($Q1953="","",INDEX(상세표[블록 07~18시],$Q1953))</f>
        <v/>
      </c>
      <c r="M1953" s="20">
        <f>IF($Q1953="","",INDEX(상세표[블록 18~22시],$Q1953))</f>
        <v/>
      </c>
      <c r="N1953" s="20">
        <f>IF($Q1953="","",INDEX(상세표[블록 22~06시],$Q1953))</f>
        <v/>
      </c>
      <c r="O1953">
        <f>IF($Q1953="","",INDEX(상세표[주말·휴일 포함],$Q1953)&amp;"")</f>
        <v/>
      </c>
      <c r="P1953">
        <f>IF($Q1953="","",INDEX(상세표[월 넘김 포함],$Q1953)&amp;"")</f>
        <v/>
      </c>
      <c r="Q1953" s="4">
        <f>IFERROR(MATCH(1948,상세표[연속순번],0),"")</f>
        <v/>
      </c>
    </row>
    <row r="1954">
      <c r="A1954">
        <f>IF($Q1954="","",INDEX(상세표[부서],$Q1954)&amp;"")</f>
        <v/>
      </c>
      <c r="B1954">
        <f>IF($Q1954="","",INDEX(상세표[사번],$Q1954)&amp;"")</f>
        <v/>
      </c>
      <c r="C1954">
        <f>IF($Q1954="","",INDEX(상세표[성명],$Q1954)&amp;"")</f>
        <v/>
      </c>
      <c r="D1954">
        <f>IF($Q1954="","",INDEX(상세표[직위],$Q1954)&amp;"")</f>
        <v/>
      </c>
      <c r="E1954">
        <f>IF($Q1954="","",IF(ISNUMBER(INDEX(상세표[근무일자],$Q1954)),TEXT(INDEX(상세표[근무일자],$Q1954),"yyyy-mm-dd"),INDEX(상세표[근무일자],$Q1954)&amp;""))</f>
        <v/>
      </c>
      <c r="F1954">
        <f>IF($Q1954="","",IF(ISNUMBER(INDEX(상세표[시작],$Q1954)),TEXT(INDEX(상세표[시작],$Q1954),"yyyy-mm-dd hh:mm"),INDEX(상세표[시작],$Q1954)&amp;""))</f>
        <v/>
      </c>
      <c r="G1954">
        <f>IF($Q1954="","",IF(ISNUMBER(INDEX(상세표[블록종료],$Q1954)),TEXT(INDEX(상세표[블록종료],$Q1954),"yyyy-mm-dd hh:mm"),INDEX(상세표[블록종료],$Q1954)&amp;""))</f>
        <v/>
      </c>
      <c r="H1954">
        <f>IF($Q1954="","",CHOOSE(WEEKDAY(INDEX(상세표[시작],$Q1954)),"일","월","화","수","목","금","토"))</f>
        <v/>
      </c>
      <c r="I1954" s="20">
        <f>IF($Q1954="","",INDEX(상세표[연속 시간],$Q1954))</f>
        <v/>
      </c>
      <c r="J1954">
        <f>IF($Q1954="","",INDEX(상세표[기록 수],$Q1954))</f>
        <v/>
      </c>
      <c r="K1954" s="20">
        <f>IF($Q1954="","",INDEX(상세표[블록 06~07시],$Q1954))</f>
        <v/>
      </c>
      <c r="L1954" s="20">
        <f>IF($Q1954="","",INDEX(상세표[블록 07~18시],$Q1954))</f>
        <v/>
      </c>
      <c r="M1954" s="20">
        <f>IF($Q1954="","",INDEX(상세표[블록 18~22시],$Q1954))</f>
        <v/>
      </c>
      <c r="N1954" s="20">
        <f>IF($Q1954="","",INDEX(상세표[블록 22~06시],$Q1954))</f>
        <v/>
      </c>
      <c r="O1954">
        <f>IF($Q1954="","",INDEX(상세표[주말·휴일 포함],$Q1954)&amp;"")</f>
        <v/>
      </c>
      <c r="P1954">
        <f>IF($Q1954="","",INDEX(상세표[월 넘김 포함],$Q1954)&amp;"")</f>
        <v/>
      </c>
      <c r="Q1954" s="4">
        <f>IFERROR(MATCH(1949,상세표[연속순번],0),"")</f>
        <v/>
      </c>
    </row>
    <row r="1955">
      <c r="A1955">
        <f>IF($Q1955="","",INDEX(상세표[부서],$Q1955)&amp;"")</f>
        <v/>
      </c>
      <c r="B1955">
        <f>IF($Q1955="","",INDEX(상세표[사번],$Q1955)&amp;"")</f>
        <v/>
      </c>
      <c r="C1955">
        <f>IF($Q1955="","",INDEX(상세표[성명],$Q1955)&amp;"")</f>
        <v/>
      </c>
      <c r="D1955">
        <f>IF($Q1955="","",INDEX(상세표[직위],$Q1955)&amp;"")</f>
        <v/>
      </c>
      <c r="E1955">
        <f>IF($Q1955="","",IF(ISNUMBER(INDEX(상세표[근무일자],$Q1955)),TEXT(INDEX(상세표[근무일자],$Q1955),"yyyy-mm-dd"),INDEX(상세표[근무일자],$Q1955)&amp;""))</f>
        <v/>
      </c>
      <c r="F1955">
        <f>IF($Q1955="","",IF(ISNUMBER(INDEX(상세표[시작],$Q1955)),TEXT(INDEX(상세표[시작],$Q1955),"yyyy-mm-dd hh:mm"),INDEX(상세표[시작],$Q1955)&amp;""))</f>
        <v/>
      </c>
      <c r="G1955">
        <f>IF($Q1955="","",IF(ISNUMBER(INDEX(상세표[블록종료],$Q1955)),TEXT(INDEX(상세표[블록종료],$Q1955),"yyyy-mm-dd hh:mm"),INDEX(상세표[블록종료],$Q1955)&amp;""))</f>
        <v/>
      </c>
      <c r="H1955">
        <f>IF($Q1955="","",CHOOSE(WEEKDAY(INDEX(상세표[시작],$Q1955)),"일","월","화","수","목","금","토"))</f>
        <v/>
      </c>
      <c r="I1955" s="20">
        <f>IF($Q1955="","",INDEX(상세표[연속 시간],$Q1955))</f>
        <v/>
      </c>
      <c r="J1955">
        <f>IF($Q1955="","",INDEX(상세표[기록 수],$Q1955))</f>
        <v/>
      </c>
      <c r="K1955" s="20">
        <f>IF($Q1955="","",INDEX(상세표[블록 06~07시],$Q1955))</f>
        <v/>
      </c>
      <c r="L1955" s="20">
        <f>IF($Q1955="","",INDEX(상세표[블록 07~18시],$Q1955))</f>
        <v/>
      </c>
      <c r="M1955" s="20">
        <f>IF($Q1955="","",INDEX(상세표[블록 18~22시],$Q1955))</f>
        <v/>
      </c>
      <c r="N1955" s="20">
        <f>IF($Q1955="","",INDEX(상세표[블록 22~06시],$Q1955))</f>
        <v/>
      </c>
      <c r="O1955">
        <f>IF($Q1955="","",INDEX(상세표[주말·휴일 포함],$Q1955)&amp;"")</f>
        <v/>
      </c>
      <c r="P1955">
        <f>IF($Q1955="","",INDEX(상세표[월 넘김 포함],$Q1955)&amp;"")</f>
        <v/>
      </c>
      <c r="Q1955" s="4">
        <f>IFERROR(MATCH(1950,상세표[연속순번],0),"")</f>
        <v/>
      </c>
    </row>
    <row r="1956">
      <c r="A1956">
        <f>IF($Q1956="","",INDEX(상세표[부서],$Q1956)&amp;"")</f>
        <v/>
      </c>
      <c r="B1956">
        <f>IF($Q1956="","",INDEX(상세표[사번],$Q1956)&amp;"")</f>
        <v/>
      </c>
      <c r="C1956">
        <f>IF($Q1956="","",INDEX(상세표[성명],$Q1956)&amp;"")</f>
        <v/>
      </c>
      <c r="D1956">
        <f>IF($Q1956="","",INDEX(상세표[직위],$Q1956)&amp;"")</f>
        <v/>
      </c>
      <c r="E1956">
        <f>IF($Q1956="","",IF(ISNUMBER(INDEX(상세표[근무일자],$Q1956)),TEXT(INDEX(상세표[근무일자],$Q1956),"yyyy-mm-dd"),INDEX(상세표[근무일자],$Q1956)&amp;""))</f>
        <v/>
      </c>
      <c r="F1956">
        <f>IF($Q1956="","",IF(ISNUMBER(INDEX(상세표[시작],$Q1956)),TEXT(INDEX(상세표[시작],$Q1956),"yyyy-mm-dd hh:mm"),INDEX(상세표[시작],$Q1956)&amp;""))</f>
        <v/>
      </c>
      <c r="G1956">
        <f>IF($Q1956="","",IF(ISNUMBER(INDEX(상세표[블록종료],$Q1956)),TEXT(INDEX(상세표[블록종료],$Q1956),"yyyy-mm-dd hh:mm"),INDEX(상세표[블록종료],$Q1956)&amp;""))</f>
        <v/>
      </c>
      <c r="H1956">
        <f>IF($Q1956="","",CHOOSE(WEEKDAY(INDEX(상세표[시작],$Q1956)),"일","월","화","수","목","금","토"))</f>
        <v/>
      </c>
      <c r="I1956" s="20">
        <f>IF($Q1956="","",INDEX(상세표[연속 시간],$Q1956))</f>
        <v/>
      </c>
      <c r="J1956">
        <f>IF($Q1956="","",INDEX(상세표[기록 수],$Q1956))</f>
        <v/>
      </c>
      <c r="K1956" s="20">
        <f>IF($Q1956="","",INDEX(상세표[블록 06~07시],$Q1956))</f>
        <v/>
      </c>
      <c r="L1956" s="20">
        <f>IF($Q1956="","",INDEX(상세표[블록 07~18시],$Q1956))</f>
        <v/>
      </c>
      <c r="M1956" s="20">
        <f>IF($Q1956="","",INDEX(상세표[블록 18~22시],$Q1956))</f>
        <v/>
      </c>
      <c r="N1956" s="20">
        <f>IF($Q1956="","",INDEX(상세표[블록 22~06시],$Q1956))</f>
        <v/>
      </c>
      <c r="O1956">
        <f>IF($Q1956="","",INDEX(상세표[주말·휴일 포함],$Q1956)&amp;"")</f>
        <v/>
      </c>
      <c r="P1956">
        <f>IF($Q1956="","",INDEX(상세표[월 넘김 포함],$Q1956)&amp;"")</f>
        <v/>
      </c>
      <c r="Q1956" s="4">
        <f>IFERROR(MATCH(1951,상세표[연속순번],0),"")</f>
        <v/>
      </c>
    </row>
    <row r="1957">
      <c r="A1957">
        <f>IF($Q1957="","",INDEX(상세표[부서],$Q1957)&amp;"")</f>
        <v/>
      </c>
      <c r="B1957">
        <f>IF($Q1957="","",INDEX(상세표[사번],$Q1957)&amp;"")</f>
        <v/>
      </c>
      <c r="C1957">
        <f>IF($Q1957="","",INDEX(상세표[성명],$Q1957)&amp;"")</f>
        <v/>
      </c>
      <c r="D1957">
        <f>IF($Q1957="","",INDEX(상세표[직위],$Q1957)&amp;"")</f>
        <v/>
      </c>
      <c r="E1957">
        <f>IF($Q1957="","",IF(ISNUMBER(INDEX(상세표[근무일자],$Q1957)),TEXT(INDEX(상세표[근무일자],$Q1957),"yyyy-mm-dd"),INDEX(상세표[근무일자],$Q1957)&amp;""))</f>
        <v/>
      </c>
      <c r="F1957">
        <f>IF($Q1957="","",IF(ISNUMBER(INDEX(상세표[시작],$Q1957)),TEXT(INDEX(상세표[시작],$Q1957),"yyyy-mm-dd hh:mm"),INDEX(상세표[시작],$Q1957)&amp;""))</f>
        <v/>
      </c>
      <c r="G1957">
        <f>IF($Q1957="","",IF(ISNUMBER(INDEX(상세표[블록종료],$Q1957)),TEXT(INDEX(상세표[블록종료],$Q1957),"yyyy-mm-dd hh:mm"),INDEX(상세표[블록종료],$Q1957)&amp;""))</f>
        <v/>
      </c>
      <c r="H1957">
        <f>IF($Q1957="","",CHOOSE(WEEKDAY(INDEX(상세표[시작],$Q1957)),"일","월","화","수","목","금","토"))</f>
        <v/>
      </c>
      <c r="I1957" s="20">
        <f>IF($Q1957="","",INDEX(상세표[연속 시간],$Q1957))</f>
        <v/>
      </c>
      <c r="J1957">
        <f>IF($Q1957="","",INDEX(상세표[기록 수],$Q1957))</f>
        <v/>
      </c>
      <c r="K1957" s="20">
        <f>IF($Q1957="","",INDEX(상세표[블록 06~07시],$Q1957))</f>
        <v/>
      </c>
      <c r="L1957" s="20">
        <f>IF($Q1957="","",INDEX(상세표[블록 07~18시],$Q1957))</f>
        <v/>
      </c>
      <c r="M1957" s="20">
        <f>IF($Q1957="","",INDEX(상세표[블록 18~22시],$Q1957))</f>
        <v/>
      </c>
      <c r="N1957" s="20">
        <f>IF($Q1957="","",INDEX(상세표[블록 22~06시],$Q1957))</f>
        <v/>
      </c>
      <c r="O1957">
        <f>IF($Q1957="","",INDEX(상세표[주말·휴일 포함],$Q1957)&amp;"")</f>
        <v/>
      </c>
      <c r="P1957">
        <f>IF($Q1957="","",INDEX(상세표[월 넘김 포함],$Q1957)&amp;"")</f>
        <v/>
      </c>
      <c r="Q1957" s="4">
        <f>IFERROR(MATCH(1952,상세표[연속순번],0),"")</f>
        <v/>
      </c>
    </row>
    <row r="1958">
      <c r="A1958">
        <f>IF($Q1958="","",INDEX(상세표[부서],$Q1958)&amp;"")</f>
        <v/>
      </c>
      <c r="B1958">
        <f>IF($Q1958="","",INDEX(상세표[사번],$Q1958)&amp;"")</f>
        <v/>
      </c>
      <c r="C1958">
        <f>IF($Q1958="","",INDEX(상세표[성명],$Q1958)&amp;"")</f>
        <v/>
      </c>
      <c r="D1958">
        <f>IF($Q1958="","",INDEX(상세표[직위],$Q1958)&amp;"")</f>
        <v/>
      </c>
      <c r="E1958">
        <f>IF($Q1958="","",IF(ISNUMBER(INDEX(상세표[근무일자],$Q1958)),TEXT(INDEX(상세표[근무일자],$Q1958),"yyyy-mm-dd"),INDEX(상세표[근무일자],$Q1958)&amp;""))</f>
        <v/>
      </c>
      <c r="F1958">
        <f>IF($Q1958="","",IF(ISNUMBER(INDEX(상세표[시작],$Q1958)),TEXT(INDEX(상세표[시작],$Q1958),"yyyy-mm-dd hh:mm"),INDEX(상세표[시작],$Q1958)&amp;""))</f>
        <v/>
      </c>
      <c r="G1958">
        <f>IF($Q1958="","",IF(ISNUMBER(INDEX(상세표[블록종료],$Q1958)),TEXT(INDEX(상세표[블록종료],$Q1958),"yyyy-mm-dd hh:mm"),INDEX(상세표[블록종료],$Q1958)&amp;""))</f>
        <v/>
      </c>
      <c r="H1958">
        <f>IF($Q1958="","",CHOOSE(WEEKDAY(INDEX(상세표[시작],$Q1958)),"일","월","화","수","목","금","토"))</f>
        <v/>
      </c>
      <c r="I1958" s="20">
        <f>IF($Q1958="","",INDEX(상세표[연속 시간],$Q1958))</f>
        <v/>
      </c>
      <c r="J1958">
        <f>IF($Q1958="","",INDEX(상세표[기록 수],$Q1958))</f>
        <v/>
      </c>
      <c r="K1958" s="20">
        <f>IF($Q1958="","",INDEX(상세표[블록 06~07시],$Q1958))</f>
        <v/>
      </c>
      <c r="L1958" s="20">
        <f>IF($Q1958="","",INDEX(상세표[블록 07~18시],$Q1958))</f>
        <v/>
      </c>
      <c r="M1958" s="20">
        <f>IF($Q1958="","",INDEX(상세표[블록 18~22시],$Q1958))</f>
        <v/>
      </c>
      <c r="N1958" s="20">
        <f>IF($Q1958="","",INDEX(상세표[블록 22~06시],$Q1958))</f>
        <v/>
      </c>
      <c r="O1958">
        <f>IF($Q1958="","",INDEX(상세표[주말·휴일 포함],$Q1958)&amp;"")</f>
        <v/>
      </c>
      <c r="P1958">
        <f>IF($Q1958="","",INDEX(상세표[월 넘김 포함],$Q1958)&amp;"")</f>
        <v/>
      </c>
      <c r="Q1958" s="4">
        <f>IFERROR(MATCH(1953,상세표[연속순번],0),"")</f>
        <v/>
      </c>
    </row>
    <row r="1959">
      <c r="A1959">
        <f>IF($Q1959="","",INDEX(상세표[부서],$Q1959)&amp;"")</f>
        <v/>
      </c>
      <c r="B1959">
        <f>IF($Q1959="","",INDEX(상세표[사번],$Q1959)&amp;"")</f>
        <v/>
      </c>
      <c r="C1959">
        <f>IF($Q1959="","",INDEX(상세표[성명],$Q1959)&amp;"")</f>
        <v/>
      </c>
      <c r="D1959">
        <f>IF($Q1959="","",INDEX(상세표[직위],$Q1959)&amp;"")</f>
        <v/>
      </c>
      <c r="E1959">
        <f>IF($Q1959="","",IF(ISNUMBER(INDEX(상세표[근무일자],$Q1959)),TEXT(INDEX(상세표[근무일자],$Q1959),"yyyy-mm-dd"),INDEX(상세표[근무일자],$Q1959)&amp;""))</f>
        <v/>
      </c>
      <c r="F1959">
        <f>IF($Q1959="","",IF(ISNUMBER(INDEX(상세표[시작],$Q1959)),TEXT(INDEX(상세표[시작],$Q1959),"yyyy-mm-dd hh:mm"),INDEX(상세표[시작],$Q1959)&amp;""))</f>
        <v/>
      </c>
      <c r="G1959">
        <f>IF($Q1959="","",IF(ISNUMBER(INDEX(상세표[블록종료],$Q1959)),TEXT(INDEX(상세표[블록종료],$Q1959),"yyyy-mm-dd hh:mm"),INDEX(상세표[블록종료],$Q1959)&amp;""))</f>
        <v/>
      </c>
      <c r="H1959">
        <f>IF($Q1959="","",CHOOSE(WEEKDAY(INDEX(상세표[시작],$Q1959)),"일","월","화","수","목","금","토"))</f>
        <v/>
      </c>
      <c r="I1959" s="20">
        <f>IF($Q1959="","",INDEX(상세표[연속 시간],$Q1959))</f>
        <v/>
      </c>
      <c r="J1959">
        <f>IF($Q1959="","",INDEX(상세표[기록 수],$Q1959))</f>
        <v/>
      </c>
      <c r="K1959" s="20">
        <f>IF($Q1959="","",INDEX(상세표[블록 06~07시],$Q1959))</f>
        <v/>
      </c>
      <c r="L1959" s="20">
        <f>IF($Q1959="","",INDEX(상세표[블록 07~18시],$Q1959))</f>
        <v/>
      </c>
      <c r="M1959" s="20">
        <f>IF($Q1959="","",INDEX(상세표[블록 18~22시],$Q1959))</f>
        <v/>
      </c>
      <c r="N1959" s="20">
        <f>IF($Q1959="","",INDEX(상세표[블록 22~06시],$Q1959))</f>
        <v/>
      </c>
      <c r="O1959">
        <f>IF($Q1959="","",INDEX(상세표[주말·휴일 포함],$Q1959)&amp;"")</f>
        <v/>
      </c>
      <c r="P1959">
        <f>IF($Q1959="","",INDEX(상세표[월 넘김 포함],$Q1959)&amp;"")</f>
        <v/>
      </c>
      <c r="Q1959" s="4">
        <f>IFERROR(MATCH(1954,상세표[연속순번],0),"")</f>
        <v/>
      </c>
    </row>
    <row r="1960">
      <c r="A1960">
        <f>IF($Q1960="","",INDEX(상세표[부서],$Q1960)&amp;"")</f>
        <v/>
      </c>
      <c r="B1960">
        <f>IF($Q1960="","",INDEX(상세표[사번],$Q1960)&amp;"")</f>
        <v/>
      </c>
      <c r="C1960">
        <f>IF($Q1960="","",INDEX(상세표[성명],$Q1960)&amp;"")</f>
        <v/>
      </c>
      <c r="D1960">
        <f>IF($Q1960="","",INDEX(상세표[직위],$Q1960)&amp;"")</f>
        <v/>
      </c>
      <c r="E1960">
        <f>IF($Q1960="","",IF(ISNUMBER(INDEX(상세표[근무일자],$Q1960)),TEXT(INDEX(상세표[근무일자],$Q1960),"yyyy-mm-dd"),INDEX(상세표[근무일자],$Q1960)&amp;""))</f>
        <v/>
      </c>
      <c r="F1960">
        <f>IF($Q1960="","",IF(ISNUMBER(INDEX(상세표[시작],$Q1960)),TEXT(INDEX(상세표[시작],$Q1960),"yyyy-mm-dd hh:mm"),INDEX(상세표[시작],$Q1960)&amp;""))</f>
        <v/>
      </c>
      <c r="G1960">
        <f>IF($Q1960="","",IF(ISNUMBER(INDEX(상세표[블록종료],$Q1960)),TEXT(INDEX(상세표[블록종료],$Q1960),"yyyy-mm-dd hh:mm"),INDEX(상세표[블록종료],$Q1960)&amp;""))</f>
        <v/>
      </c>
      <c r="H1960">
        <f>IF($Q1960="","",CHOOSE(WEEKDAY(INDEX(상세표[시작],$Q1960)),"일","월","화","수","목","금","토"))</f>
        <v/>
      </c>
      <c r="I1960" s="20">
        <f>IF($Q1960="","",INDEX(상세표[연속 시간],$Q1960))</f>
        <v/>
      </c>
      <c r="J1960">
        <f>IF($Q1960="","",INDEX(상세표[기록 수],$Q1960))</f>
        <v/>
      </c>
      <c r="K1960" s="20">
        <f>IF($Q1960="","",INDEX(상세표[블록 06~07시],$Q1960))</f>
        <v/>
      </c>
      <c r="L1960" s="20">
        <f>IF($Q1960="","",INDEX(상세표[블록 07~18시],$Q1960))</f>
        <v/>
      </c>
      <c r="M1960" s="20">
        <f>IF($Q1960="","",INDEX(상세표[블록 18~22시],$Q1960))</f>
        <v/>
      </c>
      <c r="N1960" s="20">
        <f>IF($Q1960="","",INDEX(상세표[블록 22~06시],$Q1960))</f>
        <v/>
      </c>
      <c r="O1960">
        <f>IF($Q1960="","",INDEX(상세표[주말·휴일 포함],$Q1960)&amp;"")</f>
        <v/>
      </c>
      <c r="P1960">
        <f>IF($Q1960="","",INDEX(상세표[월 넘김 포함],$Q1960)&amp;"")</f>
        <v/>
      </c>
      <c r="Q1960" s="4">
        <f>IFERROR(MATCH(1955,상세표[연속순번],0),"")</f>
        <v/>
      </c>
    </row>
    <row r="1961">
      <c r="A1961">
        <f>IF($Q1961="","",INDEX(상세표[부서],$Q1961)&amp;"")</f>
        <v/>
      </c>
      <c r="B1961">
        <f>IF($Q1961="","",INDEX(상세표[사번],$Q1961)&amp;"")</f>
        <v/>
      </c>
      <c r="C1961">
        <f>IF($Q1961="","",INDEX(상세표[성명],$Q1961)&amp;"")</f>
        <v/>
      </c>
      <c r="D1961">
        <f>IF($Q1961="","",INDEX(상세표[직위],$Q1961)&amp;"")</f>
        <v/>
      </c>
      <c r="E1961">
        <f>IF($Q1961="","",IF(ISNUMBER(INDEX(상세표[근무일자],$Q1961)),TEXT(INDEX(상세표[근무일자],$Q1961),"yyyy-mm-dd"),INDEX(상세표[근무일자],$Q1961)&amp;""))</f>
        <v/>
      </c>
      <c r="F1961">
        <f>IF($Q1961="","",IF(ISNUMBER(INDEX(상세표[시작],$Q1961)),TEXT(INDEX(상세표[시작],$Q1961),"yyyy-mm-dd hh:mm"),INDEX(상세표[시작],$Q1961)&amp;""))</f>
        <v/>
      </c>
      <c r="G1961">
        <f>IF($Q1961="","",IF(ISNUMBER(INDEX(상세표[블록종료],$Q1961)),TEXT(INDEX(상세표[블록종료],$Q1961),"yyyy-mm-dd hh:mm"),INDEX(상세표[블록종료],$Q1961)&amp;""))</f>
        <v/>
      </c>
      <c r="H1961">
        <f>IF($Q1961="","",CHOOSE(WEEKDAY(INDEX(상세표[시작],$Q1961)),"일","월","화","수","목","금","토"))</f>
        <v/>
      </c>
      <c r="I1961" s="20">
        <f>IF($Q1961="","",INDEX(상세표[연속 시간],$Q1961))</f>
        <v/>
      </c>
      <c r="J1961">
        <f>IF($Q1961="","",INDEX(상세표[기록 수],$Q1961))</f>
        <v/>
      </c>
      <c r="K1961" s="20">
        <f>IF($Q1961="","",INDEX(상세표[블록 06~07시],$Q1961))</f>
        <v/>
      </c>
      <c r="L1961" s="20">
        <f>IF($Q1961="","",INDEX(상세표[블록 07~18시],$Q1961))</f>
        <v/>
      </c>
      <c r="M1961" s="20">
        <f>IF($Q1961="","",INDEX(상세표[블록 18~22시],$Q1961))</f>
        <v/>
      </c>
      <c r="N1961" s="20">
        <f>IF($Q1961="","",INDEX(상세표[블록 22~06시],$Q1961))</f>
        <v/>
      </c>
      <c r="O1961">
        <f>IF($Q1961="","",INDEX(상세표[주말·휴일 포함],$Q1961)&amp;"")</f>
        <v/>
      </c>
      <c r="P1961">
        <f>IF($Q1961="","",INDEX(상세표[월 넘김 포함],$Q1961)&amp;"")</f>
        <v/>
      </c>
      <c r="Q1961" s="4">
        <f>IFERROR(MATCH(1956,상세표[연속순번],0),"")</f>
        <v/>
      </c>
    </row>
    <row r="1962">
      <c r="A1962">
        <f>IF($Q1962="","",INDEX(상세표[부서],$Q1962)&amp;"")</f>
        <v/>
      </c>
      <c r="B1962">
        <f>IF($Q1962="","",INDEX(상세표[사번],$Q1962)&amp;"")</f>
        <v/>
      </c>
      <c r="C1962">
        <f>IF($Q1962="","",INDEX(상세표[성명],$Q1962)&amp;"")</f>
        <v/>
      </c>
      <c r="D1962">
        <f>IF($Q1962="","",INDEX(상세표[직위],$Q1962)&amp;"")</f>
        <v/>
      </c>
      <c r="E1962">
        <f>IF($Q1962="","",IF(ISNUMBER(INDEX(상세표[근무일자],$Q1962)),TEXT(INDEX(상세표[근무일자],$Q1962),"yyyy-mm-dd"),INDEX(상세표[근무일자],$Q1962)&amp;""))</f>
        <v/>
      </c>
      <c r="F1962">
        <f>IF($Q1962="","",IF(ISNUMBER(INDEX(상세표[시작],$Q1962)),TEXT(INDEX(상세표[시작],$Q1962),"yyyy-mm-dd hh:mm"),INDEX(상세표[시작],$Q1962)&amp;""))</f>
        <v/>
      </c>
      <c r="G1962">
        <f>IF($Q1962="","",IF(ISNUMBER(INDEX(상세표[블록종료],$Q1962)),TEXT(INDEX(상세표[블록종료],$Q1962),"yyyy-mm-dd hh:mm"),INDEX(상세표[블록종료],$Q1962)&amp;""))</f>
        <v/>
      </c>
      <c r="H1962">
        <f>IF($Q1962="","",CHOOSE(WEEKDAY(INDEX(상세표[시작],$Q1962)),"일","월","화","수","목","금","토"))</f>
        <v/>
      </c>
      <c r="I1962" s="20">
        <f>IF($Q1962="","",INDEX(상세표[연속 시간],$Q1962))</f>
        <v/>
      </c>
      <c r="J1962">
        <f>IF($Q1962="","",INDEX(상세표[기록 수],$Q1962))</f>
        <v/>
      </c>
      <c r="K1962" s="20">
        <f>IF($Q1962="","",INDEX(상세표[블록 06~07시],$Q1962))</f>
        <v/>
      </c>
      <c r="L1962" s="20">
        <f>IF($Q1962="","",INDEX(상세표[블록 07~18시],$Q1962))</f>
        <v/>
      </c>
      <c r="M1962" s="20">
        <f>IF($Q1962="","",INDEX(상세표[블록 18~22시],$Q1962))</f>
        <v/>
      </c>
      <c r="N1962" s="20">
        <f>IF($Q1962="","",INDEX(상세표[블록 22~06시],$Q1962))</f>
        <v/>
      </c>
      <c r="O1962">
        <f>IF($Q1962="","",INDEX(상세표[주말·휴일 포함],$Q1962)&amp;"")</f>
        <v/>
      </c>
      <c r="P1962">
        <f>IF($Q1962="","",INDEX(상세표[월 넘김 포함],$Q1962)&amp;"")</f>
        <v/>
      </c>
      <c r="Q1962" s="4">
        <f>IFERROR(MATCH(1957,상세표[연속순번],0),"")</f>
        <v/>
      </c>
    </row>
    <row r="1963">
      <c r="A1963">
        <f>IF($Q1963="","",INDEX(상세표[부서],$Q1963)&amp;"")</f>
        <v/>
      </c>
      <c r="B1963">
        <f>IF($Q1963="","",INDEX(상세표[사번],$Q1963)&amp;"")</f>
        <v/>
      </c>
      <c r="C1963">
        <f>IF($Q1963="","",INDEX(상세표[성명],$Q1963)&amp;"")</f>
        <v/>
      </c>
      <c r="D1963">
        <f>IF($Q1963="","",INDEX(상세표[직위],$Q1963)&amp;"")</f>
        <v/>
      </c>
      <c r="E1963">
        <f>IF($Q1963="","",IF(ISNUMBER(INDEX(상세표[근무일자],$Q1963)),TEXT(INDEX(상세표[근무일자],$Q1963),"yyyy-mm-dd"),INDEX(상세표[근무일자],$Q1963)&amp;""))</f>
        <v/>
      </c>
      <c r="F1963">
        <f>IF($Q1963="","",IF(ISNUMBER(INDEX(상세표[시작],$Q1963)),TEXT(INDEX(상세표[시작],$Q1963),"yyyy-mm-dd hh:mm"),INDEX(상세표[시작],$Q1963)&amp;""))</f>
        <v/>
      </c>
      <c r="G1963">
        <f>IF($Q1963="","",IF(ISNUMBER(INDEX(상세표[블록종료],$Q1963)),TEXT(INDEX(상세표[블록종료],$Q1963),"yyyy-mm-dd hh:mm"),INDEX(상세표[블록종료],$Q1963)&amp;""))</f>
        <v/>
      </c>
      <c r="H1963">
        <f>IF($Q1963="","",CHOOSE(WEEKDAY(INDEX(상세표[시작],$Q1963)),"일","월","화","수","목","금","토"))</f>
        <v/>
      </c>
      <c r="I1963" s="20">
        <f>IF($Q1963="","",INDEX(상세표[연속 시간],$Q1963))</f>
        <v/>
      </c>
      <c r="J1963">
        <f>IF($Q1963="","",INDEX(상세표[기록 수],$Q1963))</f>
        <v/>
      </c>
      <c r="K1963" s="20">
        <f>IF($Q1963="","",INDEX(상세표[블록 06~07시],$Q1963))</f>
        <v/>
      </c>
      <c r="L1963" s="20">
        <f>IF($Q1963="","",INDEX(상세표[블록 07~18시],$Q1963))</f>
        <v/>
      </c>
      <c r="M1963" s="20">
        <f>IF($Q1963="","",INDEX(상세표[블록 18~22시],$Q1963))</f>
        <v/>
      </c>
      <c r="N1963" s="20">
        <f>IF($Q1963="","",INDEX(상세표[블록 22~06시],$Q1963))</f>
        <v/>
      </c>
      <c r="O1963">
        <f>IF($Q1963="","",INDEX(상세표[주말·휴일 포함],$Q1963)&amp;"")</f>
        <v/>
      </c>
      <c r="P1963">
        <f>IF($Q1963="","",INDEX(상세표[월 넘김 포함],$Q1963)&amp;"")</f>
        <v/>
      </c>
      <c r="Q1963" s="4">
        <f>IFERROR(MATCH(1958,상세표[연속순번],0),"")</f>
        <v/>
      </c>
    </row>
    <row r="1964">
      <c r="A1964">
        <f>IF($Q1964="","",INDEX(상세표[부서],$Q1964)&amp;"")</f>
        <v/>
      </c>
      <c r="B1964">
        <f>IF($Q1964="","",INDEX(상세표[사번],$Q1964)&amp;"")</f>
        <v/>
      </c>
      <c r="C1964">
        <f>IF($Q1964="","",INDEX(상세표[성명],$Q1964)&amp;"")</f>
        <v/>
      </c>
      <c r="D1964">
        <f>IF($Q1964="","",INDEX(상세표[직위],$Q1964)&amp;"")</f>
        <v/>
      </c>
      <c r="E1964">
        <f>IF($Q1964="","",IF(ISNUMBER(INDEX(상세표[근무일자],$Q1964)),TEXT(INDEX(상세표[근무일자],$Q1964),"yyyy-mm-dd"),INDEX(상세표[근무일자],$Q1964)&amp;""))</f>
        <v/>
      </c>
      <c r="F1964">
        <f>IF($Q1964="","",IF(ISNUMBER(INDEX(상세표[시작],$Q1964)),TEXT(INDEX(상세표[시작],$Q1964),"yyyy-mm-dd hh:mm"),INDEX(상세표[시작],$Q1964)&amp;""))</f>
        <v/>
      </c>
      <c r="G1964">
        <f>IF($Q1964="","",IF(ISNUMBER(INDEX(상세표[블록종료],$Q1964)),TEXT(INDEX(상세표[블록종료],$Q1964),"yyyy-mm-dd hh:mm"),INDEX(상세표[블록종료],$Q1964)&amp;""))</f>
        <v/>
      </c>
      <c r="H1964">
        <f>IF($Q1964="","",CHOOSE(WEEKDAY(INDEX(상세표[시작],$Q1964)),"일","월","화","수","목","금","토"))</f>
        <v/>
      </c>
      <c r="I1964" s="20">
        <f>IF($Q1964="","",INDEX(상세표[연속 시간],$Q1964))</f>
        <v/>
      </c>
      <c r="J1964">
        <f>IF($Q1964="","",INDEX(상세표[기록 수],$Q1964))</f>
        <v/>
      </c>
      <c r="K1964" s="20">
        <f>IF($Q1964="","",INDEX(상세표[블록 06~07시],$Q1964))</f>
        <v/>
      </c>
      <c r="L1964" s="20">
        <f>IF($Q1964="","",INDEX(상세표[블록 07~18시],$Q1964))</f>
        <v/>
      </c>
      <c r="M1964" s="20">
        <f>IF($Q1964="","",INDEX(상세표[블록 18~22시],$Q1964))</f>
        <v/>
      </c>
      <c r="N1964" s="20">
        <f>IF($Q1964="","",INDEX(상세표[블록 22~06시],$Q1964))</f>
        <v/>
      </c>
      <c r="O1964">
        <f>IF($Q1964="","",INDEX(상세표[주말·휴일 포함],$Q1964)&amp;"")</f>
        <v/>
      </c>
      <c r="P1964">
        <f>IF($Q1964="","",INDEX(상세표[월 넘김 포함],$Q1964)&amp;"")</f>
        <v/>
      </c>
      <c r="Q1964" s="4">
        <f>IFERROR(MATCH(1959,상세표[연속순번],0),"")</f>
        <v/>
      </c>
    </row>
    <row r="1965">
      <c r="A1965">
        <f>IF($Q1965="","",INDEX(상세표[부서],$Q1965)&amp;"")</f>
        <v/>
      </c>
      <c r="B1965">
        <f>IF($Q1965="","",INDEX(상세표[사번],$Q1965)&amp;"")</f>
        <v/>
      </c>
      <c r="C1965">
        <f>IF($Q1965="","",INDEX(상세표[성명],$Q1965)&amp;"")</f>
        <v/>
      </c>
      <c r="D1965">
        <f>IF($Q1965="","",INDEX(상세표[직위],$Q1965)&amp;"")</f>
        <v/>
      </c>
      <c r="E1965">
        <f>IF($Q1965="","",IF(ISNUMBER(INDEX(상세표[근무일자],$Q1965)),TEXT(INDEX(상세표[근무일자],$Q1965),"yyyy-mm-dd"),INDEX(상세표[근무일자],$Q1965)&amp;""))</f>
        <v/>
      </c>
      <c r="F1965">
        <f>IF($Q1965="","",IF(ISNUMBER(INDEX(상세표[시작],$Q1965)),TEXT(INDEX(상세표[시작],$Q1965),"yyyy-mm-dd hh:mm"),INDEX(상세표[시작],$Q1965)&amp;""))</f>
        <v/>
      </c>
      <c r="G1965">
        <f>IF($Q1965="","",IF(ISNUMBER(INDEX(상세표[블록종료],$Q1965)),TEXT(INDEX(상세표[블록종료],$Q1965),"yyyy-mm-dd hh:mm"),INDEX(상세표[블록종료],$Q1965)&amp;""))</f>
        <v/>
      </c>
      <c r="H1965">
        <f>IF($Q1965="","",CHOOSE(WEEKDAY(INDEX(상세표[시작],$Q1965)),"일","월","화","수","목","금","토"))</f>
        <v/>
      </c>
      <c r="I1965" s="20">
        <f>IF($Q1965="","",INDEX(상세표[연속 시간],$Q1965))</f>
        <v/>
      </c>
      <c r="J1965">
        <f>IF($Q1965="","",INDEX(상세표[기록 수],$Q1965))</f>
        <v/>
      </c>
      <c r="K1965" s="20">
        <f>IF($Q1965="","",INDEX(상세표[블록 06~07시],$Q1965))</f>
        <v/>
      </c>
      <c r="L1965" s="20">
        <f>IF($Q1965="","",INDEX(상세표[블록 07~18시],$Q1965))</f>
        <v/>
      </c>
      <c r="M1965" s="20">
        <f>IF($Q1965="","",INDEX(상세표[블록 18~22시],$Q1965))</f>
        <v/>
      </c>
      <c r="N1965" s="20">
        <f>IF($Q1965="","",INDEX(상세표[블록 22~06시],$Q1965))</f>
        <v/>
      </c>
      <c r="O1965">
        <f>IF($Q1965="","",INDEX(상세표[주말·휴일 포함],$Q1965)&amp;"")</f>
        <v/>
      </c>
      <c r="P1965">
        <f>IF($Q1965="","",INDEX(상세표[월 넘김 포함],$Q1965)&amp;"")</f>
        <v/>
      </c>
      <c r="Q1965" s="4">
        <f>IFERROR(MATCH(1960,상세표[연속순번],0),"")</f>
        <v/>
      </c>
    </row>
    <row r="1966">
      <c r="A1966">
        <f>IF($Q1966="","",INDEX(상세표[부서],$Q1966)&amp;"")</f>
        <v/>
      </c>
      <c r="B1966">
        <f>IF($Q1966="","",INDEX(상세표[사번],$Q1966)&amp;"")</f>
        <v/>
      </c>
      <c r="C1966">
        <f>IF($Q1966="","",INDEX(상세표[성명],$Q1966)&amp;"")</f>
        <v/>
      </c>
      <c r="D1966">
        <f>IF($Q1966="","",INDEX(상세표[직위],$Q1966)&amp;"")</f>
        <v/>
      </c>
      <c r="E1966">
        <f>IF($Q1966="","",IF(ISNUMBER(INDEX(상세표[근무일자],$Q1966)),TEXT(INDEX(상세표[근무일자],$Q1966),"yyyy-mm-dd"),INDEX(상세표[근무일자],$Q1966)&amp;""))</f>
        <v/>
      </c>
      <c r="F1966">
        <f>IF($Q1966="","",IF(ISNUMBER(INDEX(상세표[시작],$Q1966)),TEXT(INDEX(상세표[시작],$Q1966),"yyyy-mm-dd hh:mm"),INDEX(상세표[시작],$Q1966)&amp;""))</f>
        <v/>
      </c>
      <c r="G1966">
        <f>IF($Q1966="","",IF(ISNUMBER(INDEX(상세표[블록종료],$Q1966)),TEXT(INDEX(상세표[블록종료],$Q1966),"yyyy-mm-dd hh:mm"),INDEX(상세표[블록종료],$Q1966)&amp;""))</f>
        <v/>
      </c>
      <c r="H1966">
        <f>IF($Q1966="","",CHOOSE(WEEKDAY(INDEX(상세표[시작],$Q1966)),"일","월","화","수","목","금","토"))</f>
        <v/>
      </c>
      <c r="I1966" s="20">
        <f>IF($Q1966="","",INDEX(상세표[연속 시간],$Q1966))</f>
        <v/>
      </c>
      <c r="J1966">
        <f>IF($Q1966="","",INDEX(상세표[기록 수],$Q1966))</f>
        <v/>
      </c>
      <c r="K1966" s="20">
        <f>IF($Q1966="","",INDEX(상세표[블록 06~07시],$Q1966))</f>
        <v/>
      </c>
      <c r="L1966" s="20">
        <f>IF($Q1966="","",INDEX(상세표[블록 07~18시],$Q1966))</f>
        <v/>
      </c>
      <c r="M1966" s="20">
        <f>IF($Q1966="","",INDEX(상세표[블록 18~22시],$Q1966))</f>
        <v/>
      </c>
      <c r="N1966" s="20">
        <f>IF($Q1966="","",INDEX(상세표[블록 22~06시],$Q1966))</f>
        <v/>
      </c>
      <c r="O1966">
        <f>IF($Q1966="","",INDEX(상세표[주말·휴일 포함],$Q1966)&amp;"")</f>
        <v/>
      </c>
      <c r="P1966">
        <f>IF($Q1966="","",INDEX(상세표[월 넘김 포함],$Q1966)&amp;"")</f>
        <v/>
      </c>
      <c r="Q1966" s="4">
        <f>IFERROR(MATCH(1961,상세표[연속순번],0),"")</f>
        <v/>
      </c>
    </row>
    <row r="1967">
      <c r="A1967">
        <f>IF($Q1967="","",INDEX(상세표[부서],$Q1967)&amp;"")</f>
        <v/>
      </c>
      <c r="B1967">
        <f>IF($Q1967="","",INDEX(상세표[사번],$Q1967)&amp;"")</f>
        <v/>
      </c>
      <c r="C1967">
        <f>IF($Q1967="","",INDEX(상세표[성명],$Q1967)&amp;"")</f>
        <v/>
      </c>
      <c r="D1967">
        <f>IF($Q1967="","",INDEX(상세표[직위],$Q1967)&amp;"")</f>
        <v/>
      </c>
      <c r="E1967">
        <f>IF($Q1967="","",IF(ISNUMBER(INDEX(상세표[근무일자],$Q1967)),TEXT(INDEX(상세표[근무일자],$Q1967),"yyyy-mm-dd"),INDEX(상세표[근무일자],$Q1967)&amp;""))</f>
        <v/>
      </c>
      <c r="F1967">
        <f>IF($Q1967="","",IF(ISNUMBER(INDEX(상세표[시작],$Q1967)),TEXT(INDEX(상세표[시작],$Q1967),"yyyy-mm-dd hh:mm"),INDEX(상세표[시작],$Q1967)&amp;""))</f>
        <v/>
      </c>
      <c r="G1967">
        <f>IF($Q1967="","",IF(ISNUMBER(INDEX(상세표[블록종료],$Q1967)),TEXT(INDEX(상세표[블록종료],$Q1967),"yyyy-mm-dd hh:mm"),INDEX(상세표[블록종료],$Q1967)&amp;""))</f>
        <v/>
      </c>
      <c r="H1967">
        <f>IF($Q1967="","",CHOOSE(WEEKDAY(INDEX(상세표[시작],$Q1967)),"일","월","화","수","목","금","토"))</f>
        <v/>
      </c>
      <c r="I1967" s="20">
        <f>IF($Q1967="","",INDEX(상세표[연속 시간],$Q1967))</f>
        <v/>
      </c>
      <c r="J1967">
        <f>IF($Q1967="","",INDEX(상세표[기록 수],$Q1967))</f>
        <v/>
      </c>
      <c r="K1967" s="20">
        <f>IF($Q1967="","",INDEX(상세표[블록 06~07시],$Q1967))</f>
        <v/>
      </c>
      <c r="L1967" s="20">
        <f>IF($Q1967="","",INDEX(상세표[블록 07~18시],$Q1967))</f>
        <v/>
      </c>
      <c r="M1967" s="20">
        <f>IF($Q1967="","",INDEX(상세표[블록 18~22시],$Q1967))</f>
        <v/>
      </c>
      <c r="N1967" s="20">
        <f>IF($Q1967="","",INDEX(상세표[블록 22~06시],$Q1967))</f>
        <v/>
      </c>
      <c r="O1967">
        <f>IF($Q1967="","",INDEX(상세표[주말·휴일 포함],$Q1967)&amp;"")</f>
        <v/>
      </c>
      <c r="P1967">
        <f>IF($Q1967="","",INDEX(상세표[월 넘김 포함],$Q1967)&amp;"")</f>
        <v/>
      </c>
      <c r="Q1967" s="4">
        <f>IFERROR(MATCH(1962,상세표[연속순번],0),"")</f>
        <v/>
      </c>
    </row>
    <row r="1968">
      <c r="A1968">
        <f>IF($Q1968="","",INDEX(상세표[부서],$Q1968)&amp;"")</f>
        <v/>
      </c>
      <c r="B1968">
        <f>IF($Q1968="","",INDEX(상세표[사번],$Q1968)&amp;"")</f>
        <v/>
      </c>
      <c r="C1968">
        <f>IF($Q1968="","",INDEX(상세표[성명],$Q1968)&amp;"")</f>
        <v/>
      </c>
      <c r="D1968">
        <f>IF($Q1968="","",INDEX(상세표[직위],$Q1968)&amp;"")</f>
        <v/>
      </c>
      <c r="E1968">
        <f>IF($Q1968="","",IF(ISNUMBER(INDEX(상세표[근무일자],$Q1968)),TEXT(INDEX(상세표[근무일자],$Q1968),"yyyy-mm-dd"),INDEX(상세표[근무일자],$Q1968)&amp;""))</f>
        <v/>
      </c>
      <c r="F1968">
        <f>IF($Q1968="","",IF(ISNUMBER(INDEX(상세표[시작],$Q1968)),TEXT(INDEX(상세표[시작],$Q1968),"yyyy-mm-dd hh:mm"),INDEX(상세표[시작],$Q1968)&amp;""))</f>
        <v/>
      </c>
      <c r="G1968">
        <f>IF($Q1968="","",IF(ISNUMBER(INDEX(상세표[블록종료],$Q1968)),TEXT(INDEX(상세표[블록종료],$Q1968),"yyyy-mm-dd hh:mm"),INDEX(상세표[블록종료],$Q1968)&amp;""))</f>
        <v/>
      </c>
      <c r="H1968">
        <f>IF($Q1968="","",CHOOSE(WEEKDAY(INDEX(상세표[시작],$Q1968)),"일","월","화","수","목","금","토"))</f>
        <v/>
      </c>
      <c r="I1968" s="20">
        <f>IF($Q1968="","",INDEX(상세표[연속 시간],$Q1968))</f>
        <v/>
      </c>
      <c r="J1968">
        <f>IF($Q1968="","",INDEX(상세표[기록 수],$Q1968))</f>
        <v/>
      </c>
      <c r="K1968" s="20">
        <f>IF($Q1968="","",INDEX(상세표[블록 06~07시],$Q1968))</f>
        <v/>
      </c>
      <c r="L1968" s="20">
        <f>IF($Q1968="","",INDEX(상세표[블록 07~18시],$Q1968))</f>
        <v/>
      </c>
      <c r="M1968" s="20">
        <f>IF($Q1968="","",INDEX(상세표[블록 18~22시],$Q1968))</f>
        <v/>
      </c>
      <c r="N1968" s="20">
        <f>IF($Q1968="","",INDEX(상세표[블록 22~06시],$Q1968))</f>
        <v/>
      </c>
      <c r="O1968">
        <f>IF($Q1968="","",INDEX(상세표[주말·휴일 포함],$Q1968)&amp;"")</f>
        <v/>
      </c>
      <c r="P1968">
        <f>IF($Q1968="","",INDEX(상세표[월 넘김 포함],$Q1968)&amp;"")</f>
        <v/>
      </c>
      <c r="Q1968" s="4">
        <f>IFERROR(MATCH(1963,상세표[연속순번],0),"")</f>
        <v/>
      </c>
    </row>
    <row r="1969">
      <c r="A1969">
        <f>IF($Q1969="","",INDEX(상세표[부서],$Q1969)&amp;"")</f>
        <v/>
      </c>
      <c r="B1969">
        <f>IF($Q1969="","",INDEX(상세표[사번],$Q1969)&amp;"")</f>
        <v/>
      </c>
      <c r="C1969">
        <f>IF($Q1969="","",INDEX(상세표[성명],$Q1969)&amp;"")</f>
        <v/>
      </c>
      <c r="D1969">
        <f>IF($Q1969="","",INDEX(상세표[직위],$Q1969)&amp;"")</f>
        <v/>
      </c>
      <c r="E1969">
        <f>IF($Q1969="","",IF(ISNUMBER(INDEX(상세표[근무일자],$Q1969)),TEXT(INDEX(상세표[근무일자],$Q1969),"yyyy-mm-dd"),INDEX(상세표[근무일자],$Q1969)&amp;""))</f>
        <v/>
      </c>
      <c r="F1969">
        <f>IF($Q1969="","",IF(ISNUMBER(INDEX(상세표[시작],$Q1969)),TEXT(INDEX(상세표[시작],$Q1969),"yyyy-mm-dd hh:mm"),INDEX(상세표[시작],$Q1969)&amp;""))</f>
        <v/>
      </c>
      <c r="G1969">
        <f>IF($Q1969="","",IF(ISNUMBER(INDEX(상세표[블록종료],$Q1969)),TEXT(INDEX(상세표[블록종료],$Q1969),"yyyy-mm-dd hh:mm"),INDEX(상세표[블록종료],$Q1969)&amp;""))</f>
        <v/>
      </c>
      <c r="H1969">
        <f>IF($Q1969="","",CHOOSE(WEEKDAY(INDEX(상세표[시작],$Q1969)),"일","월","화","수","목","금","토"))</f>
        <v/>
      </c>
      <c r="I1969" s="20">
        <f>IF($Q1969="","",INDEX(상세표[연속 시간],$Q1969))</f>
        <v/>
      </c>
      <c r="J1969">
        <f>IF($Q1969="","",INDEX(상세표[기록 수],$Q1969))</f>
        <v/>
      </c>
      <c r="K1969" s="20">
        <f>IF($Q1969="","",INDEX(상세표[블록 06~07시],$Q1969))</f>
        <v/>
      </c>
      <c r="L1969" s="20">
        <f>IF($Q1969="","",INDEX(상세표[블록 07~18시],$Q1969))</f>
        <v/>
      </c>
      <c r="M1969" s="20">
        <f>IF($Q1969="","",INDEX(상세표[블록 18~22시],$Q1969))</f>
        <v/>
      </c>
      <c r="N1969" s="20">
        <f>IF($Q1969="","",INDEX(상세표[블록 22~06시],$Q1969))</f>
        <v/>
      </c>
      <c r="O1969">
        <f>IF($Q1969="","",INDEX(상세표[주말·휴일 포함],$Q1969)&amp;"")</f>
        <v/>
      </c>
      <c r="P1969">
        <f>IF($Q1969="","",INDEX(상세표[월 넘김 포함],$Q1969)&amp;"")</f>
        <v/>
      </c>
      <c r="Q1969" s="4">
        <f>IFERROR(MATCH(1964,상세표[연속순번],0),"")</f>
        <v/>
      </c>
    </row>
    <row r="1970">
      <c r="A1970">
        <f>IF($Q1970="","",INDEX(상세표[부서],$Q1970)&amp;"")</f>
        <v/>
      </c>
      <c r="B1970">
        <f>IF($Q1970="","",INDEX(상세표[사번],$Q1970)&amp;"")</f>
        <v/>
      </c>
      <c r="C1970">
        <f>IF($Q1970="","",INDEX(상세표[성명],$Q1970)&amp;"")</f>
        <v/>
      </c>
      <c r="D1970">
        <f>IF($Q1970="","",INDEX(상세표[직위],$Q1970)&amp;"")</f>
        <v/>
      </c>
      <c r="E1970">
        <f>IF($Q1970="","",IF(ISNUMBER(INDEX(상세표[근무일자],$Q1970)),TEXT(INDEX(상세표[근무일자],$Q1970),"yyyy-mm-dd"),INDEX(상세표[근무일자],$Q1970)&amp;""))</f>
        <v/>
      </c>
      <c r="F1970">
        <f>IF($Q1970="","",IF(ISNUMBER(INDEX(상세표[시작],$Q1970)),TEXT(INDEX(상세표[시작],$Q1970),"yyyy-mm-dd hh:mm"),INDEX(상세표[시작],$Q1970)&amp;""))</f>
        <v/>
      </c>
      <c r="G1970">
        <f>IF($Q1970="","",IF(ISNUMBER(INDEX(상세표[블록종료],$Q1970)),TEXT(INDEX(상세표[블록종료],$Q1970),"yyyy-mm-dd hh:mm"),INDEX(상세표[블록종료],$Q1970)&amp;""))</f>
        <v/>
      </c>
      <c r="H1970">
        <f>IF($Q1970="","",CHOOSE(WEEKDAY(INDEX(상세표[시작],$Q1970)),"일","월","화","수","목","금","토"))</f>
        <v/>
      </c>
      <c r="I1970" s="20">
        <f>IF($Q1970="","",INDEX(상세표[연속 시간],$Q1970))</f>
        <v/>
      </c>
      <c r="J1970">
        <f>IF($Q1970="","",INDEX(상세표[기록 수],$Q1970))</f>
        <v/>
      </c>
      <c r="K1970" s="20">
        <f>IF($Q1970="","",INDEX(상세표[블록 06~07시],$Q1970))</f>
        <v/>
      </c>
      <c r="L1970" s="20">
        <f>IF($Q1970="","",INDEX(상세표[블록 07~18시],$Q1970))</f>
        <v/>
      </c>
      <c r="M1970" s="20">
        <f>IF($Q1970="","",INDEX(상세표[블록 18~22시],$Q1970))</f>
        <v/>
      </c>
      <c r="N1970" s="20">
        <f>IF($Q1970="","",INDEX(상세표[블록 22~06시],$Q1970))</f>
        <v/>
      </c>
      <c r="O1970">
        <f>IF($Q1970="","",INDEX(상세표[주말·휴일 포함],$Q1970)&amp;"")</f>
        <v/>
      </c>
      <c r="P1970">
        <f>IF($Q1970="","",INDEX(상세표[월 넘김 포함],$Q1970)&amp;"")</f>
        <v/>
      </c>
      <c r="Q1970" s="4">
        <f>IFERROR(MATCH(1965,상세표[연속순번],0),"")</f>
        <v/>
      </c>
    </row>
    <row r="1971">
      <c r="A1971">
        <f>IF($Q1971="","",INDEX(상세표[부서],$Q1971)&amp;"")</f>
        <v/>
      </c>
      <c r="B1971">
        <f>IF($Q1971="","",INDEX(상세표[사번],$Q1971)&amp;"")</f>
        <v/>
      </c>
      <c r="C1971">
        <f>IF($Q1971="","",INDEX(상세표[성명],$Q1971)&amp;"")</f>
        <v/>
      </c>
      <c r="D1971">
        <f>IF($Q1971="","",INDEX(상세표[직위],$Q1971)&amp;"")</f>
        <v/>
      </c>
      <c r="E1971">
        <f>IF($Q1971="","",IF(ISNUMBER(INDEX(상세표[근무일자],$Q1971)),TEXT(INDEX(상세표[근무일자],$Q1971),"yyyy-mm-dd"),INDEX(상세표[근무일자],$Q1971)&amp;""))</f>
        <v/>
      </c>
      <c r="F1971">
        <f>IF($Q1971="","",IF(ISNUMBER(INDEX(상세표[시작],$Q1971)),TEXT(INDEX(상세표[시작],$Q1971),"yyyy-mm-dd hh:mm"),INDEX(상세표[시작],$Q1971)&amp;""))</f>
        <v/>
      </c>
      <c r="G1971">
        <f>IF($Q1971="","",IF(ISNUMBER(INDEX(상세표[블록종료],$Q1971)),TEXT(INDEX(상세표[블록종료],$Q1971),"yyyy-mm-dd hh:mm"),INDEX(상세표[블록종료],$Q1971)&amp;""))</f>
        <v/>
      </c>
      <c r="H1971">
        <f>IF($Q1971="","",CHOOSE(WEEKDAY(INDEX(상세표[시작],$Q1971)),"일","월","화","수","목","금","토"))</f>
        <v/>
      </c>
      <c r="I1971" s="20">
        <f>IF($Q1971="","",INDEX(상세표[연속 시간],$Q1971))</f>
        <v/>
      </c>
      <c r="J1971">
        <f>IF($Q1971="","",INDEX(상세표[기록 수],$Q1971))</f>
        <v/>
      </c>
      <c r="K1971" s="20">
        <f>IF($Q1971="","",INDEX(상세표[블록 06~07시],$Q1971))</f>
        <v/>
      </c>
      <c r="L1971" s="20">
        <f>IF($Q1971="","",INDEX(상세표[블록 07~18시],$Q1971))</f>
        <v/>
      </c>
      <c r="M1971" s="20">
        <f>IF($Q1971="","",INDEX(상세표[블록 18~22시],$Q1971))</f>
        <v/>
      </c>
      <c r="N1971" s="20">
        <f>IF($Q1971="","",INDEX(상세표[블록 22~06시],$Q1971))</f>
        <v/>
      </c>
      <c r="O1971">
        <f>IF($Q1971="","",INDEX(상세표[주말·휴일 포함],$Q1971)&amp;"")</f>
        <v/>
      </c>
      <c r="P1971">
        <f>IF($Q1971="","",INDEX(상세표[월 넘김 포함],$Q1971)&amp;"")</f>
        <v/>
      </c>
      <c r="Q1971" s="4">
        <f>IFERROR(MATCH(1966,상세표[연속순번],0),"")</f>
        <v/>
      </c>
    </row>
    <row r="1972">
      <c r="A1972">
        <f>IF($Q1972="","",INDEX(상세표[부서],$Q1972)&amp;"")</f>
        <v/>
      </c>
      <c r="B1972">
        <f>IF($Q1972="","",INDEX(상세표[사번],$Q1972)&amp;"")</f>
        <v/>
      </c>
      <c r="C1972">
        <f>IF($Q1972="","",INDEX(상세표[성명],$Q1972)&amp;"")</f>
        <v/>
      </c>
      <c r="D1972">
        <f>IF($Q1972="","",INDEX(상세표[직위],$Q1972)&amp;"")</f>
        <v/>
      </c>
      <c r="E1972">
        <f>IF($Q1972="","",IF(ISNUMBER(INDEX(상세표[근무일자],$Q1972)),TEXT(INDEX(상세표[근무일자],$Q1972),"yyyy-mm-dd"),INDEX(상세표[근무일자],$Q1972)&amp;""))</f>
        <v/>
      </c>
      <c r="F1972">
        <f>IF($Q1972="","",IF(ISNUMBER(INDEX(상세표[시작],$Q1972)),TEXT(INDEX(상세표[시작],$Q1972),"yyyy-mm-dd hh:mm"),INDEX(상세표[시작],$Q1972)&amp;""))</f>
        <v/>
      </c>
      <c r="G1972">
        <f>IF($Q1972="","",IF(ISNUMBER(INDEX(상세표[블록종료],$Q1972)),TEXT(INDEX(상세표[블록종료],$Q1972),"yyyy-mm-dd hh:mm"),INDEX(상세표[블록종료],$Q1972)&amp;""))</f>
        <v/>
      </c>
      <c r="H1972">
        <f>IF($Q1972="","",CHOOSE(WEEKDAY(INDEX(상세표[시작],$Q1972)),"일","월","화","수","목","금","토"))</f>
        <v/>
      </c>
      <c r="I1972" s="20">
        <f>IF($Q1972="","",INDEX(상세표[연속 시간],$Q1972))</f>
        <v/>
      </c>
      <c r="J1972">
        <f>IF($Q1972="","",INDEX(상세표[기록 수],$Q1972))</f>
        <v/>
      </c>
      <c r="K1972" s="20">
        <f>IF($Q1972="","",INDEX(상세표[블록 06~07시],$Q1972))</f>
        <v/>
      </c>
      <c r="L1972" s="20">
        <f>IF($Q1972="","",INDEX(상세표[블록 07~18시],$Q1972))</f>
        <v/>
      </c>
      <c r="M1972" s="20">
        <f>IF($Q1972="","",INDEX(상세표[블록 18~22시],$Q1972))</f>
        <v/>
      </c>
      <c r="N1972" s="20">
        <f>IF($Q1972="","",INDEX(상세표[블록 22~06시],$Q1972))</f>
        <v/>
      </c>
      <c r="O1972">
        <f>IF($Q1972="","",INDEX(상세표[주말·휴일 포함],$Q1972)&amp;"")</f>
        <v/>
      </c>
      <c r="P1972">
        <f>IF($Q1972="","",INDEX(상세표[월 넘김 포함],$Q1972)&amp;"")</f>
        <v/>
      </c>
      <c r="Q1972" s="4">
        <f>IFERROR(MATCH(1967,상세표[연속순번],0),"")</f>
        <v/>
      </c>
    </row>
    <row r="1973">
      <c r="A1973">
        <f>IF($Q1973="","",INDEX(상세표[부서],$Q1973)&amp;"")</f>
        <v/>
      </c>
      <c r="B1973">
        <f>IF($Q1973="","",INDEX(상세표[사번],$Q1973)&amp;"")</f>
        <v/>
      </c>
      <c r="C1973">
        <f>IF($Q1973="","",INDEX(상세표[성명],$Q1973)&amp;"")</f>
        <v/>
      </c>
      <c r="D1973">
        <f>IF($Q1973="","",INDEX(상세표[직위],$Q1973)&amp;"")</f>
        <v/>
      </c>
      <c r="E1973">
        <f>IF($Q1973="","",IF(ISNUMBER(INDEX(상세표[근무일자],$Q1973)),TEXT(INDEX(상세표[근무일자],$Q1973),"yyyy-mm-dd"),INDEX(상세표[근무일자],$Q1973)&amp;""))</f>
        <v/>
      </c>
      <c r="F1973">
        <f>IF($Q1973="","",IF(ISNUMBER(INDEX(상세표[시작],$Q1973)),TEXT(INDEX(상세표[시작],$Q1973),"yyyy-mm-dd hh:mm"),INDEX(상세표[시작],$Q1973)&amp;""))</f>
        <v/>
      </c>
      <c r="G1973">
        <f>IF($Q1973="","",IF(ISNUMBER(INDEX(상세표[블록종료],$Q1973)),TEXT(INDEX(상세표[블록종료],$Q1973),"yyyy-mm-dd hh:mm"),INDEX(상세표[블록종료],$Q1973)&amp;""))</f>
        <v/>
      </c>
      <c r="H1973">
        <f>IF($Q1973="","",CHOOSE(WEEKDAY(INDEX(상세표[시작],$Q1973)),"일","월","화","수","목","금","토"))</f>
        <v/>
      </c>
      <c r="I1973" s="20">
        <f>IF($Q1973="","",INDEX(상세표[연속 시간],$Q1973))</f>
        <v/>
      </c>
      <c r="J1973">
        <f>IF($Q1973="","",INDEX(상세표[기록 수],$Q1973))</f>
        <v/>
      </c>
      <c r="K1973" s="20">
        <f>IF($Q1973="","",INDEX(상세표[블록 06~07시],$Q1973))</f>
        <v/>
      </c>
      <c r="L1973" s="20">
        <f>IF($Q1973="","",INDEX(상세표[블록 07~18시],$Q1973))</f>
        <v/>
      </c>
      <c r="M1973" s="20">
        <f>IF($Q1973="","",INDEX(상세표[블록 18~22시],$Q1973))</f>
        <v/>
      </c>
      <c r="N1973" s="20">
        <f>IF($Q1973="","",INDEX(상세표[블록 22~06시],$Q1973))</f>
        <v/>
      </c>
      <c r="O1973">
        <f>IF($Q1973="","",INDEX(상세표[주말·휴일 포함],$Q1973)&amp;"")</f>
        <v/>
      </c>
      <c r="P1973">
        <f>IF($Q1973="","",INDEX(상세표[월 넘김 포함],$Q1973)&amp;"")</f>
        <v/>
      </c>
      <c r="Q1973" s="4">
        <f>IFERROR(MATCH(1968,상세표[연속순번],0),"")</f>
        <v/>
      </c>
    </row>
    <row r="1974">
      <c r="A1974">
        <f>IF($Q1974="","",INDEX(상세표[부서],$Q1974)&amp;"")</f>
        <v/>
      </c>
      <c r="B1974">
        <f>IF($Q1974="","",INDEX(상세표[사번],$Q1974)&amp;"")</f>
        <v/>
      </c>
      <c r="C1974">
        <f>IF($Q1974="","",INDEX(상세표[성명],$Q1974)&amp;"")</f>
        <v/>
      </c>
      <c r="D1974">
        <f>IF($Q1974="","",INDEX(상세표[직위],$Q1974)&amp;"")</f>
        <v/>
      </c>
      <c r="E1974">
        <f>IF($Q1974="","",IF(ISNUMBER(INDEX(상세표[근무일자],$Q1974)),TEXT(INDEX(상세표[근무일자],$Q1974),"yyyy-mm-dd"),INDEX(상세표[근무일자],$Q1974)&amp;""))</f>
        <v/>
      </c>
      <c r="F1974">
        <f>IF($Q1974="","",IF(ISNUMBER(INDEX(상세표[시작],$Q1974)),TEXT(INDEX(상세표[시작],$Q1974),"yyyy-mm-dd hh:mm"),INDEX(상세표[시작],$Q1974)&amp;""))</f>
        <v/>
      </c>
      <c r="G1974">
        <f>IF($Q1974="","",IF(ISNUMBER(INDEX(상세표[블록종료],$Q1974)),TEXT(INDEX(상세표[블록종료],$Q1974),"yyyy-mm-dd hh:mm"),INDEX(상세표[블록종료],$Q1974)&amp;""))</f>
        <v/>
      </c>
      <c r="H1974">
        <f>IF($Q1974="","",CHOOSE(WEEKDAY(INDEX(상세표[시작],$Q1974)),"일","월","화","수","목","금","토"))</f>
        <v/>
      </c>
      <c r="I1974" s="20">
        <f>IF($Q1974="","",INDEX(상세표[연속 시간],$Q1974))</f>
        <v/>
      </c>
      <c r="J1974">
        <f>IF($Q1974="","",INDEX(상세표[기록 수],$Q1974))</f>
        <v/>
      </c>
      <c r="K1974" s="20">
        <f>IF($Q1974="","",INDEX(상세표[블록 06~07시],$Q1974))</f>
        <v/>
      </c>
      <c r="L1974" s="20">
        <f>IF($Q1974="","",INDEX(상세표[블록 07~18시],$Q1974))</f>
        <v/>
      </c>
      <c r="M1974" s="20">
        <f>IF($Q1974="","",INDEX(상세표[블록 18~22시],$Q1974))</f>
        <v/>
      </c>
      <c r="N1974" s="20">
        <f>IF($Q1974="","",INDEX(상세표[블록 22~06시],$Q1974))</f>
        <v/>
      </c>
      <c r="O1974">
        <f>IF($Q1974="","",INDEX(상세표[주말·휴일 포함],$Q1974)&amp;"")</f>
        <v/>
      </c>
      <c r="P1974">
        <f>IF($Q1974="","",INDEX(상세표[월 넘김 포함],$Q1974)&amp;"")</f>
        <v/>
      </c>
      <c r="Q1974" s="4">
        <f>IFERROR(MATCH(1969,상세표[연속순번],0),"")</f>
        <v/>
      </c>
    </row>
    <row r="1975">
      <c r="A1975">
        <f>IF($Q1975="","",INDEX(상세표[부서],$Q1975)&amp;"")</f>
        <v/>
      </c>
      <c r="B1975">
        <f>IF($Q1975="","",INDEX(상세표[사번],$Q1975)&amp;"")</f>
        <v/>
      </c>
      <c r="C1975">
        <f>IF($Q1975="","",INDEX(상세표[성명],$Q1975)&amp;"")</f>
        <v/>
      </c>
      <c r="D1975">
        <f>IF($Q1975="","",INDEX(상세표[직위],$Q1975)&amp;"")</f>
        <v/>
      </c>
      <c r="E1975">
        <f>IF($Q1975="","",IF(ISNUMBER(INDEX(상세표[근무일자],$Q1975)),TEXT(INDEX(상세표[근무일자],$Q1975),"yyyy-mm-dd"),INDEX(상세표[근무일자],$Q1975)&amp;""))</f>
        <v/>
      </c>
      <c r="F1975">
        <f>IF($Q1975="","",IF(ISNUMBER(INDEX(상세표[시작],$Q1975)),TEXT(INDEX(상세표[시작],$Q1975),"yyyy-mm-dd hh:mm"),INDEX(상세표[시작],$Q1975)&amp;""))</f>
        <v/>
      </c>
      <c r="G1975">
        <f>IF($Q1975="","",IF(ISNUMBER(INDEX(상세표[블록종료],$Q1975)),TEXT(INDEX(상세표[블록종료],$Q1975),"yyyy-mm-dd hh:mm"),INDEX(상세표[블록종료],$Q1975)&amp;""))</f>
        <v/>
      </c>
      <c r="H1975">
        <f>IF($Q1975="","",CHOOSE(WEEKDAY(INDEX(상세표[시작],$Q1975)),"일","월","화","수","목","금","토"))</f>
        <v/>
      </c>
      <c r="I1975" s="20">
        <f>IF($Q1975="","",INDEX(상세표[연속 시간],$Q1975))</f>
        <v/>
      </c>
      <c r="J1975">
        <f>IF($Q1975="","",INDEX(상세표[기록 수],$Q1975))</f>
        <v/>
      </c>
      <c r="K1975" s="20">
        <f>IF($Q1975="","",INDEX(상세표[블록 06~07시],$Q1975))</f>
        <v/>
      </c>
      <c r="L1975" s="20">
        <f>IF($Q1975="","",INDEX(상세표[블록 07~18시],$Q1975))</f>
        <v/>
      </c>
      <c r="M1975" s="20">
        <f>IF($Q1975="","",INDEX(상세표[블록 18~22시],$Q1975))</f>
        <v/>
      </c>
      <c r="N1975" s="20">
        <f>IF($Q1975="","",INDEX(상세표[블록 22~06시],$Q1975))</f>
        <v/>
      </c>
      <c r="O1975">
        <f>IF($Q1975="","",INDEX(상세표[주말·휴일 포함],$Q1975)&amp;"")</f>
        <v/>
      </c>
      <c r="P1975">
        <f>IF($Q1975="","",INDEX(상세표[월 넘김 포함],$Q1975)&amp;"")</f>
        <v/>
      </c>
      <c r="Q1975" s="4">
        <f>IFERROR(MATCH(1970,상세표[연속순번],0),"")</f>
        <v/>
      </c>
    </row>
    <row r="1976">
      <c r="A1976">
        <f>IF($Q1976="","",INDEX(상세표[부서],$Q1976)&amp;"")</f>
        <v/>
      </c>
      <c r="B1976">
        <f>IF($Q1976="","",INDEX(상세표[사번],$Q1976)&amp;"")</f>
        <v/>
      </c>
      <c r="C1976">
        <f>IF($Q1976="","",INDEX(상세표[성명],$Q1976)&amp;"")</f>
        <v/>
      </c>
      <c r="D1976">
        <f>IF($Q1976="","",INDEX(상세표[직위],$Q1976)&amp;"")</f>
        <v/>
      </c>
      <c r="E1976">
        <f>IF($Q1976="","",IF(ISNUMBER(INDEX(상세표[근무일자],$Q1976)),TEXT(INDEX(상세표[근무일자],$Q1976),"yyyy-mm-dd"),INDEX(상세표[근무일자],$Q1976)&amp;""))</f>
        <v/>
      </c>
      <c r="F1976">
        <f>IF($Q1976="","",IF(ISNUMBER(INDEX(상세표[시작],$Q1976)),TEXT(INDEX(상세표[시작],$Q1976),"yyyy-mm-dd hh:mm"),INDEX(상세표[시작],$Q1976)&amp;""))</f>
        <v/>
      </c>
      <c r="G1976">
        <f>IF($Q1976="","",IF(ISNUMBER(INDEX(상세표[블록종료],$Q1976)),TEXT(INDEX(상세표[블록종료],$Q1976),"yyyy-mm-dd hh:mm"),INDEX(상세표[블록종료],$Q1976)&amp;""))</f>
        <v/>
      </c>
      <c r="H1976">
        <f>IF($Q1976="","",CHOOSE(WEEKDAY(INDEX(상세표[시작],$Q1976)),"일","월","화","수","목","금","토"))</f>
        <v/>
      </c>
      <c r="I1976" s="20">
        <f>IF($Q1976="","",INDEX(상세표[연속 시간],$Q1976))</f>
        <v/>
      </c>
      <c r="J1976">
        <f>IF($Q1976="","",INDEX(상세표[기록 수],$Q1976))</f>
        <v/>
      </c>
      <c r="K1976" s="20">
        <f>IF($Q1976="","",INDEX(상세표[블록 06~07시],$Q1976))</f>
        <v/>
      </c>
      <c r="L1976" s="20">
        <f>IF($Q1976="","",INDEX(상세표[블록 07~18시],$Q1976))</f>
        <v/>
      </c>
      <c r="M1976" s="20">
        <f>IF($Q1976="","",INDEX(상세표[블록 18~22시],$Q1976))</f>
        <v/>
      </c>
      <c r="N1976" s="20">
        <f>IF($Q1976="","",INDEX(상세표[블록 22~06시],$Q1976))</f>
        <v/>
      </c>
      <c r="O1976">
        <f>IF($Q1976="","",INDEX(상세표[주말·휴일 포함],$Q1976)&amp;"")</f>
        <v/>
      </c>
      <c r="P1976">
        <f>IF($Q1976="","",INDEX(상세표[월 넘김 포함],$Q1976)&amp;"")</f>
        <v/>
      </c>
      <c r="Q1976" s="4">
        <f>IFERROR(MATCH(1971,상세표[연속순번],0),"")</f>
        <v/>
      </c>
    </row>
    <row r="1977">
      <c r="A1977">
        <f>IF($Q1977="","",INDEX(상세표[부서],$Q1977)&amp;"")</f>
        <v/>
      </c>
      <c r="B1977">
        <f>IF($Q1977="","",INDEX(상세표[사번],$Q1977)&amp;"")</f>
        <v/>
      </c>
      <c r="C1977">
        <f>IF($Q1977="","",INDEX(상세표[성명],$Q1977)&amp;"")</f>
        <v/>
      </c>
      <c r="D1977">
        <f>IF($Q1977="","",INDEX(상세표[직위],$Q1977)&amp;"")</f>
        <v/>
      </c>
      <c r="E1977">
        <f>IF($Q1977="","",IF(ISNUMBER(INDEX(상세표[근무일자],$Q1977)),TEXT(INDEX(상세표[근무일자],$Q1977),"yyyy-mm-dd"),INDEX(상세표[근무일자],$Q1977)&amp;""))</f>
        <v/>
      </c>
      <c r="F1977">
        <f>IF($Q1977="","",IF(ISNUMBER(INDEX(상세표[시작],$Q1977)),TEXT(INDEX(상세표[시작],$Q1977),"yyyy-mm-dd hh:mm"),INDEX(상세표[시작],$Q1977)&amp;""))</f>
        <v/>
      </c>
      <c r="G1977">
        <f>IF($Q1977="","",IF(ISNUMBER(INDEX(상세표[블록종료],$Q1977)),TEXT(INDEX(상세표[블록종료],$Q1977),"yyyy-mm-dd hh:mm"),INDEX(상세표[블록종료],$Q1977)&amp;""))</f>
        <v/>
      </c>
      <c r="H1977">
        <f>IF($Q1977="","",CHOOSE(WEEKDAY(INDEX(상세표[시작],$Q1977)),"일","월","화","수","목","금","토"))</f>
        <v/>
      </c>
      <c r="I1977" s="20">
        <f>IF($Q1977="","",INDEX(상세표[연속 시간],$Q1977))</f>
        <v/>
      </c>
      <c r="J1977">
        <f>IF($Q1977="","",INDEX(상세표[기록 수],$Q1977))</f>
        <v/>
      </c>
      <c r="K1977" s="20">
        <f>IF($Q1977="","",INDEX(상세표[블록 06~07시],$Q1977))</f>
        <v/>
      </c>
      <c r="L1977" s="20">
        <f>IF($Q1977="","",INDEX(상세표[블록 07~18시],$Q1977))</f>
        <v/>
      </c>
      <c r="M1977" s="20">
        <f>IF($Q1977="","",INDEX(상세표[블록 18~22시],$Q1977))</f>
        <v/>
      </c>
      <c r="N1977" s="20">
        <f>IF($Q1977="","",INDEX(상세표[블록 22~06시],$Q1977))</f>
        <v/>
      </c>
      <c r="O1977">
        <f>IF($Q1977="","",INDEX(상세표[주말·휴일 포함],$Q1977)&amp;"")</f>
        <v/>
      </c>
      <c r="P1977">
        <f>IF($Q1977="","",INDEX(상세표[월 넘김 포함],$Q1977)&amp;"")</f>
        <v/>
      </c>
      <c r="Q1977" s="4">
        <f>IFERROR(MATCH(1972,상세표[연속순번],0),"")</f>
        <v/>
      </c>
    </row>
    <row r="1978">
      <c r="A1978">
        <f>IF($Q1978="","",INDEX(상세표[부서],$Q1978)&amp;"")</f>
        <v/>
      </c>
      <c r="B1978">
        <f>IF($Q1978="","",INDEX(상세표[사번],$Q1978)&amp;"")</f>
        <v/>
      </c>
      <c r="C1978">
        <f>IF($Q1978="","",INDEX(상세표[성명],$Q1978)&amp;"")</f>
        <v/>
      </c>
      <c r="D1978">
        <f>IF($Q1978="","",INDEX(상세표[직위],$Q1978)&amp;"")</f>
        <v/>
      </c>
      <c r="E1978">
        <f>IF($Q1978="","",IF(ISNUMBER(INDEX(상세표[근무일자],$Q1978)),TEXT(INDEX(상세표[근무일자],$Q1978),"yyyy-mm-dd"),INDEX(상세표[근무일자],$Q1978)&amp;""))</f>
        <v/>
      </c>
      <c r="F1978">
        <f>IF($Q1978="","",IF(ISNUMBER(INDEX(상세표[시작],$Q1978)),TEXT(INDEX(상세표[시작],$Q1978),"yyyy-mm-dd hh:mm"),INDEX(상세표[시작],$Q1978)&amp;""))</f>
        <v/>
      </c>
      <c r="G1978">
        <f>IF($Q1978="","",IF(ISNUMBER(INDEX(상세표[블록종료],$Q1978)),TEXT(INDEX(상세표[블록종료],$Q1978),"yyyy-mm-dd hh:mm"),INDEX(상세표[블록종료],$Q1978)&amp;""))</f>
        <v/>
      </c>
      <c r="H1978">
        <f>IF($Q1978="","",CHOOSE(WEEKDAY(INDEX(상세표[시작],$Q1978)),"일","월","화","수","목","금","토"))</f>
        <v/>
      </c>
      <c r="I1978" s="20">
        <f>IF($Q1978="","",INDEX(상세표[연속 시간],$Q1978))</f>
        <v/>
      </c>
      <c r="J1978">
        <f>IF($Q1978="","",INDEX(상세표[기록 수],$Q1978))</f>
        <v/>
      </c>
      <c r="K1978" s="20">
        <f>IF($Q1978="","",INDEX(상세표[블록 06~07시],$Q1978))</f>
        <v/>
      </c>
      <c r="L1978" s="20">
        <f>IF($Q1978="","",INDEX(상세표[블록 07~18시],$Q1978))</f>
        <v/>
      </c>
      <c r="M1978" s="20">
        <f>IF($Q1978="","",INDEX(상세표[블록 18~22시],$Q1978))</f>
        <v/>
      </c>
      <c r="N1978" s="20">
        <f>IF($Q1978="","",INDEX(상세표[블록 22~06시],$Q1978))</f>
        <v/>
      </c>
      <c r="O1978">
        <f>IF($Q1978="","",INDEX(상세표[주말·휴일 포함],$Q1978)&amp;"")</f>
        <v/>
      </c>
      <c r="P1978">
        <f>IF($Q1978="","",INDEX(상세표[월 넘김 포함],$Q1978)&amp;"")</f>
        <v/>
      </c>
      <c r="Q1978" s="4">
        <f>IFERROR(MATCH(1973,상세표[연속순번],0),"")</f>
        <v/>
      </c>
    </row>
    <row r="1979">
      <c r="A1979">
        <f>IF($Q1979="","",INDEX(상세표[부서],$Q1979)&amp;"")</f>
        <v/>
      </c>
      <c r="B1979">
        <f>IF($Q1979="","",INDEX(상세표[사번],$Q1979)&amp;"")</f>
        <v/>
      </c>
      <c r="C1979">
        <f>IF($Q1979="","",INDEX(상세표[성명],$Q1979)&amp;"")</f>
        <v/>
      </c>
      <c r="D1979">
        <f>IF($Q1979="","",INDEX(상세표[직위],$Q1979)&amp;"")</f>
        <v/>
      </c>
      <c r="E1979">
        <f>IF($Q1979="","",IF(ISNUMBER(INDEX(상세표[근무일자],$Q1979)),TEXT(INDEX(상세표[근무일자],$Q1979),"yyyy-mm-dd"),INDEX(상세표[근무일자],$Q1979)&amp;""))</f>
        <v/>
      </c>
      <c r="F1979">
        <f>IF($Q1979="","",IF(ISNUMBER(INDEX(상세표[시작],$Q1979)),TEXT(INDEX(상세표[시작],$Q1979),"yyyy-mm-dd hh:mm"),INDEX(상세표[시작],$Q1979)&amp;""))</f>
        <v/>
      </c>
      <c r="G1979">
        <f>IF($Q1979="","",IF(ISNUMBER(INDEX(상세표[블록종료],$Q1979)),TEXT(INDEX(상세표[블록종료],$Q1979),"yyyy-mm-dd hh:mm"),INDEX(상세표[블록종료],$Q1979)&amp;""))</f>
        <v/>
      </c>
      <c r="H1979">
        <f>IF($Q1979="","",CHOOSE(WEEKDAY(INDEX(상세표[시작],$Q1979)),"일","월","화","수","목","금","토"))</f>
        <v/>
      </c>
      <c r="I1979" s="20">
        <f>IF($Q1979="","",INDEX(상세표[연속 시간],$Q1979))</f>
        <v/>
      </c>
      <c r="J1979">
        <f>IF($Q1979="","",INDEX(상세표[기록 수],$Q1979))</f>
        <v/>
      </c>
      <c r="K1979" s="20">
        <f>IF($Q1979="","",INDEX(상세표[블록 06~07시],$Q1979))</f>
        <v/>
      </c>
      <c r="L1979" s="20">
        <f>IF($Q1979="","",INDEX(상세표[블록 07~18시],$Q1979))</f>
        <v/>
      </c>
      <c r="M1979" s="20">
        <f>IF($Q1979="","",INDEX(상세표[블록 18~22시],$Q1979))</f>
        <v/>
      </c>
      <c r="N1979" s="20">
        <f>IF($Q1979="","",INDEX(상세표[블록 22~06시],$Q1979))</f>
        <v/>
      </c>
      <c r="O1979">
        <f>IF($Q1979="","",INDEX(상세표[주말·휴일 포함],$Q1979)&amp;"")</f>
        <v/>
      </c>
      <c r="P1979">
        <f>IF($Q1979="","",INDEX(상세표[월 넘김 포함],$Q1979)&amp;"")</f>
        <v/>
      </c>
      <c r="Q1979" s="4">
        <f>IFERROR(MATCH(1974,상세표[연속순번],0),"")</f>
        <v/>
      </c>
    </row>
    <row r="1980">
      <c r="A1980">
        <f>IF($Q1980="","",INDEX(상세표[부서],$Q1980)&amp;"")</f>
        <v/>
      </c>
      <c r="B1980">
        <f>IF($Q1980="","",INDEX(상세표[사번],$Q1980)&amp;"")</f>
        <v/>
      </c>
      <c r="C1980">
        <f>IF($Q1980="","",INDEX(상세표[성명],$Q1980)&amp;"")</f>
        <v/>
      </c>
      <c r="D1980">
        <f>IF($Q1980="","",INDEX(상세표[직위],$Q1980)&amp;"")</f>
        <v/>
      </c>
      <c r="E1980">
        <f>IF($Q1980="","",IF(ISNUMBER(INDEX(상세표[근무일자],$Q1980)),TEXT(INDEX(상세표[근무일자],$Q1980),"yyyy-mm-dd"),INDEX(상세표[근무일자],$Q1980)&amp;""))</f>
        <v/>
      </c>
      <c r="F1980">
        <f>IF($Q1980="","",IF(ISNUMBER(INDEX(상세표[시작],$Q1980)),TEXT(INDEX(상세표[시작],$Q1980),"yyyy-mm-dd hh:mm"),INDEX(상세표[시작],$Q1980)&amp;""))</f>
        <v/>
      </c>
      <c r="G1980">
        <f>IF($Q1980="","",IF(ISNUMBER(INDEX(상세표[블록종료],$Q1980)),TEXT(INDEX(상세표[블록종료],$Q1980),"yyyy-mm-dd hh:mm"),INDEX(상세표[블록종료],$Q1980)&amp;""))</f>
        <v/>
      </c>
      <c r="H1980">
        <f>IF($Q1980="","",CHOOSE(WEEKDAY(INDEX(상세표[시작],$Q1980)),"일","월","화","수","목","금","토"))</f>
        <v/>
      </c>
      <c r="I1980" s="20">
        <f>IF($Q1980="","",INDEX(상세표[연속 시간],$Q1980))</f>
        <v/>
      </c>
      <c r="J1980">
        <f>IF($Q1980="","",INDEX(상세표[기록 수],$Q1980))</f>
        <v/>
      </c>
      <c r="K1980" s="20">
        <f>IF($Q1980="","",INDEX(상세표[블록 06~07시],$Q1980))</f>
        <v/>
      </c>
      <c r="L1980" s="20">
        <f>IF($Q1980="","",INDEX(상세표[블록 07~18시],$Q1980))</f>
        <v/>
      </c>
      <c r="M1980" s="20">
        <f>IF($Q1980="","",INDEX(상세표[블록 18~22시],$Q1980))</f>
        <v/>
      </c>
      <c r="N1980" s="20">
        <f>IF($Q1980="","",INDEX(상세표[블록 22~06시],$Q1980))</f>
        <v/>
      </c>
      <c r="O1980">
        <f>IF($Q1980="","",INDEX(상세표[주말·휴일 포함],$Q1980)&amp;"")</f>
        <v/>
      </c>
      <c r="P1980">
        <f>IF($Q1980="","",INDEX(상세표[월 넘김 포함],$Q1980)&amp;"")</f>
        <v/>
      </c>
      <c r="Q1980" s="4">
        <f>IFERROR(MATCH(1975,상세표[연속순번],0),"")</f>
        <v/>
      </c>
    </row>
    <row r="1981">
      <c r="A1981">
        <f>IF($Q1981="","",INDEX(상세표[부서],$Q1981)&amp;"")</f>
        <v/>
      </c>
      <c r="B1981">
        <f>IF($Q1981="","",INDEX(상세표[사번],$Q1981)&amp;"")</f>
        <v/>
      </c>
      <c r="C1981">
        <f>IF($Q1981="","",INDEX(상세표[성명],$Q1981)&amp;"")</f>
        <v/>
      </c>
      <c r="D1981">
        <f>IF($Q1981="","",INDEX(상세표[직위],$Q1981)&amp;"")</f>
        <v/>
      </c>
      <c r="E1981">
        <f>IF($Q1981="","",IF(ISNUMBER(INDEX(상세표[근무일자],$Q1981)),TEXT(INDEX(상세표[근무일자],$Q1981),"yyyy-mm-dd"),INDEX(상세표[근무일자],$Q1981)&amp;""))</f>
        <v/>
      </c>
      <c r="F1981">
        <f>IF($Q1981="","",IF(ISNUMBER(INDEX(상세표[시작],$Q1981)),TEXT(INDEX(상세표[시작],$Q1981),"yyyy-mm-dd hh:mm"),INDEX(상세표[시작],$Q1981)&amp;""))</f>
        <v/>
      </c>
      <c r="G1981">
        <f>IF($Q1981="","",IF(ISNUMBER(INDEX(상세표[블록종료],$Q1981)),TEXT(INDEX(상세표[블록종료],$Q1981),"yyyy-mm-dd hh:mm"),INDEX(상세표[블록종료],$Q1981)&amp;""))</f>
        <v/>
      </c>
      <c r="H1981">
        <f>IF($Q1981="","",CHOOSE(WEEKDAY(INDEX(상세표[시작],$Q1981)),"일","월","화","수","목","금","토"))</f>
        <v/>
      </c>
      <c r="I1981" s="20">
        <f>IF($Q1981="","",INDEX(상세표[연속 시간],$Q1981))</f>
        <v/>
      </c>
      <c r="J1981">
        <f>IF($Q1981="","",INDEX(상세표[기록 수],$Q1981))</f>
        <v/>
      </c>
      <c r="K1981" s="20">
        <f>IF($Q1981="","",INDEX(상세표[블록 06~07시],$Q1981))</f>
        <v/>
      </c>
      <c r="L1981" s="20">
        <f>IF($Q1981="","",INDEX(상세표[블록 07~18시],$Q1981))</f>
        <v/>
      </c>
      <c r="M1981" s="20">
        <f>IF($Q1981="","",INDEX(상세표[블록 18~22시],$Q1981))</f>
        <v/>
      </c>
      <c r="N1981" s="20">
        <f>IF($Q1981="","",INDEX(상세표[블록 22~06시],$Q1981))</f>
        <v/>
      </c>
      <c r="O1981">
        <f>IF($Q1981="","",INDEX(상세표[주말·휴일 포함],$Q1981)&amp;"")</f>
        <v/>
      </c>
      <c r="P1981">
        <f>IF($Q1981="","",INDEX(상세표[월 넘김 포함],$Q1981)&amp;"")</f>
        <v/>
      </c>
      <c r="Q1981" s="4">
        <f>IFERROR(MATCH(1976,상세표[연속순번],0),"")</f>
        <v/>
      </c>
    </row>
    <row r="1982">
      <c r="A1982">
        <f>IF($Q1982="","",INDEX(상세표[부서],$Q1982)&amp;"")</f>
        <v/>
      </c>
      <c r="B1982">
        <f>IF($Q1982="","",INDEX(상세표[사번],$Q1982)&amp;"")</f>
        <v/>
      </c>
      <c r="C1982">
        <f>IF($Q1982="","",INDEX(상세표[성명],$Q1982)&amp;"")</f>
        <v/>
      </c>
      <c r="D1982">
        <f>IF($Q1982="","",INDEX(상세표[직위],$Q1982)&amp;"")</f>
        <v/>
      </c>
      <c r="E1982">
        <f>IF($Q1982="","",IF(ISNUMBER(INDEX(상세표[근무일자],$Q1982)),TEXT(INDEX(상세표[근무일자],$Q1982),"yyyy-mm-dd"),INDEX(상세표[근무일자],$Q1982)&amp;""))</f>
        <v/>
      </c>
      <c r="F1982">
        <f>IF($Q1982="","",IF(ISNUMBER(INDEX(상세표[시작],$Q1982)),TEXT(INDEX(상세표[시작],$Q1982),"yyyy-mm-dd hh:mm"),INDEX(상세표[시작],$Q1982)&amp;""))</f>
        <v/>
      </c>
      <c r="G1982">
        <f>IF($Q1982="","",IF(ISNUMBER(INDEX(상세표[블록종료],$Q1982)),TEXT(INDEX(상세표[블록종료],$Q1982),"yyyy-mm-dd hh:mm"),INDEX(상세표[블록종료],$Q1982)&amp;""))</f>
        <v/>
      </c>
      <c r="H1982">
        <f>IF($Q1982="","",CHOOSE(WEEKDAY(INDEX(상세표[시작],$Q1982)),"일","월","화","수","목","금","토"))</f>
        <v/>
      </c>
      <c r="I1982" s="20">
        <f>IF($Q1982="","",INDEX(상세표[연속 시간],$Q1982))</f>
        <v/>
      </c>
      <c r="J1982">
        <f>IF($Q1982="","",INDEX(상세표[기록 수],$Q1982))</f>
        <v/>
      </c>
      <c r="K1982" s="20">
        <f>IF($Q1982="","",INDEX(상세표[블록 06~07시],$Q1982))</f>
        <v/>
      </c>
      <c r="L1982" s="20">
        <f>IF($Q1982="","",INDEX(상세표[블록 07~18시],$Q1982))</f>
        <v/>
      </c>
      <c r="M1982" s="20">
        <f>IF($Q1982="","",INDEX(상세표[블록 18~22시],$Q1982))</f>
        <v/>
      </c>
      <c r="N1982" s="20">
        <f>IF($Q1982="","",INDEX(상세표[블록 22~06시],$Q1982))</f>
        <v/>
      </c>
      <c r="O1982">
        <f>IF($Q1982="","",INDEX(상세표[주말·휴일 포함],$Q1982)&amp;"")</f>
        <v/>
      </c>
      <c r="P1982">
        <f>IF($Q1982="","",INDEX(상세표[월 넘김 포함],$Q1982)&amp;"")</f>
        <v/>
      </c>
      <c r="Q1982" s="4">
        <f>IFERROR(MATCH(1977,상세표[연속순번],0),"")</f>
        <v/>
      </c>
    </row>
    <row r="1983">
      <c r="A1983">
        <f>IF($Q1983="","",INDEX(상세표[부서],$Q1983)&amp;"")</f>
        <v/>
      </c>
      <c r="B1983">
        <f>IF($Q1983="","",INDEX(상세표[사번],$Q1983)&amp;"")</f>
        <v/>
      </c>
      <c r="C1983">
        <f>IF($Q1983="","",INDEX(상세표[성명],$Q1983)&amp;"")</f>
        <v/>
      </c>
      <c r="D1983">
        <f>IF($Q1983="","",INDEX(상세표[직위],$Q1983)&amp;"")</f>
        <v/>
      </c>
      <c r="E1983">
        <f>IF($Q1983="","",IF(ISNUMBER(INDEX(상세표[근무일자],$Q1983)),TEXT(INDEX(상세표[근무일자],$Q1983),"yyyy-mm-dd"),INDEX(상세표[근무일자],$Q1983)&amp;""))</f>
        <v/>
      </c>
      <c r="F1983">
        <f>IF($Q1983="","",IF(ISNUMBER(INDEX(상세표[시작],$Q1983)),TEXT(INDEX(상세표[시작],$Q1983),"yyyy-mm-dd hh:mm"),INDEX(상세표[시작],$Q1983)&amp;""))</f>
        <v/>
      </c>
      <c r="G1983">
        <f>IF($Q1983="","",IF(ISNUMBER(INDEX(상세표[블록종료],$Q1983)),TEXT(INDEX(상세표[블록종료],$Q1983),"yyyy-mm-dd hh:mm"),INDEX(상세표[블록종료],$Q1983)&amp;""))</f>
        <v/>
      </c>
      <c r="H1983">
        <f>IF($Q1983="","",CHOOSE(WEEKDAY(INDEX(상세표[시작],$Q1983)),"일","월","화","수","목","금","토"))</f>
        <v/>
      </c>
      <c r="I1983" s="20">
        <f>IF($Q1983="","",INDEX(상세표[연속 시간],$Q1983))</f>
        <v/>
      </c>
      <c r="J1983">
        <f>IF($Q1983="","",INDEX(상세표[기록 수],$Q1983))</f>
        <v/>
      </c>
      <c r="K1983" s="20">
        <f>IF($Q1983="","",INDEX(상세표[블록 06~07시],$Q1983))</f>
        <v/>
      </c>
      <c r="L1983" s="20">
        <f>IF($Q1983="","",INDEX(상세표[블록 07~18시],$Q1983))</f>
        <v/>
      </c>
      <c r="M1983" s="20">
        <f>IF($Q1983="","",INDEX(상세표[블록 18~22시],$Q1983))</f>
        <v/>
      </c>
      <c r="N1983" s="20">
        <f>IF($Q1983="","",INDEX(상세표[블록 22~06시],$Q1983))</f>
        <v/>
      </c>
      <c r="O1983">
        <f>IF($Q1983="","",INDEX(상세표[주말·휴일 포함],$Q1983)&amp;"")</f>
        <v/>
      </c>
      <c r="P1983">
        <f>IF($Q1983="","",INDEX(상세표[월 넘김 포함],$Q1983)&amp;"")</f>
        <v/>
      </c>
      <c r="Q1983" s="4">
        <f>IFERROR(MATCH(1978,상세표[연속순번],0),"")</f>
        <v/>
      </c>
    </row>
    <row r="1984">
      <c r="A1984">
        <f>IF($Q1984="","",INDEX(상세표[부서],$Q1984)&amp;"")</f>
        <v/>
      </c>
      <c r="B1984">
        <f>IF($Q1984="","",INDEX(상세표[사번],$Q1984)&amp;"")</f>
        <v/>
      </c>
      <c r="C1984">
        <f>IF($Q1984="","",INDEX(상세표[성명],$Q1984)&amp;"")</f>
        <v/>
      </c>
      <c r="D1984">
        <f>IF($Q1984="","",INDEX(상세표[직위],$Q1984)&amp;"")</f>
        <v/>
      </c>
      <c r="E1984">
        <f>IF($Q1984="","",IF(ISNUMBER(INDEX(상세표[근무일자],$Q1984)),TEXT(INDEX(상세표[근무일자],$Q1984),"yyyy-mm-dd"),INDEX(상세표[근무일자],$Q1984)&amp;""))</f>
        <v/>
      </c>
      <c r="F1984">
        <f>IF($Q1984="","",IF(ISNUMBER(INDEX(상세표[시작],$Q1984)),TEXT(INDEX(상세표[시작],$Q1984),"yyyy-mm-dd hh:mm"),INDEX(상세표[시작],$Q1984)&amp;""))</f>
        <v/>
      </c>
      <c r="G1984">
        <f>IF($Q1984="","",IF(ISNUMBER(INDEX(상세표[블록종료],$Q1984)),TEXT(INDEX(상세표[블록종료],$Q1984),"yyyy-mm-dd hh:mm"),INDEX(상세표[블록종료],$Q1984)&amp;""))</f>
        <v/>
      </c>
      <c r="H1984">
        <f>IF($Q1984="","",CHOOSE(WEEKDAY(INDEX(상세표[시작],$Q1984)),"일","월","화","수","목","금","토"))</f>
        <v/>
      </c>
      <c r="I1984" s="20">
        <f>IF($Q1984="","",INDEX(상세표[연속 시간],$Q1984))</f>
        <v/>
      </c>
      <c r="J1984">
        <f>IF($Q1984="","",INDEX(상세표[기록 수],$Q1984))</f>
        <v/>
      </c>
      <c r="K1984" s="20">
        <f>IF($Q1984="","",INDEX(상세표[블록 06~07시],$Q1984))</f>
        <v/>
      </c>
      <c r="L1984" s="20">
        <f>IF($Q1984="","",INDEX(상세표[블록 07~18시],$Q1984))</f>
        <v/>
      </c>
      <c r="M1984" s="20">
        <f>IF($Q1984="","",INDEX(상세표[블록 18~22시],$Q1984))</f>
        <v/>
      </c>
      <c r="N1984" s="20">
        <f>IF($Q1984="","",INDEX(상세표[블록 22~06시],$Q1984))</f>
        <v/>
      </c>
      <c r="O1984">
        <f>IF($Q1984="","",INDEX(상세표[주말·휴일 포함],$Q1984)&amp;"")</f>
        <v/>
      </c>
      <c r="P1984">
        <f>IF($Q1984="","",INDEX(상세표[월 넘김 포함],$Q1984)&amp;"")</f>
        <v/>
      </c>
      <c r="Q1984" s="4">
        <f>IFERROR(MATCH(1979,상세표[연속순번],0),"")</f>
        <v/>
      </c>
    </row>
    <row r="1985">
      <c r="A1985">
        <f>IF($Q1985="","",INDEX(상세표[부서],$Q1985)&amp;"")</f>
        <v/>
      </c>
      <c r="B1985">
        <f>IF($Q1985="","",INDEX(상세표[사번],$Q1985)&amp;"")</f>
        <v/>
      </c>
      <c r="C1985">
        <f>IF($Q1985="","",INDEX(상세표[성명],$Q1985)&amp;"")</f>
        <v/>
      </c>
      <c r="D1985">
        <f>IF($Q1985="","",INDEX(상세표[직위],$Q1985)&amp;"")</f>
        <v/>
      </c>
      <c r="E1985">
        <f>IF($Q1985="","",IF(ISNUMBER(INDEX(상세표[근무일자],$Q1985)),TEXT(INDEX(상세표[근무일자],$Q1985),"yyyy-mm-dd"),INDEX(상세표[근무일자],$Q1985)&amp;""))</f>
        <v/>
      </c>
      <c r="F1985">
        <f>IF($Q1985="","",IF(ISNUMBER(INDEX(상세표[시작],$Q1985)),TEXT(INDEX(상세표[시작],$Q1985),"yyyy-mm-dd hh:mm"),INDEX(상세표[시작],$Q1985)&amp;""))</f>
        <v/>
      </c>
      <c r="G1985">
        <f>IF($Q1985="","",IF(ISNUMBER(INDEX(상세표[블록종료],$Q1985)),TEXT(INDEX(상세표[블록종료],$Q1985),"yyyy-mm-dd hh:mm"),INDEX(상세표[블록종료],$Q1985)&amp;""))</f>
        <v/>
      </c>
      <c r="H1985">
        <f>IF($Q1985="","",CHOOSE(WEEKDAY(INDEX(상세표[시작],$Q1985)),"일","월","화","수","목","금","토"))</f>
        <v/>
      </c>
      <c r="I1985" s="20">
        <f>IF($Q1985="","",INDEX(상세표[연속 시간],$Q1985))</f>
        <v/>
      </c>
      <c r="J1985">
        <f>IF($Q1985="","",INDEX(상세표[기록 수],$Q1985))</f>
        <v/>
      </c>
      <c r="K1985" s="20">
        <f>IF($Q1985="","",INDEX(상세표[블록 06~07시],$Q1985))</f>
        <v/>
      </c>
      <c r="L1985" s="20">
        <f>IF($Q1985="","",INDEX(상세표[블록 07~18시],$Q1985))</f>
        <v/>
      </c>
      <c r="M1985" s="20">
        <f>IF($Q1985="","",INDEX(상세표[블록 18~22시],$Q1985))</f>
        <v/>
      </c>
      <c r="N1985" s="20">
        <f>IF($Q1985="","",INDEX(상세표[블록 22~06시],$Q1985))</f>
        <v/>
      </c>
      <c r="O1985">
        <f>IF($Q1985="","",INDEX(상세표[주말·휴일 포함],$Q1985)&amp;"")</f>
        <v/>
      </c>
      <c r="P1985">
        <f>IF($Q1985="","",INDEX(상세표[월 넘김 포함],$Q1985)&amp;"")</f>
        <v/>
      </c>
      <c r="Q1985" s="4">
        <f>IFERROR(MATCH(1980,상세표[연속순번],0),"")</f>
        <v/>
      </c>
    </row>
    <row r="1986">
      <c r="A1986">
        <f>IF($Q1986="","",INDEX(상세표[부서],$Q1986)&amp;"")</f>
        <v/>
      </c>
      <c r="B1986">
        <f>IF($Q1986="","",INDEX(상세표[사번],$Q1986)&amp;"")</f>
        <v/>
      </c>
      <c r="C1986">
        <f>IF($Q1986="","",INDEX(상세표[성명],$Q1986)&amp;"")</f>
        <v/>
      </c>
      <c r="D1986">
        <f>IF($Q1986="","",INDEX(상세표[직위],$Q1986)&amp;"")</f>
        <v/>
      </c>
      <c r="E1986">
        <f>IF($Q1986="","",IF(ISNUMBER(INDEX(상세표[근무일자],$Q1986)),TEXT(INDEX(상세표[근무일자],$Q1986),"yyyy-mm-dd"),INDEX(상세표[근무일자],$Q1986)&amp;""))</f>
        <v/>
      </c>
      <c r="F1986">
        <f>IF($Q1986="","",IF(ISNUMBER(INDEX(상세표[시작],$Q1986)),TEXT(INDEX(상세표[시작],$Q1986),"yyyy-mm-dd hh:mm"),INDEX(상세표[시작],$Q1986)&amp;""))</f>
        <v/>
      </c>
      <c r="G1986">
        <f>IF($Q1986="","",IF(ISNUMBER(INDEX(상세표[블록종료],$Q1986)),TEXT(INDEX(상세표[블록종료],$Q1986),"yyyy-mm-dd hh:mm"),INDEX(상세표[블록종료],$Q1986)&amp;""))</f>
        <v/>
      </c>
      <c r="H1986">
        <f>IF($Q1986="","",CHOOSE(WEEKDAY(INDEX(상세표[시작],$Q1986)),"일","월","화","수","목","금","토"))</f>
        <v/>
      </c>
      <c r="I1986" s="20">
        <f>IF($Q1986="","",INDEX(상세표[연속 시간],$Q1986))</f>
        <v/>
      </c>
      <c r="J1986">
        <f>IF($Q1986="","",INDEX(상세표[기록 수],$Q1986))</f>
        <v/>
      </c>
      <c r="K1986" s="20">
        <f>IF($Q1986="","",INDEX(상세표[블록 06~07시],$Q1986))</f>
        <v/>
      </c>
      <c r="L1986" s="20">
        <f>IF($Q1986="","",INDEX(상세표[블록 07~18시],$Q1986))</f>
        <v/>
      </c>
      <c r="M1986" s="20">
        <f>IF($Q1986="","",INDEX(상세표[블록 18~22시],$Q1986))</f>
        <v/>
      </c>
      <c r="N1986" s="20">
        <f>IF($Q1986="","",INDEX(상세표[블록 22~06시],$Q1986))</f>
        <v/>
      </c>
      <c r="O1986">
        <f>IF($Q1986="","",INDEX(상세표[주말·휴일 포함],$Q1986)&amp;"")</f>
        <v/>
      </c>
      <c r="P1986">
        <f>IF($Q1986="","",INDEX(상세표[월 넘김 포함],$Q1986)&amp;"")</f>
        <v/>
      </c>
      <c r="Q1986" s="4">
        <f>IFERROR(MATCH(1981,상세표[연속순번],0),"")</f>
        <v/>
      </c>
    </row>
    <row r="1987">
      <c r="A1987">
        <f>IF($Q1987="","",INDEX(상세표[부서],$Q1987)&amp;"")</f>
        <v/>
      </c>
      <c r="B1987">
        <f>IF($Q1987="","",INDEX(상세표[사번],$Q1987)&amp;"")</f>
        <v/>
      </c>
      <c r="C1987">
        <f>IF($Q1987="","",INDEX(상세표[성명],$Q1987)&amp;"")</f>
        <v/>
      </c>
      <c r="D1987">
        <f>IF($Q1987="","",INDEX(상세표[직위],$Q1987)&amp;"")</f>
        <v/>
      </c>
      <c r="E1987">
        <f>IF($Q1987="","",IF(ISNUMBER(INDEX(상세표[근무일자],$Q1987)),TEXT(INDEX(상세표[근무일자],$Q1987),"yyyy-mm-dd"),INDEX(상세표[근무일자],$Q1987)&amp;""))</f>
        <v/>
      </c>
      <c r="F1987">
        <f>IF($Q1987="","",IF(ISNUMBER(INDEX(상세표[시작],$Q1987)),TEXT(INDEX(상세표[시작],$Q1987),"yyyy-mm-dd hh:mm"),INDEX(상세표[시작],$Q1987)&amp;""))</f>
        <v/>
      </c>
      <c r="G1987">
        <f>IF($Q1987="","",IF(ISNUMBER(INDEX(상세표[블록종료],$Q1987)),TEXT(INDEX(상세표[블록종료],$Q1987),"yyyy-mm-dd hh:mm"),INDEX(상세표[블록종료],$Q1987)&amp;""))</f>
        <v/>
      </c>
      <c r="H1987">
        <f>IF($Q1987="","",CHOOSE(WEEKDAY(INDEX(상세표[시작],$Q1987)),"일","월","화","수","목","금","토"))</f>
        <v/>
      </c>
      <c r="I1987" s="20">
        <f>IF($Q1987="","",INDEX(상세표[연속 시간],$Q1987))</f>
        <v/>
      </c>
      <c r="J1987">
        <f>IF($Q1987="","",INDEX(상세표[기록 수],$Q1987))</f>
        <v/>
      </c>
      <c r="K1987" s="20">
        <f>IF($Q1987="","",INDEX(상세표[블록 06~07시],$Q1987))</f>
        <v/>
      </c>
      <c r="L1987" s="20">
        <f>IF($Q1987="","",INDEX(상세표[블록 07~18시],$Q1987))</f>
        <v/>
      </c>
      <c r="M1987" s="20">
        <f>IF($Q1987="","",INDEX(상세표[블록 18~22시],$Q1987))</f>
        <v/>
      </c>
      <c r="N1987" s="20">
        <f>IF($Q1987="","",INDEX(상세표[블록 22~06시],$Q1987))</f>
        <v/>
      </c>
      <c r="O1987">
        <f>IF($Q1987="","",INDEX(상세표[주말·휴일 포함],$Q1987)&amp;"")</f>
        <v/>
      </c>
      <c r="P1987">
        <f>IF($Q1987="","",INDEX(상세표[월 넘김 포함],$Q1987)&amp;"")</f>
        <v/>
      </c>
      <c r="Q1987" s="4">
        <f>IFERROR(MATCH(1982,상세표[연속순번],0),"")</f>
        <v/>
      </c>
    </row>
    <row r="1988">
      <c r="A1988">
        <f>IF($Q1988="","",INDEX(상세표[부서],$Q1988)&amp;"")</f>
        <v/>
      </c>
      <c r="B1988">
        <f>IF($Q1988="","",INDEX(상세표[사번],$Q1988)&amp;"")</f>
        <v/>
      </c>
      <c r="C1988">
        <f>IF($Q1988="","",INDEX(상세표[성명],$Q1988)&amp;"")</f>
        <v/>
      </c>
      <c r="D1988">
        <f>IF($Q1988="","",INDEX(상세표[직위],$Q1988)&amp;"")</f>
        <v/>
      </c>
      <c r="E1988">
        <f>IF($Q1988="","",IF(ISNUMBER(INDEX(상세표[근무일자],$Q1988)),TEXT(INDEX(상세표[근무일자],$Q1988),"yyyy-mm-dd"),INDEX(상세표[근무일자],$Q1988)&amp;""))</f>
        <v/>
      </c>
      <c r="F1988">
        <f>IF($Q1988="","",IF(ISNUMBER(INDEX(상세표[시작],$Q1988)),TEXT(INDEX(상세표[시작],$Q1988),"yyyy-mm-dd hh:mm"),INDEX(상세표[시작],$Q1988)&amp;""))</f>
        <v/>
      </c>
      <c r="G1988">
        <f>IF($Q1988="","",IF(ISNUMBER(INDEX(상세표[블록종료],$Q1988)),TEXT(INDEX(상세표[블록종료],$Q1988),"yyyy-mm-dd hh:mm"),INDEX(상세표[블록종료],$Q1988)&amp;""))</f>
        <v/>
      </c>
      <c r="H1988">
        <f>IF($Q1988="","",CHOOSE(WEEKDAY(INDEX(상세표[시작],$Q1988)),"일","월","화","수","목","금","토"))</f>
        <v/>
      </c>
      <c r="I1988" s="20">
        <f>IF($Q1988="","",INDEX(상세표[연속 시간],$Q1988))</f>
        <v/>
      </c>
      <c r="J1988">
        <f>IF($Q1988="","",INDEX(상세표[기록 수],$Q1988))</f>
        <v/>
      </c>
      <c r="K1988" s="20">
        <f>IF($Q1988="","",INDEX(상세표[블록 06~07시],$Q1988))</f>
        <v/>
      </c>
      <c r="L1988" s="20">
        <f>IF($Q1988="","",INDEX(상세표[블록 07~18시],$Q1988))</f>
        <v/>
      </c>
      <c r="M1988" s="20">
        <f>IF($Q1988="","",INDEX(상세표[블록 18~22시],$Q1988))</f>
        <v/>
      </c>
      <c r="N1988" s="20">
        <f>IF($Q1988="","",INDEX(상세표[블록 22~06시],$Q1988))</f>
        <v/>
      </c>
      <c r="O1988">
        <f>IF($Q1988="","",INDEX(상세표[주말·휴일 포함],$Q1988)&amp;"")</f>
        <v/>
      </c>
      <c r="P1988">
        <f>IF($Q1988="","",INDEX(상세표[월 넘김 포함],$Q1988)&amp;"")</f>
        <v/>
      </c>
      <c r="Q1988" s="4">
        <f>IFERROR(MATCH(1983,상세표[연속순번],0),"")</f>
        <v/>
      </c>
    </row>
    <row r="1989">
      <c r="A1989">
        <f>IF($Q1989="","",INDEX(상세표[부서],$Q1989)&amp;"")</f>
        <v/>
      </c>
      <c r="B1989">
        <f>IF($Q1989="","",INDEX(상세표[사번],$Q1989)&amp;"")</f>
        <v/>
      </c>
      <c r="C1989">
        <f>IF($Q1989="","",INDEX(상세표[성명],$Q1989)&amp;"")</f>
        <v/>
      </c>
      <c r="D1989">
        <f>IF($Q1989="","",INDEX(상세표[직위],$Q1989)&amp;"")</f>
        <v/>
      </c>
      <c r="E1989">
        <f>IF($Q1989="","",IF(ISNUMBER(INDEX(상세표[근무일자],$Q1989)),TEXT(INDEX(상세표[근무일자],$Q1989),"yyyy-mm-dd"),INDEX(상세표[근무일자],$Q1989)&amp;""))</f>
        <v/>
      </c>
      <c r="F1989">
        <f>IF($Q1989="","",IF(ISNUMBER(INDEX(상세표[시작],$Q1989)),TEXT(INDEX(상세표[시작],$Q1989),"yyyy-mm-dd hh:mm"),INDEX(상세표[시작],$Q1989)&amp;""))</f>
        <v/>
      </c>
      <c r="G1989">
        <f>IF($Q1989="","",IF(ISNUMBER(INDEX(상세표[블록종료],$Q1989)),TEXT(INDEX(상세표[블록종료],$Q1989),"yyyy-mm-dd hh:mm"),INDEX(상세표[블록종료],$Q1989)&amp;""))</f>
        <v/>
      </c>
      <c r="H1989">
        <f>IF($Q1989="","",CHOOSE(WEEKDAY(INDEX(상세표[시작],$Q1989)),"일","월","화","수","목","금","토"))</f>
        <v/>
      </c>
      <c r="I1989" s="20">
        <f>IF($Q1989="","",INDEX(상세표[연속 시간],$Q1989))</f>
        <v/>
      </c>
      <c r="J1989">
        <f>IF($Q1989="","",INDEX(상세표[기록 수],$Q1989))</f>
        <v/>
      </c>
      <c r="K1989" s="20">
        <f>IF($Q1989="","",INDEX(상세표[블록 06~07시],$Q1989))</f>
        <v/>
      </c>
      <c r="L1989" s="20">
        <f>IF($Q1989="","",INDEX(상세표[블록 07~18시],$Q1989))</f>
        <v/>
      </c>
      <c r="M1989" s="20">
        <f>IF($Q1989="","",INDEX(상세표[블록 18~22시],$Q1989))</f>
        <v/>
      </c>
      <c r="N1989" s="20">
        <f>IF($Q1989="","",INDEX(상세표[블록 22~06시],$Q1989))</f>
        <v/>
      </c>
      <c r="O1989">
        <f>IF($Q1989="","",INDEX(상세표[주말·휴일 포함],$Q1989)&amp;"")</f>
        <v/>
      </c>
      <c r="P1989">
        <f>IF($Q1989="","",INDEX(상세표[월 넘김 포함],$Q1989)&amp;"")</f>
        <v/>
      </c>
      <c r="Q1989" s="4">
        <f>IFERROR(MATCH(1984,상세표[연속순번],0),"")</f>
        <v/>
      </c>
    </row>
    <row r="1990">
      <c r="A1990">
        <f>IF($Q1990="","",INDEX(상세표[부서],$Q1990)&amp;"")</f>
        <v/>
      </c>
      <c r="B1990">
        <f>IF($Q1990="","",INDEX(상세표[사번],$Q1990)&amp;"")</f>
        <v/>
      </c>
      <c r="C1990">
        <f>IF($Q1990="","",INDEX(상세표[성명],$Q1990)&amp;"")</f>
        <v/>
      </c>
      <c r="D1990">
        <f>IF($Q1990="","",INDEX(상세표[직위],$Q1990)&amp;"")</f>
        <v/>
      </c>
      <c r="E1990">
        <f>IF($Q1990="","",IF(ISNUMBER(INDEX(상세표[근무일자],$Q1990)),TEXT(INDEX(상세표[근무일자],$Q1990),"yyyy-mm-dd"),INDEX(상세표[근무일자],$Q1990)&amp;""))</f>
        <v/>
      </c>
      <c r="F1990">
        <f>IF($Q1990="","",IF(ISNUMBER(INDEX(상세표[시작],$Q1990)),TEXT(INDEX(상세표[시작],$Q1990),"yyyy-mm-dd hh:mm"),INDEX(상세표[시작],$Q1990)&amp;""))</f>
        <v/>
      </c>
      <c r="G1990">
        <f>IF($Q1990="","",IF(ISNUMBER(INDEX(상세표[블록종료],$Q1990)),TEXT(INDEX(상세표[블록종료],$Q1990),"yyyy-mm-dd hh:mm"),INDEX(상세표[블록종료],$Q1990)&amp;""))</f>
        <v/>
      </c>
      <c r="H1990">
        <f>IF($Q1990="","",CHOOSE(WEEKDAY(INDEX(상세표[시작],$Q1990)),"일","월","화","수","목","금","토"))</f>
        <v/>
      </c>
      <c r="I1990" s="20">
        <f>IF($Q1990="","",INDEX(상세표[연속 시간],$Q1990))</f>
        <v/>
      </c>
      <c r="J1990">
        <f>IF($Q1990="","",INDEX(상세표[기록 수],$Q1990))</f>
        <v/>
      </c>
      <c r="K1990" s="20">
        <f>IF($Q1990="","",INDEX(상세표[블록 06~07시],$Q1990))</f>
        <v/>
      </c>
      <c r="L1990" s="20">
        <f>IF($Q1990="","",INDEX(상세표[블록 07~18시],$Q1990))</f>
        <v/>
      </c>
      <c r="M1990" s="20">
        <f>IF($Q1990="","",INDEX(상세표[블록 18~22시],$Q1990))</f>
        <v/>
      </c>
      <c r="N1990" s="20">
        <f>IF($Q1990="","",INDEX(상세표[블록 22~06시],$Q1990))</f>
        <v/>
      </c>
      <c r="O1990">
        <f>IF($Q1990="","",INDEX(상세표[주말·휴일 포함],$Q1990)&amp;"")</f>
        <v/>
      </c>
      <c r="P1990">
        <f>IF($Q1990="","",INDEX(상세표[월 넘김 포함],$Q1990)&amp;"")</f>
        <v/>
      </c>
      <c r="Q1990" s="4">
        <f>IFERROR(MATCH(1985,상세표[연속순번],0),"")</f>
        <v/>
      </c>
    </row>
    <row r="1991">
      <c r="A1991">
        <f>IF($Q1991="","",INDEX(상세표[부서],$Q1991)&amp;"")</f>
        <v/>
      </c>
      <c r="B1991">
        <f>IF($Q1991="","",INDEX(상세표[사번],$Q1991)&amp;"")</f>
        <v/>
      </c>
      <c r="C1991">
        <f>IF($Q1991="","",INDEX(상세표[성명],$Q1991)&amp;"")</f>
        <v/>
      </c>
      <c r="D1991">
        <f>IF($Q1991="","",INDEX(상세표[직위],$Q1991)&amp;"")</f>
        <v/>
      </c>
      <c r="E1991">
        <f>IF($Q1991="","",IF(ISNUMBER(INDEX(상세표[근무일자],$Q1991)),TEXT(INDEX(상세표[근무일자],$Q1991),"yyyy-mm-dd"),INDEX(상세표[근무일자],$Q1991)&amp;""))</f>
        <v/>
      </c>
      <c r="F1991">
        <f>IF($Q1991="","",IF(ISNUMBER(INDEX(상세표[시작],$Q1991)),TEXT(INDEX(상세표[시작],$Q1991),"yyyy-mm-dd hh:mm"),INDEX(상세표[시작],$Q1991)&amp;""))</f>
        <v/>
      </c>
      <c r="G1991">
        <f>IF($Q1991="","",IF(ISNUMBER(INDEX(상세표[블록종료],$Q1991)),TEXT(INDEX(상세표[블록종료],$Q1991),"yyyy-mm-dd hh:mm"),INDEX(상세표[블록종료],$Q1991)&amp;""))</f>
        <v/>
      </c>
      <c r="H1991">
        <f>IF($Q1991="","",CHOOSE(WEEKDAY(INDEX(상세표[시작],$Q1991)),"일","월","화","수","목","금","토"))</f>
        <v/>
      </c>
      <c r="I1991" s="20">
        <f>IF($Q1991="","",INDEX(상세표[연속 시간],$Q1991))</f>
        <v/>
      </c>
      <c r="J1991">
        <f>IF($Q1991="","",INDEX(상세표[기록 수],$Q1991))</f>
        <v/>
      </c>
      <c r="K1991" s="20">
        <f>IF($Q1991="","",INDEX(상세표[블록 06~07시],$Q1991))</f>
        <v/>
      </c>
      <c r="L1991" s="20">
        <f>IF($Q1991="","",INDEX(상세표[블록 07~18시],$Q1991))</f>
        <v/>
      </c>
      <c r="M1991" s="20">
        <f>IF($Q1991="","",INDEX(상세표[블록 18~22시],$Q1991))</f>
        <v/>
      </c>
      <c r="N1991" s="20">
        <f>IF($Q1991="","",INDEX(상세표[블록 22~06시],$Q1991))</f>
        <v/>
      </c>
      <c r="O1991">
        <f>IF($Q1991="","",INDEX(상세표[주말·휴일 포함],$Q1991)&amp;"")</f>
        <v/>
      </c>
      <c r="P1991">
        <f>IF($Q1991="","",INDEX(상세표[월 넘김 포함],$Q1991)&amp;"")</f>
        <v/>
      </c>
      <c r="Q1991" s="4">
        <f>IFERROR(MATCH(1986,상세표[연속순번],0),"")</f>
        <v/>
      </c>
    </row>
    <row r="1992">
      <c r="A1992">
        <f>IF($Q1992="","",INDEX(상세표[부서],$Q1992)&amp;"")</f>
        <v/>
      </c>
      <c r="B1992">
        <f>IF($Q1992="","",INDEX(상세표[사번],$Q1992)&amp;"")</f>
        <v/>
      </c>
      <c r="C1992">
        <f>IF($Q1992="","",INDEX(상세표[성명],$Q1992)&amp;"")</f>
        <v/>
      </c>
      <c r="D1992">
        <f>IF($Q1992="","",INDEX(상세표[직위],$Q1992)&amp;"")</f>
        <v/>
      </c>
      <c r="E1992">
        <f>IF($Q1992="","",IF(ISNUMBER(INDEX(상세표[근무일자],$Q1992)),TEXT(INDEX(상세표[근무일자],$Q1992),"yyyy-mm-dd"),INDEX(상세표[근무일자],$Q1992)&amp;""))</f>
        <v/>
      </c>
      <c r="F1992">
        <f>IF($Q1992="","",IF(ISNUMBER(INDEX(상세표[시작],$Q1992)),TEXT(INDEX(상세표[시작],$Q1992),"yyyy-mm-dd hh:mm"),INDEX(상세표[시작],$Q1992)&amp;""))</f>
        <v/>
      </c>
      <c r="G1992">
        <f>IF($Q1992="","",IF(ISNUMBER(INDEX(상세표[블록종료],$Q1992)),TEXT(INDEX(상세표[블록종료],$Q1992),"yyyy-mm-dd hh:mm"),INDEX(상세표[블록종료],$Q1992)&amp;""))</f>
        <v/>
      </c>
      <c r="H1992">
        <f>IF($Q1992="","",CHOOSE(WEEKDAY(INDEX(상세표[시작],$Q1992)),"일","월","화","수","목","금","토"))</f>
        <v/>
      </c>
      <c r="I1992" s="20">
        <f>IF($Q1992="","",INDEX(상세표[연속 시간],$Q1992))</f>
        <v/>
      </c>
      <c r="J1992">
        <f>IF($Q1992="","",INDEX(상세표[기록 수],$Q1992))</f>
        <v/>
      </c>
      <c r="K1992" s="20">
        <f>IF($Q1992="","",INDEX(상세표[블록 06~07시],$Q1992))</f>
        <v/>
      </c>
      <c r="L1992" s="20">
        <f>IF($Q1992="","",INDEX(상세표[블록 07~18시],$Q1992))</f>
        <v/>
      </c>
      <c r="M1992" s="20">
        <f>IF($Q1992="","",INDEX(상세표[블록 18~22시],$Q1992))</f>
        <v/>
      </c>
      <c r="N1992" s="20">
        <f>IF($Q1992="","",INDEX(상세표[블록 22~06시],$Q1992))</f>
        <v/>
      </c>
      <c r="O1992">
        <f>IF($Q1992="","",INDEX(상세표[주말·휴일 포함],$Q1992)&amp;"")</f>
        <v/>
      </c>
      <c r="P1992">
        <f>IF($Q1992="","",INDEX(상세표[월 넘김 포함],$Q1992)&amp;"")</f>
        <v/>
      </c>
      <c r="Q1992" s="4">
        <f>IFERROR(MATCH(1987,상세표[연속순번],0),"")</f>
        <v/>
      </c>
    </row>
    <row r="1993">
      <c r="A1993">
        <f>IF($Q1993="","",INDEX(상세표[부서],$Q1993)&amp;"")</f>
        <v/>
      </c>
      <c r="B1993">
        <f>IF($Q1993="","",INDEX(상세표[사번],$Q1993)&amp;"")</f>
        <v/>
      </c>
      <c r="C1993">
        <f>IF($Q1993="","",INDEX(상세표[성명],$Q1993)&amp;"")</f>
        <v/>
      </c>
      <c r="D1993">
        <f>IF($Q1993="","",INDEX(상세표[직위],$Q1993)&amp;"")</f>
        <v/>
      </c>
      <c r="E1993">
        <f>IF($Q1993="","",IF(ISNUMBER(INDEX(상세표[근무일자],$Q1993)),TEXT(INDEX(상세표[근무일자],$Q1993),"yyyy-mm-dd"),INDEX(상세표[근무일자],$Q1993)&amp;""))</f>
        <v/>
      </c>
      <c r="F1993">
        <f>IF($Q1993="","",IF(ISNUMBER(INDEX(상세표[시작],$Q1993)),TEXT(INDEX(상세표[시작],$Q1993),"yyyy-mm-dd hh:mm"),INDEX(상세표[시작],$Q1993)&amp;""))</f>
        <v/>
      </c>
      <c r="G1993">
        <f>IF($Q1993="","",IF(ISNUMBER(INDEX(상세표[블록종료],$Q1993)),TEXT(INDEX(상세표[블록종료],$Q1993),"yyyy-mm-dd hh:mm"),INDEX(상세표[블록종료],$Q1993)&amp;""))</f>
        <v/>
      </c>
      <c r="H1993">
        <f>IF($Q1993="","",CHOOSE(WEEKDAY(INDEX(상세표[시작],$Q1993)),"일","월","화","수","목","금","토"))</f>
        <v/>
      </c>
      <c r="I1993" s="20">
        <f>IF($Q1993="","",INDEX(상세표[연속 시간],$Q1993))</f>
        <v/>
      </c>
      <c r="J1993">
        <f>IF($Q1993="","",INDEX(상세표[기록 수],$Q1993))</f>
        <v/>
      </c>
      <c r="K1993" s="20">
        <f>IF($Q1993="","",INDEX(상세표[블록 06~07시],$Q1993))</f>
        <v/>
      </c>
      <c r="L1993" s="20">
        <f>IF($Q1993="","",INDEX(상세표[블록 07~18시],$Q1993))</f>
        <v/>
      </c>
      <c r="M1993" s="20">
        <f>IF($Q1993="","",INDEX(상세표[블록 18~22시],$Q1993))</f>
        <v/>
      </c>
      <c r="N1993" s="20">
        <f>IF($Q1993="","",INDEX(상세표[블록 22~06시],$Q1993))</f>
        <v/>
      </c>
      <c r="O1993">
        <f>IF($Q1993="","",INDEX(상세표[주말·휴일 포함],$Q1993)&amp;"")</f>
        <v/>
      </c>
      <c r="P1993">
        <f>IF($Q1993="","",INDEX(상세표[월 넘김 포함],$Q1993)&amp;"")</f>
        <v/>
      </c>
      <c r="Q1993" s="4">
        <f>IFERROR(MATCH(1988,상세표[연속순번],0),"")</f>
        <v/>
      </c>
    </row>
    <row r="1994">
      <c r="A1994">
        <f>IF($Q1994="","",INDEX(상세표[부서],$Q1994)&amp;"")</f>
        <v/>
      </c>
      <c r="B1994">
        <f>IF($Q1994="","",INDEX(상세표[사번],$Q1994)&amp;"")</f>
        <v/>
      </c>
      <c r="C1994">
        <f>IF($Q1994="","",INDEX(상세표[성명],$Q1994)&amp;"")</f>
        <v/>
      </c>
      <c r="D1994">
        <f>IF($Q1994="","",INDEX(상세표[직위],$Q1994)&amp;"")</f>
        <v/>
      </c>
      <c r="E1994">
        <f>IF($Q1994="","",IF(ISNUMBER(INDEX(상세표[근무일자],$Q1994)),TEXT(INDEX(상세표[근무일자],$Q1994),"yyyy-mm-dd"),INDEX(상세표[근무일자],$Q1994)&amp;""))</f>
        <v/>
      </c>
      <c r="F1994">
        <f>IF($Q1994="","",IF(ISNUMBER(INDEX(상세표[시작],$Q1994)),TEXT(INDEX(상세표[시작],$Q1994),"yyyy-mm-dd hh:mm"),INDEX(상세표[시작],$Q1994)&amp;""))</f>
        <v/>
      </c>
      <c r="G1994">
        <f>IF($Q1994="","",IF(ISNUMBER(INDEX(상세표[블록종료],$Q1994)),TEXT(INDEX(상세표[블록종료],$Q1994),"yyyy-mm-dd hh:mm"),INDEX(상세표[블록종료],$Q1994)&amp;""))</f>
        <v/>
      </c>
      <c r="H1994">
        <f>IF($Q1994="","",CHOOSE(WEEKDAY(INDEX(상세표[시작],$Q1994)),"일","월","화","수","목","금","토"))</f>
        <v/>
      </c>
      <c r="I1994" s="20">
        <f>IF($Q1994="","",INDEX(상세표[연속 시간],$Q1994))</f>
        <v/>
      </c>
      <c r="J1994">
        <f>IF($Q1994="","",INDEX(상세표[기록 수],$Q1994))</f>
        <v/>
      </c>
      <c r="K1994" s="20">
        <f>IF($Q1994="","",INDEX(상세표[블록 06~07시],$Q1994))</f>
        <v/>
      </c>
      <c r="L1994" s="20">
        <f>IF($Q1994="","",INDEX(상세표[블록 07~18시],$Q1994))</f>
        <v/>
      </c>
      <c r="M1994" s="20">
        <f>IF($Q1994="","",INDEX(상세표[블록 18~22시],$Q1994))</f>
        <v/>
      </c>
      <c r="N1994" s="20">
        <f>IF($Q1994="","",INDEX(상세표[블록 22~06시],$Q1994))</f>
        <v/>
      </c>
      <c r="O1994">
        <f>IF($Q1994="","",INDEX(상세표[주말·휴일 포함],$Q1994)&amp;"")</f>
        <v/>
      </c>
      <c r="P1994">
        <f>IF($Q1994="","",INDEX(상세표[월 넘김 포함],$Q1994)&amp;"")</f>
        <v/>
      </c>
      <c r="Q1994" s="4">
        <f>IFERROR(MATCH(1989,상세표[연속순번],0),"")</f>
        <v/>
      </c>
    </row>
    <row r="1995">
      <c r="A1995">
        <f>IF($Q1995="","",INDEX(상세표[부서],$Q1995)&amp;"")</f>
        <v/>
      </c>
      <c r="B1995">
        <f>IF($Q1995="","",INDEX(상세표[사번],$Q1995)&amp;"")</f>
        <v/>
      </c>
      <c r="C1995">
        <f>IF($Q1995="","",INDEX(상세표[성명],$Q1995)&amp;"")</f>
        <v/>
      </c>
      <c r="D1995">
        <f>IF($Q1995="","",INDEX(상세표[직위],$Q1995)&amp;"")</f>
        <v/>
      </c>
      <c r="E1995">
        <f>IF($Q1995="","",IF(ISNUMBER(INDEX(상세표[근무일자],$Q1995)),TEXT(INDEX(상세표[근무일자],$Q1995),"yyyy-mm-dd"),INDEX(상세표[근무일자],$Q1995)&amp;""))</f>
        <v/>
      </c>
      <c r="F1995">
        <f>IF($Q1995="","",IF(ISNUMBER(INDEX(상세표[시작],$Q1995)),TEXT(INDEX(상세표[시작],$Q1995),"yyyy-mm-dd hh:mm"),INDEX(상세표[시작],$Q1995)&amp;""))</f>
        <v/>
      </c>
      <c r="G1995">
        <f>IF($Q1995="","",IF(ISNUMBER(INDEX(상세표[블록종료],$Q1995)),TEXT(INDEX(상세표[블록종료],$Q1995),"yyyy-mm-dd hh:mm"),INDEX(상세표[블록종료],$Q1995)&amp;""))</f>
        <v/>
      </c>
      <c r="H1995">
        <f>IF($Q1995="","",CHOOSE(WEEKDAY(INDEX(상세표[시작],$Q1995)),"일","월","화","수","목","금","토"))</f>
        <v/>
      </c>
      <c r="I1995" s="20">
        <f>IF($Q1995="","",INDEX(상세표[연속 시간],$Q1995))</f>
        <v/>
      </c>
      <c r="J1995">
        <f>IF($Q1995="","",INDEX(상세표[기록 수],$Q1995))</f>
        <v/>
      </c>
      <c r="K1995" s="20">
        <f>IF($Q1995="","",INDEX(상세표[블록 06~07시],$Q1995))</f>
        <v/>
      </c>
      <c r="L1995" s="20">
        <f>IF($Q1995="","",INDEX(상세표[블록 07~18시],$Q1995))</f>
        <v/>
      </c>
      <c r="M1995" s="20">
        <f>IF($Q1995="","",INDEX(상세표[블록 18~22시],$Q1995))</f>
        <v/>
      </c>
      <c r="N1995" s="20">
        <f>IF($Q1995="","",INDEX(상세표[블록 22~06시],$Q1995))</f>
        <v/>
      </c>
      <c r="O1995">
        <f>IF($Q1995="","",INDEX(상세표[주말·휴일 포함],$Q1995)&amp;"")</f>
        <v/>
      </c>
      <c r="P1995">
        <f>IF($Q1995="","",INDEX(상세표[월 넘김 포함],$Q1995)&amp;"")</f>
        <v/>
      </c>
      <c r="Q1995" s="4">
        <f>IFERROR(MATCH(1990,상세표[연속순번],0),"")</f>
        <v/>
      </c>
    </row>
    <row r="1996">
      <c r="A1996">
        <f>IF($Q1996="","",INDEX(상세표[부서],$Q1996)&amp;"")</f>
        <v/>
      </c>
      <c r="B1996">
        <f>IF($Q1996="","",INDEX(상세표[사번],$Q1996)&amp;"")</f>
        <v/>
      </c>
      <c r="C1996">
        <f>IF($Q1996="","",INDEX(상세표[성명],$Q1996)&amp;"")</f>
        <v/>
      </c>
      <c r="D1996">
        <f>IF($Q1996="","",INDEX(상세표[직위],$Q1996)&amp;"")</f>
        <v/>
      </c>
      <c r="E1996">
        <f>IF($Q1996="","",IF(ISNUMBER(INDEX(상세표[근무일자],$Q1996)),TEXT(INDEX(상세표[근무일자],$Q1996),"yyyy-mm-dd"),INDEX(상세표[근무일자],$Q1996)&amp;""))</f>
        <v/>
      </c>
      <c r="F1996">
        <f>IF($Q1996="","",IF(ISNUMBER(INDEX(상세표[시작],$Q1996)),TEXT(INDEX(상세표[시작],$Q1996),"yyyy-mm-dd hh:mm"),INDEX(상세표[시작],$Q1996)&amp;""))</f>
        <v/>
      </c>
      <c r="G1996">
        <f>IF($Q1996="","",IF(ISNUMBER(INDEX(상세표[블록종료],$Q1996)),TEXT(INDEX(상세표[블록종료],$Q1996),"yyyy-mm-dd hh:mm"),INDEX(상세표[블록종료],$Q1996)&amp;""))</f>
        <v/>
      </c>
      <c r="H1996">
        <f>IF($Q1996="","",CHOOSE(WEEKDAY(INDEX(상세표[시작],$Q1996)),"일","월","화","수","목","금","토"))</f>
        <v/>
      </c>
      <c r="I1996" s="20">
        <f>IF($Q1996="","",INDEX(상세표[연속 시간],$Q1996))</f>
        <v/>
      </c>
      <c r="J1996">
        <f>IF($Q1996="","",INDEX(상세표[기록 수],$Q1996))</f>
        <v/>
      </c>
      <c r="K1996" s="20">
        <f>IF($Q1996="","",INDEX(상세표[블록 06~07시],$Q1996))</f>
        <v/>
      </c>
      <c r="L1996" s="20">
        <f>IF($Q1996="","",INDEX(상세표[블록 07~18시],$Q1996))</f>
        <v/>
      </c>
      <c r="M1996" s="20">
        <f>IF($Q1996="","",INDEX(상세표[블록 18~22시],$Q1996))</f>
        <v/>
      </c>
      <c r="N1996" s="20">
        <f>IF($Q1996="","",INDEX(상세표[블록 22~06시],$Q1996))</f>
        <v/>
      </c>
      <c r="O1996">
        <f>IF($Q1996="","",INDEX(상세표[주말·휴일 포함],$Q1996)&amp;"")</f>
        <v/>
      </c>
      <c r="P1996">
        <f>IF($Q1996="","",INDEX(상세표[월 넘김 포함],$Q1996)&amp;"")</f>
        <v/>
      </c>
      <c r="Q1996" s="4">
        <f>IFERROR(MATCH(1991,상세표[연속순번],0),"")</f>
        <v/>
      </c>
    </row>
    <row r="1997">
      <c r="A1997">
        <f>IF($Q1997="","",INDEX(상세표[부서],$Q1997)&amp;"")</f>
        <v/>
      </c>
      <c r="B1997">
        <f>IF($Q1997="","",INDEX(상세표[사번],$Q1997)&amp;"")</f>
        <v/>
      </c>
      <c r="C1997">
        <f>IF($Q1997="","",INDEX(상세표[성명],$Q1997)&amp;"")</f>
        <v/>
      </c>
      <c r="D1997">
        <f>IF($Q1997="","",INDEX(상세표[직위],$Q1997)&amp;"")</f>
        <v/>
      </c>
      <c r="E1997">
        <f>IF($Q1997="","",IF(ISNUMBER(INDEX(상세표[근무일자],$Q1997)),TEXT(INDEX(상세표[근무일자],$Q1997),"yyyy-mm-dd"),INDEX(상세표[근무일자],$Q1997)&amp;""))</f>
        <v/>
      </c>
      <c r="F1997">
        <f>IF($Q1997="","",IF(ISNUMBER(INDEX(상세표[시작],$Q1997)),TEXT(INDEX(상세표[시작],$Q1997),"yyyy-mm-dd hh:mm"),INDEX(상세표[시작],$Q1997)&amp;""))</f>
        <v/>
      </c>
      <c r="G1997">
        <f>IF($Q1997="","",IF(ISNUMBER(INDEX(상세표[블록종료],$Q1997)),TEXT(INDEX(상세표[블록종료],$Q1997),"yyyy-mm-dd hh:mm"),INDEX(상세표[블록종료],$Q1997)&amp;""))</f>
        <v/>
      </c>
      <c r="H1997">
        <f>IF($Q1997="","",CHOOSE(WEEKDAY(INDEX(상세표[시작],$Q1997)),"일","월","화","수","목","금","토"))</f>
        <v/>
      </c>
      <c r="I1997" s="20">
        <f>IF($Q1997="","",INDEX(상세표[연속 시간],$Q1997))</f>
        <v/>
      </c>
      <c r="J1997">
        <f>IF($Q1997="","",INDEX(상세표[기록 수],$Q1997))</f>
        <v/>
      </c>
      <c r="K1997" s="20">
        <f>IF($Q1997="","",INDEX(상세표[블록 06~07시],$Q1997))</f>
        <v/>
      </c>
      <c r="L1997" s="20">
        <f>IF($Q1997="","",INDEX(상세표[블록 07~18시],$Q1997))</f>
        <v/>
      </c>
      <c r="M1997" s="20">
        <f>IF($Q1997="","",INDEX(상세표[블록 18~22시],$Q1997))</f>
        <v/>
      </c>
      <c r="N1997" s="20">
        <f>IF($Q1997="","",INDEX(상세표[블록 22~06시],$Q1997))</f>
        <v/>
      </c>
      <c r="O1997">
        <f>IF($Q1997="","",INDEX(상세표[주말·휴일 포함],$Q1997)&amp;"")</f>
        <v/>
      </c>
      <c r="P1997">
        <f>IF($Q1997="","",INDEX(상세표[월 넘김 포함],$Q1997)&amp;"")</f>
        <v/>
      </c>
      <c r="Q1997" s="4">
        <f>IFERROR(MATCH(1992,상세표[연속순번],0),"")</f>
        <v/>
      </c>
    </row>
    <row r="1998">
      <c r="A1998">
        <f>IF($Q1998="","",INDEX(상세표[부서],$Q1998)&amp;"")</f>
        <v/>
      </c>
      <c r="B1998">
        <f>IF($Q1998="","",INDEX(상세표[사번],$Q1998)&amp;"")</f>
        <v/>
      </c>
      <c r="C1998">
        <f>IF($Q1998="","",INDEX(상세표[성명],$Q1998)&amp;"")</f>
        <v/>
      </c>
      <c r="D1998">
        <f>IF($Q1998="","",INDEX(상세표[직위],$Q1998)&amp;"")</f>
        <v/>
      </c>
      <c r="E1998">
        <f>IF($Q1998="","",IF(ISNUMBER(INDEX(상세표[근무일자],$Q1998)),TEXT(INDEX(상세표[근무일자],$Q1998),"yyyy-mm-dd"),INDEX(상세표[근무일자],$Q1998)&amp;""))</f>
        <v/>
      </c>
      <c r="F1998">
        <f>IF($Q1998="","",IF(ISNUMBER(INDEX(상세표[시작],$Q1998)),TEXT(INDEX(상세표[시작],$Q1998),"yyyy-mm-dd hh:mm"),INDEX(상세표[시작],$Q1998)&amp;""))</f>
        <v/>
      </c>
      <c r="G1998">
        <f>IF($Q1998="","",IF(ISNUMBER(INDEX(상세표[블록종료],$Q1998)),TEXT(INDEX(상세표[블록종료],$Q1998),"yyyy-mm-dd hh:mm"),INDEX(상세표[블록종료],$Q1998)&amp;""))</f>
        <v/>
      </c>
      <c r="H1998">
        <f>IF($Q1998="","",CHOOSE(WEEKDAY(INDEX(상세표[시작],$Q1998)),"일","월","화","수","목","금","토"))</f>
        <v/>
      </c>
      <c r="I1998" s="20">
        <f>IF($Q1998="","",INDEX(상세표[연속 시간],$Q1998))</f>
        <v/>
      </c>
      <c r="J1998">
        <f>IF($Q1998="","",INDEX(상세표[기록 수],$Q1998))</f>
        <v/>
      </c>
      <c r="K1998" s="20">
        <f>IF($Q1998="","",INDEX(상세표[블록 06~07시],$Q1998))</f>
        <v/>
      </c>
      <c r="L1998" s="20">
        <f>IF($Q1998="","",INDEX(상세표[블록 07~18시],$Q1998))</f>
        <v/>
      </c>
      <c r="M1998" s="20">
        <f>IF($Q1998="","",INDEX(상세표[블록 18~22시],$Q1998))</f>
        <v/>
      </c>
      <c r="N1998" s="20">
        <f>IF($Q1998="","",INDEX(상세표[블록 22~06시],$Q1998))</f>
        <v/>
      </c>
      <c r="O1998">
        <f>IF($Q1998="","",INDEX(상세표[주말·휴일 포함],$Q1998)&amp;"")</f>
        <v/>
      </c>
      <c r="P1998">
        <f>IF($Q1998="","",INDEX(상세표[월 넘김 포함],$Q1998)&amp;"")</f>
        <v/>
      </c>
      <c r="Q1998" s="4">
        <f>IFERROR(MATCH(1993,상세표[연속순번],0),"")</f>
        <v/>
      </c>
    </row>
    <row r="1999">
      <c r="A1999">
        <f>IF($Q1999="","",INDEX(상세표[부서],$Q1999)&amp;"")</f>
        <v/>
      </c>
      <c r="B1999">
        <f>IF($Q1999="","",INDEX(상세표[사번],$Q1999)&amp;"")</f>
        <v/>
      </c>
      <c r="C1999">
        <f>IF($Q1999="","",INDEX(상세표[성명],$Q1999)&amp;"")</f>
        <v/>
      </c>
      <c r="D1999">
        <f>IF($Q1999="","",INDEX(상세표[직위],$Q1999)&amp;"")</f>
        <v/>
      </c>
      <c r="E1999">
        <f>IF($Q1999="","",IF(ISNUMBER(INDEX(상세표[근무일자],$Q1999)),TEXT(INDEX(상세표[근무일자],$Q1999),"yyyy-mm-dd"),INDEX(상세표[근무일자],$Q1999)&amp;""))</f>
        <v/>
      </c>
      <c r="F1999">
        <f>IF($Q1999="","",IF(ISNUMBER(INDEX(상세표[시작],$Q1999)),TEXT(INDEX(상세표[시작],$Q1999),"yyyy-mm-dd hh:mm"),INDEX(상세표[시작],$Q1999)&amp;""))</f>
        <v/>
      </c>
      <c r="G1999">
        <f>IF($Q1999="","",IF(ISNUMBER(INDEX(상세표[블록종료],$Q1999)),TEXT(INDEX(상세표[블록종료],$Q1999),"yyyy-mm-dd hh:mm"),INDEX(상세표[블록종료],$Q1999)&amp;""))</f>
        <v/>
      </c>
      <c r="H1999">
        <f>IF($Q1999="","",CHOOSE(WEEKDAY(INDEX(상세표[시작],$Q1999)),"일","월","화","수","목","금","토"))</f>
        <v/>
      </c>
      <c r="I1999" s="20">
        <f>IF($Q1999="","",INDEX(상세표[연속 시간],$Q1999))</f>
        <v/>
      </c>
      <c r="J1999">
        <f>IF($Q1999="","",INDEX(상세표[기록 수],$Q1999))</f>
        <v/>
      </c>
      <c r="K1999" s="20">
        <f>IF($Q1999="","",INDEX(상세표[블록 06~07시],$Q1999))</f>
        <v/>
      </c>
      <c r="L1999" s="20">
        <f>IF($Q1999="","",INDEX(상세표[블록 07~18시],$Q1999))</f>
        <v/>
      </c>
      <c r="M1999" s="20">
        <f>IF($Q1999="","",INDEX(상세표[블록 18~22시],$Q1999))</f>
        <v/>
      </c>
      <c r="N1999" s="20">
        <f>IF($Q1999="","",INDEX(상세표[블록 22~06시],$Q1999))</f>
        <v/>
      </c>
      <c r="O1999">
        <f>IF($Q1999="","",INDEX(상세표[주말·휴일 포함],$Q1999)&amp;"")</f>
        <v/>
      </c>
      <c r="P1999">
        <f>IF($Q1999="","",INDEX(상세표[월 넘김 포함],$Q1999)&amp;"")</f>
        <v/>
      </c>
      <c r="Q1999" s="4">
        <f>IFERROR(MATCH(1994,상세표[연속순번],0),"")</f>
        <v/>
      </c>
    </row>
    <row r="2000">
      <c r="A2000">
        <f>IF($Q2000="","",INDEX(상세표[부서],$Q2000)&amp;"")</f>
        <v/>
      </c>
      <c r="B2000">
        <f>IF($Q2000="","",INDEX(상세표[사번],$Q2000)&amp;"")</f>
        <v/>
      </c>
      <c r="C2000">
        <f>IF($Q2000="","",INDEX(상세표[성명],$Q2000)&amp;"")</f>
        <v/>
      </c>
      <c r="D2000">
        <f>IF($Q2000="","",INDEX(상세표[직위],$Q2000)&amp;"")</f>
        <v/>
      </c>
      <c r="E2000">
        <f>IF($Q2000="","",IF(ISNUMBER(INDEX(상세표[근무일자],$Q2000)),TEXT(INDEX(상세표[근무일자],$Q2000),"yyyy-mm-dd"),INDEX(상세표[근무일자],$Q2000)&amp;""))</f>
        <v/>
      </c>
      <c r="F2000">
        <f>IF($Q2000="","",IF(ISNUMBER(INDEX(상세표[시작],$Q2000)),TEXT(INDEX(상세표[시작],$Q2000),"yyyy-mm-dd hh:mm"),INDEX(상세표[시작],$Q2000)&amp;""))</f>
        <v/>
      </c>
      <c r="G2000">
        <f>IF($Q2000="","",IF(ISNUMBER(INDEX(상세표[블록종료],$Q2000)),TEXT(INDEX(상세표[블록종료],$Q2000),"yyyy-mm-dd hh:mm"),INDEX(상세표[블록종료],$Q2000)&amp;""))</f>
        <v/>
      </c>
      <c r="H2000">
        <f>IF($Q2000="","",CHOOSE(WEEKDAY(INDEX(상세표[시작],$Q2000)),"일","월","화","수","목","금","토"))</f>
        <v/>
      </c>
      <c r="I2000" s="20">
        <f>IF($Q2000="","",INDEX(상세표[연속 시간],$Q2000))</f>
        <v/>
      </c>
      <c r="J2000">
        <f>IF($Q2000="","",INDEX(상세표[기록 수],$Q2000))</f>
        <v/>
      </c>
      <c r="K2000" s="20">
        <f>IF($Q2000="","",INDEX(상세표[블록 06~07시],$Q2000))</f>
        <v/>
      </c>
      <c r="L2000" s="20">
        <f>IF($Q2000="","",INDEX(상세표[블록 07~18시],$Q2000))</f>
        <v/>
      </c>
      <c r="M2000" s="20">
        <f>IF($Q2000="","",INDEX(상세표[블록 18~22시],$Q2000))</f>
        <v/>
      </c>
      <c r="N2000" s="20">
        <f>IF($Q2000="","",INDEX(상세표[블록 22~06시],$Q2000))</f>
        <v/>
      </c>
      <c r="O2000">
        <f>IF($Q2000="","",INDEX(상세표[주말·휴일 포함],$Q2000)&amp;"")</f>
        <v/>
      </c>
      <c r="P2000">
        <f>IF($Q2000="","",INDEX(상세표[월 넘김 포함],$Q2000)&amp;"")</f>
        <v/>
      </c>
      <c r="Q2000" s="4">
        <f>IFERROR(MATCH(1995,상세표[연속순번],0),"")</f>
        <v/>
      </c>
    </row>
    <row r="2001">
      <c r="A2001">
        <f>IF($Q2001="","",INDEX(상세표[부서],$Q2001)&amp;"")</f>
        <v/>
      </c>
      <c r="B2001">
        <f>IF($Q2001="","",INDEX(상세표[사번],$Q2001)&amp;"")</f>
        <v/>
      </c>
      <c r="C2001">
        <f>IF($Q2001="","",INDEX(상세표[성명],$Q2001)&amp;"")</f>
        <v/>
      </c>
      <c r="D2001">
        <f>IF($Q2001="","",INDEX(상세표[직위],$Q2001)&amp;"")</f>
        <v/>
      </c>
      <c r="E2001">
        <f>IF($Q2001="","",IF(ISNUMBER(INDEX(상세표[근무일자],$Q2001)),TEXT(INDEX(상세표[근무일자],$Q2001),"yyyy-mm-dd"),INDEX(상세표[근무일자],$Q2001)&amp;""))</f>
        <v/>
      </c>
      <c r="F2001">
        <f>IF($Q2001="","",IF(ISNUMBER(INDEX(상세표[시작],$Q2001)),TEXT(INDEX(상세표[시작],$Q2001),"yyyy-mm-dd hh:mm"),INDEX(상세표[시작],$Q2001)&amp;""))</f>
        <v/>
      </c>
      <c r="G2001">
        <f>IF($Q2001="","",IF(ISNUMBER(INDEX(상세표[블록종료],$Q2001)),TEXT(INDEX(상세표[블록종료],$Q2001),"yyyy-mm-dd hh:mm"),INDEX(상세표[블록종료],$Q2001)&amp;""))</f>
        <v/>
      </c>
      <c r="H2001">
        <f>IF($Q2001="","",CHOOSE(WEEKDAY(INDEX(상세표[시작],$Q2001)),"일","월","화","수","목","금","토"))</f>
        <v/>
      </c>
      <c r="I2001" s="20">
        <f>IF($Q2001="","",INDEX(상세표[연속 시간],$Q2001))</f>
        <v/>
      </c>
      <c r="J2001">
        <f>IF($Q2001="","",INDEX(상세표[기록 수],$Q2001))</f>
        <v/>
      </c>
      <c r="K2001" s="20">
        <f>IF($Q2001="","",INDEX(상세표[블록 06~07시],$Q2001))</f>
        <v/>
      </c>
      <c r="L2001" s="20">
        <f>IF($Q2001="","",INDEX(상세표[블록 07~18시],$Q2001))</f>
        <v/>
      </c>
      <c r="M2001" s="20">
        <f>IF($Q2001="","",INDEX(상세표[블록 18~22시],$Q2001))</f>
        <v/>
      </c>
      <c r="N2001" s="20">
        <f>IF($Q2001="","",INDEX(상세표[블록 22~06시],$Q2001))</f>
        <v/>
      </c>
      <c r="O2001">
        <f>IF($Q2001="","",INDEX(상세표[주말·휴일 포함],$Q2001)&amp;"")</f>
        <v/>
      </c>
      <c r="P2001">
        <f>IF($Q2001="","",INDEX(상세표[월 넘김 포함],$Q2001)&amp;"")</f>
        <v/>
      </c>
      <c r="Q2001" s="4">
        <f>IFERROR(MATCH(1996,상세표[연속순번],0),"")</f>
        <v/>
      </c>
    </row>
    <row r="2002">
      <c r="A2002">
        <f>IF($Q2002="","",INDEX(상세표[부서],$Q2002)&amp;"")</f>
        <v/>
      </c>
      <c r="B2002">
        <f>IF($Q2002="","",INDEX(상세표[사번],$Q2002)&amp;"")</f>
        <v/>
      </c>
      <c r="C2002">
        <f>IF($Q2002="","",INDEX(상세표[성명],$Q2002)&amp;"")</f>
        <v/>
      </c>
      <c r="D2002">
        <f>IF($Q2002="","",INDEX(상세표[직위],$Q2002)&amp;"")</f>
        <v/>
      </c>
      <c r="E2002">
        <f>IF($Q2002="","",IF(ISNUMBER(INDEX(상세표[근무일자],$Q2002)),TEXT(INDEX(상세표[근무일자],$Q2002),"yyyy-mm-dd"),INDEX(상세표[근무일자],$Q2002)&amp;""))</f>
        <v/>
      </c>
      <c r="F2002">
        <f>IF($Q2002="","",IF(ISNUMBER(INDEX(상세표[시작],$Q2002)),TEXT(INDEX(상세표[시작],$Q2002),"yyyy-mm-dd hh:mm"),INDEX(상세표[시작],$Q2002)&amp;""))</f>
        <v/>
      </c>
      <c r="G2002">
        <f>IF($Q2002="","",IF(ISNUMBER(INDEX(상세표[블록종료],$Q2002)),TEXT(INDEX(상세표[블록종료],$Q2002),"yyyy-mm-dd hh:mm"),INDEX(상세표[블록종료],$Q2002)&amp;""))</f>
        <v/>
      </c>
      <c r="H2002">
        <f>IF($Q2002="","",CHOOSE(WEEKDAY(INDEX(상세표[시작],$Q2002)),"일","월","화","수","목","금","토"))</f>
        <v/>
      </c>
      <c r="I2002" s="20">
        <f>IF($Q2002="","",INDEX(상세표[연속 시간],$Q2002))</f>
        <v/>
      </c>
      <c r="J2002">
        <f>IF($Q2002="","",INDEX(상세표[기록 수],$Q2002))</f>
        <v/>
      </c>
      <c r="K2002" s="20">
        <f>IF($Q2002="","",INDEX(상세표[블록 06~07시],$Q2002))</f>
        <v/>
      </c>
      <c r="L2002" s="20">
        <f>IF($Q2002="","",INDEX(상세표[블록 07~18시],$Q2002))</f>
        <v/>
      </c>
      <c r="M2002" s="20">
        <f>IF($Q2002="","",INDEX(상세표[블록 18~22시],$Q2002))</f>
        <v/>
      </c>
      <c r="N2002" s="20">
        <f>IF($Q2002="","",INDEX(상세표[블록 22~06시],$Q2002))</f>
        <v/>
      </c>
      <c r="O2002">
        <f>IF($Q2002="","",INDEX(상세표[주말·휴일 포함],$Q2002)&amp;"")</f>
        <v/>
      </c>
      <c r="P2002">
        <f>IF($Q2002="","",INDEX(상세표[월 넘김 포함],$Q2002)&amp;"")</f>
        <v/>
      </c>
      <c r="Q2002" s="4">
        <f>IFERROR(MATCH(1997,상세표[연속순번],0),"")</f>
        <v/>
      </c>
    </row>
    <row r="2003">
      <c r="A2003">
        <f>IF($Q2003="","",INDEX(상세표[부서],$Q2003)&amp;"")</f>
        <v/>
      </c>
      <c r="B2003">
        <f>IF($Q2003="","",INDEX(상세표[사번],$Q2003)&amp;"")</f>
        <v/>
      </c>
      <c r="C2003">
        <f>IF($Q2003="","",INDEX(상세표[성명],$Q2003)&amp;"")</f>
        <v/>
      </c>
      <c r="D2003">
        <f>IF($Q2003="","",INDEX(상세표[직위],$Q2003)&amp;"")</f>
        <v/>
      </c>
      <c r="E2003">
        <f>IF($Q2003="","",IF(ISNUMBER(INDEX(상세표[근무일자],$Q2003)),TEXT(INDEX(상세표[근무일자],$Q2003),"yyyy-mm-dd"),INDEX(상세표[근무일자],$Q2003)&amp;""))</f>
        <v/>
      </c>
      <c r="F2003">
        <f>IF($Q2003="","",IF(ISNUMBER(INDEX(상세표[시작],$Q2003)),TEXT(INDEX(상세표[시작],$Q2003),"yyyy-mm-dd hh:mm"),INDEX(상세표[시작],$Q2003)&amp;""))</f>
        <v/>
      </c>
      <c r="G2003">
        <f>IF($Q2003="","",IF(ISNUMBER(INDEX(상세표[블록종료],$Q2003)),TEXT(INDEX(상세표[블록종료],$Q2003),"yyyy-mm-dd hh:mm"),INDEX(상세표[블록종료],$Q2003)&amp;""))</f>
        <v/>
      </c>
      <c r="H2003">
        <f>IF($Q2003="","",CHOOSE(WEEKDAY(INDEX(상세표[시작],$Q2003)),"일","월","화","수","목","금","토"))</f>
        <v/>
      </c>
      <c r="I2003" s="20">
        <f>IF($Q2003="","",INDEX(상세표[연속 시간],$Q2003))</f>
        <v/>
      </c>
      <c r="J2003">
        <f>IF($Q2003="","",INDEX(상세표[기록 수],$Q2003))</f>
        <v/>
      </c>
      <c r="K2003" s="20">
        <f>IF($Q2003="","",INDEX(상세표[블록 06~07시],$Q2003))</f>
        <v/>
      </c>
      <c r="L2003" s="20">
        <f>IF($Q2003="","",INDEX(상세표[블록 07~18시],$Q2003))</f>
        <v/>
      </c>
      <c r="M2003" s="20">
        <f>IF($Q2003="","",INDEX(상세표[블록 18~22시],$Q2003))</f>
        <v/>
      </c>
      <c r="N2003" s="20">
        <f>IF($Q2003="","",INDEX(상세표[블록 22~06시],$Q2003))</f>
        <v/>
      </c>
      <c r="O2003">
        <f>IF($Q2003="","",INDEX(상세표[주말·휴일 포함],$Q2003)&amp;"")</f>
        <v/>
      </c>
      <c r="P2003">
        <f>IF($Q2003="","",INDEX(상세표[월 넘김 포함],$Q2003)&amp;"")</f>
        <v/>
      </c>
      <c r="Q2003" s="4">
        <f>IFERROR(MATCH(1998,상세표[연속순번],0),"")</f>
        <v/>
      </c>
    </row>
    <row r="2004">
      <c r="A2004">
        <f>IF($Q2004="","",INDEX(상세표[부서],$Q2004)&amp;"")</f>
        <v/>
      </c>
      <c r="B2004">
        <f>IF($Q2004="","",INDEX(상세표[사번],$Q2004)&amp;"")</f>
        <v/>
      </c>
      <c r="C2004">
        <f>IF($Q2004="","",INDEX(상세표[성명],$Q2004)&amp;"")</f>
        <v/>
      </c>
      <c r="D2004">
        <f>IF($Q2004="","",INDEX(상세표[직위],$Q2004)&amp;"")</f>
        <v/>
      </c>
      <c r="E2004">
        <f>IF($Q2004="","",IF(ISNUMBER(INDEX(상세표[근무일자],$Q2004)),TEXT(INDEX(상세표[근무일자],$Q2004),"yyyy-mm-dd"),INDEX(상세표[근무일자],$Q2004)&amp;""))</f>
        <v/>
      </c>
      <c r="F2004">
        <f>IF($Q2004="","",IF(ISNUMBER(INDEX(상세표[시작],$Q2004)),TEXT(INDEX(상세표[시작],$Q2004),"yyyy-mm-dd hh:mm"),INDEX(상세표[시작],$Q2004)&amp;""))</f>
        <v/>
      </c>
      <c r="G2004">
        <f>IF($Q2004="","",IF(ISNUMBER(INDEX(상세표[블록종료],$Q2004)),TEXT(INDEX(상세표[블록종료],$Q2004),"yyyy-mm-dd hh:mm"),INDEX(상세표[블록종료],$Q2004)&amp;""))</f>
        <v/>
      </c>
      <c r="H2004">
        <f>IF($Q2004="","",CHOOSE(WEEKDAY(INDEX(상세표[시작],$Q2004)),"일","월","화","수","목","금","토"))</f>
        <v/>
      </c>
      <c r="I2004" s="20">
        <f>IF($Q2004="","",INDEX(상세표[연속 시간],$Q2004))</f>
        <v/>
      </c>
      <c r="J2004">
        <f>IF($Q2004="","",INDEX(상세표[기록 수],$Q2004))</f>
        <v/>
      </c>
      <c r="K2004" s="20">
        <f>IF($Q2004="","",INDEX(상세표[블록 06~07시],$Q2004))</f>
        <v/>
      </c>
      <c r="L2004" s="20">
        <f>IF($Q2004="","",INDEX(상세표[블록 07~18시],$Q2004))</f>
        <v/>
      </c>
      <c r="M2004" s="20">
        <f>IF($Q2004="","",INDEX(상세표[블록 18~22시],$Q2004))</f>
        <v/>
      </c>
      <c r="N2004" s="20">
        <f>IF($Q2004="","",INDEX(상세표[블록 22~06시],$Q2004))</f>
        <v/>
      </c>
      <c r="O2004">
        <f>IF($Q2004="","",INDEX(상세표[주말·휴일 포함],$Q2004)&amp;"")</f>
        <v/>
      </c>
      <c r="P2004">
        <f>IF($Q2004="","",INDEX(상세표[월 넘김 포함],$Q2004)&amp;"")</f>
        <v/>
      </c>
      <c r="Q2004" s="4">
        <f>IFERROR(MATCH(1999,상세표[연속순번],0),"")</f>
        <v/>
      </c>
    </row>
    <row r="2005">
      <c r="A2005">
        <f>IF($Q2005="","",INDEX(상세표[부서],$Q2005)&amp;"")</f>
        <v/>
      </c>
      <c r="B2005">
        <f>IF($Q2005="","",INDEX(상세표[사번],$Q2005)&amp;"")</f>
        <v/>
      </c>
      <c r="C2005">
        <f>IF($Q2005="","",INDEX(상세표[성명],$Q2005)&amp;"")</f>
        <v/>
      </c>
      <c r="D2005">
        <f>IF($Q2005="","",INDEX(상세표[직위],$Q2005)&amp;"")</f>
        <v/>
      </c>
      <c r="E2005">
        <f>IF($Q2005="","",IF(ISNUMBER(INDEX(상세표[근무일자],$Q2005)),TEXT(INDEX(상세표[근무일자],$Q2005),"yyyy-mm-dd"),INDEX(상세표[근무일자],$Q2005)&amp;""))</f>
        <v/>
      </c>
      <c r="F2005">
        <f>IF($Q2005="","",IF(ISNUMBER(INDEX(상세표[시작],$Q2005)),TEXT(INDEX(상세표[시작],$Q2005),"yyyy-mm-dd hh:mm"),INDEX(상세표[시작],$Q2005)&amp;""))</f>
        <v/>
      </c>
      <c r="G2005">
        <f>IF($Q2005="","",IF(ISNUMBER(INDEX(상세표[블록종료],$Q2005)),TEXT(INDEX(상세표[블록종료],$Q2005),"yyyy-mm-dd hh:mm"),INDEX(상세표[블록종료],$Q2005)&amp;""))</f>
        <v/>
      </c>
      <c r="H2005">
        <f>IF($Q2005="","",CHOOSE(WEEKDAY(INDEX(상세표[시작],$Q2005)),"일","월","화","수","목","금","토"))</f>
        <v/>
      </c>
      <c r="I2005" s="20">
        <f>IF($Q2005="","",INDEX(상세표[연속 시간],$Q2005))</f>
        <v/>
      </c>
      <c r="J2005">
        <f>IF($Q2005="","",INDEX(상세표[기록 수],$Q2005))</f>
        <v/>
      </c>
      <c r="K2005" s="20">
        <f>IF($Q2005="","",INDEX(상세표[블록 06~07시],$Q2005))</f>
        <v/>
      </c>
      <c r="L2005" s="20">
        <f>IF($Q2005="","",INDEX(상세표[블록 07~18시],$Q2005))</f>
        <v/>
      </c>
      <c r="M2005" s="20">
        <f>IF($Q2005="","",INDEX(상세표[블록 18~22시],$Q2005))</f>
        <v/>
      </c>
      <c r="N2005" s="20">
        <f>IF($Q2005="","",INDEX(상세표[블록 22~06시],$Q2005))</f>
        <v/>
      </c>
      <c r="O2005">
        <f>IF($Q2005="","",INDEX(상세표[주말·휴일 포함],$Q2005)&amp;"")</f>
        <v/>
      </c>
      <c r="P2005">
        <f>IF($Q2005="","",INDEX(상세표[월 넘김 포함],$Q2005)&amp;"")</f>
        <v/>
      </c>
      <c r="Q2005" s="4">
        <f>IFERROR(MATCH(2000,상세표[연속순번],0),"")</f>
        <v/>
      </c>
    </row>
    <row r="2006">
      <c r="A2006">
        <f>IF($Q2006="","",INDEX(상세표[부서],$Q2006)&amp;"")</f>
        <v/>
      </c>
      <c r="B2006">
        <f>IF($Q2006="","",INDEX(상세표[사번],$Q2006)&amp;"")</f>
        <v/>
      </c>
      <c r="C2006">
        <f>IF($Q2006="","",INDEX(상세표[성명],$Q2006)&amp;"")</f>
        <v/>
      </c>
      <c r="D2006">
        <f>IF($Q2006="","",INDEX(상세표[직위],$Q2006)&amp;"")</f>
        <v/>
      </c>
      <c r="E2006">
        <f>IF($Q2006="","",IF(ISNUMBER(INDEX(상세표[근무일자],$Q2006)),TEXT(INDEX(상세표[근무일자],$Q2006),"yyyy-mm-dd"),INDEX(상세표[근무일자],$Q2006)&amp;""))</f>
        <v/>
      </c>
      <c r="F2006">
        <f>IF($Q2006="","",IF(ISNUMBER(INDEX(상세표[시작],$Q2006)),TEXT(INDEX(상세표[시작],$Q2006),"yyyy-mm-dd hh:mm"),INDEX(상세표[시작],$Q2006)&amp;""))</f>
        <v/>
      </c>
      <c r="G2006">
        <f>IF($Q2006="","",IF(ISNUMBER(INDEX(상세표[블록종료],$Q2006)),TEXT(INDEX(상세표[블록종료],$Q2006),"yyyy-mm-dd hh:mm"),INDEX(상세표[블록종료],$Q2006)&amp;""))</f>
        <v/>
      </c>
      <c r="H2006">
        <f>IF($Q2006="","",CHOOSE(WEEKDAY(INDEX(상세표[시작],$Q2006)),"일","월","화","수","목","금","토"))</f>
        <v/>
      </c>
      <c r="I2006" s="20">
        <f>IF($Q2006="","",INDEX(상세표[연속 시간],$Q2006))</f>
        <v/>
      </c>
      <c r="J2006">
        <f>IF($Q2006="","",INDEX(상세표[기록 수],$Q2006))</f>
        <v/>
      </c>
      <c r="K2006" s="20">
        <f>IF($Q2006="","",INDEX(상세표[블록 06~07시],$Q2006))</f>
        <v/>
      </c>
      <c r="L2006" s="20">
        <f>IF($Q2006="","",INDEX(상세표[블록 07~18시],$Q2006))</f>
        <v/>
      </c>
      <c r="M2006" s="20">
        <f>IF($Q2006="","",INDEX(상세표[블록 18~22시],$Q2006))</f>
        <v/>
      </c>
      <c r="N2006" s="20">
        <f>IF($Q2006="","",INDEX(상세표[블록 22~06시],$Q2006))</f>
        <v/>
      </c>
      <c r="O2006">
        <f>IF($Q2006="","",INDEX(상세표[주말·휴일 포함],$Q2006)&amp;"")</f>
        <v/>
      </c>
      <c r="P2006">
        <f>IF($Q2006="","",INDEX(상세표[월 넘김 포함],$Q2006)&amp;"")</f>
        <v/>
      </c>
      <c r="Q2006" s="4">
        <f>IFERROR(MATCH(2001,상세표[연속순번],0),"")</f>
        <v/>
      </c>
    </row>
    <row r="2007">
      <c r="A2007">
        <f>IF($Q2007="","",INDEX(상세표[부서],$Q2007)&amp;"")</f>
        <v/>
      </c>
      <c r="B2007">
        <f>IF($Q2007="","",INDEX(상세표[사번],$Q2007)&amp;"")</f>
        <v/>
      </c>
      <c r="C2007">
        <f>IF($Q2007="","",INDEX(상세표[성명],$Q2007)&amp;"")</f>
        <v/>
      </c>
      <c r="D2007">
        <f>IF($Q2007="","",INDEX(상세표[직위],$Q2007)&amp;"")</f>
        <v/>
      </c>
      <c r="E2007">
        <f>IF($Q2007="","",IF(ISNUMBER(INDEX(상세표[근무일자],$Q2007)),TEXT(INDEX(상세표[근무일자],$Q2007),"yyyy-mm-dd"),INDEX(상세표[근무일자],$Q2007)&amp;""))</f>
        <v/>
      </c>
      <c r="F2007">
        <f>IF($Q2007="","",IF(ISNUMBER(INDEX(상세표[시작],$Q2007)),TEXT(INDEX(상세표[시작],$Q2007),"yyyy-mm-dd hh:mm"),INDEX(상세표[시작],$Q2007)&amp;""))</f>
        <v/>
      </c>
      <c r="G2007">
        <f>IF($Q2007="","",IF(ISNUMBER(INDEX(상세표[블록종료],$Q2007)),TEXT(INDEX(상세표[블록종료],$Q2007),"yyyy-mm-dd hh:mm"),INDEX(상세표[블록종료],$Q2007)&amp;""))</f>
        <v/>
      </c>
      <c r="H2007">
        <f>IF($Q2007="","",CHOOSE(WEEKDAY(INDEX(상세표[시작],$Q2007)),"일","월","화","수","목","금","토"))</f>
        <v/>
      </c>
      <c r="I2007" s="20">
        <f>IF($Q2007="","",INDEX(상세표[연속 시간],$Q2007))</f>
        <v/>
      </c>
      <c r="J2007">
        <f>IF($Q2007="","",INDEX(상세표[기록 수],$Q2007))</f>
        <v/>
      </c>
      <c r="K2007" s="20">
        <f>IF($Q2007="","",INDEX(상세표[블록 06~07시],$Q2007))</f>
        <v/>
      </c>
      <c r="L2007" s="20">
        <f>IF($Q2007="","",INDEX(상세표[블록 07~18시],$Q2007))</f>
        <v/>
      </c>
      <c r="M2007" s="20">
        <f>IF($Q2007="","",INDEX(상세표[블록 18~22시],$Q2007))</f>
        <v/>
      </c>
      <c r="N2007" s="20">
        <f>IF($Q2007="","",INDEX(상세표[블록 22~06시],$Q2007))</f>
        <v/>
      </c>
      <c r="O2007">
        <f>IF($Q2007="","",INDEX(상세표[주말·휴일 포함],$Q2007)&amp;"")</f>
        <v/>
      </c>
      <c r="P2007">
        <f>IF($Q2007="","",INDEX(상세표[월 넘김 포함],$Q2007)&amp;"")</f>
        <v/>
      </c>
      <c r="Q2007" s="4">
        <f>IFERROR(MATCH(2002,상세표[연속순번],0),"")</f>
        <v/>
      </c>
    </row>
    <row r="2008">
      <c r="A2008">
        <f>IF($Q2008="","",INDEX(상세표[부서],$Q2008)&amp;"")</f>
        <v/>
      </c>
      <c r="B2008">
        <f>IF($Q2008="","",INDEX(상세표[사번],$Q2008)&amp;"")</f>
        <v/>
      </c>
      <c r="C2008">
        <f>IF($Q2008="","",INDEX(상세표[성명],$Q2008)&amp;"")</f>
        <v/>
      </c>
      <c r="D2008">
        <f>IF($Q2008="","",INDEX(상세표[직위],$Q2008)&amp;"")</f>
        <v/>
      </c>
      <c r="E2008">
        <f>IF($Q2008="","",IF(ISNUMBER(INDEX(상세표[근무일자],$Q2008)),TEXT(INDEX(상세표[근무일자],$Q2008),"yyyy-mm-dd"),INDEX(상세표[근무일자],$Q2008)&amp;""))</f>
        <v/>
      </c>
      <c r="F2008">
        <f>IF($Q2008="","",IF(ISNUMBER(INDEX(상세표[시작],$Q2008)),TEXT(INDEX(상세표[시작],$Q2008),"yyyy-mm-dd hh:mm"),INDEX(상세표[시작],$Q2008)&amp;""))</f>
        <v/>
      </c>
      <c r="G2008">
        <f>IF($Q2008="","",IF(ISNUMBER(INDEX(상세표[블록종료],$Q2008)),TEXT(INDEX(상세표[블록종료],$Q2008),"yyyy-mm-dd hh:mm"),INDEX(상세표[블록종료],$Q2008)&amp;""))</f>
        <v/>
      </c>
      <c r="H2008">
        <f>IF($Q2008="","",CHOOSE(WEEKDAY(INDEX(상세표[시작],$Q2008)),"일","월","화","수","목","금","토"))</f>
        <v/>
      </c>
      <c r="I2008" s="20">
        <f>IF($Q2008="","",INDEX(상세표[연속 시간],$Q2008))</f>
        <v/>
      </c>
      <c r="J2008">
        <f>IF($Q2008="","",INDEX(상세표[기록 수],$Q2008))</f>
        <v/>
      </c>
      <c r="K2008" s="20">
        <f>IF($Q2008="","",INDEX(상세표[블록 06~07시],$Q2008))</f>
        <v/>
      </c>
      <c r="L2008" s="20">
        <f>IF($Q2008="","",INDEX(상세표[블록 07~18시],$Q2008))</f>
        <v/>
      </c>
      <c r="M2008" s="20">
        <f>IF($Q2008="","",INDEX(상세표[블록 18~22시],$Q2008))</f>
        <v/>
      </c>
      <c r="N2008" s="20">
        <f>IF($Q2008="","",INDEX(상세표[블록 22~06시],$Q2008))</f>
        <v/>
      </c>
      <c r="O2008">
        <f>IF($Q2008="","",INDEX(상세표[주말·휴일 포함],$Q2008)&amp;"")</f>
        <v/>
      </c>
      <c r="P2008">
        <f>IF($Q2008="","",INDEX(상세표[월 넘김 포함],$Q2008)&amp;"")</f>
        <v/>
      </c>
      <c r="Q2008" s="4">
        <f>IFERROR(MATCH(2003,상세표[연속순번],0),"")</f>
        <v/>
      </c>
    </row>
    <row r="2009">
      <c r="A2009">
        <f>IF($Q2009="","",INDEX(상세표[부서],$Q2009)&amp;"")</f>
        <v/>
      </c>
      <c r="B2009">
        <f>IF($Q2009="","",INDEX(상세표[사번],$Q2009)&amp;"")</f>
        <v/>
      </c>
      <c r="C2009">
        <f>IF($Q2009="","",INDEX(상세표[성명],$Q2009)&amp;"")</f>
        <v/>
      </c>
      <c r="D2009">
        <f>IF($Q2009="","",INDEX(상세표[직위],$Q2009)&amp;"")</f>
        <v/>
      </c>
      <c r="E2009">
        <f>IF($Q2009="","",IF(ISNUMBER(INDEX(상세표[근무일자],$Q2009)),TEXT(INDEX(상세표[근무일자],$Q2009),"yyyy-mm-dd"),INDEX(상세표[근무일자],$Q2009)&amp;""))</f>
        <v/>
      </c>
      <c r="F2009">
        <f>IF($Q2009="","",IF(ISNUMBER(INDEX(상세표[시작],$Q2009)),TEXT(INDEX(상세표[시작],$Q2009),"yyyy-mm-dd hh:mm"),INDEX(상세표[시작],$Q2009)&amp;""))</f>
        <v/>
      </c>
      <c r="G2009">
        <f>IF($Q2009="","",IF(ISNUMBER(INDEX(상세표[블록종료],$Q2009)),TEXT(INDEX(상세표[블록종료],$Q2009),"yyyy-mm-dd hh:mm"),INDEX(상세표[블록종료],$Q2009)&amp;""))</f>
        <v/>
      </c>
      <c r="H2009">
        <f>IF($Q2009="","",CHOOSE(WEEKDAY(INDEX(상세표[시작],$Q2009)),"일","월","화","수","목","금","토"))</f>
        <v/>
      </c>
      <c r="I2009" s="20">
        <f>IF($Q2009="","",INDEX(상세표[연속 시간],$Q2009))</f>
        <v/>
      </c>
      <c r="J2009">
        <f>IF($Q2009="","",INDEX(상세표[기록 수],$Q2009))</f>
        <v/>
      </c>
      <c r="K2009" s="20">
        <f>IF($Q2009="","",INDEX(상세표[블록 06~07시],$Q2009))</f>
        <v/>
      </c>
      <c r="L2009" s="20">
        <f>IF($Q2009="","",INDEX(상세표[블록 07~18시],$Q2009))</f>
        <v/>
      </c>
      <c r="M2009" s="20">
        <f>IF($Q2009="","",INDEX(상세표[블록 18~22시],$Q2009))</f>
        <v/>
      </c>
      <c r="N2009" s="20">
        <f>IF($Q2009="","",INDEX(상세표[블록 22~06시],$Q2009))</f>
        <v/>
      </c>
      <c r="O2009">
        <f>IF($Q2009="","",INDEX(상세표[주말·휴일 포함],$Q2009)&amp;"")</f>
        <v/>
      </c>
      <c r="P2009">
        <f>IF($Q2009="","",INDEX(상세표[월 넘김 포함],$Q2009)&amp;"")</f>
        <v/>
      </c>
      <c r="Q2009" s="4">
        <f>IFERROR(MATCH(2004,상세표[연속순번],0),"")</f>
        <v/>
      </c>
    </row>
    <row r="2010">
      <c r="A2010">
        <f>IF($Q2010="","",INDEX(상세표[부서],$Q2010)&amp;"")</f>
        <v/>
      </c>
      <c r="B2010">
        <f>IF($Q2010="","",INDEX(상세표[사번],$Q2010)&amp;"")</f>
        <v/>
      </c>
      <c r="C2010">
        <f>IF($Q2010="","",INDEX(상세표[성명],$Q2010)&amp;"")</f>
        <v/>
      </c>
      <c r="D2010">
        <f>IF($Q2010="","",INDEX(상세표[직위],$Q2010)&amp;"")</f>
        <v/>
      </c>
      <c r="E2010">
        <f>IF($Q2010="","",IF(ISNUMBER(INDEX(상세표[근무일자],$Q2010)),TEXT(INDEX(상세표[근무일자],$Q2010),"yyyy-mm-dd"),INDEX(상세표[근무일자],$Q2010)&amp;""))</f>
        <v/>
      </c>
      <c r="F2010">
        <f>IF($Q2010="","",IF(ISNUMBER(INDEX(상세표[시작],$Q2010)),TEXT(INDEX(상세표[시작],$Q2010),"yyyy-mm-dd hh:mm"),INDEX(상세표[시작],$Q2010)&amp;""))</f>
        <v/>
      </c>
      <c r="G2010">
        <f>IF($Q2010="","",IF(ISNUMBER(INDEX(상세표[블록종료],$Q2010)),TEXT(INDEX(상세표[블록종료],$Q2010),"yyyy-mm-dd hh:mm"),INDEX(상세표[블록종료],$Q2010)&amp;""))</f>
        <v/>
      </c>
      <c r="H2010">
        <f>IF($Q2010="","",CHOOSE(WEEKDAY(INDEX(상세표[시작],$Q2010)),"일","월","화","수","목","금","토"))</f>
        <v/>
      </c>
      <c r="I2010" s="20">
        <f>IF($Q2010="","",INDEX(상세표[연속 시간],$Q2010))</f>
        <v/>
      </c>
      <c r="J2010">
        <f>IF($Q2010="","",INDEX(상세표[기록 수],$Q2010))</f>
        <v/>
      </c>
      <c r="K2010" s="20">
        <f>IF($Q2010="","",INDEX(상세표[블록 06~07시],$Q2010))</f>
        <v/>
      </c>
      <c r="L2010" s="20">
        <f>IF($Q2010="","",INDEX(상세표[블록 07~18시],$Q2010))</f>
        <v/>
      </c>
      <c r="M2010" s="20">
        <f>IF($Q2010="","",INDEX(상세표[블록 18~22시],$Q2010))</f>
        <v/>
      </c>
      <c r="N2010" s="20">
        <f>IF($Q2010="","",INDEX(상세표[블록 22~06시],$Q2010))</f>
        <v/>
      </c>
      <c r="O2010">
        <f>IF($Q2010="","",INDEX(상세표[주말·휴일 포함],$Q2010)&amp;"")</f>
        <v/>
      </c>
      <c r="P2010">
        <f>IF($Q2010="","",INDEX(상세표[월 넘김 포함],$Q2010)&amp;"")</f>
        <v/>
      </c>
      <c r="Q2010" s="4">
        <f>IFERROR(MATCH(2005,상세표[연속순번],0),"")</f>
        <v/>
      </c>
    </row>
    <row r="2011">
      <c r="A2011">
        <f>IF($Q2011="","",INDEX(상세표[부서],$Q2011)&amp;"")</f>
        <v/>
      </c>
      <c r="B2011">
        <f>IF($Q2011="","",INDEX(상세표[사번],$Q2011)&amp;"")</f>
        <v/>
      </c>
      <c r="C2011">
        <f>IF($Q2011="","",INDEX(상세표[성명],$Q2011)&amp;"")</f>
        <v/>
      </c>
      <c r="D2011">
        <f>IF($Q2011="","",INDEX(상세표[직위],$Q2011)&amp;"")</f>
        <v/>
      </c>
      <c r="E2011">
        <f>IF($Q2011="","",IF(ISNUMBER(INDEX(상세표[근무일자],$Q2011)),TEXT(INDEX(상세표[근무일자],$Q2011),"yyyy-mm-dd"),INDEX(상세표[근무일자],$Q2011)&amp;""))</f>
        <v/>
      </c>
      <c r="F2011">
        <f>IF($Q2011="","",IF(ISNUMBER(INDEX(상세표[시작],$Q2011)),TEXT(INDEX(상세표[시작],$Q2011),"yyyy-mm-dd hh:mm"),INDEX(상세표[시작],$Q2011)&amp;""))</f>
        <v/>
      </c>
      <c r="G2011">
        <f>IF($Q2011="","",IF(ISNUMBER(INDEX(상세표[블록종료],$Q2011)),TEXT(INDEX(상세표[블록종료],$Q2011),"yyyy-mm-dd hh:mm"),INDEX(상세표[블록종료],$Q2011)&amp;""))</f>
        <v/>
      </c>
      <c r="H2011">
        <f>IF($Q2011="","",CHOOSE(WEEKDAY(INDEX(상세표[시작],$Q2011)),"일","월","화","수","목","금","토"))</f>
        <v/>
      </c>
      <c r="I2011" s="20">
        <f>IF($Q2011="","",INDEX(상세표[연속 시간],$Q2011))</f>
        <v/>
      </c>
      <c r="J2011">
        <f>IF($Q2011="","",INDEX(상세표[기록 수],$Q2011))</f>
        <v/>
      </c>
      <c r="K2011" s="20">
        <f>IF($Q2011="","",INDEX(상세표[블록 06~07시],$Q2011))</f>
        <v/>
      </c>
      <c r="L2011" s="20">
        <f>IF($Q2011="","",INDEX(상세표[블록 07~18시],$Q2011))</f>
        <v/>
      </c>
      <c r="M2011" s="20">
        <f>IF($Q2011="","",INDEX(상세표[블록 18~22시],$Q2011))</f>
        <v/>
      </c>
      <c r="N2011" s="20">
        <f>IF($Q2011="","",INDEX(상세표[블록 22~06시],$Q2011))</f>
        <v/>
      </c>
      <c r="O2011">
        <f>IF($Q2011="","",INDEX(상세표[주말·휴일 포함],$Q2011)&amp;"")</f>
        <v/>
      </c>
      <c r="P2011">
        <f>IF($Q2011="","",INDEX(상세표[월 넘김 포함],$Q2011)&amp;"")</f>
        <v/>
      </c>
      <c r="Q2011" s="4">
        <f>IFERROR(MATCH(2006,상세표[연속순번],0),"")</f>
        <v/>
      </c>
    </row>
    <row r="2012">
      <c r="A2012">
        <f>IF($Q2012="","",INDEX(상세표[부서],$Q2012)&amp;"")</f>
        <v/>
      </c>
      <c r="B2012">
        <f>IF($Q2012="","",INDEX(상세표[사번],$Q2012)&amp;"")</f>
        <v/>
      </c>
      <c r="C2012">
        <f>IF($Q2012="","",INDEX(상세표[성명],$Q2012)&amp;"")</f>
        <v/>
      </c>
      <c r="D2012">
        <f>IF($Q2012="","",INDEX(상세표[직위],$Q2012)&amp;"")</f>
        <v/>
      </c>
      <c r="E2012">
        <f>IF($Q2012="","",IF(ISNUMBER(INDEX(상세표[근무일자],$Q2012)),TEXT(INDEX(상세표[근무일자],$Q2012),"yyyy-mm-dd"),INDEX(상세표[근무일자],$Q2012)&amp;""))</f>
        <v/>
      </c>
      <c r="F2012">
        <f>IF($Q2012="","",IF(ISNUMBER(INDEX(상세표[시작],$Q2012)),TEXT(INDEX(상세표[시작],$Q2012),"yyyy-mm-dd hh:mm"),INDEX(상세표[시작],$Q2012)&amp;""))</f>
        <v/>
      </c>
      <c r="G2012">
        <f>IF($Q2012="","",IF(ISNUMBER(INDEX(상세표[블록종료],$Q2012)),TEXT(INDEX(상세표[블록종료],$Q2012),"yyyy-mm-dd hh:mm"),INDEX(상세표[블록종료],$Q2012)&amp;""))</f>
        <v/>
      </c>
      <c r="H2012">
        <f>IF($Q2012="","",CHOOSE(WEEKDAY(INDEX(상세표[시작],$Q2012)),"일","월","화","수","목","금","토"))</f>
        <v/>
      </c>
      <c r="I2012" s="20">
        <f>IF($Q2012="","",INDEX(상세표[연속 시간],$Q2012))</f>
        <v/>
      </c>
      <c r="J2012">
        <f>IF($Q2012="","",INDEX(상세표[기록 수],$Q2012))</f>
        <v/>
      </c>
      <c r="K2012" s="20">
        <f>IF($Q2012="","",INDEX(상세표[블록 06~07시],$Q2012))</f>
        <v/>
      </c>
      <c r="L2012" s="20">
        <f>IF($Q2012="","",INDEX(상세표[블록 07~18시],$Q2012))</f>
        <v/>
      </c>
      <c r="M2012" s="20">
        <f>IF($Q2012="","",INDEX(상세표[블록 18~22시],$Q2012))</f>
        <v/>
      </c>
      <c r="N2012" s="20">
        <f>IF($Q2012="","",INDEX(상세표[블록 22~06시],$Q2012))</f>
        <v/>
      </c>
      <c r="O2012">
        <f>IF($Q2012="","",INDEX(상세표[주말·휴일 포함],$Q2012)&amp;"")</f>
        <v/>
      </c>
      <c r="P2012">
        <f>IF($Q2012="","",INDEX(상세표[월 넘김 포함],$Q2012)&amp;"")</f>
        <v/>
      </c>
      <c r="Q2012" s="4">
        <f>IFERROR(MATCH(2007,상세표[연속순번],0),"")</f>
        <v/>
      </c>
    </row>
    <row r="2013">
      <c r="A2013">
        <f>IF($Q2013="","",INDEX(상세표[부서],$Q2013)&amp;"")</f>
        <v/>
      </c>
      <c r="B2013">
        <f>IF($Q2013="","",INDEX(상세표[사번],$Q2013)&amp;"")</f>
        <v/>
      </c>
      <c r="C2013">
        <f>IF($Q2013="","",INDEX(상세표[성명],$Q2013)&amp;"")</f>
        <v/>
      </c>
      <c r="D2013">
        <f>IF($Q2013="","",INDEX(상세표[직위],$Q2013)&amp;"")</f>
        <v/>
      </c>
      <c r="E2013">
        <f>IF($Q2013="","",IF(ISNUMBER(INDEX(상세표[근무일자],$Q2013)),TEXT(INDEX(상세표[근무일자],$Q2013),"yyyy-mm-dd"),INDEX(상세표[근무일자],$Q2013)&amp;""))</f>
        <v/>
      </c>
      <c r="F2013">
        <f>IF($Q2013="","",IF(ISNUMBER(INDEX(상세표[시작],$Q2013)),TEXT(INDEX(상세표[시작],$Q2013),"yyyy-mm-dd hh:mm"),INDEX(상세표[시작],$Q2013)&amp;""))</f>
        <v/>
      </c>
      <c r="G2013">
        <f>IF($Q2013="","",IF(ISNUMBER(INDEX(상세표[블록종료],$Q2013)),TEXT(INDEX(상세표[블록종료],$Q2013),"yyyy-mm-dd hh:mm"),INDEX(상세표[블록종료],$Q2013)&amp;""))</f>
        <v/>
      </c>
      <c r="H2013">
        <f>IF($Q2013="","",CHOOSE(WEEKDAY(INDEX(상세표[시작],$Q2013)),"일","월","화","수","목","금","토"))</f>
        <v/>
      </c>
      <c r="I2013" s="20">
        <f>IF($Q2013="","",INDEX(상세표[연속 시간],$Q2013))</f>
        <v/>
      </c>
      <c r="J2013">
        <f>IF($Q2013="","",INDEX(상세표[기록 수],$Q2013))</f>
        <v/>
      </c>
      <c r="K2013" s="20">
        <f>IF($Q2013="","",INDEX(상세표[블록 06~07시],$Q2013))</f>
        <v/>
      </c>
      <c r="L2013" s="20">
        <f>IF($Q2013="","",INDEX(상세표[블록 07~18시],$Q2013))</f>
        <v/>
      </c>
      <c r="M2013" s="20">
        <f>IF($Q2013="","",INDEX(상세표[블록 18~22시],$Q2013))</f>
        <v/>
      </c>
      <c r="N2013" s="20">
        <f>IF($Q2013="","",INDEX(상세표[블록 22~06시],$Q2013))</f>
        <v/>
      </c>
      <c r="O2013">
        <f>IF($Q2013="","",INDEX(상세표[주말·휴일 포함],$Q2013)&amp;"")</f>
        <v/>
      </c>
      <c r="P2013">
        <f>IF($Q2013="","",INDEX(상세표[월 넘김 포함],$Q2013)&amp;"")</f>
        <v/>
      </c>
      <c r="Q2013" s="4">
        <f>IFERROR(MATCH(2008,상세표[연속순번],0),"")</f>
        <v/>
      </c>
    </row>
    <row r="2014">
      <c r="A2014">
        <f>IF($Q2014="","",INDEX(상세표[부서],$Q2014)&amp;"")</f>
        <v/>
      </c>
      <c r="B2014">
        <f>IF($Q2014="","",INDEX(상세표[사번],$Q2014)&amp;"")</f>
        <v/>
      </c>
      <c r="C2014">
        <f>IF($Q2014="","",INDEX(상세표[성명],$Q2014)&amp;"")</f>
        <v/>
      </c>
      <c r="D2014">
        <f>IF($Q2014="","",INDEX(상세표[직위],$Q2014)&amp;"")</f>
        <v/>
      </c>
      <c r="E2014">
        <f>IF($Q2014="","",IF(ISNUMBER(INDEX(상세표[근무일자],$Q2014)),TEXT(INDEX(상세표[근무일자],$Q2014),"yyyy-mm-dd"),INDEX(상세표[근무일자],$Q2014)&amp;""))</f>
        <v/>
      </c>
      <c r="F2014">
        <f>IF($Q2014="","",IF(ISNUMBER(INDEX(상세표[시작],$Q2014)),TEXT(INDEX(상세표[시작],$Q2014),"yyyy-mm-dd hh:mm"),INDEX(상세표[시작],$Q2014)&amp;""))</f>
        <v/>
      </c>
      <c r="G2014">
        <f>IF($Q2014="","",IF(ISNUMBER(INDEX(상세표[블록종료],$Q2014)),TEXT(INDEX(상세표[블록종료],$Q2014),"yyyy-mm-dd hh:mm"),INDEX(상세표[블록종료],$Q2014)&amp;""))</f>
        <v/>
      </c>
      <c r="H2014">
        <f>IF($Q2014="","",CHOOSE(WEEKDAY(INDEX(상세표[시작],$Q2014)),"일","월","화","수","목","금","토"))</f>
        <v/>
      </c>
      <c r="I2014" s="20">
        <f>IF($Q2014="","",INDEX(상세표[연속 시간],$Q2014))</f>
        <v/>
      </c>
      <c r="J2014">
        <f>IF($Q2014="","",INDEX(상세표[기록 수],$Q2014))</f>
        <v/>
      </c>
      <c r="K2014" s="20">
        <f>IF($Q2014="","",INDEX(상세표[블록 06~07시],$Q2014))</f>
        <v/>
      </c>
      <c r="L2014" s="20">
        <f>IF($Q2014="","",INDEX(상세표[블록 07~18시],$Q2014))</f>
        <v/>
      </c>
      <c r="M2014" s="20">
        <f>IF($Q2014="","",INDEX(상세표[블록 18~22시],$Q2014))</f>
        <v/>
      </c>
      <c r="N2014" s="20">
        <f>IF($Q2014="","",INDEX(상세표[블록 22~06시],$Q2014))</f>
        <v/>
      </c>
      <c r="O2014">
        <f>IF($Q2014="","",INDEX(상세표[주말·휴일 포함],$Q2014)&amp;"")</f>
        <v/>
      </c>
      <c r="P2014">
        <f>IF($Q2014="","",INDEX(상세표[월 넘김 포함],$Q2014)&amp;"")</f>
        <v/>
      </c>
      <c r="Q2014" s="4">
        <f>IFERROR(MATCH(2009,상세표[연속순번],0),"")</f>
        <v/>
      </c>
    </row>
    <row r="2015">
      <c r="A2015">
        <f>IF($Q2015="","",INDEX(상세표[부서],$Q2015)&amp;"")</f>
        <v/>
      </c>
      <c r="B2015">
        <f>IF($Q2015="","",INDEX(상세표[사번],$Q2015)&amp;"")</f>
        <v/>
      </c>
      <c r="C2015">
        <f>IF($Q2015="","",INDEX(상세표[성명],$Q2015)&amp;"")</f>
        <v/>
      </c>
      <c r="D2015">
        <f>IF($Q2015="","",INDEX(상세표[직위],$Q2015)&amp;"")</f>
        <v/>
      </c>
      <c r="E2015">
        <f>IF($Q2015="","",IF(ISNUMBER(INDEX(상세표[근무일자],$Q2015)),TEXT(INDEX(상세표[근무일자],$Q2015),"yyyy-mm-dd"),INDEX(상세표[근무일자],$Q2015)&amp;""))</f>
        <v/>
      </c>
      <c r="F2015">
        <f>IF($Q2015="","",IF(ISNUMBER(INDEX(상세표[시작],$Q2015)),TEXT(INDEX(상세표[시작],$Q2015),"yyyy-mm-dd hh:mm"),INDEX(상세표[시작],$Q2015)&amp;""))</f>
        <v/>
      </c>
      <c r="G2015">
        <f>IF($Q2015="","",IF(ISNUMBER(INDEX(상세표[블록종료],$Q2015)),TEXT(INDEX(상세표[블록종료],$Q2015),"yyyy-mm-dd hh:mm"),INDEX(상세표[블록종료],$Q2015)&amp;""))</f>
        <v/>
      </c>
      <c r="H2015">
        <f>IF($Q2015="","",CHOOSE(WEEKDAY(INDEX(상세표[시작],$Q2015)),"일","월","화","수","목","금","토"))</f>
        <v/>
      </c>
      <c r="I2015" s="20">
        <f>IF($Q2015="","",INDEX(상세표[연속 시간],$Q2015))</f>
        <v/>
      </c>
      <c r="J2015">
        <f>IF($Q2015="","",INDEX(상세표[기록 수],$Q2015))</f>
        <v/>
      </c>
      <c r="K2015" s="20">
        <f>IF($Q2015="","",INDEX(상세표[블록 06~07시],$Q2015))</f>
        <v/>
      </c>
      <c r="L2015" s="20">
        <f>IF($Q2015="","",INDEX(상세표[블록 07~18시],$Q2015))</f>
        <v/>
      </c>
      <c r="M2015" s="20">
        <f>IF($Q2015="","",INDEX(상세표[블록 18~22시],$Q2015))</f>
        <v/>
      </c>
      <c r="N2015" s="20">
        <f>IF($Q2015="","",INDEX(상세표[블록 22~06시],$Q2015))</f>
        <v/>
      </c>
      <c r="O2015">
        <f>IF($Q2015="","",INDEX(상세표[주말·휴일 포함],$Q2015)&amp;"")</f>
        <v/>
      </c>
      <c r="P2015">
        <f>IF($Q2015="","",INDEX(상세표[월 넘김 포함],$Q2015)&amp;"")</f>
        <v/>
      </c>
      <c r="Q2015" s="4">
        <f>IFERROR(MATCH(2010,상세표[연속순번],0),"")</f>
        <v/>
      </c>
    </row>
    <row r="2016">
      <c r="A2016">
        <f>IF($Q2016="","",INDEX(상세표[부서],$Q2016)&amp;"")</f>
        <v/>
      </c>
      <c r="B2016">
        <f>IF($Q2016="","",INDEX(상세표[사번],$Q2016)&amp;"")</f>
        <v/>
      </c>
      <c r="C2016">
        <f>IF($Q2016="","",INDEX(상세표[성명],$Q2016)&amp;"")</f>
        <v/>
      </c>
      <c r="D2016">
        <f>IF($Q2016="","",INDEX(상세표[직위],$Q2016)&amp;"")</f>
        <v/>
      </c>
      <c r="E2016">
        <f>IF($Q2016="","",IF(ISNUMBER(INDEX(상세표[근무일자],$Q2016)),TEXT(INDEX(상세표[근무일자],$Q2016),"yyyy-mm-dd"),INDEX(상세표[근무일자],$Q2016)&amp;""))</f>
        <v/>
      </c>
      <c r="F2016">
        <f>IF($Q2016="","",IF(ISNUMBER(INDEX(상세표[시작],$Q2016)),TEXT(INDEX(상세표[시작],$Q2016),"yyyy-mm-dd hh:mm"),INDEX(상세표[시작],$Q2016)&amp;""))</f>
        <v/>
      </c>
      <c r="G2016">
        <f>IF($Q2016="","",IF(ISNUMBER(INDEX(상세표[블록종료],$Q2016)),TEXT(INDEX(상세표[블록종료],$Q2016),"yyyy-mm-dd hh:mm"),INDEX(상세표[블록종료],$Q2016)&amp;""))</f>
        <v/>
      </c>
      <c r="H2016">
        <f>IF($Q2016="","",CHOOSE(WEEKDAY(INDEX(상세표[시작],$Q2016)),"일","월","화","수","목","금","토"))</f>
        <v/>
      </c>
      <c r="I2016" s="20">
        <f>IF($Q2016="","",INDEX(상세표[연속 시간],$Q2016))</f>
        <v/>
      </c>
      <c r="J2016">
        <f>IF($Q2016="","",INDEX(상세표[기록 수],$Q2016))</f>
        <v/>
      </c>
      <c r="K2016" s="20">
        <f>IF($Q2016="","",INDEX(상세표[블록 06~07시],$Q2016))</f>
        <v/>
      </c>
      <c r="L2016" s="20">
        <f>IF($Q2016="","",INDEX(상세표[블록 07~18시],$Q2016))</f>
        <v/>
      </c>
      <c r="M2016" s="20">
        <f>IF($Q2016="","",INDEX(상세표[블록 18~22시],$Q2016))</f>
        <v/>
      </c>
      <c r="N2016" s="20">
        <f>IF($Q2016="","",INDEX(상세표[블록 22~06시],$Q2016))</f>
        <v/>
      </c>
      <c r="O2016">
        <f>IF($Q2016="","",INDEX(상세표[주말·휴일 포함],$Q2016)&amp;"")</f>
        <v/>
      </c>
      <c r="P2016">
        <f>IF($Q2016="","",INDEX(상세표[월 넘김 포함],$Q2016)&amp;"")</f>
        <v/>
      </c>
      <c r="Q2016" s="4">
        <f>IFERROR(MATCH(2011,상세표[연속순번],0),"")</f>
        <v/>
      </c>
    </row>
    <row r="2017">
      <c r="A2017">
        <f>IF($Q2017="","",INDEX(상세표[부서],$Q2017)&amp;"")</f>
        <v/>
      </c>
      <c r="B2017">
        <f>IF($Q2017="","",INDEX(상세표[사번],$Q2017)&amp;"")</f>
        <v/>
      </c>
      <c r="C2017">
        <f>IF($Q2017="","",INDEX(상세표[성명],$Q2017)&amp;"")</f>
        <v/>
      </c>
      <c r="D2017">
        <f>IF($Q2017="","",INDEX(상세표[직위],$Q2017)&amp;"")</f>
        <v/>
      </c>
      <c r="E2017">
        <f>IF($Q2017="","",IF(ISNUMBER(INDEX(상세표[근무일자],$Q2017)),TEXT(INDEX(상세표[근무일자],$Q2017),"yyyy-mm-dd"),INDEX(상세표[근무일자],$Q2017)&amp;""))</f>
        <v/>
      </c>
      <c r="F2017">
        <f>IF($Q2017="","",IF(ISNUMBER(INDEX(상세표[시작],$Q2017)),TEXT(INDEX(상세표[시작],$Q2017),"yyyy-mm-dd hh:mm"),INDEX(상세표[시작],$Q2017)&amp;""))</f>
        <v/>
      </c>
      <c r="G2017">
        <f>IF($Q2017="","",IF(ISNUMBER(INDEX(상세표[블록종료],$Q2017)),TEXT(INDEX(상세표[블록종료],$Q2017),"yyyy-mm-dd hh:mm"),INDEX(상세표[블록종료],$Q2017)&amp;""))</f>
        <v/>
      </c>
      <c r="H2017">
        <f>IF($Q2017="","",CHOOSE(WEEKDAY(INDEX(상세표[시작],$Q2017)),"일","월","화","수","목","금","토"))</f>
        <v/>
      </c>
      <c r="I2017" s="20">
        <f>IF($Q2017="","",INDEX(상세표[연속 시간],$Q2017))</f>
        <v/>
      </c>
      <c r="J2017">
        <f>IF($Q2017="","",INDEX(상세표[기록 수],$Q2017))</f>
        <v/>
      </c>
      <c r="K2017" s="20">
        <f>IF($Q2017="","",INDEX(상세표[블록 06~07시],$Q2017))</f>
        <v/>
      </c>
      <c r="L2017" s="20">
        <f>IF($Q2017="","",INDEX(상세표[블록 07~18시],$Q2017))</f>
        <v/>
      </c>
      <c r="M2017" s="20">
        <f>IF($Q2017="","",INDEX(상세표[블록 18~22시],$Q2017))</f>
        <v/>
      </c>
      <c r="N2017" s="20">
        <f>IF($Q2017="","",INDEX(상세표[블록 22~06시],$Q2017))</f>
        <v/>
      </c>
      <c r="O2017">
        <f>IF($Q2017="","",INDEX(상세표[주말·휴일 포함],$Q2017)&amp;"")</f>
        <v/>
      </c>
      <c r="P2017">
        <f>IF($Q2017="","",INDEX(상세표[월 넘김 포함],$Q2017)&amp;"")</f>
        <v/>
      </c>
      <c r="Q2017" s="4">
        <f>IFERROR(MATCH(2012,상세표[연속순번],0),"")</f>
        <v/>
      </c>
    </row>
    <row r="2018">
      <c r="A2018">
        <f>IF($Q2018="","",INDEX(상세표[부서],$Q2018)&amp;"")</f>
        <v/>
      </c>
      <c r="B2018">
        <f>IF($Q2018="","",INDEX(상세표[사번],$Q2018)&amp;"")</f>
        <v/>
      </c>
      <c r="C2018">
        <f>IF($Q2018="","",INDEX(상세표[성명],$Q2018)&amp;"")</f>
        <v/>
      </c>
      <c r="D2018">
        <f>IF($Q2018="","",INDEX(상세표[직위],$Q2018)&amp;"")</f>
        <v/>
      </c>
      <c r="E2018">
        <f>IF($Q2018="","",IF(ISNUMBER(INDEX(상세표[근무일자],$Q2018)),TEXT(INDEX(상세표[근무일자],$Q2018),"yyyy-mm-dd"),INDEX(상세표[근무일자],$Q2018)&amp;""))</f>
        <v/>
      </c>
      <c r="F2018">
        <f>IF($Q2018="","",IF(ISNUMBER(INDEX(상세표[시작],$Q2018)),TEXT(INDEX(상세표[시작],$Q2018),"yyyy-mm-dd hh:mm"),INDEX(상세표[시작],$Q2018)&amp;""))</f>
        <v/>
      </c>
      <c r="G2018">
        <f>IF($Q2018="","",IF(ISNUMBER(INDEX(상세표[블록종료],$Q2018)),TEXT(INDEX(상세표[블록종료],$Q2018),"yyyy-mm-dd hh:mm"),INDEX(상세표[블록종료],$Q2018)&amp;""))</f>
        <v/>
      </c>
      <c r="H2018">
        <f>IF($Q2018="","",CHOOSE(WEEKDAY(INDEX(상세표[시작],$Q2018)),"일","월","화","수","목","금","토"))</f>
        <v/>
      </c>
      <c r="I2018" s="20">
        <f>IF($Q2018="","",INDEX(상세표[연속 시간],$Q2018))</f>
        <v/>
      </c>
      <c r="J2018">
        <f>IF($Q2018="","",INDEX(상세표[기록 수],$Q2018))</f>
        <v/>
      </c>
      <c r="K2018" s="20">
        <f>IF($Q2018="","",INDEX(상세표[블록 06~07시],$Q2018))</f>
        <v/>
      </c>
      <c r="L2018" s="20">
        <f>IF($Q2018="","",INDEX(상세표[블록 07~18시],$Q2018))</f>
        <v/>
      </c>
      <c r="M2018" s="20">
        <f>IF($Q2018="","",INDEX(상세표[블록 18~22시],$Q2018))</f>
        <v/>
      </c>
      <c r="N2018" s="20">
        <f>IF($Q2018="","",INDEX(상세표[블록 22~06시],$Q2018))</f>
        <v/>
      </c>
      <c r="O2018">
        <f>IF($Q2018="","",INDEX(상세표[주말·휴일 포함],$Q2018)&amp;"")</f>
        <v/>
      </c>
      <c r="P2018">
        <f>IF($Q2018="","",INDEX(상세표[월 넘김 포함],$Q2018)&amp;"")</f>
        <v/>
      </c>
      <c r="Q2018" s="4">
        <f>IFERROR(MATCH(2013,상세표[연속순번],0),"")</f>
        <v/>
      </c>
    </row>
    <row r="2019">
      <c r="A2019">
        <f>IF($Q2019="","",INDEX(상세표[부서],$Q2019)&amp;"")</f>
        <v/>
      </c>
      <c r="B2019">
        <f>IF($Q2019="","",INDEX(상세표[사번],$Q2019)&amp;"")</f>
        <v/>
      </c>
      <c r="C2019">
        <f>IF($Q2019="","",INDEX(상세표[성명],$Q2019)&amp;"")</f>
        <v/>
      </c>
      <c r="D2019">
        <f>IF($Q2019="","",INDEX(상세표[직위],$Q2019)&amp;"")</f>
        <v/>
      </c>
      <c r="E2019">
        <f>IF($Q2019="","",IF(ISNUMBER(INDEX(상세표[근무일자],$Q2019)),TEXT(INDEX(상세표[근무일자],$Q2019),"yyyy-mm-dd"),INDEX(상세표[근무일자],$Q2019)&amp;""))</f>
        <v/>
      </c>
      <c r="F2019">
        <f>IF($Q2019="","",IF(ISNUMBER(INDEX(상세표[시작],$Q2019)),TEXT(INDEX(상세표[시작],$Q2019),"yyyy-mm-dd hh:mm"),INDEX(상세표[시작],$Q2019)&amp;""))</f>
        <v/>
      </c>
      <c r="G2019">
        <f>IF($Q2019="","",IF(ISNUMBER(INDEX(상세표[블록종료],$Q2019)),TEXT(INDEX(상세표[블록종료],$Q2019),"yyyy-mm-dd hh:mm"),INDEX(상세표[블록종료],$Q2019)&amp;""))</f>
        <v/>
      </c>
      <c r="H2019">
        <f>IF($Q2019="","",CHOOSE(WEEKDAY(INDEX(상세표[시작],$Q2019)),"일","월","화","수","목","금","토"))</f>
        <v/>
      </c>
      <c r="I2019" s="20">
        <f>IF($Q2019="","",INDEX(상세표[연속 시간],$Q2019))</f>
        <v/>
      </c>
      <c r="J2019">
        <f>IF($Q2019="","",INDEX(상세표[기록 수],$Q2019))</f>
        <v/>
      </c>
      <c r="K2019" s="20">
        <f>IF($Q2019="","",INDEX(상세표[블록 06~07시],$Q2019))</f>
        <v/>
      </c>
      <c r="L2019" s="20">
        <f>IF($Q2019="","",INDEX(상세표[블록 07~18시],$Q2019))</f>
        <v/>
      </c>
      <c r="M2019" s="20">
        <f>IF($Q2019="","",INDEX(상세표[블록 18~22시],$Q2019))</f>
        <v/>
      </c>
      <c r="N2019" s="20">
        <f>IF($Q2019="","",INDEX(상세표[블록 22~06시],$Q2019))</f>
        <v/>
      </c>
      <c r="O2019">
        <f>IF($Q2019="","",INDEX(상세표[주말·휴일 포함],$Q2019)&amp;"")</f>
        <v/>
      </c>
      <c r="P2019">
        <f>IF($Q2019="","",INDEX(상세표[월 넘김 포함],$Q2019)&amp;"")</f>
        <v/>
      </c>
      <c r="Q2019" s="4">
        <f>IFERROR(MATCH(2014,상세표[연속순번],0),"")</f>
        <v/>
      </c>
    </row>
    <row r="2020">
      <c r="A2020">
        <f>IF($Q2020="","",INDEX(상세표[부서],$Q2020)&amp;"")</f>
        <v/>
      </c>
      <c r="B2020">
        <f>IF($Q2020="","",INDEX(상세표[사번],$Q2020)&amp;"")</f>
        <v/>
      </c>
      <c r="C2020">
        <f>IF($Q2020="","",INDEX(상세표[성명],$Q2020)&amp;"")</f>
        <v/>
      </c>
      <c r="D2020">
        <f>IF($Q2020="","",INDEX(상세표[직위],$Q2020)&amp;"")</f>
        <v/>
      </c>
      <c r="E2020">
        <f>IF($Q2020="","",IF(ISNUMBER(INDEX(상세표[근무일자],$Q2020)),TEXT(INDEX(상세표[근무일자],$Q2020),"yyyy-mm-dd"),INDEX(상세표[근무일자],$Q2020)&amp;""))</f>
        <v/>
      </c>
      <c r="F2020">
        <f>IF($Q2020="","",IF(ISNUMBER(INDEX(상세표[시작],$Q2020)),TEXT(INDEX(상세표[시작],$Q2020),"yyyy-mm-dd hh:mm"),INDEX(상세표[시작],$Q2020)&amp;""))</f>
        <v/>
      </c>
      <c r="G2020">
        <f>IF($Q2020="","",IF(ISNUMBER(INDEX(상세표[블록종료],$Q2020)),TEXT(INDEX(상세표[블록종료],$Q2020),"yyyy-mm-dd hh:mm"),INDEX(상세표[블록종료],$Q2020)&amp;""))</f>
        <v/>
      </c>
      <c r="H2020">
        <f>IF($Q2020="","",CHOOSE(WEEKDAY(INDEX(상세표[시작],$Q2020)),"일","월","화","수","목","금","토"))</f>
        <v/>
      </c>
      <c r="I2020" s="20">
        <f>IF($Q2020="","",INDEX(상세표[연속 시간],$Q2020))</f>
        <v/>
      </c>
      <c r="J2020">
        <f>IF($Q2020="","",INDEX(상세표[기록 수],$Q2020))</f>
        <v/>
      </c>
      <c r="K2020" s="20">
        <f>IF($Q2020="","",INDEX(상세표[블록 06~07시],$Q2020))</f>
        <v/>
      </c>
      <c r="L2020" s="20">
        <f>IF($Q2020="","",INDEX(상세표[블록 07~18시],$Q2020))</f>
        <v/>
      </c>
      <c r="M2020" s="20">
        <f>IF($Q2020="","",INDEX(상세표[블록 18~22시],$Q2020))</f>
        <v/>
      </c>
      <c r="N2020" s="20">
        <f>IF($Q2020="","",INDEX(상세표[블록 22~06시],$Q2020))</f>
        <v/>
      </c>
      <c r="O2020">
        <f>IF($Q2020="","",INDEX(상세표[주말·휴일 포함],$Q2020)&amp;"")</f>
        <v/>
      </c>
      <c r="P2020">
        <f>IF($Q2020="","",INDEX(상세표[월 넘김 포함],$Q2020)&amp;"")</f>
        <v/>
      </c>
      <c r="Q2020" s="4">
        <f>IFERROR(MATCH(2015,상세표[연속순번],0),"")</f>
        <v/>
      </c>
    </row>
    <row r="2021">
      <c r="A2021">
        <f>IF($Q2021="","",INDEX(상세표[부서],$Q2021)&amp;"")</f>
        <v/>
      </c>
      <c r="B2021">
        <f>IF($Q2021="","",INDEX(상세표[사번],$Q2021)&amp;"")</f>
        <v/>
      </c>
      <c r="C2021">
        <f>IF($Q2021="","",INDEX(상세표[성명],$Q2021)&amp;"")</f>
        <v/>
      </c>
      <c r="D2021">
        <f>IF($Q2021="","",INDEX(상세표[직위],$Q2021)&amp;"")</f>
        <v/>
      </c>
      <c r="E2021">
        <f>IF($Q2021="","",IF(ISNUMBER(INDEX(상세표[근무일자],$Q2021)),TEXT(INDEX(상세표[근무일자],$Q2021),"yyyy-mm-dd"),INDEX(상세표[근무일자],$Q2021)&amp;""))</f>
        <v/>
      </c>
      <c r="F2021">
        <f>IF($Q2021="","",IF(ISNUMBER(INDEX(상세표[시작],$Q2021)),TEXT(INDEX(상세표[시작],$Q2021),"yyyy-mm-dd hh:mm"),INDEX(상세표[시작],$Q2021)&amp;""))</f>
        <v/>
      </c>
      <c r="G2021">
        <f>IF($Q2021="","",IF(ISNUMBER(INDEX(상세표[블록종료],$Q2021)),TEXT(INDEX(상세표[블록종료],$Q2021),"yyyy-mm-dd hh:mm"),INDEX(상세표[블록종료],$Q2021)&amp;""))</f>
        <v/>
      </c>
      <c r="H2021">
        <f>IF($Q2021="","",CHOOSE(WEEKDAY(INDEX(상세표[시작],$Q2021)),"일","월","화","수","목","금","토"))</f>
        <v/>
      </c>
      <c r="I2021" s="20">
        <f>IF($Q2021="","",INDEX(상세표[연속 시간],$Q2021))</f>
        <v/>
      </c>
      <c r="J2021">
        <f>IF($Q2021="","",INDEX(상세표[기록 수],$Q2021))</f>
        <v/>
      </c>
      <c r="K2021" s="20">
        <f>IF($Q2021="","",INDEX(상세표[블록 06~07시],$Q2021))</f>
        <v/>
      </c>
      <c r="L2021" s="20">
        <f>IF($Q2021="","",INDEX(상세표[블록 07~18시],$Q2021))</f>
        <v/>
      </c>
      <c r="M2021" s="20">
        <f>IF($Q2021="","",INDEX(상세표[블록 18~22시],$Q2021))</f>
        <v/>
      </c>
      <c r="N2021" s="20">
        <f>IF($Q2021="","",INDEX(상세표[블록 22~06시],$Q2021))</f>
        <v/>
      </c>
      <c r="O2021">
        <f>IF($Q2021="","",INDEX(상세표[주말·휴일 포함],$Q2021)&amp;"")</f>
        <v/>
      </c>
      <c r="P2021">
        <f>IF($Q2021="","",INDEX(상세표[월 넘김 포함],$Q2021)&amp;"")</f>
        <v/>
      </c>
      <c r="Q2021" s="4">
        <f>IFERROR(MATCH(2016,상세표[연속순번],0),"")</f>
        <v/>
      </c>
    </row>
    <row r="2022">
      <c r="A2022">
        <f>IF($Q2022="","",INDEX(상세표[부서],$Q2022)&amp;"")</f>
        <v/>
      </c>
      <c r="B2022">
        <f>IF($Q2022="","",INDEX(상세표[사번],$Q2022)&amp;"")</f>
        <v/>
      </c>
      <c r="C2022">
        <f>IF($Q2022="","",INDEX(상세표[성명],$Q2022)&amp;"")</f>
        <v/>
      </c>
      <c r="D2022">
        <f>IF($Q2022="","",INDEX(상세표[직위],$Q2022)&amp;"")</f>
        <v/>
      </c>
      <c r="E2022">
        <f>IF($Q2022="","",IF(ISNUMBER(INDEX(상세표[근무일자],$Q2022)),TEXT(INDEX(상세표[근무일자],$Q2022),"yyyy-mm-dd"),INDEX(상세표[근무일자],$Q2022)&amp;""))</f>
        <v/>
      </c>
      <c r="F2022">
        <f>IF($Q2022="","",IF(ISNUMBER(INDEX(상세표[시작],$Q2022)),TEXT(INDEX(상세표[시작],$Q2022),"yyyy-mm-dd hh:mm"),INDEX(상세표[시작],$Q2022)&amp;""))</f>
        <v/>
      </c>
      <c r="G2022">
        <f>IF($Q2022="","",IF(ISNUMBER(INDEX(상세표[블록종료],$Q2022)),TEXT(INDEX(상세표[블록종료],$Q2022),"yyyy-mm-dd hh:mm"),INDEX(상세표[블록종료],$Q2022)&amp;""))</f>
        <v/>
      </c>
      <c r="H2022">
        <f>IF($Q2022="","",CHOOSE(WEEKDAY(INDEX(상세표[시작],$Q2022)),"일","월","화","수","목","금","토"))</f>
        <v/>
      </c>
      <c r="I2022" s="20">
        <f>IF($Q2022="","",INDEX(상세표[연속 시간],$Q2022))</f>
        <v/>
      </c>
      <c r="J2022">
        <f>IF($Q2022="","",INDEX(상세표[기록 수],$Q2022))</f>
        <v/>
      </c>
      <c r="K2022" s="20">
        <f>IF($Q2022="","",INDEX(상세표[블록 06~07시],$Q2022))</f>
        <v/>
      </c>
      <c r="L2022" s="20">
        <f>IF($Q2022="","",INDEX(상세표[블록 07~18시],$Q2022))</f>
        <v/>
      </c>
      <c r="M2022" s="20">
        <f>IF($Q2022="","",INDEX(상세표[블록 18~22시],$Q2022))</f>
        <v/>
      </c>
      <c r="N2022" s="20">
        <f>IF($Q2022="","",INDEX(상세표[블록 22~06시],$Q2022))</f>
        <v/>
      </c>
      <c r="O2022">
        <f>IF($Q2022="","",INDEX(상세표[주말·휴일 포함],$Q2022)&amp;"")</f>
        <v/>
      </c>
      <c r="P2022">
        <f>IF($Q2022="","",INDEX(상세표[월 넘김 포함],$Q2022)&amp;"")</f>
        <v/>
      </c>
      <c r="Q2022" s="4">
        <f>IFERROR(MATCH(2017,상세표[연속순번],0),"")</f>
        <v/>
      </c>
    </row>
    <row r="2023">
      <c r="A2023">
        <f>IF($Q2023="","",INDEX(상세표[부서],$Q2023)&amp;"")</f>
        <v/>
      </c>
      <c r="B2023">
        <f>IF($Q2023="","",INDEX(상세표[사번],$Q2023)&amp;"")</f>
        <v/>
      </c>
      <c r="C2023">
        <f>IF($Q2023="","",INDEX(상세표[성명],$Q2023)&amp;"")</f>
        <v/>
      </c>
      <c r="D2023">
        <f>IF($Q2023="","",INDEX(상세표[직위],$Q2023)&amp;"")</f>
        <v/>
      </c>
      <c r="E2023">
        <f>IF($Q2023="","",IF(ISNUMBER(INDEX(상세표[근무일자],$Q2023)),TEXT(INDEX(상세표[근무일자],$Q2023),"yyyy-mm-dd"),INDEX(상세표[근무일자],$Q2023)&amp;""))</f>
        <v/>
      </c>
      <c r="F2023">
        <f>IF($Q2023="","",IF(ISNUMBER(INDEX(상세표[시작],$Q2023)),TEXT(INDEX(상세표[시작],$Q2023),"yyyy-mm-dd hh:mm"),INDEX(상세표[시작],$Q2023)&amp;""))</f>
        <v/>
      </c>
      <c r="G2023">
        <f>IF($Q2023="","",IF(ISNUMBER(INDEX(상세표[블록종료],$Q2023)),TEXT(INDEX(상세표[블록종료],$Q2023),"yyyy-mm-dd hh:mm"),INDEX(상세표[블록종료],$Q2023)&amp;""))</f>
        <v/>
      </c>
      <c r="H2023">
        <f>IF($Q2023="","",CHOOSE(WEEKDAY(INDEX(상세표[시작],$Q2023)),"일","월","화","수","목","금","토"))</f>
        <v/>
      </c>
      <c r="I2023" s="20">
        <f>IF($Q2023="","",INDEX(상세표[연속 시간],$Q2023))</f>
        <v/>
      </c>
      <c r="J2023">
        <f>IF($Q2023="","",INDEX(상세표[기록 수],$Q2023))</f>
        <v/>
      </c>
      <c r="K2023" s="20">
        <f>IF($Q2023="","",INDEX(상세표[블록 06~07시],$Q2023))</f>
        <v/>
      </c>
      <c r="L2023" s="20">
        <f>IF($Q2023="","",INDEX(상세표[블록 07~18시],$Q2023))</f>
        <v/>
      </c>
      <c r="M2023" s="20">
        <f>IF($Q2023="","",INDEX(상세표[블록 18~22시],$Q2023))</f>
        <v/>
      </c>
      <c r="N2023" s="20">
        <f>IF($Q2023="","",INDEX(상세표[블록 22~06시],$Q2023))</f>
        <v/>
      </c>
      <c r="O2023">
        <f>IF($Q2023="","",INDEX(상세표[주말·휴일 포함],$Q2023)&amp;"")</f>
        <v/>
      </c>
      <c r="P2023">
        <f>IF($Q2023="","",INDEX(상세표[월 넘김 포함],$Q2023)&amp;"")</f>
        <v/>
      </c>
      <c r="Q2023" s="4">
        <f>IFERROR(MATCH(2018,상세표[연속순번],0),"")</f>
        <v/>
      </c>
    </row>
    <row r="2024">
      <c r="A2024">
        <f>IF($Q2024="","",INDEX(상세표[부서],$Q2024)&amp;"")</f>
        <v/>
      </c>
      <c r="B2024">
        <f>IF($Q2024="","",INDEX(상세표[사번],$Q2024)&amp;"")</f>
        <v/>
      </c>
      <c r="C2024">
        <f>IF($Q2024="","",INDEX(상세표[성명],$Q2024)&amp;"")</f>
        <v/>
      </c>
      <c r="D2024">
        <f>IF($Q2024="","",INDEX(상세표[직위],$Q2024)&amp;"")</f>
        <v/>
      </c>
      <c r="E2024">
        <f>IF($Q2024="","",IF(ISNUMBER(INDEX(상세표[근무일자],$Q2024)),TEXT(INDEX(상세표[근무일자],$Q2024),"yyyy-mm-dd"),INDEX(상세표[근무일자],$Q2024)&amp;""))</f>
        <v/>
      </c>
      <c r="F2024">
        <f>IF($Q2024="","",IF(ISNUMBER(INDEX(상세표[시작],$Q2024)),TEXT(INDEX(상세표[시작],$Q2024),"yyyy-mm-dd hh:mm"),INDEX(상세표[시작],$Q2024)&amp;""))</f>
        <v/>
      </c>
      <c r="G2024">
        <f>IF($Q2024="","",IF(ISNUMBER(INDEX(상세표[블록종료],$Q2024)),TEXT(INDEX(상세표[블록종료],$Q2024),"yyyy-mm-dd hh:mm"),INDEX(상세표[블록종료],$Q2024)&amp;""))</f>
        <v/>
      </c>
      <c r="H2024">
        <f>IF($Q2024="","",CHOOSE(WEEKDAY(INDEX(상세표[시작],$Q2024)),"일","월","화","수","목","금","토"))</f>
        <v/>
      </c>
      <c r="I2024" s="20">
        <f>IF($Q2024="","",INDEX(상세표[연속 시간],$Q2024))</f>
        <v/>
      </c>
      <c r="J2024">
        <f>IF($Q2024="","",INDEX(상세표[기록 수],$Q2024))</f>
        <v/>
      </c>
      <c r="K2024" s="20">
        <f>IF($Q2024="","",INDEX(상세표[블록 06~07시],$Q2024))</f>
        <v/>
      </c>
      <c r="L2024" s="20">
        <f>IF($Q2024="","",INDEX(상세표[블록 07~18시],$Q2024))</f>
        <v/>
      </c>
      <c r="M2024" s="20">
        <f>IF($Q2024="","",INDEX(상세표[블록 18~22시],$Q2024))</f>
        <v/>
      </c>
      <c r="N2024" s="20">
        <f>IF($Q2024="","",INDEX(상세표[블록 22~06시],$Q2024))</f>
        <v/>
      </c>
      <c r="O2024">
        <f>IF($Q2024="","",INDEX(상세표[주말·휴일 포함],$Q2024)&amp;"")</f>
        <v/>
      </c>
      <c r="P2024">
        <f>IF($Q2024="","",INDEX(상세표[월 넘김 포함],$Q2024)&amp;"")</f>
        <v/>
      </c>
      <c r="Q2024" s="4">
        <f>IFERROR(MATCH(2019,상세표[연속순번],0),"")</f>
        <v/>
      </c>
    </row>
    <row r="2025">
      <c r="A2025">
        <f>IF($Q2025="","",INDEX(상세표[부서],$Q2025)&amp;"")</f>
        <v/>
      </c>
      <c r="B2025">
        <f>IF($Q2025="","",INDEX(상세표[사번],$Q2025)&amp;"")</f>
        <v/>
      </c>
      <c r="C2025">
        <f>IF($Q2025="","",INDEX(상세표[성명],$Q2025)&amp;"")</f>
        <v/>
      </c>
      <c r="D2025">
        <f>IF($Q2025="","",INDEX(상세표[직위],$Q2025)&amp;"")</f>
        <v/>
      </c>
      <c r="E2025">
        <f>IF($Q2025="","",IF(ISNUMBER(INDEX(상세표[근무일자],$Q2025)),TEXT(INDEX(상세표[근무일자],$Q2025),"yyyy-mm-dd"),INDEX(상세표[근무일자],$Q2025)&amp;""))</f>
        <v/>
      </c>
      <c r="F2025">
        <f>IF($Q2025="","",IF(ISNUMBER(INDEX(상세표[시작],$Q2025)),TEXT(INDEX(상세표[시작],$Q2025),"yyyy-mm-dd hh:mm"),INDEX(상세표[시작],$Q2025)&amp;""))</f>
        <v/>
      </c>
      <c r="G2025">
        <f>IF($Q2025="","",IF(ISNUMBER(INDEX(상세표[블록종료],$Q2025)),TEXT(INDEX(상세표[블록종료],$Q2025),"yyyy-mm-dd hh:mm"),INDEX(상세표[블록종료],$Q2025)&amp;""))</f>
        <v/>
      </c>
      <c r="H2025">
        <f>IF($Q2025="","",CHOOSE(WEEKDAY(INDEX(상세표[시작],$Q2025)),"일","월","화","수","목","금","토"))</f>
        <v/>
      </c>
      <c r="I2025" s="20">
        <f>IF($Q2025="","",INDEX(상세표[연속 시간],$Q2025))</f>
        <v/>
      </c>
      <c r="J2025">
        <f>IF($Q2025="","",INDEX(상세표[기록 수],$Q2025))</f>
        <v/>
      </c>
      <c r="K2025" s="20">
        <f>IF($Q2025="","",INDEX(상세표[블록 06~07시],$Q2025))</f>
        <v/>
      </c>
      <c r="L2025" s="20">
        <f>IF($Q2025="","",INDEX(상세표[블록 07~18시],$Q2025))</f>
        <v/>
      </c>
      <c r="M2025" s="20">
        <f>IF($Q2025="","",INDEX(상세표[블록 18~22시],$Q2025))</f>
        <v/>
      </c>
      <c r="N2025" s="20">
        <f>IF($Q2025="","",INDEX(상세표[블록 22~06시],$Q2025))</f>
        <v/>
      </c>
      <c r="O2025">
        <f>IF($Q2025="","",INDEX(상세표[주말·휴일 포함],$Q2025)&amp;"")</f>
        <v/>
      </c>
      <c r="P2025">
        <f>IF($Q2025="","",INDEX(상세표[월 넘김 포함],$Q2025)&amp;"")</f>
        <v/>
      </c>
      <c r="Q2025" s="4">
        <f>IFERROR(MATCH(2020,상세표[연속순번],0),"")</f>
        <v/>
      </c>
    </row>
    <row r="2026">
      <c r="A2026">
        <f>IF($Q2026="","",INDEX(상세표[부서],$Q2026)&amp;"")</f>
        <v/>
      </c>
      <c r="B2026">
        <f>IF($Q2026="","",INDEX(상세표[사번],$Q2026)&amp;"")</f>
        <v/>
      </c>
      <c r="C2026">
        <f>IF($Q2026="","",INDEX(상세표[성명],$Q2026)&amp;"")</f>
        <v/>
      </c>
      <c r="D2026">
        <f>IF($Q2026="","",INDEX(상세표[직위],$Q2026)&amp;"")</f>
        <v/>
      </c>
      <c r="E2026">
        <f>IF($Q2026="","",IF(ISNUMBER(INDEX(상세표[근무일자],$Q2026)),TEXT(INDEX(상세표[근무일자],$Q2026),"yyyy-mm-dd"),INDEX(상세표[근무일자],$Q2026)&amp;""))</f>
        <v/>
      </c>
      <c r="F2026">
        <f>IF($Q2026="","",IF(ISNUMBER(INDEX(상세표[시작],$Q2026)),TEXT(INDEX(상세표[시작],$Q2026),"yyyy-mm-dd hh:mm"),INDEX(상세표[시작],$Q2026)&amp;""))</f>
        <v/>
      </c>
      <c r="G2026">
        <f>IF($Q2026="","",IF(ISNUMBER(INDEX(상세표[블록종료],$Q2026)),TEXT(INDEX(상세표[블록종료],$Q2026),"yyyy-mm-dd hh:mm"),INDEX(상세표[블록종료],$Q2026)&amp;""))</f>
        <v/>
      </c>
      <c r="H2026">
        <f>IF($Q2026="","",CHOOSE(WEEKDAY(INDEX(상세표[시작],$Q2026)),"일","월","화","수","목","금","토"))</f>
        <v/>
      </c>
      <c r="I2026" s="20">
        <f>IF($Q2026="","",INDEX(상세표[연속 시간],$Q2026))</f>
        <v/>
      </c>
      <c r="J2026">
        <f>IF($Q2026="","",INDEX(상세표[기록 수],$Q2026))</f>
        <v/>
      </c>
      <c r="K2026" s="20">
        <f>IF($Q2026="","",INDEX(상세표[블록 06~07시],$Q2026))</f>
        <v/>
      </c>
      <c r="L2026" s="20">
        <f>IF($Q2026="","",INDEX(상세표[블록 07~18시],$Q2026))</f>
        <v/>
      </c>
      <c r="M2026" s="20">
        <f>IF($Q2026="","",INDEX(상세표[블록 18~22시],$Q2026))</f>
        <v/>
      </c>
      <c r="N2026" s="20">
        <f>IF($Q2026="","",INDEX(상세표[블록 22~06시],$Q2026))</f>
        <v/>
      </c>
      <c r="O2026">
        <f>IF($Q2026="","",INDEX(상세표[주말·휴일 포함],$Q2026)&amp;"")</f>
        <v/>
      </c>
      <c r="P2026">
        <f>IF($Q2026="","",INDEX(상세표[월 넘김 포함],$Q2026)&amp;"")</f>
        <v/>
      </c>
      <c r="Q2026" s="4">
        <f>IFERROR(MATCH(2021,상세표[연속순번],0),"")</f>
        <v/>
      </c>
    </row>
    <row r="2027">
      <c r="A2027">
        <f>IF($Q2027="","",INDEX(상세표[부서],$Q2027)&amp;"")</f>
        <v/>
      </c>
      <c r="B2027">
        <f>IF($Q2027="","",INDEX(상세표[사번],$Q2027)&amp;"")</f>
        <v/>
      </c>
      <c r="C2027">
        <f>IF($Q2027="","",INDEX(상세표[성명],$Q2027)&amp;"")</f>
        <v/>
      </c>
      <c r="D2027">
        <f>IF($Q2027="","",INDEX(상세표[직위],$Q2027)&amp;"")</f>
        <v/>
      </c>
      <c r="E2027">
        <f>IF($Q2027="","",IF(ISNUMBER(INDEX(상세표[근무일자],$Q2027)),TEXT(INDEX(상세표[근무일자],$Q2027),"yyyy-mm-dd"),INDEX(상세표[근무일자],$Q2027)&amp;""))</f>
        <v/>
      </c>
      <c r="F2027">
        <f>IF($Q2027="","",IF(ISNUMBER(INDEX(상세표[시작],$Q2027)),TEXT(INDEX(상세표[시작],$Q2027),"yyyy-mm-dd hh:mm"),INDEX(상세표[시작],$Q2027)&amp;""))</f>
        <v/>
      </c>
      <c r="G2027">
        <f>IF($Q2027="","",IF(ISNUMBER(INDEX(상세표[블록종료],$Q2027)),TEXT(INDEX(상세표[블록종료],$Q2027),"yyyy-mm-dd hh:mm"),INDEX(상세표[블록종료],$Q2027)&amp;""))</f>
        <v/>
      </c>
      <c r="H2027">
        <f>IF($Q2027="","",CHOOSE(WEEKDAY(INDEX(상세표[시작],$Q2027)),"일","월","화","수","목","금","토"))</f>
        <v/>
      </c>
      <c r="I2027" s="20">
        <f>IF($Q2027="","",INDEX(상세표[연속 시간],$Q2027))</f>
        <v/>
      </c>
      <c r="J2027">
        <f>IF($Q2027="","",INDEX(상세표[기록 수],$Q2027))</f>
        <v/>
      </c>
      <c r="K2027" s="20">
        <f>IF($Q2027="","",INDEX(상세표[블록 06~07시],$Q2027))</f>
        <v/>
      </c>
      <c r="L2027" s="20">
        <f>IF($Q2027="","",INDEX(상세표[블록 07~18시],$Q2027))</f>
        <v/>
      </c>
      <c r="M2027" s="20">
        <f>IF($Q2027="","",INDEX(상세표[블록 18~22시],$Q2027))</f>
        <v/>
      </c>
      <c r="N2027" s="20">
        <f>IF($Q2027="","",INDEX(상세표[블록 22~06시],$Q2027))</f>
        <v/>
      </c>
      <c r="O2027">
        <f>IF($Q2027="","",INDEX(상세표[주말·휴일 포함],$Q2027)&amp;"")</f>
        <v/>
      </c>
      <c r="P2027">
        <f>IF($Q2027="","",INDEX(상세표[월 넘김 포함],$Q2027)&amp;"")</f>
        <v/>
      </c>
      <c r="Q2027" s="4">
        <f>IFERROR(MATCH(2022,상세표[연속순번],0),"")</f>
        <v/>
      </c>
    </row>
    <row r="2028">
      <c r="A2028">
        <f>IF($Q2028="","",INDEX(상세표[부서],$Q2028)&amp;"")</f>
        <v/>
      </c>
      <c r="B2028">
        <f>IF($Q2028="","",INDEX(상세표[사번],$Q2028)&amp;"")</f>
        <v/>
      </c>
      <c r="C2028">
        <f>IF($Q2028="","",INDEX(상세표[성명],$Q2028)&amp;"")</f>
        <v/>
      </c>
      <c r="D2028">
        <f>IF($Q2028="","",INDEX(상세표[직위],$Q2028)&amp;"")</f>
        <v/>
      </c>
      <c r="E2028">
        <f>IF($Q2028="","",IF(ISNUMBER(INDEX(상세표[근무일자],$Q2028)),TEXT(INDEX(상세표[근무일자],$Q2028),"yyyy-mm-dd"),INDEX(상세표[근무일자],$Q2028)&amp;""))</f>
        <v/>
      </c>
      <c r="F2028">
        <f>IF($Q2028="","",IF(ISNUMBER(INDEX(상세표[시작],$Q2028)),TEXT(INDEX(상세표[시작],$Q2028),"yyyy-mm-dd hh:mm"),INDEX(상세표[시작],$Q2028)&amp;""))</f>
        <v/>
      </c>
      <c r="G2028">
        <f>IF($Q2028="","",IF(ISNUMBER(INDEX(상세표[블록종료],$Q2028)),TEXT(INDEX(상세표[블록종료],$Q2028),"yyyy-mm-dd hh:mm"),INDEX(상세표[블록종료],$Q2028)&amp;""))</f>
        <v/>
      </c>
      <c r="H2028">
        <f>IF($Q2028="","",CHOOSE(WEEKDAY(INDEX(상세표[시작],$Q2028)),"일","월","화","수","목","금","토"))</f>
        <v/>
      </c>
      <c r="I2028" s="20">
        <f>IF($Q2028="","",INDEX(상세표[연속 시간],$Q2028))</f>
        <v/>
      </c>
      <c r="J2028">
        <f>IF($Q2028="","",INDEX(상세표[기록 수],$Q2028))</f>
        <v/>
      </c>
      <c r="K2028" s="20">
        <f>IF($Q2028="","",INDEX(상세표[블록 06~07시],$Q2028))</f>
        <v/>
      </c>
      <c r="L2028" s="20">
        <f>IF($Q2028="","",INDEX(상세표[블록 07~18시],$Q2028))</f>
        <v/>
      </c>
      <c r="M2028" s="20">
        <f>IF($Q2028="","",INDEX(상세표[블록 18~22시],$Q2028))</f>
        <v/>
      </c>
      <c r="N2028" s="20">
        <f>IF($Q2028="","",INDEX(상세표[블록 22~06시],$Q2028))</f>
        <v/>
      </c>
      <c r="O2028">
        <f>IF($Q2028="","",INDEX(상세표[주말·휴일 포함],$Q2028)&amp;"")</f>
        <v/>
      </c>
      <c r="P2028">
        <f>IF($Q2028="","",INDEX(상세표[월 넘김 포함],$Q2028)&amp;"")</f>
        <v/>
      </c>
      <c r="Q2028" s="4">
        <f>IFERROR(MATCH(2023,상세표[연속순번],0),"")</f>
        <v/>
      </c>
    </row>
    <row r="2029">
      <c r="A2029">
        <f>IF($Q2029="","",INDEX(상세표[부서],$Q2029)&amp;"")</f>
        <v/>
      </c>
      <c r="B2029">
        <f>IF($Q2029="","",INDEX(상세표[사번],$Q2029)&amp;"")</f>
        <v/>
      </c>
      <c r="C2029">
        <f>IF($Q2029="","",INDEX(상세표[성명],$Q2029)&amp;"")</f>
        <v/>
      </c>
      <c r="D2029">
        <f>IF($Q2029="","",INDEX(상세표[직위],$Q2029)&amp;"")</f>
        <v/>
      </c>
      <c r="E2029">
        <f>IF($Q2029="","",IF(ISNUMBER(INDEX(상세표[근무일자],$Q2029)),TEXT(INDEX(상세표[근무일자],$Q2029),"yyyy-mm-dd"),INDEX(상세표[근무일자],$Q2029)&amp;""))</f>
        <v/>
      </c>
      <c r="F2029">
        <f>IF($Q2029="","",IF(ISNUMBER(INDEX(상세표[시작],$Q2029)),TEXT(INDEX(상세표[시작],$Q2029),"yyyy-mm-dd hh:mm"),INDEX(상세표[시작],$Q2029)&amp;""))</f>
        <v/>
      </c>
      <c r="G2029">
        <f>IF($Q2029="","",IF(ISNUMBER(INDEX(상세표[블록종료],$Q2029)),TEXT(INDEX(상세표[블록종료],$Q2029),"yyyy-mm-dd hh:mm"),INDEX(상세표[블록종료],$Q2029)&amp;""))</f>
        <v/>
      </c>
      <c r="H2029">
        <f>IF($Q2029="","",CHOOSE(WEEKDAY(INDEX(상세표[시작],$Q2029)),"일","월","화","수","목","금","토"))</f>
        <v/>
      </c>
      <c r="I2029" s="20">
        <f>IF($Q2029="","",INDEX(상세표[연속 시간],$Q2029))</f>
        <v/>
      </c>
      <c r="J2029">
        <f>IF($Q2029="","",INDEX(상세표[기록 수],$Q2029))</f>
        <v/>
      </c>
      <c r="K2029" s="20">
        <f>IF($Q2029="","",INDEX(상세표[블록 06~07시],$Q2029))</f>
        <v/>
      </c>
      <c r="L2029" s="20">
        <f>IF($Q2029="","",INDEX(상세표[블록 07~18시],$Q2029))</f>
        <v/>
      </c>
      <c r="M2029" s="20">
        <f>IF($Q2029="","",INDEX(상세표[블록 18~22시],$Q2029))</f>
        <v/>
      </c>
      <c r="N2029" s="20">
        <f>IF($Q2029="","",INDEX(상세표[블록 22~06시],$Q2029))</f>
        <v/>
      </c>
      <c r="O2029">
        <f>IF($Q2029="","",INDEX(상세표[주말·휴일 포함],$Q2029)&amp;"")</f>
        <v/>
      </c>
      <c r="P2029">
        <f>IF($Q2029="","",INDEX(상세표[월 넘김 포함],$Q2029)&amp;"")</f>
        <v/>
      </c>
      <c r="Q2029" s="4">
        <f>IFERROR(MATCH(2024,상세표[연속순번],0),"")</f>
        <v/>
      </c>
    </row>
    <row r="2030">
      <c r="A2030">
        <f>IF($Q2030="","",INDEX(상세표[부서],$Q2030)&amp;"")</f>
        <v/>
      </c>
      <c r="B2030">
        <f>IF($Q2030="","",INDEX(상세표[사번],$Q2030)&amp;"")</f>
        <v/>
      </c>
      <c r="C2030">
        <f>IF($Q2030="","",INDEX(상세표[성명],$Q2030)&amp;"")</f>
        <v/>
      </c>
      <c r="D2030">
        <f>IF($Q2030="","",INDEX(상세표[직위],$Q2030)&amp;"")</f>
        <v/>
      </c>
      <c r="E2030">
        <f>IF($Q2030="","",IF(ISNUMBER(INDEX(상세표[근무일자],$Q2030)),TEXT(INDEX(상세표[근무일자],$Q2030),"yyyy-mm-dd"),INDEX(상세표[근무일자],$Q2030)&amp;""))</f>
        <v/>
      </c>
      <c r="F2030">
        <f>IF($Q2030="","",IF(ISNUMBER(INDEX(상세표[시작],$Q2030)),TEXT(INDEX(상세표[시작],$Q2030),"yyyy-mm-dd hh:mm"),INDEX(상세표[시작],$Q2030)&amp;""))</f>
        <v/>
      </c>
      <c r="G2030">
        <f>IF($Q2030="","",IF(ISNUMBER(INDEX(상세표[블록종료],$Q2030)),TEXT(INDEX(상세표[블록종료],$Q2030),"yyyy-mm-dd hh:mm"),INDEX(상세표[블록종료],$Q2030)&amp;""))</f>
        <v/>
      </c>
      <c r="H2030">
        <f>IF($Q2030="","",CHOOSE(WEEKDAY(INDEX(상세표[시작],$Q2030)),"일","월","화","수","목","금","토"))</f>
        <v/>
      </c>
      <c r="I2030" s="20">
        <f>IF($Q2030="","",INDEX(상세표[연속 시간],$Q2030))</f>
        <v/>
      </c>
      <c r="J2030">
        <f>IF($Q2030="","",INDEX(상세표[기록 수],$Q2030))</f>
        <v/>
      </c>
      <c r="K2030" s="20">
        <f>IF($Q2030="","",INDEX(상세표[블록 06~07시],$Q2030))</f>
        <v/>
      </c>
      <c r="L2030" s="20">
        <f>IF($Q2030="","",INDEX(상세표[블록 07~18시],$Q2030))</f>
        <v/>
      </c>
      <c r="M2030" s="20">
        <f>IF($Q2030="","",INDEX(상세표[블록 18~22시],$Q2030))</f>
        <v/>
      </c>
      <c r="N2030" s="20">
        <f>IF($Q2030="","",INDEX(상세표[블록 22~06시],$Q2030))</f>
        <v/>
      </c>
      <c r="O2030">
        <f>IF($Q2030="","",INDEX(상세표[주말·휴일 포함],$Q2030)&amp;"")</f>
        <v/>
      </c>
      <c r="P2030">
        <f>IF($Q2030="","",INDEX(상세표[월 넘김 포함],$Q2030)&amp;"")</f>
        <v/>
      </c>
      <c r="Q2030" s="4">
        <f>IFERROR(MATCH(2025,상세표[연속순번],0),"")</f>
        <v/>
      </c>
    </row>
    <row r="2031">
      <c r="A2031">
        <f>IF($Q2031="","",INDEX(상세표[부서],$Q2031)&amp;"")</f>
        <v/>
      </c>
      <c r="B2031">
        <f>IF($Q2031="","",INDEX(상세표[사번],$Q2031)&amp;"")</f>
        <v/>
      </c>
      <c r="C2031">
        <f>IF($Q2031="","",INDEX(상세표[성명],$Q2031)&amp;"")</f>
        <v/>
      </c>
      <c r="D2031">
        <f>IF($Q2031="","",INDEX(상세표[직위],$Q2031)&amp;"")</f>
        <v/>
      </c>
      <c r="E2031">
        <f>IF($Q2031="","",IF(ISNUMBER(INDEX(상세표[근무일자],$Q2031)),TEXT(INDEX(상세표[근무일자],$Q2031),"yyyy-mm-dd"),INDEX(상세표[근무일자],$Q2031)&amp;""))</f>
        <v/>
      </c>
      <c r="F2031">
        <f>IF($Q2031="","",IF(ISNUMBER(INDEX(상세표[시작],$Q2031)),TEXT(INDEX(상세표[시작],$Q2031),"yyyy-mm-dd hh:mm"),INDEX(상세표[시작],$Q2031)&amp;""))</f>
        <v/>
      </c>
      <c r="G2031">
        <f>IF($Q2031="","",IF(ISNUMBER(INDEX(상세표[블록종료],$Q2031)),TEXT(INDEX(상세표[블록종료],$Q2031),"yyyy-mm-dd hh:mm"),INDEX(상세표[블록종료],$Q2031)&amp;""))</f>
        <v/>
      </c>
      <c r="H2031">
        <f>IF($Q2031="","",CHOOSE(WEEKDAY(INDEX(상세표[시작],$Q2031)),"일","월","화","수","목","금","토"))</f>
        <v/>
      </c>
      <c r="I2031" s="20">
        <f>IF($Q2031="","",INDEX(상세표[연속 시간],$Q2031))</f>
        <v/>
      </c>
      <c r="J2031">
        <f>IF($Q2031="","",INDEX(상세표[기록 수],$Q2031))</f>
        <v/>
      </c>
      <c r="K2031" s="20">
        <f>IF($Q2031="","",INDEX(상세표[블록 06~07시],$Q2031))</f>
        <v/>
      </c>
      <c r="L2031" s="20">
        <f>IF($Q2031="","",INDEX(상세표[블록 07~18시],$Q2031))</f>
        <v/>
      </c>
      <c r="M2031" s="20">
        <f>IF($Q2031="","",INDEX(상세표[블록 18~22시],$Q2031))</f>
        <v/>
      </c>
      <c r="N2031" s="20">
        <f>IF($Q2031="","",INDEX(상세표[블록 22~06시],$Q2031))</f>
        <v/>
      </c>
      <c r="O2031">
        <f>IF($Q2031="","",INDEX(상세표[주말·휴일 포함],$Q2031)&amp;"")</f>
        <v/>
      </c>
      <c r="P2031">
        <f>IF($Q2031="","",INDEX(상세표[월 넘김 포함],$Q2031)&amp;"")</f>
        <v/>
      </c>
      <c r="Q2031" s="4">
        <f>IFERROR(MATCH(2026,상세표[연속순번],0),"")</f>
        <v/>
      </c>
    </row>
    <row r="2032">
      <c r="A2032">
        <f>IF($Q2032="","",INDEX(상세표[부서],$Q2032)&amp;"")</f>
        <v/>
      </c>
      <c r="B2032">
        <f>IF($Q2032="","",INDEX(상세표[사번],$Q2032)&amp;"")</f>
        <v/>
      </c>
      <c r="C2032">
        <f>IF($Q2032="","",INDEX(상세표[성명],$Q2032)&amp;"")</f>
        <v/>
      </c>
      <c r="D2032">
        <f>IF($Q2032="","",INDEX(상세표[직위],$Q2032)&amp;"")</f>
        <v/>
      </c>
      <c r="E2032">
        <f>IF($Q2032="","",IF(ISNUMBER(INDEX(상세표[근무일자],$Q2032)),TEXT(INDEX(상세표[근무일자],$Q2032),"yyyy-mm-dd"),INDEX(상세표[근무일자],$Q2032)&amp;""))</f>
        <v/>
      </c>
      <c r="F2032">
        <f>IF($Q2032="","",IF(ISNUMBER(INDEX(상세표[시작],$Q2032)),TEXT(INDEX(상세표[시작],$Q2032),"yyyy-mm-dd hh:mm"),INDEX(상세표[시작],$Q2032)&amp;""))</f>
        <v/>
      </c>
      <c r="G2032">
        <f>IF($Q2032="","",IF(ISNUMBER(INDEX(상세표[블록종료],$Q2032)),TEXT(INDEX(상세표[블록종료],$Q2032),"yyyy-mm-dd hh:mm"),INDEX(상세표[블록종료],$Q2032)&amp;""))</f>
        <v/>
      </c>
      <c r="H2032">
        <f>IF($Q2032="","",CHOOSE(WEEKDAY(INDEX(상세표[시작],$Q2032)),"일","월","화","수","목","금","토"))</f>
        <v/>
      </c>
      <c r="I2032" s="20">
        <f>IF($Q2032="","",INDEX(상세표[연속 시간],$Q2032))</f>
        <v/>
      </c>
      <c r="J2032">
        <f>IF($Q2032="","",INDEX(상세표[기록 수],$Q2032))</f>
        <v/>
      </c>
      <c r="K2032" s="20">
        <f>IF($Q2032="","",INDEX(상세표[블록 06~07시],$Q2032))</f>
        <v/>
      </c>
      <c r="L2032" s="20">
        <f>IF($Q2032="","",INDEX(상세표[블록 07~18시],$Q2032))</f>
        <v/>
      </c>
      <c r="M2032" s="20">
        <f>IF($Q2032="","",INDEX(상세표[블록 18~22시],$Q2032))</f>
        <v/>
      </c>
      <c r="N2032" s="20">
        <f>IF($Q2032="","",INDEX(상세표[블록 22~06시],$Q2032))</f>
        <v/>
      </c>
      <c r="O2032">
        <f>IF($Q2032="","",INDEX(상세표[주말·휴일 포함],$Q2032)&amp;"")</f>
        <v/>
      </c>
      <c r="P2032">
        <f>IF($Q2032="","",INDEX(상세표[월 넘김 포함],$Q2032)&amp;"")</f>
        <v/>
      </c>
      <c r="Q2032" s="4">
        <f>IFERROR(MATCH(2027,상세표[연속순번],0),"")</f>
        <v/>
      </c>
    </row>
    <row r="2033">
      <c r="A2033">
        <f>IF($Q2033="","",INDEX(상세표[부서],$Q2033)&amp;"")</f>
        <v/>
      </c>
      <c r="B2033">
        <f>IF($Q2033="","",INDEX(상세표[사번],$Q2033)&amp;"")</f>
        <v/>
      </c>
      <c r="C2033">
        <f>IF($Q2033="","",INDEX(상세표[성명],$Q2033)&amp;"")</f>
        <v/>
      </c>
      <c r="D2033">
        <f>IF($Q2033="","",INDEX(상세표[직위],$Q2033)&amp;"")</f>
        <v/>
      </c>
      <c r="E2033">
        <f>IF($Q2033="","",IF(ISNUMBER(INDEX(상세표[근무일자],$Q2033)),TEXT(INDEX(상세표[근무일자],$Q2033),"yyyy-mm-dd"),INDEX(상세표[근무일자],$Q2033)&amp;""))</f>
        <v/>
      </c>
      <c r="F2033">
        <f>IF($Q2033="","",IF(ISNUMBER(INDEX(상세표[시작],$Q2033)),TEXT(INDEX(상세표[시작],$Q2033),"yyyy-mm-dd hh:mm"),INDEX(상세표[시작],$Q2033)&amp;""))</f>
        <v/>
      </c>
      <c r="G2033">
        <f>IF($Q2033="","",IF(ISNUMBER(INDEX(상세표[블록종료],$Q2033)),TEXT(INDEX(상세표[블록종료],$Q2033),"yyyy-mm-dd hh:mm"),INDEX(상세표[블록종료],$Q2033)&amp;""))</f>
        <v/>
      </c>
      <c r="H2033">
        <f>IF($Q2033="","",CHOOSE(WEEKDAY(INDEX(상세표[시작],$Q2033)),"일","월","화","수","목","금","토"))</f>
        <v/>
      </c>
      <c r="I2033" s="20">
        <f>IF($Q2033="","",INDEX(상세표[연속 시간],$Q2033))</f>
        <v/>
      </c>
      <c r="J2033">
        <f>IF($Q2033="","",INDEX(상세표[기록 수],$Q2033))</f>
        <v/>
      </c>
      <c r="K2033" s="20">
        <f>IF($Q2033="","",INDEX(상세표[블록 06~07시],$Q2033))</f>
        <v/>
      </c>
      <c r="L2033" s="20">
        <f>IF($Q2033="","",INDEX(상세표[블록 07~18시],$Q2033))</f>
        <v/>
      </c>
      <c r="M2033" s="20">
        <f>IF($Q2033="","",INDEX(상세표[블록 18~22시],$Q2033))</f>
        <v/>
      </c>
      <c r="N2033" s="20">
        <f>IF($Q2033="","",INDEX(상세표[블록 22~06시],$Q2033))</f>
        <v/>
      </c>
      <c r="O2033">
        <f>IF($Q2033="","",INDEX(상세표[주말·휴일 포함],$Q2033)&amp;"")</f>
        <v/>
      </c>
      <c r="P2033">
        <f>IF($Q2033="","",INDEX(상세표[월 넘김 포함],$Q2033)&amp;"")</f>
        <v/>
      </c>
      <c r="Q2033" s="4">
        <f>IFERROR(MATCH(2028,상세표[연속순번],0),"")</f>
        <v/>
      </c>
    </row>
    <row r="2034">
      <c r="A2034">
        <f>IF($Q2034="","",INDEX(상세표[부서],$Q2034)&amp;"")</f>
        <v/>
      </c>
      <c r="B2034">
        <f>IF($Q2034="","",INDEX(상세표[사번],$Q2034)&amp;"")</f>
        <v/>
      </c>
      <c r="C2034">
        <f>IF($Q2034="","",INDEX(상세표[성명],$Q2034)&amp;"")</f>
        <v/>
      </c>
      <c r="D2034">
        <f>IF($Q2034="","",INDEX(상세표[직위],$Q2034)&amp;"")</f>
        <v/>
      </c>
      <c r="E2034">
        <f>IF($Q2034="","",IF(ISNUMBER(INDEX(상세표[근무일자],$Q2034)),TEXT(INDEX(상세표[근무일자],$Q2034),"yyyy-mm-dd"),INDEX(상세표[근무일자],$Q2034)&amp;""))</f>
        <v/>
      </c>
      <c r="F2034">
        <f>IF($Q2034="","",IF(ISNUMBER(INDEX(상세표[시작],$Q2034)),TEXT(INDEX(상세표[시작],$Q2034),"yyyy-mm-dd hh:mm"),INDEX(상세표[시작],$Q2034)&amp;""))</f>
        <v/>
      </c>
      <c r="G2034">
        <f>IF($Q2034="","",IF(ISNUMBER(INDEX(상세표[블록종료],$Q2034)),TEXT(INDEX(상세표[블록종료],$Q2034),"yyyy-mm-dd hh:mm"),INDEX(상세표[블록종료],$Q2034)&amp;""))</f>
        <v/>
      </c>
      <c r="H2034">
        <f>IF($Q2034="","",CHOOSE(WEEKDAY(INDEX(상세표[시작],$Q2034)),"일","월","화","수","목","금","토"))</f>
        <v/>
      </c>
      <c r="I2034" s="20">
        <f>IF($Q2034="","",INDEX(상세표[연속 시간],$Q2034))</f>
        <v/>
      </c>
      <c r="J2034">
        <f>IF($Q2034="","",INDEX(상세표[기록 수],$Q2034))</f>
        <v/>
      </c>
      <c r="K2034" s="20">
        <f>IF($Q2034="","",INDEX(상세표[블록 06~07시],$Q2034))</f>
        <v/>
      </c>
      <c r="L2034" s="20">
        <f>IF($Q2034="","",INDEX(상세표[블록 07~18시],$Q2034))</f>
        <v/>
      </c>
      <c r="M2034" s="20">
        <f>IF($Q2034="","",INDEX(상세표[블록 18~22시],$Q2034))</f>
        <v/>
      </c>
      <c r="N2034" s="20">
        <f>IF($Q2034="","",INDEX(상세표[블록 22~06시],$Q2034))</f>
        <v/>
      </c>
      <c r="O2034">
        <f>IF($Q2034="","",INDEX(상세표[주말·휴일 포함],$Q2034)&amp;"")</f>
        <v/>
      </c>
      <c r="P2034">
        <f>IF($Q2034="","",INDEX(상세표[월 넘김 포함],$Q2034)&amp;"")</f>
        <v/>
      </c>
      <c r="Q2034" s="4">
        <f>IFERROR(MATCH(2029,상세표[연속순번],0),"")</f>
        <v/>
      </c>
    </row>
    <row r="2035">
      <c r="A2035">
        <f>IF($Q2035="","",INDEX(상세표[부서],$Q2035)&amp;"")</f>
        <v/>
      </c>
      <c r="B2035">
        <f>IF($Q2035="","",INDEX(상세표[사번],$Q2035)&amp;"")</f>
        <v/>
      </c>
      <c r="C2035">
        <f>IF($Q2035="","",INDEX(상세표[성명],$Q2035)&amp;"")</f>
        <v/>
      </c>
      <c r="D2035">
        <f>IF($Q2035="","",INDEX(상세표[직위],$Q2035)&amp;"")</f>
        <v/>
      </c>
      <c r="E2035">
        <f>IF($Q2035="","",IF(ISNUMBER(INDEX(상세표[근무일자],$Q2035)),TEXT(INDEX(상세표[근무일자],$Q2035),"yyyy-mm-dd"),INDEX(상세표[근무일자],$Q2035)&amp;""))</f>
        <v/>
      </c>
      <c r="F2035">
        <f>IF($Q2035="","",IF(ISNUMBER(INDEX(상세표[시작],$Q2035)),TEXT(INDEX(상세표[시작],$Q2035),"yyyy-mm-dd hh:mm"),INDEX(상세표[시작],$Q2035)&amp;""))</f>
        <v/>
      </c>
      <c r="G2035">
        <f>IF($Q2035="","",IF(ISNUMBER(INDEX(상세표[블록종료],$Q2035)),TEXT(INDEX(상세표[블록종료],$Q2035),"yyyy-mm-dd hh:mm"),INDEX(상세표[블록종료],$Q2035)&amp;""))</f>
        <v/>
      </c>
      <c r="H2035">
        <f>IF($Q2035="","",CHOOSE(WEEKDAY(INDEX(상세표[시작],$Q2035)),"일","월","화","수","목","금","토"))</f>
        <v/>
      </c>
      <c r="I2035" s="20">
        <f>IF($Q2035="","",INDEX(상세표[연속 시간],$Q2035))</f>
        <v/>
      </c>
      <c r="J2035">
        <f>IF($Q2035="","",INDEX(상세표[기록 수],$Q2035))</f>
        <v/>
      </c>
      <c r="K2035" s="20">
        <f>IF($Q2035="","",INDEX(상세표[블록 06~07시],$Q2035))</f>
        <v/>
      </c>
      <c r="L2035" s="20">
        <f>IF($Q2035="","",INDEX(상세표[블록 07~18시],$Q2035))</f>
        <v/>
      </c>
      <c r="M2035" s="20">
        <f>IF($Q2035="","",INDEX(상세표[블록 18~22시],$Q2035))</f>
        <v/>
      </c>
      <c r="N2035" s="20">
        <f>IF($Q2035="","",INDEX(상세표[블록 22~06시],$Q2035))</f>
        <v/>
      </c>
      <c r="O2035">
        <f>IF($Q2035="","",INDEX(상세표[주말·휴일 포함],$Q2035)&amp;"")</f>
        <v/>
      </c>
      <c r="P2035">
        <f>IF($Q2035="","",INDEX(상세표[월 넘김 포함],$Q2035)&amp;"")</f>
        <v/>
      </c>
      <c r="Q2035" s="4">
        <f>IFERROR(MATCH(2030,상세표[연속순번],0),"")</f>
        <v/>
      </c>
    </row>
    <row r="2036">
      <c r="A2036">
        <f>IF($Q2036="","",INDEX(상세표[부서],$Q2036)&amp;"")</f>
        <v/>
      </c>
      <c r="B2036">
        <f>IF($Q2036="","",INDEX(상세표[사번],$Q2036)&amp;"")</f>
        <v/>
      </c>
      <c r="C2036">
        <f>IF($Q2036="","",INDEX(상세표[성명],$Q2036)&amp;"")</f>
        <v/>
      </c>
      <c r="D2036">
        <f>IF($Q2036="","",INDEX(상세표[직위],$Q2036)&amp;"")</f>
        <v/>
      </c>
      <c r="E2036">
        <f>IF($Q2036="","",IF(ISNUMBER(INDEX(상세표[근무일자],$Q2036)),TEXT(INDEX(상세표[근무일자],$Q2036),"yyyy-mm-dd"),INDEX(상세표[근무일자],$Q2036)&amp;""))</f>
        <v/>
      </c>
      <c r="F2036">
        <f>IF($Q2036="","",IF(ISNUMBER(INDEX(상세표[시작],$Q2036)),TEXT(INDEX(상세표[시작],$Q2036),"yyyy-mm-dd hh:mm"),INDEX(상세표[시작],$Q2036)&amp;""))</f>
        <v/>
      </c>
      <c r="G2036">
        <f>IF($Q2036="","",IF(ISNUMBER(INDEX(상세표[블록종료],$Q2036)),TEXT(INDEX(상세표[블록종료],$Q2036),"yyyy-mm-dd hh:mm"),INDEX(상세표[블록종료],$Q2036)&amp;""))</f>
        <v/>
      </c>
      <c r="H2036">
        <f>IF($Q2036="","",CHOOSE(WEEKDAY(INDEX(상세표[시작],$Q2036)),"일","월","화","수","목","금","토"))</f>
        <v/>
      </c>
      <c r="I2036" s="20">
        <f>IF($Q2036="","",INDEX(상세표[연속 시간],$Q2036))</f>
        <v/>
      </c>
      <c r="J2036">
        <f>IF($Q2036="","",INDEX(상세표[기록 수],$Q2036))</f>
        <v/>
      </c>
      <c r="K2036" s="20">
        <f>IF($Q2036="","",INDEX(상세표[블록 06~07시],$Q2036))</f>
        <v/>
      </c>
      <c r="L2036" s="20">
        <f>IF($Q2036="","",INDEX(상세표[블록 07~18시],$Q2036))</f>
        <v/>
      </c>
      <c r="M2036" s="20">
        <f>IF($Q2036="","",INDEX(상세표[블록 18~22시],$Q2036))</f>
        <v/>
      </c>
      <c r="N2036" s="20">
        <f>IF($Q2036="","",INDEX(상세표[블록 22~06시],$Q2036))</f>
        <v/>
      </c>
      <c r="O2036">
        <f>IF($Q2036="","",INDEX(상세표[주말·휴일 포함],$Q2036)&amp;"")</f>
        <v/>
      </c>
      <c r="P2036">
        <f>IF($Q2036="","",INDEX(상세표[월 넘김 포함],$Q2036)&amp;"")</f>
        <v/>
      </c>
      <c r="Q2036" s="4">
        <f>IFERROR(MATCH(2031,상세표[연속순번],0),"")</f>
        <v/>
      </c>
    </row>
    <row r="2037">
      <c r="A2037">
        <f>IF($Q2037="","",INDEX(상세표[부서],$Q2037)&amp;"")</f>
        <v/>
      </c>
      <c r="B2037">
        <f>IF($Q2037="","",INDEX(상세표[사번],$Q2037)&amp;"")</f>
        <v/>
      </c>
      <c r="C2037">
        <f>IF($Q2037="","",INDEX(상세표[성명],$Q2037)&amp;"")</f>
        <v/>
      </c>
      <c r="D2037">
        <f>IF($Q2037="","",INDEX(상세표[직위],$Q2037)&amp;"")</f>
        <v/>
      </c>
      <c r="E2037">
        <f>IF($Q2037="","",IF(ISNUMBER(INDEX(상세표[근무일자],$Q2037)),TEXT(INDEX(상세표[근무일자],$Q2037),"yyyy-mm-dd"),INDEX(상세표[근무일자],$Q2037)&amp;""))</f>
        <v/>
      </c>
      <c r="F2037">
        <f>IF($Q2037="","",IF(ISNUMBER(INDEX(상세표[시작],$Q2037)),TEXT(INDEX(상세표[시작],$Q2037),"yyyy-mm-dd hh:mm"),INDEX(상세표[시작],$Q2037)&amp;""))</f>
        <v/>
      </c>
      <c r="G2037">
        <f>IF($Q2037="","",IF(ISNUMBER(INDEX(상세표[블록종료],$Q2037)),TEXT(INDEX(상세표[블록종료],$Q2037),"yyyy-mm-dd hh:mm"),INDEX(상세표[블록종료],$Q2037)&amp;""))</f>
        <v/>
      </c>
      <c r="H2037">
        <f>IF($Q2037="","",CHOOSE(WEEKDAY(INDEX(상세표[시작],$Q2037)),"일","월","화","수","목","금","토"))</f>
        <v/>
      </c>
      <c r="I2037" s="20">
        <f>IF($Q2037="","",INDEX(상세표[연속 시간],$Q2037))</f>
        <v/>
      </c>
      <c r="J2037">
        <f>IF($Q2037="","",INDEX(상세표[기록 수],$Q2037))</f>
        <v/>
      </c>
      <c r="K2037" s="20">
        <f>IF($Q2037="","",INDEX(상세표[블록 06~07시],$Q2037))</f>
        <v/>
      </c>
      <c r="L2037" s="20">
        <f>IF($Q2037="","",INDEX(상세표[블록 07~18시],$Q2037))</f>
        <v/>
      </c>
      <c r="M2037" s="20">
        <f>IF($Q2037="","",INDEX(상세표[블록 18~22시],$Q2037))</f>
        <v/>
      </c>
      <c r="N2037" s="20">
        <f>IF($Q2037="","",INDEX(상세표[블록 22~06시],$Q2037))</f>
        <v/>
      </c>
      <c r="O2037">
        <f>IF($Q2037="","",INDEX(상세표[주말·휴일 포함],$Q2037)&amp;"")</f>
        <v/>
      </c>
      <c r="P2037">
        <f>IF($Q2037="","",INDEX(상세표[월 넘김 포함],$Q2037)&amp;"")</f>
        <v/>
      </c>
      <c r="Q2037" s="4">
        <f>IFERROR(MATCH(2032,상세표[연속순번],0),"")</f>
        <v/>
      </c>
    </row>
    <row r="2038">
      <c r="A2038">
        <f>IF($Q2038="","",INDEX(상세표[부서],$Q2038)&amp;"")</f>
        <v/>
      </c>
      <c r="B2038">
        <f>IF($Q2038="","",INDEX(상세표[사번],$Q2038)&amp;"")</f>
        <v/>
      </c>
      <c r="C2038">
        <f>IF($Q2038="","",INDEX(상세표[성명],$Q2038)&amp;"")</f>
        <v/>
      </c>
      <c r="D2038">
        <f>IF($Q2038="","",INDEX(상세표[직위],$Q2038)&amp;"")</f>
        <v/>
      </c>
      <c r="E2038">
        <f>IF($Q2038="","",IF(ISNUMBER(INDEX(상세표[근무일자],$Q2038)),TEXT(INDEX(상세표[근무일자],$Q2038),"yyyy-mm-dd"),INDEX(상세표[근무일자],$Q2038)&amp;""))</f>
        <v/>
      </c>
      <c r="F2038">
        <f>IF($Q2038="","",IF(ISNUMBER(INDEX(상세표[시작],$Q2038)),TEXT(INDEX(상세표[시작],$Q2038),"yyyy-mm-dd hh:mm"),INDEX(상세표[시작],$Q2038)&amp;""))</f>
        <v/>
      </c>
      <c r="G2038">
        <f>IF($Q2038="","",IF(ISNUMBER(INDEX(상세표[블록종료],$Q2038)),TEXT(INDEX(상세표[블록종료],$Q2038),"yyyy-mm-dd hh:mm"),INDEX(상세표[블록종료],$Q2038)&amp;""))</f>
        <v/>
      </c>
      <c r="H2038">
        <f>IF($Q2038="","",CHOOSE(WEEKDAY(INDEX(상세표[시작],$Q2038)),"일","월","화","수","목","금","토"))</f>
        <v/>
      </c>
      <c r="I2038" s="20">
        <f>IF($Q2038="","",INDEX(상세표[연속 시간],$Q2038))</f>
        <v/>
      </c>
      <c r="J2038">
        <f>IF($Q2038="","",INDEX(상세표[기록 수],$Q2038))</f>
        <v/>
      </c>
      <c r="K2038" s="20">
        <f>IF($Q2038="","",INDEX(상세표[블록 06~07시],$Q2038))</f>
        <v/>
      </c>
      <c r="L2038" s="20">
        <f>IF($Q2038="","",INDEX(상세표[블록 07~18시],$Q2038))</f>
        <v/>
      </c>
      <c r="M2038" s="20">
        <f>IF($Q2038="","",INDEX(상세표[블록 18~22시],$Q2038))</f>
        <v/>
      </c>
      <c r="N2038" s="20">
        <f>IF($Q2038="","",INDEX(상세표[블록 22~06시],$Q2038))</f>
        <v/>
      </c>
      <c r="O2038">
        <f>IF($Q2038="","",INDEX(상세표[주말·휴일 포함],$Q2038)&amp;"")</f>
        <v/>
      </c>
      <c r="P2038">
        <f>IF($Q2038="","",INDEX(상세표[월 넘김 포함],$Q2038)&amp;"")</f>
        <v/>
      </c>
      <c r="Q2038" s="4">
        <f>IFERROR(MATCH(2033,상세표[연속순번],0),"")</f>
        <v/>
      </c>
    </row>
    <row r="2039">
      <c r="A2039">
        <f>IF($Q2039="","",INDEX(상세표[부서],$Q2039)&amp;"")</f>
        <v/>
      </c>
      <c r="B2039">
        <f>IF($Q2039="","",INDEX(상세표[사번],$Q2039)&amp;"")</f>
        <v/>
      </c>
      <c r="C2039">
        <f>IF($Q2039="","",INDEX(상세표[성명],$Q2039)&amp;"")</f>
        <v/>
      </c>
      <c r="D2039">
        <f>IF($Q2039="","",INDEX(상세표[직위],$Q2039)&amp;"")</f>
        <v/>
      </c>
      <c r="E2039">
        <f>IF($Q2039="","",IF(ISNUMBER(INDEX(상세표[근무일자],$Q2039)),TEXT(INDEX(상세표[근무일자],$Q2039),"yyyy-mm-dd"),INDEX(상세표[근무일자],$Q2039)&amp;""))</f>
        <v/>
      </c>
      <c r="F2039">
        <f>IF($Q2039="","",IF(ISNUMBER(INDEX(상세표[시작],$Q2039)),TEXT(INDEX(상세표[시작],$Q2039),"yyyy-mm-dd hh:mm"),INDEX(상세표[시작],$Q2039)&amp;""))</f>
        <v/>
      </c>
      <c r="G2039">
        <f>IF($Q2039="","",IF(ISNUMBER(INDEX(상세표[블록종료],$Q2039)),TEXT(INDEX(상세표[블록종료],$Q2039),"yyyy-mm-dd hh:mm"),INDEX(상세표[블록종료],$Q2039)&amp;""))</f>
        <v/>
      </c>
      <c r="H2039">
        <f>IF($Q2039="","",CHOOSE(WEEKDAY(INDEX(상세표[시작],$Q2039)),"일","월","화","수","목","금","토"))</f>
        <v/>
      </c>
      <c r="I2039" s="20">
        <f>IF($Q2039="","",INDEX(상세표[연속 시간],$Q2039))</f>
        <v/>
      </c>
      <c r="J2039">
        <f>IF($Q2039="","",INDEX(상세표[기록 수],$Q2039))</f>
        <v/>
      </c>
      <c r="K2039" s="20">
        <f>IF($Q2039="","",INDEX(상세표[블록 06~07시],$Q2039))</f>
        <v/>
      </c>
      <c r="L2039" s="20">
        <f>IF($Q2039="","",INDEX(상세표[블록 07~18시],$Q2039))</f>
        <v/>
      </c>
      <c r="M2039" s="20">
        <f>IF($Q2039="","",INDEX(상세표[블록 18~22시],$Q2039))</f>
        <v/>
      </c>
      <c r="N2039" s="20">
        <f>IF($Q2039="","",INDEX(상세표[블록 22~06시],$Q2039))</f>
        <v/>
      </c>
      <c r="O2039">
        <f>IF($Q2039="","",INDEX(상세표[주말·휴일 포함],$Q2039)&amp;"")</f>
        <v/>
      </c>
      <c r="P2039">
        <f>IF($Q2039="","",INDEX(상세표[월 넘김 포함],$Q2039)&amp;"")</f>
        <v/>
      </c>
      <c r="Q2039" s="4">
        <f>IFERROR(MATCH(2034,상세표[연속순번],0),"")</f>
        <v/>
      </c>
    </row>
    <row r="2040">
      <c r="A2040">
        <f>IF($Q2040="","",INDEX(상세표[부서],$Q2040)&amp;"")</f>
        <v/>
      </c>
      <c r="B2040">
        <f>IF($Q2040="","",INDEX(상세표[사번],$Q2040)&amp;"")</f>
        <v/>
      </c>
      <c r="C2040">
        <f>IF($Q2040="","",INDEX(상세표[성명],$Q2040)&amp;"")</f>
        <v/>
      </c>
      <c r="D2040">
        <f>IF($Q2040="","",INDEX(상세표[직위],$Q2040)&amp;"")</f>
        <v/>
      </c>
      <c r="E2040">
        <f>IF($Q2040="","",IF(ISNUMBER(INDEX(상세표[근무일자],$Q2040)),TEXT(INDEX(상세표[근무일자],$Q2040),"yyyy-mm-dd"),INDEX(상세표[근무일자],$Q2040)&amp;""))</f>
        <v/>
      </c>
      <c r="F2040">
        <f>IF($Q2040="","",IF(ISNUMBER(INDEX(상세표[시작],$Q2040)),TEXT(INDEX(상세표[시작],$Q2040),"yyyy-mm-dd hh:mm"),INDEX(상세표[시작],$Q2040)&amp;""))</f>
        <v/>
      </c>
      <c r="G2040">
        <f>IF($Q2040="","",IF(ISNUMBER(INDEX(상세표[블록종료],$Q2040)),TEXT(INDEX(상세표[블록종료],$Q2040),"yyyy-mm-dd hh:mm"),INDEX(상세표[블록종료],$Q2040)&amp;""))</f>
        <v/>
      </c>
      <c r="H2040">
        <f>IF($Q2040="","",CHOOSE(WEEKDAY(INDEX(상세표[시작],$Q2040)),"일","월","화","수","목","금","토"))</f>
        <v/>
      </c>
      <c r="I2040" s="20">
        <f>IF($Q2040="","",INDEX(상세표[연속 시간],$Q2040))</f>
        <v/>
      </c>
      <c r="J2040">
        <f>IF($Q2040="","",INDEX(상세표[기록 수],$Q2040))</f>
        <v/>
      </c>
      <c r="K2040" s="20">
        <f>IF($Q2040="","",INDEX(상세표[블록 06~07시],$Q2040))</f>
        <v/>
      </c>
      <c r="L2040" s="20">
        <f>IF($Q2040="","",INDEX(상세표[블록 07~18시],$Q2040))</f>
        <v/>
      </c>
      <c r="M2040" s="20">
        <f>IF($Q2040="","",INDEX(상세표[블록 18~22시],$Q2040))</f>
        <v/>
      </c>
      <c r="N2040" s="20">
        <f>IF($Q2040="","",INDEX(상세표[블록 22~06시],$Q2040))</f>
        <v/>
      </c>
      <c r="O2040">
        <f>IF($Q2040="","",INDEX(상세표[주말·휴일 포함],$Q2040)&amp;"")</f>
        <v/>
      </c>
      <c r="P2040">
        <f>IF($Q2040="","",INDEX(상세표[월 넘김 포함],$Q2040)&amp;"")</f>
        <v/>
      </c>
      <c r="Q2040" s="4">
        <f>IFERROR(MATCH(2035,상세표[연속순번],0),"")</f>
        <v/>
      </c>
    </row>
    <row r="2041">
      <c r="A2041">
        <f>IF($Q2041="","",INDEX(상세표[부서],$Q2041)&amp;"")</f>
        <v/>
      </c>
      <c r="B2041">
        <f>IF($Q2041="","",INDEX(상세표[사번],$Q2041)&amp;"")</f>
        <v/>
      </c>
      <c r="C2041">
        <f>IF($Q2041="","",INDEX(상세표[성명],$Q2041)&amp;"")</f>
        <v/>
      </c>
      <c r="D2041">
        <f>IF($Q2041="","",INDEX(상세표[직위],$Q2041)&amp;"")</f>
        <v/>
      </c>
      <c r="E2041">
        <f>IF($Q2041="","",IF(ISNUMBER(INDEX(상세표[근무일자],$Q2041)),TEXT(INDEX(상세표[근무일자],$Q2041),"yyyy-mm-dd"),INDEX(상세표[근무일자],$Q2041)&amp;""))</f>
        <v/>
      </c>
      <c r="F2041">
        <f>IF($Q2041="","",IF(ISNUMBER(INDEX(상세표[시작],$Q2041)),TEXT(INDEX(상세표[시작],$Q2041),"yyyy-mm-dd hh:mm"),INDEX(상세표[시작],$Q2041)&amp;""))</f>
        <v/>
      </c>
      <c r="G2041">
        <f>IF($Q2041="","",IF(ISNUMBER(INDEX(상세표[블록종료],$Q2041)),TEXT(INDEX(상세표[블록종료],$Q2041),"yyyy-mm-dd hh:mm"),INDEX(상세표[블록종료],$Q2041)&amp;""))</f>
        <v/>
      </c>
      <c r="H2041">
        <f>IF($Q2041="","",CHOOSE(WEEKDAY(INDEX(상세표[시작],$Q2041)),"일","월","화","수","목","금","토"))</f>
        <v/>
      </c>
      <c r="I2041" s="20">
        <f>IF($Q2041="","",INDEX(상세표[연속 시간],$Q2041))</f>
        <v/>
      </c>
      <c r="J2041">
        <f>IF($Q2041="","",INDEX(상세표[기록 수],$Q2041))</f>
        <v/>
      </c>
      <c r="K2041" s="20">
        <f>IF($Q2041="","",INDEX(상세표[블록 06~07시],$Q2041))</f>
        <v/>
      </c>
      <c r="L2041" s="20">
        <f>IF($Q2041="","",INDEX(상세표[블록 07~18시],$Q2041))</f>
        <v/>
      </c>
      <c r="M2041" s="20">
        <f>IF($Q2041="","",INDEX(상세표[블록 18~22시],$Q2041))</f>
        <v/>
      </c>
      <c r="N2041" s="20">
        <f>IF($Q2041="","",INDEX(상세표[블록 22~06시],$Q2041))</f>
        <v/>
      </c>
      <c r="O2041">
        <f>IF($Q2041="","",INDEX(상세표[주말·휴일 포함],$Q2041)&amp;"")</f>
        <v/>
      </c>
      <c r="P2041">
        <f>IF($Q2041="","",INDEX(상세표[월 넘김 포함],$Q2041)&amp;"")</f>
        <v/>
      </c>
      <c r="Q2041" s="4">
        <f>IFERROR(MATCH(2036,상세표[연속순번],0),"")</f>
        <v/>
      </c>
    </row>
    <row r="2042">
      <c r="A2042">
        <f>IF($Q2042="","",INDEX(상세표[부서],$Q2042)&amp;"")</f>
        <v/>
      </c>
      <c r="B2042">
        <f>IF($Q2042="","",INDEX(상세표[사번],$Q2042)&amp;"")</f>
        <v/>
      </c>
      <c r="C2042">
        <f>IF($Q2042="","",INDEX(상세표[성명],$Q2042)&amp;"")</f>
        <v/>
      </c>
      <c r="D2042">
        <f>IF($Q2042="","",INDEX(상세표[직위],$Q2042)&amp;"")</f>
        <v/>
      </c>
      <c r="E2042">
        <f>IF($Q2042="","",IF(ISNUMBER(INDEX(상세표[근무일자],$Q2042)),TEXT(INDEX(상세표[근무일자],$Q2042),"yyyy-mm-dd"),INDEX(상세표[근무일자],$Q2042)&amp;""))</f>
        <v/>
      </c>
      <c r="F2042">
        <f>IF($Q2042="","",IF(ISNUMBER(INDEX(상세표[시작],$Q2042)),TEXT(INDEX(상세표[시작],$Q2042),"yyyy-mm-dd hh:mm"),INDEX(상세표[시작],$Q2042)&amp;""))</f>
        <v/>
      </c>
      <c r="G2042">
        <f>IF($Q2042="","",IF(ISNUMBER(INDEX(상세표[블록종료],$Q2042)),TEXT(INDEX(상세표[블록종료],$Q2042),"yyyy-mm-dd hh:mm"),INDEX(상세표[블록종료],$Q2042)&amp;""))</f>
        <v/>
      </c>
      <c r="H2042">
        <f>IF($Q2042="","",CHOOSE(WEEKDAY(INDEX(상세표[시작],$Q2042)),"일","월","화","수","목","금","토"))</f>
        <v/>
      </c>
      <c r="I2042" s="20">
        <f>IF($Q2042="","",INDEX(상세표[연속 시간],$Q2042))</f>
        <v/>
      </c>
      <c r="J2042">
        <f>IF($Q2042="","",INDEX(상세표[기록 수],$Q2042))</f>
        <v/>
      </c>
      <c r="K2042" s="20">
        <f>IF($Q2042="","",INDEX(상세표[블록 06~07시],$Q2042))</f>
        <v/>
      </c>
      <c r="L2042" s="20">
        <f>IF($Q2042="","",INDEX(상세표[블록 07~18시],$Q2042))</f>
        <v/>
      </c>
      <c r="M2042" s="20">
        <f>IF($Q2042="","",INDEX(상세표[블록 18~22시],$Q2042))</f>
        <v/>
      </c>
      <c r="N2042" s="20">
        <f>IF($Q2042="","",INDEX(상세표[블록 22~06시],$Q2042))</f>
        <v/>
      </c>
      <c r="O2042">
        <f>IF($Q2042="","",INDEX(상세표[주말·휴일 포함],$Q2042)&amp;"")</f>
        <v/>
      </c>
      <c r="P2042">
        <f>IF($Q2042="","",INDEX(상세표[월 넘김 포함],$Q2042)&amp;"")</f>
        <v/>
      </c>
      <c r="Q2042" s="4">
        <f>IFERROR(MATCH(2037,상세표[연속순번],0),"")</f>
        <v/>
      </c>
    </row>
    <row r="2043">
      <c r="A2043">
        <f>IF($Q2043="","",INDEX(상세표[부서],$Q2043)&amp;"")</f>
        <v/>
      </c>
      <c r="B2043">
        <f>IF($Q2043="","",INDEX(상세표[사번],$Q2043)&amp;"")</f>
        <v/>
      </c>
      <c r="C2043">
        <f>IF($Q2043="","",INDEX(상세표[성명],$Q2043)&amp;"")</f>
        <v/>
      </c>
      <c r="D2043">
        <f>IF($Q2043="","",INDEX(상세표[직위],$Q2043)&amp;"")</f>
        <v/>
      </c>
      <c r="E2043">
        <f>IF($Q2043="","",IF(ISNUMBER(INDEX(상세표[근무일자],$Q2043)),TEXT(INDEX(상세표[근무일자],$Q2043),"yyyy-mm-dd"),INDEX(상세표[근무일자],$Q2043)&amp;""))</f>
        <v/>
      </c>
      <c r="F2043">
        <f>IF($Q2043="","",IF(ISNUMBER(INDEX(상세표[시작],$Q2043)),TEXT(INDEX(상세표[시작],$Q2043),"yyyy-mm-dd hh:mm"),INDEX(상세표[시작],$Q2043)&amp;""))</f>
        <v/>
      </c>
      <c r="G2043">
        <f>IF($Q2043="","",IF(ISNUMBER(INDEX(상세표[블록종료],$Q2043)),TEXT(INDEX(상세표[블록종료],$Q2043),"yyyy-mm-dd hh:mm"),INDEX(상세표[블록종료],$Q2043)&amp;""))</f>
        <v/>
      </c>
      <c r="H2043">
        <f>IF($Q2043="","",CHOOSE(WEEKDAY(INDEX(상세표[시작],$Q2043)),"일","월","화","수","목","금","토"))</f>
        <v/>
      </c>
      <c r="I2043" s="20">
        <f>IF($Q2043="","",INDEX(상세표[연속 시간],$Q2043))</f>
        <v/>
      </c>
      <c r="J2043">
        <f>IF($Q2043="","",INDEX(상세표[기록 수],$Q2043))</f>
        <v/>
      </c>
      <c r="K2043" s="20">
        <f>IF($Q2043="","",INDEX(상세표[블록 06~07시],$Q2043))</f>
        <v/>
      </c>
      <c r="L2043" s="20">
        <f>IF($Q2043="","",INDEX(상세표[블록 07~18시],$Q2043))</f>
        <v/>
      </c>
      <c r="M2043" s="20">
        <f>IF($Q2043="","",INDEX(상세표[블록 18~22시],$Q2043))</f>
        <v/>
      </c>
      <c r="N2043" s="20">
        <f>IF($Q2043="","",INDEX(상세표[블록 22~06시],$Q2043))</f>
        <v/>
      </c>
      <c r="O2043">
        <f>IF($Q2043="","",INDEX(상세표[주말·휴일 포함],$Q2043)&amp;"")</f>
        <v/>
      </c>
      <c r="P2043">
        <f>IF($Q2043="","",INDEX(상세표[월 넘김 포함],$Q2043)&amp;"")</f>
        <v/>
      </c>
      <c r="Q2043" s="4">
        <f>IFERROR(MATCH(2038,상세표[연속순번],0),"")</f>
        <v/>
      </c>
    </row>
    <row r="2044">
      <c r="A2044">
        <f>IF($Q2044="","",INDEX(상세표[부서],$Q2044)&amp;"")</f>
        <v/>
      </c>
      <c r="B2044">
        <f>IF($Q2044="","",INDEX(상세표[사번],$Q2044)&amp;"")</f>
        <v/>
      </c>
      <c r="C2044">
        <f>IF($Q2044="","",INDEX(상세표[성명],$Q2044)&amp;"")</f>
        <v/>
      </c>
      <c r="D2044">
        <f>IF($Q2044="","",INDEX(상세표[직위],$Q2044)&amp;"")</f>
        <v/>
      </c>
      <c r="E2044">
        <f>IF($Q2044="","",IF(ISNUMBER(INDEX(상세표[근무일자],$Q2044)),TEXT(INDEX(상세표[근무일자],$Q2044),"yyyy-mm-dd"),INDEX(상세표[근무일자],$Q2044)&amp;""))</f>
        <v/>
      </c>
      <c r="F2044">
        <f>IF($Q2044="","",IF(ISNUMBER(INDEX(상세표[시작],$Q2044)),TEXT(INDEX(상세표[시작],$Q2044),"yyyy-mm-dd hh:mm"),INDEX(상세표[시작],$Q2044)&amp;""))</f>
        <v/>
      </c>
      <c r="G2044">
        <f>IF($Q2044="","",IF(ISNUMBER(INDEX(상세표[블록종료],$Q2044)),TEXT(INDEX(상세표[블록종료],$Q2044),"yyyy-mm-dd hh:mm"),INDEX(상세표[블록종료],$Q2044)&amp;""))</f>
        <v/>
      </c>
      <c r="H2044">
        <f>IF($Q2044="","",CHOOSE(WEEKDAY(INDEX(상세표[시작],$Q2044)),"일","월","화","수","목","금","토"))</f>
        <v/>
      </c>
      <c r="I2044" s="20">
        <f>IF($Q2044="","",INDEX(상세표[연속 시간],$Q2044))</f>
        <v/>
      </c>
      <c r="J2044">
        <f>IF($Q2044="","",INDEX(상세표[기록 수],$Q2044))</f>
        <v/>
      </c>
      <c r="K2044" s="20">
        <f>IF($Q2044="","",INDEX(상세표[블록 06~07시],$Q2044))</f>
        <v/>
      </c>
      <c r="L2044" s="20">
        <f>IF($Q2044="","",INDEX(상세표[블록 07~18시],$Q2044))</f>
        <v/>
      </c>
      <c r="M2044" s="20">
        <f>IF($Q2044="","",INDEX(상세표[블록 18~22시],$Q2044))</f>
        <v/>
      </c>
      <c r="N2044" s="20">
        <f>IF($Q2044="","",INDEX(상세표[블록 22~06시],$Q2044))</f>
        <v/>
      </c>
      <c r="O2044">
        <f>IF($Q2044="","",INDEX(상세표[주말·휴일 포함],$Q2044)&amp;"")</f>
        <v/>
      </c>
      <c r="P2044">
        <f>IF($Q2044="","",INDEX(상세표[월 넘김 포함],$Q2044)&amp;"")</f>
        <v/>
      </c>
      <c r="Q2044" s="4">
        <f>IFERROR(MATCH(2039,상세표[연속순번],0),"")</f>
        <v/>
      </c>
    </row>
    <row r="2045">
      <c r="A2045">
        <f>IF($Q2045="","",INDEX(상세표[부서],$Q2045)&amp;"")</f>
        <v/>
      </c>
      <c r="B2045">
        <f>IF($Q2045="","",INDEX(상세표[사번],$Q2045)&amp;"")</f>
        <v/>
      </c>
      <c r="C2045">
        <f>IF($Q2045="","",INDEX(상세표[성명],$Q2045)&amp;"")</f>
        <v/>
      </c>
      <c r="D2045">
        <f>IF($Q2045="","",INDEX(상세표[직위],$Q2045)&amp;"")</f>
        <v/>
      </c>
      <c r="E2045">
        <f>IF($Q2045="","",IF(ISNUMBER(INDEX(상세표[근무일자],$Q2045)),TEXT(INDEX(상세표[근무일자],$Q2045),"yyyy-mm-dd"),INDEX(상세표[근무일자],$Q2045)&amp;""))</f>
        <v/>
      </c>
      <c r="F2045">
        <f>IF($Q2045="","",IF(ISNUMBER(INDEX(상세표[시작],$Q2045)),TEXT(INDEX(상세표[시작],$Q2045),"yyyy-mm-dd hh:mm"),INDEX(상세표[시작],$Q2045)&amp;""))</f>
        <v/>
      </c>
      <c r="G2045">
        <f>IF($Q2045="","",IF(ISNUMBER(INDEX(상세표[블록종료],$Q2045)),TEXT(INDEX(상세표[블록종료],$Q2045),"yyyy-mm-dd hh:mm"),INDEX(상세표[블록종료],$Q2045)&amp;""))</f>
        <v/>
      </c>
      <c r="H2045">
        <f>IF($Q2045="","",CHOOSE(WEEKDAY(INDEX(상세표[시작],$Q2045)),"일","월","화","수","목","금","토"))</f>
        <v/>
      </c>
      <c r="I2045" s="20">
        <f>IF($Q2045="","",INDEX(상세표[연속 시간],$Q2045))</f>
        <v/>
      </c>
      <c r="J2045">
        <f>IF($Q2045="","",INDEX(상세표[기록 수],$Q2045))</f>
        <v/>
      </c>
      <c r="K2045" s="20">
        <f>IF($Q2045="","",INDEX(상세표[블록 06~07시],$Q2045))</f>
        <v/>
      </c>
      <c r="L2045" s="20">
        <f>IF($Q2045="","",INDEX(상세표[블록 07~18시],$Q2045))</f>
        <v/>
      </c>
      <c r="M2045" s="20">
        <f>IF($Q2045="","",INDEX(상세표[블록 18~22시],$Q2045))</f>
        <v/>
      </c>
      <c r="N2045" s="20">
        <f>IF($Q2045="","",INDEX(상세표[블록 22~06시],$Q2045))</f>
        <v/>
      </c>
      <c r="O2045">
        <f>IF($Q2045="","",INDEX(상세표[주말·휴일 포함],$Q2045)&amp;"")</f>
        <v/>
      </c>
      <c r="P2045">
        <f>IF($Q2045="","",INDEX(상세표[월 넘김 포함],$Q2045)&amp;"")</f>
        <v/>
      </c>
      <c r="Q2045" s="4">
        <f>IFERROR(MATCH(2040,상세표[연속순번],0),"")</f>
        <v/>
      </c>
    </row>
    <row r="2046">
      <c r="A2046">
        <f>IF($Q2046="","",INDEX(상세표[부서],$Q2046)&amp;"")</f>
        <v/>
      </c>
      <c r="B2046">
        <f>IF($Q2046="","",INDEX(상세표[사번],$Q2046)&amp;"")</f>
        <v/>
      </c>
      <c r="C2046">
        <f>IF($Q2046="","",INDEX(상세표[성명],$Q2046)&amp;"")</f>
        <v/>
      </c>
      <c r="D2046">
        <f>IF($Q2046="","",INDEX(상세표[직위],$Q2046)&amp;"")</f>
        <v/>
      </c>
      <c r="E2046">
        <f>IF($Q2046="","",IF(ISNUMBER(INDEX(상세표[근무일자],$Q2046)),TEXT(INDEX(상세표[근무일자],$Q2046),"yyyy-mm-dd"),INDEX(상세표[근무일자],$Q2046)&amp;""))</f>
        <v/>
      </c>
      <c r="F2046">
        <f>IF($Q2046="","",IF(ISNUMBER(INDEX(상세표[시작],$Q2046)),TEXT(INDEX(상세표[시작],$Q2046),"yyyy-mm-dd hh:mm"),INDEX(상세표[시작],$Q2046)&amp;""))</f>
        <v/>
      </c>
      <c r="G2046">
        <f>IF($Q2046="","",IF(ISNUMBER(INDEX(상세표[블록종료],$Q2046)),TEXT(INDEX(상세표[블록종료],$Q2046),"yyyy-mm-dd hh:mm"),INDEX(상세표[블록종료],$Q2046)&amp;""))</f>
        <v/>
      </c>
      <c r="H2046">
        <f>IF($Q2046="","",CHOOSE(WEEKDAY(INDEX(상세표[시작],$Q2046)),"일","월","화","수","목","금","토"))</f>
        <v/>
      </c>
      <c r="I2046" s="20">
        <f>IF($Q2046="","",INDEX(상세표[연속 시간],$Q2046))</f>
        <v/>
      </c>
      <c r="J2046">
        <f>IF($Q2046="","",INDEX(상세표[기록 수],$Q2046))</f>
        <v/>
      </c>
      <c r="K2046" s="20">
        <f>IF($Q2046="","",INDEX(상세표[블록 06~07시],$Q2046))</f>
        <v/>
      </c>
      <c r="L2046" s="20">
        <f>IF($Q2046="","",INDEX(상세표[블록 07~18시],$Q2046))</f>
        <v/>
      </c>
      <c r="M2046" s="20">
        <f>IF($Q2046="","",INDEX(상세표[블록 18~22시],$Q2046))</f>
        <v/>
      </c>
      <c r="N2046" s="20">
        <f>IF($Q2046="","",INDEX(상세표[블록 22~06시],$Q2046))</f>
        <v/>
      </c>
      <c r="O2046">
        <f>IF($Q2046="","",INDEX(상세표[주말·휴일 포함],$Q2046)&amp;"")</f>
        <v/>
      </c>
      <c r="P2046">
        <f>IF($Q2046="","",INDEX(상세표[월 넘김 포함],$Q2046)&amp;"")</f>
        <v/>
      </c>
      <c r="Q2046" s="4">
        <f>IFERROR(MATCH(2041,상세표[연속순번],0),"")</f>
        <v/>
      </c>
    </row>
    <row r="2047">
      <c r="A2047">
        <f>IF($Q2047="","",INDEX(상세표[부서],$Q2047)&amp;"")</f>
        <v/>
      </c>
      <c r="B2047">
        <f>IF($Q2047="","",INDEX(상세표[사번],$Q2047)&amp;"")</f>
        <v/>
      </c>
      <c r="C2047">
        <f>IF($Q2047="","",INDEX(상세표[성명],$Q2047)&amp;"")</f>
        <v/>
      </c>
      <c r="D2047">
        <f>IF($Q2047="","",INDEX(상세표[직위],$Q2047)&amp;"")</f>
        <v/>
      </c>
      <c r="E2047">
        <f>IF($Q2047="","",IF(ISNUMBER(INDEX(상세표[근무일자],$Q2047)),TEXT(INDEX(상세표[근무일자],$Q2047),"yyyy-mm-dd"),INDEX(상세표[근무일자],$Q2047)&amp;""))</f>
        <v/>
      </c>
      <c r="F2047">
        <f>IF($Q2047="","",IF(ISNUMBER(INDEX(상세표[시작],$Q2047)),TEXT(INDEX(상세표[시작],$Q2047),"yyyy-mm-dd hh:mm"),INDEX(상세표[시작],$Q2047)&amp;""))</f>
        <v/>
      </c>
      <c r="G2047">
        <f>IF($Q2047="","",IF(ISNUMBER(INDEX(상세표[블록종료],$Q2047)),TEXT(INDEX(상세표[블록종료],$Q2047),"yyyy-mm-dd hh:mm"),INDEX(상세표[블록종료],$Q2047)&amp;""))</f>
        <v/>
      </c>
      <c r="H2047">
        <f>IF($Q2047="","",CHOOSE(WEEKDAY(INDEX(상세표[시작],$Q2047)),"일","월","화","수","목","금","토"))</f>
        <v/>
      </c>
      <c r="I2047" s="20">
        <f>IF($Q2047="","",INDEX(상세표[연속 시간],$Q2047))</f>
        <v/>
      </c>
      <c r="J2047">
        <f>IF($Q2047="","",INDEX(상세표[기록 수],$Q2047))</f>
        <v/>
      </c>
      <c r="K2047" s="20">
        <f>IF($Q2047="","",INDEX(상세표[블록 06~07시],$Q2047))</f>
        <v/>
      </c>
      <c r="L2047" s="20">
        <f>IF($Q2047="","",INDEX(상세표[블록 07~18시],$Q2047))</f>
        <v/>
      </c>
      <c r="M2047" s="20">
        <f>IF($Q2047="","",INDEX(상세표[블록 18~22시],$Q2047))</f>
        <v/>
      </c>
      <c r="N2047" s="20">
        <f>IF($Q2047="","",INDEX(상세표[블록 22~06시],$Q2047))</f>
        <v/>
      </c>
      <c r="O2047">
        <f>IF($Q2047="","",INDEX(상세표[주말·휴일 포함],$Q2047)&amp;"")</f>
        <v/>
      </c>
      <c r="P2047">
        <f>IF($Q2047="","",INDEX(상세표[월 넘김 포함],$Q2047)&amp;"")</f>
        <v/>
      </c>
      <c r="Q2047" s="4">
        <f>IFERROR(MATCH(2042,상세표[연속순번],0),"")</f>
        <v/>
      </c>
    </row>
    <row r="2048">
      <c r="A2048">
        <f>IF($Q2048="","",INDEX(상세표[부서],$Q2048)&amp;"")</f>
        <v/>
      </c>
      <c r="B2048">
        <f>IF($Q2048="","",INDEX(상세표[사번],$Q2048)&amp;"")</f>
        <v/>
      </c>
      <c r="C2048">
        <f>IF($Q2048="","",INDEX(상세표[성명],$Q2048)&amp;"")</f>
        <v/>
      </c>
      <c r="D2048">
        <f>IF($Q2048="","",INDEX(상세표[직위],$Q2048)&amp;"")</f>
        <v/>
      </c>
      <c r="E2048">
        <f>IF($Q2048="","",IF(ISNUMBER(INDEX(상세표[근무일자],$Q2048)),TEXT(INDEX(상세표[근무일자],$Q2048),"yyyy-mm-dd"),INDEX(상세표[근무일자],$Q2048)&amp;""))</f>
        <v/>
      </c>
      <c r="F2048">
        <f>IF($Q2048="","",IF(ISNUMBER(INDEX(상세표[시작],$Q2048)),TEXT(INDEX(상세표[시작],$Q2048),"yyyy-mm-dd hh:mm"),INDEX(상세표[시작],$Q2048)&amp;""))</f>
        <v/>
      </c>
      <c r="G2048">
        <f>IF($Q2048="","",IF(ISNUMBER(INDEX(상세표[블록종료],$Q2048)),TEXT(INDEX(상세표[블록종료],$Q2048),"yyyy-mm-dd hh:mm"),INDEX(상세표[블록종료],$Q2048)&amp;""))</f>
        <v/>
      </c>
      <c r="H2048">
        <f>IF($Q2048="","",CHOOSE(WEEKDAY(INDEX(상세표[시작],$Q2048)),"일","월","화","수","목","금","토"))</f>
        <v/>
      </c>
      <c r="I2048" s="20">
        <f>IF($Q2048="","",INDEX(상세표[연속 시간],$Q2048))</f>
        <v/>
      </c>
      <c r="J2048">
        <f>IF($Q2048="","",INDEX(상세표[기록 수],$Q2048))</f>
        <v/>
      </c>
      <c r="K2048" s="20">
        <f>IF($Q2048="","",INDEX(상세표[블록 06~07시],$Q2048))</f>
        <v/>
      </c>
      <c r="L2048" s="20">
        <f>IF($Q2048="","",INDEX(상세표[블록 07~18시],$Q2048))</f>
        <v/>
      </c>
      <c r="M2048" s="20">
        <f>IF($Q2048="","",INDEX(상세표[블록 18~22시],$Q2048))</f>
        <v/>
      </c>
      <c r="N2048" s="20">
        <f>IF($Q2048="","",INDEX(상세표[블록 22~06시],$Q2048))</f>
        <v/>
      </c>
      <c r="O2048">
        <f>IF($Q2048="","",INDEX(상세표[주말·휴일 포함],$Q2048)&amp;"")</f>
        <v/>
      </c>
      <c r="P2048">
        <f>IF($Q2048="","",INDEX(상세표[월 넘김 포함],$Q2048)&amp;"")</f>
        <v/>
      </c>
      <c r="Q2048" s="4">
        <f>IFERROR(MATCH(2043,상세표[연속순번],0),"")</f>
        <v/>
      </c>
    </row>
    <row r="2049">
      <c r="A2049">
        <f>IF($Q2049="","",INDEX(상세표[부서],$Q2049)&amp;"")</f>
        <v/>
      </c>
      <c r="B2049">
        <f>IF($Q2049="","",INDEX(상세표[사번],$Q2049)&amp;"")</f>
        <v/>
      </c>
      <c r="C2049">
        <f>IF($Q2049="","",INDEX(상세표[성명],$Q2049)&amp;"")</f>
        <v/>
      </c>
      <c r="D2049">
        <f>IF($Q2049="","",INDEX(상세표[직위],$Q2049)&amp;"")</f>
        <v/>
      </c>
      <c r="E2049">
        <f>IF($Q2049="","",IF(ISNUMBER(INDEX(상세표[근무일자],$Q2049)),TEXT(INDEX(상세표[근무일자],$Q2049),"yyyy-mm-dd"),INDEX(상세표[근무일자],$Q2049)&amp;""))</f>
        <v/>
      </c>
      <c r="F2049">
        <f>IF($Q2049="","",IF(ISNUMBER(INDEX(상세표[시작],$Q2049)),TEXT(INDEX(상세표[시작],$Q2049),"yyyy-mm-dd hh:mm"),INDEX(상세표[시작],$Q2049)&amp;""))</f>
        <v/>
      </c>
      <c r="G2049">
        <f>IF($Q2049="","",IF(ISNUMBER(INDEX(상세표[블록종료],$Q2049)),TEXT(INDEX(상세표[블록종료],$Q2049),"yyyy-mm-dd hh:mm"),INDEX(상세표[블록종료],$Q2049)&amp;""))</f>
        <v/>
      </c>
      <c r="H2049">
        <f>IF($Q2049="","",CHOOSE(WEEKDAY(INDEX(상세표[시작],$Q2049)),"일","월","화","수","목","금","토"))</f>
        <v/>
      </c>
      <c r="I2049" s="20">
        <f>IF($Q2049="","",INDEX(상세표[연속 시간],$Q2049))</f>
        <v/>
      </c>
      <c r="J2049">
        <f>IF($Q2049="","",INDEX(상세표[기록 수],$Q2049))</f>
        <v/>
      </c>
      <c r="K2049" s="20">
        <f>IF($Q2049="","",INDEX(상세표[블록 06~07시],$Q2049))</f>
        <v/>
      </c>
      <c r="L2049" s="20">
        <f>IF($Q2049="","",INDEX(상세표[블록 07~18시],$Q2049))</f>
        <v/>
      </c>
      <c r="M2049" s="20">
        <f>IF($Q2049="","",INDEX(상세표[블록 18~22시],$Q2049))</f>
        <v/>
      </c>
      <c r="N2049" s="20">
        <f>IF($Q2049="","",INDEX(상세표[블록 22~06시],$Q2049))</f>
        <v/>
      </c>
      <c r="O2049">
        <f>IF($Q2049="","",INDEX(상세표[주말·휴일 포함],$Q2049)&amp;"")</f>
        <v/>
      </c>
      <c r="P2049">
        <f>IF($Q2049="","",INDEX(상세표[월 넘김 포함],$Q2049)&amp;"")</f>
        <v/>
      </c>
      <c r="Q2049" s="4">
        <f>IFERROR(MATCH(2044,상세표[연속순번],0),"")</f>
        <v/>
      </c>
    </row>
    <row r="2050">
      <c r="A2050">
        <f>IF($Q2050="","",INDEX(상세표[부서],$Q2050)&amp;"")</f>
        <v/>
      </c>
      <c r="B2050">
        <f>IF($Q2050="","",INDEX(상세표[사번],$Q2050)&amp;"")</f>
        <v/>
      </c>
      <c r="C2050">
        <f>IF($Q2050="","",INDEX(상세표[성명],$Q2050)&amp;"")</f>
        <v/>
      </c>
      <c r="D2050">
        <f>IF($Q2050="","",INDEX(상세표[직위],$Q2050)&amp;"")</f>
        <v/>
      </c>
      <c r="E2050">
        <f>IF($Q2050="","",IF(ISNUMBER(INDEX(상세표[근무일자],$Q2050)),TEXT(INDEX(상세표[근무일자],$Q2050),"yyyy-mm-dd"),INDEX(상세표[근무일자],$Q2050)&amp;""))</f>
        <v/>
      </c>
      <c r="F2050">
        <f>IF($Q2050="","",IF(ISNUMBER(INDEX(상세표[시작],$Q2050)),TEXT(INDEX(상세표[시작],$Q2050),"yyyy-mm-dd hh:mm"),INDEX(상세표[시작],$Q2050)&amp;""))</f>
        <v/>
      </c>
      <c r="G2050">
        <f>IF($Q2050="","",IF(ISNUMBER(INDEX(상세표[블록종료],$Q2050)),TEXT(INDEX(상세표[블록종료],$Q2050),"yyyy-mm-dd hh:mm"),INDEX(상세표[블록종료],$Q2050)&amp;""))</f>
        <v/>
      </c>
      <c r="H2050">
        <f>IF($Q2050="","",CHOOSE(WEEKDAY(INDEX(상세표[시작],$Q2050)),"일","월","화","수","목","금","토"))</f>
        <v/>
      </c>
      <c r="I2050" s="20">
        <f>IF($Q2050="","",INDEX(상세표[연속 시간],$Q2050))</f>
        <v/>
      </c>
      <c r="J2050">
        <f>IF($Q2050="","",INDEX(상세표[기록 수],$Q2050))</f>
        <v/>
      </c>
      <c r="K2050" s="20">
        <f>IF($Q2050="","",INDEX(상세표[블록 06~07시],$Q2050))</f>
        <v/>
      </c>
      <c r="L2050" s="20">
        <f>IF($Q2050="","",INDEX(상세표[블록 07~18시],$Q2050))</f>
        <v/>
      </c>
      <c r="M2050" s="20">
        <f>IF($Q2050="","",INDEX(상세표[블록 18~22시],$Q2050))</f>
        <v/>
      </c>
      <c r="N2050" s="20">
        <f>IF($Q2050="","",INDEX(상세표[블록 22~06시],$Q2050))</f>
        <v/>
      </c>
      <c r="O2050">
        <f>IF($Q2050="","",INDEX(상세표[주말·휴일 포함],$Q2050)&amp;"")</f>
        <v/>
      </c>
      <c r="P2050">
        <f>IF($Q2050="","",INDEX(상세표[월 넘김 포함],$Q2050)&amp;"")</f>
        <v/>
      </c>
      <c r="Q2050" s="4">
        <f>IFERROR(MATCH(2045,상세표[연속순번],0),"")</f>
        <v/>
      </c>
    </row>
    <row r="2051">
      <c r="A2051">
        <f>IF($Q2051="","",INDEX(상세표[부서],$Q2051)&amp;"")</f>
        <v/>
      </c>
      <c r="B2051">
        <f>IF($Q2051="","",INDEX(상세표[사번],$Q2051)&amp;"")</f>
        <v/>
      </c>
      <c r="C2051">
        <f>IF($Q2051="","",INDEX(상세표[성명],$Q2051)&amp;"")</f>
        <v/>
      </c>
      <c r="D2051">
        <f>IF($Q2051="","",INDEX(상세표[직위],$Q2051)&amp;"")</f>
        <v/>
      </c>
      <c r="E2051">
        <f>IF($Q2051="","",IF(ISNUMBER(INDEX(상세표[근무일자],$Q2051)),TEXT(INDEX(상세표[근무일자],$Q2051),"yyyy-mm-dd"),INDEX(상세표[근무일자],$Q2051)&amp;""))</f>
        <v/>
      </c>
      <c r="F2051">
        <f>IF($Q2051="","",IF(ISNUMBER(INDEX(상세표[시작],$Q2051)),TEXT(INDEX(상세표[시작],$Q2051),"yyyy-mm-dd hh:mm"),INDEX(상세표[시작],$Q2051)&amp;""))</f>
        <v/>
      </c>
      <c r="G2051">
        <f>IF($Q2051="","",IF(ISNUMBER(INDEX(상세표[블록종료],$Q2051)),TEXT(INDEX(상세표[블록종료],$Q2051),"yyyy-mm-dd hh:mm"),INDEX(상세표[블록종료],$Q2051)&amp;""))</f>
        <v/>
      </c>
      <c r="H2051">
        <f>IF($Q2051="","",CHOOSE(WEEKDAY(INDEX(상세표[시작],$Q2051)),"일","월","화","수","목","금","토"))</f>
        <v/>
      </c>
      <c r="I2051" s="20">
        <f>IF($Q2051="","",INDEX(상세표[연속 시간],$Q2051))</f>
        <v/>
      </c>
      <c r="J2051">
        <f>IF($Q2051="","",INDEX(상세표[기록 수],$Q2051))</f>
        <v/>
      </c>
      <c r="K2051" s="20">
        <f>IF($Q2051="","",INDEX(상세표[블록 06~07시],$Q2051))</f>
        <v/>
      </c>
      <c r="L2051" s="20">
        <f>IF($Q2051="","",INDEX(상세표[블록 07~18시],$Q2051))</f>
        <v/>
      </c>
      <c r="M2051" s="20">
        <f>IF($Q2051="","",INDEX(상세표[블록 18~22시],$Q2051))</f>
        <v/>
      </c>
      <c r="N2051" s="20">
        <f>IF($Q2051="","",INDEX(상세표[블록 22~06시],$Q2051))</f>
        <v/>
      </c>
      <c r="O2051">
        <f>IF($Q2051="","",INDEX(상세표[주말·휴일 포함],$Q2051)&amp;"")</f>
        <v/>
      </c>
      <c r="P2051">
        <f>IF($Q2051="","",INDEX(상세표[월 넘김 포함],$Q2051)&amp;"")</f>
        <v/>
      </c>
      <c r="Q2051" s="4">
        <f>IFERROR(MATCH(2046,상세표[연속순번],0),"")</f>
        <v/>
      </c>
    </row>
    <row r="2052">
      <c r="A2052">
        <f>IF($Q2052="","",INDEX(상세표[부서],$Q2052)&amp;"")</f>
        <v/>
      </c>
      <c r="B2052">
        <f>IF($Q2052="","",INDEX(상세표[사번],$Q2052)&amp;"")</f>
        <v/>
      </c>
      <c r="C2052">
        <f>IF($Q2052="","",INDEX(상세표[성명],$Q2052)&amp;"")</f>
        <v/>
      </c>
      <c r="D2052">
        <f>IF($Q2052="","",INDEX(상세표[직위],$Q2052)&amp;"")</f>
        <v/>
      </c>
      <c r="E2052">
        <f>IF($Q2052="","",IF(ISNUMBER(INDEX(상세표[근무일자],$Q2052)),TEXT(INDEX(상세표[근무일자],$Q2052),"yyyy-mm-dd"),INDEX(상세표[근무일자],$Q2052)&amp;""))</f>
        <v/>
      </c>
      <c r="F2052">
        <f>IF($Q2052="","",IF(ISNUMBER(INDEX(상세표[시작],$Q2052)),TEXT(INDEX(상세표[시작],$Q2052),"yyyy-mm-dd hh:mm"),INDEX(상세표[시작],$Q2052)&amp;""))</f>
        <v/>
      </c>
      <c r="G2052">
        <f>IF($Q2052="","",IF(ISNUMBER(INDEX(상세표[블록종료],$Q2052)),TEXT(INDEX(상세표[블록종료],$Q2052),"yyyy-mm-dd hh:mm"),INDEX(상세표[블록종료],$Q2052)&amp;""))</f>
        <v/>
      </c>
      <c r="H2052">
        <f>IF($Q2052="","",CHOOSE(WEEKDAY(INDEX(상세표[시작],$Q2052)),"일","월","화","수","목","금","토"))</f>
        <v/>
      </c>
      <c r="I2052" s="20">
        <f>IF($Q2052="","",INDEX(상세표[연속 시간],$Q2052))</f>
        <v/>
      </c>
      <c r="J2052">
        <f>IF($Q2052="","",INDEX(상세표[기록 수],$Q2052))</f>
        <v/>
      </c>
      <c r="K2052" s="20">
        <f>IF($Q2052="","",INDEX(상세표[블록 06~07시],$Q2052))</f>
        <v/>
      </c>
      <c r="L2052" s="20">
        <f>IF($Q2052="","",INDEX(상세표[블록 07~18시],$Q2052))</f>
        <v/>
      </c>
      <c r="M2052" s="20">
        <f>IF($Q2052="","",INDEX(상세표[블록 18~22시],$Q2052))</f>
        <v/>
      </c>
      <c r="N2052" s="20">
        <f>IF($Q2052="","",INDEX(상세표[블록 22~06시],$Q2052))</f>
        <v/>
      </c>
      <c r="O2052">
        <f>IF($Q2052="","",INDEX(상세표[주말·휴일 포함],$Q2052)&amp;"")</f>
        <v/>
      </c>
      <c r="P2052">
        <f>IF($Q2052="","",INDEX(상세표[월 넘김 포함],$Q2052)&amp;"")</f>
        <v/>
      </c>
      <c r="Q2052" s="4">
        <f>IFERROR(MATCH(2047,상세표[연속순번],0),"")</f>
        <v/>
      </c>
    </row>
    <row r="2053">
      <c r="A2053">
        <f>IF($Q2053="","",INDEX(상세표[부서],$Q2053)&amp;"")</f>
        <v/>
      </c>
      <c r="B2053">
        <f>IF($Q2053="","",INDEX(상세표[사번],$Q2053)&amp;"")</f>
        <v/>
      </c>
      <c r="C2053">
        <f>IF($Q2053="","",INDEX(상세표[성명],$Q2053)&amp;"")</f>
        <v/>
      </c>
      <c r="D2053">
        <f>IF($Q2053="","",INDEX(상세표[직위],$Q2053)&amp;"")</f>
        <v/>
      </c>
      <c r="E2053">
        <f>IF($Q2053="","",IF(ISNUMBER(INDEX(상세표[근무일자],$Q2053)),TEXT(INDEX(상세표[근무일자],$Q2053),"yyyy-mm-dd"),INDEX(상세표[근무일자],$Q2053)&amp;""))</f>
        <v/>
      </c>
      <c r="F2053">
        <f>IF($Q2053="","",IF(ISNUMBER(INDEX(상세표[시작],$Q2053)),TEXT(INDEX(상세표[시작],$Q2053),"yyyy-mm-dd hh:mm"),INDEX(상세표[시작],$Q2053)&amp;""))</f>
        <v/>
      </c>
      <c r="G2053">
        <f>IF($Q2053="","",IF(ISNUMBER(INDEX(상세표[블록종료],$Q2053)),TEXT(INDEX(상세표[블록종료],$Q2053),"yyyy-mm-dd hh:mm"),INDEX(상세표[블록종료],$Q2053)&amp;""))</f>
        <v/>
      </c>
      <c r="H2053">
        <f>IF($Q2053="","",CHOOSE(WEEKDAY(INDEX(상세표[시작],$Q2053)),"일","월","화","수","목","금","토"))</f>
        <v/>
      </c>
      <c r="I2053" s="20">
        <f>IF($Q2053="","",INDEX(상세표[연속 시간],$Q2053))</f>
        <v/>
      </c>
      <c r="J2053">
        <f>IF($Q2053="","",INDEX(상세표[기록 수],$Q2053))</f>
        <v/>
      </c>
      <c r="K2053" s="20">
        <f>IF($Q2053="","",INDEX(상세표[블록 06~07시],$Q2053))</f>
        <v/>
      </c>
      <c r="L2053" s="20">
        <f>IF($Q2053="","",INDEX(상세표[블록 07~18시],$Q2053))</f>
        <v/>
      </c>
      <c r="M2053" s="20">
        <f>IF($Q2053="","",INDEX(상세표[블록 18~22시],$Q2053))</f>
        <v/>
      </c>
      <c r="N2053" s="20">
        <f>IF($Q2053="","",INDEX(상세표[블록 22~06시],$Q2053))</f>
        <v/>
      </c>
      <c r="O2053">
        <f>IF($Q2053="","",INDEX(상세표[주말·휴일 포함],$Q2053)&amp;"")</f>
        <v/>
      </c>
      <c r="P2053">
        <f>IF($Q2053="","",INDEX(상세표[월 넘김 포함],$Q2053)&amp;"")</f>
        <v/>
      </c>
      <c r="Q2053" s="4">
        <f>IFERROR(MATCH(2048,상세표[연속순번],0),"")</f>
        <v/>
      </c>
    </row>
    <row r="2054">
      <c r="A2054">
        <f>IF($Q2054="","",INDEX(상세표[부서],$Q2054)&amp;"")</f>
        <v/>
      </c>
      <c r="B2054">
        <f>IF($Q2054="","",INDEX(상세표[사번],$Q2054)&amp;"")</f>
        <v/>
      </c>
      <c r="C2054">
        <f>IF($Q2054="","",INDEX(상세표[성명],$Q2054)&amp;"")</f>
        <v/>
      </c>
      <c r="D2054">
        <f>IF($Q2054="","",INDEX(상세표[직위],$Q2054)&amp;"")</f>
        <v/>
      </c>
      <c r="E2054">
        <f>IF($Q2054="","",IF(ISNUMBER(INDEX(상세표[근무일자],$Q2054)),TEXT(INDEX(상세표[근무일자],$Q2054),"yyyy-mm-dd"),INDEX(상세표[근무일자],$Q2054)&amp;""))</f>
        <v/>
      </c>
      <c r="F2054">
        <f>IF($Q2054="","",IF(ISNUMBER(INDEX(상세표[시작],$Q2054)),TEXT(INDEX(상세표[시작],$Q2054),"yyyy-mm-dd hh:mm"),INDEX(상세표[시작],$Q2054)&amp;""))</f>
        <v/>
      </c>
      <c r="G2054">
        <f>IF($Q2054="","",IF(ISNUMBER(INDEX(상세표[블록종료],$Q2054)),TEXT(INDEX(상세표[블록종료],$Q2054),"yyyy-mm-dd hh:mm"),INDEX(상세표[블록종료],$Q2054)&amp;""))</f>
        <v/>
      </c>
      <c r="H2054">
        <f>IF($Q2054="","",CHOOSE(WEEKDAY(INDEX(상세표[시작],$Q2054)),"일","월","화","수","목","금","토"))</f>
        <v/>
      </c>
      <c r="I2054" s="20">
        <f>IF($Q2054="","",INDEX(상세표[연속 시간],$Q2054))</f>
        <v/>
      </c>
      <c r="J2054">
        <f>IF($Q2054="","",INDEX(상세표[기록 수],$Q2054))</f>
        <v/>
      </c>
      <c r="K2054" s="20">
        <f>IF($Q2054="","",INDEX(상세표[블록 06~07시],$Q2054))</f>
        <v/>
      </c>
      <c r="L2054" s="20">
        <f>IF($Q2054="","",INDEX(상세표[블록 07~18시],$Q2054))</f>
        <v/>
      </c>
      <c r="M2054" s="20">
        <f>IF($Q2054="","",INDEX(상세표[블록 18~22시],$Q2054))</f>
        <v/>
      </c>
      <c r="N2054" s="20">
        <f>IF($Q2054="","",INDEX(상세표[블록 22~06시],$Q2054))</f>
        <v/>
      </c>
      <c r="O2054">
        <f>IF($Q2054="","",INDEX(상세표[주말·휴일 포함],$Q2054)&amp;"")</f>
        <v/>
      </c>
      <c r="P2054">
        <f>IF($Q2054="","",INDEX(상세표[월 넘김 포함],$Q2054)&amp;"")</f>
        <v/>
      </c>
      <c r="Q2054" s="4">
        <f>IFERROR(MATCH(2049,상세표[연속순번],0),"")</f>
        <v/>
      </c>
    </row>
    <row r="2055">
      <c r="A2055">
        <f>IF($Q2055="","",INDEX(상세표[부서],$Q2055)&amp;"")</f>
        <v/>
      </c>
      <c r="B2055">
        <f>IF($Q2055="","",INDEX(상세표[사번],$Q2055)&amp;"")</f>
        <v/>
      </c>
      <c r="C2055">
        <f>IF($Q2055="","",INDEX(상세표[성명],$Q2055)&amp;"")</f>
        <v/>
      </c>
      <c r="D2055">
        <f>IF($Q2055="","",INDEX(상세표[직위],$Q2055)&amp;"")</f>
        <v/>
      </c>
      <c r="E2055">
        <f>IF($Q2055="","",IF(ISNUMBER(INDEX(상세표[근무일자],$Q2055)),TEXT(INDEX(상세표[근무일자],$Q2055),"yyyy-mm-dd"),INDEX(상세표[근무일자],$Q2055)&amp;""))</f>
        <v/>
      </c>
      <c r="F2055">
        <f>IF($Q2055="","",IF(ISNUMBER(INDEX(상세표[시작],$Q2055)),TEXT(INDEX(상세표[시작],$Q2055),"yyyy-mm-dd hh:mm"),INDEX(상세표[시작],$Q2055)&amp;""))</f>
        <v/>
      </c>
      <c r="G2055">
        <f>IF($Q2055="","",IF(ISNUMBER(INDEX(상세표[블록종료],$Q2055)),TEXT(INDEX(상세표[블록종료],$Q2055),"yyyy-mm-dd hh:mm"),INDEX(상세표[블록종료],$Q2055)&amp;""))</f>
        <v/>
      </c>
      <c r="H2055">
        <f>IF($Q2055="","",CHOOSE(WEEKDAY(INDEX(상세표[시작],$Q2055)),"일","월","화","수","목","금","토"))</f>
        <v/>
      </c>
      <c r="I2055" s="20">
        <f>IF($Q2055="","",INDEX(상세표[연속 시간],$Q2055))</f>
        <v/>
      </c>
      <c r="J2055">
        <f>IF($Q2055="","",INDEX(상세표[기록 수],$Q2055))</f>
        <v/>
      </c>
      <c r="K2055" s="20">
        <f>IF($Q2055="","",INDEX(상세표[블록 06~07시],$Q2055))</f>
        <v/>
      </c>
      <c r="L2055" s="20">
        <f>IF($Q2055="","",INDEX(상세표[블록 07~18시],$Q2055))</f>
        <v/>
      </c>
      <c r="M2055" s="20">
        <f>IF($Q2055="","",INDEX(상세표[블록 18~22시],$Q2055))</f>
        <v/>
      </c>
      <c r="N2055" s="20">
        <f>IF($Q2055="","",INDEX(상세표[블록 22~06시],$Q2055))</f>
        <v/>
      </c>
      <c r="O2055">
        <f>IF($Q2055="","",INDEX(상세표[주말·휴일 포함],$Q2055)&amp;"")</f>
        <v/>
      </c>
      <c r="P2055">
        <f>IF($Q2055="","",INDEX(상세표[월 넘김 포함],$Q2055)&amp;"")</f>
        <v/>
      </c>
      <c r="Q2055" s="4">
        <f>IFERROR(MATCH(2050,상세표[연속순번],0),"")</f>
        <v/>
      </c>
    </row>
    <row r="2056">
      <c r="A2056">
        <f>IF($Q2056="","",INDEX(상세표[부서],$Q2056)&amp;"")</f>
        <v/>
      </c>
      <c r="B2056">
        <f>IF($Q2056="","",INDEX(상세표[사번],$Q2056)&amp;"")</f>
        <v/>
      </c>
      <c r="C2056">
        <f>IF($Q2056="","",INDEX(상세표[성명],$Q2056)&amp;"")</f>
        <v/>
      </c>
      <c r="D2056">
        <f>IF($Q2056="","",INDEX(상세표[직위],$Q2056)&amp;"")</f>
        <v/>
      </c>
      <c r="E2056">
        <f>IF($Q2056="","",IF(ISNUMBER(INDEX(상세표[근무일자],$Q2056)),TEXT(INDEX(상세표[근무일자],$Q2056),"yyyy-mm-dd"),INDEX(상세표[근무일자],$Q2056)&amp;""))</f>
        <v/>
      </c>
      <c r="F2056">
        <f>IF($Q2056="","",IF(ISNUMBER(INDEX(상세표[시작],$Q2056)),TEXT(INDEX(상세표[시작],$Q2056),"yyyy-mm-dd hh:mm"),INDEX(상세표[시작],$Q2056)&amp;""))</f>
        <v/>
      </c>
      <c r="G2056">
        <f>IF($Q2056="","",IF(ISNUMBER(INDEX(상세표[블록종료],$Q2056)),TEXT(INDEX(상세표[블록종료],$Q2056),"yyyy-mm-dd hh:mm"),INDEX(상세표[블록종료],$Q2056)&amp;""))</f>
        <v/>
      </c>
      <c r="H2056">
        <f>IF($Q2056="","",CHOOSE(WEEKDAY(INDEX(상세표[시작],$Q2056)),"일","월","화","수","목","금","토"))</f>
        <v/>
      </c>
      <c r="I2056" s="20">
        <f>IF($Q2056="","",INDEX(상세표[연속 시간],$Q2056))</f>
        <v/>
      </c>
      <c r="J2056">
        <f>IF($Q2056="","",INDEX(상세표[기록 수],$Q2056))</f>
        <v/>
      </c>
      <c r="K2056" s="20">
        <f>IF($Q2056="","",INDEX(상세표[블록 06~07시],$Q2056))</f>
        <v/>
      </c>
      <c r="L2056" s="20">
        <f>IF($Q2056="","",INDEX(상세표[블록 07~18시],$Q2056))</f>
        <v/>
      </c>
      <c r="M2056" s="20">
        <f>IF($Q2056="","",INDEX(상세표[블록 18~22시],$Q2056))</f>
        <v/>
      </c>
      <c r="N2056" s="20">
        <f>IF($Q2056="","",INDEX(상세표[블록 22~06시],$Q2056))</f>
        <v/>
      </c>
      <c r="O2056">
        <f>IF($Q2056="","",INDEX(상세표[주말·휴일 포함],$Q2056)&amp;"")</f>
        <v/>
      </c>
      <c r="P2056">
        <f>IF($Q2056="","",INDEX(상세표[월 넘김 포함],$Q2056)&amp;"")</f>
        <v/>
      </c>
      <c r="Q2056" s="4">
        <f>IFERROR(MATCH(2051,상세표[연속순번],0),"")</f>
        <v/>
      </c>
    </row>
    <row r="2057">
      <c r="A2057">
        <f>IF($Q2057="","",INDEX(상세표[부서],$Q2057)&amp;"")</f>
        <v/>
      </c>
      <c r="B2057">
        <f>IF($Q2057="","",INDEX(상세표[사번],$Q2057)&amp;"")</f>
        <v/>
      </c>
      <c r="C2057">
        <f>IF($Q2057="","",INDEX(상세표[성명],$Q2057)&amp;"")</f>
        <v/>
      </c>
      <c r="D2057">
        <f>IF($Q2057="","",INDEX(상세표[직위],$Q2057)&amp;"")</f>
        <v/>
      </c>
      <c r="E2057">
        <f>IF($Q2057="","",IF(ISNUMBER(INDEX(상세표[근무일자],$Q2057)),TEXT(INDEX(상세표[근무일자],$Q2057),"yyyy-mm-dd"),INDEX(상세표[근무일자],$Q2057)&amp;""))</f>
        <v/>
      </c>
      <c r="F2057">
        <f>IF($Q2057="","",IF(ISNUMBER(INDEX(상세표[시작],$Q2057)),TEXT(INDEX(상세표[시작],$Q2057),"yyyy-mm-dd hh:mm"),INDEX(상세표[시작],$Q2057)&amp;""))</f>
        <v/>
      </c>
      <c r="G2057">
        <f>IF($Q2057="","",IF(ISNUMBER(INDEX(상세표[블록종료],$Q2057)),TEXT(INDEX(상세표[블록종료],$Q2057),"yyyy-mm-dd hh:mm"),INDEX(상세표[블록종료],$Q2057)&amp;""))</f>
        <v/>
      </c>
      <c r="H2057">
        <f>IF($Q2057="","",CHOOSE(WEEKDAY(INDEX(상세표[시작],$Q2057)),"일","월","화","수","목","금","토"))</f>
        <v/>
      </c>
      <c r="I2057" s="20">
        <f>IF($Q2057="","",INDEX(상세표[연속 시간],$Q2057))</f>
        <v/>
      </c>
      <c r="J2057">
        <f>IF($Q2057="","",INDEX(상세표[기록 수],$Q2057))</f>
        <v/>
      </c>
      <c r="K2057" s="20">
        <f>IF($Q2057="","",INDEX(상세표[블록 06~07시],$Q2057))</f>
        <v/>
      </c>
      <c r="L2057" s="20">
        <f>IF($Q2057="","",INDEX(상세표[블록 07~18시],$Q2057))</f>
        <v/>
      </c>
      <c r="M2057" s="20">
        <f>IF($Q2057="","",INDEX(상세표[블록 18~22시],$Q2057))</f>
        <v/>
      </c>
      <c r="N2057" s="20">
        <f>IF($Q2057="","",INDEX(상세표[블록 22~06시],$Q2057))</f>
        <v/>
      </c>
      <c r="O2057">
        <f>IF($Q2057="","",INDEX(상세표[주말·휴일 포함],$Q2057)&amp;"")</f>
        <v/>
      </c>
      <c r="P2057">
        <f>IF($Q2057="","",INDEX(상세표[월 넘김 포함],$Q2057)&amp;"")</f>
        <v/>
      </c>
      <c r="Q2057" s="4">
        <f>IFERROR(MATCH(2052,상세표[연속순번],0),"")</f>
        <v/>
      </c>
    </row>
    <row r="2058">
      <c r="A2058">
        <f>IF($Q2058="","",INDEX(상세표[부서],$Q2058)&amp;"")</f>
        <v/>
      </c>
      <c r="B2058">
        <f>IF($Q2058="","",INDEX(상세표[사번],$Q2058)&amp;"")</f>
        <v/>
      </c>
      <c r="C2058">
        <f>IF($Q2058="","",INDEX(상세표[성명],$Q2058)&amp;"")</f>
        <v/>
      </c>
      <c r="D2058">
        <f>IF($Q2058="","",INDEX(상세표[직위],$Q2058)&amp;"")</f>
        <v/>
      </c>
      <c r="E2058">
        <f>IF($Q2058="","",IF(ISNUMBER(INDEX(상세표[근무일자],$Q2058)),TEXT(INDEX(상세표[근무일자],$Q2058),"yyyy-mm-dd"),INDEX(상세표[근무일자],$Q2058)&amp;""))</f>
        <v/>
      </c>
      <c r="F2058">
        <f>IF($Q2058="","",IF(ISNUMBER(INDEX(상세표[시작],$Q2058)),TEXT(INDEX(상세표[시작],$Q2058),"yyyy-mm-dd hh:mm"),INDEX(상세표[시작],$Q2058)&amp;""))</f>
        <v/>
      </c>
      <c r="G2058">
        <f>IF($Q2058="","",IF(ISNUMBER(INDEX(상세표[블록종료],$Q2058)),TEXT(INDEX(상세표[블록종료],$Q2058),"yyyy-mm-dd hh:mm"),INDEX(상세표[블록종료],$Q2058)&amp;""))</f>
        <v/>
      </c>
      <c r="H2058">
        <f>IF($Q2058="","",CHOOSE(WEEKDAY(INDEX(상세표[시작],$Q2058)),"일","월","화","수","목","금","토"))</f>
        <v/>
      </c>
      <c r="I2058" s="20">
        <f>IF($Q2058="","",INDEX(상세표[연속 시간],$Q2058))</f>
        <v/>
      </c>
      <c r="J2058">
        <f>IF($Q2058="","",INDEX(상세표[기록 수],$Q2058))</f>
        <v/>
      </c>
      <c r="K2058" s="20">
        <f>IF($Q2058="","",INDEX(상세표[블록 06~07시],$Q2058))</f>
        <v/>
      </c>
      <c r="L2058" s="20">
        <f>IF($Q2058="","",INDEX(상세표[블록 07~18시],$Q2058))</f>
        <v/>
      </c>
      <c r="M2058" s="20">
        <f>IF($Q2058="","",INDEX(상세표[블록 18~22시],$Q2058))</f>
        <v/>
      </c>
      <c r="N2058" s="20">
        <f>IF($Q2058="","",INDEX(상세표[블록 22~06시],$Q2058))</f>
        <v/>
      </c>
      <c r="O2058">
        <f>IF($Q2058="","",INDEX(상세표[주말·휴일 포함],$Q2058)&amp;"")</f>
        <v/>
      </c>
      <c r="P2058">
        <f>IF($Q2058="","",INDEX(상세표[월 넘김 포함],$Q2058)&amp;"")</f>
        <v/>
      </c>
      <c r="Q2058" s="4">
        <f>IFERROR(MATCH(2053,상세표[연속순번],0),"")</f>
        <v/>
      </c>
    </row>
    <row r="2059">
      <c r="A2059">
        <f>IF($Q2059="","",INDEX(상세표[부서],$Q2059)&amp;"")</f>
        <v/>
      </c>
      <c r="B2059">
        <f>IF($Q2059="","",INDEX(상세표[사번],$Q2059)&amp;"")</f>
        <v/>
      </c>
      <c r="C2059">
        <f>IF($Q2059="","",INDEX(상세표[성명],$Q2059)&amp;"")</f>
        <v/>
      </c>
      <c r="D2059">
        <f>IF($Q2059="","",INDEX(상세표[직위],$Q2059)&amp;"")</f>
        <v/>
      </c>
      <c r="E2059">
        <f>IF($Q2059="","",IF(ISNUMBER(INDEX(상세표[근무일자],$Q2059)),TEXT(INDEX(상세표[근무일자],$Q2059),"yyyy-mm-dd"),INDEX(상세표[근무일자],$Q2059)&amp;""))</f>
        <v/>
      </c>
      <c r="F2059">
        <f>IF($Q2059="","",IF(ISNUMBER(INDEX(상세표[시작],$Q2059)),TEXT(INDEX(상세표[시작],$Q2059),"yyyy-mm-dd hh:mm"),INDEX(상세표[시작],$Q2059)&amp;""))</f>
        <v/>
      </c>
      <c r="G2059">
        <f>IF($Q2059="","",IF(ISNUMBER(INDEX(상세표[블록종료],$Q2059)),TEXT(INDEX(상세표[블록종료],$Q2059),"yyyy-mm-dd hh:mm"),INDEX(상세표[블록종료],$Q2059)&amp;""))</f>
        <v/>
      </c>
      <c r="H2059">
        <f>IF($Q2059="","",CHOOSE(WEEKDAY(INDEX(상세표[시작],$Q2059)),"일","월","화","수","목","금","토"))</f>
        <v/>
      </c>
      <c r="I2059" s="20">
        <f>IF($Q2059="","",INDEX(상세표[연속 시간],$Q2059))</f>
        <v/>
      </c>
      <c r="J2059">
        <f>IF($Q2059="","",INDEX(상세표[기록 수],$Q2059))</f>
        <v/>
      </c>
      <c r="K2059" s="20">
        <f>IF($Q2059="","",INDEX(상세표[블록 06~07시],$Q2059))</f>
        <v/>
      </c>
      <c r="L2059" s="20">
        <f>IF($Q2059="","",INDEX(상세표[블록 07~18시],$Q2059))</f>
        <v/>
      </c>
      <c r="M2059" s="20">
        <f>IF($Q2059="","",INDEX(상세표[블록 18~22시],$Q2059))</f>
        <v/>
      </c>
      <c r="N2059" s="20">
        <f>IF($Q2059="","",INDEX(상세표[블록 22~06시],$Q2059))</f>
        <v/>
      </c>
      <c r="O2059">
        <f>IF($Q2059="","",INDEX(상세표[주말·휴일 포함],$Q2059)&amp;"")</f>
        <v/>
      </c>
      <c r="P2059">
        <f>IF($Q2059="","",INDEX(상세표[월 넘김 포함],$Q2059)&amp;"")</f>
        <v/>
      </c>
      <c r="Q2059" s="4">
        <f>IFERROR(MATCH(2054,상세표[연속순번],0),"")</f>
        <v/>
      </c>
    </row>
    <row r="2060">
      <c r="A2060">
        <f>IF($Q2060="","",INDEX(상세표[부서],$Q2060)&amp;"")</f>
        <v/>
      </c>
      <c r="B2060">
        <f>IF($Q2060="","",INDEX(상세표[사번],$Q2060)&amp;"")</f>
        <v/>
      </c>
      <c r="C2060">
        <f>IF($Q2060="","",INDEX(상세표[성명],$Q2060)&amp;"")</f>
        <v/>
      </c>
      <c r="D2060">
        <f>IF($Q2060="","",INDEX(상세표[직위],$Q2060)&amp;"")</f>
        <v/>
      </c>
      <c r="E2060">
        <f>IF($Q2060="","",IF(ISNUMBER(INDEX(상세표[근무일자],$Q2060)),TEXT(INDEX(상세표[근무일자],$Q2060),"yyyy-mm-dd"),INDEX(상세표[근무일자],$Q2060)&amp;""))</f>
        <v/>
      </c>
      <c r="F2060">
        <f>IF($Q2060="","",IF(ISNUMBER(INDEX(상세표[시작],$Q2060)),TEXT(INDEX(상세표[시작],$Q2060),"yyyy-mm-dd hh:mm"),INDEX(상세표[시작],$Q2060)&amp;""))</f>
        <v/>
      </c>
      <c r="G2060">
        <f>IF($Q2060="","",IF(ISNUMBER(INDEX(상세표[블록종료],$Q2060)),TEXT(INDEX(상세표[블록종료],$Q2060),"yyyy-mm-dd hh:mm"),INDEX(상세표[블록종료],$Q2060)&amp;""))</f>
        <v/>
      </c>
      <c r="H2060">
        <f>IF($Q2060="","",CHOOSE(WEEKDAY(INDEX(상세표[시작],$Q2060)),"일","월","화","수","목","금","토"))</f>
        <v/>
      </c>
      <c r="I2060" s="20">
        <f>IF($Q2060="","",INDEX(상세표[연속 시간],$Q2060))</f>
        <v/>
      </c>
      <c r="J2060">
        <f>IF($Q2060="","",INDEX(상세표[기록 수],$Q2060))</f>
        <v/>
      </c>
      <c r="K2060" s="20">
        <f>IF($Q2060="","",INDEX(상세표[블록 06~07시],$Q2060))</f>
        <v/>
      </c>
      <c r="L2060" s="20">
        <f>IF($Q2060="","",INDEX(상세표[블록 07~18시],$Q2060))</f>
        <v/>
      </c>
      <c r="M2060" s="20">
        <f>IF($Q2060="","",INDEX(상세표[블록 18~22시],$Q2060))</f>
        <v/>
      </c>
      <c r="N2060" s="20">
        <f>IF($Q2060="","",INDEX(상세표[블록 22~06시],$Q2060))</f>
        <v/>
      </c>
      <c r="O2060">
        <f>IF($Q2060="","",INDEX(상세표[주말·휴일 포함],$Q2060)&amp;"")</f>
        <v/>
      </c>
      <c r="P2060">
        <f>IF($Q2060="","",INDEX(상세표[월 넘김 포함],$Q2060)&amp;"")</f>
        <v/>
      </c>
      <c r="Q2060" s="4">
        <f>IFERROR(MATCH(2055,상세표[연속순번],0),"")</f>
        <v/>
      </c>
    </row>
    <row r="2061">
      <c r="A2061">
        <f>IF($Q2061="","",INDEX(상세표[부서],$Q2061)&amp;"")</f>
        <v/>
      </c>
      <c r="B2061">
        <f>IF($Q2061="","",INDEX(상세표[사번],$Q2061)&amp;"")</f>
        <v/>
      </c>
      <c r="C2061">
        <f>IF($Q2061="","",INDEX(상세표[성명],$Q2061)&amp;"")</f>
        <v/>
      </c>
      <c r="D2061">
        <f>IF($Q2061="","",INDEX(상세표[직위],$Q2061)&amp;"")</f>
        <v/>
      </c>
      <c r="E2061">
        <f>IF($Q2061="","",IF(ISNUMBER(INDEX(상세표[근무일자],$Q2061)),TEXT(INDEX(상세표[근무일자],$Q2061),"yyyy-mm-dd"),INDEX(상세표[근무일자],$Q2061)&amp;""))</f>
        <v/>
      </c>
      <c r="F2061">
        <f>IF($Q2061="","",IF(ISNUMBER(INDEX(상세표[시작],$Q2061)),TEXT(INDEX(상세표[시작],$Q2061),"yyyy-mm-dd hh:mm"),INDEX(상세표[시작],$Q2061)&amp;""))</f>
        <v/>
      </c>
      <c r="G2061">
        <f>IF($Q2061="","",IF(ISNUMBER(INDEX(상세표[블록종료],$Q2061)),TEXT(INDEX(상세표[블록종료],$Q2061),"yyyy-mm-dd hh:mm"),INDEX(상세표[블록종료],$Q2061)&amp;""))</f>
        <v/>
      </c>
      <c r="H2061">
        <f>IF($Q2061="","",CHOOSE(WEEKDAY(INDEX(상세표[시작],$Q2061)),"일","월","화","수","목","금","토"))</f>
        <v/>
      </c>
      <c r="I2061" s="20">
        <f>IF($Q2061="","",INDEX(상세표[연속 시간],$Q2061))</f>
        <v/>
      </c>
      <c r="J2061">
        <f>IF($Q2061="","",INDEX(상세표[기록 수],$Q2061))</f>
        <v/>
      </c>
      <c r="K2061" s="20">
        <f>IF($Q2061="","",INDEX(상세표[블록 06~07시],$Q2061))</f>
        <v/>
      </c>
      <c r="L2061" s="20">
        <f>IF($Q2061="","",INDEX(상세표[블록 07~18시],$Q2061))</f>
        <v/>
      </c>
      <c r="M2061" s="20">
        <f>IF($Q2061="","",INDEX(상세표[블록 18~22시],$Q2061))</f>
        <v/>
      </c>
      <c r="N2061" s="20">
        <f>IF($Q2061="","",INDEX(상세표[블록 22~06시],$Q2061))</f>
        <v/>
      </c>
      <c r="O2061">
        <f>IF($Q2061="","",INDEX(상세표[주말·휴일 포함],$Q2061)&amp;"")</f>
        <v/>
      </c>
      <c r="P2061">
        <f>IF($Q2061="","",INDEX(상세표[월 넘김 포함],$Q2061)&amp;"")</f>
        <v/>
      </c>
      <c r="Q2061" s="4">
        <f>IFERROR(MATCH(2056,상세표[연속순번],0),"")</f>
        <v/>
      </c>
    </row>
    <row r="2062">
      <c r="A2062">
        <f>IF($Q2062="","",INDEX(상세표[부서],$Q2062)&amp;"")</f>
        <v/>
      </c>
      <c r="B2062">
        <f>IF($Q2062="","",INDEX(상세표[사번],$Q2062)&amp;"")</f>
        <v/>
      </c>
      <c r="C2062">
        <f>IF($Q2062="","",INDEX(상세표[성명],$Q2062)&amp;"")</f>
        <v/>
      </c>
      <c r="D2062">
        <f>IF($Q2062="","",INDEX(상세표[직위],$Q2062)&amp;"")</f>
        <v/>
      </c>
      <c r="E2062">
        <f>IF($Q2062="","",IF(ISNUMBER(INDEX(상세표[근무일자],$Q2062)),TEXT(INDEX(상세표[근무일자],$Q2062),"yyyy-mm-dd"),INDEX(상세표[근무일자],$Q2062)&amp;""))</f>
        <v/>
      </c>
      <c r="F2062">
        <f>IF($Q2062="","",IF(ISNUMBER(INDEX(상세표[시작],$Q2062)),TEXT(INDEX(상세표[시작],$Q2062),"yyyy-mm-dd hh:mm"),INDEX(상세표[시작],$Q2062)&amp;""))</f>
        <v/>
      </c>
      <c r="G2062">
        <f>IF($Q2062="","",IF(ISNUMBER(INDEX(상세표[블록종료],$Q2062)),TEXT(INDEX(상세표[블록종료],$Q2062),"yyyy-mm-dd hh:mm"),INDEX(상세표[블록종료],$Q2062)&amp;""))</f>
        <v/>
      </c>
      <c r="H2062">
        <f>IF($Q2062="","",CHOOSE(WEEKDAY(INDEX(상세표[시작],$Q2062)),"일","월","화","수","목","금","토"))</f>
        <v/>
      </c>
      <c r="I2062" s="20">
        <f>IF($Q2062="","",INDEX(상세표[연속 시간],$Q2062))</f>
        <v/>
      </c>
      <c r="J2062">
        <f>IF($Q2062="","",INDEX(상세표[기록 수],$Q2062))</f>
        <v/>
      </c>
      <c r="K2062" s="20">
        <f>IF($Q2062="","",INDEX(상세표[블록 06~07시],$Q2062))</f>
        <v/>
      </c>
      <c r="L2062" s="20">
        <f>IF($Q2062="","",INDEX(상세표[블록 07~18시],$Q2062))</f>
        <v/>
      </c>
      <c r="M2062" s="20">
        <f>IF($Q2062="","",INDEX(상세표[블록 18~22시],$Q2062))</f>
        <v/>
      </c>
      <c r="N2062" s="20">
        <f>IF($Q2062="","",INDEX(상세표[블록 22~06시],$Q2062))</f>
        <v/>
      </c>
      <c r="O2062">
        <f>IF($Q2062="","",INDEX(상세표[주말·휴일 포함],$Q2062)&amp;"")</f>
        <v/>
      </c>
      <c r="P2062">
        <f>IF($Q2062="","",INDEX(상세표[월 넘김 포함],$Q2062)&amp;"")</f>
        <v/>
      </c>
      <c r="Q2062" s="4">
        <f>IFERROR(MATCH(2057,상세표[연속순번],0),"")</f>
        <v/>
      </c>
    </row>
    <row r="2063">
      <c r="A2063">
        <f>IF($Q2063="","",INDEX(상세표[부서],$Q2063)&amp;"")</f>
        <v/>
      </c>
      <c r="B2063">
        <f>IF($Q2063="","",INDEX(상세표[사번],$Q2063)&amp;"")</f>
        <v/>
      </c>
      <c r="C2063">
        <f>IF($Q2063="","",INDEX(상세표[성명],$Q2063)&amp;"")</f>
        <v/>
      </c>
      <c r="D2063">
        <f>IF($Q2063="","",INDEX(상세표[직위],$Q2063)&amp;"")</f>
        <v/>
      </c>
      <c r="E2063">
        <f>IF($Q2063="","",IF(ISNUMBER(INDEX(상세표[근무일자],$Q2063)),TEXT(INDEX(상세표[근무일자],$Q2063),"yyyy-mm-dd"),INDEX(상세표[근무일자],$Q2063)&amp;""))</f>
        <v/>
      </c>
      <c r="F2063">
        <f>IF($Q2063="","",IF(ISNUMBER(INDEX(상세표[시작],$Q2063)),TEXT(INDEX(상세표[시작],$Q2063),"yyyy-mm-dd hh:mm"),INDEX(상세표[시작],$Q2063)&amp;""))</f>
        <v/>
      </c>
      <c r="G2063">
        <f>IF($Q2063="","",IF(ISNUMBER(INDEX(상세표[블록종료],$Q2063)),TEXT(INDEX(상세표[블록종료],$Q2063),"yyyy-mm-dd hh:mm"),INDEX(상세표[블록종료],$Q2063)&amp;""))</f>
        <v/>
      </c>
      <c r="H2063">
        <f>IF($Q2063="","",CHOOSE(WEEKDAY(INDEX(상세표[시작],$Q2063)),"일","월","화","수","목","금","토"))</f>
        <v/>
      </c>
      <c r="I2063" s="20">
        <f>IF($Q2063="","",INDEX(상세표[연속 시간],$Q2063))</f>
        <v/>
      </c>
      <c r="J2063">
        <f>IF($Q2063="","",INDEX(상세표[기록 수],$Q2063))</f>
        <v/>
      </c>
      <c r="K2063" s="20">
        <f>IF($Q2063="","",INDEX(상세표[블록 06~07시],$Q2063))</f>
        <v/>
      </c>
      <c r="L2063" s="20">
        <f>IF($Q2063="","",INDEX(상세표[블록 07~18시],$Q2063))</f>
        <v/>
      </c>
      <c r="M2063" s="20">
        <f>IF($Q2063="","",INDEX(상세표[블록 18~22시],$Q2063))</f>
        <v/>
      </c>
      <c r="N2063" s="20">
        <f>IF($Q2063="","",INDEX(상세표[블록 22~06시],$Q2063))</f>
        <v/>
      </c>
      <c r="O2063">
        <f>IF($Q2063="","",INDEX(상세표[주말·휴일 포함],$Q2063)&amp;"")</f>
        <v/>
      </c>
      <c r="P2063">
        <f>IF($Q2063="","",INDEX(상세표[월 넘김 포함],$Q2063)&amp;"")</f>
        <v/>
      </c>
      <c r="Q2063" s="4">
        <f>IFERROR(MATCH(2058,상세표[연속순번],0),"")</f>
        <v/>
      </c>
    </row>
    <row r="2064">
      <c r="A2064">
        <f>IF($Q2064="","",INDEX(상세표[부서],$Q2064)&amp;"")</f>
        <v/>
      </c>
      <c r="B2064">
        <f>IF($Q2064="","",INDEX(상세표[사번],$Q2064)&amp;"")</f>
        <v/>
      </c>
      <c r="C2064">
        <f>IF($Q2064="","",INDEX(상세표[성명],$Q2064)&amp;"")</f>
        <v/>
      </c>
      <c r="D2064">
        <f>IF($Q2064="","",INDEX(상세표[직위],$Q2064)&amp;"")</f>
        <v/>
      </c>
      <c r="E2064">
        <f>IF($Q2064="","",IF(ISNUMBER(INDEX(상세표[근무일자],$Q2064)),TEXT(INDEX(상세표[근무일자],$Q2064),"yyyy-mm-dd"),INDEX(상세표[근무일자],$Q2064)&amp;""))</f>
        <v/>
      </c>
      <c r="F2064">
        <f>IF($Q2064="","",IF(ISNUMBER(INDEX(상세표[시작],$Q2064)),TEXT(INDEX(상세표[시작],$Q2064),"yyyy-mm-dd hh:mm"),INDEX(상세표[시작],$Q2064)&amp;""))</f>
        <v/>
      </c>
      <c r="G2064">
        <f>IF($Q2064="","",IF(ISNUMBER(INDEX(상세표[블록종료],$Q2064)),TEXT(INDEX(상세표[블록종료],$Q2064),"yyyy-mm-dd hh:mm"),INDEX(상세표[블록종료],$Q2064)&amp;""))</f>
        <v/>
      </c>
      <c r="H2064">
        <f>IF($Q2064="","",CHOOSE(WEEKDAY(INDEX(상세표[시작],$Q2064)),"일","월","화","수","목","금","토"))</f>
        <v/>
      </c>
      <c r="I2064" s="20">
        <f>IF($Q2064="","",INDEX(상세표[연속 시간],$Q2064))</f>
        <v/>
      </c>
      <c r="J2064">
        <f>IF($Q2064="","",INDEX(상세표[기록 수],$Q2064))</f>
        <v/>
      </c>
      <c r="K2064" s="20">
        <f>IF($Q2064="","",INDEX(상세표[블록 06~07시],$Q2064))</f>
        <v/>
      </c>
      <c r="L2064" s="20">
        <f>IF($Q2064="","",INDEX(상세표[블록 07~18시],$Q2064))</f>
        <v/>
      </c>
      <c r="M2064" s="20">
        <f>IF($Q2064="","",INDEX(상세표[블록 18~22시],$Q2064))</f>
        <v/>
      </c>
      <c r="N2064" s="20">
        <f>IF($Q2064="","",INDEX(상세표[블록 22~06시],$Q2064))</f>
        <v/>
      </c>
      <c r="O2064">
        <f>IF($Q2064="","",INDEX(상세표[주말·휴일 포함],$Q2064)&amp;"")</f>
        <v/>
      </c>
      <c r="P2064">
        <f>IF($Q2064="","",INDEX(상세표[월 넘김 포함],$Q2064)&amp;"")</f>
        <v/>
      </c>
      <c r="Q2064" s="4">
        <f>IFERROR(MATCH(2059,상세표[연속순번],0),"")</f>
        <v/>
      </c>
    </row>
    <row r="2065">
      <c r="A2065">
        <f>IF($Q2065="","",INDEX(상세표[부서],$Q2065)&amp;"")</f>
        <v/>
      </c>
      <c r="B2065">
        <f>IF($Q2065="","",INDEX(상세표[사번],$Q2065)&amp;"")</f>
        <v/>
      </c>
      <c r="C2065">
        <f>IF($Q2065="","",INDEX(상세표[성명],$Q2065)&amp;"")</f>
        <v/>
      </c>
      <c r="D2065">
        <f>IF($Q2065="","",INDEX(상세표[직위],$Q2065)&amp;"")</f>
        <v/>
      </c>
      <c r="E2065">
        <f>IF($Q2065="","",IF(ISNUMBER(INDEX(상세표[근무일자],$Q2065)),TEXT(INDEX(상세표[근무일자],$Q2065),"yyyy-mm-dd"),INDEX(상세표[근무일자],$Q2065)&amp;""))</f>
        <v/>
      </c>
      <c r="F2065">
        <f>IF($Q2065="","",IF(ISNUMBER(INDEX(상세표[시작],$Q2065)),TEXT(INDEX(상세표[시작],$Q2065),"yyyy-mm-dd hh:mm"),INDEX(상세표[시작],$Q2065)&amp;""))</f>
        <v/>
      </c>
      <c r="G2065">
        <f>IF($Q2065="","",IF(ISNUMBER(INDEX(상세표[블록종료],$Q2065)),TEXT(INDEX(상세표[블록종료],$Q2065),"yyyy-mm-dd hh:mm"),INDEX(상세표[블록종료],$Q2065)&amp;""))</f>
        <v/>
      </c>
      <c r="H2065">
        <f>IF($Q2065="","",CHOOSE(WEEKDAY(INDEX(상세표[시작],$Q2065)),"일","월","화","수","목","금","토"))</f>
        <v/>
      </c>
      <c r="I2065" s="20">
        <f>IF($Q2065="","",INDEX(상세표[연속 시간],$Q2065))</f>
        <v/>
      </c>
      <c r="J2065">
        <f>IF($Q2065="","",INDEX(상세표[기록 수],$Q2065))</f>
        <v/>
      </c>
      <c r="K2065" s="20">
        <f>IF($Q2065="","",INDEX(상세표[블록 06~07시],$Q2065))</f>
        <v/>
      </c>
      <c r="L2065" s="20">
        <f>IF($Q2065="","",INDEX(상세표[블록 07~18시],$Q2065))</f>
        <v/>
      </c>
      <c r="M2065" s="20">
        <f>IF($Q2065="","",INDEX(상세표[블록 18~22시],$Q2065))</f>
        <v/>
      </c>
      <c r="N2065" s="20">
        <f>IF($Q2065="","",INDEX(상세표[블록 22~06시],$Q2065))</f>
        <v/>
      </c>
      <c r="O2065">
        <f>IF($Q2065="","",INDEX(상세표[주말·휴일 포함],$Q2065)&amp;"")</f>
        <v/>
      </c>
      <c r="P2065">
        <f>IF($Q2065="","",INDEX(상세표[월 넘김 포함],$Q2065)&amp;"")</f>
        <v/>
      </c>
      <c r="Q2065" s="4">
        <f>IFERROR(MATCH(2060,상세표[연속순번],0),"")</f>
        <v/>
      </c>
    </row>
    <row r="2066">
      <c r="A2066">
        <f>IF($Q2066="","",INDEX(상세표[부서],$Q2066)&amp;"")</f>
        <v/>
      </c>
      <c r="B2066">
        <f>IF($Q2066="","",INDEX(상세표[사번],$Q2066)&amp;"")</f>
        <v/>
      </c>
      <c r="C2066">
        <f>IF($Q2066="","",INDEX(상세표[성명],$Q2066)&amp;"")</f>
        <v/>
      </c>
      <c r="D2066">
        <f>IF($Q2066="","",INDEX(상세표[직위],$Q2066)&amp;"")</f>
        <v/>
      </c>
      <c r="E2066">
        <f>IF($Q2066="","",IF(ISNUMBER(INDEX(상세표[근무일자],$Q2066)),TEXT(INDEX(상세표[근무일자],$Q2066),"yyyy-mm-dd"),INDEX(상세표[근무일자],$Q2066)&amp;""))</f>
        <v/>
      </c>
      <c r="F2066">
        <f>IF($Q2066="","",IF(ISNUMBER(INDEX(상세표[시작],$Q2066)),TEXT(INDEX(상세표[시작],$Q2066),"yyyy-mm-dd hh:mm"),INDEX(상세표[시작],$Q2066)&amp;""))</f>
        <v/>
      </c>
      <c r="G2066">
        <f>IF($Q2066="","",IF(ISNUMBER(INDEX(상세표[블록종료],$Q2066)),TEXT(INDEX(상세표[블록종료],$Q2066),"yyyy-mm-dd hh:mm"),INDEX(상세표[블록종료],$Q2066)&amp;""))</f>
        <v/>
      </c>
      <c r="H2066">
        <f>IF($Q2066="","",CHOOSE(WEEKDAY(INDEX(상세표[시작],$Q2066)),"일","월","화","수","목","금","토"))</f>
        <v/>
      </c>
      <c r="I2066" s="20">
        <f>IF($Q2066="","",INDEX(상세표[연속 시간],$Q2066))</f>
        <v/>
      </c>
      <c r="J2066">
        <f>IF($Q2066="","",INDEX(상세표[기록 수],$Q2066))</f>
        <v/>
      </c>
      <c r="K2066" s="20">
        <f>IF($Q2066="","",INDEX(상세표[블록 06~07시],$Q2066))</f>
        <v/>
      </c>
      <c r="L2066" s="20">
        <f>IF($Q2066="","",INDEX(상세표[블록 07~18시],$Q2066))</f>
        <v/>
      </c>
      <c r="M2066" s="20">
        <f>IF($Q2066="","",INDEX(상세표[블록 18~22시],$Q2066))</f>
        <v/>
      </c>
      <c r="N2066" s="20">
        <f>IF($Q2066="","",INDEX(상세표[블록 22~06시],$Q2066))</f>
        <v/>
      </c>
      <c r="O2066">
        <f>IF($Q2066="","",INDEX(상세표[주말·휴일 포함],$Q2066)&amp;"")</f>
        <v/>
      </c>
      <c r="P2066">
        <f>IF($Q2066="","",INDEX(상세표[월 넘김 포함],$Q2066)&amp;"")</f>
        <v/>
      </c>
      <c r="Q2066" s="4">
        <f>IFERROR(MATCH(2061,상세표[연속순번],0),"")</f>
        <v/>
      </c>
    </row>
    <row r="2067">
      <c r="A2067">
        <f>IF($Q2067="","",INDEX(상세표[부서],$Q2067)&amp;"")</f>
        <v/>
      </c>
      <c r="B2067">
        <f>IF($Q2067="","",INDEX(상세표[사번],$Q2067)&amp;"")</f>
        <v/>
      </c>
      <c r="C2067">
        <f>IF($Q2067="","",INDEX(상세표[성명],$Q2067)&amp;"")</f>
        <v/>
      </c>
      <c r="D2067">
        <f>IF($Q2067="","",INDEX(상세표[직위],$Q2067)&amp;"")</f>
        <v/>
      </c>
      <c r="E2067">
        <f>IF($Q2067="","",IF(ISNUMBER(INDEX(상세표[근무일자],$Q2067)),TEXT(INDEX(상세표[근무일자],$Q2067),"yyyy-mm-dd"),INDEX(상세표[근무일자],$Q2067)&amp;""))</f>
        <v/>
      </c>
      <c r="F2067">
        <f>IF($Q2067="","",IF(ISNUMBER(INDEX(상세표[시작],$Q2067)),TEXT(INDEX(상세표[시작],$Q2067),"yyyy-mm-dd hh:mm"),INDEX(상세표[시작],$Q2067)&amp;""))</f>
        <v/>
      </c>
      <c r="G2067">
        <f>IF($Q2067="","",IF(ISNUMBER(INDEX(상세표[블록종료],$Q2067)),TEXT(INDEX(상세표[블록종료],$Q2067),"yyyy-mm-dd hh:mm"),INDEX(상세표[블록종료],$Q2067)&amp;""))</f>
        <v/>
      </c>
      <c r="H2067">
        <f>IF($Q2067="","",CHOOSE(WEEKDAY(INDEX(상세표[시작],$Q2067)),"일","월","화","수","목","금","토"))</f>
        <v/>
      </c>
      <c r="I2067" s="20">
        <f>IF($Q2067="","",INDEX(상세표[연속 시간],$Q2067))</f>
        <v/>
      </c>
      <c r="J2067">
        <f>IF($Q2067="","",INDEX(상세표[기록 수],$Q2067))</f>
        <v/>
      </c>
      <c r="K2067" s="20">
        <f>IF($Q2067="","",INDEX(상세표[블록 06~07시],$Q2067))</f>
        <v/>
      </c>
      <c r="L2067" s="20">
        <f>IF($Q2067="","",INDEX(상세표[블록 07~18시],$Q2067))</f>
        <v/>
      </c>
      <c r="M2067" s="20">
        <f>IF($Q2067="","",INDEX(상세표[블록 18~22시],$Q2067))</f>
        <v/>
      </c>
      <c r="N2067" s="20">
        <f>IF($Q2067="","",INDEX(상세표[블록 22~06시],$Q2067))</f>
        <v/>
      </c>
      <c r="O2067">
        <f>IF($Q2067="","",INDEX(상세표[주말·휴일 포함],$Q2067)&amp;"")</f>
        <v/>
      </c>
      <c r="P2067">
        <f>IF($Q2067="","",INDEX(상세표[월 넘김 포함],$Q2067)&amp;"")</f>
        <v/>
      </c>
      <c r="Q2067" s="4">
        <f>IFERROR(MATCH(2062,상세표[연속순번],0),"")</f>
        <v/>
      </c>
    </row>
    <row r="2068">
      <c r="A2068">
        <f>IF($Q2068="","",INDEX(상세표[부서],$Q2068)&amp;"")</f>
        <v/>
      </c>
      <c r="B2068">
        <f>IF($Q2068="","",INDEX(상세표[사번],$Q2068)&amp;"")</f>
        <v/>
      </c>
      <c r="C2068">
        <f>IF($Q2068="","",INDEX(상세표[성명],$Q2068)&amp;"")</f>
        <v/>
      </c>
      <c r="D2068">
        <f>IF($Q2068="","",INDEX(상세표[직위],$Q2068)&amp;"")</f>
        <v/>
      </c>
      <c r="E2068">
        <f>IF($Q2068="","",IF(ISNUMBER(INDEX(상세표[근무일자],$Q2068)),TEXT(INDEX(상세표[근무일자],$Q2068),"yyyy-mm-dd"),INDEX(상세표[근무일자],$Q2068)&amp;""))</f>
        <v/>
      </c>
      <c r="F2068">
        <f>IF($Q2068="","",IF(ISNUMBER(INDEX(상세표[시작],$Q2068)),TEXT(INDEX(상세표[시작],$Q2068),"yyyy-mm-dd hh:mm"),INDEX(상세표[시작],$Q2068)&amp;""))</f>
        <v/>
      </c>
      <c r="G2068">
        <f>IF($Q2068="","",IF(ISNUMBER(INDEX(상세표[블록종료],$Q2068)),TEXT(INDEX(상세표[블록종료],$Q2068),"yyyy-mm-dd hh:mm"),INDEX(상세표[블록종료],$Q2068)&amp;""))</f>
        <v/>
      </c>
      <c r="H2068">
        <f>IF($Q2068="","",CHOOSE(WEEKDAY(INDEX(상세표[시작],$Q2068)),"일","월","화","수","목","금","토"))</f>
        <v/>
      </c>
      <c r="I2068" s="20">
        <f>IF($Q2068="","",INDEX(상세표[연속 시간],$Q2068))</f>
        <v/>
      </c>
      <c r="J2068">
        <f>IF($Q2068="","",INDEX(상세표[기록 수],$Q2068))</f>
        <v/>
      </c>
      <c r="K2068" s="20">
        <f>IF($Q2068="","",INDEX(상세표[블록 06~07시],$Q2068))</f>
        <v/>
      </c>
      <c r="L2068" s="20">
        <f>IF($Q2068="","",INDEX(상세표[블록 07~18시],$Q2068))</f>
        <v/>
      </c>
      <c r="M2068" s="20">
        <f>IF($Q2068="","",INDEX(상세표[블록 18~22시],$Q2068))</f>
        <v/>
      </c>
      <c r="N2068" s="20">
        <f>IF($Q2068="","",INDEX(상세표[블록 22~06시],$Q2068))</f>
        <v/>
      </c>
      <c r="O2068">
        <f>IF($Q2068="","",INDEX(상세표[주말·휴일 포함],$Q2068)&amp;"")</f>
        <v/>
      </c>
      <c r="P2068">
        <f>IF($Q2068="","",INDEX(상세표[월 넘김 포함],$Q2068)&amp;"")</f>
        <v/>
      </c>
      <c r="Q2068" s="4">
        <f>IFERROR(MATCH(2063,상세표[연속순번],0),"")</f>
        <v/>
      </c>
    </row>
    <row r="2069">
      <c r="A2069">
        <f>IF($Q2069="","",INDEX(상세표[부서],$Q2069)&amp;"")</f>
        <v/>
      </c>
      <c r="B2069">
        <f>IF($Q2069="","",INDEX(상세표[사번],$Q2069)&amp;"")</f>
        <v/>
      </c>
      <c r="C2069">
        <f>IF($Q2069="","",INDEX(상세표[성명],$Q2069)&amp;"")</f>
        <v/>
      </c>
      <c r="D2069">
        <f>IF($Q2069="","",INDEX(상세표[직위],$Q2069)&amp;"")</f>
        <v/>
      </c>
      <c r="E2069">
        <f>IF($Q2069="","",IF(ISNUMBER(INDEX(상세표[근무일자],$Q2069)),TEXT(INDEX(상세표[근무일자],$Q2069),"yyyy-mm-dd"),INDEX(상세표[근무일자],$Q2069)&amp;""))</f>
        <v/>
      </c>
      <c r="F2069">
        <f>IF($Q2069="","",IF(ISNUMBER(INDEX(상세표[시작],$Q2069)),TEXT(INDEX(상세표[시작],$Q2069),"yyyy-mm-dd hh:mm"),INDEX(상세표[시작],$Q2069)&amp;""))</f>
        <v/>
      </c>
      <c r="G2069">
        <f>IF($Q2069="","",IF(ISNUMBER(INDEX(상세표[블록종료],$Q2069)),TEXT(INDEX(상세표[블록종료],$Q2069),"yyyy-mm-dd hh:mm"),INDEX(상세표[블록종료],$Q2069)&amp;""))</f>
        <v/>
      </c>
      <c r="H2069">
        <f>IF($Q2069="","",CHOOSE(WEEKDAY(INDEX(상세표[시작],$Q2069)),"일","월","화","수","목","금","토"))</f>
        <v/>
      </c>
      <c r="I2069" s="20">
        <f>IF($Q2069="","",INDEX(상세표[연속 시간],$Q2069))</f>
        <v/>
      </c>
      <c r="J2069">
        <f>IF($Q2069="","",INDEX(상세표[기록 수],$Q2069))</f>
        <v/>
      </c>
      <c r="K2069" s="20">
        <f>IF($Q2069="","",INDEX(상세표[블록 06~07시],$Q2069))</f>
        <v/>
      </c>
      <c r="L2069" s="20">
        <f>IF($Q2069="","",INDEX(상세표[블록 07~18시],$Q2069))</f>
        <v/>
      </c>
      <c r="M2069" s="20">
        <f>IF($Q2069="","",INDEX(상세표[블록 18~22시],$Q2069))</f>
        <v/>
      </c>
      <c r="N2069" s="20">
        <f>IF($Q2069="","",INDEX(상세표[블록 22~06시],$Q2069))</f>
        <v/>
      </c>
      <c r="O2069">
        <f>IF($Q2069="","",INDEX(상세표[주말·휴일 포함],$Q2069)&amp;"")</f>
        <v/>
      </c>
      <c r="P2069">
        <f>IF($Q2069="","",INDEX(상세표[월 넘김 포함],$Q2069)&amp;"")</f>
        <v/>
      </c>
      <c r="Q2069" s="4">
        <f>IFERROR(MATCH(2064,상세표[연속순번],0),"")</f>
        <v/>
      </c>
    </row>
    <row r="2070">
      <c r="A2070">
        <f>IF($Q2070="","",INDEX(상세표[부서],$Q2070)&amp;"")</f>
        <v/>
      </c>
      <c r="B2070">
        <f>IF($Q2070="","",INDEX(상세표[사번],$Q2070)&amp;"")</f>
        <v/>
      </c>
      <c r="C2070">
        <f>IF($Q2070="","",INDEX(상세표[성명],$Q2070)&amp;"")</f>
        <v/>
      </c>
      <c r="D2070">
        <f>IF($Q2070="","",INDEX(상세표[직위],$Q2070)&amp;"")</f>
        <v/>
      </c>
      <c r="E2070">
        <f>IF($Q2070="","",IF(ISNUMBER(INDEX(상세표[근무일자],$Q2070)),TEXT(INDEX(상세표[근무일자],$Q2070),"yyyy-mm-dd"),INDEX(상세표[근무일자],$Q2070)&amp;""))</f>
        <v/>
      </c>
      <c r="F2070">
        <f>IF($Q2070="","",IF(ISNUMBER(INDEX(상세표[시작],$Q2070)),TEXT(INDEX(상세표[시작],$Q2070),"yyyy-mm-dd hh:mm"),INDEX(상세표[시작],$Q2070)&amp;""))</f>
        <v/>
      </c>
      <c r="G2070">
        <f>IF($Q2070="","",IF(ISNUMBER(INDEX(상세표[블록종료],$Q2070)),TEXT(INDEX(상세표[블록종료],$Q2070),"yyyy-mm-dd hh:mm"),INDEX(상세표[블록종료],$Q2070)&amp;""))</f>
        <v/>
      </c>
      <c r="H2070">
        <f>IF($Q2070="","",CHOOSE(WEEKDAY(INDEX(상세표[시작],$Q2070)),"일","월","화","수","목","금","토"))</f>
        <v/>
      </c>
      <c r="I2070" s="20">
        <f>IF($Q2070="","",INDEX(상세표[연속 시간],$Q2070))</f>
        <v/>
      </c>
      <c r="J2070">
        <f>IF($Q2070="","",INDEX(상세표[기록 수],$Q2070))</f>
        <v/>
      </c>
      <c r="K2070" s="20">
        <f>IF($Q2070="","",INDEX(상세표[블록 06~07시],$Q2070))</f>
        <v/>
      </c>
      <c r="L2070" s="20">
        <f>IF($Q2070="","",INDEX(상세표[블록 07~18시],$Q2070))</f>
        <v/>
      </c>
      <c r="M2070" s="20">
        <f>IF($Q2070="","",INDEX(상세표[블록 18~22시],$Q2070))</f>
        <v/>
      </c>
      <c r="N2070" s="20">
        <f>IF($Q2070="","",INDEX(상세표[블록 22~06시],$Q2070))</f>
        <v/>
      </c>
      <c r="O2070">
        <f>IF($Q2070="","",INDEX(상세표[주말·휴일 포함],$Q2070)&amp;"")</f>
        <v/>
      </c>
      <c r="P2070">
        <f>IF($Q2070="","",INDEX(상세표[월 넘김 포함],$Q2070)&amp;"")</f>
        <v/>
      </c>
      <c r="Q2070" s="4">
        <f>IFERROR(MATCH(2065,상세표[연속순번],0),"")</f>
        <v/>
      </c>
    </row>
    <row r="2071">
      <c r="A2071">
        <f>IF($Q2071="","",INDEX(상세표[부서],$Q2071)&amp;"")</f>
        <v/>
      </c>
      <c r="B2071">
        <f>IF($Q2071="","",INDEX(상세표[사번],$Q2071)&amp;"")</f>
        <v/>
      </c>
      <c r="C2071">
        <f>IF($Q2071="","",INDEX(상세표[성명],$Q2071)&amp;"")</f>
        <v/>
      </c>
      <c r="D2071">
        <f>IF($Q2071="","",INDEX(상세표[직위],$Q2071)&amp;"")</f>
        <v/>
      </c>
      <c r="E2071">
        <f>IF($Q2071="","",IF(ISNUMBER(INDEX(상세표[근무일자],$Q2071)),TEXT(INDEX(상세표[근무일자],$Q2071),"yyyy-mm-dd"),INDEX(상세표[근무일자],$Q2071)&amp;""))</f>
        <v/>
      </c>
      <c r="F2071">
        <f>IF($Q2071="","",IF(ISNUMBER(INDEX(상세표[시작],$Q2071)),TEXT(INDEX(상세표[시작],$Q2071),"yyyy-mm-dd hh:mm"),INDEX(상세표[시작],$Q2071)&amp;""))</f>
        <v/>
      </c>
      <c r="G2071">
        <f>IF($Q2071="","",IF(ISNUMBER(INDEX(상세표[블록종료],$Q2071)),TEXT(INDEX(상세표[블록종료],$Q2071),"yyyy-mm-dd hh:mm"),INDEX(상세표[블록종료],$Q2071)&amp;""))</f>
        <v/>
      </c>
      <c r="H2071">
        <f>IF($Q2071="","",CHOOSE(WEEKDAY(INDEX(상세표[시작],$Q2071)),"일","월","화","수","목","금","토"))</f>
        <v/>
      </c>
      <c r="I2071" s="20">
        <f>IF($Q2071="","",INDEX(상세표[연속 시간],$Q2071))</f>
        <v/>
      </c>
      <c r="J2071">
        <f>IF($Q2071="","",INDEX(상세표[기록 수],$Q2071))</f>
        <v/>
      </c>
      <c r="K2071" s="20">
        <f>IF($Q2071="","",INDEX(상세표[블록 06~07시],$Q2071))</f>
        <v/>
      </c>
      <c r="L2071" s="20">
        <f>IF($Q2071="","",INDEX(상세표[블록 07~18시],$Q2071))</f>
        <v/>
      </c>
      <c r="M2071" s="20">
        <f>IF($Q2071="","",INDEX(상세표[블록 18~22시],$Q2071))</f>
        <v/>
      </c>
      <c r="N2071" s="20">
        <f>IF($Q2071="","",INDEX(상세표[블록 22~06시],$Q2071))</f>
        <v/>
      </c>
      <c r="O2071">
        <f>IF($Q2071="","",INDEX(상세표[주말·휴일 포함],$Q2071)&amp;"")</f>
        <v/>
      </c>
      <c r="P2071">
        <f>IF($Q2071="","",INDEX(상세표[월 넘김 포함],$Q2071)&amp;"")</f>
        <v/>
      </c>
      <c r="Q2071" s="4">
        <f>IFERROR(MATCH(2066,상세표[연속순번],0),"")</f>
        <v/>
      </c>
    </row>
    <row r="2072">
      <c r="A2072">
        <f>IF($Q2072="","",INDEX(상세표[부서],$Q2072)&amp;"")</f>
        <v/>
      </c>
      <c r="B2072">
        <f>IF($Q2072="","",INDEX(상세표[사번],$Q2072)&amp;"")</f>
        <v/>
      </c>
      <c r="C2072">
        <f>IF($Q2072="","",INDEX(상세표[성명],$Q2072)&amp;"")</f>
        <v/>
      </c>
      <c r="D2072">
        <f>IF($Q2072="","",INDEX(상세표[직위],$Q2072)&amp;"")</f>
        <v/>
      </c>
      <c r="E2072">
        <f>IF($Q2072="","",IF(ISNUMBER(INDEX(상세표[근무일자],$Q2072)),TEXT(INDEX(상세표[근무일자],$Q2072),"yyyy-mm-dd"),INDEX(상세표[근무일자],$Q2072)&amp;""))</f>
        <v/>
      </c>
      <c r="F2072">
        <f>IF($Q2072="","",IF(ISNUMBER(INDEX(상세표[시작],$Q2072)),TEXT(INDEX(상세표[시작],$Q2072),"yyyy-mm-dd hh:mm"),INDEX(상세표[시작],$Q2072)&amp;""))</f>
        <v/>
      </c>
      <c r="G2072">
        <f>IF($Q2072="","",IF(ISNUMBER(INDEX(상세표[블록종료],$Q2072)),TEXT(INDEX(상세표[블록종료],$Q2072),"yyyy-mm-dd hh:mm"),INDEX(상세표[블록종료],$Q2072)&amp;""))</f>
        <v/>
      </c>
      <c r="H2072">
        <f>IF($Q2072="","",CHOOSE(WEEKDAY(INDEX(상세표[시작],$Q2072)),"일","월","화","수","목","금","토"))</f>
        <v/>
      </c>
      <c r="I2072" s="20">
        <f>IF($Q2072="","",INDEX(상세표[연속 시간],$Q2072))</f>
        <v/>
      </c>
      <c r="J2072">
        <f>IF($Q2072="","",INDEX(상세표[기록 수],$Q2072))</f>
        <v/>
      </c>
      <c r="K2072" s="20">
        <f>IF($Q2072="","",INDEX(상세표[블록 06~07시],$Q2072))</f>
        <v/>
      </c>
      <c r="L2072" s="20">
        <f>IF($Q2072="","",INDEX(상세표[블록 07~18시],$Q2072))</f>
        <v/>
      </c>
      <c r="M2072" s="20">
        <f>IF($Q2072="","",INDEX(상세표[블록 18~22시],$Q2072))</f>
        <v/>
      </c>
      <c r="N2072" s="20">
        <f>IF($Q2072="","",INDEX(상세표[블록 22~06시],$Q2072))</f>
        <v/>
      </c>
      <c r="O2072">
        <f>IF($Q2072="","",INDEX(상세표[주말·휴일 포함],$Q2072)&amp;"")</f>
        <v/>
      </c>
      <c r="P2072">
        <f>IF($Q2072="","",INDEX(상세표[월 넘김 포함],$Q2072)&amp;"")</f>
        <v/>
      </c>
      <c r="Q2072" s="4">
        <f>IFERROR(MATCH(2067,상세표[연속순번],0),"")</f>
        <v/>
      </c>
    </row>
    <row r="2073">
      <c r="A2073">
        <f>IF($Q2073="","",INDEX(상세표[부서],$Q2073)&amp;"")</f>
        <v/>
      </c>
      <c r="B2073">
        <f>IF($Q2073="","",INDEX(상세표[사번],$Q2073)&amp;"")</f>
        <v/>
      </c>
      <c r="C2073">
        <f>IF($Q2073="","",INDEX(상세표[성명],$Q2073)&amp;"")</f>
        <v/>
      </c>
      <c r="D2073">
        <f>IF($Q2073="","",INDEX(상세표[직위],$Q2073)&amp;"")</f>
        <v/>
      </c>
      <c r="E2073">
        <f>IF($Q2073="","",IF(ISNUMBER(INDEX(상세표[근무일자],$Q2073)),TEXT(INDEX(상세표[근무일자],$Q2073),"yyyy-mm-dd"),INDEX(상세표[근무일자],$Q2073)&amp;""))</f>
        <v/>
      </c>
      <c r="F2073">
        <f>IF($Q2073="","",IF(ISNUMBER(INDEX(상세표[시작],$Q2073)),TEXT(INDEX(상세표[시작],$Q2073),"yyyy-mm-dd hh:mm"),INDEX(상세표[시작],$Q2073)&amp;""))</f>
        <v/>
      </c>
      <c r="G2073">
        <f>IF($Q2073="","",IF(ISNUMBER(INDEX(상세표[블록종료],$Q2073)),TEXT(INDEX(상세표[블록종료],$Q2073),"yyyy-mm-dd hh:mm"),INDEX(상세표[블록종료],$Q2073)&amp;""))</f>
        <v/>
      </c>
      <c r="H2073">
        <f>IF($Q2073="","",CHOOSE(WEEKDAY(INDEX(상세표[시작],$Q2073)),"일","월","화","수","목","금","토"))</f>
        <v/>
      </c>
      <c r="I2073" s="20">
        <f>IF($Q2073="","",INDEX(상세표[연속 시간],$Q2073))</f>
        <v/>
      </c>
      <c r="J2073">
        <f>IF($Q2073="","",INDEX(상세표[기록 수],$Q2073))</f>
        <v/>
      </c>
      <c r="K2073" s="20">
        <f>IF($Q2073="","",INDEX(상세표[블록 06~07시],$Q2073))</f>
        <v/>
      </c>
      <c r="L2073" s="20">
        <f>IF($Q2073="","",INDEX(상세표[블록 07~18시],$Q2073))</f>
        <v/>
      </c>
      <c r="M2073" s="20">
        <f>IF($Q2073="","",INDEX(상세표[블록 18~22시],$Q2073))</f>
        <v/>
      </c>
      <c r="N2073" s="20">
        <f>IF($Q2073="","",INDEX(상세표[블록 22~06시],$Q2073))</f>
        <v/>
      </c>
      <c r="O2073">
        <f>IF($Q2073="","",INDEX(상세표[주말·휴일 포함],$Q2073)&amp;"")</f>
        <v/>
      </c>
      <c r="P2073">
        <f>IF($Q2073="","",INDEX(상세표[월 넘김 포함],$Q2073)&amp;"")</f>
        <v/>
      </c>
      <c r="Q2073" s="4">
        <f>IFERROR(MATCH(2068,상세표[연속순번],0),"")</f>
        <v/>
      </c>
    </row>
    <row r="2074">
      <c r="A2074">
        <f>IF($Q2074="","",INDEX(상세표[부서],$Q2074)&amp;"")</f>
        <v/>
      </c>
      <c r="B2074">
        <f>IF($Q2074="","",INDEX(상세표[사번],$Q2074)&amp;"")</f>
        <v/>
      </c>
      <c r="C2074">
        <f>IF($Q2074="","",INDEX(상세표[성명],$Q2074)&amp;"")</f>
        <v/>
      </c>
      <c r="D2074">
        <f>IF($Q2074="","",INDEX(상세표[직위],$Q2074)&amp;"")</f>
        <v/>
      </c>
      <c r="E2074">
        <f>IF($Q2074="","",IF(ISNUMBER(INDEX(상세표[근무일자],$Q2074)),TEXT(INDEX(상세표[근무일자],$Q2074),"yyyy-mm-dd"),INDEX(상세표[근무일자],$Q2074)&amp;""))</f>
        <v/>
      </c>
      <c r="F2074">
        <f>IF($Q2074="","",IF(ISNUMBER(INDEX(상세표[시작],$Q2074)),TEXT(INDEX(상세표[시작],$Q2074),"yyyy-mm-dd hh:mm"),INDEX(상세표[시작],$Q2074)&amp;""))</f>
        <v/>
      </c>
      <c r="G2074">
        <f>IF($Q2074="","",IF(ISNUMBER(INDEX(상세표[블록종료],$Q2074)),TEXT(INDEX(상세표[블록종료],$Q2074),"yyyy-mm-dd hh:mm"),INDEX(상세표[블록종료],$Q2074)&amp;""))</f>
        <v/>
      </c>
      <c r="H2074">
        <f>IF($Q2074="","",CHOOSE(WEEKDAY(INDEX(상세표[시작],$Q2074)),"일","월","화","수","목","금","토"))</f>
        <v/>
      </c>
      <c r="I2074" s="20">
        <f>IF($Q2074="","",INDEX(상세표[연속 시간],$Q2074))</f>
        <v/>
      </c>
      <c r="J2074">
        <f>IF($Q2074="","",INDEX(상세표[기록 수],$Q2074))</f>
        <v/>
      </c>
      <c r="K2074" s="20">
        <f>IF($Q2074="","",INDEX(상세표[블록 06~07시],$Q2074))</f>
        <v/>
      </c>
      <c r="L2074" s="20">
        <f>IF($Q2074="","",INDEX(상세표[블록 07~18시],$Q2074))</f>
        <v/>
      </c>
      <c r="M2074" s="20">
        <f>IF($Q2074="","",INDEX(상세표[블록 18~22시],$Q2074))</f>
        <v/>
      </c>
      <c r="N2074" s="20">
        <f>IF($Q2074="","",INDEX(상세표[블록 22~06시],$Q2074))</f>
        <v/>
      </c>
      <c r="O2074">
        <f>IF($Q2074="","",INDEX(상세표[주말·휴일 포함],$Q2074)&amp;"")</f>
        <v/>
      </c>
      <c r="P2074">
        <f>IF($Q2074="","",INDEX(상세표[월 넘김 포함],$Q2074)&amp;"")</f>
        <v/>
      </c>
      <c r="Q2074" s="4">
        <f>IFERROR(MATCH(2069,상세표[연속순번],0),"")</f>
        <v/>
      </c>
    </row>
    <row r="2075">
      <c r="A2075">
        <f>IF($Q2075="","",INDEX(상세표[부서],$Q2075)&amp;"")</f>
        <v/>
      </c>
      <c r="B2075">
        <f>IF($Q2075="","",INDEX(상세표[사번],$Q2075)&amp;"")</f>
        <v/>
      </c>
      <c r="C2075">
        <f>IF($Q2075="","",INDEX(상세표[성명],$Q2075)&amp;"")</f>
        <v/>
      </c>
      <c r="D2075">
        <f>IF($Q2075="","",INDEX(상세표[직위],$Q2075)&amp;"")</f>
        <v/>
      </c>
      <c r="E2075">
        <f>IF($Q2075="","",IF(ISNUMBER(INDEX(상세표[근무일자],$Q2075)),TEXT(INDEX(상세표[근무일자],$Q2075),"yyyy-mm-dd"),INDEX(상세표[근무일자],$Q2075)&amp;""))</f>
        <v/>
      </c>
      <c r="F2075">
        <f>IF($Q2075="","",IF(ISNUMBER(INDEX(상세표[시작],$Q2075)),TEXT(INDEX(상세표[시작],$Q2075),"yyyy-mm-dd hh:mm"),INDEX(상세표[시작],$Q2075)&amp;""))</f>
        <v/>
      </c>
      <c r="G2075">
        <f>IF($Q2075="","",IF(ISNUMBER(INDEX(상세표[블록종료],$Q2075)),TEXT(INDEX(상세표[블록종료],$Q2075),"yyyy-mm-dd hh:mm"),INDEX(상세표[블록종료],$Q2075)&amp;""))</f>
        <v/>
      </c>
      <c r="H2075">
        <f>IF($Q2075="","",CHOOSE(WEEKDAY(INDEX(상세표[시작],$Q2075)),"일","월","화","수","목","금","토"))</f>
        <v/>
      </c>
      <c r="I2075" s="20">
        <f>IF($Q2075="","",INDEX(상세표[연속 시간],$Q2075))</f>
        <v/>
      </c>
      <c r="J2075">
        <f>IF($Q2075="","",INDEX(상세표[기록 수],$Q2075))</f>
        <v/>
      </c>
      <c r="K2075" s="20">
        <f>IF($Q2075="","",INDEX(상세표[블록 06~07시],$Q2075))</f>
        <v/>
      </c>
      <c r="L2075" s="20">
        <f>IF($Q2075="","",INDEX(상세표[블록 07~18시],$Q2075))</f>
        <v/>
      </c>
      <c r="M2075" s="20">
        <f>IF($Q2075="","",INDEX(상세표[블록 18~22시],$Q2075))</f>
        <v/>
      </c>
      <c r="N2075" s="20">
        <f>IF($Q2075="","",INDEX(상세표[블록 22~06시],$Q2075))</f>
        <v/>
      </c>
      <c r="O2075">
        <f>IF($Q2075="","",INDEX(상세표[주말·휴일 포함],$Q2075)&amp;"")</f>
        <v/>
      </c>
      <c r="P2075">
        <f>IF($Q2075="","",INDEX(상세표[월 넘김 포함],$Q2075)&amp;"")</f>
        <v/>
      </c>
      <c r="Q2075" s="4">
        <f>IFERROR(MATCH(2070,상세표[연속순번],0),"")</f>
        <v/>
      </c>
    </row>
    <row r="2076">
      <c r="A2076">
        <f>IF($Q2076="","",INDEX(상세표[부서],$Q2076)&amp;"")</f>
        <v/>
      </c>
      <c r="B2076">
        <f>IF($Q2076="","",INDEX(상세표[사번],$Q2076)&amp;"")</f>
        <v/>
      </c>
      <c r="C2076">
        <f>IF($Q2076="","",INDEX(상세표[성명],$Q2076)&amp;"")</f>
        <v/>
      </c>
      <c r="D2076">
        <f>IF($Q2076="","",INDEX(상세표[직위],$Q2076)&amp;"")</f>
        <v/>
      </c>
      <c r="E2076">
        <f>IF($Q2076="","",IF(ISNUMBER(INDEX(상세표[근무일자],$Q2076)),TEXT(INDEX(상세표[근무일자],$Q2076),"yyyy-mm-dd"),INDEX(상세표[근무일자],$Q2076)&amp;""))</f>
        <v/>
      </c>
      <c r="F2076">
        <f>IF($Q2076="","",IF(ISNUMBER(INDEX(상세표[시작],$Q2076)),TEXT(INDEX(상세표[시작],$Q2076),"yyyy-mm-dd hh:mm"),INDEX(상세표[시작],$Q2076)&amp;""))</f>
        <v/>
      </c>
      <c r="G2076">
        <f>IF($Q2076="","",IF(ISNUMBER(INDEX(상세표[블록종료],$Q2076)),TEXT(INDEX(상세표[블록종료],$Q2076),"yyyy-mm-dd hh:mm"),INDEX(상세표[블록종료],$Q2076)&amp;""))</f>
        <v/>
      </c>
      <c r="H2076">
        <f>IF($Q2076="","",CHOOSE(WEEKDAY(INDEX(상세표[시작],$Q2076)),"일","월","화","수","목","금","토"))</f>
        <v/>
      </c>
      <c r="I2076" s="20">
        <f>IF($Q2076="","",INDEX(상세표[연속 시간],$Q2076))</f>
        <v/>
      </c>
      <c r="J2076">
        <f>IF($Q2076="","",INDEX(상세표[기록 수],$Q2076))</f>
        <v/>
      </c>
      <c r="K2076" s="20">
        <f>IF($Q2076="","",INDEX(상세표[블록 06~07시],$Q2076))</f>
        <v/>
      </c>
      <c r="L2076" s="20">
        <f>IF($Q2076="","",INDEX(상세표[블록 07~18시],$Q2076))</f>
        <v/>
      </c>
      <c r="M2076" s="20">
        <f>IF($Q2076="","",INDEX(상세표[블록 18~22시],$Q2076))</f>
        <v/>
      </c>
      <c r="N2076" s="20">
        <f>IF($Q2076="","",INDEX(상세표[블록 22~06시],$Q2076))</f>
        <v/>
      </c>
      <c r="O2076">
        <f>IF($Q2076="","",INDEX(상세표[주말·휴일 포함],$Q2076)&amp;"")</f>
        <v/>
      </c>
      <c r="P2076">
        <f>IF($Q2076="","",INDEX(상세표[월 넘김 포함],$Q2076)&amp;"")</f>
        <v/>
      </c>
      <c r="Q2076" s="4">
        <f>IFERROR(MATCH(2071,상세표[연속순번],0),"")</f>
        <v/>
      </c>
    </row>
    <row r="2077">
      <c r="A2077">
        <f>IF($Q2077="","",INDEX(상세표[부서],$Q2077)&amp;"")</f>
        <v/>
      </c>
      <c r="B2077">
        <f>IF($Q2077="","",INDEX(상세표[사번],$Q2077)&amp;"")</f>
        <v/>
      </c>
      <c r="C2077">
        <f>IF($Q2077="","",INDEX(상세표[성명],$Q2077)&amp;"")</f>
        <v/>
      </c>
      <c r="D2077">
        <f>IF($Q2077="","",INDEX(상세표[직위],$Q2077)&amp;"")</f>
        <v/>
      </c>
      <c r="E2077">
        <f>IF($Q2077="","",IF(ISNUMBER(INDEX(상세표[근무일자],$Q2077)),TEXT(INDEX(상세표[근무일자],$Q2077),"yyyy-mm-dd"),INDEX(상세표[근무일자],$Q2077)&amp;""))</f>
        <v/>
      </c>
      <c r="F2077">
        <f>IF($Q2077="","",IF(ISNUMBER(INDEX(상세표[시작],$Q2077)),TEXT(INDEX(상세표[시작],$Q2077),"yyyy-mm-dd hh:mm"),INDEX(상세표[시작],$Q2077)&amp;""))</f>
        <v/>
      </c>
      <c r="G2077">
        <f>IF($Q2077="","",IF(ISNUMBER(INDEX(상세표[블록종료],$Q2077)),TEXT(INDEX(상세표[블록종료],$Q2077),"yyyy-mm-dd hh:mm"),INDEX(상세표[블록종료],$Q2077)&amp;""))</f>
        <v/>
      </c>
      <c r="H2077">
        <f>IF($Q2077="","",CHOOSE(WEEKDAY(INDEX(상세표[시작],$Q2077)),"일","월","화","수","목","금","토"))</f>
        <v/>
      </c>
      <c r="I2077" s="20">
        <f>IF($Q2077="","",INDEX(상세표[연속 시간],$Q2077))</f>
        <v/>
      </c>
      <c r="J2077">
        <f>IF($Q2077="","",INDEX(상세표[기록 수],$Q2077))</f>
        <v/>
      </c>
      <c r="K2077" s="20">
        <f>IF($Q2077="","",INDEX(상세표[블록 06~07시],$Q2077))</f>
        <v/>
      </c>
      <c r="L2077" s="20">
        <f>IF($Q2077="","",INDEX(상세표[블록 07~18시],$Q2077))</f>
        <v/>
      </c>
      <c r="M2077" s="20">
        <f>IF($Q2077="","",INDEX(상세표[블록 18~22시],$Q2077))</f>
        <v/>
      </c>
      <c r="N2077" s="20">
        <f>IF($Q2077="","",INDEX(상세표[블록 22~06시],$Q2077))</f>
        <v/>
      </c>
      <c r="O2077">
        <f>IF($Q2077="","",INDEX(상세표[주말·휴일 포함],$Q2077)&amp;"")</f>
        <v/>
      </c>
      <c r="P2077">
        <f>IF($Q2077="","",INDEX(상세표[월 넘김 포함],$Q2077)&amp;"")</f>
        <v/>
      </c>
      <c r="Q2077" s="4">
        <f>IFERROR(MATCH(2072,상세표[연속순번],0),"")</f>
        <v/>
      </c>
    </row>
    <row r="2078">
      <c r="A2078">
        <f>IF($Q2078="","",INDEX(상세표[부서],$Q2078)&amp;"")</f>
        <v/>
      </c>
      <c r="B2078">
        <f>IF($Q2078="","",INDEX(상세표[사번],$Q2078)&amp;"")</f>
        <v/>
      </c>
      <c r="C2078">
        <f>IF($Q2078="","",INDEX(상세표[성명],$Q2078)&amp;"")</f>
        <v/>
      </c>
      <c r="D2078">
        <f>IF($Q2078="","",INDEX(상세표[직위],$Q2078)&amp;"")</f>
        <v/>
      </c>
      <c r="E2078">
        <f>IF($Q2078="","",IF(ISNUMBER(INDEX(상세표[근무일자],$Q2078)),TEXT(INDEX(상세표[근무일자],$Q2078),"yyyy-mm-dd"),INDEX(상세표[근무일자],$Q2078)&amp;""))</f>
        <v/>
      </c>
      <c r="F2078">
        <f>IF($Q2078="","",IF(ISNUMBER(INDEX(상세표[시작],$Q2078)),TEXT(INDEX(상세표[시작],$Q2078),"yyyy-mm-dd hh:mm"),INDEX(상세표[시작],$Q2078)&amp;""))</f>
        <v/>
      </c>
      <c r="G2078">
        <f>IF($Q2078="","",IF(ISNUMBER(INDEX(상세표[블록종료],$Q2078)),TEXT(INDEX(상세표[블록종료],$Q2078),"yyyy-mm-dd hh:mm"),INDEX(상세표[블록종료],$Q2078)&amp;""))</f>
        <v/>
      </c>
      <c r="H2078">
        <f>IF($Q2078="","",CHOOSE(WEEKDAY(INDEX(상세표[시작],$Q2078)),"일","월","화","수","목","금","토"))</f>
        <v/>
      </c>
      <c r="I2078" s="20">
        <f>IF($Q2078="","",INDEX(상세표[연속 시간],$Q2078))</f>
        <v/>
      </c>
      <c r="J2078">
        <f>IF($Q2078="","",INDEX(상세표[기록 수],$Q2078))</f>
        <v/>
      </c>
      <c r="K2078" s="20">
        <f>IF($Q2078="","",INDEX(상세표[블록 06~07시],$Q2078))</f>
        <v/>
      </c>
      <c r="L2078" s="20">
        <f>IF($Q2078="","",INDEX(상세표[블록 07~18시],$Q2078))</f>
        <v/>
      </c>
      <c r="M2078" s="20">
        <f>IF($Q2078="","",INDEX(상세표[블록 18~22시],$Q2078))</f>
        <v/>
      </c>
      <c r="N2078" s="20">
        <f>IF($Q2078="","",INDEX(상세표[블록 22~06시],$Q2078))</f>
        <v/>
      </c>
      <c r="O2078">
        <f>IF($Q2078="","",INDEX(상세표[주말·휴일 포함],$Q2078)&amp;"")</f>
        <v/>
      </c>
      <c r="P2078">
        <f>IF($Q2078="","",INDEX(상세표[월 넘김 포함],$Q2078)&amp;"")</f>
        <v/>
      </c>
      <c r="Q2078" s="4">
        <f>IFERROR(MATCH(2073,상세표[연속순번],0),"")</f>
        <v/>
      </c>
    </row>
    <row r="2079">
      <c r="A2079">
        <f>IF($Q2079="","",INDEX(상세표[부서],$Q2079)&amp;"")</f>
        <v/>
      </c>
      <c r="B2079">
        <f>IF($Q2079="","",INDEX(상세표[사번],$Q2079)&amp;"")</f>
        <v/>
      </c>
      <c r="C2079">
        <f>IF($Q2079="","",INDEX(상세표[성명],$Q2079)&amp;"")</f>
        <v/>
      </c>
      <c r="D2079">
        <f>IF($Q2079="","",INDEX(상세표[직위],$Q2079)&amp;"")</f>
        <v/>
      </c>
      <c r="E2079">
        <f>IF($Q2079="","",IF(ISNUMBER(INDEX(상세표[근무일자],$Q2079)),TEXT(INDEX(상세표[근무일자],$Q2079),"yyyy-mm-dd"),INDEX(상세표[근무일자],$Q2079)&amp;""))</f>
        <v/>
      </c>
      <c r="F2079">
        <f>IF($Q2079="","",IF(ISNUMBER(INDEX(상세표[시작],$Q2079)),TEXT(INDEX(상세표[시작],$Q2079),"yyyy-mm-dd hh:mm"),INDEX(상세표[시작],$Q2079)&amp;""))</f>
        <v/>
      </c>
      <c r="G2079">
        <f>IF($Q2079="","",IF(ISNUMBER(INDEX(상세표[블록종료],$Q2079)),TEXT(INDEX(상세표[블록종료],$Q2079),"yyyy-mm-dd hh:mm"),INDEX(상세표[블록종료],$Q2079)&amp;""))</f>
        <v/>
      </c>
      <c r="H2079">
        <f>IF($Q2079="","",CHOOSE(WEEKDAY(INDEX(상세표[시작],$Q2079)),"일","월","화","수","목","금","토"))</f>
        <v/>
      </c>
      <c r="I2079" s="20">
        <f>IF($Q2079="","",INDEX(상세표[연속 시간],$Q2079))</f>
        <v/>
      </c>
      <c r="J2079">
        <f>IF($Q2079="","",INDEX(상세표[기록 수],$Q2079))</f>
        <v/>
      </c>
      <c r="K2079" s="20">
        <f>IF($Q2079="","",INDEX(상세표[블록 06~07시],$Q2079))</f>
        <v/>
      </c>
      <c r="L2079" s="20">
        <f>IF($Q2079="","",INDEX(상세표[블록 07~18시],$Q2079))</f>
        <v/>
      </c>
      <c r="M2079" s="20">
        <f>IF($Q2079="","",INDEX(상세표[블록 18~22시],$Q2079))</f>
        <v/>
      </c>
      <c r="N2079" s="20">
        <f>IF($Q2079="","",INDEX(상세표[블록 22~06시],$Q2079))</f>
        <v/>
      </c>
      <c r="O2079">
        <f>IF($Q2079="","",INDEX(상세표[주말·휴일 포함],$Q2079)&amp;"")</f>
        <v/>
      </c>
      <c r="P2079">
        <f>IF($Q2079="","",INDEX(상세표[월 넘김 포함],$Q2079)&amp;"")</f>
        <v/>
      </c>
      <c r="Q2079" s="4">
        <f>IFERROR(MATCH(2074,상세표[연속순번],0),"")</f>
        <v/>
      </c>
    </row>
    <row r="2080">
      <c r="A2080">
        <f>IF($Q2080="","",INDEX(상세표[부서],$Q2080)&amp;"")</f>
        <v/>
      </c>
      <c r="B2080">
        <f>IF($Q2080="","",INDEX(상세표[사번],$Q2080)&amp;"")</f>
        <v/>
      </c>
      <c r="C2080">
        <f>IF($Q2080="","",INDEX(상세표[성명],$Q2080)&amp;"")</f>
        <v/>
      </c>
      <c r="D2080">
        <f>IF($Q2080="","",INDEX(상세표[직위],$Q2080)&amp;"")</f>
        <v/>
      </c>
      <c r="E2080">
        <f>IF($Q2080="","",IF(ISNUMBER(INDEX(상세표[근무일자],$Q2080)),TEXT(INDEX(상세표[근무일자],$Q2080),"yyyy-mm-dd"),INDEX(상세표[근무일자],$Q2080)&amp;""))</f>
        <v/>
      </c>
      <c r="F2080">
        <f>IF($Q2080="","",IF(ISNUMBER(INDEX(상세표[시작],$Q2080)),TEXT(INDEX(상세표[시작],$Q2080),"yyyy-mm-dd hh:mm"),INDEX(상세표[시작],$Q2080)&amp;""))</f>
        <v/>
      </c>
      <c r="G2080">
        <f>IF($Q2080="","",IF(ISNUMBER(INDEX(상세표[블록종료],$Q2080)),TEXT(INDEX(상세표[블록종료],$Q2080),"yyyy-mm-dd hh:mm"),INDEX(상세표[블록종료],$Q2080)&amp;""))</f>
        <v/>
      </c>
      <c r="H2080">
        <f>IF($Q2080="","",CHOOSE(WEEKDAY(INDEX(상세표[시작],$Q2080)),"일","월","화","수","목","금","토"))</f>
        <v/>
      </c>
      <c r="I2080" s="20">
        <f>IF($Q2080="","",INDEX(상세표[연속 시간],$Q2080))</f>
        <v/>
      </c>
      <c r="J2080">
        <f>IF($Q2080="","",INDEX(상세표[기록 수],$Q2080))</f>
        <v/>
      </c>
      <c r="K2080" s="20">
        <f>IF($Q2080="","",INDEX(상세표[블록 06~07시],$Q2080))</f>
        <v/>
      </c>
      <c r="L2080" s="20">
        <f>IF($Q2080="","",INDEX(상세표[블록 07~18시],$Q2080))</f>
        <v/>
      </c>
      <c r="M2080" s="20">
        <f>IF($Q2080="","",INDEX(상세표[블록 18~22시],$Q2080))</f>
        <v/>
      </c>
      <c r="N2080" s="20">
        <f>IF($Q2080="","",INDEX(상세표[블록 22~06시],$Q2080))</f>
        <v/>
      </c>
      <c r="O2080">
        <f>IF($Q2080="","",INDEX(상세표[주말·휴일 포함],$Q2080)&amp;"")</f>
        <v/>
      </c>
      <c r="P2080">
        <f>IF($Q2080="","",INDEX(상세표[월 넘김 포함],$Q2080)&amp;"")</f>
        <v/>
      </c>
      <c r="Q2080" s="4">
        <f>IFERROR(MATCH(2075,상세표[연속순번],0),"")</f>
        <v/>
      </c>
    </row>
    <row r="2081">
      <c r="A2081">
        <f>IF($Q2081="","",INDEX(상세표[부서],$Q2081)&amp;"")</f>
        <v/>
      </c>
      <c r="B2081">
        <f>IF($Q2081="","",INDEX(상세표[사번],$Q2081)&amp;"")</f>
        <v/>
      </c>
      <c r="C2081">
        <f>IF($Q2081="","",INDEX(상세표[성명],$Q2081)&amp;"")</f>
        <v/>
      </c>
      <c r="D2081">
        <f>IF($Q2081="","",INDEX(상세표[직위],$Q2081)&amp;"")</f>
        <v/>
      </c>
      <c r="E2081">
        <f>IF($Q2081="","",IF(ISNUMBER(INDEX(상세표[근무일자],$Q2081)),TEXT(INDEX(상세표[근무일자],$Q2081),"yyyy-mm-dd"),INDEX(상세표[근무일자],$Q2081)&amp;""))</f>
        <v/>
      </c>
      <c r="F2081">
        <f>IF($Q2081="","",IF(ISNUMBER(INDEX(상세표[시작],$Q2081)),TEXT(INDEX(상세표[시작],$Q2081),"yyyy-mm-dd hh:mm"),INDEX(상세표[시작],$Q2081)&amp;""))</f>
        <v/>
      </c>
      <c r="G2081">
        <f>IF($Q2081="","",IF(ISNUMBER(INDEX(상세표[블록종료],$Q2081)),TEXT(INDEX(상세표[블록종료],$Q2081),"yyyy-mm-dd hh:mm"),INDEX(상세표[블록종료],$Q2081)&amp;""))</f>
        <v/>
      </c>
      <c r="H2081">
        <f>IF($Q2081="","",CHOOSE(WEEKDAY(INDEX(상세표[시작],$Q2081)),"일","월","화","수","목","금","토"))</f>
        <v/>
      </c>
      <c r="I2081" s="20">
        <f>IF($Q2081="","",INDEX(상세표[연속 시간],$Q2081))</f>
        <v/>
      </c>
      <c r="J2081">
        <f>IF($Q2081="","",INDEX(상세표[기록 수],$Q2081))</f>
        <v/>
      </c>
      <c r="K2081" s="20">
        <f>IF($Q2081="","",INDEX(상세표[블록 06~07시],$Q2081))</f>
        <v/>
      </c>
      <c r="L2081" s="20">
        <f>IF($Q2081="","",INDEX(상세표[블록 07~18시],$Q2081))</f>
        <v/>
      </c>
      <c r="M2081" s="20">
        <f>IF($Q2081="","",INDEX(상세표[블록 18~22시],$Q2081))</f>
        <v/>
      </c>
      <c r="N2081" s="20">
        <f>IF($Q2081="","",INDEX(상세표[블록 22~06시],$Q2081))</f>
        <v/>
      </c>
      <c r="O2081">
        <f>IF($Q2081="","",INDEX(상세표[주말·휴일 포함],$Q2081)&amp;"")</f>
        <v/>
      </c>
      <c r="P2081">
        <f>IF($Q2081="","",INDEX(상세표[월 넘김 포함],$Q2081)&amp;"")</f>
        <v/>
      </c>
      <c r="Q2081" s="4">
        <f>IFERROR(MATCH(2076,상세표[연속순번],0),"")</f>
        <v/>
      </c>
    </row>
    <row r="2082">
      <c r="A2082">
        <f>IF($Q2082="","",INDEX(상세표[부서],$Q2082)&amp;"")</f>
        <v/>
      </c>
      <c r="B2082">
        <f>IF($Q2082="","",INDEX(상세표[사번],$Q2082)&amp;"")</f>
        <v/>
      </c>
      <c r="C2082">
        <f>IF($Q2082="","",INDEX(상세표[성명],$Q2082)&amp;"")</f>
        <v/>
      </c>
      <c r="D2082">
        <f>IF($Q2082="","",INDEX(상세표[직위],$Q2082)&amp;"")</f>
        <v/>
      </c>
      <c r="E2082">
        <f>IF($Q2082="","",IF(ISNUMBER(INDEX(상세표[근무일자],$Q2082)),TEXT(INDEX(상세표[근무일자],$Q2082),"yyyy-mm-dd"),INDEX(상세표[근무일자],$Q2082)&amp;""))</f>
        <v/>
      </c>
      <c r="F2082">
        <f>IF($Q2082="","",IF(ISNUMBER(INDEX(상세표[시작],$Q2082)),TEXT(INDEX(상세표[시작],$Q2082),"yyyy-mm-dd hh:mm"),INDEX(상세표[시작],$Q2082)&amp;""))</f>
        <v/>
      </c>
      <c r="G2082">
        <f>IF($Q2082="","",IF(ISNUMBER(INDEX(상세표[블록종료],$Q2082)),TEXT(INDEX(상세표[블록종료],$Q2082),"yyyy-mm-dd hh:mm"),INDEX(상세표[블록종료],$Q2082)&amp;""))</f>
        <v/>
      </c>
      <c r="H2082">
        <f>IF($Q2082="","",CHOOSE(WEEKDAY(INDEX(상세표[시작],$Q2082)),"일","월","화","수","목","금","토"))</f>
        <v/>
      </c>
      <c r="I2082" s="20">
        <f>IF($Q2082="","",INDEX(상세표[연속 시간],$Q2082))</f>
        <v/>
      </c>
      <c r="J2082">
        <f>IF($Q2082="","",INDEX(상세표[기록 수],$Q2082))</f>
        <v/>
      </c>
      <c r="K2082" s="20">
        <f>IF($Q2082="","",INDEX(상세표[블록 06~07시],$Q2082))</f>
        <v/>
      </c>
      <c r="L2082" s="20">
        <f>IF($Q2082="","",INDEX(상세표[블록 07~18시],$Q2082))</f>
        <v/>
      </c>
      <c r="M2082" s="20">
        <f>IF($Q2082="","",INDEX(상세표[블록 18~22시],$Q2082))</f>
        <v/>
      </c>
      <c r="N2082" s="20">
        <f>IF($Q2082="","",INDEX(상세표[블록 22~06시],$Q2082))</f>
        <v/>
      </c>
      <c r="O2082">
        <f>IF($Q2082="","",INDEX(상세표[주말·휴일 포함],$Q2082)&amp;"")</f>
        <v/>
      </c>
      <c r="P2082">
        <f>IF($Q2082="","",INDEX(상세표[월 넘김 포함],$Q2082)&amp;"")</f>
        <v/>
      </c>
      <c r="Q2082" s="4">
        <f>IFERROR(MATCH(2077,상세표[연속순번],0),"")</f>
        <v/>
      </c>
    </row>
    <row r="2083">
      <c r="A2083">
        <f>IF($Q2083="","",INDEX(상세표[부서],$Q2083)&amp;"")</f>
        <v/>
      </c>
      <c r="B2083">
        <f>IF($Q2083="","",INDEX(상세표[사번],$Q2083)&amp;"")</f>
        <v/>
      </c>
      <c r="C2083">
        <f>IF($Q2083="","",INDEX(상세표[성명],$Q2083)&amp;"")</f>
        <v/>
      </c>
      <c r="D2083">
        <f>IF($Q2083="","",INDEX(상세표[직위],$Q2083)&amp;"")</f>
        <v/>
      </c>
      <c r="E2083">
        <f>IF($Q2083="","",IF(ISNUMBER(INDEX(상세표[근무일자],$Q2083)),TEXT(INDEX(상세표[근무일자],$Q2083),"yyyy-mm-dd"),INDEX(상세표[근무일자],$Q2083)&amp;""))</f>
        <v/>
      </c>
      <c r="F2083">
        <f>IF($Q2083="","",IF(ISNUMBER(INDEX(상세표[시작],$Q2083)),TEXT(INDEX(상세표[시작],$Q2083),"yyyy-mm-dd hh:mm"),INDEX(상세표[시작],$Q2083)&amp;""))</f>
        <v/>
      </c>
      <c r="G2083">
        <f>IF($Q2083="","",IF(ISNUMBER(INDEX(상세표[블록종료],$Q2083)),TEXT(INDEX(상세표[블록종료],$Q2083),"yyyy-mm-dd hh:mm"),INDEX(상세표[블록종료],$Q2083)&amp;""))</f>
        <v/>
      </c>
      <c r="H2083">
        <f>IF($Q2083="","",CHOOSE(WEEKDAY(INDEX(상세표[시작],$Q2083)),"일","월","화","수","목","금","토"))</f>
        <v/>
      </c>
      <c r="I2083" s="20">
        <f>IF($Q2083="","",INDEX(상세표[연속 시간],$Q2083))</f>
        <v/>
      </c>
      <c r="J2083">
        <f>IF($Q2083="","",INDEX(상세표[기록 수],$Q2083))</f>
        <v/>
      </c>
      <c r="K2083" s="20">
        <f>IF($Q2083="","",INDEX(상세표[블록 06~07시],$Q2083))</f>
        <v/>
      </c>
      <c r="L2083" s="20">
        <f>IF($Q2083="","",INDEX(상세표[블록 07~18시],$Q2083))</f>
        <v/>
      </c>
      <c r="M2083" s="20">
        <f>IF($Q2083="","",INDEX(상세표[블록 18~22시],$Q2083))</f>
        <v/>
      </c>
      <c r="N2083" s="20">
        <f>IF($Q2083="","",INDEX(상세표[블록 22~06시],$Q2083))</f>
        <v/>
      </c>
      <c r="O2083">
        <f>IF($Q2083="","",INDEX(상세표[주말·휴일 포함],$Q2083)&amp;"")</f>
        <v/>
      </c>
      <c r="P2083">
        <f>IF($Q2083="","",INDEX(상세표[월 넘김 포함],$Q2083)&amp;"")</f>
        <v/>
      </c>
      <c r="Q2083" s="4">
        <f>IFERROR(MATCH(2078,상세표[연속순번],0),"")</f>
        <v/>
      </c>
    </row>
    <row r="2084">
      <c r="A2084">
        <f>IF($Q2084="","",INDEX(상세표[부서],$Q2084)&amp;"")</f>
        <v/>
      </c>
      <c r="B2084">
        <f>IF($Q2084="","",INDEX(상세표[사번],$Q2084)&amp;"")</f>
        <v/>
      </c>
      <c r="C2084">
        <f>IF($Q2084="","",INDEX(상세표[성명],$Q2084)&amp;"")</f>
        <v/>
      </c>
      <c r="D2084">
        <f>IF($Q2084="","",INDEX(상세표[직위],$Q2084)&amp;"")</f>
        <v/>
      </c>
      <c r="E2084">
        <f>IF($Q2084="","",IF(ISNUMBER(INDEX(상세표[근무일자],$Q2084)),TEXT(INDEX(상세표[근무일자],$Q2084),"yyyy-mm-dd"),INDEX(상세표[근무일자],$Q2084)&amp;""))</f>
        <v/>
      </c>
      <c r="F2084">
        <f>IF($Q2084="","",IF(ISNUMBER(INDEX(상세표[시작],$Q2084)),TEXT(INDEX(상세표[시작],$Q2084),"yyyy-mm-dd hh:mm"),INDEX(상세표[시작],$Q2084)&amp;""))</f>
        <v/>
      </c>
      <c r="G2084">
        <f>IF($Q2084="","",IF(ISNUMBER(INDEX(상세표[블록종료],$Q2084)),TEXT(INDEX(상세표[블록종료],$Q2084),"yyyy-mm-dd hh:mm"),INDEX(상세표[블록종료],$Q2084)&amp;""))</f>
        <v/>
      </c>
      <c r="H2084">
        <f>IF($Q2084="","",CHOOSE(WEEKDAY(INDEX(상세표[시작],$Q2084)),"일","월","화","수","목","금","토"))</f>
        <v/>
      </c>
      <c r="I2084" s="20">
        <f>IF($Q2084="","",INDEX(상세표[연속 시간],$Q2084))</f>
        <v/>
      </c>
      <c r="J2084">
        <f>IF($Q2084="","",INDEX(상세표[기록 수],$Q2084))</f>
        <v/>
      </c>
      <c r="K2084" s="20">
        <f>IF($Q2084="","",INDEX(상세표[블록 06~07시],$Q2084))</f>
        <v/>
      </c>
      <c r="L2084" s="20">
        <f>IF($Q2084="","",INDEX(상세표[블록 07~18시],$Q2084))</f>
        <v/>
      </c>
      <c r="M2084" s="20">
        <f>IF($Q2084="","",INDEX(상세표[블록 18~22시],$Q2084))</f>
        <v/>
      </c>
      <c r="N2084" s="20">
        <f>IF($Q2084="","",INDEX(상세표[블록 22~06시],$Q2084))</f>
        <v/>
      </c>
      <c r="O2084">
        <f>IF($Q2084="","",INDEX(상세표[주말·휴일 포함],$Q2084)&amp;"")</f>
        <v/>
      </c>
      <c r="P2084">
        <f>IF($Q2084="","",INDEX(상세표[월 넘김 포함],$Q2084)&amp;"")</f>
        <v/>
      </c>
      <c r="Q2084" s="4">
        <f>IFERROR(MATCH(2079,상세표[연속순번],0),"")</f>
        <v/>
      </c>
    </row>
    <row r="2085">
      <c r="A2085">
        <f>IF($Q2085="","",INDEX(상세표[부서],$Q2085)&amp;"")</f>
        <v/>
      </c>
      <c r="B2085">
        <f>IF($Q2085="","",INDEX(상세표[사번],$Q2085)&amp;"")</f>
        <v/>
      </c>
      <c r="C2085">
        <f>IF($Q2085="","",INDEX(상세표[성명],$Q2085)&amp;"")</f>
        <v/>
      </c>
      <c r="D2085">
        <f>IF($Q2085="","",INDEX(상세표[직위],$Q2085)&amp;"")</f>
        <v/>
      </c>
      <c r="E2085">
        <f>IF($Q2085="","",IF(ISNUMBER(INDEX(상세표[근무일자],$Q2085)),TEXT(INDEX(상세표[근무일자],$Q2085),"yyyy-mm-dd"),INDEX(상세표[근무일자],$Q2085)&amp;""))</f>
        <v/>
      </c>
      <c r="F2085">
        <f>IF($Q2085="","",IF(ISNUMBER(INDEX(상세표[시작],$Q2085)),TEXT(INDEX(상세표[시작],$Q2085),"yyyy-mm-dd hh:mm"),INDEX(상세표[시작],$Q2085)&amp;""))</f>
        <v/>
      </c>
      <c r="G2085">
        <f>IF($Q2085="","",IF(ISNUMBER(INDEX(상세표[블록종료],$Q2085)),TEXT(INDEX(상세표[블록종료],$Q2085),"yyyy-mm-dd hh:mm"),INDEX(상세표[블록종료],$Q2085)&amp;""))</f>
        <v/>
      </c>
      <c r="H2085">
        <f>IF($Q2085="","",CHOOSE(WEEKDAY(INDEX(상세표[시작],$Q2085)),"일","월","화","수","목","금","토"))</f>
        <v/>
      </c>
      <c r="I2085" s="20">
        <f>IF($Q2085="","",INDEX(상세표[연속 시간],$Q2085))</f>
        <v/>
      </c>
      <c r="J2085">
        <f>IF($Q2085="","",INDEX(상세표[기록 수],$Q2085))</f>
        <v/>
      </c>
      <c r="K2085" s="20">
        <f>IF($Q2085="","",INDEX(상세표[블록 06~07시],$Q2085))</f>
        <v/>
      </c>
      <c r="L2085" s="20">
        <f>IF($Q2085="","",INDEX(상세표[블록 07~18시],$Q2085))</f>
        <v/>
      </c>
      <c r="M2085" s="20">
        <f>IF($Q2085="","",INDEX(상세표[블록 18~22시],$Q2085))</f>
        <v/>
      </c>
      <c r="N2085" s="20">
        <f>IF($Q2085="","",INDEX(상세표[블록 22~06시],$Q2085))</f>
        <v/>
      </c>
      <c r="O2085">
        <f>IF($Q2085="","",INDEX(상세표[주말·휴일 포함],$Q2085)&amp;"")</f>
        <v/>
      </c>
      <c r="P2085">
        <f>IF($Q2085="","",INDEX(상세표[월 넘김 포함],$Q2085)&amp;"")</f>
        <v/>
      </c>
      <c r="Q2085" s="4">
        <f>IFERROR(MATCH(2080,상세표[연속순번],0),"")</f>
        <v/>
      </c>
    </row>
    <row r="2086">
      <c r="A2086">
        <f>IF($Q2086="","",INDEX(상세표[부서],$Q2086)&amp;"")</f>
        <v/>
      </c>
      <c r="B2086">
        <f>IF($Q2086="","",INDEX(상세표[사번],$Q2086)&amp;"")</f>
        <v/>
      </c>
      <c r="C2086">
        <f>IF($Q2086="","",INDEX(상세표[성명],$Q2086)&amp;"")</f>
        <v/>
      </c>
      <c r="D2086">
        <f>IF($Q2086="","",INDEX(상세표[직위],$Q2086)&amp;"")</f>
        <v/>
      </c>
      <c r="E2086">
        <f>IF($Q2086="","",IF(ISNUMBER(INDEX(상세표[근무일자],$Q2086)),TEXT(INDEX(상세표[근무일자],$Q2086),"yyyy-mm-dd"),INDEX(상세표[근무일자],$Q2086)&amp;""))</f>
        <v/>
      </c>
      <c r="F2086">
        <f>IF($Q2086="","",IF(ISNUMBER(INDEX(상세표[시작],$Q2086)),TEXT(INDEX(상세표[시작],$Q2086),"yyyy-mm-dd hh:mm"),INDEX(상세표[시작],$Q2086)&amp;""))</f>
        <v/>
      </c>
      <c r="G2086">
        <f>IF($Q2086="","",IF(ISNUMBER(INDEX(상세표[블록종료],$Q2086)),TEXT(INDEX(상세표[블록종료],$Q2086),"yyyy-mm-dd hh:mm"),INDEX(상세표[블록종료],$Q2086)&amp;""))</f>
        <v/>
      </c>
      <c r="H2086">
        <f>IF($Q2086="","",CHOOSE(WEEKDAY(INDEX(상세표[시작],$Q2086)),"일","월","화","수","목","금","토"))</f>
        <v/>
      </c>
      <c r="I2086" s="20">
        <f>IF($Q2086="","",INDEX(상세표[연속 시간],$Q2086))</f>
        <v/>
      </c>
      <c r="J2086">
        <f>IF($Q2086="","",INDEX(상세표[기록 수],$Q2086))</f>
        <v/>
      </c>
      <c r="K2086" s="20">
        <f>IF($Q2086="","",INDEX(상세표[블록 06~07시],$Q2086))</f>
        <v/>
      </c>
      <c r="L2086" s="20">
        <f>IF($Q2086="","",INDEX(상세표[블록 07~18시],$Q2086))</f>
        <v/>
      </c>
      <c r="M2086" s="20">
        <f>IF($Q2086="","",INDEX(상세표[블록 18~22시],$Q2086))</f>
        <v/>
      </c>
      <c r="N2086" s="20">
        <f>IF($Q2086="","",INDEX(상세표[블록 22~06시],$Q2086))</f>
        <v/>
      </c>
      <c r="O2086">
        <f>IF($Q2086="","",INDEX(상세표[주말·휴일 포함],$Q2086)&amp;"")</f>
        <v/>
      </c>
      <c r="P2086">
        <f>IF($Q2086="","",INDEX(상세표[월 넘김 포함],$Q2086)&amp;"")</f>
        <v/>
      </c>
      <c r="Q2086" s="4">
        <f>IFERROR(MATCH(2081,상세표[연속순번],0),"")</f>
        <v/>
      </c>
    </row>
    <row r="2087">
      <c r="A2087">
        <f>IF($Q2087="","",INDEX(상세표[부서],$Q2087)&amp;"")</f>
        <v/>
      </c>
      <c r="B2087">
        <f>IF($Q2087="","",INDEX(상세표[사번],$Q2087)&amp;"")</f>
        <v/>
      </c>
      <c r="C2087">
        <f>IF($Q2087="","",INDEX(상세표[성명],$Q2087)&amp;"")</f>
        <v/>
      </c>
      <c r="D2087">
        <f>IF($Q2087="","",INDEX(상세표[직위],$Q2087)&amp;"")</f>
        <v/>
      </c>
      <c r="E2087">
        <f>IF($Q2087="","",IF(ISNUMBER(INDEX(상세표[근무일자],$Q2087)),TEXT(INDEX(상세표[근무일자],$Q2087),"yyyy-mm-dd"),INDEX(상세표[근무일자],$Q2087)&amp;""))</f>
        <v/>
      </c>
      <c r="F2087">
        <f>IF($Q2087="","",IF(ISNUMBER(INDEX(상세표[시작],$Q2087)),TEXT(INDEX(상세표[시작],$Q2087),"yyyy-mm-dd hh:mm"),INDEX(상세표[시작],$Q2087)&amp;""))</f>
        <v/>
      </c>
      <c r="G2087">
        <f>IF($Q2087="","",IF(ISNUMBER(INDEX(상세표[블록종료],$Q2087)),TEXT(INDEX(상세표[블록종료],$Q2087),"yyyy-mm-dd hh:mm"),INDEX(상세표[블록종료],$Q2087)&amp;""))</f>
        <v/>
      </c>
      <c r="H2087">
        <f>IF($Q2087="","",CHOOSE(WEEKDAY(INDEX(상세표[시작],$Q2087)),"일","월","화","수","목","금","토"))</f>
        <v/>
      </c>
      <c r="I2087" s="20">
        <f>IF($Q2087="","",INDEX(상세표[연속 시간],$Q2087))</f>
        <v/>
      </c>
      <c r="J2087">
        <f>IF($Q2087="","",INDEX(상세표[기록 수],$Q2087))</f>
        <v/>
      </c>
      <c r="K2087" s="20">
        <f>IF($Q2087="","",INDEX(상세표[블록 06~07시],$Q2087))</f>
        <v/>
      </c>
      <c r="L2087" s="20">
        <f>IF($Q2087="","",INDEX(상세표[블록 07~18시],$Q2087))</f>
        <v/>
      </c>
      <c r="M2087" s="20">
        <f>IF($Q2087="","",INDEX(상세표[블록 18~22시],$Q2087))</f>
        <v/>
      </c>
      <c r="N2087" s="20">
        <f>IF($Q2087="","",INDEX(상세표[블록 22~06시],$Q2087))</f>
        <v/>
      </c>
      <c r="O2087">
        <f>IF($Q2087="","",INDEX(상세표[주말·휴일 포함],$Q2087)&amp;"")</f>
        <v/>
      </c>
      <c r="P2087">
        <f>IF($Q2087="","",INDEX(상세표[월 넘김 포함],$Q2087)&amp;"")</f>
        <v/>
      </c>
      <c r="Q2087" s="4">
        <f>IFERROR(MATCH(2082,상세표[연속순번],0),"")</f>
        <v/>
      </c>
    </row>
    <row r="2088">
      <c r="A2088">
        <f>IF($Q2088="","",INDEX(상세표[부서],$Q2088)&amp;"")</f>
        <v/>
      </c>
      <c r="B2088">
        <f>IF($Q2088="","",INDEX(상세표[사번],$Q2088)&amp;"")</f>
        <v/>
      </c>
      <c r="C2088">
        <f>IF($Q2088="","",INDEX(상세표[성명],$Q2088)&amp;"")</f>
        <v/>
      </c>
      <c r="D2088">
        <f>IF($Q2088="","",INDEX(상세표[직위],$Q2088)&amp;"")</f>
        <v/>
      </c>
      <c r="E2088">
        <f>IF($Q2088="","",IF(ISNUMBER(INDEX(상세표[근무일자],$Q2088)),TEXT(INDEX(상세표[근무일자],$Q2088),"yyyy-mm-dd"),INDEX(상세표[근무일자],$Q2088)&amp;""))</f>
        <v/>
      </c>
      <c r="F2088">
        <f>IF($Q2088="","",IF(ISNUMBER(INDEX(상세표[시작],$Q2088)),TEXT(INDEX(상세표[시작],$Q2088),"yyyy-mm-dd hh:mm"),INDEX(상세표[시작],$Q2088)&amp;""))</f>
        <v/>
      </c>
      <c r="G2088">
        <f>IF($Q2088="","",IF(ISNUMBER(INDEX(상세표[블록종료],$Q2088)),TEXT(INDEX(상세표[블록종료],$Q2088),"yyyy-mm-dd hh:mm"),INDEX(상세표[블록종료],$Q2088)&amp;""))</f>
        <v/>
      </c>
      <c r="H2088">
        <f>IF($Q2088="","",CHOOSE(WEEKDAY(INDEX(상세표[시작],$Q2088)),"일","월","화","수","목","금","토"))</f>
        <v/>
      </c>
      <c r="I2088" s="20">
        <f>IF($Q2088="","",INDEX(상세표[연속 시간],$Q2088))</f>
        <v/>
      </c>
      <c r="J2088">
        <f>IF($Q2088="","",INDEX(상세표[기록 수],$Q2088))</f>
        <v/>
      </c>
      <c r="K2088" s="20">
        <f>IF($Q2088="","",INDEX(상세표[블록 06~07시],$Q2088))</f>
        <v/>
      </c>
      <c r="L2088" s="20">
        <f>IF($Q2088="","",INDEX(상세표[블록 07~18시],$Q2088))</f>
        <v/>
      </c>
      <c r="M2088" s="20">
        <f>IF($Q2088="","",INDEX(상세표[블록 18~22시],$Q2088))</f>
        <v/>
      </c>
      <c r="N2088" s="20">
        <f>IF($Q2088="","",INDEX(상세표[블록 22~06시],$Q2088))</f>
        <v/>
      </c>
      <c r="O2088">
        <f>IF($Q2088="","",INDEX(상세표[주말·휴일 포함],$Q2088)&amp;"")</f>
        <v/>
      </c>
      <c r="P2088">
        <f>IF($Q2088="","",INDEX(상세표[월 넘김 포함],$Q2088)&amp;"")</f>
        <v/>
      </c>
      <c r="Q2088" s="4">
        <f>IFERROR(MATCH(2083,상세표[연속순번],0),"")</f>
        <v/>
      </c>
    </row>
    <row r="2089">
      <c r="A2089">
        <f>IF($Q2089="","",INDEX(상세표[부서],$Q2089)&amp;"")</f>
        <v/>
      </c>
      <c r="B2089">
        <f>IF($Q2089="","",INDEX(상세표[사번],$Q2089)&amp;"")</f>
        <v/>
      </c>
      <c r="C2089">
        <f>IF($Q2089="","",INDEX(상세표[성명],$Q2089)&amp;"")</f>
        <v/>
      </c>
      <c r="D2089">
        <f>IF($Q2089="","",INDEX(상세표[직위],$Q2089)&amp;"")</f>
        <v/>
      </c>
      <c r="E2089">
        <f>IF($Q2089="","",IF(ISNUMBER(INDEX(상세표[근무일자],$Q2089)),TEXT(INDEX(상세표[근무일자],$Q2089),"yyyy-mm-dd"),INDEX(상세표[근무일자],$Q2089)&amp;""))</f>
        <v/>
      </c>
      <c r="F2089">
        <f>IF($Q2089="","",IF(ISNUMBER(INDEX(상세표[시작],$Q2089)),TEXT(INDEX(상세표[시작],$Q2089),"yyyy-mm-dd hh:mm"),INDEX(상세표[시작],$Q2089)&amp;""))</f>
        <v/>
      </c>
      <c r="G2089">
        <f>IF($Q2089="","",IF(ISNUMBER(INDEX(상세표[블록종료],$Q2089)),TEXT(INDEX(상세표[블록종료],$Q2089),"yyyy-mm-dd hh:mm"),INDEX(상세표[블록종료],$Q2089)&amp;""))</f>
        <v/>
      </c>
      <c r="H2089">
        <f>IF($Q2089="","",CHOOSE(WEEKDAY(INDEX(상세표[시작],$Q2089)),"일","월","화","수","목","금","토"))</f>
        <v/>
      </c>
      <c r="I2089" s="20">
        <f>IF($Q2089="","",INDEX(상세표[연속 시간],$Q2089))</f>
        <v/>
      </c>
      <c r="J2089">
        <f>IF($Q2089="","",INDEX(상세표[기록 수],$Q2089))</f>
        <v/>
      </c>
      <c r="K2089" s="20">
        <f>IF($Q2089="","",INDEX(상세표[블록 06~07시],$Q2089))</f>
        <v/>
      </c>
      <c r="L2089" s="20">
        <f>IF($Q2089="","",INDEX(상세표[블록 07~18시],$Q2089))</f>
        <v/>
      </c>
      <c r="M2089" s="20">
        <f>IF($Q2089="","",INDEX(상세표[블록 18~22시],$Q2089))</f>
        <v/>
      </c>
      <c r="N2089" s="20">
        <f>IF($Q2089="","",INDEX(상세표[블록 22~06시],$Q2089))</f>
        <v/>
      </c>
      <c r="O2089">
        <f>IF($Q2089="","",INDEX(상세표[주말·휴일 포함],$Q2089)&amp;"")</f>
        <v/>
      </c>
      <c r="P2089">
        <f>IF($Q2089="","",INDEX(상세표[월 넘김 포함],$Q2089)&amp;"")</f>
        <v/>
      </c>
      <c r="Q2089" s="4">
        <f>IFERROR(MATCH(2084,상세표[연속순번],0),"")</f>
        <v/>
      </c>
    </row>
    <row r="2090">
      <c r="A2090">
        <f>IF($Q2090="","",INDEX(상세표[부서],$Q2090)&amp;"")</f>
        <v/>
      </c>
      <c r="B2090">
        <f>IF($Q2090="","",INDEX(상세표[사번],$Q2090)&amp;"")</f>
        <v/>
      </c>
      <c r="C2090">
        <f>IF($Q2090="","",INDEX(상세표[성명],$Q2090)&amp;"")</f>
        <v/>
      </c>
      <c r="D2090">
        <f>IF($Q2090="","",INDEX(상세표[직위],$Q2090)&amp;"")</f>
        <v/>
      </c>
      <c r="E2090">
        <f>IF($Q2090="","",IF(ISNUMBER(INDEX(상세표[근무일자],$Q2090)),TEXT(INDEX(상세표[근무일자],$Q2090),"yyyy-mm-dd"),INDEX(상세표[근무일자],$Q2090)&amp;""))</f>
        <v/>
      </c>
      <c r="F2090">
        <f>IF($Q2090="","",IF(ISNUMBER(INDEX(상세표[시작],$Q2090)),TEXT(INDEX(상세표[시작],$Q2090),"yyyy-mm-dd hh:mm"),INDEX(상세표[시작],$Q2090)&amp;""))</f>
        <v/>
      </c>
      <c r="G2090">
        <f>IF($Q2090="","",IF(ISNUMBER(INDEX(상세표[블록종료],$Q2090)),TEXT(INDEX(상세표[블록종료],$Q2090),"yyyy-mm-dd hh:mm"),INDEX(상세표[블록종료],$Q2090)&amp;""))</f>
        <v/>
      </c>
      <c r="H2090">
        <f>IF($Q2090="","",CHOOSE(WEEKDAY(INDEX(상세표[시작],$Q2090)),"일","월","화","수","목","금","토"))</f>
        <v/>
      </c>
      <c r="I2090" s="20">
        <f>IF($Q2090="","",INDEX(상세표[연속 시간],$Q2090))</f>
        <v/>
      </c>
      <c r="J2090">
        <f>IF($Q2090="","",INDEX(상세표[기록 수],$Q2090))</f>
        <v/>
      </c>
      <c r="K2090" s="20">
        <f>IF($Q2090="","",INDEX(상세표[블록 06~07시],$Q2090))</f>
        <v/>
      </c>
      <c r="L2090" s="20">
        <f>IF($Q2090="","",INDEX(상세표[블록 07~18시],$Q2090))</f>
        <v/>
      </c>
      <c r="M2090" s="20">
        <f>IF($Q2090="","",INDEX(상세표[블록 18~22시],$Q2090))</f>
        <v/>
      </c>
      <c r="N2090" s="20">
        <f>IF($Q2090="","",INDEX(상세표[블록 22~06시],$Q2090))</f>
        <v/>
      </c>
      <c r="O2090">
        <f>IF($Q2090="","",INDEX(상세표[주말·휴일 포함],$Q2090)&amp;"")</f>
        <v/>
      </c>
      <c r="P2090">
        <f>IF($Q2090="","",INDEX(상세표[월 넘김 포함],$Q2090)&amp;"")</f>
        <v/>
      </c>
      <c r="Q2090" s="4">
        <f>IFERROR(MATCH(2085,상세표[연속순번],0),"")</f>
        <v/>
      </c>
    </row>
    <row r="2091">
      <c r="A2091">
        <f>IF($Q2091="","",INDEX(상세표[부서],$Q2091)&amp;"")</f>
        <v/>
      </c>
      <c r="B2091">
        <f>IF($Q2091="","",INDEX(상세표[사번],$Q2091)&amp;"")</f>
        <v/>
      </c>
      <c r="C2091">
        <f>IF($Q2091="","",INDEX(상세표[성명],$Q2091)&amp;"")</f>
        <v/>
      </c>
      <c r="D2091">
        <f>IF($Q2091="","",INDEX(상세표[직위],$Q2091)&amp;"")</f>
        <v/>
      </c>
      <c r="E2091">
        <f>IF($Q2091="","",IF(ISNUMBER(INDEX(상세표[근무일자],$Q2091)),TEXT(INDEX(상세표[근무일자],$Q2091),"yyyy-mm-dd"),INDEX(상세표[근무일자],$Q2091)&amp;""))</f>
        <v/>
      </c>
      <c r="F2091">
        <f>IF($Q2091="","",IF(ISNUMBER(INDEX(상세표[시작],$Q2091)),TEXT(INDEX(상세표[시작],$Q2091),"yyyy-mm-dd hh:mm"),INDEX(상세표[시작],$Q2091)&amp;""))</f>
        <v/>
      </c>
      <c r="G2091">
        <f>IF($Q2091="","",IF(ISNUMBER(INDEX(상세표[블록종료],$Q2091)),TEXT(INDEX(상세표[블록종료],$Q2091),"yyyy-mm-dd hh:mm"),INDEX(상세표[블록종료],$Q2091)&amp;""))</f>
        <v/>
      </c>
      <c r="H2091">
        <f>IF($Q2091="","",CHOOSE(WEEKDAY(INDEX(상세표[시작],$Q2091)),"일","월","화","수","목","금","토"))</f>
        <v/>
      </c>
      <c r="I2091" s="20">
        <f>IF($Q2091="","",INDEX(상세표[연속 시간],$Q2091))</f>
        <v/>
      </c>
      <c r="J2091">
        <f>IF($Q2091="","",INDEX(상세표[기록 수],$Q2091))</f>
        <v/>
      </c>
      <c r="K2091" s="20">
        <f>IF($Q2091="","",INDEX(상세표[블록 06~07시],$Q2091))</f>
        <v/>
      </c>
      <c r="L2091" s="20">
        <f>IF($Q2091="","",INDEX(상세표[블록 07~18시],$Q2091))</f>
        <v/>
      </c>
      <c r="M2091" s="20">
        <f>IF($Q2091="","",INDEX(상세표[블록 18~22시],$Q2091))</f>
        <v/>
      </c>
      <c r="N2091" s="20">
        <f>IF($Q2091="","",INDEX(상세표[블록 22~06시],$Q2091))</f>
        <v/>
      </c>
      <c r="O2091">
        <f>IF($Q2091="","",INDEX(상세표[주말·휴일 포함],$Q2091)&amp;"")</f>
        <v/>
      </c>
      <c r="P2091">
        <f>IF($Q2091="","",INDEX(상세표[월 넘김 포함],$Q2091)&amp;"")</f>
        <v/>
      </c>
      <c r="Q2091" s="4">
        <f>IFERROR(MATCH(2086,상세표[연속순번],0),"")</f>
        <v/>
      </c>
    </row>
    <row r="2092">
      <c r="A2092">
        <f>IF($Q2092="","",INDEX(상세표[부서],$Q2092)&amp;"")</f>
        <v/>
      </c>
      <c r="B2092">
        <f>IF($Q2092="","",INDEX(상세표[사번],$Q2092)&amp;"")</f>
        <v/>
      </c>
      <c r="C2092">
        <f>IF($Q2092="","",INDEX(상세표[성명],$Q2092)&amp;"")</f>
        <v/>
      </c>
      <c r="D2092">
        <f>IF($Q2092="","",INDEX(상세표[직위],$Q2092)&amp;"")</f>
        <v/>
      </c>
      <c r="E2092">
        <f>IF($Q2092="","",IF(ISNUMBER(INDEX(상세표[근무일자],$Q2092)),TEXT(INDEX(상세표[근무일자],$Q2092),"yyyy-mm-dd"),INDEX(상세표[근무일자],$Q2092)&amp;""))</f>
        <v/>
      </c>
      <c r="F2092">
        <f>IF($Q2092="","",IF(ISNUMBER(INDEX(상세표[시작],$Q2092)),TEXT(INDEX(상세표[시작],$Q2092),"yyyy-mm-dd hh:mm"),INDEX(상세표[시작],$Q2092)&amp;""))</f>
        <v/>
      </c>
      <c r="G2092">
        <f>IF($Q2092="","",IF(ISNUMBER(INDEX(상세표[블록종료],$Q2092)),TEXT(INDEX(상세표[블록종료],$Q2092),"yyyy-mm-dd hh:mm"),INDEX(상세표[블록종료],$Q2092)&amp;""))</f>
        <v/>
      </c>
      <c r="H2092">
        <f>IF($Q2092="","",CHOOSE(WEEKDAY(INDEX(상세표[시작],$Q2092)),"일","월","화","수","목","금","토"))</f>
        <v/>
      </c>
      <c r="I2092" s="20">
        <f>IF($Q2092="","",INDEX(상세표[연속 시간],$Q2092))</f>
        <v/>
      </c>
      <c r="J2092">
        <f>IF($Q2092="","",INDEX(상세표[기록 수],$Q2092))</f>
        <v/>
      </c>
      <c r="K2092" s="20">
        <f>IF($Q2092="","",INDEX(상세표[블록 06~07시],$Q2092))</f>
        <v/>
      </c>
      <c r="L2092" s="20">
        <f>IF($Q2092="","",INDEX(상세표[블록 07~18시],$Q2092))</f>
        <v/>
      </c>
      <c r="M2092" s="20">
        <f>IF($Q2092="","",INDEX(상세표[블록 18~22시],$Q2092))</f>
        <v/>
      </c>
      <c r="N2092" s="20">
        <f>IF($Q2092="","",INDEX(상세표[블록 22~06시],$Q2092))</f>
        <v/>
      </c>
      <c r="O2092">
        <f>IF($Q2092="","",INDEX(상세표[주말·휴일 포함],$Q2092)&amp;"")</f>
        <v/>
      </c>
      <c r="P2092">
        <f>IF($Q2092="","",INDEX(상세표[월 넘김 포함],$Q2092)&amp;"")</f>
        <v/>
      </c>
      <c r="Q2092" s="4">
        <f>IFERROR(MATCH(2087,상세표[연속순번],0),"")</f>
        <v/>
      </c>
    </row>
    <row r="2093">
      <c r="A2093">
        <f>IF($Q2093="","",INDEX(상세표[부서],$Q2093)&amp;"")</f>
        <v/>
      </c>
      <c r="B2093">
        <f>IF($Q2093="","",INDEX(상세표[사번],$Q2093)&amp;"")</f>
        <v/>
      </c>
      <c r="C2093">
        <f>IF($Q2093="","",INDEX(상세표[성명],$Q2093)&amp;"")</f>
        <v/>
      </c>
      <c r="D2093">
        <f>IF($Q2093="","",INDEX(상세표[직위],$Q2093)&amp;"")</f>
        <v/>
      </c>
      <c r="E2093">
        <f>IF($Q2093="","",IF(ISNUMBER(INDEX(상세표[근무일자],$Q2093)),TEXT(INDEX(상세표[근무일자],$Q2093),"yyyy-mm-dd"),INDEX(상세표[근무일자],$Q2093)&amp;""))</f>
        <v/>
      </c>
      <c r="F2093">
        <f>IF($Q2093="","",IF(ISNUMBER(INDEX(상세표[시작],$Q2093)),TEXT(INDEX(상세표[시작],$Q2093),"yyyy-mm-dd hh:mm"),INDEX(상세표[시작],$Q2093)&amp;""))</f>
        <v/>
      </c>
      <c r="G2093">
        <f>IF($Q2093="","",IF(ISNUMBER(INDEX(상세표[블록종료],$Q2093)),TEXT(INDEX(상세표[블록종료],$Q2093),"yyyy-mm-dd hh:mm"),INDEX(상세표[블록종료],$Q2093)&amp;""))</f>
        <v/>
      </c>
      <c r="H2093">
        <f>IF($Q2093="","",CHOOSE(WEEKDAY(INDEX(상세표[시작],$Q2093)),"일","월","화","수","목","금","토"))</f>
        <v/>
      </c>
      <c r="I2093" s="20">
        <f>IF($Q2093="","",INDEX(상세표[연속 시간],$Q2093))</f>
        <v/>
      </c>
      <c r="J2093">
        <f>IF($Q2093="","",INDEX(상세표[기록 수],$Q2093))</f>
        <v/>
      </c>
      <c r="K2093" s="20">
        <f>IF($Q2093="","",INDEX(상세표[블록 06~07시],$Q2093))</f>
        <v/>
      </c>
      <c r="L2093" s="20">
        <f>IF($Q2093="","",INDEX(상세표[블록 07~18시],$Q2093))</f>
        <v/>
      </c>
      <c r="M2093" s="20">
        <f>IF($Q2093="","",INDEX(상세표[블록 18~22시],$Q2093))</f>
        <v/>
      </c>
      <c r="N2093" s="20">
        <f>IF($Q2093="","",INDEX(상세표[블록 22~06시],$Q2093))</f>
        <v/>
      </c>
      <c r="O2093">
        <f>IF($Q2093="","",INDEX(상세표[주말·휴일 포함],$Q2093)&amp;"")</f>
        <v/>
      </c>
      <c r="P2093">
        <f>IF($Q2093="","",INDEX(상세표[월 넘김 포함],$Q2093)&amp;"")</f>
        <v/>
      </c>
      <c r="Q2093" s="4">
        <f>IFERROR(MATCH(2088,상세표[연속순번],0),"")</f>
        <v/>
      </c>
    </row>
    <row r="2094">
      <c r="A2094">
        <f>IF($Q2094="","",INDEX(상세표[부서],$Q2094)&amp;"")</f>
        <v/>
      </c>
      <c r="B2094">
        <f>IF($Q2094="","",INDEX(상세표[사번],$Q2094)&amp;"")</f>
        <v/>
      </c>
      <c r="C2094">
        <f>IF($Q2094="","",INDEX(상세표[성명],$Q2094)&amp;"")</f>
        <v/>
      </c>
      <c r="D2094">
        <f>IF($Q2094="","",INDEX(상세표[직위],$Q2094)&amp;"")</f>
        <v/>
      </c>
      <c r="E2094">
        <f>IF($Q2094="","",IF(ISNUMBER(INDEX(상세표[근무일자],$Q2094)),TEXT(INDEX(상세표[근무일자],$Q2094),"yyyy-mm-dd"),INDEX(상세표[근무일자],$Q2094)&amp;""))</f>
        <v/>
      </c>
      <c r="F2094">
        <f>IF($Q2094="","",IF(ISNUMBER(INDEX(상세표[시작],$Q2094)),TEXT(INDEX(상세표[시작],$Q2094),"yyyy-mm-dd hh:mm"),INDEX(상세표[시작],$Q2094)&amp;""))</f>
        <v/>
      </c>
      <c r="G2094">
        <f>IF($Q2094="","",IF(ISNUMBER(INDEX(상세표[블록종료],$Q2094)),TEXT(INDEX(상세표[블록종료],$Q2094),"yyyy-mm-dd hh:mm"),INDEX(상세표[블록종료],$Q2094)&amp;""))</f>
        <v/>
      </c>
      <c r="H2094">
        <f>IF($Q2094="","",CHOOSE(WEEKDAY(INDEX(상세표[시작],$Q2094)),"일","월","화","수","목","금","토"))</f>
        <v/>
      </c>
      <c r="I2094" s="20">
        <f>IF($Q2094="","",INDEX(상세표[연속 시간],$Q2094))</f>
        <v/>
      </c>
      <c r="J2094">
        <f>IF($Q2094="","",INDEX(상세표[기록 수],$Q2094))</f>
        <v/>
      </c>
      <c r="K2094" s="20">
        <f>IF($Q2094="","",INDEX(상세표[블록 06~07시],$Q2094))</f>
        <v/>
      </c>
      <c r="L2094" s="20">
        <f>IF($Q2094="","",INDEX(상세표[블록 07~18시],$Q2094))</f>
        <v/>
      </c>
      <c r="M2094" s="20">
        <f>IF($Q2094="","",INDEX(상세표[블록 18~22시],$Q2094))</f>
        <v/>
      </c>
      <c r="N2094" s="20">
        <f>IF($Q2094="","",INDEX(상세표[블록 22~06시],$Q2094))</f>
        <v/>
      </c>
      <c r="O2094">
        <f>IF($Q2094="","",INDEX(상세표[주말·휴일 포함],$Q2094)&amp;"")</f>
        <v/>
      </c>
      <c r="P2094">
        <f>IF($Q2094="","",INDEX(상세표[월 넘김 포함],$Q2094)&amp;"")</f>
        <v/>
      </c>
      <c r="Q2094" s="4">
        <f>IFERROR(MATCH(2089,상세표[연속순번],0),"")</f>
        <v/>
      </c>
    </row>
    <row r="2095">
      <c r="A2095">
        <f>IF($Q2095="","",INDEX(상세표[부서],$Q2095)&amp;"")</f>
        <v/>
      </c>
      <c r="B2095">
        <f>IF($Q2095="","",INDEX(상세표[사번],$Q2095)&amp;"")</f>
        <v/>
      </c>
      <c r="C2095">
        <f>IF($Q2095="","",INDEX(상세표[성명],$Q2095)&amp;"")</f>
        <v/>
      </c>
      <c r="D2095">
        <f>IF($Q2095="","",INDEX(상세표[직위],$Q2095)&amp;"")</f>
        <v/>
      </c>
      <c r="E2095">
        <f>IF($Q2095="","",IF(ISNUMBER(INDEX(상세표[근무일자],$Q2095)),TEXT(INDEX(상세표[근무일자],$Q2095),"yyyy-mm-dd"),INDEX(상세표[근무일자],$Q2095)&amp;""))</f>
        <v/>
      </c>
      <c r="F2095">
        <f>IF($Q2095="","",IF(ISNUMBER(INDEX(상세표[시작],$Q2095)),TEXT(INDEX(상세표[시작],$Q2095),"yyyy-mm-dd hh:mm"),INDEX(상세표[시작],$Q2095)&amp;""))</f>
        <v/>
      </c>
      <c r="G2095">
        <f>IF($Q2095="","",IF(ISNUMBER(INDEX(상세표[블록종료],$Q2095)),TEXT(INDEX(상세표[블록종료],$Q2095),"yyyy-mm-dd hh:mm"),INDEX(상세표[블록종료],$Q2095)&amp;""))</f>
        <v/>
      </c>
      <c r="H2095">
        <f>IF($Q2095="","",CHOOSE(WEEKDAY(INDEX(상세표[시작],$Q2095)),"일","월","화","수","목","금","토"))</f>
        <v/>
      </c>
      <c r="I2095" s="20">
        <f>IF($Q2095="","",INDEX(상세표[연속 시간],$Q2095))</f>
        <v/>
      </c>
      <c r="J2095">
        <f>IF($Q2095="","",INDEX(상세표[기록 수],$Q2095))</f>
        <v/>
      </c>
      <c r="K2095" s="20">
        <f>IF($Q2095="","",INDEX(상세표[블록 06~07시],$Q2095))</f>
        <v/>
      </c>
      <c r="L2095" s="20">
        <f>IF($Q2095="","",INDEX(상세표[블록 07~18시],$Q2095))</f>
        <v/>
      </c>
      <c r="M2095" s="20">
        <f>IF($Q2095="","",INDEX(상세표[블록 18~22시],$Q2095))</f>
        <v/>
      </c>
      <c r="N2095" s="20">
        <f>IF($Q2095="","",INDEX(상세표[블록 22~06시],$Q2095))</f>
        <v/>
      </c>
      <c r="O2095">
        <f>IF($Q2095="","",INDEX(상세표[주말·휴일 포함],$Q2095)&amp;"")</f>
        <v/>
      </c>
      <c r="P2095">
        <f>IF($Q2095="","",INDEX(상세표[월 넘김 포함],$Q2095)&amp;"")</f>
        <v/>
      </c>
      <c r="Q2095" s="4">
        <f>IFERROR(MATCH(2090,상세표[연속순번],0),"")</f>
        <v/>
      </c>
    </row>
    <row r="2096">
      <c r="A2096">
        <f>IF($Q2096="","",INDEX(상세표[부서],$Q2096)&amp;"")</f>
        <v/>
      </c>
      <c r="B2096">
        <f>IF($Q2096="","",INDEX(상세표[사번],$Q2096)&amp;"")</f>
        <v/>
      </c>
      <c r="C2096">
        <f>IF($Q2096="","",INDEX(상세표[성명],$Q2096)&amp;"")</f>
        <v/>
      </c>
      <c r="D2096">
        <f>IF($Q2096="","",INDEX(상세표[직위],$Q2096)&amp;"")</f>
        <v/>
      </c>
      <c r="E2096">
        <f>IF($Q2096="","",IF(ISNUMBER(INDEX(상세표[근무일자],$Q2096)),TEXT(INDEX(상세표[근무일자],$Q2096),"yyyy-mm-dd"),INDEX(상세표[근무일자],$Q2096)&amp;""))</f>
        <v/>
      </c>
      <c r="F2096">
        <f>IF($Q2096="","",IF(ISNUMBER(INDEX(상세표[시작],$Q2096)),TEXT(INDEX(상세표[시작],$Q2096),"yyyy-mm-dd hh:mm"),INDEX(상세표[시작],$Q2096)&amp;""))</f>
        <v/>
      </c>
      <c r="G2096">
        <f>IF($Q2096="","",IF(ISNUMBER(INDEX(상세표[블록종료],$Q2096)),TEXT(INDEX(상세표[블록종료],$Q2096),"yyyy-mm-dd hh:mm"),INDEX(상세표[블록종료],$Q2096)&amp;""))</f>
        <v/>
      </c>
      <c r="H2096">
        <f>IF($Q2096="","",CHOOSE(WEEKDAY(INDEX(상세표[시작],$Q2096)),"일","월","화","수","목","금","토"))</f>
        <v/>
      </c>
      <c r="I2096" s="20">
        <f>IF($Q2096="","",INDEX(상세표[연속 시간],$Q2096))</f>
        <v/>
      </c>
      <c r="J2096">
        <f>IF($Q2096="","",INDEX(상세표[기록 수],$Q2096))</f>
        <v/>
      </c>
      <c r="K2096" s="20">
        <f>IF($Q2096="","",INDEX(상세표[블록 06~07시],$Q2096))</f>
        <v/>
      </c>
      <c r="L2096" s="20">
        <f>IF($Q2096="","",INDEX(상세표[블록 07~18시],$Q2096))</f>
        <v/>
      </c>
      <c r="M2096" s="20">
        <f>IF($Q2096="","",INDEX(상세표[블록 18~22시],$Q2096))</f>
        <v/>
      </c>
      <c r="N2096" s="20">
        <f>IF($Q2096="","",INDEX(상세표[블록 22~06시],$Q2096))</f>
        <v/>
      </c>
      <c r="O2096">
        <f>IF($Q2096="","",INDEX(상세표[주말·휴일 포함],$Q2096)&amp;"")</f>
        <v/>
      </c>
      <c r="P2096">
        <f>IF($Q2096="","",INDEX(상세표[월 넘김 포함],$Q2096)&amp;"")</f>
        <v/>
      </c>
      <c r="Q2096" s="4">
        <f>IFERROR(MATCH(2091,상세표[연속순번],0),"")</f>
        <v/>
      </c>
    </row>
    <row r="2097">
      <c r="A2097">
        <f>IF($Q2097="","",INDEX(상세표[부서],$Q2097)&amp;"")</f>
        <v/>
      </c>
      <c r="B2097">
        <f>IF($Q2097="","",INDEX(상세표[사번],$Q2097)&amp;"")</f>
        <v/>
      </c>
      <c r="C2097">
        <f>IF($Q2097="","",INDEX(상세표[성명],$Q2097)&amp;"")</f>
        <v/>
      </c>
      <c r="D2097">
        <f>IF($Q2097="","",INDEX(상세표[직위],$Q2097)&amp;"")</f>
        <v/>
      </c>
      <c r="E2097">
        <f>IF($Q2097="","",IF(ISNUMBER(INDEX(상세표[근무일자],$Q2097)),TEXT(INDEX(상세표[근무일자],$Q2097),"yyyy-mm-dd"),INDEX(상세표[근무일자],$Q2097)&amp;""))</f>
        <v/>
      </c>
      <c r="F2097">
        <f>IF($Q2097="","",IF(ISNUMBER(INDEX(상세표[시작],$Q2097)),TEXT(INDEX(상세표[시작],$Q2097),"yyyy-mm-dd hh:mm"),INDEX(상세표[시작],$Q2097)&amp;""))</f>
        <v/>
      </c>
      <c r="G2097">
        <f>IF($Q2097="","",IF(ISNUMBER(INDEX(상세표[블록종료],$Q2097)),TEXT(INDEX(상세표[블록종료],$Q2097),"yyyy-mm-dd hh:mm"),INDEX(상세표[블록종료],$Q2097)&amp;""))</f>
        <v/>
      </c>
      <c r="H2097">
        <f>IF($Q2097="","",CHOOSE(WEEKDAY(INDEX(상세표[시작],$Q2097)),"일","월","화","수","목","금","토"))</f>
        <v/>
      </c>
      <c r="I2097" s="20">
        <f>IF($Q2097="","",INDEX(상세표[연속 시간],$Q2097))</f>
        <v/>
      </c>
      <c r="J2097">
        <f>IF($Q2097="","",INDEX(상세표[기록 수],$Q2097))</f>
        <v/>
      </c>
      <c r="K2097" s="20">
        <f>IF($Q2097="","",INDEX(상세표[블록 06~07시],$Q2097))</f>
        <v/>
      </c>
      <c r="L2097" s="20">
        <f>IF($Q2097="","",INDEX(상세표[블록 07~18시],$Q2097))</f>
        <v/>
      </c>
      <c r="M2097" s="20">
        <f>IF($Q2097="","",INDEX(상세표[블록 18~22시],$Q2097))</f>
        <v/>
      </c>
      <c r="N2097" s="20">
        <f>IF($Q2097="","",INDEX(상세표[블록 22~06시],$Q2097))</f>
        <v/>
      </c>
      <c r="O2097">
        <f>IF($Q2097="","",INDEX(상세표[주말·휴일 포함],$Q2097)&amp;"")</f>
        <v/>
      </c>
      <c r="P2097">
        <f>IF($Q2097="","",INDEX(상세표[월 넘김 포함],$Q2097)&amp;"")</f>
        <v/>
      </c>
      <c r="Q2097" s="4">
        <f>IFERROR(MATCH(2092,상세표[연속순번],0),"")</f>
        <v/>
      </c>
    </row>
    <row r="2098">
      <c r="A2098">
        <f>IF($Q2098="","",INDEX(상세표[부서],$Q2098)&amp;"")</f>
        <v/>
      </c>
      <c r="B2098">
        <f>IF($Q2098="","",INDEX(상세표[사번],$Q2098)&amp;"")</f>
        <v/>
      </c>
      <c r="C2098">
        <f>IF($Q2098="","",INDEX(상세표[성명],$Q2098)&amp;"")</f>
        <v/>
      </c>
      <c r="D2098">
        <f>IF($Q2098="","",INDEX(상세표[직위],$Q2098)&amp;"")</f>
        <v/>
      </c>
      <c r="E2098">
        <f>IF($Q2098="","",IF(ISNUMBER(INDEX(상세표[근무일자],$Q2098)),TEXT(INDEX(상세표[근무일자],$Q2098),"yyyy-mm-dd"),INDEX(상세표[근무일자],$Q2098)&amp;""))</f>
        <v/>
      </c>
      <c r="F2098">
        <f>IF($Q2098="","",IF(ISNUMBER(INDEX(상세표[시작],$Q2098)),TEXT(INDEX(상세표[시작],$Q2098),"yyyy-mm-dd hh:mm"),INDEX(상세표[시작],$Q2098)&amp;""))</f>
        <v/>
      </c>
      <c r="G2098">
        <f>IF($Q2098="","",IF(ISNUMBER(INDEX(상세표[블록종료],$Q2098)),TEXT(INDEX(상세표[블록종료],$Q2098),"yyyy-mm-dd hh:mm"),INDEX(상세표[블록종료],$Q2098)&amp;""))</f>
        <v/>
      </c>
      <c r="H2098">
        <f>IF($Q2098="","",CHOOSE(WEEKDAY(INDEX(상세표[시작],$Q2098)),"일","월","화","수","목","금","토"))</f>
        <v/>
      </c>
      <c r="I2098" s="20">
        <f>IF($Q2098="","",INDEX(상세표[연속 시간],$Q2098))</f>
        <v/>
      </c>
      <c r="J2098">
        <f>IF($Q2098="","",INDEX(상세표[기록 수],$Q2098))</f>
        <v/>
      </c>
      <c r="K2098" s="20">
        <f>IF($Q2098="","",INDEX(상세표[블록 06~07시],$Q2098))</f>
        <v/>
      </c>
      <c r="L2098" s="20">
        <f>IF($Q2098="","",INDEX(상세표[블록 07~18시],$Q2098))</f>
        <v/>
      </c>
      <c r="M2098" s="20">
        <f>IF($Q2098="","",INDEX(상세표[블록 18~22시],$Q2098))</f>
        <v/>
      </c>
      <c r="N2098" s="20">
        <f>IF($Q2098="","",INDEX(상세표[블록 22~06시],$Q2098))</f>
        <v/>
      </c>
      <c r="O2098">
        <f>IF($Q2098="","",INDEX(상세표[주말·휴일 포함],$Q2098)&amp;"")</f>
        <v/>
      </c>
      <c r="P2098">
        <f>IF($Q2098="","",INDEX(상세표[월 넘김 포함],$Q2098)&amp;"")</f>
        <v/>
      </c>
      <c r="Q2098" s="4">
        <f>IFERROR(MATCH(2093,상세표[연속순번],0),"")</f>
        <v/>
      </c>
    </row>
    <row r="2099">
      <c r="A2099">
        <f>IF($Q2099="","",INDEX(상세표[부서],$Q2099)&amp;"")</f>
        <v/>
      </c>
      <c r="B2099">
        <f>IF($Q2099="","",INDEX(상세표[사번],$Q2099)&amp;"")</f>
        <v/>
      </c>
      <c r="C2099">
        <f>IF($Q2099="","",INDEX(상세표[성명],$Q2099)&amp;"")</f>
        <v/>
      </c>
      <c r="D2099">
        <f>IF($Q2099="","",INDEX(상세표[직위],$Q2099)&amp;"")</f>
        <v/>
      </c>
      <c r="E2099">
        <f>IF($Q2099="","",IF(ISNUMBER(INDEX(상세표[근무일자],$Q2099)),TEXT(INDEX(상세표[근무일자],$Q2099),"yyyy-mm-dd"),INDEX(상세표[근무일자],$Q2099)&amp;""))</f>
        <v/>
      </c>
      <c r="F2099">
        <f>IF($Q2099="","",IF(ISNUMBER(INDEX(상세표[시작],$Q2099)),TEXT(INDEX(상세표[시작],$Q2099),"yyyy-mm-dd hh:mm"),INDEX(상세표[시작],$Q2099)&amp;""))</f>
        <v/>
      </c>
      <c r="G2099">
        <f>IF($Q2099="","",IF(ISNUMBER(INDEX(상세표[블록종료],$Q2099)),TEXT(INDEX(상세표[블록종료],$Q2099),"yyyy-mm-dd hh:mm"),INDEX(상세표[블록종료],$Q2099)&amp;""))</f>
        <v/>
      </c>
      <c r="H2099">
        <f>IF($Q2099="","",CHOOSE(WEEKDAY(INDEX(상세표[시작],$Q2099)),"일","월","화","수","목","금","토"))</f>
        <v/>
      </c>
      <c r="I2099" s="20">
        <f>IF($Q2099="","",INDEX(상세표[연속 시간],$Q2099))</f>
        <v/>
      </c>
      <c r="J2099">
        <f>IF($Q2099="","",INDEX(상세표[기록 수],$Q2099))</f>
        <v/>
      </c>
      <c r="K2099" s="20">
        <f>IF($Q2099="","",INDEX(상세표[블록 06~07시],$Q2099))</f>
        <v/>
      </c>
      <c r="L2099" s="20">
        <f>IF($Q2099="","",INDEX(상세표[블록 07~18시],$Q2099))</f>
        <v/>
      </c>
      <c r="M2099" s="20">
        <f>IF($Q2099="","",INDEX(상세표[블록 18~22시],$Q2099))</f>
        <v/>
      </c>
      <c r="N2099" s="20">
        <f>IF($Q2099="","",INDEX(상세표[블록 22~06시],$Q2099))</f>
        <v/>
      </c>
      <c r="O2099">
        <f>IF($Q2099="","",INDEX(상세표[주말·휴일 포함],$Q2099)&amp;"")</f>
        <v/>
      </c>
      <c r="P2099">
        <f>IF($Q2099="","",INDEX(상세표[월 넘김 포함],$Q2099)&amp;"")</f>
        <v/>
      </c>
      <c r="Q2099" s="4">
        <f>IFERROR(MATCH(2094,상세표[연속순번],0),"")</f>
        <v/>
      </c>
    </row>
    <row r="2100">
      <c r="A2100">
        <f>IF($Q2100="","",INDEX(상세표[부서],$Q2100)&amp;"")</f>
        <v/>
      </c>
      <c r="B2100">
        <f>IF($Q2100="","",INDEX(상세표[사번],$Q2100)&amp;"")</f>
        <v/>
      </c>
      <c r="C2100">
        <f>IF($Q2100="","",INDEX(상세표[성명],$Q2100)&amp;"")</f>
        <v/>
      </c>
      <c r="D2100">
        <f>IF($Q2100="","",INDEX(상세표[직위],$Q2100)&amp;"")</f>
        <v/>
      </c>
      <c r="E2100">
        <f>IF($Q2100="","",IF(ISNUMBER(INDEX(상세표[근무일자],$Q2100)),TEXT(INDEX(상세표[근무일자],$Q2100),"yyyy-mm-dd"),INDEX(상세표[근무일자],$Q2100)&amp;""))</f>
        <v/>
      </c>
      <c r="F2100">
        <f>IF($Q2100="","",IF(ISNUMBER(INDEX(상세표[시작],$Q2100)),TEXT(INDEX(상세표[시작],$Q2100),"yyyy-mm-dd hh:mm"),INDEX(상세표[시작],$Q2100)&amp;""))</f>
        <v/>
      </c>
      <c r="G2100">
        <f>IF($Q2100="","",IF(ISNUMBER(INDEX(상세표[블록종료],$Q2100)),TEXT(INDEX(상세표[블록종료],$Q2100),"yyyy-mm-dd hh:mm"),INDEX(상세표[블록종료],$Q2100)&amp;""))</f>
        <v/>
      </c>
      <c r="H2100">
        <f>IF($Q2100="","",CHOOSE(WEEKDAY(INDEX(상세표[시작],$Q2100)),"일","월","화","수","목","금","토"))</f>
        <v/>
      </c>
      <c r="I2100" s="20">
        <f>IF($Q2100="","",INDEX(상세표[연속 시간],$Q2100))</f>
        <v/>
      </c>
      <c r="J2100">
        <f>IF($Q2100="","",INDEX(상세표[기록 수],$Q2100))</f>
        <v/>
      </c>
      <c r="K2100" s="20">
        <f>IF($Q2100="","",INDEX(상세표[블록 06~07시],$Q2100))</f>
        <v/>
      </c>
      <c r="L2100" s="20">
        <f>IF($Q2100="","",INDEX(상세표[블록 07~18시],$Q2100))</f>
        <v/>
      </c>
      <c r="M2100" s="20">
        <f>IF($Q2100="","",INDEX(상세표[블록 18~22시],$Q2100))</f>
        <v/>
      </c>
      <c r="N2100" s="20">
        <f>IF($Q2100="","",INDEX(상세표[블록 22~06시],$Q2100))</f>
        <v/>
      </c>
      <c r="O2100">
        <f>IF($Q2100="","",INDEX(상세표[주말·휴일 포함],$Q2100)&amp;"")</f>
        <v/>
      </c>
      <c r="P2100">
        <f>IF($Q2100="","",INDEX(상세표[월 넘김 포함],$Q2100)&amp;"")</f>
        <v/>
      </c>
      <c r="Q2100" s="4">
        <f>IFERROR(MATCH(2095,상세표[연속순번],0),"")</f>
        <v/>
      </c>
    </row>
    <row r="2101">
      <c r="A2101">
        <f>IF($Q2101="","",INDEX(상세표[부서],$Q2101)&amp;"")</f>
        <v/>
      </c>
      <c r="B2101">
        <f>IF($Q2101="","",INDEX(상세표[사번],$Q2101)&amp;"")</f>
        <v/>
      </c>
      <c r="C2101">
        <f>IF($Q2101="","",INDEX(상세표[성명],$Q2101)&amp;"")</f>
        <v/>
      </c>
      <c r="D2101">
        <f>IF($Q2101="","",INDEX(상세표[직위],$Q2101)&amp;"")</f>
        <v/>
      </c>
      <c r="E2101">
        <f>IF($Q2101="","",IF(ISNUMBER(INDEX(상세표[근무일자],$Q2101)),TEXT(INDEX(상세표[근무일자],$Q2101),"yyyy-mm-dd"),INDEX(상세표[근무일자],$Q2101)&amp;""))</f>
        <v/>
      </c>
      <c r="F2101">
        <f>IF($Q2101="","",IF(ISNUMBER(INDEX(상세표[시작],$Q2101)),TEXT(INDEX(상세표[시작],$Q2101),"yyyy-mm-dd hh:mm"),INDEX(상세표[시작],$Q2101)&amp;""))</f>
        <v/>
      </c>
      <c r="G2101">
        <f>IF($Q2101="","",IF(ISNUMBER(INDEX(상세표[블록종료],$Q2101)),TEXT(INDEX(상세표[블록종료],$Q2101),"yyyy-mm-dd hh:mm"),INDEX(상세표[블록종료],$Q2101)&amp;""))</f>
        <v/>
      </c>
      <c r="H2101">
        <f>IF($Q2101="","",CHOOSE(WEEKDAY(INDEX(상세표[시작],$Q2101)),"일","월","화","수","목","금","토"))</f>
        <v/>
      </c>
      <c r="I2101" s="20">
        <f>IF($Q2101="","",INDEX(상세표[연속 시간],$Q2101))</f>
        <v/>
      </c>
      <c r="J2101">
        <f>IF($Q2101="","",INDEX(상세표[기록 수],$Q2101))</f>
        <v/>
      </c>
      <c r="K2101" s="20">
        <f>IF($Q2101="","",INDEX(상세표[블록 06~07시],$Q2101))</f>
        <v/>
      </c>
      <c r="L2101" s="20">
        <f>IF($Q2101="","",INDEX(상세표[블록 07~18시],$Q2101))</f>
        <v/>
      </c>
      <c r="M2101" s="20">
        <f>IF($Q2101="","",INDEX(상세표[블록 18~22시],$Q2101))</f>
        <v/>
      </c>
      <c r="N2101" s="20">
        <f>IF($Q2101="","",INDEX(상세표[블록 22~06시],$Q2101))</f>
        <v/>
      </c>
      <c r="O2101">
        <f>IF($Q2101="","",INDEX(상세표[주말·휴일 포함],$Q2101)&amp;"")</f>
        <v/>
      </c>
      <c r="P2101">
        <f>IF($Q2101="","",INDEX(상세표[월 넘김 포함],$Q2101)&amp;"")</f>
        <v/>
      </c>
      <c r="Q2101" s="4">
        <f>IFERROR(MATCH(2096,상세표[연속순번],0),"")</f>
        <v/>
      </c>
    </row>
    <row r="2102">
      <c r="A2102">
        <f>IF($Q2102="","",INDEX(상세표[부서],$Q2102)&amp;"")</f>
        <v/>
      </c>
      <c r="B2102">
        <f>IF($Q2102="","",INDEX(상세표[사번],$Q2102)&amp;"")</f>
        <v/>
      </c>
      <c r="C2102">
        <f>IF($Q2102="","",INDEX(상세표[성명],$Q2102)&amp;"")</f>
        <v/>
      </c>
      <c r="D2102">
        <f>IF($Q2102="","",INDEX(상세표[직위],$Q2102)&amp;"")</f>
        <v/>
      </c>
      <c r="E2102">
        <f>IF($Q2102="","",IF(ISNUMBER(INDEX(상세표[근무일자],$Q2102)),TEXT(INDEX(상세표[근무일자],$Q2102),"yyyy-mm-dd"),INDEX(상세표[근무일자],$Q2102)&amp;""))</f>
        <v/>
      </c>
      <c r="F2102">
        <f>IF($Q2102="","",IF(ISNUMBER(INDEX(상세표[시작],$Q2102)),TEXT(INDEX(상세표[시작],$Q2102),"yyyy-mm-dd hh:mm"),INDEX(상세표[시작],$Q2102)&amp;""))</f>
        <v/>
      </c>
      <c r="G2102">
        <f>IF($Q2102="","",IF(ISNUMBER(INDEX(상세표[블록종료],$Q2102)),TEXT(INDEX(상세표[블록종료],$Q2102),"yyyy-mm-dd hh:mm"),INDEX(상세표[블록종료],$Q2102)&amp;""))</f>
        <v/>
      </c>
      <c r="H2102">
        <f>IF($Q2102="","",CHOOSE(WEEKDAY(INDEX(상세표[시작],$Q2102)),"일","월","화","수","목","금","토"))</f>
        <v/>
      </c>
      <c r="I2102" s="20">
        <f>IF($Q2102="","",INDEX(상세표[연속 시간],$Q2102))</f>
        <v/>
      </c>
      <c r="J2102">
        <f>IF($Q2102="","",INDEX(상세표[기록 수],$Q2102))</f>
        <v/>
      </c>
      <c r="K2102" s="20">
        <f>IF($Q2102="","",INDEX(상세표[블록 06~07시],$Q2102))</f>
        <v/>
      </c>
      <c r="L2102" s="20">
        <f>IF($Q2102="","",INDEX(상세표[블록 07~18시],$Q2102))</f>
        <v/>
      </c>
      <c r="M2102" s="20">
        <f>IF($Q2102="","",INDEX(상세표[블록 18~22시],$Q2102))</f>
        <v/>
      </c>
      <c r="N2102" s="20">
        <f>IF($Q2102="","",INDEX(상세표[블록 22~06시],$Q2102))</f>
        <v/>
      </c>
      <c r="O2102">
        <f>IF($Q2102="","",INDEX(상세표[주말·휴일 포함],$Q2102)&amp;"")</f>
        <v/>
      </c>
      <c r="P2102">
        <f>IF($Q2102="","",INDEX(상세표[월 넘김 포함],$Q2102)&amp;"")</f>
        <v/>
      </c>
      <c r="Q2102" s="4">
        <f>IFERROR(MATCH(2097,상세표[연속순번],0),"")</f>
        <v/>
      </c>
    </row>
    <row r="2103">
      <c r="A2103">
        <f>IF($Q2103="","",INDEX(상세표[부서],$Q2103)&amp;"")</f>
        <v/>
      </c>
      <c r="B2103">
        <f>IF($Q2103="","",INDEX(상세표[사번],$Q2103)&amp;"")</f>
        <v/>
      </c>
      <c r="C2103">
        <f>IF($Q2103="","",INDEX(상세표[성명],$Q2103)&amp;"")</f>
        <v/>
      </c>
      <c r="D2103">
        <f>IF($Q2103="","",INDEX(상세표[직위],$Q2103)&amp;"")</f>
        <v/>
      </c>
      <c r="E2103">
        <f>IF($Q2103="","",IF(ISNUMBER(INDEX(상세표[근무일자],$Q2103)),TEXT(INDEX(상세표[근무일자],$Q2103),"yyyy-mm-dd"),INDEX(상세표[근무일자],$Q2103)&amp;""))</f>
        <v/>
      </c>
      <c r="F2103">
        <f>IF($Q2103="","",IF(ISNUMBER(INDEX(상세표[시작],$Q2103)),TEXT(INDEX(상세표[시작],$Q2103),"yyyy-mm-dd hh:mm"),INDEX(상세표[시작],$Q2103)&amp;""))</f>
        <v/>
      </c>
      <c r="G2103">
        <f>IF($Q2103="","",IF(ISNUMBER(INDEX(상세표[블록종료],$Q2103)),TEXT(INDEX(상세표[블록종료],$Q2103),"yyyy-mm-dd hh:mm"),INDEX(상세표[블록종료],$Q2103)&amp;""))</f>
        <v/>
      </c>
      <c r="H2103">
        <f>IF($Q2103="","",CHOOSE(WEEKDAY(INDEX(상세표[시작],$Q2103)),"일","월","화","수","목","금","토"))</f>
        <v/>
      </c>
      <c r="I2103" s="20">
        <f>IF($Q2103="","",INDEX(상세표[연속 시간],$Q2103))</f>
        <v/>
      </c>
      <c r="J2103">
        <f>IF($Q2103="","",INDEX(상세표[기록 수],$Q2103))</f>
        <v/>
      </c>
      <c r="K2103" s="20">
        <f>IF($Q2103="","",INDEX(상세표[블록 06~07시],$Q2103))</f>
        <v/>
      </c>
      <c r="L2103" s="20">
        <f>IF($Q2103="","",INDEX(상세표[블록 07~18시],$Q2103))</f>
        <v/>
      </c>
      <c r="M2103" s="20">
        <f>IF($Q2103="","",INDEX(상세표[블록 18~22시],$Q2103))</f>
        <v/>
      </c>
      <c r="N2103" s="20">
        <f>IF($Q2103="","",INDEX(상세표[블록 22~06시],$Q2103))</f>
        <v/>
      </c>
      <c r="O2103">
        <f>IF($Q2103="","",INDEX(상세표[주말·휴일 포함],$Q2103)&amp;"")</f>
        <v/>
      </c>
      <c r="P2103">
        <f>IF($Q2103="","",INDEX(상세표[월 넘김 포함],$Q2103)&amp;"")</f>
        <v/>
      </c>
      <c r="Q2103" s="4">
        <f>IFERROR(MATCH(2098,상세표[연속순번],0),"")</f>
        <v/>
      </c>
    </row>
    <row r="2104">
      <c r="A2104">
        <f>IF($Q2104="","",INDEX(상세표[부서],$Q2104)&amp;"")</f>
        <v/>
      </c>
      <c r="B2104">
        <f>IF($Q2104="","",INDEX(상세표[사번],$Q2104)&amp;"")</f>
        <v/>
      </c>
      <c r="C2104">
        <f>IF($Q2104="","",INDEX(상세표[성명],$Q2104)&amp;"")</f>
        <v/>
      </c>
      <c r="D2104">
        <f>IF($Q2104="","",INDEX(상세표[직위],$Q2104)&amp;"")</f>
        <v/>
      </c>
      <c r="E2104">
        <f>IF($Q2104="","",IF(ISNUMBER(INDEX(상세표[근무일자],$Q2104)),TEXT(INDEX(상세표[근무일자],$Q2104),"yyyy-mm-dd"),INDEX(상세표[근무일자],$Q2104)&amp;""))</f>
        <v/>
      </c>
      <c r="F2104">
        <f>IF($Q2104="","",IF(ISNUMBER(INDEX(상세표[시작],$Q2104)),TEXT(INDEX(상세표[시작],$Q2104),"yyyy-mm-dd hh:mm"),INDEX(상세표[시작],$Q2104)&amp;""))</f>
        <v/>
      </c>
      <c r="G2104">
        <f>IF($Q2104="","",IF(ISNUMBER(INDEX(상세표[블록종료],$Q2104)),TEXT(INDEX(상세표[블록종료],$Q2104),"yyyy-mm-dd hh:mm"),INDEX(상세표[블록종료],$Q2104)&amp;""))</f>
        <v/>
      </c>
      <c r="H2104">
        <f>IF($Q2104="","",CHOOSE(WEEKDAY(INDEX(상세표[시작],$Q2104)),"일","월","화","수","목","금","토"))</f>
        <v/>
      </c>
      <c r="I2104" s="20">
        <f>IF($Q2104="","",INDEX(상세표[연속 시간],$Q2104))</f>
        <v/>
      </c>
      <c r="J2104">
        <f>IF($Q2104="","",INDEX(상세표[기록 수],$Q2104))</f>
        <v/>
      </c>
      <c r="K2104" s="20">
        <f>IF($Q2104="","",INDEX(상세표[블록 06~07시],$Q2104))</f>
        <v/>
      </c>
      <c r="L2104" s="20">
        <f>IF($Q2104="","",INDEX(상세표[블록 07~18시],$Q2104))</f>
        <v/>
      </c>
      <c r="M2104" s="20">
        <f>IF($Q2104="","",INDEX(상세표[블록 18~22시],$Q2104))</f>
        <v/>
      </c>
      <c r="N2104" s="20">
        <f>IF($Q2104="","",INDEX(상세표[블록 22~06시],$Q2104))</f>
        <v/>
      </c>
      <c r="O2104">
        <f>IF($Q2104="","",INDEX(상세표[주말·휴일 포함],$Q2104)&amp;"")</f>
        <v/>
      </c>
      <c r="P2104">
        <f>IF($Q2104="","",INDEX(상세표[월 넘김 포함],$Q2104)&amp;"")</f>
        <v/>
      </c>
      <c r="Q2104" s="4">
        <f>IFERROR(MATCH(2099,상세표[연속순번],0),"")</f>
        <v/>
      </c>
    </row>
    <row r="2105">
      <c r="A2105">
        <f>IF($Q2105="","",INDEX(상세표[부서],$Q2105)&amp;"")</f>
        <v/>
      </c>
      <c r="B2105">
        <f>IF($Q2105="","",INDEX(상세표[사번],$Q2105)&amp;"")</f>
        <v/>
      </c>
      <c r="C2105">
        <f>IF($Q2105="","",INDEX(상세표[성명],$Q2105)&amp;"")</f>
        <v/>
      </c>
      <c r="D2105">
        <f>IF($Q2105="","",INDEX(상세표[직위],$Q2105)&amp;"")</f>
        <v/>
      </c>
      <c r="E2105">
        <f>IF($Q2105="","",IF(ISNUMBER(INDEX(상세표[근무일자],$Q2105)),TEXT(INDEX(상세표[근무일자],$Q2105),"yyyy-mm-dd"),INDEX(상세표[근무일자],$Q2105)&amp;""))</f>
        <v/>
      </c>
      <c r="F2105">
        <f>IF($Q2105="","",IF(ISNUMBER(INDEX(상세표[시작],$Q2105)),TEXT(INDEX(상세표[시작],$Q2105),"yyyy-mm-dd hh:mm"),INDEX(상세표[시작],$Q2105)&amp;""))</f>
        <v/>
      </c>
      <c r="G2105">
        <f>IF($Q2105="","",IF(ISNUMBER(INDEX(상세표[블록종료],$Q2105)),TEXT(INDEX(상세표[블록종료],$Q2105),"yyyy-mm-dd hh:mm"),INDEX(상세표[블록종료],$Q2105)&amp;""))</f>
        <v/>
      </c>
      <c r="H2105">
        <f>IF($Q2105="","",CHOOSE(WEEKDAY(INDEX(상세표[시작],$Q2105)),"일","월","화","수","목","금","토"))</f>
        <v/>
      </c>
      <c r="I2105" s="20">
        <f>IF($Q2105="","",INDEX(상세표[연속 시간],$Q2105))</f>
        <v/>
      </c>
      <c r="J2105">
        <f>IF($Q2105="","",INDEX(상세표[기록 수],$Q2105))</f>
        <v/>
      </c>
      <c r="K2105" s="20">
        <f>IF($Q2105="","",INDEX(상세표[블록 06~07시],$Q2105))</f>
        <v/>
      </c>
      <c r="L2105" s="20">
        <f>IF($Q2105="","",INDEX(상세표[블록 07~18시],$Q2105))</f>
        <v/>
      </c>
      <c r="M2105" s="20">
        <f>IF($Q2105="","",INDEX(상세표[블록 18~22시],$Q2105))</f>
        <v/>
      </c>
      <c r="N2105" s="20">
        <f>IF($Q2105="","",INDEX(상세표[블록 22~06시],$Q2105))</f>
        <v/>
      </c>
      <c r="O2105">
        <f>IF($Q2105="","",INDEX(상세표[주말·휴일 포함],$Q2105)&amp;"")</f>
        <v/>
      </c>
      <c r="P2105">
        <f>IF($Q2105="","",INDEX(상세표[월 넘김 포함],$Q2105)&amp;"")</f>
        <v/>
      </c>
      <c r="Q2105" s="4">
        <f>IFERROR(MATCH(2100,상세표[연속순번],0),"")</f>
        <v/>
      </c>
    </row>
    <row r="2106">
      <c r="A2106">
        <f>IF($Q2106="","",INDEX(상세표[부서],$Q2106)&amp;"")</f>
        <v/>
      </c>
      <c r="B2106">
        <f>IF($Q2106="","",INDEX(상세표[사번],$Q2106)&amp;"")</f>
        <v/>
      </c>
      <c r="C2106">
        <f>IF($Q2106="","",INDEX(상세표[성명],$Q2106)&amp;"")</f>
        <v/>
      </c>
      <c r="D2106">
        <f>IF($Q2106="","",INDEX(상세표[직위],$Q2106)&amp;"")</f>
        <v/>
      </c>
      <c r="E2106">
        <f>IF($Q2106="","",IF(ISNUMBER(INDEX(상세표[근무일자],$Q2106)),TEXT(INDEX(상세표[근무일자],$Q2106),"yyyy-mm-dd"),INDEX(상세표[근무일자],$Q2106)&amp;""))</f>
        <v/>
      </c>
      <c r="F2106">
        <f>IF($Q2106="","",IF(ISNUMBER(INDEX(상세표[시작],$Q2106)),TEXT(INDEX(상세표[시작],$Q2106),"yyyy-mm-dd hh:mm"),INDEX(상세표[시작],$Q2106)&amp;""))</f>
        <v/>
      </c>
      <c r="G2106">
        <f>IF($Q2106="","",IF(ISNUMBER(INDEX(상세표[블록종료],$Q2106)),TEXT(INDEX(상세표[블록종료],$Q2106),"yyyy-mm-dd hh:mm"),INDEX(상세표[블록종료],$Q2106)&amp;""))</f>
        <v/>
      </c>
      <c r="H2106">
        <f>IF($Q2106="","",CHOOSE(WEEKDAY(INDEX(상세표[시작],$Q2106)),"일","월","화","수","목","금","토"))</f>
        <v/>
      </c>
      <c r="I2106" s="20">
        <f>IF($Q2106="","",INDEX(상세표[연속 시간],$Q2106))</f>
        <v/>
      </c>
      <c r="J2106">
        <f>IF($Q2106="","",INDEX(상세표[기록 수],$Q2106))</f>
        <v/>
      </c>
      <c r="K2106" s="20">
        <f>IF($Q2106="","",INDEX(상세표[블록 06~07시],$Q2106))</f>
        <v/>
      </c>
      <c r="L2106" s="20">
        <f>IF($Q2106="","",INDEX(상세표[블록 07~18시],$Q2106))</f>
        <v/>
      </c>
      <c r="M2106" s="20">
        <f>IF($Q2106="","",INDEX(상세표[블록 18~22시],$Q2106))</f>
        <v/>
      </c>
      <c r="N2106" s="20">
        <f>IF($Q2106="","",INDEX(상세표[블록 22~06시],$Q2106))</f>
        <v/>
      </c>
      <c r="O2106">
        <f>IF($Q2106="","",INDEX(상세표[주말·휴일 포함],$Q2106)&amp;"")</f>
        <v/>
      </c>
      <c r="P2106">
        <f>IF($Q2106="","",INDEX(상세표[월 넘김 포함],$Q2106)&amp;"")</f>
        <v/>
      </c>
      <c r="Q2106" s="4">
        <f>IFERROR(MATCH(2101,상세표[연속순번],0),"")</f>
        <v/>
      </c>
    </row>
    <row r="2107">
      <c r="A2107">
        <f>IF($Q2107="","",INDEX(상세표[부서],$Q2107)&amp;"")</f>
        <v/>
      </c>
      <c r="B2107">
        <f>IF($Q2107="","",INDEX(상세표[사번],$Q2107)&amp;"")</f>
        <v/>
      </c>
      <c r="C2107">
        <f>IF($Q2107="","",INDEX(상세표[성명],$Q2107)&amp;"")</f>
        <v/>
      </c>
      <c r="D2107">
        <f>IF($Q2107="","",INDEX(상세표[직위],$Q2107)&amp;"")</f>
        <v/>
      </c>
      <c r="E2107">
        <f>IF($Q2107="","",IF(ISNUMBER(INDEX(상세표[근무일자],$Q2107)),TEXT(INDEX(상세표[근무일자],$Q2107),"yyyy-mm-dd"),INDEX(상세표[근무일자],$Q2107)&amp;""))</f>
        <v/>
      </c>
      <c r="F2107">
        <f>IF($Q2107="","",IF(ISNUMBER(INDEX(상세표[시작],$Q2107)),TEXT(INDEX(상세표[시작],$Q2107),"yyyy-mm-dd hh:mm"),INDEX(상세표[시작],$Q2107)&amp;""))</f>
        <v/>
      </c>
      <c r="G2107">
        <f>IF($Q2107="","",IF(ISNUMBER(INDEX(상세표[블록종료],$Q2107)),TEXT(INDEX(상세표[블록종료],$Q2107),"yyyy-mm-dd hh:mm"),INDEX(상세표[블록종료],$Q2107)&amp;""))</f>
        <v/>
      </c>
      <c r="H2107">
        <f>IF($Q2107="","",CHOOSE(WEEKDAY(INDEX(상세표[시작],$Q2107)),"일","월","화","수","목","금","토"))</f>
        <v/>
      </c>
      <c r="I2107" s="20">
        <f>IF($Q2107="","",INDEX(상세표[연속 시간],$Q2107))</f>
        <v/>
      </c>
      <c r="J2107">
        <f>IF($Q2107="","",INDEX(상세표[기록 수],$Q2107))</f>
        <v/>
      </c>
      <c r="K2107" s="20">
        <f>IF($Q2107="","",INDEX(상세표[블록 06~07시],$Q2107))</f>
        <v/>
      </c>
      <c r="L2107" s="20">
        <f>IF($Q2107="","",INDEX(상세표[블록 07~18시],$Q2107))</f>
        <v/>
      </c>
      <c r="M2107" s="20">
        <f>IF($Q2107="","",INDEX(상세표[블록 18~22시],$Q2107))</f>
        <v/>
      </c>
      <c r="N2107" s="20">
        <f>IF($Q2107="","",INDEX(상세표[블록 22~06시],$Q2107))</f>
        <v/>
      </c>
      <c r="O2107">
        <f>IF($Q2107="","",INDEX(상세표[주말·휴일 포함],$Q2107)&amp;"")</f>
        <v/>
      </c>
      <c r="P2107">
        <f>IF($Q2107="","",INDEX(상세표[월 넘김 포함],$Q2107)&amp;"")</f>
        <v/>
      </c>
      <c r="Q2107" s="4">
        <f>IFERROR(MATCH(2102,상세표[연속순번],0),"")</f>
        <v/>
      </c>
    </row>
    <row r="2108">
      <c r="A2108">
        <f>IF($Q2108="","",INDEX(상세표[부서],$Q2108)&amp;"")</f>
        <v/>
      </c>
      <c r="B2108">
        <f>IF($Q2108="","",INDEX(상세표[사번],$Q2108)&amp;"")</f>
        <v/>
      </c>
      <c r="C2108">
        <f>IF($Q2108="","",INDEX(상세표[성명],$Q2108)&amp;"")</f>
        <v/>
      </c>
      <c r="D2108">
        <f>IF($Q2108="","",INDEX(상세표[직위],$Q2108)&amp;"")</f>
        <v/>
      </c>
      <c r="E2108">
        <f>IF($Q2108="","",IF(ISNUMBER(INDEX(상세표[근무일자],$Q2108)),TEXT(INDEX(상세표[근무일자],$Q2108),"yyyy-mm-dd"),INDEX(상세표[근무일자],$Q2108)&amp;""))</f>
        <v/>
      </c>
      <c r="F2108">
        <f>IF($Q2108="","",IF(ISNUMBER(INDEX(상세표[시작],$Q2108)),TEXT(INDEX(상세표[시작],$Q2108),"yyyy-mm-dd hh:mm"),INDEX(상세표[시작],$Q2108)&amp;""))</f>
        <v/>
      </c>
      <c r="G2108">
        <f>IF($Q2108="","",IF(ISNUMBER(INDEX(상세표[블록종료],$Q2108)),TEXT(INDEX(상세표[블록종료],$Q2108),"yyyy-mm-dd hh:mm"),INDEX(상세표[블록종료],$Q2108)&amp;""))</f>
        <v/>
      </c>
      <c r="H2108">
        <f>IF($Q2108="","",CHOOSE(WEEKDAY(INDEX(상세표[시작],$Q2108)),"일","월","화","수","목","금","토"))</f>
        <v/>
      </c>
      <c r="I2108" s="20">
        <f>IF($Q2108="","",INDEX(상세표[연속 시간],$Q2108))</f>
        <v/>
      </c>
      <c r="J2108">
        <f>IF($Q2108="","",INDEX(상세표[기록 수],$Q2108))</f>
        <v/>
      </c>
      <c r="K2108" s="20">
        <f>IF($Q2108="","",INDEX(상세표[블록 06~07시],$Q2108))</f>
        <v/>
      </c>
      <c r="L2108" s="20">
        <f>IF($Q2108="","",INDEX(상세표[블록 07~18시],$Q2108))</f>
        <v/>
      </c>
      <c r="M2108" s="20">
        <f>IF($Q2108="","",INDEX(상세표[블록 18~22시],$Q2108))</f>
        <v/>
      </c>
      <c r="N2108" s="20">
        <f>IF($Q2108="","",INDEX(상세표[블록 22~06시],$Q2108))</f>
        <v/>
      </c>
      <c r="O2108">
        <f>IF($Q2108="","",INDEX(상세표[주말·휴일 포함],$Q2108)&amp;"")</f>
        <v/>
      </c>
      <c r="P2108">
        <f>IF($Q2108="","",INDEX(상세표[월 넘김 포함],$Q2108)&amp;"")</f>
        <v/>
      </c>
      <c r="Q2108" s="4">
        <f>IFERROR(MATCH(2103,상세표[연속순번],0),"")</f>
        <v/>
      </c>
    </row>
    <row r="2109">
      <c r="A2109">
        <f>IF($Q2109="","",INDEX(상세표[부서],$Q2109)&amp;"")</f>
        <v/>
      </c>
      <c r="B2109">
        <f>IF($Q2109="","",INDEX(상세표[사번],$Q2109)&amp;"")</f>
        <v/>
      </c>
      <c r="C2109">
        <f>IF($Q2109="","",INDEX(상세표[성명],$Q2109)&amp;"")</f>
        <v/>
      </c>
      <c r="D2109">
        <f>IF($Q2109="","",INDEX(상세표[직위],$Q2109)&amp;"")</f>
        <v/>
      </c>
      <c r="E2109">
        <f>IF($Q2109="","",IF(ISNUMBER(INDEX(상세표[근무일자],$Q2109)),TEXT(INDEX(상세표[근무일자],$Q2109),"yyyy-mm-dd"),INDEX(상세표[근무일자],$Q2109)&amp;""))</f>
        <v/>
      </c>
      <c r="F2109">
        <f>IF($Q2109="","",IF(ISNUMBER(INDEX(상세표[시작],$Q2109)),TEXT(INDEX(상세표[시작],$Q2109),"yyyy-mm-dd hh:mm"),INDEX(상세표[시작],$Q2109)&amp;""))</f>
        <v/>
      </c>
      <c r="G2109">
        <f>IF($Q2109="","",IF(ISNUMBER(INDEX(상세표[블록종료],$Q2109)),TEXT(INDEX(상세표[블록종료],$Q2109),"yyyy-mm-dd hh:mm"),INDEX(상세표[블록종료],$Q2109)&amp;""))</f>
        <v/>
      </c>
      <c r="H2109">
        <f>IF($Q2109="","",CHOOSE(WEEKDAY(INDEX(상세표[시작],$Q2109)),"일","월","화","수","목","금","토"))</f>
        <v/>
      </c>
      <c r="I2109" s="20">
        <f>IF($Q2109="","",INDEX(상세표[연속 시간],$Q2109))</f>
        <v/>
      </c>
      <c r="J2109">
        <f>IF($Q2109="","",INDEX(상세표[기록 수],$Q2109))</f>
        <v/>
      </c>
      <c r="K2109" s="20">
        <f>IF($Q2109="","",INDEX(상세표[블록 06~07시],$Q2109))</f>
        <v/>
      </c>
      <c r="L2109" s="20">
        <f>IF($Q2109="","",INDEX(상세표[블록 07~18시],$Q2109))</f>
        <v/>
      </c>
      <c r="M2109" s="20">
        <f>IF($Q2109="","",INDEX(상세표[블록 18~22시],$Q2109))</f>
        <v/>
      </c>
      <c r="N2109" s="20">
        <f>IF($Q2109="","",INDEX(상세표[블록 22~06시],$Q2109))</f>
        <v/>
      </c>
      <c r="O2109">
        <f>IF($Q2109="","",INDEX(상세표[주말·휴일 포함],$Q2109)&amp;"")</f>
        <v/>
      </c>
      <c r="P2109">
        <f>IF($Q2109="","",INDEX(상세표[월 넘김 포함],$Q2109)&amp;"")</f>
        <v/>
      </c>
      <c r="Q2109" s="4">
        <f>IFERROR(MATCH(2104,상세표[연속순번],0),"")</f>
        <v/>
      </c>
    </row>
    <row r="2110">
      <c r="A2110">
        <f>IF($Q2110="","",INDEX(상세표[부서],$Q2110)&amp;"")</f>
        <v/>
      </c>
      <c r="B2110">
        <f>IF($Q2110="","",INDEX(상세표[사번],$Q2110)&amp;"")</f>
        <v/>
      </c>
      <c r="C2110">
        <f>IF($Q2110="","",INDEX(상세표[성명],$Q2110)&amp;"")</f>
        <v/>
      </c>
      <c r="D2110">
        <f>IF($Q2110="","",INDEX(상세표[직위],$Q2110)&amp;"")</f>
        <v/>
      </c>
      <c r="E2110">
        <f>IF($Q2110="","",IF(ISNUMBER(INDEX(상세표[근무일자],$Q2110)),TEXT(INDEX(상세표[근무일자],$Q2110),"yyyy-mm-dd"),INDEX(상세표[근무일자],$Q2110)&amp;""))</f>
        <v/>
      </c>
      <c r="F2110">
        <f>IF($Q2110="","",IF(ISNUMBER(INDEX(상세표[시작],$Q2110)),TEXT(INDEX(상세표[시작],$Q2110),"yyyy-mm-dd hh:mm"),INDEX(상세표[시작],$Q2110)&amp;""))</f>
        <v/>
      </c>
      <c r="G2110">
        <f>IF($Q2110="","",IF(ISNUMBER(INDEX(상세표[블록종료],$Q2110)),TEXT(INDEX(상세표[블록종료],$Q2110),"yyyy-mm-dd hh:mm"),INDEX(상세표[블록종료],$Q2110)&amp;""))</f>
        <v/>
      </c>
      <c r="H2110">
        <f>IF($Q2110="","",CHOOSE(WEEKDAY(INDEX(상세표[시작],$Q2110)),"일","월","화","수","목","금","토"))</f>
        <v/>
      </c>
      <c r="I2110" s="20">
        <f>IF($Q2110="","",INDEX(상세표[연속 시간],$Q2110))</f>
        <v/>
      </c>
      <c r="J2110">
        <f>IF($Q2110="","",INDEX(상세표[기록 수],$Q2110))</f>
        <v/>
      </c>
      <c r="K2110" s="20">
        <f>IF($Q2110="","",INDEX(상세표[블록 06~07시],$Q2110))</f>
        <v/>
      </c>
      <c r="L2110" s="20">
        <f>IF($Q2110="","",INDEX(상세표[블록 07~18시],$Q2110))</f>
        <v/>
      </c>
      <c r="M2110" s="20">
        <f>IF($Q2110="","",INDEX(상세표[블록 18~22시],$Q2110))</f>
        <v/>
      </c>
      <c r="N2110" s="20">
        <f>IF($Q2110="","",INDEX(상세표[블록 22~06시],$Q2110))</f>
        <v/>
      </c>
      <c r="O2110">
        <f>IF($Q2110="","",INDEX(상세표[주말·휴일 포함],$Q2110)&amp;"")</f>
        <v/>
      </c>
      <c r="P2110">
        <f>IF($Q2110="","",INDEX(상세표[월 넘김 포함],$Q2110)&amp;"")</f>
        <v/>
      </c>
      <c r="Q2110" s="4">
        <f>IFERROR(MATCH(2105,상세표[연속순번],0),"")</f>
        <v/>
      </c>
    </row>
    <row r="2111">
      <c r="A2111">
        <f>IF($Q2111="","",INDEX(상세표[부서],$Q2111)&amp;"")</f>
        <v/>
      </c>
      <c r="B2111">
        <f>IF($Q2111="","",INDEX(상세표[사번],$Q2111)&amp;"")</f>
        <v/>
      </c>
      <c r="C2111">
        <f>IF($Q2111="","",INDEX(상세표[성명],$Q2111)&amp;"")</f>
        <v/>
      </c>
      <c r="D2111">
        <f>IF($Q2111="","",INDEX(상세표[직위],$Q2111)&amp;"")</f>
        <v/>
      </c>
      <c r="E2111">
        <f>IF($Q2111="","",IF(ISNUMBER(INDEX(상세표[근무일자],$Q2111)),TEXT(INDEX(상세표[근무일자],$Q2111),"yyyy-mm-dd"),INDEX(상세표[근무일자],$Q2111)&amp;""))</f>
        <v/>
      </c>
      <c r="F2111">
        <f>IF($Q2111="","",IF(ISNUMBER(INDEX(상세표[시작],$Q2111)),TEXT(INDEX(상세표[시작],$Q2111),"yyyy-mm-dd hh:mm"),INDEX(상세표[시작],$Q2111)&amp;""))</f>
        <v/>
      </c>
      <c r="G2111">
        <f>IF($Q2111="","",IF(ISNUMBER(INDEX(상세표[블록종료],$Q2111)),TEXT(INDEX(상세표[블록종료],$Q2111),"yyyy-mm-dd hh:mm"),INDEX(상세표[블록종료],$Q2111)&amp;""))</f>
        <v/>
      </c>
      <c r="H2111">
        <f>IF($Q2111="","",CHOOSE(WEEKDAY(INDEX(상세표[시작],$Q2111)),"일","월","화","수","목","금","토"))</f>
        <v/>
      </c>
      <c r="I2111" s="20">
        <f>IF($Q2111="","",INDEX(상세표[연속 시간],$Q2111))</f>
        <v/>
      </c>
      <c r="J2111">
        <f>IF($Q2111="","",INDEX(상세표[기록 수],$Q2111))</f>
        <v/>
      </c>
      <c r="K2111" s="20">
        <f>IF($Q2111="","",INDEX(상세표[블록 06~07시],$Q2111))</f>
        <v/>
      </c>
      <c r="L2111" s="20">
        <f>IF($Q2111="","",INDEX(상세표[블록 07~18시],$Q2111))</f>
        <v/>
      </c>
      <c r="M2111" s="20">
        <f>IF($Q2111="","",INDEX(상세표[블록 18~22시],$Q2111))</f>
        <v/>
      </c>
      <c r="N2111" s="20">
        <f>IF($Q2111="","",INDEX(상세표[블록 22~06시],$Q2111))</f>
        <v/>
      </c>
      <c r="O2111">
        <f>IF($Q2111="","",INDEX(상세표[주말·휴일 포함],$Q2111)&amp;"")</f>
        <v/>
      </c>
      <c r="P2111">
        <f>IF($Q2111="","",INDEX(상세표[월 넘김 포함],$Q2111)&amp;"")</f>
        <v/>
      </c>
      <c r="Q2111" s="4">
        <f>IFERROR(MATCH(2106,상세표[연속순번],0),"")</f>
        <v/>
      </c>
    </row>
    <row r="2112">
      <c r="A2112">
        <f>IF($Q2112="","",INDEX(상세표[부서],$Q2112)&amp;"")</f>
        <v/>
      </c>
      <c r="B2112">
        <f>IF($Q2112="","",INDEX(상세표[사번],$Q2112)&amp;"")</f>
        <v/>
      </c>
      <c r="C2112">
        <f>IF($Q2112="","",INDEX(상세표[성명],$Q2112)&amp;"")</f>
        <v/>
      </c>
      <c r="D2112">
        <f>IF($Q2112="","",INDEX(상세표[직위],$Q2112)&amp;"")</f>
        <v/>
      </c>
      <c r="E2112">
        <f>IF($Q2112="","",IF(ISNUMBER(INDEX(상세표[근무일자],$Q2112)),TEXT(INDEX(상세표[근무일자],$Q2112),"yyyy-mm-dd"),INDEX(상세표[근무일자],$Q2112)&amp;""))</f>
        <v/>
      </c>
      <c r="F2112">
        <f>IF($Q2112="","",IF(ISNUMBER(INDEX(상세표[시작],$Q2112)),TEXT(INDEX(상세표[시작],$Q2112),"yyyy-mm-dd hh:mm"),INDEX(상세표[시작],$Q2112)&amp;""))</f>
        <v/>
      </c>
      <c r="G2112">
        <f>IF($Q2112="","",IF(ISNUMBER(INDEX(상세표[블록종료],$Q2112)),TEXT(INDEX(상세표[블록종료],$Q2112),"yyyy-mm-dd hh:mm"),INDEX(상세표[블록종료],$Q2112)&amp;""))</f>
        <v/>
      </c>
      <c r="H2112">
        <f>IF($Q2112="","",CHOOSE(WEEKDAY(INDEX(상세표[시작],$Q2112)),"일","월","화","수","목","금","토"))</f>
        <v/>
      </c>
      <c r="I2112" s="20">
        <f>IF($Q2112="","",INDEX(상세표[연속 시간],$Q2112))</f>
        <v/>
      </c>
      <c r="J2112">
        <f>IF($Q2112="","",INDEX(상세표[기록 수],$Q2112))</f>
        <v/>
      </c>
      <c r="K2112" s="20">
        <f>IF($Q2112="","",INDEX(상세표[블록 06~07시],$Q2112))</f>
        <v/>
      </c>
      <c r="L2112" s="20">
        <f>IF($Q2112="","",INDEX(상세표[블록 07~18시],$Q2112))</f>
        <v/>
      </c>
      <c r="M2112" s="20">
        <f>IF($Q2112="","",INDEX(상세표[블록 18~22시],$Q2112))</f>
        <v/>
      </c>
      <c r="N2112" s="20">
        <f>IF($Q2112="","",INDEX(상세표[블록 22~06시],$Q2112))</f>
        <v/>
      </c>
      <c r="O2112">
        <f>IF($Q2112="","",INDEX(상세표[주말·휴일 포함],$Q2112)&amp;"")</f>
        <v/>
      </c>
      <c r="P2112">
        <f>IF($Q2112="","",INDEX(상세표[월 넘김 포함],$Q2112)&amp;"")</f>
        <v/>
      </c>
      <c r="Q2112" s="4">
        <f>IFERROR(MATCH(2107,상세표[연속순번],0),"")</f>
        <v/>
      </c>
    </row>
    <row r="2113">
      <c r="A2113">
        <f>IF($Q2113="","",INDEX(상세표[부서],$Q2113)&amp;"")</f>
        <v/>
      </c>
      <c r="B2113">
        <f>IF($Q2113="","",INDEX(상세표[사번],$Q2113)&amp;"")</f>
        <v/>
      </c>
      <c r="C2113">
        <f>IF($Q2113="","",INDEX(상세표[성명],$Q2113)&amp;"")</f>
        <v/>
      </c>
      <c r="D2113">
        <f>IF($Q2113="","",INDEX(상세표[직위],$Q2113)&amp;"")</f>
        <v/>
      </c>
      <c r="E2113">
        <f>IF($Q2113="","",IF(ISNUMBER(INDEX(상세표[근무일자],$Q2113)),TEXT(INDEX(상세표[근무일자],$Q2113),"yyyy-mm-dd"),INDEX(상세표[근무일자],$Q2113)&amp;""))</f>
        <v/>
      </c>
      <c r="F2113">
        <f>IF($Q2113="","",IF(ISNUMBER(INDEX(상세표[시작],$Q2113)),TEXT(INDEX(상세표[시작],$Q2113),"yyyy-mm-dd hh:mm"),INDEX(상세표[시작],$Q2113)&amp;""))</f>
        <v/>
      </c>
      <c r="G2113">
        <f>IF($Q2113="","",IF(ISNUMBER(INDEX(상세표[블록종료],$Q2113)),TEXT(INDEX(상세표[블록종료],$Q2113),"yyyy-mm-dd hh:mm"),INDEX(상세표[블록종료],$Q2113)&amp;""))</f>
        <v/>
      </c>
      <c r="H2113">
        <f>IF($Q2113="","",CHOOSE(WEEKDAY(INDEX(상세표[시작],$Q2113)),"일","월","화","수","목","금","토"))</f>
        <v/>
      </c>
      <c r="I2113" s="20">
        <f>IF($Q2113="","",INDEX(상세표[연속 시간],$Q2113))</f>
        <v/>
      </c>
      <c r="J2113">
        <f>IF($Q2113="","",INDEX(상세표[기록 수],$Q2113))</f>
        <v/>
      </c>
      <c r="K2113" s="20">
        <f>IF($Q2113="","",INDEX(상세표[블록 06~07시],$Q2113))</f>
        <v/>
      </c>
      <c r="L2113" s="20">
        <f>IF($Q2113="","",INDEX(상세표[블록 07~18시],$Q2113))</f>
        <v/>
      </c>
      <c r="M2113" s="20">
        <f>IF($Q2113="","",INDEX(상세표[블록 18~22시],$Q2113))</f>
        <v/>
      </c>
      <c r="N2113" s="20">
        <f>IF($Q2113="","",INDEX(상세표[블록 22~06시],$Q2113))</f>
        <v/>
      </c>
      <c r="O2113">
        <f>IF($Q2113="","",INDEX(상세표[주말·휴일 포함],$Q2113)&amp;"")</f>
        <v/>
      </c>
      <c r="P2113">
        <f>IF($Q2113="","",INDEX(상세표[월 넘김 포함],$Q2113)&amp;"")</f>
        <v/>
      </c>
      <c r="Q2113" s="4">
        <f>IFERROR(MATCH(2108,상세표[연속순번],0),"")</f>
        <v/>
      </c>
    </row>
    <row r="2114">
      <c r="A2114">
        <f>IF($Q2114="","",INDEX(상세표[부서],$Q2114)&amp;"")</f>
        <v/>
      </c>
      <c r="B2114">
        <f>IF($Q2114="","",INDEX(상세표[사번],$Q2114)&amp;"")</f>
        <v/>
      </c>
      <c r="C2114">
        <f>IF($Q2114="","",INDEX(상세표[성명],$Q2114)&amp;"")</f>
        <v/>
      </c>
      <c r="D2114">
        <f>IF($Q2114="","",INDEX(상세표[직위],$Q2114)&amp;"")</f>
        <v/>
      </c>
      <c r="E2114">
        <f>IF($Q2114="","",IF(ISNUMBER(INDEX(상세표[근무일자],$Q2114)),TEXT(INDEX(상세표[근무일자],$Q2114),"yyyy-mm-dd"),INDEX(상세표[근무일자],$Q2114)&amp;""))</f>
        <v/>
      </c>
      <c r="F2114">
        <f>IF($Q2114="","",IF(ISNUMBER(INDEX(상세표[시작],$Q2114)),TEXT(INDEX(상세표[시작],$Q2114),"yyyy-mm-dd hh:mm"),INDEX(상세표[시작],$Q2114)&amp;""))</f>
        <v/>
      </c>
      <c r="G2114">
        <f>IF($Q2114="","",IF(ISNUMBER(INDEX(상세표[블록종료],$Q2114)),TEXT(INDEX(상세표[블록종료],$Q2114),"yyyy-mm-dd hh:mm"),INDEX(상세표[블록종료],$Q2114)&amp;""))</f>
        <v/>
      </c>
      <c r="H2114">
        <f>IF($Q2114="","",CHOOSE(WEEKDAY(INDEX(상세표[시작],$Q2114)),"일","월","화","수","목","금","토"))</f>
        <v/>
      </c>
      <c r="I2114" s="20">
        <f>IF($Q2114="","",INDEX(상세표[연속 시간],$Q2114))</f>
        <v/>
      </c>
      <c r="J2114">
        <f>IF($Q2114="","",INDEX(상세표[기록 수],$Q2114))</f>
        <v/>
      </c>
      <c r="K2114" s="20">
        <f>IF($Q2114="","",INDEX(상세표[블록 06~07시],$Q2114))</f>
        <v/>
      </c>
      <c r="L2114" s="20">
        <f>IF($Q2114="","",INDEX(상세표[블록 07~18시],$Q2114))</f>
        <v/>
      </c>
      <c r="M2114" s="20">
        <f>IF($Q2114="","",INDEX(상세표[블록 18~22시],$Q2114))</f>
        <v/>
      </c>
      <c r="N2114" s="20">
        <f>IF($Q2114="","",INDEX(상세표[블록 22~06시],$Q2114))</f>
        <v/>
      </c>
      <c r="O2114">
        <f>IF($Q2114="","",INDEX(상세표[주말·휴일 포함],$Q2114)&amp;"")</f>
        <v/>
      </c>
      <c r="P2114">
        <f>IF($Q2114="","",INDEX(상세표[월 넘김 포함],$Q2114)&amp;"")</f>
        <v/>
      </c>
      <c r="Q2114" s="4">
        <f>IFERROR(MATCH(2109,상세표[연속순번],0),"")</f>
        <v/>
      </c>
    </row>
    <row r="2115">
      <c r="A2115">
        <f>IF($Q2115="","",INDEX(상세표[부서],$Q2115)&amp;"")</f>
        <v/>
      </c>
      <c r="B2115">
        <f>IF($Q2115="","",INDEX(상세표[사번],$Q2115)&amp;"")</f>
        <v/>
      </c>
      <c r="C2115">
        <f>IF($Q2115="","",INDEX(상세표[성명],$Q2115)&amp;"")</f>
        <v/>
      </c>
      <c r="D2115">
        <f>IF($Q2115="","",INDEX(상세표[직위],$Q2115)&amp;"")</f>
        <v/>
      </c>
      <c r="E2115">
        <f>IF($Q2115="","",IF(ISNUMBER(INDEX(상세표[근무일자],$Q2115)),TEXT(INDEX(상세표[근무일자],$Q2115),"yyyy-mm-dd"),INDEX(상세표[근무일자],$Q2115)&amp;""))</f>
        <v/>
      </c>
      <c r="F2115">
        <f>IF($Q2115="","",IF(ISNUMBER(INDEX(상세표[시작],$Q2115)),TEXT(INDEX(상세표[시작],$Q2115),"yyyy-mm-dd hh:mm"),INDEX(상세표[시작],$Q2115)&amp;""))</f>
        <v/>
      </c>
      <c r="G2115">
        <f>IF($Q2115="","",IF(ISNUMBER(INDEX(상세표[블록종료],$Q2115)),TEXT(INDEX(상세표[블록종료],$Q2115),"yyyy-mm-dd hh:mm"),INDEX(상세표[블록종료],$Q2115)&amp;""))</f>
        <v/>
      </c>
      <c r="H2115">
        <f>IF($Q2115="","",CHOOSE(WEEKDAY(INDEX(상세표[시작],$Q2115)),"일","월","화","수","목","금","토"))</f>
        <v/>
      </c>
      <c r="I2115" s="20">
        <f>IF($Q2115="","",INDEX(상세표[연속 시간],$Q2115))</f>
        <v/>
      </c>
      <c r="J2115">
        <f>IF($Q2115="","",INDEX(상세표[기록 수],$Q2115))</f>
        <v/>
      </c>
      <c r="K2115" s="20">
        <f>IF($Q2115="","",INDEX(상세표[블록 06~07시],$Q2115))</f>
        <v/>
      </c>
      <c r="L2115" s="20">
        <f>IF($Q2115="","",INDEX(상세표[블록 07~18시],$Q2115))</f>
        <v/>
      </c>
      <c r="M2115" s="20">
        <f>IF($Q2115="","",INDEX(상세표[블록 18~22시],$Q2115))</f>
        <v/>
      </c>
      <c r="N2115" s="20">
        <f>IF($Q2115="","",INDEX(상세표[블록 22~06시],$Q2115))</f>
        <v/>
      </c>
      <c r="O2115">
        <f>IF($Q2115="","",INDEX(상세표[주말·휴일 포함],$Q2115)&amp;"")</f>
        <v/>
      </c>
      <c r="P2115">
        <f>IF($Q2115="","",INDEX(상세표[월 넘김 포함],$Q2115)&amp;"")</f>
        <v/>
      </c>
      <c r="Q2115" s="4">
        <f>IFERROR(MATCH(2110,상세표[연속순번],0),"")</f>
        <v/>
      </c>
    </row>
    <row r="2116">
      <c r="A2116">
        <f>IF($Q2116="","",INDEX(상세표[부서],$Q2116)&amp;"")</f>
        <v/>
      </c>
      <c r="B2116">
        <f>IF($Q2116="","",INDEX(상세표[사번],$Q2116)&amp;"")</f>
        <v/>
      </c>
      <c r="C2116">
        <f>IF($Q2116="","",INDEX(상세표[성명],$Q2116)&amp;"")</f>
        <v/>
      </c>
      <c r="D2116">
        <f>IF($Q2116="","",INDEX(상세표[직위],$Q2116)&amp;"")</f>
        <v/>
      </c>
      <c r="E2116">
        <f>IF($Q2116="","",IF(ISNUMBER(INDEX(상세표[근무일자],$Q2116)),TEXT(INDEX(상세표[근무일자],$Q2116),"yyyy-mm-dd"),INDEX(상세표[근무일자],$Q2116)&amp;""))</f>
        <v/>
      </c>
      <c r="F2116">
        <f>IF($Q2116="","",IF(ISNUMBER(INDEX(상세표[시작],$Q2116)),TEXT(INDEX(상세표[시작],$Q2116),"yyyy-mm-dd hh:mm"),INDEX(상세표[시작],$Q2116)&amp;""))</f>
        <v/>
      </c>
      <c r="G2116">
        <f>IF($Q2116="","",IF(ISNUMBER(INDEX(상세표[블록종료],$Q2116)),TEXT(INDEX(상세표[블록종료],$Q2116),"yyyy-mm-dd hh:mm"),INDEX(상세표[블록종료],$Q2116)&amp;""))</f>
        <v/>
      </c>
      <c r="H2116">
        <f>IF($Q2116="","",CHOOSE(WEEKDAY(INDEX(상세표[시작],$Q2116)),"일","월","화","수","목","금","토"))</f>
        <v/>
      </c>
      <c r="I2116" s="20">
        <f>IF($Q2116="","",INDEX(상세표[연속 시간],$Q2116))</f>
        <v/>
      </c>
      <c r="J2116">
        <f>IF($Q2116="","",INDEX(상세표[기록 수],$Q2116))</f>
        <v/>
      </c>
      <c r="K2116" s="20">
        <f>IF($Q2116="","",INDEX(상세표[블록 06~07시],$Q2116))</f>
        <v/>
      </c>
      <c r="L2116" s="20">
        <f>IF($Q2116="","",INDEX(상세표[블록 07~18시],$Q2116))</f>
        <v/>
      </c>
      <c r="M2116" s="20">
        <f>IF($Q2116="","",INDEX(상세표[블록 18~22시],$Q2116))</f>
        <v/>
      </c>
      <c r="N2116" s="20">
        <f>IF($Q2116="","",INDEX(상세표[블록 22~06시],$Q2116))</f>
        <v/>
      </c>
      <c r="O2116">
        <f>IF($Q2116="","",INDEX(상세표[주말·휴일 포함],$Q2116)&amp;"")</f>
        <v/>
      </c>
      <c r="P2116">
        <f>IF($Q2116="","",INDEX(상세표[월 넘김 포함],$Q2116)&amp;"")</f>
        <v/>
      </c>
      <c r="Q2116" s="4">
        <f>IFERROR(MATCH(2111,상세표[연속순번],0),"")</f>
        <v/>
      </c>
    </row>
    <row r="2117">
      <c r="A2117">
        <f>IF($Q2117="","",INDEX(상세표[부서],$Q2117)&amp;"")</f>
        <v/>
      </c>
      <c r="B2117">
        <f>IF($Q2117="","",INDEX(상세표[사번],$Q2117)&amp;"")</f>
        <v/>
      </c>
      <c r="C2117">
        <f>IF($Q2117="","",INDEX(상세표[성명],$Q2117)&amp;"")</f>
        <v/>
      </c>
      <c r="D2117">
        <f>IF($Q2117="","",INDEX(상세표[직위],$Q2117)&amp;"")</f>
        <v/>
      </c>
      <c r="E2117">
        <f>IF($Q2117="","",IF(ISNUMBER(INDEX(상세표[근무일자],$Q2117)),TEXT(INDEX(상세표[근무일자],$Q2117),"yyyy-mm-dd"),INDEX(상세표[근무일자],$Q2117)&amp;""))</f>
        <v/>
      </c>
      <c r="F2117">
        <f>IF($Q2117="","",IF(ISNUMBER(INDEX(상세표[시작],$Q2117)),TEXT(INDEX(상세표[시작],$Q2117),"yyyy-mm-dd hh:mm"),INDEX(상세표[시작],$Q2117)&amp;""))</f>
        <v/>
      </c>
      <c r="G2117">
        <f>IF($Q2117="","",IF(ISNUMBER(INDEX(상세표[블록종료],$Q2117)),TEXT(INDEX(상세표[블록종료],$Q2117),"yyyy-mm-dd hh:mm"),INDEX(상세표[블록종료],$Q2117)&amp;""))</f>
        <v/>
      </c>
      <c r="H2117">
        <f>IF($Q2117="","",CHOOSE(WEEKDAY(INDEX(상세표[시작],$Q2117)),"일","월","화","수","목","금","토"))</f>
        <v/>
      </c>
      <c r="I2117" s="20">
        <f>IF($Q2117="","",INDEX(상세표[연속 시간],$Q2117))</f>
        <v/>
      </c>
      <c r="J2117">
        <f>IF($Q2117="","",INDEX(상세표[기록 수],$Q2117))</f>
        <v/>
      </c>
      <c r="K2117" s="20">
        <f>IF($Q2117="","",INDEX(상세표[블록 06~07시],$Q2117))</f>
        <v/>
      </c>
      <c r="L2117" s="20">
        <f>IF($Q2117="","",INDEX(상세표[블록 07~18시],$Q2117))</f>
        <v/>
      </c>
      <c r="M2117" s="20">
        <f>IF($Q2117="","",INDEX(상세표[블록 18~22시],$Q2117))</f>
        <v/>
      </c>
      <c r="N2117" s="20">
        <f>IF($Q2117="","",INDEX(상세표[블록 22~06시],$Q2117))</f>
        <v/>
      </c>
      <c r="O2117">
        <f>IF($Q2117="","",INDEX(상세표[주말·휴일 포함],$Q2117)&amp;"")</f>
        <v/>
      </c>
      <c r="P2117">
        <f>IF($Q2117="","",INDEX(상세표[월 넘김 포함],$Q2117)&amp;"")</f>
        <v/>
      </c>
      <c r="Q2117" s="4">
        <f>IFERROR(MATCH(2112,상세표[연속순번],0),"")</f>
        <v/>
      </c>
    </row>
    <row r="2118">
      <c r="A2118">
        <f>IF($Q2118="","",INDEX(상세표[부서],$Q2118)&amp;"")</f>
        <v/>
      </c>
      <c r="B2118">
        <f>IF($Q2118="","",INDEX(상세표[사번],$Q2118)&amp;"")</f>
        <v/>
      </c>
      <c r="C2118">
        <f>IF($Q2118="","",INDEX(상세표[성명],$Q2118)&amp;"")</f>
        <v/>
      </c>
      <c r="D2118">
        <f>IF($Q2118="","",INDEX(상세표[직위],$Q2118)&amp;"")</f>
        <v/>
      </c>
      <c r="E2118">
        <f>IF($Q2118="","",IF(ISNUMBER(INDEX(상세표[근무일자],$Q2118)),TEXT(INDEX(상세표[근무일자],$Q2118),"yyyy-mm-dd"),INDEX(상세표[근무일자],$Q2118)&amp;""))</f>
        <v/>
      </c>
      <c r="F2118">
        <f>IF($Q2118="","",IF(ISNUMBER(INDEX(상세표[시작],$Q2118)),TEXT(INDEX(상세표[시작],$Q2118),"yyyy-mm-dd hh:mm"),INDEX(상세표[시작],$Q2118)&amp;""))</f>
        <v/>
      </c>
      <c r="G2118">
        <f>IF($Q2118="","",IF(ISNUMBER(INDEX(상세표[블록종료],$Q2118)),TEXT(INDEX(상세표[블록종료],$Q2118),"yyyy-mm-dd hh:mm"),INDEX(상세표[블록종료],$Q2118)&amp;""))</f>
        <v/>
      </c>
      <c r="H2118">
        <f>IF($Q2118="","",CHOOSE(WEEKDAY(INDEX(상세표[시작],$Q2118)),"일","월","화","수","목","금","토"))</f>
        <v/>
      </c>
      <c r="I2118" s="20">
        <f>IF($Q2118="","",INDEX(상세표[연속 시간],$Q2118))</f>
        <v/>
      </c>
      <c r="J2118">
        <f>IF($Q2118="","",INDEX(상세표[기록 수],$Q2118))</f>
        <v/>
      </c>
      <c r="K2118" s="20">
        <f>IF($Q2118="","",INDEX(상세표[블록 06~07시],$Q2118))</f>
        <v/>
      </c>
      <c r="L2118" s="20">
        <f>IF($Q2118="","",INDEX(상세표[블록 07~18시],$Q2118))</f>
        <v/>
      </c>
      <c r="M2118" s="20">
        <f>IF($Q2118="","",INDEX(상세표[블록 18~22시],$Q2118))</f>
        <v/>
      </c>
      <c r="N2118" s="20">
        <f>IF($Q2118="","",INDEX(상세표[블록 22~06시],$Q2118))</f>
        <v/>
      </c>
      <c r="O2118">
        <f>IF($Q2118="","",INDEX(상세표[주말·휴일 포함],$Q2118)&amp;"")</f>
        <v/>
      </c>
      <c r="P2118">
        <f>IF($Q2118="","",INDEX(상세표[월 넘김 포함],$Q2118)&amp;"")</f>
        <v/>
      </c>
      <c r="Q2118" s="4">
        <f>IFERROR(MATCH(2113,상세표[연속순번],0),"")</f>
        <v/>
      </c>
    </row>
    <row r="2119">
      <c r="A2119">
        <f>IF($Q2119="","",INDEX(상세표[부서],$Q2119)&amp;"")</f>
        <v/>
      </c>
      <c r="B2119">
        <f>IF($Q2119="","",INDEX(상세표[사번],$Q2119)&amp;"")</f>
        <v/>
      </c>
      <c r="C2119">
        <f>IF($Q2119="","",INDEX(상세표[성명],$Q2119)&amp;"")</f>
        <v/>
      </c>
      <c r="D2119">
        <f>IF($Q2119="","",INDEX(상세표[직위],$Q2119)&amp;"")</f>
        <v/>
      </c>
      <c r="E2119">
        <f>IF($Q2119="","",IF(ISNUMBER(INDEX(상세표[근무일자],$Q2119)),TEXT(INDEX(상세표[근무일자],$Q2119),"yyyy-mm-dd"),INDEX(상세표[근무일자],$Q2119)&amp;""))</f>
        <v/>
      </c>
      <c r="F2119">
        <f>IF($Q2119="","",IF(ISNUMBER(INDEX(상세표[시작],$Q2119)),TEXT(INDEX(상세표[시작],$Q2119),"yyyy-mm-dd hh:mm"),INDEX(상세표[시작],$Q2119)&amp;""))</f>
        <v/>
      </c>
      <c r="G2119">
        <f>IF($Q2119="","",IF(ISNUMBER(INDEX(상세표[블록종료],$Q2119)),TEXT(INDEX(상세표[블록종료],$Q2119),"yyyy-mm-dd hh:mm"),INDEX(상세표[블록종료],$Q2119)&amp;""))</f>
        <v/>
      </c>
      <c r="H2119">
        <f>IF($Q2119="","",CHOOSE(WEEKDAY(INDEX(상세표[시작],$Q2119)),"일","월","화","수","목","금","토"))</f>
        <v/>
      </c>
      <c r="I2119" s="20">
        <f>IF($Q2119="","",INDEX(상세표[연속 시간],$Q2119))</f>
        <v/>
      </c>
      <c r="J2119">
        <f>IF($Q2119="","",INDEX(상세표[기록 수],$Q2119))</f>
        <v/>
      </c>
      <c r="K2119" s="20">
        <f>IF($Q2119="","",INDEX(상세표[블록 06~07시],$Q2119))</f>
        <v/>
      </c>
      <c r="L2119" s="20">
        <f>IF($Q2119="","",INDEX(상세표[블록 07~18시],$Q2119))</f>
        <v/>
      </c>
      <c r="M2119" s="20">
        <f>IF($Q2119="","",INDEX(상세표[블록 18~22시],$Q2119))</f>
        <v/>
      </c>
      <c r="N2119" s="20">
        <f>IF($Q2119="","",INDEX(상세표[블록 22~06시],$Q2119))</f>
        <v/>
      </c>
      <c r="O2119">
        <f>IF($Q2119="","",INDEX(상세표[주말·휴일 포함],$Q2119)&amp;"")</f>
        <v/>
      </c>
      <c r="P2119">
        <f>IF($Q2119="","",INDEX(상세표[월 넘김 포함],$Q2119)&amp;"")</f>
        <v/>
      </c>
      <c r="Q2119" s="4">
        <f>IFERROR(MATCH(2114,상세표[연속순번],0),"")</f>
        <v/>
      </c>
    </row>
    <row r="2120">
      <c r="A2120">
        <f>IF($Q2120="","",INDEX(상세표[부서],$Q2120)&amp;"")</f>
        <v/>
      </c>
      <c r="B2120">
        <f>IF($Q2120="","",INDEX(상세표[사번],$Q2120)&amp;"")</f>
        <v/>
      </c>
      <c r="C2120">
        <f>IF($Q2120="","",INDEX(상세표[성명],$Q2120)&amp;"")</f>
        <v/>
      </c>
      <c r="D2120">
        <f>IF($Q2120="","",INDEX(상세표[직위],$Q2120)&amp;"")</f>
        <v/>
      </c>
      <c r="E2120">
        <f>IF($Q2120="","",IF(ISNUMBER(INDEX(상세표[근무일자],$Q2120)),TEXT(INDEX(상세표[근무일자],$Q2120),"yyyy-mm-dd"),INDEX(상세표[근무일자],$Q2120)&amp;""))</f>
        <v/>
      </c>
      <c r="F2120">
        <f>IF($Q2120="","",IF(ISNUMBER(INDEX(상세표[시작],$Q2120)),TEXT(INDEX(상세표[시작],$Q2120),"yyyy-mm-dd hh:mm"),INDEX(상세표[시작],$Q2120)&amp;""))</f>
        <v/>
      </c>
      <c r="G2120">
        <f>IF($Q2120="","",IF(ISNUMBER(INDEX(상세표[블록종료],$Q2120)),TEXT(INDEX(상세표[블록종료],$Q2120),"yyyy-mm-dd hh:mm"),INDEX(상세표[블록종료],$Q2120)&amp;""))</f>
        <v/>
      </c>
      <c r="H2120">
        <f>IF($Q2120="","",CHOOSE(WEEKDAY(INDEX(상세표[시작],$Q2120)),"일","월","화","수","목","금","토"))</f>
        <v/>
      </c>
      <c r="I2120" s="20">
        <f>IF($Q2120="","",INDEX(상세표[연속 시간],$Q2120))</f>
        <v/>
      </c>
      <c r="J2120">
        <f>IF($Q2120="","",INDEX(상세표[기록 수],$Q2120))</f>
        <v/>
      </c>
      <c r="K2120" s="20">
        <f>IF($Q2120="","",INDEX(상세표[블록 06~07시],$Q2120))</f>
        <v/>
      </c>
      <c r="L2120" s="20">
        <f>IF($Q2120="","",INDEX(상세표[블록 07~18시],$Q2120))</f>
        <v/>
      </c>
      <c r="M2120" s="20">
        <f>IF($Q2120="","",INDEX(상세표[블록 18~22시],$Q2120))</f>
        <v/>
      </c>
      <c r="N2120" s="20">
        <f>IF($Q2120="","",INDEX(상세표[블록 22~06시],$Q2120))</f>
        <v/>
      </c>
      <c r="O2120">
        <f>IF($Q2120="","",INDEX(상세표[주말·휴일 포함],$Q2120)&amp;"")</f>
        <v/>
      </c>
      <c r="P2120">
        <f>IF($Q2120="","",INDEX(상세표[월 넘김 포함],$Q2120)&amp;"")</f>
        <v/>
      </c>
      <c r="Q2120" s="4">
        <f>IFERROR(MATCH(2115,상세표[연속순번],0),"")</f>
        <v/>
      </c>
    </row>
    <row r="2121">
      <c r="A2121">
        <f>IF($Q2121="","",INDEX(상세표[부서],$Q2121)&amp;"")</f>
        <v/>
      </c>
      <c r="B2121">
        <f>IF($Q2121="","",INDEX(상세표[사번],$Q2121)&amp;"")</f>
        <v/>
      </c>
      <c r="C2121">
        <f>IF($Q2121="","",INDEX(상세표[성명],$Q2121)&amp;"")</f>
        <v/>
      </c>
      <c r="D2121">
        <f>IF($Q2121="","",INDEX(상세표[직위],$Q2121)&amp;"")</f>
        <v/>
      </c>
      <c r="E2121">
        <f>IF($Q2121="","",IF(ISNUMBER(INDEX(상세표[근무일자],$Q2121)),TEXT(INDEX(상세표[근무일자],$Q2121),"yyyy-mm-dd"),INDEX(상세표[근무일자],$Q2121)&amp;""))</f>
        <v/>
      </c>
      <c r="F2121">
        <f>IF($Q2121="","",IF(ISNUMBER(INDEX(상세표[시작],$Q2121)),TEXT(INDEX(상세표[시작],$Q2121),"yyyy-mm-dd hh:mm"),INDEX(상세표[시작],$Q2121)&amp;""))</f>
        <v/>
      </c>
      <c r="G2121">
        <f>IF($Q2121="","",IF(ISNUMBER(INDEX(상세표[블록종료],$Q2121)),TEXT(INDEX(상세표[블록종료],$Q2121),"yyyy-mm-dd hh:mm"),INDEX(상세표[블록종료],$Q2121)&amp;""))</f>
        <v/>
      </c>
      <c r="H2121">
        <f>IF($Q2121="","",CHOOSE(WEEKDAY(INDEX(상세표[시작],$Q2121)),"일","월","화","수","목","금","토"))</f>
        <v/>
      </c>
      <c r="I2121" s="20">
        <f>IF($Q2121="","",INDEX(상세표[연속 시간],$Q2121))</f>
        <v/>
      </c>
      <c r="J2121">
        <f>IF($Q2121="","",INDEX(상세표[기록 수],$Q2121))</f>
        <v/>
      </c>
      <c r="K2121" s="20">
        <f>IF($Q2121="","",INDEX(상세표[블록 06~07시],$Q2121))</f>
        <v/>
      </c>
      <c r="L2121" s="20">
        <f>IF($Q2121="","",INDEX(상세표[블록 07~18시],$Q2121))</f>
        <v/>
      </c>
      <c r="M2121" s="20">
        <f>IF($Q2121="","",INDEX(상세표[블록 18~22시],$Q2121))</f>
        <v/>
      </c>
      <c r="N2121" s="20">
        <f>IF($Q2121="","",INDEX(상세표[블록 22~06시],$Q2121))</f>
        <v/>
      </c>
      <c r="O2121">
        <f>IF($Q2121="","",INDEX(상세표[주말·휴일 포함],$Q2121)&amp;"")</f>
        <v/>
      </c>
      <c r="P2121">
        <f>IF($Q2121="","",INDEX(상세표[월 넘김 포함],$Q2121)&amp;"")</f>
        <v/>
      </c>
      <c r="Q2121" s="4">
        <f>IFERROR(MATCH(2116,상세표[연속순번],0),"")</f>
        <v/>
      </c>
    </row>
    <row r="2122">
      <c r="A2122">
        <f>IF($Q2122="","",INDEX(상세표[부서],$Q2122)&amp;"")</f>
        <v/>
      </c>
      <c r="B2122">
        <f>IF($Q2122="","",INDEX(상세표[사번],$Q2122)&amp;"")</f>
        <v/>
      </c>
      <c r="C2122">
        <f>IF($Q2122="","",INDEX(상세표[성명],$Q2122)&amp;"")</f>
        <v/>
      </c>
      <c r="D2122">
        <f>IF($Q2122="","",INDEX(상세표[직위],$Q2122)&amp;"")</f>
        <v/>
      </c>
      <c r="E2122">
        <f>IF($Q2122="","",IF(ISNUMBER(INDEX(상세표[근무일자],$Q2122)),TEXT(INDEX(상세표[근무일자],$Q2122),"yyyy-mm-dd"),INDEX(상세표[근무일자],$Q2122)&amp;""))</f>
        <v/>
      </c>
      <c r="F2122">
        <f>IF($Q2122="","",IF(ISNUMBER(INDEX(상세표[시작],$Q2122)),TEXT(INDEX(상세표[시작],$Q2122),"yyyy-mm-dd hh:mm"),INDEX(상세표[시작],$Q2122)&amp;""))</f>
        <v/>
      </c>
      <c r="G2122">
        <f>IF($Q2122="","",IF(ISNUMBER(INDEX(상세표[블록종료],$Q2122)),TEXT(INDEX(상세표[블록종료],$Q2122),"yyyy-mm-dd hh:mm"),INDEX(상세표[블록종료],$Q2122)&amp;""))</f>
        <v/>
      </c>
      <c r="H2122">
        <f>IF($Q2122="","",CHOOSE(WEEKDAY(INDEX(상세표[시작],$Q2122)),"일","월","화","수","목","금","토"))</f>
        <v/>
      </c>
      <c r="I2122" s="20">
        <f>IF($Q2122="","",INDEX(상세표[연속 시간],$Q2122))</f>
        <v/>
      </c>
      <c r="J2122">
        <f>IF($Q2122="","",INDEX(상세표[기록 수],$Q2122))</f>
        <v/>
      </c>
      <c r="K2122" s="20">
        <f>IF($Q2122="","",INDEX(상세표[블록 06~07시],$Q2122))</f>
        <v/>
      </c>
      <c r="L2122" s="20">
        <f>IF($Q2122="","",INDEX(상세표[블록 07~18시],$Q2122))</f>
        <v/>
      </c>
      <c r="M2122" s="20">
        <f>IF($Q2122="","",INDEX(상세표[블록 18~22시],$Q2122))</f>
        <v/>
      </c>
      <c r="N2122" s="20">
        <f>IF($Q2122="","",INDEX(상세표[블록 22~06시],$Q2122))</f>
        <v/>
      </c>
      <c r="O2122">
        <f>IF($Q2122="","",INDEX(상세표[주말·휴일 포함],$Q2122)&amp;"")</f>
        <v/>
      </c>
      <c r="P2122">
        <f>IF($Q2122="","",INDEX(상세표[월 넘김 포함],$Q2122)&amp;"")</f>
        <v/>
      </c>
      <c r="Q2122" s="4">
        <f>IFERROR(MATCH(2117,상세표[연속순번],0),"")</f>
        <v/>
      </c>
    </row>
    <row r="2123">
      <c r="A2123">
        <f>IF($Q2123="","",INDEX(상세표[부서],$Q2123)&amp;"")</f>
        <v/>
      </c>
      <c r="B2123">
        <f>IF($Q2123="","",INDEX(상세표[사번],$Q2123)&amp;"")</f>
        <v/>
      </c>
      <c r="C2123">
        <f>IF($Q2123="","",INDEX(상세표[성명],$Q2123)&amp;"")</f>
        <v/>
      </c>
      <c r="D2123">
        <f>IF($Q2123="","",INDEX(상세표[직위],$Q2123)&amp;"")</f>
        <v/>
      </c>
      <c r="E2123">
        <f>IF($Q2123="","",IF(ISNUMBER(INDEX(상세표[근무일자],$Q2123)),TEXT(INDEX(상세표[근무일자],$Q2123),"yyyy-mm-dd"),INDEX(상세표[근무일자],$Q2123)&amp;""))</f>
        <v/>
      </c>
      <c r="F2123">
        <f>IF($Q2123="","",IF(ISNUMBER(INDEX(상세표[시작],$Q2123)),TEXT(INDEX(상세표[시작],$Q2123),"yyyy-mm-dd hh:mm"),INDEX(상세표[시작],$Q2123)&amp;""))</f>
        <v/>
      </c>
      <c r="G2123">
        <f>IF($Q2123="","",IF(ISNUMBER(INDEX(상세표[블록종료],$Q2123)),TEXT(INDEX(상세표[블록종료],$Q2123),"yyyy-mm-dd hh:mm"),INDEX(상세표[블록종료],$Q2123)&amp;""))</f>
        <v/>
      </c>
      <c r="H2123">
        <f>IF($Q2123="","",CHOOSE(WEEKDAY(INDEX(상세표[시작],$Q2123)),"일","월","화","수","목","금","토"))</f>
        <v/>
      </c>
      <c r="I2123" s="20">
        <f>IF($Q2123="","",INDEX(상세표[연속 시간],$Q2123))</f>
        <v/>
      </c>
      <c r="J2123">
        <f>IF($Q2123="","",INDEX(상세표[기록 수],$Q2123))</f>
        <v/>
      </c>
      <c r="K2123" s="20">
        <f>IF($Q2123="","",INDEX(상세표[블록 06~07시],$Q2123))</f>
        <v/>
      </c>
      <c r="L2123" s="20">
        <f>IF($Q2123="","",INDEX(상세표[블록 07~18시],$Q2123))</f>
        <v/>
      </c>
      <c r="M2123" s="20">
        <f>IF($Q2123="","",INDEX(상세표[블록 18~22시],$Q2123))</f>
        <v/>
      </c>
      <c r="N2123" s="20">
        <f>IF($Q2123="","",INDEX(상세표[블록 22~06시],$Q2123))</f>
        <v/>
      </c>
      <c r="O2123">
        <f>IF($Q2123="","",INDEX(상세표[주말·휴일 포함],$Q2123)&amp;"")</f>
        <v/>
      </c>
      <c r="P2123">
        <f>IF($Q2123="","",INDEX(상세표[월 넘김 포함],$Q2123)&amp;"")</f>
        <v/>
      </c>
      <c r="Q2123" s="4">
        <f>IFERROR(MATCH(2118,상세표[연속순번],0),"")</f>
        <v/>
      </c>
    </row>
    <row r="2124">
      <c r="A2124">
        <f>IF($Q2124="","",INDEX(상세표[부서],$Q2124)&amp;"")</f>
        <v/>
      </c>
      <c r="B2124">
        <f>IF($Q2124="","",INDEX(상세표[사번],$Q2124)&amp;"")</f>
        <v/>
      </c>
      <c r="C2124">
        <f>IF($Q2124="","",INDEX(상세표[성명],$Q2124)&amp;"")</f>
        <v/>
      </c>
      <c r="D2124">
        <f>IF($Q2124="","",INDEX(상세표[직위],$Q2124)&amp;"")</f>
        <v/>
      </c>
      <c r="E2124">
        <f>IF($Q2124="","",IF(ISNUMBER(INDEX(상세표[근무일자],$Q2124)),TEXT(INDEX(상세표[근무일자],$Q2124),"yyyy-mm-dd"),INDEX(상세표[근무일자],$Q2124)&amp;""))</f>
        <v/>
      </c>
      <c r="F2124">
        <f>IF($Q2124="","",IF(ISNUMBER(INDEX(상세표[시작],$Q2124)),TEXT(INDEX(상세표[시작],$Q2124),"yyyy-mm-dd hh:mm"),INDEX(상세표[시작],$Q2124)&amp;""))</f>
        <v/>
      </c>
      <c r="G2124">
        <f>IF($Q2124="","",IF(ISNUMBER(INDEX(상세표[블록종료],$Q2124)),TEXT(INDEX(상세표[블록종료],$Q2124),"yyyy-mm-dd hh:mm"),INDEX(상세표[블록종료],$Q2124)&amp;""))</f>
        <v/>
      </c>
      <c r="H2124">
        <f>IF($Q2124="","",CHOOSE(WEEKDAY(INDEX(상세표[시작],$Q2124)),"일","월","화","수","목","금","토"))</f>
        <v/>
      </c>
      <c r="I2124" s="20">
        <f>IF($Q2124="","",INDEX(상세표[연속 시간],$Q2124))</f>
        <v/>
      </c>
      <c r="J2124">
        <f>IF($Q2124="","",INDEX(상세표[기록 수],$Q2124))</f>
        <v/>
      </c>
      <c r="K2124" s="20">
        <f>IF($Q2124="","",INDEX(상세표[블록 06~07시],$Q2124))</f>
        <v/>
      </c>
      <c r="L2124" s="20">
        <f>IF($Q2124="","",INDEX(상세표[블록 07~18시],$Q2124))</f>
        <v/>
      </c>
      <c r="M2124" s="20">
        <f>IF($Q2124="","",INDEX(상세표[블록 18~22시],$Q2124))</f>
        <v/>
      </c>
      <c r="N2124" s="20">
        <f>IF($Q2124="","",INDEX(상세표[블록 22~06시],$Q2124))</f>
        <v/>
      </c>
      <c r="O2124">
        <f>IF($Q2124="","",INDEX(상세표[주말·휴일 포함],$Q2124)&amp;"")</f>
        <v/>
      </c>
      <c r="P2124">
        <f>IF($Q2124="","",INDEX(상세표[월 넘김 포함],$Q2124)&amp;"")</f>
        <v/>
      </c>
      <c r="Q2124" s="4">
        <f>IFERROR(MATCH(2119,상세표[연속순번],0),"")</f>
        <v/>
      </c>
    </row>
    <row r="2125">
      <c r="A2125">
        <f>IF($Q2125="","",INDEX(상세표[부서],$Q2125)&amp;"")</f>
        <v/>
      </c>
      <c r="B2125">
        <f>IF($Q2125="","",INDEX(상세표[사번],$Q2125)&amp;"")</f>
        <v/>
      </c>
      <c r="C2125">
        <f>IF($Q2125="","",INDEX(상세표[성명],$Q2125)&amp;"")</f>
        <v/>
      </c>
      <c r="D2125">
        <f>IF($Q2125="","",INDEX(상세표[직위],$Q2125)&amp;"")</f>
        <v/>
      </c>
      <c r="E2125">
        <f>IF($Q2125="","",IF(ISNUMBER(INDEX(상세표[근무일자],$Q2125)),TEXT(INDEX(상세표[근무일자],$Q2125),"yyyy-mm-dd"),INDEX(상세표[근무일자],$Q2125)&amp;""))</f>
        <v/>
      </c>
      <c r="F2125">
        <f>IF($Q2125="","",IF(ISNUMBER(INDEX(상세표[시작],$Q2125)),TEXT(INDEX(상세표[시작],$Q2125),"yyyy-mm-dd hh:mm"),INDEX(상세표[시작],$Q2125)&amp;""))</f>
        <v/>
      </c>
      <c r="G2125">
        <f>IF($Q2125="","",IF(ISNUMBER(INDEX(상세표[블록종료],$Q2125)),TEXT(INDEX(상세표[블록종료],$Q2125),"yyyy-mm-dd hh:mm"),INDEX(상세표[블록종료],$Q2125)&amp;""))</f>
        <v/>
      </c>
      <c r="H2125">
        <f>IF($Q2125="","",CHOOSE(WEEKDAY(INDEX(상세표[시작],$Q2125)),"일","월","화","수","목","금","토"))</f>
        <v/>
      </c>
      <c r="I2125" s="20">
        <f>IF($Q2125="","",INDEX(상세표[연속 시간],$Q2125))</f>
        <v/>
      </c>
      <c r="J2125">
        <f>IF($Q2125="","",INDEX(상세표[기록 수],$Q2125))</f>
        <v/>
      </c>
      <c r="K2125" s="20">
        <f>IF($Q2125="","",INDEX(상세표[블록 06~07시],$Q2125))</f>
        <v/>
      </c>
      <c r="L2125" s="20">
        <f>IF($Q2125="","",INDEX(상세표[블록 07~18시],$Q2125))</f>
        <v/>
      </c>
      <c r="M2125" s="20">
        <f>IF($Q2125="","",INDEX(상세표[블록 18~22시],$Q2125))</f>
        <v/>
      </c>
      <c r="N2125" s="20">
        <f>IF($Q2125="","",INDEX(상세표[블록 22~06시],$Q2125))</f>
        <v/>
      </c>
      <c r="O2125">
        <f>IF($Q2125="","",INDEX(상세표[주말·휴일 포함],$Q2125)&amp;"")</f>
        <v/>
      </c>
      <c r="P2125">
        <f>IF($Q2125="","",INDEX(상세표[월 넘김 포함],$Q2125)&amp;"")</f>
        <v/>
      </c>
      <c r="Q2125" s="4">
        <f>IFERROR(MATCH(2120,상세표[연속순번],0),"")</f>
        <v/>
      </c>
    </row>
    <row r="2126">
      <c r="A2126">
        <f>IF($Q2126="","",INDEX(상세표[부서],$Q2126)&amp;"")</f>
        <v/>
      </c>
      <c r="B2126">
        <f>IF($Q2126="","",INDEX(상세표[사번],$Q2126)&amp;"")</f>
        <v/>
      </c>
      <c r="C2126">
        <f>IF($Q2126="","",INDEX(상세표[성명],$Q2126)&amp;"")</f>
        <v/>
      </c>
      <c r="D2126">
        <f>IF($Q2126="","",INDEX(상세표[직위],$Q2126)&amp;"")</f>
        <v/>
      </c>
      <c r="E2126">
        <f>IF($Q2126="","",IF(ISNUMBER(INDEX(상세표[근무일자],$Q2126)),TEXT(INDEX(상세표[근무일자],$Q2126),"yyyy-mm-dd"),INDEX(상세표[근무일자],$Q2126)&amp;""))</f>
        <v/>
      </c>
      <c r="F2126">
        <f>IF($Q2126="","",IF(ISNUMBER(INDEX(상세표[시작],$Q2126)),TEXT(INDEX(상세표[시작],$Q2126),"yyyy-mm-dd hh:mm"),INDEX(상세표[시작],$Q2126)&amp;""))</f>
        <v/>
      </c>
      <c r="G2126">
        <f>IF($Q2126="","",IF(ISNUMBER(INDEX(상세표[블록종료],$Q2126)),TEXT(INDEX(상세표[블록종료],$Q2126),"yyyy-mm-dd hh:mm"),INDEX(상세표[블록종료],$Q2126)&amp;""))</f>
        <v/>
      </c>
      <c r="H2126">
        <f>IF($Q2126="","",CHOOSE(WEEKDAY(INDEX(상세표[시작],$Q2126)),"일","월","화","수","목","금","토"))</f>
        <v/>
      </c>
      <c r="I2126" s="20">
        <f>IF($Q2126="","",INDEX(상세표[연속 시간],$Q2126))</f>
        <v/>
      </c>
      <c r="J2126">
        <f>IF($Q2126="","",INDEX(상세표[기록 수],$Q2126))</f>
        <v/>
      </c>
      <c r="K2126" s="20">
        <f>IF($Q2126="","",INDEX(상세표[블록 06~07시],$Q2126))</f>
        <v/>
      </c>
      <c r="L2126" s="20">
        <f>IF($Q2126="","",INDEX(상세표[블록 07~18시],$Q2126))</f>
        <v/>
      </c>
      <c r="M2126" s="20">
        <f>IF($Q2126="","",INDEX(상세표[블록 18~22시],$Q2126))</f>
        <v/>
      </c>
      <c r="N2126" s="20">
        <f>IF($Q2126="","",INDEX(상세표[블록 22~06시],$Q2126))</f>
        <v/>
      </c>
      <c r="O2126">
        <f>IF($Q2126="","",INDEX(상세표[주말·휴일 포함],$Q2126)&amp;"")</f>
        <v/>
      </c>
      <c r="P2126">
        <f>IF($Q2126="","",INDEX(상세표[월 넘김 포함],$Q2126)&amp;"")</f>
        <v/>
      </c>
      <c r="Q2126" s="4">
        <f>IFERROR(MATCH(2121,상세표[연속순번],0),"")</f>
        <v/>
      </c>
    </row>
    <row r="2127">
      <c r="A2127">
        <f>IF($Q2127="","",INDEX(상세표[부서],$Q2127)&amp;"")</f>
        <v/>
      </c>
      <c r="B2127">
        <f>IF($Q2127="","",INDEX(상세표[사번],$Q2127)&amp;"")</f>
        <v/>
      </c>
      <c r="C2127">
        <f>IF($Q2127="","",INDEX(상세표[성명],$Q2127)&amp;"")</f>
        <v/>
      </c>
      <c r="D2127">
        <f>IF($Q2127="","",INDEX(상세표[직위],$Q2127)&amp;"")</f>
        <v/>
      </c>
      <c r="E2127">
        <f>IF($Q2127="","",IF(ISNUMBER(INDEX(상세표[근무일자],$Q2127)),TEXT(INDEX(상세표[근무일자],$Q2127),"yyyy-mm-dd"),INDEX(상세표[근무일자],$Q2127)&amp;""))</f>
        <v/>
      </c>
      <c r="F2127">
        <f>IF($Q2127="","",IF(ISNUMBER(INDEX(상세표[시작],$Q2127)),TEXT(INDEX(상세표[시작],$Q2127),"yyyy-mm-dd hh:mm"),INDEX(상세표[시작],$Q2127)&amp;""))</f>
        <v/>
      </c>
      <c r="G2127">
        <f>IF($Q2127="","",IF(ISNUMBER(INDEX(상세표[블록종료],$Q2127)),TEXT(INDEX(상세표[블록종료],$Q2127),"yyyy-mm-dd hh:mm"),INDEX(상세표[블록종료],$Q2127)&amp;""))</f>
        <v/>
      </c>
      <c r="H2127">
        <f>IF($Q2127="","",CHOOSE(WEEKDAY(INDEX(상세표[시작],$Q2127)),"일","월","화","수","목","금","토"))</f>
        <v/>
      </c>
      <c r="I2127" s="20">
        <f>IF($Q2127="","",INDEX(상세표[연속 시간],$Q2127))</f>
        <v/>
      </c>
      <c r="J2127">
        <f>IF($Q2127="","",INDEX(상세표[기록 수],$Q2127))</f>
        <v/>
      </c>
      <c r="K2127" s="20">
        <f>IF($Q2127="","",INDEX(상세표[블록 06~07시],$Q2127))</f>
        <v/>
      </c>
      <c r="L2127" s="20">
        <f>IF($Q2127="","",INDEX(상세표[블록 07~18시],$Q2127))</f>
        <v/>
      </c>
      <c r="M2127" s="20">
        <f>IF($Q2127="","",INDEX(상세표[블록 18~22시],$Q2127))</f>
        <v/>
      </c>
      <c r="N2127" s="20">
        <f>IF($Q2127="","",INDEX(상세표[블록 22~06시],$Q2127))</f>
        <v/>
      </c>
      <c r="O2127">
        <f>IF($Q2127="","",INDEX(상세표[주말·휴일 포함],$Q2127)&amp;"")</f>
        <v/>
      </c>
      <c r="P2127">
        <f>IF($Q2127="","",INDEX(상세표[월 넘김 포함],$Q2127)&amp;"")</f>
        <v/>
      </c>
      <c r="Q2127" s="4">
        <f>IFERROR(MATCH(2122,상세표[연속순번],0),"")</f>
        <v/>
      </c>
    </row>
    <row r="2128">
      <c r="A2128">
        <f>IF($Q2128="","",INDEX(상세표[부서],$Q2128)&amp;"")</f>
        <v/>
      </c>
      <c r="B2128">
        <f>IF($Q2128="","",INDEX(상세표[사번],$Q2128)&amp;"")</f>
        <v/>
      </c>
      <c r="C2128">
        <f>IF($Q2128="","",INDEX(상세표[성명],$Q2128)&amp;"")</f>
        <v/>
      </c>
      <c r="D2128">
        <f>IF($Q2128="","",INDEX(상세표[직위],$Q2128)&amp;"")</f>
        <v/>
      </c>
      <c r="E2128">
        <f>IF($Q2128="","",IF(ISNUMBER(INDEX(상세표[근무일자],$Q2128)),TEXT(INDEX(상세표[근무일자],$Q2128),"yyyy-mm-dd"),INDEX(상세표[근무일자],$Q2128)&amp;""))</f>
        <v/>
      </c>
      <c r="F2128">
        <f>IF($Q2128="","",IF(ISNUMBER(INDEX(상세표[시작],$Q2128)),TEXT(INDEX(상세표[시작],$Q2128),"yyyy-mm-dd hh:mm"),INDEX(상세표[시작],$Q2128)&amp;""))</f>
        <v/>
      </c>
      <c r="G2128">
        <f>IF($Q2128="","",IF(ISNUMBER(INDEX(상세표[블록종료],$Q2128)),TEXT(INDEX(상세표[블록종료],$Q2128),"yyyy-mm-dd hh:mm"),INDEX(상세표[블록종료],$Q2128)&amp;""))</f>
        <v/>
      </c>
      <c r="H2128">
        <f>IF($Q2128="","",CHOOSE(WEEKDAY(INDEX(상세표[시작],$Q2128)),"일","월","화","수","목","금","토"))</f>
        <v/>
      </c>
      <c r="I2128" s="20">
        <f>IF($Q2128="","",INDEX(상세표[연속 시간],$Q2128))</f>
        <v/>
      </c>
      <c r="J2128">
        <f>IF($Q2128="","",INDEX(상세표[기록 수],$Q2128))</f>
        <v/>
      </c>
      <c r="K2128" s="20">
        <f>IF($Q2128="","",INDEX(상세표[블록 06~07시],$Q2128))</f>
        <v/>
      </c>
      <c r="L2128" s="20">
        <f>IF($Q2128="","",INDEX(상세표[블록 07~18시],$Q2128))</f>
        <v/>
      </c>
      <c r="M2128" s="20">
        <f>IF($Q2128="","",INDEX(상세표[블록 18~22시],$Q2128))</f>
        <v/>
      </c>
      <c r="N2128" s="20">
        <f>IF($Q2128="","",INDEX(상세표[블록 22~06시],$Q2128))</f>
        <v/>
      </c>
      <c r="O2128">
        <f>IF($Q2128="","",INDEX(상세표[주말·휴일 포함],$Q2128)&amp;"")</f>
        <v/>
      </c>
      <c r="P2128">
        <f>IF($Q2128="","",INDEX(상세표[월 넘김 포함],$Q2128)&amp;"")</f>
        <v/>
      </c>
      <c r="Q2128" s="4">
        <f>IFERROR(MATCH(2123,상세표[연속순번],0),"")</f>
        <v/>
      </c>
    </row>
    <row r="2129">
      <c r="A2129">
        <f>IF($Q2129="","",INDEX(상세표[부서],$Q2129)&amp;"")</f>
        <v/>
      </c>
      <c r="B2129">
        <f>IF($Q2129="","",INDEX(상세표[사번],$Q2129)&amp;"")</f>
        <v/>
      </c>
      <c r="C2129">
        <f>IF($Q2129="","",INDEX(상세표[성명],$Q2129)&amp;"")</f>
        <v/>
      </c>
      <c r="D2129">
        <f>IF($Q2129="","",INDEX(상세표[직위],$Q2129)&amp;"")</f>
        <v/>
      </c>
      <c r="E2129">
        <f>IF($Q2129="","",IF(ISNUMBER(INDEX(상세표[근무일자],$Q2129)),TEXT(INDEX(상세표[근무일자],$Q2129),"yyyy-mm-dd"),INDEX(상세표[근무일자],$Q2129)&amp;""))</f>
        <v/>
      </c>
      <c r="F2129">
        <f>IF($Q2129="","",IF(ISNUMBER(INDEX(상세표[시작],$Q2129)),TEXT(INDEX(상세표[시작],$Q2129),"yyyy-mm-dd hh:mm"),INDEX(상세표[시작],$Q2129)&amp;""))</f>
        <v/>
      </c>
      <c r="G2129">
        <f>IF($Q2129="","",IF(ISNUMBER(INDEX(상세표[블록종료],$Q2129)),TEXT(INDEX(상세표[블록종료],$Q2129),"yyyy-mm-dd hh:mm"),INDEX(상세표[블록종료],$Q2129)&amp;""))</f>
        <v/>
      </c>
      <c r="H2129">
        <f>IF($Q2129="","",CHOOSE(WEEKDAY(INDEX(상세표[시작],$Q2129)),"일","월","화","수","목","금","토"))</f>
        <v/>
      </c>
      <c r="I2129" s="20">
        <f>IF($Q2129="","",INDEX(상세표[연속 시간],$Q2129))</f>
        <v/>
      </c>
      <c r="J2129">
        <f>IF($Q2129="","",INDEX(상세표[기록 수],$Q2129))</f>
        <v/>
      </c>
      <c r="K2129" s="20">
        <f>IF($Q2129="","",INDEX(상세표[블록 06~07시],$Q2129))</f>
        <v/>
      </c>
      <c r="L2129" s="20">
        <f>IF($Q2129="","",INDEX(상세표[블록 07~18시],$Q2129))</f>
        <v/>
      </c>
      <c r="M2129" s="20">
        <f>IF($Q2129="","",INDEX(상세표[블록 18~22시],$Q2129))</f>
        <v/>
      </c>
      <c r="N2129" s="20">
        <f>IF($Q2129="","",INDEX(상세표[블록 22~06시],$Q2129))</f>
        <v/>
      </c>
      <c r="O2129">
        <f>IF($Q2129="","",INDEX(상세표[주말·휴일 포함],$Q2129)&amp;"")</f>
        <v/>
      </c>
      <c r="P2129">
        <f>IF($Q2129="","",INDEX(상세표[월 넘김 포함],$Q2129)&amp;"")</f>
        <v/>
      </c>
      <c r="Q2129" s="4">
        <f>IFERROR(MATCH(2124,상세표[연속순번],0),"")</f>
        <v/>
      </c>
    </row>
    <row r="2130">
      <c r="A2130">
        <f>IF($Q2130="","",INDEX(상세표[부서],$Q2130)&amp;"")</f>
        <v/>
      </c>
      <c r="B2130">
        <f>IF($Q2130="","",INDEX(상세표[사번],$Q2130)&amp;"")</f>
        <v/>
      </c>
      <c r="C2130">
        <f>IF($Q2130="","",INDEX(상세표[성명],$Q2130)&amp;"")</f>
        <v/>
      </c>
      <c r="D2130">
        <f>IF($Q2130="","",INDEX(상세표[직위],$Q2130)&amp;"")</f>
        <v/>
      </c>
      <c r="E2130">
        <f>IF($Q2130="","",IF(ISNUMBER(INDEX(상세표[근무일자],$Q2130)),TEXT(INDEX(상세표[근무일자],$Q2130),"yyyy-mm-dd"),INDEX(상세표[근무일자],$Q2130)&amp;""))</f>
        <v/>
      </c>
      <c r="F2130">
        <f>IF($Q2130="","",IF(ISNUMBER(INDEX(상세표[시작],$Q2130)),TEXT(INDEX(상세표[시작],$Q2130),"yyyy-mm-dd hh:mm"),INDEX(상세표[시작],$Q2130)&amp;""))</f>
        <v/>
      </c>
      <c r="G2130">
        <f>IF($Q2130="","",IF(ISNUMBER(INDEX(상세표[블록종료],$Q2130)),TEXT(INDEX(상세표[블록종료],$Q2130),"yyyy-mm-dd hh:mm"),INDEX(상세표[블록종료],$Q2130)&amp;""))</f>
        <v/>
      </c>
      <c r="H2130">
        <f>IF($Q2130="","",CHOOSE(WEEKDAY(INDEX(상세표[시작],$Q2130)),"일","월","화","수","목","금","토"))</f>
        <v/>
      </c>
      <c r="I2130" s="20">
        <f>IF($Q2130="","",INDEX(상세표[연속 시간],$Q2130))</f>
        <v/>
      </c>
      <c r="J2130">
        <f>IF($Q2130="","",INDEX(상세표[기록 수],$Q2130))</f>
        <v/>
      </c>
      <c r="K2130" s="20">
        <f>IF($Q2130="","",INDEX(상세표[블록 06~07시],$Q2130))</f>
        <v/>
      </c>
      <c r="L2130" s="20">
        <f>IF($Q2130="","",INDEX(상세표[블록 07~18시],$Q2130))</f>
        <v/>
      </c>
      <c r="M2130" s="20">
        <f>IF($Q2130="","",INDEX(상세표[블록 18~22시],$Q2130))</f>
        <v/>
      </c>
      <c r="N2130" s="20">
        <f>IF($Q2130="","",INDEX(상세표[블록 22~06시],$Q2130))</f>
        <v/>
      </c>
      <c r="O2130">
        <f>IF($Q2130="","",INDEX(상세표[주말·휴일 포함],$Q2130)&amp;"")</f>
        <v/>
      </c>
      <c r="P2130">
        <f>IF($Q2130="","",INDEX(상세표[월 넘김 포함],$Q2130)&amp;"")</f>
        <v/>
      </c>
      <c r="Q2130" s="4">
        <f>IFERROR(MATCH(2125,상세표[연속순번],0),"")</f>
        <v/>
      </c>
    </row>
    <row r="2131">
      <c r="A2131">
        <f>IF($Q2131="","",INDEX(상세표[부서],$Q2131)&amp;"")</f>
        <v/>
      </c>
      <c r="B2131">
        <f>IF($Q2131="","",INDEX(상세표[사번],$Q2131)&amp;"")</f>
        <v/>
      </c>
      <c r="C2131">
        <f>IF($Q2131="","",INDEX(상세표[성명],$Q2131)&amp;"")</f>
        <v/>
      </c>
      <c r="D2131">
        <f>IF($Q2131="","",INDEX(상세표[직위],$Q2131)&amp;"")</f>
        <v/>
      </c>
      <c r="E2131">
        <f>IF($Q2131="","",IF(ISNUMBER(INDEX(상세표[근무일자],$Q2131)),TEXT(INDEX(상세표[근무일자],$Q2131),"yyyy-mm-dd"),INDEX(상세표[근무일자],$Q2131)&amp;""))</f>
        <v/>
      </c>
      <c r="F2131">
        <f>IF($Q2131="","",IF(ISNUMBER(INDEX(상세표[시작],$Q2131)),TEXT(INDEX(상세표[시작],$Q2131),"yyyy-mm-dd hh:mm"),INDEX(상세표[시작],$Q2131)&amp;""))</f>
        <v/>
      </c>
      <c r="G2131">
        <f>IF($Q2131="","",IF(ISNUMBER(INDEX(상세표[블록종료],$Q2131)),TEXT(INDEX(상세표[블록종료],$Q2131),"yyyy-mm-dd hh:mm"),INDEX(상세표[블록종료],$Q2131)&amp;""))</f>
        <v/>
      </c>
      <c r="H2131">
        <f>IF($Q2131="","",CHOOSE(WEEKDAY(INDEX(상세표[시작],$Q2131)),"일","월","화","수","목","금","토"))</f>
        <v/>
      </c>
      <c r="I2131" s="20">
        <f>IF($Q2131="","",INDEX(상세표[연속 시간],$Q2131))</f>
        <v/>
      </c>
      <c r="J2131">
        <f>IF($Q2131="","",INDEX(상세표[기록 수],$Q2131))</f>
        <v/>
      </c>
      <c r="K2131" s="20">
        <f>IF($Q2131="","",INDEX(상세표[블록 06~07시],$Q2131))</f>
        <v/>
      </c>
      <c r="L2131" s="20">
        <f>IF($Q2131="","",INDEX(상세표[블록 07~18시],$Q2131))</f>
        <v/>
      </c>
      <c r="M2131" s="20">
        <f>IF($Q2131="","",INDEX(상세표[블록 18~22시],$Q2131))</f>
        <v/>
      </c>
      <c r="N2131" s="20">
        <f>IF($Q2131="","",INDEX(상세표[블록 22~06시],$Q2131))</f>
        <v/>
      </c>
      <c r="O2131">
        <f>IF($Q2131="","",INDEX(상세표[주말·휴일 포함],$Q2131)&amp;"")</f>
        <v/>
      </c>
      <c r="P2131">
        <f>IF($Q2131="","",INDEX(상세표[월 넘김 포함],$Q2131)&amp;"")</f>
        <v/>
      </c>
      <c r="Q2131" s="4">
        <f>IFERROR(MATCH(2126,상세표[연속순번],0),"")</f>
        <v/>
      </c>
    </row>
    <row r="2132">
      <c r="A2132">
        <f>IF($Q2132="","",INDEX(상세표[부서],$Q2132)&amp;"")</f>
        <v/>
      </c>
      <c r="B2132">
        <f>IF($Q2132="","",INDEX(상세표[사번],$Q2132)&amp;"")</f>
        <v/>
      </c>
      <c r="C2132">
        <f>IF($Q2132="","",INDEX(상세표[성명],$Q2132)&amp;"")</f>
        <v/>
      </c>
      <c r="D2132">
        <f>IF($Q2132="","",INDEX(상세표[직위],$Q2132)&amp;"")</f>
        <v/>
      </c>
      <c r="E2132">
        <f>IF($Q2132="","",IF(ISNUMBER(INDEX(상세표[근무일자],$Q2132)),TEXT(INDEX(상세표[근무일자],$Q2132),"yyyy-mm-dd"),INDEX(상세표[근무일자],$Q2132)&amp;""))</f>
        <v/>
      </c>
      <c r="F2132">
        <f>IF($Q2132="","",IF(ISNUMBER(INDEX(상세표[시작],$Q2132)),TEXT(INDEX(상세표[시작],$Q2132),"yyyy-mm-dd hh:mm"),INDEX(상세표[시작],$Q2132)&amp;""))</f>
        <v/>
      </c>
      <c r="G2132">
        <f>IF($Q2132="","",IF(ISNUMBER(INDEX(상세표[블록종료],$Q2132)),TEXT(INDEX(상세표[블록종료],$Q2132),"yyyy-mm-dd hh:mm"),INDEX(상세표[블록종료],$Q2132)&amp;""))</f>
        <v/>
      </c>
      <c r="H2132">
        <f>IF($Q2132="","",CHOOSE(WEEKDAY(INDEX(상세표[시작],$Q2132)),"일","월","화","수","목","금","토"))</f>
        <v/>
      </c>
      <c r="I2132" s="20">
        <f>IF($Q2132="","",INDEX(상세표[연속 시간],$Q2132))</f>
        <v/>
      </c>
      <c r="J2132">
        <f>IF($Q2132="","",INDEX(상세표[기록 수],$Q2132))</f>
        <v/>
      </c>
      <c r="K2132" s="20">
        <f>IF($Q2132="","",INDEX(상세표[블록 06~07시],$Q2132))</f>
        <v/>
      </c>
      <c r="L2132" s="20">
        <f>IF($Q2132="","",INDEX(상세표[블록 07~18시],$Q2132))</f>
        <v/>
      </c>
      <c r="M2132" s="20">
        <f>IF($Q2132="","",INDEX(상세표[블록 18~22시],$Q2132))</f>
        <v/>
      </c>
      <c r="N2132" s="20">
        <f>IF($Q2132="","",INDEX(상세표[블록 22~06시],$Q2132))</f>
        <v/>
      </c>
      <c r="O2132">
        <f>IF($Q2132="","",INDEX(상세표[주말·휴일 포함],$Q2132)&amp;"")</f>
        <v/>
      </c>
      <c r="P2132">
        <f>IF($Q2132="","",INDEX(상세표[월 넘김 포함],$Q2132)&amp;"")</f>
        <v/>
      </c>
      <c r="Q2132" s="4">
        <f>IFERROR(MATCH(2127,상세표[연속순번],0),"")</f>
        <v/>
      </c>
    </row>
    <row r="2133">
      <c r="A2133">
        <f>IF($Q2133="","",INDEX(상세표[부서],$Q2133)&amp;"")</f>
        <v/>
      </c>
      <c r="B2133">
        <f>IF($Q2133="","",INDEX(상세표[사번],$Q2133)&amp;"")</f>
        <v/>
      </c>
      <c r="C2133">
        <f>IF($Q2133="","",INDEX(상세표[성명],$Q2133)&amp;"")</f>
        <v/>
      </c>
      <c r="D2133">
        <f>IF($Q2133="","",INDEX(상세표[직위],$Q2133)&amp;"")</f>
        <v/>
      </c>
      <c r="E2133">
        <f>IF($Q2133="","",IF(ISNUMBER(INDEX(상세표[근무일자],$Q2133)),TEXT(INDEX(상세표[근무일자],$Q2133),"yyyy-mm-dd"),INDEX(상세표[근무일자],$Q2133)&amp;""))</f>
        <v/>
      </c>
      <c r="F2133">
        <f>IF($Q2133="","",IF(ISNUMBER(INDEX(상세표[시작],$Q2133)),TEXT(INDEX(상세표[시작],$Q2133),"yyyy-mm-dd hh:mm"),INDEX(상세표[시작],$Q2133)&amp;""))</f>
        <v/>
      </c>
      <c r="G2133">
        <f>IF($Q2133="","",IF(ISNUMBER(INDEX(상세표[블록종료],$Q2133)),TEXT(INDEX(상세표[블록종료],$Q2133),"yyyy-mm-dd hh:mm"),INDEX(상세표[블록종료],$Q2133)&amp;""))</f>
        <v/>
      </c>
      <c r="H2133">
        <f>IF($Q2133="","",CHOOSE(WEEKDAY(INDEX(상세표[시작],$Q2133)),"일","월","화","수","목","금","토"))</f>
        <v/>
      </c>
      <c r="I2133" s="20">
        <f>IF($Q2133="","",INDEX(상세표[연속 시간],$Q2133))</f>
        <v/>
      </c>
      <c r="J2133">
        <f>IF($Q2133="","",INDEX(상세표[기록 수],$Q2133))</f>
        <v/>
      </c>
      <c r="K2133" s="20">
        <f>IF($Q2133="","",INDEX(상세표[블록 06~07시],$Q2133))</f>
        <v/>
      </c>
      <c r="L2133" s="20">
        <f>IF($Q2133="","",INDEX(상세표[블록 07~18시],$Q2133))</f>
        <v/>
      </c>
      <c r="M2133" s="20">
        <f>IF($Q2133="","",INDEX(상세표[블록 18~22시],$Q2133))</f>
        <v/>
      </c>
      <c r="N2133" s="20">
        <f>IF($Q2133="","",INDEX(상세표[블록 22~06시],$Q2133))</f>
        <v/>
      </c>
      <c r="O2133">
        <f>IF($Q2133="","",INDEX(상세표[주말·휴일 포함],$Q2133)&amp;"")</f>
        <v/>
      </c>
      <c r="P2133">
        <f>IF($Q2133="","",INDEX(상세표[월 넘김 포함],$Q2133)&amp;"")</f>
        <v/>
      </c>
      <c r="Q2133" s="4">
        <f>IFERROR(MATCH(2128,상세표[연속순번],0),"")</f>
        <v/>
      </c>
    </row>
    <row r="2134">
      <c r="A2134">
        <f>IF($Q2134="","",INDEX(상세표[부서],$Q2134)&amp;"")</f>
        <v/>
      </c>
      <c r="B2134">
        <f>IF($Q2134="","",INDEX(상세표[사번],$Q2134)&amp;"")</f>
        <v/>
      </c>
      <c r="C2134">
        <f>IF($Q2134="","",INDEX(상세표[성명],$Q2134)&amp;"")</f>
        <v/>
      </c>
      <c r="D2134">
        <f>IF($Q2134="","",INDEX(상세표[직위],$Q2134)&amp;"")</f>
        <v/>
      </c>
      <c r="E2134">
        <f>IF($Q2134="","",IF(ISNUMBER(INDEX(상세표[근무일자],$Q2134)),TEXT(INDEX(상세표[근무일자],$Q2134),"yyyy-mm-dd"),INDEX(상세표[근무일자],$Q2134)&amp;""))</f>
        <v/>
      </c>
      <c r="F2134">
        <f>IF($Q2134="","",IF(ISNUMBER(INDEX(상세표[시작],$Q2134)),TEXT(INDEX(상세표[시작],$Q2134),"yyyy-mm-dd hh:mm"),INDEX(상세표[시작],$Q2134)&amp;""))</f>
        <v/>
      </c>
      <c r="G2134">
        <f>IF($Q2134="","",IF(ISNUMBER(INDEX(상세표[블록종료],$Q2134)),TEXT(INDEX(상세표[블록종료],$Q2134),"yyyy-mm-dd hh:mm"),INDEX(상세표[블록종료],$Q2134)&amp;""))</f>
        <v/>
      </c>
      <c r="H2134">
        <f>IF($Q2134="","",CHOOSE(WEEKDAY(INDEX(상세표[시작],$Q2134)),"일","월","화","수","목","금","토"))</f>
        <v/>
      </c>
      <c r="I2134" s="20">
        <f>IF($Q2134="","",INDEX(상세표[연속 시간],$Q2134))</f>
        <v/>
      </c>
      <c r="J2134">
        <f>IF($Q2134="","",INDEX(상세표[기록 수],$Q2134))</f>
        <v/>
      </c>
      <c r="K2134" s="20">
        <f>IF($Q2134="","",INDEX(상세표[블록 06~07시],$Q2134))</f>
        <v/>
      </c>
      <c r="L2134" s="20">
        <f>IF($Q2134="","",INDEX(상세표[블록 07~18시],$Q2134))</f>
        <v/>
      </c>
      <c r="M2134" s="20">
        <f>IF($Q2134="","",INDEX(상세표[블록 18~22시],$Q2134))</f>
        <v/>
      </c>
      <c r="N2134" s="20">
        <f>IF($Q2134="","",INDEX(상세표[블록 22~06시],$Q2134))</f>
        <v/>
      </c>
      <c r="O2134">
        <f>IF($Q2134="","",INDEX(상세표[주말·휴일 포함],$Q2134)&amp;"")</f>
        <v/>
      </c>
      <c r="P2134">
        <f>IF($Q2134="","",INDEX(상세표[월 넘김 포함],$Q2134)&amp;"")</f>
        <v/>
      </c>
      <c r="Q2134" s="4">
        <f>IFERROR(MATCH(2129,상세표[연속순번],0),"")</f>
        <v/>
      </c>
    </row>
    <row r="2135">
      <c r="A2135">
        <f>IF($Q2135="","",INDEX(상세표[부서],$Q2135)&amp;"")</f>
        <v/>
      </c>
      <c r="B2135">
        <f>IF($Q2135="","",INDEX(상세표[사번],$Q2135)&amp;"")</f>
        <v/>
      </c>
      <c r="C2135">
        <f>IF($Q2135="","",INDEX(상세표[성명],$Q2135)&amp;"")</f>
        <v/>
      </c>
      <c r="D2135">
        <f>IF($Q2135="","",INDEX(상세표[직위],$Q2135)&amp;"")</f>
        <v/>
      </c>
      <c r="E2135">
        <f>IF($Q2135="","",IF(ISNUMBER(INDEX(상세표[근무일자],$Q2135)),TEXT(INDEX(상세표[근무일자],$Q2135),"yyyy-mm-dd"),INDEX(상세표[근무일자],$Q2135)&amp;""))</f>
        <v/>
      </c>
      <c r="F2135">
        <f>IF($Q2135="","",IF(ISNUMBER(INDEX(상세표[시작],$Q2135)),TEXT(INDEX(상세표[시작],$Q2135),"yyyy-mm-dd hh:mm"),INDEX(상세표[시작],$Q2135)&amp;""))</f>
        <v/>
      </c>
      <c r="G2135">
        <f>IF($Q2135="","",IF(ISNUMBER(INDEX(상세표[블록종료],$Q2135)),TEXT(INDEX(상세표[블록종료],$Q2135),"yyyy-mm-dd hh:mm"),INDEX(상세표[블록종료],$Q2135)&amp;""))</f>
        <v/>
      </c>
      <c r="H2135">
        <f>IF($Q2135="","",CHOOSE(WEEKDAY(INDEX(상세표[시작],$Q2135)),"일","월","화","수","목","금","토"))</f>
        <v/>
      </c>
      <c r="I2135" s="20">
        <f>IF($Q2135="","",INDEX(상세표[연속 시간],$Q2135))</f>
        <v/>
      </c>
      <c r="J2135">
        <f>IF($Q2135="","",INDEX(상세표[기록 수],$Q2135))</f>
        <v/>
      </c>
      <c r="K2135" s="20">
        <f>IF($Q2135="","",INDEX(상세표[블록 06~07시],$Q2135))</f>
        <v/>
      </c>
      <c r="L2135" s="20">
        <f>IF($Q2135="","",INDEX(상세표[블록 07~18시],$Q2135))</f>
        <v/>
      </c>
      <c r="M2135" s="20">
        <f>IF($Q2135="","",INDEX(상세표[블록 18~22시],$Q2135))</f>
        <v/>
      </c>
      <c r="N2135" s="20">
        <f>IF($Q2135="","",INDEX(상세표[블록 22~06시],$Q2135))</f>
        <v/>
      </c>
      <c r="O2135">
        <f>IF($Q2135="","",INDEX(상세표[주말·휴일 포함],$Q2135)&amp;"")</f>
        <v/>
      </c>
      <c r="P2135">
        <f>IF($Q2135="","",INDEX(상세표[월 넘김 포함],$Q2135)&amp;"")</f>
        <v/>
      </c>
      <c r="Q2135" s="4">
        <f>IFERROR(MATCH(2130,상세표[연속순번],0),"")</f>
        <v/>
      </c>
    </row>
    <row r="2136">
      <c r="A2136">
        <f>IF($Q2136="","",INDEX(상세표[부서],$Q2136)&amp;"")</f>
        <v/>
      </c>
      <c r="B2136">
        <f>IF($Q2136="","",INDEX(상세표[사번],$Q2136)&amp;"")</f>
        <v/>
      </c>
      <c r="C2136">
        <f>IF($Q2136="","",INDEX(상세표[성명],$Q2136)&amp;"")</f>
        <v/>
      </c>
      <c r="D2136">
        <f>IF($Q2136="","",INDEX(상세표[직위],$Q2136)&amp;"")</f>
        <v/>
      </c>
      <c r="E2136">
        <f>IF($Q2136="","",IF(ISNUMBER(INDEX(상세표[근무일자],$Q2136)),TEXT(INDEX(상세표[근무일자],$Q2136),"yyyy-mm-dd"),INDEX(상세표[근무일자],$Q2136)&amp;""))</f>
        <v/>
      </c>
      <c r="F2136">
        <f>IF($Q2136="","",IF(ISNUMBER(INDEX(상세표[시작],$Q2136)),TEXT(INDEX(상세표[시작],$Q2136),"yyyy-mm-dd hh:mm"),INDEX(상세표[시작],$Q2136)&amp;""))</f>
        <v/>
      </c>
      <c r="G2136">
        <f>IF($Q2136="","",IF(ISNUMBER(INDEX(상세표[블록종료],$Q2136)),TEXT(INDEX(상세표[블록종료],$Q2136),"yyyy-mm-dd hh:mm"),INDEX(상세표[블록종료],$Q2136)&amp;""))</f>
        <v/>
      </c>
      <c r="H2136">
        <f>IF($Q2136="","",CHOOSE(WEEKDAY(INDEX(상세표[시작],$Q2136)),"일","월","화","수","목","금","토"))</f>
        <v/>
      </c>
      <c r="I2136" s="20">
        <f>IF($Q2136="","",INDEX(상세표[연속 시간],$Q2136))</f>
        <v/>
      </c>
      <c r="J2136">
        <f>IF($Q2136="","",INDEX(상세표[기록 수],$Q2136))</f>
        <v/>
      </c>
      <c r="K2136" s="20">
        <f>IF($Q2136="","",INDEX(상세표[블록 06~07시],$Q2136))</f>
        <v/>
      </c>
      <c r="L2136" s="20">
        <f>IF($Q2136="","",INDEX(상세표[블록 07~18시],$Q2136))</f>
        <v/>
      </c>
      <c r="M2136" s="20">
        <f>IF($Q2136="","",INDEX(상세표[블록 18~22시],$Q2136))</f>
        <v/>
      </c>
      <c r="N2136" s="20">
        <f>IF($Q2136="","",INDEX(상세표[블록 22~06시],$Q2136))</f>
        <v/>
      </c>
      <c r="O2136">
        <f>IF($Q2136="","",INDEX(상세표[주말·휴일 포함],$Q2136)&amp;"")</f>
        <v/>
      </c>
      <c r="P2136">
        <f>IF($Q2136="","",INDEX(상세표[월 넘김 포함],$Q2136)&amp;"")</f>
        <v/>
      </c>
      <c r="Q2136" s="4">
        <f>IFERROR(MATCH(2131,상세표[연속순번],0),"")</f>
        <v/>
      </c>
    </row>
    <row r="2137">
      <c r="A2137">
        <f>IF($Q2137="","",INDEX(상세표[부서],$Q2137)&amp;"")</f>
        <v/>
      </c>
      <c r="B2137">
        <f>IF($Q2137="","",INDEX(상세표[사번],$Q2137)&amp;"")</f>
        <v/>
      </c>
      <c r="C2137">
        <f>IF($Q2137="","",INDEX(상세표[성명],$Q2137)&amp;"")</f>
        <v/>
      </c>
      <c r="D2137">
        <f>IF($Q2137="","",INDEX(상세표[직위],$Q2137)&amp;"")</f>
        <v/>
      </c>
      <c r="E2137">
        <f>IF($Q2137="","",IF(ISNUMBER(INDEX(상세표[근무일자],$Q2137)),TEXT(INDEX(상세표[근무일자],$Q2137),"yyyy-mm-dd"),INDEX(상세표[근무일자],$Q2137)&amp;""))</f>
        <v/>
      </c>
      <c r="F2137">
        <f>IF($Q2137="","",IF(ISNUMBER(INDEX(상세표[시작],$Q2137)),TEXT(INDEX(상세표[시작],$Q2137),"yyyy-mm-dd hh:mm"),INDEX(상세표[시작],$Q2137)&amp;""))</f>
        <v/>
      </c>
      <c r="G2137">
        <f>IF($Q2137="","",IF(ISNUMBER(INDEX(상세표[블록종료],$Q2137)),TEXT(INDEX(상세표[블록종료],$Q2137),"yyyy-mm-dd hh:mm"),INDEX(상세표[블록종료],$Q2137)&amp;""))</f>
        <v/>
      </c>
      <c r="H2137">
        <f>IF($Q2137="","",CHOOSE(WEEKDAY(INDEX(상세표[시작],$Q2137)),"일","월","화","수","목","금","토"))</f>
        <v/>
      </c>
      <c r="I2137" s="20">
        <f>IF($Q2137="","",INDEX(상세표[연속 시간],$Q2137))</f>
        <v/>
      </c>
      <c r="J2137">
        <f>IF($Q2137="","",INDEX(상세표[기록 수],$Q2137))</f>
        <v/>
      </c>
      <c r="K2137" s="20">
        <f>IF($Q2137="","",INDEX(상세표[블록 06~07시],$Q2137))</f>
        <v/>
      </c>
      <c r="L2137" s="20">
        <f>IF($Q2137="","",INDEX(상세표[블록 07~18시],$Q2137))</f>
        <v/>
      </c>
      <c r="M2137" s="20">
        <f>IF($Q2137="","",INDEX(상세표[블록 18~22시],$Q2137))</f>
        <v/>
      </c>
      <c r="N2137" s="20">
        <f>IF($Q2137="","",INDEX(상세표[블록 22~06시],$Q2137))</f>
        <v/>
      </c>
      <c r="O2137">
        <f>IF($Q2137="","",INDEX(상세표[주말·휴일 포함],$Q2137)&amp;"")</f>
        <v/>
      </c>
      <c r="P2137">
        <f>IF($Q2137="","",INDEX(상세표[월 넘김 포함],$Q2137)&amp;"")</f>
        <v/>
      </c>
      <c r="Q2137" s="4">
        <f>IFERROR(MATCH(2132,상세표[연속순번],0),"")</f>
        <v/>
      </c>
    </row>
    <row r="2138">
      <c r="A2138">
        <f>IF($Q2138="","",INDEX(상세표[부서],$Q2138)&amp;"")</f>
        <v/>
      </c>
      <c r="B2138">
        <f>IF($Q2138="","",INDEX(상세표[사번],$Q2138)&amp;"")</f>
        <v/>
      </c>
      <c r="C2138">
        <f>IF($Q2138="","",INDEX(상세표[성명],$Q2138)&amp;"")</f>
        <v/>
      </c>
      <c r="D2138">
        <f>IF($Q2138="","",INDEX(상세표[직위],$Q2138)&amp;"")</f>
        <v/>
      </c>
      <c r="E2138">
        <f>IF($Q2138="","",IF(ISNUMBER(INDEX(상세표[근무일자],$Q2138)),TEXT(INDEX(상세표[근무일자],$Q2138),"yyyy-mm-dd"),INDEX(상세표[근무일자],$Q2138)&amp;""))</f>
        <v/>
      </c>
      <c r="F2138">
        <f>IF($Q2138="","",IF(ISNUMBER(INDEX(상세표[시작],$Q2138)),TEXT(INDEX(상세표[시작],$Q2138),"yyyy-mm-dd hh:mm"),INDEX(상세표[시작],$Q2138)&amp;""))</f>
        <v/>
      </c>
      <c r="G2138">
        <f>IF($Q2138="","",IF(ISNUMBER(INDEX(상세표[블록종료],$Q2138)),TEXT(INDEX(상세표[블록종료],$Q2138),"yyyy-mm-dd hh:mm"),INDEX(상세표[블록종료],$Q2138)&amp;""))</f>
        <v/>
      </c>
      <c r="H2138">
        <f>IF($Q2138="","",CHOOSE(WEEKDAY(INDEX(상세표[시작],$Q2138)),"일","월","화","수","목","금","토"))</f>
        <v/>
      </c>
      <c r="I2138" s="20">
        <f>IF($Q2138="","",INDEX(상세표[연속 시간],$Q2138))</f>
        <v/>
      </c>
      <c r="J2138">
        <f>IF($Q2138="","",INDEX(상세표[기록 수],$Q2138))</f>
        <v/>
      </c>
      <c r="K2138" s="20">
        <f>IF($Q2138="","",INDEX(상세표[블록 06~07시],$Q2138))</f>
        <v/>
      </c>
      <c r="L2138" s="20">
        <f>IF($Q2138="","",INDEX(상세표[블록 07~18시],$Q2138))</f>
        <v/>
      </c>
      <c r="M2138" s="20">
        <f>IF($Q2138="","",INDEX(상세표[블록 18~22시],$Q2138))</f>
        <v/>
      </c>
      <c r="N2138" s="20">
        <f>IF($Q2138="","",INDEX(상세표[블록 22~06시],$Q2138))</f>
        <v/>
      </c>
      <c r="O2138">
        <f>IF($Q2138="","",INDEX(상세표[주말·휴일 포함],$Q2138)&amp;"")</f>
        <v/>
      </c>
      <c r="P2138">
        <f>IF($Q2138="","",INDEX(상세표[월 넘김 포함],$Q2138)&amp;"")</f>
        <v/>
      </c>
      <c r="Q2138" s="4">
        <f>IFERROR(MATCH(2133,상세표[연속순번],0),"")</f>
        <v/>
      </c>
    </row>
    <row r="2139">
      <c r="A2139">
        <f>IF($Q2139="","",INDEX(상세표[부서],$Q2139)&amp;"")</f>
        <v/>
      </c>
      <c r="B2139">
        <f>IF($Q2139="","",INDEX(상세표[사번],$Q2139)&amp;"")</f>
        <v/>
      </c>
      <c r="C2139">
        <f>IF($Q2139="","",INDEX(상세표[성명],$Q2139)&amp;"")</f>
        <v/>
      </c>
      <c r="D2139">
        <f>IF($Q2139="","",INDEX(상세표[직위],$Q2139)&amp;"")</f>
        <v/>
      </c>
      <c r="E2139">
        <f>IF($Q2139="","",IF(ISNUMBER(INDEX(상세표[근무일자],$Q2139)),TEXT(INDEX(상세표[근무일자],$Q2139),"yyyy-mm-dd"),INDEX(상세표[근무일자],$Q2139)&amp;""))</f>
        <v/>
      </c>
      <c r="F2139">
        <f>IF($Q2139="","",IF(ISNUMBER(INDEX(상세표[시작],$Q2139)),TEXT(INDEX(상세표[시작],$Q2139),"yyyy-mm-dd hh:mm"),INDEX(상세표[시작],$Q2139)&amp;""))</f>
        <v/>
      </c>
      <c r="G2139">
        <f>IF($Q2139="","",IF(ISNUMBER(INDEX(상세표[블록종료],$Q2139)),TEXT(INDEX(상세표[블록종료],$Q2139),"yyyy-mm-dd hh:mm"),INDEX(상세표[블록종료],$Q2139)&amp;""))</f>
        <v/>
      </c>
      <c r="H2139">
        <f>IF($Q2139="","",CHOOSE(WEEKDAY(INDEX(상세표[시작],$Q2139)),"일","월","화","수","목","금","토"))</f>
        <v/>
      </c>
      <c r="I2139" s="20">
        <f>IF($Q2139="","",INDEX(상세표[연속 시간],$Q2139))</f>
        <v/>
      </c>
      <c r="J2139">
        <f>IF($Q2139="","",INDEX(상세표[기록 수],$Q2139))</f>
        <v/>
      </c>
      <c r="K2139" s="20">
        <f>IF($Q2139="","",INDEX(상세표[블록 06~07시],$Q2139))</f>
        <v/>
      </c>
      <c r="L2139" s="20">
        <f>IF($Q2139="","",INDEX(상세표[블록 07~18시],$Q2139))</f>
        <v/>
      </c>
      <c r="M2139" s="20">
        <f>IF($Q2139="","",INDEX(상세표[블록 18~22시],$Q2139))</f>
        <v/>
      </c>
      <c r="N2139" s="20">
        <f>IF($Q2139="","",INDEX(상세표[블록 22~06시],$Q2139))</f>
        <v/>
      </c>
      <c r="O2139">
        <f>IF($Q2139="","",INDEX(상세표[주말·휴일 포함],$Q2139)&amp;"")</f>
        <v/>
      </c>
      <c r="P2139">
        <f>IF($Q2139="","",INDEX(상세표[월 넘김 포함],$Q2139)&amp;"")</f>
        <v/>
      </c>
      <c r="Q2139" s="4">
        <f>IFERROR(MATCH(2134,상세표[연속순번],0),"")</f>
        <v/>
      </c>
    </row>
    <row r="2140">
      <c r="A2140">
        <f>IF($Q2140="","",INDEX(상세표[부서],$Q2140)&amp;"")</f>
        <v/>
      </c>
      <c r="B2140">
        <f>IF($Q2140="","",INDEX(상세표[사번],$Q2140)&amp;"")</f>
        <v/>
      </c>
      <c r="C2140">
        <f>IF($Q2140="","",INDEX(상세표[성명],$Q2140)&amp;"")</f>
        <v/>
      </c>
      <c r="D2140">
        <f>IF($Q2140="","",INDEX(상세표[직위],$Q2140)&amp;"")</f>
        <v/>
      </c>
      <c r="E2140">
        <f>IF($Q2140="","",IF(ISNUMBER(INDEX(상세표[근무일자],$Q2140)),TEXT(INDEX(상세표[근무일자],$Q2140),"yyyy-mm-dd"),INDEX(상세표[근무일자],$Q2140)&amp;""))</f>
        <v/>
      </c>
      <c r="F2140">
        <f>IF($Q2140="","",IF(ISNUMBER(INDEX(상세표[시작],$Q2140)),TEXT(INDEX(상세표[시작],$Q2140),"yyyy-mm-dd hh:mm"),INDEX(상세표[시작],$Q2140)&amp;""))</f>
        <v/>
      </c>
      <c r="G2140">
        <f>IF($Q2140="","",IF(ISNUMBER(INDEX(상세표[블록종료],$Q2140)),TEXT(INDEX(상세표[블록종료],$Q2140),"yyyy-mm-dd hh:mm"),INDEX(상세표[블록종료],$Q2140)&amp;""))</f>
        <v/>
      </c>
      <c r="H2140">
        <f>IF($Q2140="","",CHOOSE(WEEKDAY(INDEX(상세표[시작],$Q2140)),"일","월","화","수","목","금","토"))</f>
        <v/>
      </c>
      <c r="I2140" s="20">
        <f>IF($Q2140="","",INDEX(상세표[연속 시간],$Q2140))</f>
        <v/>
      </c>
      <c r="J2140">
        <f>IF($Q2140="","",INDEX(상세표[기록 수],$Q2140))</f>
        <v/>
      </c>
      <c r="K2140" s="20">
        <f>IF($Q2140="","",INDEX(상세표[블록 06~07시],$Q2140))</f>
        <v/>
      </c>
      <c r="L2140" s="20">
        <f>IF($Q2140="","",INDEX(상세표[블록 07~18시],$Q2140))</f>
        <v/>
      </c>
      <c r="M2140" s="20">
        <f>IF($Q2140="","",INDEX(상세표[블록 18~22시],$Q2140))</f>
        <v/>
      </c>
      <c r="N2140" s="20">
        <f>IF($Q2140="","",INDEX(상세표[블록 22~06시],$Q2140))</f>
        <v/>
      </c>
      <c r="O2140">
        <f>IF($Q2140="","",INDEX(상세표[주말·휴일 포함],$Q2140)&amp;"")</f>
        <v/>
      </c>
      <c r="P2140">
        <f>IF($Q2140="","",INDEX(상세표[월 넘김 포함],$Q2140)&amp;"")</f>
        <v/>
      </c>
      <c r="Q2140" s="4">
        <f>IFERROR(MATCH(2135,상세표[연속순번],0),"")</f>
        <v/>
      </c>
    </row>
    <row r="2141">
      <c r="A2141">
        <f>IF($Q2141="","",INDEX(상세표[부서],$Q2141)&amp;"")</f>
        <v/>
      </c>
      <c r="B2141">
        <f>IF($Q2141="","",INDEX(상세표[사번],$Q2141)&amp;"")</f>
        <v/>
      </c>
      <c r="C2141">
        <f>IF($Q2141="","",INDEX(상세표[성명],$Q2141)&amp;"")</f>
        <v/>
      </c>
      <c r="D2141">
        <f>IF($Q2141="","",INDEX(상세표[직위],$Q2141)&amp;"")</f>
        <v/>
      </c>
      <c r="E2141">
        <f>IF($Q2141="","",IF(ISNUMBER(INDEX(상세표[근무일자],$Q2141)),TEXT(INDEX(상세표[근무일자],$Q2141),"yyyy-mm-dd"),INDEX(상세표[근무일자],$Q2141)&amp;""))</f>
        <v/>
      </c>
      <c r="F2141">
        <f>IF($Q2141="","",IF(ISNUMBER(INDEX(상세표[시작],$Q2141)),TEXT(INDEX(상세표[시작],$Q2141),"yyyy-mm-dd hh:mm"),INDEX(상세표[시작],$Q2141)&amp;""))</f>
        <v/>
      </c>
      <c r="G2141">
        <f>IF($Q2141="","",IF(ISNUMBER(INDEX(상세표[블록종료],$Q2141)),TEXT(INDEX(상세표[블록종료],$Q2141),"yyyy-mm-dd hh:mm"),INDEX(상세표[블록종료],$Q2141)&amp;""))</f>
        <v/>
      </c>
      <c r="H2141">
        <f>IF($Q2141="","",CHOOSE(WEEKDAY(INDEX(상세표[시작],$Q2141)),"일","월","화","수","목","금","토"))</f>
        <v/>
      </c>
      <c r="I2141" s="20">
        <f>IF($Q2141="","",INDEX(상세표[연속 시간],$Q2141))</f>
        <v/>
      </c>
      <c r="J2141">
        <f>IF($Q2141="","",INDEX(상세표[기록 수],$Q2141))</f>
        <v/>
      </c>
      <c r="K2141" s="20">
        <f>IF($Q2141="","",INDEX(상세표[블록 06~07시],$Q2141))</f>
        <v/>
      </c>
      <c r="L2141" s="20">
        <f>IF($Q2141="","",INDEX(상세표[블록 07~18시],$Q2141))</f>
        <v/>
      </c>
      <c r="M2141" s="20">
        <f>IF($Q2141="","",INDEX(상세표[블록 18~22시],$Q2141))</f>
        <v/>
      </c>
      <c r="N2141" s="20">
        <f>IF($Q2141="","",INDEX(상세표[블록 22~06시],$Q2141))</f>
        <v/>
      </c>
      <c r="O2141">
        <f>IF($Q2141="","",INDEX(상세표[주말·휴일 포함],$Q2141)&amp;"")</f>
        <v/>
      </c>
      <c r="P2141">
        <f>IF($Q2141="","",INDEX(상세표[월 넘김 포함],$Q2141)&amp;"")</f>
        <v/>
      </c>
      <c r="Q2141" s="4">
        <f>IFERROR(MATCH(2136,상세표[연속순번],0),"")</f>
        <v/>
      </c>
    </row>
    <row r="2142">
      <c r="A2142">
        <f>IF($Q2142="","",INDEX(상세표[부서],$Q2142)&amp;"")</f>
        <v/>
      </c>
      <c r="B2142">
        <f>IF($Q2142="","",INDEX(상세표[사번],$Q2142)&amp;"")</f>
        <v/>
      </c>
      <c r="C2142">
        <f>IF($Q2142="","",INDEX(상세표[성명],$Q2142)&amp;"")</f>
        <v/>
      </c>
      <c r="D2142">
        <f>IF($Q2142="","",INDEX(상세표[직위],$Q2142)&amp;"")</f>
        <v/>
      </c>
      <c r="E2142">
        <f>IF($Q2142="","",IF(ISNUMBER(INDEX(상세표[근무일자],$Q2142)),TEXT(INDEX(상세표[근무일자],$Q2142),"yyyy-mm-dd"),INDEX(상세표[근무일자],$Q2142)&amp;""))</f>
        <v/>
      </c>
      <c r="F2142">
        <f>IF($Q2142="","",IF(ISNUMBER(INDEX(상세표[시작],$Q2142)),TEXT(INDEX(상세표[시작],$Q2142),"yyyy-mm-dd hh:mm"),INDEX(상세표[시작],$Q2142)&amp;""))</f>
        <v/>
      </c>
      <c r="G2142">
        <f>IF($Q2142="","",IF(ISNUMBER(INDEX(상세표[블록종료],$Q2142)),TEXT(INDEX(상세표[블록종료],$Q2142),"yyyy-mm-dd hh:mm"),INDEX(상세표[블록종료],$Q2142)&amp;""))</f>
        <v/>
      </c>
      <c r="H2142">
        <f>IF($Q2142="","",CHOOSE(WEEKDAY(INDEX(상세표[시작],$Q2142)),"일","월","화","수","목","금","토"))</f>
        <v/>
      </c>
      <c r="I2142" s="20">
        <f>IF($Q2142="","",INDEX(상세표[연속 시간],$Q2142))</f>
        <v/>
      </c>
      <c r="J2142">
        <f>IF($Q2142="","",INDEX(상세표[기록 수],$Q2142))</f>
        <v/>
      </c>
      <c r="K2142" s="20">
        <f>IF($Q2142="","",INDEX(상세표[블록 06~07시],$Q2142))</f>
        <v/>
      </c>
      <c r="L2142" s="20">
        <f>IF($Q2142="","",INDEX(상세표[블록 07~18시],$Q2142))</f>
        <v/>
      </c>
      <c r="M2142" s="20">
        <f>IF($Q2142="","",INDEX(상세표[블록 18~22시],$Q2142))</f>
        <v/>
      </c>
      <c r="N2142" s="20">
        <f>IF($Q2142="","",INDEX(상세표[블록 22~06시],$Q2142))</f>
        <v/>
      </c>
      <c r="O2142">
        <f>IF($Q2142="","",INDEX(상세표[주말·휴일 포함],$Q2142)&amp;"")</f>
        <v/>
      </c>
      <c r="P2142">
        <f>IF($Q2142="","",INDEX(상세표[월 넘김 포함],$Q2142)&amp;"")</f>
        <v/>
      </c>
      <c r="Q2142" s="4">
        <f>IFERROR(MATCH(2137,상세표[연속순번],0),"")</f>
        <v/>
      </c>
    </row>
    <row r="2143">
      <c r="A2143">
        <f>IF($Q2143="","",INDEX(상세표[부서],$Q2143)&amp;"")</f>
        <v/>
      </c>
      <c r="B2143">
        <f>IF($Q2143="","",INDEX(상세표[사번],$Q2143)&amp;"")</f>
        <v/>
      </c>
      <c r="C2143">
        <f>IF($Q2143="","",INDEX(상세표[성명],$Q2143)&amp;"")</f>
        <v/>
      </c>
      <c r="D2143">
        <f>IF($Q2143="","",INDEX(상세표[직위],$Q2143)&amp;"")</f>
        <v/>
      </c>
      <c r="E2143">
        <f>IF($Q2143="","",IF(ISNUMBER(INDEX(상세표[근무일자],$Q2143)),TEXT(INDEX(상세표[근무일자],$Q2143),"yyyy-mm-dd"),INDEX(상세표[근무일자],$Q2143)&amp;""))</f>
        <v/>
      </c>
      <c r="F2143">
        <f>IF($Q2143="","",IF(ISNUMBER(INDEX(상세표[시작],$Q2143)),TEXT(INDEX(상세표[시작],$Q2143),"yyyy-mm-dd hh:mm"),INDEX(상세표[시작],$Q2143)&amp;""))</f>
        <v/>
      </c>
      <c r="G2143">
        <f>IF($Q2143="","",IF(ISNUMBER(INDEX(상세표[블록종료],$Q2143)),TEXT(INDEX(상세표[블록종료],$Q2143),"yyyy-mm-dd hh:mm"),INDEX(상세표[블록종료],$Q2143)&amp;""))</f>
        <v/>
      </c>
      <c r="H2143">
        <f>IF($Q2143="","",CHOOSE(WEEKDAY(INDEX(상세표[시작],$Q2143)),"일","월","화","수","목","금","토"))</f>
        <v/>
      </c>
      <c r="I2143" s="20">
        <f>IF($Q2143="","",INDEX(상세표[연속 시간],$Q2143))</f>
        <v/>
      </c>
      <c r="J2143">
        <f>IF($Q2143="","",INDEX(상세표[기록 수],$Q2143))</f>
        <v/>
      </c>
      <c r="K2143" s="20">
        <f>IF($Q2143="","",INDEX(상세표[블록 06~07시],$Q2143))</f>
        <v/>
      </c>
      <c r="L2143" s="20">
        <f>IF($Q2143="","",INDEX(상세표[블록 07~18시],$Q2143))</f>
        <v/>
      </c>
      <c r="M2143" s="20">
        <f>IF($Q2143="","",INDEX(상세표[블록 18~22시],$Q2143))</f>
        <v/>
      </c>
      <c r="N2143" s="20">
        <f>IF($Q2143="","",INDEX(상세표[블록 22~06시],$Q2143))</f>
        <v/>
      </c>
      <c r="O2143">
        <f>IF($Q2143="","",INDEX(상세표[주말·휴일 포함],$Q2143)&amp;"")</f>
        <v/>
      </c>
      <c r="P2143">
        <f>IF($Q2143="","",INDEX(상세표[월 넘김 포함],$Q2143)&amp;"")</f>
        <v/>
      </c>
      <c r="Q2143" s="4">
        <f>IFERROR(MATCH(2138,상세표[연속순번],0),"")</f>
        <v/>
      </c>
    </row>
    <row r="2144">
      <c r="A2144">
        <f>IF($Q2144="","",INDEX(상세표[부서],$Q2144)&amp;"")</f>
        <v/>
      </c>
      <c r="B2144">
        <f>IF($Q2144="","",INDEX(상세표[사번],$Q2144)&amp;"")</f>
        <v/>
      </c>
      <c r="C2144">
        <f>IF($Q2144="","",INDEX(상세표[성명],$Q2144)&amp;"")</f>
        <v/>
      </c>
      <c r="D2144">
        <f>IF($Q2144="","",INDEX(상세표[직위],$Q2144)&amp;"")</f>
        <v/>
      </c>
      <c r="E2144">
        <f>IF($Q2144="","",IF(ISNUMBER(INDEX(상세표[근무일자],$Q2144)),TEXT(INDEX(상세표[근무일자],$Q2144),"yyyy-mm-dd"),INDEX(상세표[근무일자],$Q2144)&amp;""))</f>
        <v/>
      </c>
      <c r="F2144">
        <f>IF($Q2144="","",IF(ISNUMBER(INDEX(상세표[시작],$Q2144)),TEXT(INDEX(상세표[시작],$Q2144),"yyyy-mm-dd hh:mm"),INDEX(상세표[시작],$Q2144)&amp;""))</f>
        <v/>
      </c>
      <c r="G2144">
        <f>IF($Q2144="","",IF(ISNUMBER(INDEX(상세표[블록종료],$Q2144)),TEXT(INDEX(상세표[블록종료],$Q2144),"yyyy-mm-dd hh:mm"),INDEX(상세표[블록종료],$Q2144)&amp;""))</f>
        <v/>
      </c>
      <c r="H2144">
        <f>IF($Q2144="","",CHOOSE(WEEKDAY(INDEX(상세표[시작],$Q2144)),"일","월","화","수","목","금","토"))</f>
        <v/>
      </c>
      <c r="I2144" s="20">
        <f>IF($Q2144="","",INDEX(상세표[연속 시간],$Q2144))</f>
        <v/>
      </c>
      <c r="J2144">
        <f>IF($Q2144="","",INDEX(상세표[기록 수],$Q2144))</f>
        <v/>
      </c>
      <c r="K2144" s="20">
        <f>IF($Q2144="","",INDEX(상세표[블록 06~07시],$Q2144))</f>
        <v/>
      </c>
      <c r="L2144" s="20">
        <f>IF($Q2144="","",INDEX(상세표[블록 07~18시],$Q2144))</f>
        <v/>
      </c>
      <c r="M2144" s="20">
        <f>IF($Q2144="","",INDEX(상세표[블록 18~22시],$Q2144))</f>
        <v/>
      </c>
      <c r="N2144" s="20">
        <f>IF($Q2144="","",INDEX(상세표[블록 22~06시],$Q2144))</f>
        <v/>
      </c>
      <c r="O2144">
        <f>IF($Q2144="","",INDEX(상세표[주말·휴일 포함],$Q2144)&amp;"")</f>
        <v/>
      </c>
      <c r="P2144">
        <f>IF($Q2144="","",INDEX(상세표[월 넘김 포함],$Q2144)&amp;"")</f>
        <v/>
      </c>
      <c r="Q2144" s="4">
        <f>IFERROR(MATCH(2139,상세표[연속순번],0),"")</f>
        <v/>
      </c>
    </row>
    <row r="2145">
      <c r="A2145">
        <f>IF($Q2145="","",INDEX(상세표[부서],$Q2145)&amp;"")</f>
        <v/>
      </c>
      <c r="B2145">
        <f>IF($Q2145="","",INDEX(상세표[사번],$Q2145)&amp;"")</f>
        <v/>
      </c>
      <c r="C2145">
        <f>IF($Q2145="","",INDEX(상세표[성명],$Q2145)&amp;"")</f>
        <v/>
      </c>
      <c r="D2145">
        <f>IF($Q2145="","",INDEX(상세표[직위],$Q2145)&amp;"")</f>
        <v/>
      </c>
      <c r="E2145">
        <f>IF($Q2145="","",IF(ISNUMBER(INDEX(상세표[근무일자],$Q2145)),TEXT(INDEX(상세표[근무일자],$Q2145),"yyyy-mm-dd"),INDEX(상세표[근무일자],$Q2145)&amp;""))</f>
        <v/>
      </c>
      <c r="F2145">
        <f>IF($Q2145="","",IF(ISNUMBER(INDEX(상세표[시작],$Q2145)),TEXT(INDEX(상세표[시작],$Q2145),"yyyy-mm-dd hh:mm"),INDEX(상세표[시작],$Q2145)&amp;""))</f>
        <v/>
      </c>
      <c r="G2145">
        <f>IF($Q2145="","",IF(ISNUMBER(INDEX(상세표[블록종료],$Q2145)),TEXT(INDEX(상세표[블록종료],$Q2145),"yyyy-mm-dd hh:mm"),INDEX(상세표[블록종료],$Q2145)&amp;""))</f>
        <v/>
      </c>
      <c r="H2145">
        <f>IF($Q2145="","",CHOOSE(WEEKDAY(INDEX(상세표[시작],$Q2145)),"일","월","화","수","목","금","토"))</f>
        <v/>
      </c>
      <c r="I2145" s="20">
        <f>IF($Q2145="","",INDEX(상세표[연속 시간],$Q2145))</f>
        <v/>
      </c>
      <c r="J2145">
        <f>IF($Q2145="","",INDEX(상세표[기록 수],$Q2145))</f>
        <v/>
      </c>
      <c r="K2145" s="20">
        <f>IF($Q2145="","",INDEX(상세표[블록 06~07시],$Q2145))</f>
        <v/>
      </c>
      <c r="L2145" s="20">
        <f>IF($Q2145="","",INDEX(상세표[블록 07~18시],$Q2145))</f>
        <v/>
      </c>
      <c r="M2145" s="20">
        <f>IF($Q2145="","",INDEX(상세표[블록 18~22시],$Q2145))</f>
        <v/>
      </c>
      <c r="N2145" s="20">
        <f>IF($Q2145="","",INDEX(상세표[블록 22~06시],$Q2145))</f>
        <v/>
      </c>
      <c r="O2145">
        <f>IF($Q2145="","",INDEX(상세표[주말·휴일 포함],$Q2145)&amp;"")</f>
        <v/>
      </c>
      <c r="P2145">
        <f>IF($Q2145="","",INDEX(상세표[월 넘김 포함],$Q2145)&amp;"")</f>
        <v/>
      </c>
      <c r="Q2145" s="4">
        <f>IFERROR(MATCH(2140,상세표[연속순번],0),"")</f>
        <v/>
      </c>
    </row>
    <row r="2146">
      <c r="A2146">
        <f>IF($Q2146="","",INDEX(상세표[부서],$Q2146)&amp;"")</f>
        <v/>
      </c>
      <c r="B2146">
        <f>IF($Q2146="","",INDEX(상세표[사번],$Q2146)&amp;"")</f>
        <v/>
      </c>
      <c r="C2146">
        <f>IF($Q2146="","",INDEX(상세표[성명],$Q2146)&amp;"")</f>
        <v/>
      </c>
      <c r="D2146">
        <f>IF($Q2146="","",INDEX(상세표[직위],$Q2146)&amp;"")</f>
        <v/>
      </c>
      <c r="E2146">
        <f>IF($Q2146="","",IF(ISNUMBER(INDEX(상세표[근무일자],$Q2146)),TEXT(INDEX(상세표[근무일자],$Q2146),"yyyy-mm-dd"),INDEX(상세표[근무일자],$Q2146)&amp;""))</f>
        <v/>
      </c>
      <c r="F2146">
        <f>IF($Q2146="","",IF(ISNUMBER(INDEX(상세표[시작],$Q2146)),TEXT(INDEX(상세표[시작],$Q2146),"yyyy-mm-dd hh:mm"),INDEX(상세표[시작],$Q2146)&amp;""))</f>
        <v/>
      </c>
      <c r="G2146">
        <f>IF($Q2146="","",IF(ISNUMBER(INDEX(상세표[블록종료],$Q2146)),TEXT(INDEX(상세표[블록종료],$Q2146),"yyyy-mm-dd hh:mm"),INDEX(상세표[블록종료],$Q2146)&amp;""))</f>
        <v/>
      </c>
      <c r="H2146">
        <f>IF($Q2146="","",CHOOSE(WEEKDAY(INDEX(상세표[시작],$Q2146)),"일","월","화","수","목","금","토"))</f>
        <v/>
      </c>
      <c r="I2146" s="20">
        <f>IF($Q2146="","",INDEX(상세표[연속 시간],$Q2146))</f>
        <v/>
      </c>
      <c r="J2146">
        <f>IF($Q2146="","",INDEX(상세표[기록 수],$Q2146))</f>
        <v/>
      </c>
      <c r="K2146" s="20">
        <f>IF($Q2146="","",INDEX(상세표[블록 06~07시],$Q2146))</f>
        <v/>
      </c>
      <c r="L2146" s="20">
        <f>IF($Q2146="","",INDEX(상세표[블록 07~18시],$Q2146))</f>
        <v/>
      </c>
      <c r="M2146" s="20">
        <f>IF($Q2146="","",INDEX(상세표[블록 18~22시],$Q2146))</f>
        <v/>
      </c>
      <c r="N2146" s="20">
        <f>IF($Q2146="","",INDEX(상세표[블록 22~06시],$Q2146))</f>
        <v/>
      </c>
      <c r="O2146">
        <f>IF($Q2146="","",INDEX(상세표[주말·휴일 포함],$Q2146)&amp;"")</f>
        <v/>
      </c>
      <c r="P2146">
        <f>IF($Q2146="","",INDEX(상세표[월 넘김 포함],$Q2146)&amp;"")</f>
        <v/>
      </c>
      <c r="Q2146" s="4">
        <f>IFERROR(MATCH(2141,상세표[연속순번],0),"")</f>
        <v/>
      </c>
    </row>
    <row r="2147">
      <c r="A2147">
        <f>IF($Q2147="","",INDEX(상세표[부서],$Q2147)&amp;"")</f>
        <v/>
      </c>
      <c r="B2147">
        <f>IF($Q2147="","",INDEX(상세표[사번],$Q2147)&amp;"")</f>
        <v/>
      </c>
      <c r="C2147">
        <f>IF($Q2147="","",INDEX(상세표[성명],$Q2147)&amp;"")</f>
        <v/>
      </c>
      <c r="D2147">
        <f>IF($Q2147="","",INDEX(상세표[직위],$Q2147)&amp;"")</f>
        <v/>
      </c>
      <c r="E2147">
        <f>IF($Q2147="","",IF(ISNUMBER(INDEX(상세표[근무일자],$Q2147)),TEXT(INDEX(상세표[근무일자],$Q2147),"yyyy-mm-dd"),INDEX(상세표[근무일자],$Q2147)&amp;""))</f>
        <v/>
      </c>
      <c r="F2147">
        <f>IF($Q2147="","",IF(ISNUMBER(INDEX(상세표[시작],$Q2147)),TEXT(INDEX(상세표[시작],$Q2147),"yyyy-mm-dd hh:mm"),INDEX(상세표[시작],$Q2147)&amp;""))</f>
        <v/>
      </c>
      <c r="G2147">
        <f>IF($Q2147="","",IF(ISNUMBER(INDEX(상세표[블록종료],$Q2147)),TEXT(INDEX(상세표[블록종료],$Q2147),"yyyy-mm-dd hh:mm"),INDEX(상세표[블록종료],$Q2147)&amp;""))</f>
        <v/>
      </c>
      <c r="H2147">
        <f>IF($Q2147="","",CHOOSE(WEEKDAY(INDEX(상세표[시작],$Q2147)),"일","월","화","수","목","금","토"))</f>
        <v/>
      </c>
      <c r="I2147" s="20">
        <f>IF($Q2147="","",INDEX(상세표[연속 시간],$Q2147))</f>
        <v/>
      </c>
      <c r="J2147">
        <f>IF($Q2147="","",INDEX(상세표[기록 수],$Q2147))</f>
        <v/>
      </c>
      <c r="K2147" s="20">
        <f>IF($Q2147="","",INDEX(상세표[블록 06~07시],$Q2147))</f>
        <v/>
      </c>
      <c r="L2147" s="20">
        <f>IF($Q2147="","",INDEX(상세표[블록 07~18시],$Q2147))</f>
        <v/>
      </c>
      <c r="M2147" s="20">
        <f>IF($Q2147="","",INDEX(상세표[블록 18~22시],$Q2147))</f>
        <v/>
      </c>
      <c r="N2147" s="20">
        <f>IF($Q2147="","",INDEX(상세표[블록 22~06시],$Q2147))</f>
        <v/>
      </c>
      <c r="O2147">
        <f>IF($Q2147="","",INDEX(상세표[주말·휴일 포함],$Q2147)&amp;"")</f>
        <v/>
      </c>
      <c r="P2147">
        <f>IF($Q2147="","",INDEX(상세표[월 넘김 포함],$Q2147)&amp;"")</f>
        <v/>
      </c>
      <c r="Q2147" s="4">
        <f>IFERROR(MATCH(2142,상세표[연속순번],0),"")</f>
        <v/>
      </c>
    </row>
    <row r="2148">
      <c r="A2148">
        <f>IF($Q2148="","",INDEX(상세표[부서],$Q2148)&amp;"")</f>
        <v/>
      </c>
      <c r="B2148">
        <f>IF($Q2148="","",INDEX(상세표[사번],$Q2148)&amp;"")</f>
        <v/>
      </c>
      <c r="C2148">
        <f>IF($Q2148="","",INDEX(상세표[성명],$Q2148)&amp;"")</f>
        <v/>
      </c>
      <c r="D2148">
        <f>IF($Q2148="","",INDEX(상세표[직위],$Q2148)&amp;"")</f>
        <v/>
      </c>
      <c r="E2148">
        <f>IF($Q2148="","",IF(ISNUMBER(INDEX(상세표[근무일자],$Q2148)),TEXT(INDEX(상세표[근무일자],$Q2148),"yyyy-mm-dd"),INDEX(상세표[근무일자],$Q2148)&amp;""))</f>
        <v/>
      </c>
      <c r="F2148">
        <f>IF($Q2148="","",IF(ISNUMBER(INDEX(상세표[시작],$Q2148)),TEXT(INDEX(상세표[시작],$Q2148),"yyyy-mm-dd hh:mm"),INDEX(상세표[시작],$Q2148)&amp;""))</f>
        <v/>
      </c>
      <c r="G2148">
        <f>IF($Q2148="","",IF(ISNUMBER(INDEX(상세표[블록종료],$Q2148)),TEXT(INDEX(상세표[블록종료],$Q2148),"yyyy-mm-dd hh:mm"),INDEX(상세표[블록종료],$Q2148)&amp;""))</f>
        <v/>
      </c>
      <c r="H2148">
        <f>IF($Q2148="","",CHOOSE(WEEKDAY(INDEX(상세표[시작],$Q2148)),"일","월","화","수","목","금","토"))</f>
        <v/>
      </c>
      <c r="I2148" s="20">
        <f>IF($Q2148="","",INDEX(상세표[연속 시간],$Q2148))</f>
        <v/>
      </c>
      <c r="J2148">
        <f>IF($Q2148="","",INDEX(상세표[기록 수],$Q2148))</f>
        <v/>
      </c>
      <c r="K2148" s="20">
        <f>IF($Q2148="","",INDEX(상세표[블록 06~07시],$Q2148))</f>
        <v/>
      </c>
      <c r="L2148" s="20">
        <f>IF($Q2148="","",INDEX(상세표[블록 07~18시],$Q2148))</f>
        <v/>
      </c>
      <c r="M2148" s="20">
        <f>IF($Q2148="","",INDEX(상세표[블록 18~22시],$Q2148))</f>
        <v/>
      </c>
      <c r="N2148" s="20">
        <f>IF($Q2148="","",INDEX(상세표[블록 22~06시],$Q2148))</f>
        <v/>
      </c>
      <c r="O2148">
        <f>IF($Q2148="","",INDEX(상세표[주말·휴일 포함],$Q2148)&amp;"")</f>
        <v/>
      </c>
      <c r="P2148">
        <f>IF($Q2148="","",INDEX(상세표[월 넘김 포함],$Q2148)&amp;"")</f>
        <v/>
      </c>
      <c r="Q2148" s="4">
        <f>IFERROR(MATCH(2143,상세표[연속순번],0),"")</f>
        <v/>
      </c>
    </row>
    <row r="2149">
      <c r="A2149">
        <f>IF($Q2149="","",INDEX(상세표[부서],$Q2149)&amp;"")</f>
        <v/>
      </c>
      <c r="B2149">
        <f>IF($Q2149="","",INDEX(상세표[사번],$Q2149)&amp;"")</f>
        <v/>
      </c>
      <c r="C2149">
        <f>IF($Q2149="","",INDEX(상세표[성명],$Q2149)&amp;"")</f>
        <v/>
      </c>
      <c r="D2149">
        <f>IF($Q2149="","",INDEX(상세표[직위],$Q2149)&amp;"")</f>
        <v/>
      </c>
      <c r="E2149">
        <f>IF($Q2149="","",IF(ISNUMBER(INDEX(상세표[근무일자],$Q2149)),TEXT(INDEX(상세표[근무일자],$Q2149),"yyyy-mm-dd"),INDEX(상세표[근무일자],$Q2149)&amp;""))</f>
        <v/>
      </c>
      <c r="F2149">
        <f>IF($Q2149="","",IF(ISNUMBER(INDEX(상세표[시작],$Q2149)),TEXT(INDEX(상세표[시작],$Q2149),"yyyy-mm-dd hh:mm"),INDEX(상세표[시작],$Q2149)&amp;""))</f>
        <v/>
      </c>
      <c r="G2149">
        <f>IF($Q2149="","",IF(ISNUMBER(INDEX(상세표[블록종료],$Q2149)),TEXT(INDEX(상세표[블록종료],$Q2149),"yyyy-mm-dd hh:mm"),INDEX(상세표[블록종료],$Q2149)&amp;""))</f>
        <v/>
      </c>
      <c r="H2149">
        <f>IF($Q2149="","",CHOOSE(WEEKDAY(INDEX(상세표[시작],$Q2149)),"일","월","화","수","목","금","토"))</f>
        <v/>
      </c>
      <c r="I2149" s="20">
        <f>IF($Q2149="","",INDEX(상세표[연속 시간],$Q2149))</f>
        <v/>
      </c>
      <c r="J2149">
        <f>IF($Q2149="","",INDEX(상세표[기록 수],$Q2149))</f>
        <v/>
      </c>
      <c r="K2149" s="20">
        <f>IF($Q2149="","",INDEX(상세표[블록 06~07시],$Q2149))</f>
        <v/>
      </c>
      <c r="L2149" s="20">
        <f>IF($Q2149="","",INDEX(상세표[블록 07~18시],$Q2149))</f>
        <v/>
      </c>
      <c r="M2149" s="20">
        <f>IF($Q2149="","",INDEX(상세표[블록 18~22시],$Q2149))</f>
        <v/>
      </c>
      <c r="N2149" s="20">
        <f>IF($Q2149="","",INDEX(상세표[블록 22~06시],$Q2149))</f>
        <v/>
      </c>
      <c r="O2149">
        <f>IF($Q2149="","",INDEX(상세표[주말·휴일 포함],$Q2149)&amp;"")</f>
        <v/>
      </c>
      <c r="P2149">
        <f>IF($Q2149="","",INDEX(상세표[월 넘김 포함],$Q2149)&amp;"")</f>
        <v/>
      </c>
      <c r="Q2149" s="4">
        <f>IFERROR(MATCH(2144,상세표[연속순번],0),"")</f>
        <v/>
      </c>
    </row>
    <row r="2150">
      <c r="A2150">
        <f>IF($Q2150="","",INDEX(상세표[부서],$Q2150)&amp;"")</f>
        <v/>
      </c>
      <c r="B2150">
        <f>IF($Q2150="","",INDEX(상세표[사번],$Q2150)&amp;"")</f>
        <v/>
      </c>
      <c r="C2150">
        <f>IF($Q2150="","",INDEX(상세표[성명],$Q2150)&amp;"")</f>
        <v/>
      </c>
      <c r="D2150">
        <f>IF($Q2150="","",INDEX(상세표[직위],$Q2150)&amp;"")</f>
        <v/>
      </c>
      <c r="E2150">
        <f>IF($Q2150="","",IF(ISNUMBER(INDEX(상세표[근무일자],$Q2150)),TEXT(INDEX(상세표[근무일자],$Q2150),"yyyy-mm-dd"),INDEX(상세표[근무일자],$Q2150)&amp;""))</f>
        <v/>
      </c>
      <c r="F2150">
        <f>IF($Q2150="","",IF(ISNUMBER(INDEX(상세표[시작],$Q2150)),TEXT(INDEX(상세표[시작],$Q2150),"yyyy-mm-dd hh:mm"),INDEX(상세표[시작],$Q2150)&amp;""))</f>
        <v/>
      </c>
      <c r="G2150">
        <f>IF($Q2150="","",IF(ISNUMBER(INDEX(상세표[블록종료],$Q2150)),TEXT(INDEX(상세표[블록종료],$Q2150),"yyyy-mm-dd hh:mm"),INDEX(상세표[블록종료],$Q2150)&amp;""))</f>
        <v/>
      </c>
      <c r="H2150">
        <f>IF($Q2150="","",CHOOSE(WEEKDAY(INDEX(상세표[시작],$Q2150)),"일","월","화","수","목","금","토"))</f>
        <v/>
      </c>
      <c r="I2150" s="20">
        <f>IF($Q2150="","",INDEX(상세표[연속 시간],$Q2150))</f>
        <v/>
      </c>
      <c r="J2150">
        <f>IF($Q2150="","",INDEX(상세표[기록 수],$Q2150))</f>
        <v/>
      </c>
      <c r="K2150" s="20">
        <f>IF($Q2150="","",INDEX(상세표[블록 06~07시],$Q2150))</f>
        <v/>
      </c>
      <c r="L2150" s="20">
        <f>IF($Q2150="","",INDEX(상세표[블록 07~18시],$Q2150))</f>
        <v/>
      </c>
      <c r="M2150" s="20">
        <f>IF($Q2150="","",INDEX(상세표[블록 18~22시],$Q2150))</f>
        <v/>
      </c>
      <c r="N2150" s="20">
        <f>IF($Q2150="","",INDEX(상세표[블록 22~06시],$Q2150))</f>
        <v/>
      </c>
      <c r="O2150">
        <f>IF($Q2150="","",INDEX(상세표[주말·휴일 포함],$Q2150)&amp;"")</f>
        <v/>
      </c>
      <c r="P2150">
        <f>IF($Q2150="","",INDEX(상세표[월 넘김 포함],$Q2150)&amp;"")</f>
        <v/>
      </c>
      <c r="Q2150" s="4">
        <f>IFERROR(MATCH(2145,상세표[연속순번],0),"")</f>
        <v/>
      </c>
    </row>
    <row r="2151">
      <c r="A2151">
        <f>IF($Q2151="","",INDEX(상세표[부서],$Q2151)&amp;"")</f>
        <v/>
      </c>
      <c r="B2151">
        <f>IF($Q2151="","",INDEX(상세표[사번],$Q2151)&amp;"")</f>
        <v/>
      </c>
      <c r="C2151">
        <f>IF($Q2151="","",INDEX(상세표[성명],$Q2151)&amp;"")</f>
        <v/>
      </c>
      <c r="D2151">
        <f>IF($Q2151="","",INDEX(상세표[직위],$Q2151)&amp;"")</f>
        <v/>
      </c>
      <c r="E2151">
        <f>IF($Q2151="","",IF(ISNUMBER(INDEX(상세표[근무일자],$Q2151)),TEXT(INDEX(상세표[근무일자],$Q2151),"yyyy-mm-dd"),INDEX(상세표[근무일자],$Q2151)&amp;""))</f>
        <v/>
      </c>
      <c r="F2151">
        <f>IF($Q2151="","",IF(ISNUMBER(INDEX(상세표[시작],$Q2151)),TEXT(INDEX(상세표[시작],$Q2151),"yyyy-mm-dd hh:mm"),INDEX(상세표[시작],$Q2151)&amp;""))</f>
        <v/>
      </c>
      <c r="G2151">
        <f>IF($Q2151="","",IF(ISNUMBER(INDEX(상세표[블록종료],$Q2151)),TEXT(INDEX(상세표[블록종료],$Q2151),"yyyy-mm-dd hh:mm"),INDEX(상세표[블록종료],$Q2151)&amp;""))</f>
        <v/>
      </c>
      <c r="H2151">
        <f>IF($Q2151="","",CHOOSE(WEEKDAY(INDEX(상세표[시작],$Q2151)),"일","월","화","수","목","금","토"))</f>
        <v/>
      </c>
      <c r="I2151" s="20">
        <f>IF($Q2151="","",INDEX(상세표[연속 시간],$Q2151))</f>
        <v/>
      </c>
      <c r="J2151">
        <f>IF($Q2151="","",INDEX(상세표[기록 수],$Q2151))</f>
        <v/>
      </c>
      <c r="K2151" s="20">
        <f>IF($Q2151="","",INDEX(상세표[블록 06~07시],$Q2151))</f>
        <v/>
      </c>
      <c r="L2151" s="20">
        <f>IF($Q2151="","",INDEX(상세표[블록 07~18시],$Q2151))</f>
        <v/>
      </c>
      <c r="M2151" s="20">
        <f>IF($Q2151="","",INDEX(상세표[블록 18~22시],$Q2151))</f>
        <v/>
      </c>
      <c r="N2151" s="20">
        <f>IF($Q2151="","",INDEX(상세표[블록 22~06시],$Q2151))</f>
        <v/>
      </c>
      <c r="O2151">
        <f>IF($Q2151="","",INDEX(상세표[주말·휴일 포함],$Q2151)&amp;"")</f>
        <v/>
      </c>
      <c r="P2151">
        <f>IF($Q2151="","",INDEX(상세표[월 넘김 포함],$Q2151)&amp;"")</f>
        <v/>
      </c>
      <c r="Q2151" s="4">
        <f>IFERROR(MATCH(2146,상세표[연속순번],0),"")</f>
        <v/>
      </c>
    </row>
    <row r="2152">
      <c r="A2152">
        <f>IF($Q2152="","",INDEX(상세표[부서],$Q2152)&amp;"")</f>
        <v/>
      </c>
      <c r="B2152">
        <f>IF($Q2152="","",INDEX(상세표[사번],$Q2152)&amp;"")</f>
        <v/>
      </c>
      <c r="C2152">
        <f>IF($Q2152="","",INDEX(상세표[성명],$Q2152)&amp;"")</f>
        <v/>
      </c>
      <c r="D2152">
        <f>IF($Q2152="","",INDEX(상세표[직위],$Q2152)&amp;"")</f>
        <v/>
      </c>
      <c r="E2152">
        <f>IF($Q2152="","",IF(ISNUMBER(INDEX(상세표[근무일자],$Q2152)),TEXT(INDEX(상세표[근무일자],$Q2152),"yyyy-mm-dd"),INDEX(상세표[근무일자],$Q2152)&amp;""))</f>
        <v/>
      </c>
      <c r="F2152">
        <f>IF($Q2152="","",IF(ISNUMBER(INDEX(상세표[시작],$Q2152)),TEXT(INDEX(상세표[시작],$Q2152),"yyyy-mm-dd hh:mm"),INDEX(상세표[시작],$Q2152)&amp;""))</f>
        <v/>
      </c>
      <c r="G2152">
        <f>IF($Q2152="","",IF(ISNUMBER(INDEX(상세표[블록종료],$Q2152)),TEXT(INDEX(상세표[블록종료],$Q2152),"yyyy-mm-dd hh:mm"),INDEX(상세표[블록종료],$Q2152)&amp;""))</f>
        <v/>
      </c>
      <c r="H2152">
        <f>IF($Q2152="","",CHOOSE(WEEKDAY(INDEX(상세표[시작],$Q2152)),"일","월","화","수","목","금","토"))</f>
        <v/>
      </c>
      <c r="I2152" s="20">
        <f>IF($Q2152="","",INDEX(상세표[연속 시간],$Q2152))</f>
        <v/>
      </c>
      <c r="J2152">
        <f>IF($Q2152="","",INDEX(상세표[기록 수],$Q2152))</f>
        <v/>
      </c>
      <c r="K2152" s="20">
        <f>IF($Q2152="","",INDEX(상세표[블록 06~07시],$Q2152))</f>
        <v/>
      </c>
      <c r="L2152" s="20">
        <f>IF($Q2152="","",INDEX(상세표[블록 07~18시],$Q2152))</f>
        <v/>
      </c>
      <c r="M2152" s="20">
        <f>IF($Q2152="","",INDEX(상세표[블록 18~22시],$Q2152))</f>
        <v/>
      </c>
      <c r="N2152" s="20">
        <f>IF($Q2152="","",INDEX(상세표[블록 22~06시],$Q2152))</f>
        <v/>
      </c>
      <c r="O2152">
        <f>IF($Q2152="","",INDEX(상세표[주말·휴일 포함],$Q2152)&amp;"")</f>
        <v/>
      </c>
      <c r="P2152">
        <f>IF($Q2152="","",INDEX(상세표[월 넘김 포함],$Q2152)&amp;"")</f>
        <v/>
      </c>
      <c r="Q2152" s="4">
        <f>IFERROR(MATCH(2147,상세표[연속순번],0),"")</f>
        <v/>
      </c>
    </row>
    <row r="2153">
      <c r="A2153">
        <f>IF($Q2153="","",INDEX(상세표[부서],$Q2153)&amp;"")</f>
        <v/>
      </c>
      <c r="B2153">
        <f>IF($Q2153="","",INDEX(상세표[사번],$Q2153)&amp;"")</f>
        <v/>
      </c>
      <c r="C2153">
        <f>IF($Q2153="","",INDEX(상세표[성명],$Q2153)&amp;"")</f>
        <v/>
      </c>
      <c r="D2153">
        <f>IF($Q2153="","",INDEX(상세표[직위],$Q2153)&amp;"")</f>
        <v/>
      </c>
      <c r="E2153">
        <f>IF($Q2153="","",IF(ISNUMBER(INDEX(상세표[근무일자],$Q2153)),TEXT(INDEX(상세표[근무일자],$Q2153),"yyyy-mm-dd"),INDEX(상세표[근무일자],$Q2153)&amp;""))</f>
        <v/>
      </c>
      <c r="F2153">
        <f>IF($Q2153="","",IF(ISNUMBER(INDEX(상세표[시작],$Q2153)),TEXT(INDEX(상세표[시작],$Q2153),"yyyy-mm-dd hh:mm"),INDEX(상세표[시작],$Q2153)&amp;""))</f>
        <v/>
      </c>
      <c r="G2153">
        <f>IF($Q2153="","",IF(ISNUMBER(INDEX(상세표[블록종료],$Q2153)),TEXT(INDEX(상세표[블록종료],$Q2153),"yyyy-mm-dd hh:mm"),INDEX(상세표[블록종료],$Q2153)&amp;""))</f>
        <v/>
      </c>
      <c r="H2153">
        <f>IF($Q2153="","",CHOOSE(WEEKDAY(INDEX(상세표[시작],$Q2153)),"일","월","화","수","목","금","토"))</f>
        <v/>
      </c>
      <c r="I2153" s="20">
        <f>IF($Q2153="","",INDEX(상세표[연속 시간],$Q2153))</f>
        <v/>
      </c>
      <c r="J2153">
        <f>IF($Q2153="","",INDEX(상세표[기록 수],$Q2153))</f>
        <v/>
      </c>
      <c r="K2153" s="20">
        <f>IF($Q2153="","",INDEX(상세표[블록 06~07시],$Q2153))</f>
        <v/>
      </c>
      <c r="L2153" s="20">
        <f>IF($Q2153="","",INDEX(상세표[블록 07~18시],$Q2153))</f>
        <v/>
      </c>
      <c r="M2153" s="20">
        <f>IF($Q2153="","",INDEX(상세표[블록 18~22시],$Q2153))</f>
        <v/>
      </c>
      <c r="N2153" s="20">
        <f>IF($Q2153="","",INDEX(상세표[블록 22~06시],$Q2153))</f>
        <v/>
      </c>
      <c r="O2153">
        <f>IF($Q2153="","",INDEX(상세표[주말·휴일 포함],$Q2153)&amp;"")</f>
        <v/>
      </c>
      <c r="P2153">
        <f>IF($Q2153="","",INDEX(상세표[월 넘김 포함],$Q2153)&amp;"")</f>
        <v/>
      </c>
      <c r="Q2153" s="4">
        <f>IFERROR(MATCH(2148,상세표[연속순번],0),"")</f>
        <v/>
      </c>
    </row>
    <row r="2154">
      <c r="A2154">
        <f>IF($Q2154="","",INDEX(상세표[부서],$Q2154)&amp;"")</f>
        <v/>
      </c>
      <c r="B2154">
        <f>IF($Q2154="","",INDEX(상세표[사번],$Q2154)&amp;"")</f>
        <v/>
      </c>
      <c r="C2154">
        <f>IF($Q2154="","",INDEX(상세표[성명],$Q2154)&amp;"")</f>
        <v/>
      </c>
      <c r="D2154">
        <f>IF($Q2154="","",INDEX(상세표[직위],$Q2154)&amp;"")</f>
        <v/>
      </c>
      <c r="E2154">
        <f>IF($Q2154="","",IF(ISNUMBER(INDEX(상세표[근무일자],$Q2154)),TEXT(INDEX(상세표[근무일자],$Q2154),"yyyy-mm-dd"),INDEX(상세표[근무일자],$Q2154)&amp;""))</f>
        <v/>
      </c>
      <c r="F2154">
        <f>IF($Q2154="","",IF(ISNUMBER(INDEX(상세표[시작],$Q2154)),TEXT(INDEX(상세표[시작],$Q2154),"yyyy-mm-dd hh:mm"),INDEX(상세표[시작],$Q2154)&amp;""))</f>
        <v/>
      </c>
      <c r="G2154">
        <f>IF($Q2154="","",IF(ISNUMBER(INDEX(상세표[블록종료],$Q2154)),TEXT(INDEX(상세표[블록종료],$Q2154),"yyyy-mm-dd hh:mm"),INDEX(상세표[블록종료],$Q2154)&amp;""))</f>
        <v/>
      </c>
      <c r="H2154">
        <f>IF($Q2154="","",CHOOSE(WEEKDAY(INDEX(상세표[시작],$Q2154)),"일","월","화","수","목","금","토"))</f>
        <v/>
      </c>
      <c r="I2154" s="20">
        <f>IF($Q2154="","",INDEX(상세표[연속 시간],$Q2154))</f>
        <v/>
      </c>
      <c r="J2154">
        <f>IF($Q2154="","",INDEX(상세표[기록 수],$Q2154))</f>
        <v/>
      </c>
      <c r="K2154" s="20">
        <f>IF($Q2154="","",INDEX(상세표[블록 06~07시],$Q2154))</f>
        <v/>
      </c>
      <c r="L2154" s="20">
        <f>IF($Q2154="","",INDEX(상세표[블록 07~18시],$Q2154))</f>
        <v/>
      </c>
      <c r="M2154" s="20">
        <f>IF($Q2154="","",INDEX(상세표[블록 18~22시],$Q2154))</f>
        <v/>
      </c>
      <c r="N2154" s="20">
        <f>IF($Q2154="","",INDEX(상세표[블록 22~06시],$Q2154))</f>
        <v/>
      </c>
      <c r="O2154">
        <f>IF($Q2154="","",INDEX(상세표[주말·휴일 포함],$Q2154)&amp;"")</f>
        <v/>
      </c>
      <c r="P2154">
        <f>IF($Q2154="","",INDEX(상세표[월 넘김 포함],$Q2154)&amp;"")</f>
        <v/>
      </c>
      <c r="Q2154" s="4">
        <f>IFERROR(MATCH(2149,상세표[연속순번],0),"")</f>
        <v/>
      </c>
    </row>
    <row r="2155">
      <c r="A2155">
        <f>IF($Q2155="","",INDEX(상세표[부서],$Q2155)&amp;"")</f>
        <v/>
      </c>
      <c r="B2155">
        <f>IF($Q2155="","",INDEX(상세표[사번],$Q2155)&amp;"")</f>
        <v/>
      </c>
      <c r="C2155">
        <f>IF($Q2155="","",INDEX(상세표[성명],$Q2155)&amp;"")</f>
        <v/>
      </c>
      <c r="D2155">
        <f>IF($Q2155="","",INDEX(상세표[직위],$Q2155)&amp;"")</f>
        <v/>
      </c>
      <c r="E2155">
        <f>IF($Q2155="","",IF(ISNUMBER(INDEX(상세표[근무일자],$Q2155)),TEXT(INDEX(상세표[근무일자],$Q2155),"yyyy-mm-dd"),INDEX(상세표[근무일자],$Q2155)&amp;""))</f>
        <v/>
      </c>
      <c r="F2155">
        <f>IF($Q2155="","",IF(ISNUMBER(INDEX(상세표[시작],$Q2155)),TEXT(INDEX(상세표[시작],$Q2155),"yyyy-mm-dd hh:mm"),INDEX(상세표[시작],$Q2155)&amp;""))</f>
        <v/>
      </c>
      <c r="G2155">
        <f>IF($Q2155="","",IF(ISNUMBER(INDEX(상세표[블록종료],$Q2155)),TEXT(INDEX(상세표[블록종료],$Q2155),"yyyy-mm-dd hh:mm"),INDEX(상세표[블록종료],$Q2155)&amp;""))</f>
        <v/>
      </c>
      <c r="H2155">
        <f>IF($Q2155="","",CHOOSE(WEEKDAY(INDEX(상세표[시작],$Q2155)),"일","월","화","수","목","금","토"))</f>
        <v/>
      </c>
      <c r="I2155" s="20">
        <f>IF($Q2155="","",INDEX(상세표[연속 시간],$Q2155))</f>
        <v/>
      </c>
      <c r="J2155">
        <f>IF($Q2155="","",INDEX(상세표[기록 수],$Q2155))</f>
        <v/>
      </c>
      <c r="K2155" s="20">
        <f>IF($Q2155="","",INDEX(상세표[블록 06~07시],$Q2155))</f>
        <v/>
      </c>
      <c r="L2155" s="20">
        <f>IF($Q2155="","",INDEX(상세표[블록 07~18시],$Q2155))</f>
        <v/>
      </c>
      <c r="M2155" s="20">
        <f>IF($Q2155="","",INDEX(상세표[블록 18~22시],$Q2155))</f>
        <v/>
      </c>
      <c r="N2155" s="20">
        <f>IF($Q2155="","",INDEX(상세표[블록 22~06시],$Q2155))</f>
        <v/>
      </c>
      <c r="O2155">
        <f>IF($Q2155="","",INDEX(상세표[주말·휴일 포함],$Q2155)&amp;"")</f>
        <v/>
      </c>
      <c r="P2155">
        <f>IF($Q2155="","",INDEX(상세표[월 넘김 포함],$Q2155)&amp;"")</f>
        <v/>
      </c>
      <c r="Q2155" s="4">
        <f>IFERROR(MATCH(2150,상세표[연속순번],0),"")</f>
        <v/>
      </c>
    </row>
    <row r="2156">
      <c r="A2156">
        <f>IF($Q2156="","",INDEX(상세표[부서],$Q2156)&amp;"")</f>
        <v/>
      </c>
      <c r="B2156">
        <f>IF($Q2156="","",INDEX(상세표[사번],$Q2156)&amp;"")</f>
        <v/>
      </c>
      <c r="C2156">
        <f>IF($Q2156="","",INDEX(상세표[성명],$Q2156)&amp;"")</f>
        <v/>
      </c>
      <c r="D2156">
        <f>IF($Q2156="","",INDEX(상세표[직위],$Q2156)&amp;"")</f>
        <v/>
      </c>
      <c r="E2156">
        <f>IF($Q2156="","",IF(ISNUMBER(INDEX(상세표[근무일자],$Q2156)),TEXT(INDEX(상세표[근무일자],$Q2156),"yyyy-mm-dd"),INDEX(상세표[근무일자],$Q2156)&amp;""))</f>
        <v/>
      </c>
      <c r="F2156">
        <f>IF($Q2156="","",IF(ISNUMBER(INDEX(상세표[시작],$Q2156)),TEXT(INDEX(상세표[시작],$Q2156),"yyyy-mm-dd hh:mm"),INDEX(상세표[시작],$Q2156)&amp;""))</f>
        <v/>
      </c>
      <c r="G2156">
        <f>IF($Q2156="","",IF(ISNUMBER(INDEX(상세표[블록종료],$Q2156)),TEXT(INDEX(상세표[블록종료],$Q2156),"yyyy-mm-dd hh:mm"),INDEX(상세표[블록종료],$Q2156)&amp;""))</f>
        <v/>
      </c>
      <c r="H2156">
        <f>IF($Q2156="","",CHOOSE(WEEKDAY(INDEX(상세표[시작],$Q2156)),"일","월","화","수","목","금","토"))</f>
        <v/>
      </c>
      <c r="I2156" s="20">
        <f>IF($Q2156="","",INDEX(상세표[연속 시간],$Q2156))</f>
        <v/>
      </c>
      <c r="J2156">
        <f>IF($Q2156="","",INDEX(상세표[기록 수],$Q2156))</f>
        <v/>
      </c>
      <c r="K2156" s="20">
        <f>IF($Q2156="","",INDEX(상세표[블록 06~07시],$Q2156))</f>
        <v/>
      </c>
      <c r="L2156" s="20">
        <f>IF($Q2156="","",INDEX(상세표[블록 07~18시],$Q2156))</f>
        <v/>
      </c>
      <c r="M2156" s="20">
        <f>IF($Q2156="","",INDEX(상세표[블록 18~22시],$Q2156))</f>
        <v/>
      </c>
      <c r="N2156" s="20">
        <f>IF($Q2156="","",INDEX(상세표[블록 22~06시],$Q2156))</f>
        <v/>
      </c>
      <c r="O2156">
        <f>IF($Q2156="","",INDEX(상세표[주말·휴일 포함],$Q2156)&amp;"")</f>
        <v/>
      </c>
      <c r="P2156">
        <f>IF($Q2156="","",INDEX(상세표[월 넘김 포함],$Q2156)&amp;"")</f>
        <v/>
      </c>
      <c r="Q2156" s="4">
        <f>IFERROR(MATCH(2151,상세표[연속순번],0),"")</f>
        <v/>
      </c>
    </row>
    <row r="2157">
      <c r="A2157">
        <f>IF($Q2157="","",INDEX(상세표[부서],$Q2157)&amp;"")</f>
        <v/>
      </c>
      <c r="B2157">
        <f>IF($Q2157="","",INDEX(상세표[사번],$Q2157)&amp;"")</f>
        <v/>
      </c>
      <c r="C2157">
        <f>IF($Q2157="","",INDEX(상세표[성명],$Q2157)&amp;"")</f>
        <v/>
      </c>
      <c r="D2157">
        <f>IF($Q2157="","",INDEX(상세표[직위],$Q2157)&amp;"")</f>
        <v/>
      </c>
      <c r="E2157">
        <f>IF($Q2157="","",IF(ISNUMBER(INDEX(상세표[근무일자],$Q2157)),TEXT(INDEX(상세표[근무일자],$Q2157),"yyyy-mm-dd"),INDEX(상세표[근무일자],$Q2157)&amp;""))</f>
        <v/>
      </c>
      <c r="F2157">
        <f>IF($Q2157="","",IF(ISNUMBER(INDEX(상세표[시작],$Q2157)),TEXT(INDEX(상세표[시작],$Q2157),"yyyy-mm-dd hh:mm"),INDEX(상세표[시작],$Q2157)&amp;""))</f>
        <v/>
      </c>
      <c r="G2157">
        <f>IF($Q2157="","",IF(ISNUMBER(INDEX(상세표[블록종료],$Q2157)),TEXT(INDEX(상세표[블록종료],$Q2157),"yyyy-mm-dd hh:mm"),INDEX(상세표[블록종료],$Q2157)&amp;""))</f>
        <v/>
      </c>
      <c r="H2157">
        <f>IF($Q2157="","",CHOOSE(WEEKDAY(INDEX(상세표[시작],$Q2157)),"일","월","화","수","목","금","토"))</f>
        <v/>
      </c>
      <c r="I2157" s="20">
        <f>IF($Q2157="","",INDEX(상세표[연속 시간],$Q2157))</f>
        <v/>
      </c>
      <c r="J2157">
        <f>IF($Q2157="","",INDEX(상세표[기록 수],$Q2157))</f>
        <v/>
      </c>
      <c r="K2157" s="20">
        <f>IF($Q2157="","",INDEX(상세표[블록 06~07시],$Q2157))</f>
        <v/>
      </c>
      <c r="L2157" s="20">
        <f>IF($Q2157="","",INDEX(상세표[블록 07~18시],$Q2157))</f>
        <v/>
      </c>
      <c r="M2157" s="20">
        <f>IF($Q2157="","",INDEX(상세표[블록 18~22시],$Q2157))</f>
        <v/>
      </c>
      <c r="N2157" s="20">
        <f>IF($Q2157="","",INDEX(상세표[블록 22~06시],$Q2157))</f>
        <v/>
      </c>
      <c r="O2157">
        <f>IF($Q2157="","",INDEX(상세표[주말·휴일 포함],$Q2157)&amp;"")</f>
        <v/>
      </c>
      <c r="P2157">
        <f>IF($Q2157="","",INDEX(상세표[월 넘김 포함],$Q2157)&amp;"")</f>
        <v/>
      </c>
      <c r="Q2157" s="4">
        <f>IFERROR(MATCH(2152,상세표[연속순번],0),"")</f>
        <v/>
      </c>
    </row>
    <row r="2158">
      <c r="A2158">
        <f>IF($Q2158="","",INDEX(상세표[부서],$Q2158)&amp;"")</f>
        <v/>
      </c>
      <c r="B2158">
        <f>IF($Q2158="","",INDEX(상세표[사번],$Q2158)&amp;"")</f>
        <v/>
      </c>
      <c r="C2158">
        <f>IF($Q2158="","",INDEX(상세표[성명],$Q2158)&amp;"")</f>
        <v/>
      </c>
      <c r="D2158">
        <f>IF($Q2158="","",INDEX(상세표[직위],$Q2158)&amp;"")</f>
        <v/>
      </c>
      <c r="E2158">
        <f>IF($Q2158="","",IF(ISNUMBER(INDEX(상세표[근무일자],$Q2158)),TEXT(INDEX(상세표[근무일자],$Q2158),"yyyy-mm-dd"),INDEX(상세표[근무일자],$Q2158)&amp;""))</f>
        <v/>
      </c>
      <c r="F2158">
        <f>IF($Q2158="","",IF(ISNUMBER(INDEX(상세표[시작],$Q2158)),TEXT(INDEX(상세표[시작],$Q2158),"yyyy-mm-dd hh:mm"),INDEX(상세표[시작],$Q2158)&amp;""))</f>
        <v/>
      </c>
      <c r="G2158">
        <f>IF($Q2158="","",IF(ISNUMBER(INDEX(상세표[블록종료],$Q2158)),TEXT(INDEX(상세표[블록종료],$Q2158),"yyyy-mm-dd hh:mm"),INDEX(상세표[블록종료],$Q2158)&amp;""))</f>
        <v/>
      </c>
      <c r="H2158">
        <f>IF($Q2158="","",CHOOSE(WEEKDAY(INDEX(상세표[시작],$Q2158)),"일","월","화","수","목","금","토"))</f>
        <v/>
      </c>
      <c r="I2158" s="20">
        <f>IF($Q2158="","",INDEX(상세표[연속 시간],$Q2158))</f>
        <v/>
      </c>
      <c r="J2158">
        <f>IF($Q2158="","",INDEX(상세표[기록 수],$Q2158))</f>
        <v/>
      </c>
      <c r="K2158" s="20">
        <f>IF($Q2158="","",INDEX(상세표[블록 06~07시],$Q2158))</f>
        <v/>
      </c>
      <c r="L2158" s="20">
        <f>IF($Q2158="","",INDEX(상세표[블록 07~18시],$Q2158))</f>
        <v/>
      </c>
      <c r="M2158" s="20">
        <f>IF($Q2158="","",INDEX(상세표[블록 18~22시],$Q2158))</f>
        <v/>
      </c>
      <c r="N2158" s="20">
        <f>IF($Q2158="","",INDEX(상세표[블록 22~06시],$Q2158))</f>
        <v/>
      </c>
      <c r="O2158">
        <f>IF($Q2158="","",INDEX(상세표[주말·휴일 포함],$Q2158)&amp;"")</f>
        <v/>
      </c>
      <c r="P2158">
        <f>IF($Q2158="","",INDEX(상세표[월 넘김 포함],$Q2158)&amp;"")</f>
        <v/>
      </c>
      <c r="Q2158" s="4">
        <f>IFERROR(MATCH(2153,상세표[연속순번],0),"")</f>
        <v/>
      </c>
    </row>
    <row r="2159">
      <c r="A2159">
        <f>IF($Q2159="","",INDEX(상세표[부서],$Q2159)&amp;"")</f>
        <v/>
      </c>
      <c r="B2159">
        <f>IF($Q2159="","",INDEX(상세표[사번],$Q2159)&amp;"")</f>
        <v/>
      </c>
      <c r="C2159">
        <f>IF($Q2159="","",INDEX(상세표[성명],$Q2159)&amp;"")</f>
        <v/>
      </c>
      <c r="D2159">
        <f>IF($Q2159="","",INDEX(상세표[직위],$Q2159)&amp;"")</f>
        <v/>
      </c>
      <c r="E2159">
        <f>IF($Q2159="","",IF(ISNUMBER(INDEX(상세표[근무일자],$Q2159)),TEXT(INDEX(상세표[근무일자],$Q2159),"yyyy-mm-dd"),INDEX(상세표[근무일자],$Q2159)&amp;""))</f>
        <v/>
      </c>
      <c r="F2159">
        <f>IF($Q2159="","",IF(ISNUMBER(INDEX(상세표[시작],$Q2159)),TEXT(INDEX(상세표[시작],$Q2159),"yyyy-mm-dd hh:mm"),INDEX(상세표[시작],$Q2159)&amp;""))</f>
        <v/>
      </c>
      <c r="G2159">
        <f>IF($Q2159="","",IF(ISNUMBER(INDEX(상세표[블록종료],$Q2159)),TEXT(INDEX(상세표[블록종료],$Q2159),"yyyy-mm-dd hh:mm"),INDEX(상세표[블록종료],$Q2159)&amp;""))</f>
        <v/>
      </c>
      <c r="H2159">
        <f>IF($Q2159="","",CHOOSE(WEEKDAY(INDEX(상세표[시작],$Q2159)),"일","월","화","수","목","금","토"))</f>
        <v/>
      </c>
      <c r="I2159" s="20">
        <f>IF($Q2159="","",INDEX(상세표[연속 시간],$Q2159))</f>
        <v/>
      </c>
      <c r="J2159">
        <f>IF($Q2159="","",INDEX(상세표[기록 수],$Q2159))</f>
        <v/>
      </c>
      <c r="K2159" s="20">
        <f>IF($Q2159="","",INDEX(상세표[블록 06~07시],$Q2159))</f>
        <v/>
      </c>
      <c r="L2159" s="20">
        <f>IF($Q2159="","",INDEX(상세표[블록 07~18시],$Q2159))</f>
        <v/>
      </c>
      <c r="M2159" s="20">
        <f>IF($Q2159="","",INDEX(상세표[블록 18~22시],$Q2159))</f>
        <v/>
      </c>
      <c r="N2159" s="20">
        <f>IF($Q2159="","",INDEX(상세표[블록 22~06시],$Q2159))</f>
        <v/>
      </c>
      <c r="O2159">
        <f>IF($Q2159="","",INDEX(상세표[주말·휴일 포함],$Q2159)&amp;"")</f>
        <v/>
      </c>
      <c r="P2159">
        <f>IF($Q2159="","",INDEX(상세표[월 넘김 포함],$Q2159)&amp;"")</f>
        <v/>
      </c>
      <c r="Q2159" s="4">
        <f>IFERROR(MATCH(2154,상세표[연속순번],0),"")</f>
        <v/>
      </c>
    </row>
    <row r="2160">
      <c r="A2160">
        <f>IF($Q2160="","",INDEX(상세표[부서],$Q2160)&amp;"")</f>
        <v/>
      </c>
      <c r="B2160">
        <f>IF($Q2160="","",INDEX(상세표[사번],$Q2160)&amp;"")</f>
        <v/>
      </c>
      <c r="C2160">
        <f>IF($Q2160="","",INDEX(상세표[성명],$Q2160)&amp;"")</f>
        <v/>
      </c>
      <c r="D2160">
        <f>IF($Q2160="","",INDEX(상세표[직위],$Q2160)&amp;"")</f>
        <v/>
      </c>
      <c r="E2160">
        <f>IF($Q2160="","",IF(ISNUMBER(INDEX(상세표[근무일자],$Q2160)),TEXT(INDEX(상세표[근무일자],$Q2160),"yyyy-mm-dd"),INDEX(상세표[근무일자],$Q2160)&amp;""))</f>
        <v/>
      </c>
      <c r="F2160">
        <f>IF($Q2160="","",IF(ISNUMBER(INDEX(상세표[시작],$Q2160)),TEXT(INDEX(상세표[시작],$Q2160),"yyyy-mm-dd hh:mm"),INDEX(상세표[시작],$Q2160)&amp;""))</f>
        <v/>
      </c>
      <c r="G2160">
        <f>IF($Q2160="","",IF(ISNUMBER(INDEX(상세표[블록종료],$Q2160)),TEXT(INDEX(상세표[블록종료],$Q2160),"yyyy-mm-dd hh:mm"),INDEX(상세표[블록종료],$Q2160)&amp;""))</f>
        <v/>
      </c>
      <c r="H2160">
        <f>IF($Q2160="","",CHOOSE(WEEKDAY(INDEX(상세표[시작],$Q2160)),"일","월","화","수","목","금","토"))</f>
        <v/>
      </c>
      <c r="I2160" s="20">
        <f>IF($Q2160="","",INDEX(상세표[연속 시간],$Q2160))</f>
        <v/>
      </c>
      <c r="J2160">
        <f>IF($Q2160="","",INDEX(상세표[기록 수],$Q2160))</f>
        <v/>
      </c>
      <c r="K2160" s="20">
        <f>IF($Q2160="","",INDEX(상세표[블록 06~07시],$Q2160))</f>
        <v/>
      </c>
      <c r="L2160" s="20">
        <f>IF($Q2160="","",INDEX(상세표[블록 07~18시],$Q2160))</f>
        <v/>
      </c>
      <c r="M2160" s="20">
        <f>IF($Q2160="","",INDEX(상세표[블록 18~22시],$Q2160))</f>
        <v/>
      </c>
      <c r="N2160" s="20">
        <f>IF($Q2160="","",INDEX(상세표[블록 22~06시],$Q2160))</f>
        <v/>
      </c>
      <c r="O2160">
        <f>IF($Q2160="","",INDEX(상세표[주말·휴일 포함],$Q2160)&amp;"")</f>
        <v/>
      </c>
      <c r="P2160">
        <f>IF($Q2160="","",INDEX(상세표[월 넘김 포함],$Q2160)&amp;"")</f>
        <v/>
      </c>
      <c r="Q2160" s="4">
        <f>IFERROR(MATCH(2155,상세표[연속순번],0),"")</f>
        <v/>
      </c>
    </row>
    <row r="2161">
      <c r="A2161">
        <f>IF($Q2161="","",INDEX(상세표[부서],$Q2161)&amp;"")</f>
        <v/>
      </c>
      <c r="B2161">
        <f>IF($Q2161="","",INDEX(상세표[사번],$Q2161)&amp;"")</f>
        <v/>
      </c>
      <c r="C2161">
        <f>IF($Q2161="","",INDEX(상세표[성명],$Q2161)&amp;"")</f>
        <v/>
      </c>
      <c r="D2161">
        <f>IF($Q2161="","",INDEX(상세표[직위],$Q2161)&amp;"")</f>
        <v/>
      </c>
      <c r="E2161">
        <f>IF($Q2161="","",IF(ISNUMBER(INDEX(상세표[근무일자],$Q2161)),TEXT(INDEX(상세표[근무일자],$Q2161),"yyyy-mm-dd"),INDEX(상세표[근무일자],$Q2161)&amp;""))</f>
        <v/>
      </c>
      <c r="F2161">
        <f>IF($Q2161="","",IF(ISNUMBER(INDEX(상세표[시작],$Q2161)),TEXT(INDEX(상세표[시작],$Q2161),"yyyy-mm-dd hh:mm"),INDEX(상세표[시작],$Q2161)&amp;""))</f>
        <v/>
      </c>
      <c r="G2161">
        <f>IF($Q2161="","",IF(ISNUMBER(INDEX(상세표[블록종료],$Q2161)),TEXT(INDEX(상세표[블록종료],$Q2161),"yyyy-mm-dd hh:mm"),INDEX(상세표[블록종료],$Q2161)&amp;""))</f>
        <v/>
      </c>
      <c r="H2161">
        <f>IF($Q2161="","",CHOOSE(WEEKDAY(INDEX(상세표[시작],$Q2161)),"일","월","화","수","목","금","토"))</f>
        <v/>
      </c>
      <c r="I2161" s="20">
        <f>IF($Q2161="","",INDEX(상세표[연속 시간],$Q2161))</f>
        <v/>
      </c>
      <c r="J2161">
        <f>IF($Q2161="","",INDEX(상세표[기록 수],$Q2161))</f>
        <v/>
      </c>
      <c r="K2161" s="20">
        <f>IF($Q2161="","",INDEX(상세표[블록 06~07시],$Q2161))</f>
        <v/>
      </c>
      <c r="L2161" s="20">
        <f>IF($Q2161="","",INDEX(상세표[블록 07~18시],$Q2161))</f>
        <v/>
      </c>
      <c r="M2161" s="20">
        <f>IF($Q2161="","",INDEX(상세표[블록 18~22시],$Q2161))</f>
        <v/>
      </c>
      <c r="N2161" s="20">
        <f>IF($Q2161="","",INDEX(상세표[블록 22~06시],$Q2161))</f>
        <v/>
      </c>
      <c r="O2161">
        <f>IF($Q2161="","",INDEX(상세표[주말·휴일 포함],$Q2161)&amp;"")</f>
        <v/>
      </c>
      <c r="P2161">
        <f>IF($Q2161="","",INDEX(상세표[월 넘김 포함],$Q2161)&amp;"")</f>
        <v/>
      </c>
      <c r="Q2161" s="4">
        <f>IFERROR(MATCH(2156,상세표[연속순번],0),"")</f>
        <v/>
      </c>
    </row>
    <row r="2162">
      <c r="A2162">
        <f>IF($Q2162="","",INDEX(상세표[부서],$Q2162)&amp;"")</f>
        <v/>
      </c>
      <c r="B2162">
        <f>IF($Q2162="","",INDEX(상세표[사번],$Q2162)&amp;"")</f>
        <v/>
      </c>
      <c r="C2162">
        <f>IF($Q2162="","",INDEX(상세표[성명],$Q2162)&amp;"")</f>
        <v/>
      </c>
      <c r="D2162">
        <f>IF($Q2162="","",INDEX(상세표[직위],$Q2162)&amp;"")</f>
        <v/>
      </c>
      <c r="E2162">
        <f>IF($Q2162="","",IF(ISNUMBER(INDEX(상세표[근무일자],$Q2162)),TEXT(INDEX(상세표[근무일자],$Q2162),"yyyy-mm-dd"),INDEX(상세표[근무일자],$Q2162)&amp;""))</f>
        <v/>
      </c>
      <c r="F2162">
        <f>IF($Q2162="","",IF(ISNUMBER(INDEX(상세표[시작],$Q2162)),TEXT(INDEX(상세표[시작],$Q2162),"yyyy-mm-dd hh:mm"),INDEX(상세표[시작],$Q2162)&amp;""))</f>
        <v/>
      </c>
      <c r="G2162">
        <f>IF($Q2162="","",IF(ISNUMBER(INDEX(상세표[블록종료],$Q2162)),TEXT(INDEX(상세표[블록종료],$Q2162),"yyyy-mm-dd hh:mm"),INDEX(상세표[블록종료],$Q2162)&amp;""))</f>
        <v/>
      </c>
      <c r="H2162">
        <f>IF($Q2162="","",CHOOSE(WEEKDAY(INDEX(상세표[시작],$Q2162)),"일","월","화","수","목","금","토"))</f>
        <v/>
      </c>
      <c r="I2162" s="20">
        <f>IF($Q2162="","",INDEX(상세표[연속 시간],$Q2162))</f>
        <v/>
      </c>
      <c r="J2162">
        <f>IF($Q2162="","",INDEX(상세표[기록 수],$Q2162))</f>
        <v/>
      </c>
      <c r="K2162" s="20">
        <f>IF($Q2162="","",INDEX(상세표[블록 06~07시],$Q2162))</f>
        <v/>
      </c>
      <c r="L2162" s="20">
        <f>IF($Q2162="","",INDEX(상세표[블록 07~18시],$Q2162))</f>
        <v/>
      </c>
      <c r="M2162" s="20">
        <f>IF($Q2162="","",INDEX(상세표[블록 18~22시],$Q2162))</f>
        <v/>
      </c>
      <c r="N2162" s="20">
        <f>IF($Q2162="","",INDEX(상세표[블록 22~06시],$Q2162))</f>
        <v/>
      </c>
      <c r="O2162">
        <f>IF($Q2162="","",INDEX(상세표[주말·휴일 포함],$Q2162)&amp;"")</f>
        <v/>
      </c>
      <c r="P2162">
        <f>IF($Q2162="","",INDEX(상세표[월 넘김 포함],$Q2162)&amp;"")</f>
        <v/>
      </c>
      <c r="Q2162" s="4">
        <f>IFERROR(MATCH(2157,상세표[연속순번],0),"")</f>
        <v/>
      </c>
    </row>
    <row r="2163">
      <c r="A2163">
        <f>IF($Q2163="","",INDEX(상세표[부서],$Q2163)&amp;"")</f>
        <v/>
      </c>
      <c r="B2163">
        <f>IF($Q2163="","",INDEX(상세표[사번],$Q2163)&amp;"")</f>
        <v/>
      </c>
      <c r="C2163">
        <f>IF($Q2163="","",INDEX(상세표[성명],$Q2163)&amp;"")</f>
        <v/>
      </c>
      <c r="D2163">
        <f>IF($Q2163="","",INDEX(상세표[직위],$Q2163)&amp;"")</f>
        <v/>
      </c>
      <c r="E2163">
        <f>IF($Q2163="","",IF(ISNUMBER(INDEX(상세표[근무일자],$Q2163)),TEXT(INDEX(상세표[근무일자],$Q2163),"yyyy-mm-dd"),INDEX(상세표[근무일자],$Q2163)&amp;""))</f>
        <v/>
      </c>
      <c r="F2163">
        <f>IF($Q2163="","",IF(ISNUMBER(INDEX(상세표[시작],$Q2163)),TEXT(INDEX(상세표[시작],$Q2163),"yyyy-mm-dd hh:mm"),INDEX(상세표[시작],$Q2163)&amp;""))</f>
        <v/>
      </c>
      <c r="G2163">
        <f>IF($Q2163="","",IF(ISNUMBER(INDEX(상세표[블록종료],$Q2163)),TEXT(INDEX(상세표[블록종료],$Q2163),"yyyy-mm-dd hh:mm"),INDEX(상세표[블록종료],$Q2163)&amp;""))</f>
        <v/>
      </c>
      <c r="H2163">
        <f>IF($Q2163="","",CHOOSE(WEEKDAY(INDEX(상세표[시작],$Q2163)),"일","월","화","수","목","금","토"))</f>
        <v/>
      </c>
      <c r="I2163" s="20">
        <f>IF($Q2163="","",INDEX(상세표[연속 시간],$Q2163))</f>
        <v/>
      </c>
      <c r="J2163">
        <f>IF($Q2163="","",INDEX(상세표[기록 수],$Q2163))</f>
        <v/>
      </c>
      <c r="K2163" s="20">
        <f>IF($Q2163="","",INDEX(상세표[블록 06~07시],$Q2163))</f>
        <v/>
      </c>
      <c r="L2163" s="20">
        <f>IF($Q2163="","",INDEX(상세표[블록 07~18시],$Q2163))</f>
        <v/>
      </c>
      <c r="M2163" s="20">
        <f>IF($Q2163="","",INDEX(상세표[블록 18~22시],$Q2163))</f>
        <v/>
      </c>
      <c r="N2163" s="20">
        <f>IF($Q2163="","",INDEX(상세표[블록 22~06시],$Q2163))</f>
        <v/>
      </c>
      <c r="O2163">
        <f>IF($Q2163="","",INDEX(상세표[주말·휴일 포함],$Q2163)&amp;"")</f>
        <v/>
      </c>
      <c r="P2163">
        <f>IF($Q2163="","",INDEX(상세표[월 넘김 포함],$Q2163)&amp;"")</f>
        <v/>
      </c>
      <c r="Q2163" s="4">
        <f>IFERROR(MATCH(2158,상세표[연속순번],0),"")</f>
        <v/>
      </c>
    </row>
    <row r="2164">
      <c r="A2164">
        <f>IF($Q2164="","",INDEX(상세표[부서],$Q2164)&amp;"")</f>
        <v/>
      </c>
      <c r="B2164">
        <f>IF($Q2164="","",INDEX(상세표[사번],$Q2164)&amp;"")</f>
        <v/>
      </c>
      <c r="C2164">
        <f>IF($Q2164="","",INDEX(상세표[성명],$Q2164)&amp;"")</f>
        <v/>
      </c>
      <c r="D2164">
        <f>IF($Q2164="","",INDEX(상세표[직위],$Q2164)&amp;"")</f>
        <v/>
      </c>
      <c r="E2164">
        <f>IF($Q2164="","",IF(ISNUMBER(INDEX(상세표[근무일자],$Q2164)),TEXT(INDEX(상세표[근무일자],$Q2164),"yyyy-mm-dd"),INDEX(상세표[근무일자],$Q2164)&amp;""))</f>
        <v/>
      </c>
      <c r="F2164">
        <f>IF($Q2164="","",IF(ISNUMBER(INDEX(상세표[시작],$Q2164)),TEXT(INDEX(상세표[시작],$Q2164),"yyyy-mm-dd hh:mm"),INDEX(상세표[시작],$Q2164)&amp;""))</f>
        <v/>
      </c>
      <c r="G2164">
        <f>IF($Q2164="","",IF(ISNUMBER(INDEX(상세표[블록종료],$Q2164)),TEXT(INDEX(상세표[블록종료],$Q2164),"yyyy-mm-dd hh:mm"),INDEX(상세표[블록종료],$Q2164)&amp;""))</f>
        <v/>
      </c>
      <c r="H2164">
        <f>IF($Q2164="","",CHOOSE(WEEKDAY(INDEX(상세표[시작],$Q2164)),"일","월","화","수","목","금","토"))</f>
        <v/>
      </c>
      <c r="I2164" s="20">
        <f>IF($Q2164="","",INDEX(상세표[연속 시간],$Q2164))</f>
        <v/>
      </c>
      <c r="J2164">
        <f>IF($Q2164="","",INDEX(상세표[기록 수],$Q2164))</f>
        <v/>
      </c>
      <c r="K2164" s="20">
        <f>IF($Q2164="","",INDEX(상세표[블록 06~07시],$Q2164))</f>
        <v/>
      </c>
      <c r="L2164" s="20">
        <f>IF($Q2164="","",INDEX(상세표[블록 07~18시],$Q2164))</f>
        <v/>
      </c>
      <c r="M2164" s="20">
        <f>IF($Q2164="","",INDEX(상세표[블록 18~22시],$Q2164))</f>
        <v/>
      </c>
      <c r="N2164" s="20">
        <f>IF($Q2164="","",INDEX(상세표[블록 22~06시],$Q2164))</f>
        <v/>
      </c>
      <c r="O2164">
        <f>IF($Q2164="","",INDEX(상세표[주말·휴일 포함],$Q2164)&amp;"")</f>
        <v/>
      </c>
      <c r="P2164">
        <f>IF($Q2164="","",INDEX(상세표[월 넘김 포함],$Q2164)&amp;"")</f>
        <v/>
      </c>
      <c r="Q2164" s="4">
        <f>IFERROR(MATCH(2159,상세표[연속순번],0),"")</f>
        <v/>
      </c>
    </row>
    <row r="2165">
      <c r="A2165">
        <f>IF($Q2165="","",INDEX(상세표[부서],$Q2165)&amp;"")</f>
        <v/>
      </c>
      <c r="B2165">
        <f>IF($Q2165="","",INDEX(상세표[사번],$Q2165)&amp;"")</f>
        <v/>
      </c>
      <c r="C2165">
        <f>IF($Q2165="","",INDEX(상세표[성명],$Q2165)&amp;"")</f>
        <v/>
      </c>
      <c r="D2165">
        <f>IF($Q2165="","",INDEX(상세표[직위],$Q2165)&amp;"")</f>
        <v/>
      </c>
      <c r="E2165">
        <f>IF($Q2165="","",IF(ISNUMBER(INDEX(상세표[근무일자],$Q2165)),TEXT(INDEX(상세표[근무일자],$Q2165),"yyyy-mm-dd"),INDEX(상세표[근무일자],$Q2165)&amp;""))</f>
        <v/>
      </c>
      <c r="F2165">
        <f>IF($Q2165="","",IF(ISNUMBER(INDEX(상세표[시작],$Q2165)),TEXT(INDEX(상세표[시작],$Q2165),"yyyy-mm-dd hh:mm"),INDEX(상세표[시작],$Q2165)&amp;""))</f>
        <v/>
      </c>
      <c r="G2165">
        <f>IF($Q2165="","",IF(ISNUMBER(INDEX(상세표[블록종료],$Q2165)),TEXT(INDEX(상세표[블록종료],$Q2165),"yyyy-mm-dd hh:mm"),INDEX(상세표[블록종료],$Q2165)&amp;""))</f>
        <v/>
      </c>
      <c r="H2165">
        <f>IF($Q2165="","",CHOOSE(WEEKDAY(INDEX(상세표[시작],$Q2165)),"일","월","화","수","목","금","토"))</f>
        <v/>
      </c>
      <c r="I2165" s="20">
        <f>IF($Q2165="","",INDEX(상세표[연속 시간],$Q2165))</f>
        <v/>
      </c>
      <c r="J2165">
        <f>IF($Q2165="","",INDEX(상세표[기록 수],$Q2165))</f>
        <v/>
      </c>
      <c r="K2165" s="20">
        <f>IF($Q2165="","",INDEX(상세표[블록 06~07시],$Q2165))</f>
        <v/>
      </c>
      <c r="L2165" s="20">
        <f>IF($Q2165="","",INDEX(상세표[블록 07~18시],$Q2165))</f>
        <v/>
      </c>
      <c r="M2165" s="20">
        <f>IF($Q2165="","",INDEX(상세표[블록 18~22시],$Q2165))</f>
        <v/>
      </c>
      <c r="N2165" s="20">
        <f>IF($Q2165="","",INDEX(상세표[블록 22~06시],$Q2165))</f>
        <v/>
      </c>
      <c r="O2165">
        <f>IF($Q2165="","",INDEX(상세표[주말·휴일 포함],$Q2165)&amp;"")</f>
        <v/>
      </c>
      <c r="P2165">
        <f>IF($Q2165="","",INDEX(상세표[월 넘김 포함],$Q2165)&amp;"")</f>
        <v/>
      </c>
      <c r="Q2165" s="4">
        <f>IFERROR(MATCH(2160,상세표[연속순번],0),"")</f>
        <v/>
      </c>
    </row>
    <row r="2166">
      <c r="A2166">
        <f>IF($Q2166="","",INDEX(상세표[부서],$Q2166)&amp;"")</f>
        <v/>
      </c>
      <c r="B2166">
        <f>IF($Q2166="","",INDEX(상세표[사번],$Q2166)&amp;"")</f>
        <v/>
      </c>
      <c r="C2166">
        <f>IF($Q2166="","",INDEX(상세표[성명],$Q2166)&amp;"")</f>
        <v/>
      </c>
      <c r="D2166">
        <f>IF($Q2166="","",INDEX(상세표[직위],$Q2166)&amp;"")</f>
        <v/>
      </c>
      <c r="E2166">
        <f>IF($Q2166="","",IF(ISNUMBER(INDEX(상세표[근무일자],$Q2166)),TEXT(INDEX(상세표[근무일자],$Q2166),"yyyy-mm-dd"),INDEX(상세표[근무일자],$Q2166)&amp;""))</f>
        <v/>
      </c>
      <c r="F2166">
        <f>IF($Q2166="","",IF(ISNUMBER(INDEX(상세표[시작],$Q2166)),TEXT(INDEX(상세표[시작],$Q2166),"yyyy-mm-dd hh:mm"),INDEX(상세표[시작],$Q2166)&amp;""))</f>
        <v/>
      </c>
      <c r="G2166">
        <f>IF($Q2166="","",IF(ISNUMBER(INDEX(상세표[블록종료],$Q2166)),TEXT(INDEX(상세표[블록종료],$Q2166),"yyyy-mm-dd hh:mm"),INDEX(상세표[블록종료],$Q2166)&amp;""))</f>
        <v/>
      </c>
      <c r="H2166">
        <f>IF($Q2166="","",CHOOSE(WEEKDAY(INDEX(상세표[시작],$Q2166)),"일","월","화","수","목","금","토"))</f>
        <v/>
      </c>
      <c r="I2166" s="20">
        <f>IF($Q2166="","",INDEX(상세표[연속 시간],$Q2166))</f>
        <v/>
      </c>
      <c r="J2166">
        <f>IF($Q2166="","",INDEX(상세표[기록 수],$Q2166))</f>
        <v/>
      </c>
      <c r="K2166" s="20">
        <f>IF($Q2166="","",INDEX(상세표[블록 06~07시],$Q2166))</f>
        <v/>
      </c>
      <c r="L2166" s="20">
        <f>IF($Q2166="","",INDEX(상세표[블록 07~18시],$Q2166))</f>
        <v/>
      </c>
      <c r="M2166" s="20">
        <f>IF($Q2166="","",INDEX(상세표[블록 18~22시],$Q2166))</f>
        <v/>
      </c>
      <c r="N2166" s="20">
        <f>IF($Q2166="","",INDEX(상세표[블록 22~06시],$Q2166))</f>
        <v/>
      </c>
      <c r="O2166">
        <f>IF($Q2166="","",INDEX(상세표[주말·휴일 포함],$Q2166)&amp;"")</f>
        <v/>
      </c>
      <c r="P2166">
        <f>IF($Q2166="","",INDEX(상세표[월 넘김 포함],$Q2166)&amp;"")</f>
        <v/>
      </c>
      <c r="Q2166" s="4">
        <f>IFERROR(MATCH(2161,상세표[연속순번],0),"")</f>
        <v/>
      </c>
    </row>
    <row r="2167">
      <c r="A2167">
        <f>IF($Q2167="","",INDEX(상세표[부서],$Q2167)&amp;"")</f>
        <v/>
      </c>
      <c r="B2167">
        <f>IF($Q2167="","",INDEX(상세표[사번],$Q2167)&amp;"")</f>
        <v/>
      </c>
      <c r="C2167">
        <f>IF($Q2167="","",INDEX(상세표[성명],$Q2167)&amp;"")</f>
        <v/>
      </c>
      <c r="D2167">
        <f>IF($Q2167="","",INDEX(상세표[직위],$Q2167)&amp;"")</f>
        <v/>
      </c>
      <c r="E2167">
        <f>IF($Q2167="","",IF(ISNUMBER(INDEX(상세표[근무일자],$Q2167)),TEXT(INDEX(상세표[근무일자],$Q2167),"yyyy-mm-dd"),INDEX(상세표[근무일자],$Q2167)&amp;""))</f>
        <v/>
      </c>
      <c r="F2167">
        <f>IF($Q2167="","",IF(ISNUMBER(INDEX(상세표[시작],$Q2167)),TEXT(INDEX(상세표[시작],$Q2167),"yyyy-mm-dd hh:mm"),INDEX(상세표[시작],$Q2167)&amp;""))</f>
        <v/>
      </c>
      <c r="G2167">
        <f>IF($Q2167="","",IF(ISNUMBER(INDEX(상세표[블록종료],$Q2167)),TEXT(INDEX(상세표[블록종료],$Q2167),"yyyy-mm-dd hh:mm"),INDEX(상세표[블록종료],$Q2167)&amp;""))</f>
        <v/>
      </c>
      <c r="H2167">
        <f>IF($Q2167="","",CHOOSE(WEEKDAY(INDEX(상세표[시작],$Q2167)),"일","월","화","수","목","금","토"))</f>
        <v/>
      </c>
      <c r="I2167" s="20">
        <f>IF($Q2167="","",INDEX(상세표[연속 시간],$Q2167))</f>
        <v/>
      </c>
      <c r="J2167">
        <f>IF($Q2167="","",INDEX(상세표[기록 수],$Q2167))</f>
        <v/>
      </c>
      <c r="K2167" s="20">
        <f>IF($Q2167="","",INDEX(상세표[블록 06~07시],$Q2167))</f>
        <v/>
      </c>
      <c r="L2167" s="20">
        <f>IF($Q2167="","",INDEX(상세표[블록 07~18시],$Q2167))</f>
        <v/>
      </c>
      <c r="M2167" s="20">
        <f>IF($Q2167="","",INDEX(상세표[블록 18~22시],$Q2167))</f>
        <v/>
      </c>
      <c r="N2167" s="20">
        <f>IF($Q2167="","",INDEX(상세표[블록 22~06시],$Q2167))</f>
        <v/>
      </c>
      <c r="O2167">
        <f>IF($Q2167="","",INDEX(상세표[주말·휴일 포함],$Q2167)&amp;"")</f>
        <v/>
      </c>
      <c r="P2167">
        <f>IF($Q2167="","",INDEX(상세표[월 넘김 포함],$Q2167)&amp;"")</f>
        <v/>
      </c>
      <c r="Q2167" s="4">
        <f>IFERROR(MATCH(2162,상세표[연속순번],0),"")</f>
        <v/>
      </c>
    </row>
    <row r="2168">
      <c r="A2168">
        <f>IF($Q2168="","",INDEX(상세표[부서],$Q2168)&amp;"")</f>
        <v/>
      </c>
      <c r="B2168">
        <f>IF($Q2168="","",INDEX(상세표[사번],$Q2168)&amp;"")</f>
        <v/>
      </c>
      <c r="C2168">
        <f>IF($Q2168="","",INDEX(상세표[성명],$Q2168)&amp;"")</f>
        <v/>
      </c>
      <c r="D2168">
        <f>IF($Q2168="","",INDEX(상세표[직위],$Q2168)&amp;"")</f>
        <v/>
      </c>
      <c r="E2168">
        <f>IF($Q2168="","",IF(ISNUMBER(INDEX(상세표[근무일자],$Q2168)),TEXT(INDEX(상세표[근무일자],$Q2168),"yyyy-mm-dd"),INDEX(상세표[근무일자],$Q2168)&amp;""))</f>
        <v/>
      </c>
      <c r="F2168">
        <f>IF($Q2168="","",IF(ISNUMBER(INDEX(상세표[시작],$Q2168)),TEXT(INDEX(상세표[시작],$Q2168),"yyyy-mm-dd hh:mm"),INDEX(상세표[시작],$Q2168)&amp;""))</f>
        <v/>
      </c>
      <c r="G2168">
        <f>IF($Q2168="","",IF(ISNUMBER(INDEX(상세표[블록종료],$Q2168)),TEXT(INDEX(상세표[블록종료],$Q2168),"yyyy-mm-dd hh:mm"),INDEX(상세표[블록종료],$Q2168)&amp;""))</f>
        <v/>
      </c>
      <c r="H2168">
        <f>IF($Q2168="","",CHOOSE(WEEKDAY(INDEX(상세표[시작],$Q2168)),"일","월","화","수","목","금","토"))</f>
        <v/>
      </c>
      <c r="I2168" s="20">
        <f>IF($Q2168="","",INDEX(상세표[연속 시간],$Q2168))</f>
        <v/>
      </c>
      <c r="J2168">
        <f>IF($Q2168="","",INDEX(상세표[기록 수],$Q2168))</f>
        <v/>
      </c>
      <c r="K2168" s="20">
        <f>IF($Q2168="","",INDEX(상세표[블록 06~07시],$Q2168))</f>
        <v/>
      </c>
      <c r="L2168" s="20">
        <f>IF($Q2168="","",INDEX(상세표[블록 07~18시],$Q2168))</f>
        <v/>
      </c>
      <c r="M2168" s="20">
        <f>IF($Q2168="","",INDEX(상세표[블록 18~22시],$Q2168))</f>
        <v/>
      </c>
      <c r="N2168" s="20">
        <f>IF($Q2168="","",INDEX(상세표[블록 22~06시],$Q2168))</f>
        <v/>
      </c>
      <c r="O2168">
        <f>IF($Q2168="","",INDEX(상세표[주말·휴일 포함],$Q2168)&amp;"")</f>
        <v/>
      </c>
      <c r="P2168">
        <f>IF($Q2168="","",INDEX(상세표[월 넘김 포함],$Q2168)&amp;"")</f>
        <v/>
      </c>
      <c r="Q2168" s="4">
        <f>IFERROR(MATCH(2163,상세표[연속순번],0),"")</f>
        <v/>
      </c>
    </row>
    <row r="2169">
      <c r="A2169">
        <f>IF($Q2169="","",INDEX(상세표[부서],$Q2169)&amp;"")</f>
        <v/>
      </c>
      <c r="B2169">
        <f>IF($Q2169="","",INDEX(상세표[사번],$Q2169)&amp;"")</f>
        <v/>
      </c>
      <c r="C2169">
        <f>IF($Q2169="","",INDEX(상세표[성명],$Q2169)&amp;"")</f>
        <v/>
      </c>
      <c r="D2169">
        <f>IF($Q2169="","",INDEX(상세표[직위],$Q2169)&amp;"")</f>
        <v/>
      </c>
      <c r="E2169">
        <f>IF($Q2169="","",IF(ISNUMBER(INDEX(상세표[근무일자],$Q2169)),TEXT(INDEX(상세표[근무일자],$Q2169),"yyyy-mm-dd"),INDEX(상세표[근무일자],$Q2169)&amp;""))</f>
        <v/>
      </c>
      <c r="F2169">
        <f>IF($Q2169="","",IF(ISNUMBER(INDEX(상세표[시작],$Q2169)),TEXT(INDEX(상세표[시작],$Q2169),"yyyy-mm-dd hh:mm"),INDEX(상세표[시작],$Q2169)&amp;""))</f>
        <v/>
      </c>
      <c r="G2169">
        <f>IF($Q2169="","",IF(ISNUMBER(INDEX(상세표[블록종료],$Q2169)),TEXT(INDEX(상세표[블록종료],$Q2169),"yyyy-mm-dd hh:mm"),INDEX(상세표[블록종료],$Q2169)&amp;""))</f>
        <v/>
      </c>
      <c r="H2169">
        <f>IF($Q2169="","",CHOOSE(WEEKDAY(INDEX(상세표[시작],$Q2169)),"일","월","화","수","목","금","토"))</f>
        <v/>
      </c>
      <c r="I2169" s="20">
        <f>IF($Q2169="","",INDEX(상세표[연속 시간],$Q2169))</f>
        <v/>
      </c>
      <c r="J2169">
        <f>IF($Q2169="","",INDEX(상세표[기록 수],$Q2169))</f>
        <v/>
      </c>
      <c r="K2169" s="20">
        <f>IF($Q2169="","",INDEX(상세표[블록 06~07시],$Q2169))</f>
        <v/>
      </c>
      <c r="L2169" s="20">
        <f>IF($Q2169="","",INDEX(상세표[블록 07~18시],$Q2169))</f>
        <v/>
      </c>
      <c r="M2169" s="20">
        <f>IF($Q2169="","",INDEX(상세표[블록 18~22시],$Q2169))</f>
        <v/>
      </c>
      <c r="N2169" s="20">
        <f>IF($Q2169="","",INDEX(상세표[블록 22~06시],$Q2169))</f>
        <v/>
      </c>
      <c r="O2169">
        <f>IF($Q2169="","",INDEX(상세표[주말·휴일 포함],$Q2169)&amp;"")</f>
        <v/>
      </c>
      <c r="P2169">
        <f>IF($Q2169="","",INDEX(상세표[월 넘김 포함],$Q2169)&amp;"")</f>
        <v/>
      </c>
      <c r="Q2169" s="4">
        <f>IFERROR(MATCH(2164,상세표[연속순번],0),"")</f>
        <v/>
      </c>
    </row>
    <row r="2170">
      <c r="A2170">
        <f>IF($Q2170="","",INDEX(상세표[부서],$Q2170)&amp;"")</f>
        <v/>
      </c>
      <c r="B2170">
        <f>IF($Q2170="","",INDEX(상세표[사번],$Q2170)&amp;"")</f>
        <v/>
      </c>
      <c r="C2170">
        <f>IF($Q2170="","",INDEX(상세표[성명],$Q2170)&amp;"")</f>
        <v/>
      </c>
      <c r="D2170">
        <f>IF($Q2170="","",INDEX(상세표[직위],$Q2170)&amp;"")</f>
        <v/>
      </c>
      <c r="E2170">
        <f>IF($Q2170="","",IF(ISNUMBER(INDEX(상세표[근무일자],$Q2170)),TEXT(INDEX(상세표[근무일자],$Q2170),"yyyy-mm-dd"),INDEX(상세표[근무일자],$Q2170)&amp;""))</f>
        <v/>
      </c>
      <c r="F2170">
        <f>IF($Q2170="","",IF(ISNUMBER(INDEX(상세표[시작],$Q2170)),TEXT(INDEX(상세표[시작],$Q2170),"yyyy-mm-dd hh:mm"),INDEX(상세표[시작],$Q2170)&amp;""))</f>
        <v/>
      </c>
      <c r="G2170">
        <f>IF($Q2170="","",IF(ISNUMBER(INDEX(상세표[블록종료],$Q2170)),TEXT(INDEX(상세표[블록종료],$Q2170),"yyyy-mm-dd hh:mm"),INDEX(상세표[블록종료],$Q2170)&amp;""))</f>
        <v/>
      </c>
      <c r="H2170">
        <f>IF($Q2170="","",CHOOSE(WEEKDAY(INDEX(상세표[시작],$Q2170)),"일","월","화","수","목","금","토"))</f>
        <v/>
      </c>
      <c r="I2170" s="20">
        <f>IF($Q2170="","",INDEX(상세표[연속 시간],$Q2170))</f>
        <v/>
      </c>
      <c r="J2170">
        <f>IF($Q2170="","",INDEX(상세표[기록 수],$Q2170))</f>
        <v/>
      </c>
      <c r="K2170" s="20">
        <f>IF($Q2170="","",INDEX(상세표[블록 06~07시],$Q2170))</f>
        <v/>
      </c>
      <c r="L2170" s="20">
        <f>IF($Q2170="","",INDEX(상세표[블록 07~18시],$Q2170))</f>
        <v/>
      </c>
      <c r="M2170" s="20">
        <f>IF($Q2170="","",INDEX(상세표[블록 18~22시],$Q2170))</f>
        <v/>
      </c>
      <c r="N2170" s="20">
        <f>IF($Q2170="","",INDEX(상세표[블록 22~06시],$Q2170))</f>
        <v/>
      </c>
      <c r="O2170">
        <f>IF($Q2170="","",INDEX(상세표[주말·휴일 포함],$Q2170)&amp;"")</f>
        <v/>
      </c>
      <c r="P2170">
        <f>IF($Q2170="","",INDEX(상세표[월 넘김 포함],$Q2170)&amp;"")</f>
        <v/>
      </c>
      <c r="Q2170" s="4">
        <f>IFERROR(MATCH(2165,상세표[연속순번],0),"")</f>
        <v/>
      </c>
    </row>
    <row r="2171">
      <c r="A2171">
        <f>IF($Q2171="","",INDEX(상세표[부서],$Q2171)&amp;"")</f>
        <v/>
      </c>
      <c r="B2171">
        <f>IF($Q2171="","",INDEX(상세표[사번],$Q2171)&amp;"")</f>
        <v/>
      </c>
      <c r="C2171">
        <f>IF($Q2171="","",INDEX(상세표[성명],$Q2171)&amp;"")</f>
        <v/>
      </c>
      <c r="D2171">
        <f>IF($Q2171="","",INDEX(상세표[직위],$Q2171)&amp;"")</f>
        <v/>
      </c>
      <c r="E2171">
        <f>IF($Q2171="","",IF(ISNUMBER(INDEX(상세표[근무일자],$Q2171)),TEXT(INDEX(상세표[근무일자],$Q2171),"yyyy-mm-dd"),INDEX(상세표[근무일자],$Q2171)&amp;""))</f>
        <v/>
      </c>
      <c r="F2171">
        <f>IF($Q2171="","",IF(ISNUMBER(INDEX(상세표[시작],$Q2171)),TEXT(INDEX(상세표[시작],$Q2171),"yyyy-mm-dd hh:mm"),INDEX(상세표[시작],$Q2171)&amp;""))</f>
        <v/>
      </c>
      <c r="G2171">
        <f>IF($Q2171="","",IF(ISNUMBER(INDEX(상세표[블록종료],$Q2171)),TEXT(INDEX(상세표[블록종료],$Q2171),"yyyy-mm-dd hh:mm"),INDEX(상세표[블록종료],$Q2171)&amp;""))</f>
        <v/>
      </c>
      <c r="H2171">
        <f>IF($Q2171="","",CHOOSE(WEEKDAY(INDEX(상세표[시작],$Q2171)),"일","월","화","수","목","금","토"))</f>
        <v/>
      </c>
      <c r="I2171" s="20">
        <f>IF($Q2171="","",INDEX(상세표[연속 시간],$Q2171))</f>
        <v/>
      </c>
      <c r="J2171">
        <f>IF($Q2171="","",INDEX(상세표[기록 수],$Q2171))</f>
        <v/>
      </c>
      <c r="K2171" s="20">
        <f>IF($Q2171="","",INDEX(상세표[블록 06~07시],$Q2171))</f>
        <v/>
      </c>
      <c r="L2171" s="20">
        <f>IF($Q2171="","",INDEX(상세표[블록 07~18시],$Q2171))</f>
        <v/>
      </c>
      <c r="M2171" s="20">
        <f>IF($Q2171="","",INDEX(상세표[블록 18~22시],$Q2171))</f>
        <v/>
      </c>
      <c r="N2171" s="20">
        <f>IF($Q2171="","",INDEX(상세표[블록 22~06시],$Q2171))</f>
        <v/>
      </c>
      <c r="O2171">
        <f>IF($Q2171="","",INDEX(상세표[주말·휴일 포함],$Q2171)&amp;"")</f>
        <v/>
      </c>
      <c r="P2171">
        <f>IF($Q2171="","",INDEX(상세표[월 넘김 포함],$Q2171)&amp;"")</f>
        <v/>
      </c>
      <c r="Q2171" s="4">
        <f>IFERROR(MATCH(2166,상세표[연속순번],0),"")</f>
        <v/>
      </c>
    </row>
    <row r="2172">
      <c r="A2172">
        <f>IF($Q2172="","",INDEX(상세표[부서],$Q2172)&amp;"")</f>
        <v/>
      </c>
      <c r="B2172">
        <f>IF($Q2172="","",INDEX(상세표[사번],$Q2172)&amp;"")</f>
        <v/>
      </c>
      <c r="C2172">
        <f>IF($Q2172="","",INDEX(상세표[성명],$Q2172)&amp;"")</f>
        <v/>
      </c>
      <c r="D2172">
        <f>IF($Q2172="","",INDEX(상세표[직위],$Q2172)&amp;"")</f>
        <v/>
      </c>
      <c r="E2172">
        <f>IF($Q2172="","",IF(ISNUMBER(INDEX(상세표[근무일자],$Q2172)),TEXT(INDEX(상세표[근무일자],$Q2172),"yyyy-mm-dd"),INDEX(상세표[근무일자],$Q2172)&amp;""))</f>
        <v/>
      </c>
      <c r="F2172">
        <f>IF($Q2172="","",IF(ISNUMBER(INDEX(상세표[시작],$Q2172)),TEXT(INDEX(상세표[시작],$Q2172),"yyyy-mm-dd hh:mm"),INDEX(상세표[시작],$Q2172)&amp;""))</f>
        <v/>
      </c>
      <c r="G2172">
        <f>IF($Q2172="","",IF(ISNUMBER(INDEX(상세표[블록종료],$Q2172)),TEXT(INDEX(상세표[블록종료],$Q2172),"yyyy-mm-dd hh:mm"),INDEX(상세표[블록종료],$Q2172)&amp;""))</f>
        <v/>
      </c>
      <c r="H2172">
        <f>IF($Q2172="","",CHOOSE(WEEKDAY(INDEX(상세표[시작],$Q2172)),"일","월","화","수","목","금","토"))</f>
        <v/>
      </c>
      <c r="I2172" s="20">
        <f>IF($Q2172="","",INDEX(상세표[연속 시간],$Q2172))</f>
        <v/>
      </c>
      <c r="J2172">
        <f>IF($Q2172="","",INDEX(상세표[기록 수],$Q2172))</f>
        <v/>
      </c>
      <c r="K2172" s="20">
        <f>IF($Q2172="","",INDEX(상세표[블록 06~07시],$Q2172))</f>
        <v/>
      </c>
      <c r="L2172" s="20">
        <f>IF($Q2172="","",INDEX(상세표[블록 07~18시],$Q2172))</f>
        <v/>
      </c>
      <c r="M2172" s="20">
        <f>IF($Q2172="","",INDEX(상세표[블록 18~22시],$Q2172))</f>
        <v/>
      </c>
      <c r="N2172" s="20">
        <f>IF($Q2172="","",INDEX(상세표[블록 22~06시],$Q2172))</f>
        <v/>
      </c>
      <c r="O2172">
        <f>IF($Q2172="","",INDEX(상세표[주말·휴일 포함],$Q2172)&amp;"")</f>
        <v/>
      </c>
      <c r="P2172">
        <f>IF($Q2172="","",INDEX(상세표[월 넘김 포함],$Q2172)&amp;"")</f>
        <v/>
      </c>
      <c r="Q2172" s="4">
        <f>IFERROR(MATCH(2167,상세표[연속순번],0),"")</f>
        <v/>
      </c>
    </row>
    <row r="2173">
      <c r="A2173">
        <f>IF($Q2173="","",INDEX(상세표[부서],$Q2173)&amp;"")</f>
        <v/>
      </c>
      <c r="B2173">
        <f>IF($Q2173="","",INDEX(상세표[사번],$Q2173)&amp;"")</f>
        <v/>
      </c>
      <c r="C2173">
        <f>IF($Q2173="","",INDEX(상세표[성명],$Q2173)&amp;"")</f>
        <v/>
      </c>
      <c r="D2173">
        <f>IF($Q2173="","",INDEX(상세표[직위],$Q2173)&amp;"")</f>
        <v/>
      </c>
      <c r="E2173">
        <f>IF($Q2173="","",IF(ISNUMBER(INDEX(상세표[근무일자],$Q2173)),TEXT(INDEX(상세표[근무일자],$Q2173),"yyyy-mm-dd"),INDEX(상세표[근무일자],$Q2173)&amp;""))</f>
        <v/>
      </c>
      <c r="F2173">
        <f>IF($Q2173="","",IF(ISNUMBER(INDEX(상세표[시작],$Q2173)),TEXT(INDEX(상세표[시작],$Q2173),"yyyy-mm-dd hh:mm"),INDEX(상세표[시작],$Q2173)&amp;""))</f>
        <v/>
      </c>
      <c r="G2173">
        <f>IF($Q2173="","",IF(ISNUMBER(INDEX(상세표[블록종료],$Q2173)),TEXT(INDEX(상세표[블록종료],$Q2173),"yyyy-mm-dd hh:mm"),INDEX(상세표[블록종료],$Q2173)&amp;""))</f>
        <v/>
      </c>
      <c r="H2173">
        <f>IF($Q2173="","",CHOOSE(WEEKDAY(INDEX(상세표[시작],$Q2173)),"일","월","화","수","목","금","토"))</f>
        <v/>
      </c>
      <c r="I2173" s="20">
        <f>IF($Q2173="","",INDEX(상세표[연속 시간],$Q2173))</f>
        <v/>
      </c>
      <c r="J2173">
        <f>IF($Q2173="","",INDEX(상세표[기록 수],$Q2173))</f>
        <v/>
      </c>
      <c r="K2173" s="20">
        <f>IF($Q2173="","",INDEX(상세표[블록 06~07시],$Q2173))</f>
        <v/>
      </c>
      <c r="L2173" s="20">
        <f>IF($Q2173="","",INDEX(상세표[블록 07~18시],$Q2173))</f>
        <v/>
      </c>
      <c r="M2173" s="20">
        <f>IF($Q2173="","",INDEX(상세표[블록 18~22시],$Q2173))</f>
        <v/>
      </c>
      <c r="N2173" s="20">
        <f>IF($Q2173="","",INDEX(상세표[블록 22~06시],$Q2173))</f>
        <v/>
      </c>
      <c r="O2173">
        <f>IF($Q2173="","",INDEX(상세표[주말·휴일 포함],$Q2173)&amp;"")</f>
        <v/>
      </c>
      <c r="P2173">
        <f>IF($Q2173="","",INDEX(상세표[월 넘김 포함],$Q2173)&amp;"")</f>
        <v/>
      </c>
      <c r="Q2173" s="4">
        <f>IFERROR(MATCH(2168,상세표[연속순번],0),"")</f>
        <v/>
      </c>
    </row>
    <row r="2174">
      <c r="A2174">
        <f>IF($Q2174="","",INDEX(상세표[부서],$Q2174)&amp;"")</f>
        <v/>
      </c>
      <c r="B2174">
        <f>IF($Q2174="","",INDEX(상세표[사번],$Q2174)&amp;"")</f>
        <v/>
      </c>
      <c r="C2174">
        <f>IF($Q2174="","",INDEX(상세표[성명],$Q2174)&amp;"")</f>
        <v/>
      </c>
      <c r="D2174">
        <f>IF($Q2174="","",INDEX(상세표[직위],$Q2174)&amp;"")</f>
        <v/>
      </c>
      <c r="E2174">
        <f>IF($Q2174="","",IF(ISNUMBER(INDEX(상세표[근무일자],$Q2174)),TEXT(INDEX(상세표[근무일자],$Q2174),"yyyy-mm-dd"),INDEX(상세표[근무일자],$Q2174)&amp;""))</f>
        <v/>
      </c>
      <c r="F2174">
        <f>IF($Q2174="","",IF(ISNUMBER(INDEX(상세표[시작],$Q2174)),TEXT(INDEX(상세표[시작],$Q2174),"yyyy-mm-dd hh:mm"),INDEX(상세표[시작],$Q2174)&amp;""))</f>
        <v/>
      </c>
      <c r="G2174">
        <f>IF($Q2174="","",IF(ISNUMBER(INDEX(상세표[블록종료],$Q2174)),TEXT(INDEX(상세표[블록종료],$Q2174),"yyyy-mm-dd hh:mm"),INDEX(상세표[블록종료],$Q2174)&amp;""))</f>
        <v/>
      </c>
      <c r="H2174">
        <f>IF($Q2174="","",CHOOSE(WEEKDAY(INDEX(상세표[시작],$Q2174)),"일","월","화","수","목","금","토"))</f>
        <v/>
      </c>
      <c r="I2174" s="20">
        <f>IF($Q2174="","",INDEX(상세표[연속 시간],$Q2174))</f>
        <v/>
      </c>
      <c r="J2174">
        <f>IF($Q2174="","",INDEX(상세표[기록 수],$Q2174))</f>
        <v/>
      </c>
      <c r="K2174" s="20">
        <f>IF($Q2174="","",INDEX(상세표[블록 06~07시],$Q2174))</f>
        <v/>
      </c>
      <c r="L2174" s="20">
        <f>IF($Q2174="","",INDEX(상세표[블록 07~18시],$Q2174))</f>
        <v/>
      </c>
      <c r="M2174" s="20">
        <f>IF($Q2174="","",INDEX(상세표[블록 18~22시],$Q2174))</f>
        <v/>
      </c>
      <c r="N2174" s="20">
        <f>IF($Q2174="","",INDEX(상세표[블록 22~06시],$Q2174))</f>
        <v/>
      </c>
      <c r="O2174">
        <f>IF($Q2174="","",INDEX(상세표[주말·휴일 포함],$Q2174)&amp;"")</f>
        <v/>
      </c>
      <c r="P2174">
        <f>IF($Q2174="","",INDEX(상세표[월 넘김 포함],$Q2174)&amp;"")</f>
        <v/>
      </c>
      <c r="Q2174" s="4">
        <f>IFERROR(MATCH(2169,상세표[연속순번],0),"")</f>
        <v/>
      </c>
    </row>
    <row r="2175">
      <c r="A2175">
        <f>IF($Q2175="","",INDEX(상세표[부서],$Q2175)&amp;"")</f>
        <v/>
      </c>
      <c r="B2175">
        <f>IF($Q2175="","",INDEX(상세표[사번],$Q2175)&amp;"")</f>
        <v/>
      </c>
      <c r="C2175">
        <f>IF($Q2175="","",INDEX(상세표[성명],$Q2175)&amp;"")</f>
        <v/>
      </c>
      <c r="D2175">
        <f>IF($Q2175="","",INDEX(상세표[직위],$Q2175)&amp;"")</f>
        <v/>
      </c>
      <c r="E2175">
        <f>IF($Q2175="","",IF(ISNUMBER(INDEX(상세표[근무일자],$Q2175)),TEXT(INDEX(상세표[근무일자],$Q2175),"yyyy-mm-dd"),INDEX(상세표[근무일자],$Q2175)&amp;""))</f>
        <v/>
      </c>
      <c r="F2175">
        <f>IF($Q2175="","",IF(ISNUMBER(INDEX(상세표[시작],$Q2175)),TEXT(INDEX(상세표[시작],$Q2175),"yyyy-mm-dd hh:mm"),INDEX(상세표[시작],$Q2175)&amp;""))</f>
        <v/>
      </c>
      <c r="G2175">
        <f>IF($Q2175="","",IF(ISNUMBER(INDEX(상세표[블록종료],$Q2175)),TEXT(INDEX(상세표[블록종료],$Q2175),"yyyy-mm-dd hh:mm"),INDEX(상세표[블록종료],$Q2175)&amp;""))</f>
        <v/>
      </c>
      <c r="H2175">
        <f>IF($Q2175="","",CHOOSE(WEEKDAY(INDEX(상세표[시작],$Q2175)),"일","월","화","수","목","금","토"))</f>
        <v/>
      </c>
      <c r="I2175" s="20">
        <f>IF($Q2175="","",INDEX(상세표[연속 시간],$Q2175))</f>
        <v/>
      </c>
      <c r="J2175">
        <f>IF($Q2175="","",INDEX(상세표[기록 수],$Q2175))</f>
        <v/>
      </c>
      <c r="K2175" s="20">
        <f>IF($Q2175="","",INDEX(상세표[블록 06~07시],$Q2175))</f>
        <v/>
      </c>
      <c r="L2175" s="20">
        <f>IF($Q2175="","",INDEX(상세표[블록 07~18시],$Q2175))</f>
        <v/>
      </c>
      <c r="M2175" s="20">
        <f>IF($Q2175="","",INDEX(상세표[블록 18~22시],$Q2175))</f>
        <v/>
      </c>
      <c r="N2175" s="20">
        <f>IF($Q2175="","",INDEX(상세표[블록 22~06시],$Q2175))</f>
        <v/>
      </c>
      <c r="O2175">
        <f>IF($Q2175="","",INDEX(상세표[주말·휴일 포함],$Q2175)&amp;"")</f>
        <v/>
      </c>
      <c r="P2175">
        <f>IF($Q2175="","",INDEX(상세표[월 넘김 포함],$Q2175)&amp;"")</f>
        <v/>
      </c>
      <c r="Q2175" s="4">
        <f>IFERROR(MATCH(2170,상세표[연속순번],0),"")</f>
        <v/>
      </c>
    </row>
    <row r="2176">
      <c r="A2176">
        <f>IF($Q2176="","",INDEX(상세표[부서],$Q2176)&amp;"")</f>
        <v/>
      </c>
      <c r="B2176">
        <f>IF($Q2176="","",INDEX(상세표[사번],$Q2176)&amp;"")</f>
        <v/>
      </c>
      <c r="C2176">
        <f>IF($Q2176="","",INDEX(상세표[성명],$Q2176)&amp;"")</f>
        <v/>
      </c>
      <c r="D2176">
        <f>IF($Q2176="","",INDEX(상세표[직위],$Q2176)&amp;"")</f>
        <v/>
      </c>
      <c r="E2176">
        <f>IF($Q2176="","",IF(ISNUMBER(INDEX(상세표[근무일자],$Q2176)),TEXT(INDEX(상세표[근무일자],$Q2176),"yyyy-mm-dd"),INDEX(상세표[근무일자],$Q2176)&amp;""))</f>
        <v/>
      </c>
      <c r="F2176">
        <f>IF($Q2176="","",IF(ISNUMBER(INDEX(상세표[시작],$Q2176)),TEXT(INDEX(상세표[시작],$Q2176),"yyyy-mm-dd hh:mm"),INDEX(상세표[시작],$Q2176)&amp;""))</f>
        <v/>
      </c>
      <c r="G2176">
        <f>IF($Q2176="","",IF(ISNUMBER(INDEX(상세표[블록종료],$Q2176)),TEXT(INDEX(상세표[블록종료],$Q2176),"yyyy-mm-dd hh:mm"),INDEX(상세표[블록종료],$Q2176)&amp;""))</f>
        <v/>
      </c>
      <c r="H2176">
        <f>IF($Q2176="","",CHOOSE(WEEKDAY(INDEX(상세표[시작],$Q2176)),"일","월","화","수","목","금","토"))</f>
        <v/>
      </c>
      <c r="I2176" s="20">
        <f>IF($Q2176="","",INDEX(상세표[연속 시간],$Q2176))</f>
        <v/>
      </c>
      <c r="J2176">
        <f>IF($Q2176="","",INDEX(상세표[기록 수],$Q2176))</f>
        <v/>
      </c>
      <c r="K2176" s="20">
        <f>IF($Q2176="","",INDEX(상세표[블록 06~07시],$Q2176))</f>
        <v/>
      </c>
      <c r="L2176" s="20">
        <f>IF($Q2176="","",INDEX(상세표[블록 07~18시],$Q2176))</f>
        <v/>
      </c>
      <c r="M2176" s="20">
        <f>IF($Q2176="","",INDEX(상세표[블록 18~22시],$Q2176))</f>
        <v/>
      </c>
      <c r="N2176" s="20">
        <f>IF($Q2176="","",INDEX(상세표[블록 22~06시],$Q2176))</f>
        <v/>
      </c>
      <c r="O2176">
        <f>IF($Q2176="","",INDEX(상세표[주말·휴일 포함],$Q2176)&amp;"")</f>
        <v/>
      </c>
      <c r="P2176">
        <f>IF($Q2176="","",INDEX(상세표[월 넘김 포함],$Q2176)&amp;"")</f>
        <v/>
      </c>
      <c r="Q2176" s="4">
        <f>IFERROR(MATCH(2171,상세표[연속순번],0),"")</f>
        <v/>
      </c>
    </row>
    <row r="2177">
      <c r="A2177">
        <f>IF($Q2177="","",INDEX(상세표[부서],$Q2177)&amp;"")</f>
        <v/>
      </c>
      <c r="B2177">
        <f>IF($Q2177="","",INDEX(상세표[사번],$Q2177)&amp;"")</f>
        <v/>
      </c>
      <c r="C2177">
        <f>IF($Q2177="","",INDEX(상세표[성명],$Q2177)&amp;"")</f>
        <v/>
      </c>
      <c r="D2177">
        <f>IF($Q2177="","",INDEX(상세표[직위],$Q2177)&amp;"")</f>
        <v/>
      </c>
      <c r="E2177">
        <f>IF($Q2177="","",IF(ISNUMBER(INDEX(상세표[근무일자],$Q2177)),TEXT(INDEX(상세표[근무일자],$Q2177),"yyyy-mm-dd"),INDEX(상세표[근무일자],$Q2177)&amp;""))</f>
        <v/>
      </c>
      <c r="F2177">
        <f>IF($Q2177="","",IF(ISNUMBER(INDEX(상세표[시작],$Q2177)),TEXT(INDEX(상세표[시작],$Q2177),"yyyy-mm-dd hh:mm"),INDEX(상세표[시작],$Q2177)&amp;""))</f>
        <v/>
      </c>
      <c r="G2177">
        <f>IF($Q2177="","",IF(ISNUMBER(INDEX(상세표[블록종료],$Q2177)),TEXT(INDEX(상세표[블록종료],$Q2177),"yyyy-mm-dd hh:mm"),INDEX(상세표[블록종료],$Q2177)&amp;""))</f>
        <v/>
      </c>
      <c r="H2177">
        <f>IF($Q2177="","",CHOOSE(WEEKDAY(INDEX(상세표[시작],$Q2177)),"일","월","화","수","목","금","토"))</f>
        <v/>
      </c>
      <c r="I2177" s="20">
        <f>IF($Q2177="","",INDEX(상세표[연속 시간],$Q2177))</f>
        <v/>
      </c>
      <c r="J2177">
        <f>IF($Q2177="","",INDEX(상세표[기록 수],$Q2177))</f>
        <v/>
      </c>
      <c r="K2177" s="20">
        <f>IF($Q2177="","",INDEX(상세표[블록 06~07시],$Q2177))</f>
        <v/>
      </c>
      <c r="L2177" s="20">
        <f>IF($Q2177="","",INDEX(상세표[블록 07~18시],$Q2177))</f>
        <v/>
      </c>
      <c r="M2177" s="20">
        <f>IF($Q2177="","",INDEX(상세표[블록 18~22시],$Q2177))</f>
        <v/>
      </c>
      <c r="N2177" s="20">
        <f>IF($Q2177="","",INDEX(상세표[블록 22~06시],$Q2177))</f>
        <v/>
      </c>
      <c r="O2177">
        <f>IF($Q2177="","",INDEX(상세표[주말·휴일 포함],$Q2177)&amp;"")</f>
        <v/>
      </c>
      <c r="P2177">
        <f>IF($Q2177="","",INDEX(상세표[월 넘김 포함],$Q2177)&amp;"")</f>
        <v/>
      </c>
      <c r="Q2177" s="4">
        <f>IFERROR(MATCH(2172,상세표[연속순번],0),"")</f>
        <v/>
      </c>
    </row>
    <row r="2178">
      <c r="A2178">
        <f>IF($Q2178="","",INDEX(상세표[부서],$Q2178)&amp;"")</f>
        <v/>
      </c>
      <c r="B2178">
        <f>IF($Q2178="","",INDEX(상세표[사번],$Q2178)&amp;"")</f>
        <v/>
      </c>
      <c r="C2178">
        <f>IF($Q2178="","",INDEX(상세표[성명],$Q2178)&amp;"")</f>
        <v/>
      </c>
      <c r="D2178">
        <f>IF($Q2178="","",INDEX(상세표[직위],$Q2178)&amp;"")</f>
        <v/>
      </c>
      <c r="E2178">
        <f>IF($Q2178="","",IF(ISNUMBER(INDEX(상세표[근무일자],$Q2178)),TEXT(INDEX(상세표[근무일자],$Q2178),"yyyy-mm-dd"),INDEX(상세표[근무일자],$Q2178)&amp;""))</f>
        <v/>
      </c>
      <c r="F2178">
        <f>IF($Q2178="","",IF(ISNUMBER(INDEX(상세표[시작],$Q2178)),TEXT(INDEX(상세표[시작],$Q2178),"yyyy-mm-dd hh:mm"),INDEX(상세표[시작],$Q2178)&amp;""))</f>
        <v/>
      </c>
      <c r="G2178">
        <f>IF($Q2178="","",IF(ISNUMBER(INDEX(상세표[블록종료],$Q2178)),TEXT(INDEX(상세표[블록종료],$Q2178),"yyyy-mm-dd hh:mm"),INDEX(상세표[블록종료],$Q2178)&amp;""))</f>
        <v/>
      </c>
      <c r="H2178">
        <f>IF($Q2178="","",CHOOSE(WEEKDAY(INDEX(상세표[시작],$Q2178)),"일","월","화","수","목","금","토"))</f>
        <v/>
      </c>
      <c r="I2178" s="20">
        <f>IF($Q2178="","",INDEX(상세표[연속 시간],$Q2178))</f>
        <v/>
      </c>
      <c r="J2178">
        <f>IF($Q2178="","",INDEX(상세표[기록 수],$Q2178))</f>
        <v/>
      </c>
      <c r="K2178" s="20">
        <f>IF($Q2178="","",INDEX(상세표[블록 06~07시],$Q2178))</f>
        <v/>
      </c>
      <c r="L2178" s="20">
        <f>IF($Q2178="","",INDEX(상세표[블록 07~18시],$Q2178))</f>
        <v/>
      </c>
      <c r="M2178" s="20">
        <f>IF($Q2178="","",INDEX(상세표[블록 18~22시],$Q2178))</f>
        <v/>
      </c>
      <c r="N2178" s="20">
        <f>IF($Q2178="","",INDEX(상세표[블록 22~06시],$Q2178))</f>
        <v/>
      </c>
      <c r="O2178">
        <f>IF($Q2178="","",INDEX(상세표[주말·휴일 포함],$Q2178)&amp;"")</f>
        <v/>
      </c>
      <c r="P2178">
        <f>IF($Q2178="","",INDEX(상세표[월 넘김 포함],$Q2178)&amp;"")</f>
        <v/>
      </c>
      <c r="Q2178" s="4">
        <f>IFERROR(MATCH(2173,상세표[연속순번],0),"")</f>
        <v/>
      </c>
    </row>
    <row r="2179">
      <c r="A2179">
        <f>IF($Q2179="","",INDEX(상세표[부서],$Q2179)&amp;"")</f>
        <v/>
      </c>
      <c r="B2179">
        <f>IF($Q2179="","",INDEX(상세표[사번],$Q2179)&amp;"")</f>
        <v/>
      </c>
      <c r="C2179">
        <f>IF($Q2179="","",INDEX(상세표[성명],$Q2179)&amp;"")</f>
        <v/>
      </c>
      <c r="D2179">
        <f>IF($Q2179="","",INDEX(상세표[직위],$Q2179)&amp;"")</f>
        <v/>
      </c>
      <c r="E2179">
        <f>IF($Q2179="","",IF(ISNUMBER(INDEX(상세표[근무일자],$Q2179)),TEXT(INDEX(상세표[근무일자],$Q2179),"yyyy-mm-dd"),INDEX(상세표[근무일자],$Q2179)&amp;""))</f>
        <v/>
      </c>
      <c r="F2179">
        <f>IF($Q2179="","",IF(ISNUMBER(INDEX(상세표[시작],$Q2179)),TEXT(INDEX(상세표[시작],$Q2179),"yyyy-mm-dd hh:mm"),INDEX(상세표[시작],$Q2179)&amp;""))</f>
        <v/>
      </c>
      <c r="G2179">
        <f>IF($Q2179="","",IF(ISNUMBER(INDEX(상세표[블록종료],$Q2179)),TEXT(INDEX(상세표[블록종료],$Q2179),"yyyy-mm-dd hh:mm"),INDEX(상세표[블록종료],$Q2179)&amp;""))</f>
        <v/>
      </c>
      <c r="H2179">
        <f>IF($Q2179="","",CHOOSE(WEEKDAY(INDEX(상세표[시작],$Q2179)),"일","월","화","수","목","금","토"))</f>
        <v/>
      </c>
      <c r="I2179" s="20">
        <f>IF($Q2179="","",INDEX(상세표[연속 시간],$Q2179))</f>
        <v/>
      </c>
      <c r="J2179">
        <f>IF($Q2179="","",INDEX(상세표[기록 수],$Q2179))</f>
        <v/>
      </c>
      <c r="K2179" s="20">
        <f>IF($Q2179="","",INDEX(상세표[블록 06~07시],$Q2179))</f>
        <v/>
      </c>
      <c r="L2179" s="20">
        <f>IF($Q2179="","",INDEX(상세표[블록 07~18시],$Q2179))</f>
        <v/>
      </c>
      <c r="M2179" s="20">
        <f>IF($Q2179="","",INDEX(상세표[블록 18~22시],$Q2179))</f>
        <v/>
      </c>
      <c r="N2179" s="20">
        <f>IF($Q2179="","",INDEX(상세표[블록 22~06시],$Q2179))</f>
        <v/>
      </c>
      <c r="O2179">
        <f>IF($Q2179="","",INDEX(상세표[주말·휴일 포함],$Q2179)&amp;"")</f>
        <v/>
      </c>
      <c r="P2179">
        <f>IF($Q2179="","",INDEX(상세표[월 넘김 포함],$Q2179)&amp;"")</f>
        <v/>
      </c>
      <c r="Q2179" s="4">
        <f>IFERROR(MATCH(2174,상세표[연속순번],0),"")</f>
        <v/>
      </c>
    </row>
    <row r="2180">
      <c r="A2180">
        <f>IF($Q2180="","",INDEX(상세표[부서],$Q2180)&amp;"")</f>
        <v/>
      </c>
      <c r="B2180">
        <f>IF($Q2180="","",INDEX(상세표[사번],$Q2180)&amp;"")</f>
        <v/>
      </c>
      <c r="C2180">
        <f>IF($Q2180="","",INDEX(상세표[성명],$Q2180)&amp;"")</f>
        <v/>
      </c>
      <c r="D2180">
        <f>IF($Q2180="","",INDEX(상세표[직위],$Q2180)&amp;"")</f>
        <v/>
      </c>
      <c r="E2180">
        <f>IF($Q2180="","",IF(ISNUMBER(INDEX(상세표[근무일자],$Q2180)),TEXT(INDEX(상세표[근무일자],$Q2180),"yyyy-mm-dd"),INDEX(상세표[근무일자],$Q2180)&amp;""))</f>
        <v/>
      </c>
      <c r="F2180">
        <f>IF($Q2180="","",IF(ISNUMBER(INDEX(상세표[시작],$Q2180)),TEXT(INDEX(상세표[시작],$Q2180),"yyyy-mm-dd hh:mm"),INDEX(상세표[시작],$Q2180)&amp;""))</f>
        <v/>
      </c>
      <c r="G2180">
        <f>IF($Q2180="","",IF(ISNUMBER(INDEX(상세표[블록종료],$Q2180)),TEXT(INDEX(상세표[블록종료],$Q2180),"yyyy-mm-dd hh:mm"),INDEX(상세표[블록종료],$Q2180)&amp;""))</f>
        <v/>
      </c>
      <c r="H2180">
        <f>IF($Q2180="","",CHOOSE(WEEKDAY(INDEX(상세표[시작],$Q2180)),"일","월","화","수","목","금","토"))</f>
        <v/>
      </c>
      <c r="I2180" s="20">
        <f>IF($Q2180="","",INDEX(상세표[연속 시간],$Q2180))</f>
        <v/>
      </c>
      <c r="J2180">
        <f>IF($Q2180="","",INDEX(상세표[기록 수],$Q2180))</f>
        <v/>
      </c>
      <c r="K2180" s="20">
        <f>IF($Q2180="","",INDEX(상세표[블록 06~07시],$Q2180))</f>
        <v/>
      </c>
      <c r="L2180" s="20">
        <f>IF($Q2180="","",INDEX(상세표[블록 07~18시],$Q2180))</f>
        <v/>
      </c>
      <c r="M2180" s="20">
        <f>IF($Q2180="","",INDEX(상세표[블록 18~22시],$Q2180))</f>
        <v/>
      </c>
      <c r="N2180" s="20">
        <f>IF($Q2180="","",INDEX(상세표[블록 22~06시],$Q2180))</f>
        <v/>
      </c>
      <c r="O2180">
        <f>IF($Q2180="","",INDEX(상세표[주말·휴일 포함],$Q2180)&amp;"")</f>
        <v/>
      </c>
      <c r="P2180">
        <f>IF($Q2180="","",INDEX(상세표[월 넘김 포함],$Q2180)&amp;"")</f>
        <v/>
      </c>
      <c r="Q2180" s="4">
        <f>IFERROR(MATCH(2175,상세표[연속순번],0),"")</f>
        <v/>
      </c>
    </row>
    <row r="2181">
      <c r="A2181">
        <f>IF($Q2181="","",INDEX(상세표[부서],$Q2181)&amp;"")</f>
        <v/>
      </c>
      <c r="B2181">
        <f>IF($Q2181="","",INDEX(상세표[사번],$Q2181)&amp;"")</f>
        <v/>
      </c>
      <c r="C2181">
        <f>IF($Q2181="","",INDEX(상세표[성명],$Q2181)&amp;"")</f>
        <v/>
      </c>
      <c r="D2181">
        <f>IF($Q2181="","",INDEX(상세표[직위],$Q2181)&amp;"")</f>
        <v/>
      </c>
      <c r="E2181">
        <f>IF($Q2181="","",IF(ISNUMBER(INDEX(상세표[근무일자],$Q2181)),TEXT(INDEX(상세표[근무일자],$Q2181),"yyyy-mm-dd"),INDEX(상세표[근무일자],$Q2181)&amp;""))</f>
        <v/>
      </c>
      <c r="F2181">
        <f>IF($Q2181="","",IF(ISNUMBER(INDEX(상세표[시작],$Q2181)),TEXT(INDEX(상세표[시작],$Q2181),"yyyy-mm-dd hh:mm"),INDEX(상세표[시작],$Q2181)&amp;""))</f>
        <v/>
      </c>
      <c r="G2181">
        <f>IF($Q2181="","",IF(ISNUMBER(INDEX(상세표[블록종료],$Q2181)),TEXT(INDEX(상세표[블록종료],$Q2181),"yyyy-mm-dd hh:mm"),INDEX(상세표[블록종료],$Q2181)&amp;""))</f>
        <v/>
      </c>
      <c r="H2181">
        <f>IF($Q2181="","",CHOOSE(WEEKDAY(INDEX(상세표[시작],$Q2181)),"일","월","화","수","목","금","토"))</f>
        <v/>
      </c>
      <c r="I2181" s="20">
        <f>IF($Q2181="","",INDEX(상세표[연속 시간],$Q2181))</f>
        <v/>
      </c>
      <c r="J2181">
        <f>IF($Q2181="","",INDEX(상세표[기록 수],$Q2181))</f>
        <v/>
      </c>
      <c r="K2181" s="20">
        <f>IF($Q2181="","",INDEX(상세표[블록 06~07시],$Q2181))</f>
        <v/>
      </c>
      <c r="L2181" s="20">
        <f>IF($Q2181="","",INDEX(상세표[블록 07~18시],$Q2181))</f>
        <v/>
      </c>
      <c r="M2181" s="20">
        <f>IF($Q2181="","",INDEX(상세표[블록 18~22시],$Q2181))</f>
        <v/>
      </c>
      <c r="N2181" s="20">
        <f>IF($Q2181="","",INDEX(상세표[블록 22~06시],$Q2181))</f>
        <v/>
      </c>
      <c r="O2181">
        <f>IF($Q2181="","",INDEX(상세표[주말·휴일 포함],$Q2181)&amp;"")</f>
        <v/>
      </c>
      <c r="P2181">
        <f>IF($Q2181="","",INDEX(상세표[월 넘김 포함],$Q2181)&amp;"")</f>
        <v/>
      </c>
      <c r="Q2181" s="4">
        <f>IFERROR(MATCH(2176,상세표[연속순번],0),"")</f>
        <v/>
      </c>
    </row>
    <row r="2182">
      <c r="A2182">
        <f>IF($Q2182="","",INDEX(상세표[부서],$Q2182)&amp;"")</f>
        <v/>
      </c>
      <c r="B2182">
        <f>IF($Q2182="","",INDEX(상세표[사번],$Q2182)&amp;"")</f>
        <v/>
      </c>
      <c r="C2182">
        <f>IF($Q2182="","",INDEX(상세표[성명],$Q2182)&amp;"")</f>
        <v/>
      </c>
      <c r="D2182">
        <f>IF($Q2182="","",INDEX(상세표[직위],$Q2182)&amp;"")</f>
        <v/>
      </c>
      <c r="E2182">
        <f>IF($Q2182="","",IF(ISNUMBER(INDEX(상세표[근무일자],$Q2182)),TEXT(INDEX(상세표[근무일자],$Q2182),"yyyy-mm-dd"),INDEX(상세표[근무일자],$Q2182)&amp;""))</f>
        <v/>
      </c>
      <c r="F2182">
        <f>IF($Q2182="","",IF(ISNUMBER(INDEX(상세표[시작],$Q2182)),TEXT(INDEX(상세표[시작],$Q2182),"yyyy-mm-dd hh:mm"),INDEX(상세표[시작],$Q2182)&amp;""))</f>
        <v/>
      </c>
      <c r="G2182">
        <f>IF($Q2182="","",IF(ISNUMBER(INDEX(상세표[블록종료],$Q2182)),TEXT(INDEX(상세표[블록종료],$Q2182),"yyyy-mm-dd hh:mm"),INDEX(상세표[블록종료],$Q2182)&amp;""))</f>
        <v/>
      </c>
      <c r="H2182">
        <f>IF($Q2182="","",CHOOSE(WEEKDAY(INDEX(상세표[시작],$Q2182)),"일","월","화","수","목","금","토"))</f>
        <v/>
      </c>
      <c r="I2182" s="20">
        <f>IF($Q2182="","",INDEX(상세표[연속 시간],$Q2182))</f>
        <v/>
      </c>
      <c r="J2182">
        <f>IF($Q2182="","",INDEX(상세표[기록 수],$Q2182))</f>
        <v/>
      </c>
      <c r="K2182" s="20">
        <f>IF($Q2182="","",INDEX(상세표[블록 06~07시],$Q2182))</f>
        <v/>
      </c>
      <c r="L2182" s="20">
        <f>IF($Q2182="","",INDEX(상세표[블록 07~18시],$Q2182))</f>
        <v/>
      </c>
      <c r="M2182" s="20">
        <f>IF($Q2182="","",INDEX(상세표[블록 18~22시],$Q2182))</f>
        <v/>
      </c>
      <c r="N2182" s="20">
        <f>IF($Q2182="","",INDEX(상세표[블록 22~06시],$Q2182))</f>
        <v/>
      </c>
      <c r="O2182">
        <f>IF($Q2182="","",INDEX(상세표[주말·휴일 포함],$Q2182)&amp;"")</f>
        <v/>
      </c>
      <c r="P2182">
        <f>IF($Q2182="","",INDEX(상세표[월 넘김 포함],$Q2182)&amp;"")</f>
        <v/>
      </c>
      <c r="Q2182" s="4">
        <f>IFERROR(MATCH(2177,상세표[연속순번],0),"")</f>
        <v/>
      </c>
    </row>
    <row r="2183">
      <c r="A2183">
        <f>IF($Q2183="","",INDEX(상세표[부서],$Q2183)&amp;"")</f>
        <v/>
      </c>
      <c r="B2183">
        <f>IF($Q2183="","",INDEX(상세표[사번],$Q2183)&amp;"")</f>
        <v/>
      </c>
      <c r="C2183">
        <f>IF($Q2183="","",INDEX(상세표[성명],$Q2183)&amp;"")</f>
        <v/>
      </c>
      <c r="D2183">
        <f>IF($Q2183="","",INDEX(상세표[직위],$Q2183)&amp;"")</f>
        <v/>
      </c>
      <c r="E2183">
        <f>IF($Q2183="","",IF(ISNUMBER(INDEX(상세표[근무일자],$Q2183)),TEXT(INDEX(상세표[근무일자],$Q2183),"yyyy-mm-dd"),INDEX(상세표[근무일자],$Q2183)&amp;""))</f>
        <v/>
      </c>
      <c r="F2183">
        <f>IF($Q2183="","",IF(ISNUMBER(INDEX(상세표[시작],$Q2183)),TEXT(INDEX(상세표[시작],$Q2183),"yyyy-mm-dd hh:mm"),INDEX(상세표[시작],$Q2183)&amp;""))</f>
        <v/>
      </c>
      <c r="G2183">
        <f>IF($Q2183="","",IF(ISNUMBER(INDEX(상세표[블록종료],$Q2183)),TEXT(INDEX(상세표[블록종료],$Q2183),"yyyy-mm-dd hh:mm"),INDEX(상세표[블록종료],$Q2183)&amp;""))</f>
        <v/>
      </c>
      <c r="H2183">
        <f>IF($Q2183="","",CHOOSE(WEEKDAY(INDEX(상세표[시작],$Q2183)),"일","월","화","수","목","금","토"))</f>
        <v/>
      </c>
      <c r="I2183" s="20">
        <f>IF($Q2183="","",INDEX(상세표[연속 시간],$Q2183))</f>
        <v/>
      </c>
      <c r="J2183">
        <f>IF($Q2183="","",INDEX(상세표[기록 수],$Q2183))</f>
        <v/>
      </c>
      <c r="K2183" s="20">
        <f>IF($Q2183="","",INDEX(상세표[블록 06~07시],$Q2183))</f>
        <v/>
      </c>
      <c r="L2183" s="20">
        <f>IF($Q2183="","",INDEX(상세표[블록 07~18시],$Q2183))</f>
        <v/>
      </c>
      <c r="M2183" s="20">
        <f>IF($Q2183="","",INDEX(상세표[블록 18~22시],$Q2183))</f>
        <v/>
      </c>
      <c r="N2183" s="20">
        <f>IF($Q2183="","",INDEX(상세표[블록 22~06시],$Q2183))</f>
        <v/>
      </c>
      <c r="O2183">
        <f>IF($Q2183="","",INDEX(상세표[주말·휴일 포함],$Q2183)&amp;"")</f>
        <v/>
      </c>
      <c r="P2183">
        <f>IF($Q2183="","",INDEX(상세표[월 넘김 포함],$Q2183)&amp;"")</f>
        <v/>
      </c>
      <c r="Q2183" s="4">
        <f>IFERROR(MATCH(2178,상세표[연속순번],0),"")</f>
        <v/>
      </c>
    </row>
    <row r="2184">
      <c r="A2184">
        <f>IF($Q2184="","",INDEX(상세표[부서],$Q2184)&amp;"")</f>
        <v/>
      </c>
      <c r="B2184">
        <f>IF($Q2184="","",INDEX(상세표[사번],$Q2184)&amp;"")</f>
        <v/>
      </c>
      <c r="C2184">
        <f>IF($Q2184="","",INDEX(상세표[성명],$Q2184)&amp;"")</f>
        <v/>
      </c>
      <c r="D2184">
        <f>IF($Q2184="","",INDEX(상세표[직위],$Q2184)&amp;"")</f>
        <v/>
      </c>
      <c r="E2184">
        <f>IF($Q2184="","",IF(ISNUMBER(INDEX(상세표[근무일자],$Q2184)),TEXT(INDEX(상세표[근무일자],$Q2184),"yyyy-mm-dd"),INDEX(상세표[근무일자],$Q2184)&amp;""))</f>
        <v/>
      </c>
      <c r="F2184">
        <f>IF($Q2184="","",IF(ISNUMBER(INDEX(상세표[시작],$Q2184)),TEXT(INDEX(상세표[시작],$Q2184),"yyyy-mm-dd hh:mm"),INDEX(상세표[시작],$Q2184)&amp;""))</f>
        <v/>
      </c>
      <c r="G2184">
        <f>IF($Q2184="","",IF(ISNUMBER(INDEX(상세표[블록종료],$Q2184)),TEXT(INDEX(상세표[블록종료],$Q2184),"yyyy-mm-dd hh:mm"),INDEX(상세표[블록종료],$Q2184)&amp;""))</f>
        <v/>
      </c>
      <c r="H2184">
        <f>IF($Q2184="","",CHOOSE(WEEKDAY(INDEX(상세표[시작],$Q2184)),"일","월","화","수","목","금","토"))</f>
        <v/>
      </c>
      <c r="I2184" s="20">
        <f>IF($Q2184="","",INDEX(상세표[연속 시간],$Q2184))</f>
        <v/>
      </c>
      <c r="J2184">
        <f>IF($Q2184="","",INDEX(상세표[기록 수],$Q2184))</f>
        <v/>
      </c>
      <c r="K2184" s="20">
        <f>IF($Q2184="","",INDEX(상세표[블록 06~07시],$Q2184))</f>
        <v/>
      </c>
      <c r="L2184" s="20">
        <f>IF($Q2184="","",INDEX(상세표[블록 07~18시],$Q2184))</f>
        <v/>
      </c>
      <c r="M2184" s="20">
        <f>IF($Q2184="","",INDEX(상세표[블록 18~22시],$Q2184))</f>
        <v/>
      </c>
      <c r="N2184" s="20">
        <f>IF($Q2184="","",INDEX(상세표[블록 22~06시],$Q2184))</f>
        <v/>
      </c>
      <c r="O2184">
        <f>IF($Q2184="","",INDEX(상세표[주말·휴일 포함],$Q2184)&amp;"")</f>
        <v/>
      </c>
      <c r="P2184">
        <f>IF($Q2184="","",INDEX(상세표[월 넘김 포함],$Q2184)&amp;"")</f>
        <v/>
      </c>
      <c r="Q2184" s="4">
        <f>IFERROR(MATCH(2179,상세표[연속순번],0),"")</f>
        <v/>
      </c>
    </row>
    <row r="2185">
      <c r="A2185">
        <f>IF($Q2185="","",INDEX(상세표[부서],$Q2185)&amp;"")</f>
        <v/>
      </c>
      <c r="B2185">
        <f>IF($Q2185="","",INDEX(상세표[사번],$Q2185)&amp;"")</f>
        <v/>
      </c>
      <c r="C2185">
        <f>IF($Q2185="","",INDEX(상세표[성명],$Q2185)&amp;"")</f>
        <v/>
      </c>
      <c r="D2185">
        <f>IF($Q2185="","",INDEX(상세표[직위],$Q2185)&amp;"")</f>
        <v/>
      </c>
      <c r="E2185">
        <f>IF($Q2185="","",IF(ISNUMBER(INDEX(상세표[근무일자],$Q2185)),TEXT(INDEX(상세표[근무일자],$Q2185),"yyyy-mm-dd"),INDEX(상세표[근무일자],$Q2185)&amp;""))</f>
        <v/>
      </c>
      <c r="F2185">
        <f>IF($Q2185="","",IF(ISNUMBER(INDEX(상세표[시작],$Q2185)),TEXT(INDEX(상세표[시작],$Q2185),"yyyy-mm-dd hh:mm"),INDEX(상세표[시작],$Q2185)&amp;""))</f>
        <v/>
      </c>
      <c r="G2185">
        <f>IF($Q2185="","",IF(ISNUMBER(INDEX(상세표[블록종료],$Q2185)),TEXT(INDEX(상세표[블록종료],$Q2185),"yyyy-mm-dd hh:mm"),INDEX(상세표[블록종료],$Q2185)&amp;""))</f>
        <v/>
      </c>
      <c r="H2185">
        <f>IF($Q2185="","",CHOOSE(WEEKDAY(INDEX(상세표[시작],$Q2185)),"일","월","화","수","목","금","토"))</f>
        <v/>
      </c>
      <c r="I2185" s="20">
        <f>IF($Q2185="","",INDEX(상세표[연속 시간],$Q2185))</f>
        <v/>
      </c>
      <c r="J2185">
        <f>IF($Q2185="","",INDEX(상세표[기록 수],$Q2185))</f>
        <v/>
      </c>
      <c r="K2185" s="20">
        <f>IF($Q2185="","",INDEX(상세표[블록 06~07시],$Q2185))</f>
        <v/>
      </c>
      <c r="L2185" s="20">
        <f>IF($Q2185="","",INDEX(상세표[블록 07~18시],$Q2185))</f>
        <v/>
      </c>
      <c r="M2185" s="20">
        <f>IF($Q2185="","",INDEX(상세표[블록 18~22시],$Q2185))</f>
        <v/>
      </c>
      <c r="N2185" s="20">
        <f>IF($Q2185="","",INDEX(상세표[블록 22~06시],$Q2185))</f>
        <v/>
      </c>
      <c r="O2185">
        <f>IF($Q2185="","",INDEX(상세표[주말·휴일 포함],$Q2185)&amp;"")</f>
        <v/>
      </c>
      <c r="P2185">
        <f>IF($Q2185="","",INDEX(상세표[월 넘김 포함],$Q2185)&amp;"")</f>
        <v/>
      </c>
      <c r="Q2185" s="4">
        <f>IFERROR(MATCH(2180,상세표[연속순번],0),"")</f>
        <v/>
      </c>
    </row>
    <row r="2186">
      <c r="A2186">
        <f>IF($Q2186="","",INDEX(상세표[부서],$Q2186)&amp;"")</f>
        <v/>
      </c>
      <c r="B2186">
        <f>IF($Q2186="","",INDEX(상세표[사번],$Q2186)&amp;"")</f>
        <v/>
      </c>
      <c r="C2186">
        <f>IF($Q2186="","",INDEX(상세표[성명],$Q2186)&amp;"")</f>
        <v/>
      </c>
      <c r="D2186">
        <f>IF($Q2186="","",INDEX(상세표[직위],$Q2186)&amp;"")</f>
        <v/>
      </c>
      <c r="E2186">
        <f>IF($Q2186="","",IF(ISNUMBER(INDEX(상세표[근무일자],$Q2186)),TEXT(INDEX(상세표[근무일자],$Q2186),"yyyy-mm-dd"),INDEX(상세표[근무일자],$Q2186)&amp;""))</f>
        <v/>
      </c>
      <c r="F2186">
        <f>IF($Q2186="","",IF(ISNUMBER(INDEX(상세표[시작],$Q2186)),TEXT(INDEX(상세표[시작],$Q2186),"yyyy-mm-dd hh:mm"),INDEX(상세표[시작],$Q2186)&amp;""))</f>
        <v/>
      </c>
      <c r="G2186">
        <f>IF($Q2186="","",IF(ISNUMBER(INDEX(상세표[블록종료],$Q2186)),TEXT(INDEX(상세표[블록종료],$Q2186),"yyyy-mm-dd hh:mm"),INDEX(상세표[블록종료],$Q2186)&amp;""))</f>
        <v/>
      </c>
      <c r="H2186">
        <f>IF($Q2186="","",CHOOSE(WEEKDAY(INDEX(상세표[시작],$Q2186)),"일","월","화","수","목","금","토"))</f>
        <v/>
      </c>
      <c r="I2186" s="20">
        <f>IF($Q2186="","",INDEX(상세표[연속 시간],$Q2186))</f>
        <v/>
      </c>
      <c r="J2186">
        <f>IF($Q2186="","",INDEX(상세표[기록 수],$Q2186))</f>
        <v/>
      </c>
      <c r="K2186" s="20">
        <f>IF($Q2186="","",INDEX(상세표[블록 06~07시],$Q2186))</f>
        <v/>
      </c>
      <c r="L2186" s="20">
        <f>IF($Q2186="","",INDEX(상세표[블록 07~18시],$Q2186))</f>
        <v/>
      </c>
      <c r="M2186" s="20">
        <f>IF($Q2186="","",INDEX(상세표[블록 18~22시],$Q2186))</f>
        <v/>
      </c>
      <c r="N2186" s="20">
        <f>IF($Q2186="","",INDEX(상세표[블록 22~06시],$Q2186))</f>
        <v/>
      </c>
      <c r="O2186">
        <f>IF($Q2186="","",INDEX(상세표[주말·휴일 포함],$Q2186)&amp;"")</f>
        <v/>
      </c>
      <c r="P2186">
        <f>IF($Q2186="","",INDEX(상세표[월 넘김 포함],$Q2186)&amp;"")</f>
        <v/>
      </c>
      <c r="Q2186" s="4">
        <f>IFERROR(MATCH(2181,상세표[연속순번],0),"")</f>
        <v/>
      </c>
    </row>
    <row r="2187">
      <c r="A2187">
        <f>IF($Q2187="","",INDEX(상세표[부서],$Q2187)&amp;"")</f>
        <v/>
      </c>
      <c r="B2187">
        <f>IF($Q2187="","",INDEX(상세표[사번],$Q2187)&amp;"")</f>
        <v/>
      </c>
      <c r="C2187">
        <f>IF($Q2187="","",INDEX(상세표[성명],$Q2187)&amp;"")</f>
        <v/>
      </c>
      <c r="D2187">
        <f>IF($Q2187="","",INDEX(상세표[직위],$Q2187)&amp;"")</f>
        <v/>
      </c>
      <c r="E2187">
        <f>IF($Q2187="","",IF(ISNUMBER(INDEX(상세표[근무일자],$Q2187)),TEXT(INDEX(상세표[근무일자],$Q2187),"yyyy-mm-dd"),INDEX(상세표[근무일자],$Q2187)&amp;""))</f>
        <v/>
      </c>
      <c r="F2187">
        <f>IF($Q2187="","",IF(ISNUMBER(INDEX(상세표[시작],$Q2187)),TEXT(INDEX(상세표[시작],$Q2187),"yyyy-mm-dd hh:mm"),INDEX(상세표[시작],$Q2187)&amp;""))</f>
        <v/>
      </c>
      <c r="G2187">
        <f>IF($Q2187="","",IF(ISNUMBER(INDEX(상세표[블록종료],$Q2187)),TEXT(INDEX(상세표[블록종료],$Q2187),"yyyy-mm-dd hh:mm"),INDEX(상세표[블록종료],$Q2187)&amp;""))</f>
        <v/>
      </c>
      <c r="H2187">
        <f>IF($Q2187="","",CHOOSE(WEEKDAY(INDEX(상세표[시작],$Q2187)),"일","월","화","수","목","금","토"))</f>
        <v/>
      </c>
      <c r="I2187" s="20">
        <f>IF($Q2187="","",INDEX(상세표[연속 시간],$Q2187))</f>
        <v/>
      </c>
      <c r="J2187">
        <f>IF($Q2187="","",INDEX(상세표[기록 수],$Q2187))</f>
        <v/>
      </c>
      <c r="K2187" s="20">
        <f>IF($Q2187="","",INDEX(상세표[블록 06~07시],$Q2187))</f>
        <v/>
      </c>
      <c r="L2187" s="20">
        <f>IF($Q2187="","",INDEX(상세표[블록 07~18시],$Q2187))</f>
        <v/>
      </c>
      <c r="M2187" s="20">
        <f>IF($Q2187="","",INDEX(상세표[블록 18~22시],$Q2187))</f>
        <v/>
      </c>
      <c r="N2187" s="20">
        <f>IF($Q2187="","",INDEX(상세표[블록 22~06시],$Q2187))</f>
        <v/>
      </c>
      <c r="O2187">
        <f>IF($Q2187="","",INDEX(상세표[주말·휴일 포함],$Q2187)&amp;"")</f>
        <v/>
      </c>
      <c r="P2187">
        <f>IF($Q2187="","",INDEX(상세표[월 넘김 포함],$Q2187)&amp;"")</f>
        <v/>
      </c>
      <c r="Q2187" s="4">
        <f>IFERROR(MATCH(2182,상세표[연속순번],0),"")</f>
        <v/>
      </c>
    </row>
    <row r="2188">
      <c r="A2188">
        <f>IF($Q2188="","",INDEX(상세표[부서],$Q2188)&amp;"")</f>
        <v/>
      </c>
      <c r="B2188">
        <f>IF($Q2188="","",INDEX(상세표[사번],$Q2188)&amp;"")</f>
        <v/>
      </c>
      <c r="C2188">
        <f>IF($Q2188="","",INDEX(상세표[성명],$Q2188)&amp;"")</f>
        <v/>
      </c>
      <c r="D2188">
        <f>IF($Q2188="","",INDEX(상세표[직위],$Q2188)&amp;"")</f>
        <v/>
      </c>
      <c r="E2188">
        <f>IF($Q2188="","",IF(ISNUMBER(INDEX(상세표[근무일자],$Q2188)),TEXT(INDEX(상세표[근무일자],$Q2188),"yyyy-mm-dd"),INDEX(상세표[근무일자],$Q2188)&amp;""))</f>
        <v/>
      </c>
      <c r="F2188">
        <f>IF($Q2188="","",IF(ISNUMBER(INDEX(상세표[시작],$Q2188)),TEXT(INDEX(상세표[시작],$Q2188),"yyyy-mm-dd hh:mm"),INDEX(상세표[시작],$Q2188)&amp;""))</f>
        <v/>
      </c>
      <c r="G2188">
        <f>IF($Q2188="","",IF(ISNUMBER(INDEX(상세표[블록종료],$Q2188)),TEXT(INDEX(상세표[블록종료],$Q2188),"yyyy-mm-dd hh:mm"),INDEX(상세표[블록종료],$Q2188)&amp;""))</f>
        <v/>
      </c>
      <c r="H2188">
        <f>IF($Q2188="","",CHOOSE(WEEKDAY(INDEX(상세표[시작],$Q2188)),"일","월","화","수","목","금","토"))</f>
        <v/>
      </c>
      <c r="I2188" s="20">
        <f>IF($Q2188="","",INDEX(상세표[연속 시간],$Q2188))</f>
        <v/>
      </c>
      <c r="J2188">
        <f>IF($Q2188="","",INDEX(상세표[기록 수],$Q2188))</f>
        <v/>
      </c>
      <c r="K2188" s="20">
        <f>IF($Q2188="","",INDEX(상세표[블록 06~07시],$Q2188))</f>
        <v/>
      </c>
      <c r="L2188" s="20">
        <f>IF($Q2188="","",INDEX(상세표[블록 07~18시],$Q2188))</f>
        <v/>
      </c>
      <c r="M2188" s="20">
        <f>IF($Q2188="","",INDEX(상세표[블록 18~22시],$Q2188))</f>
        <v/>
      </c>
      <c r="N2188" s="20">
        <f>IF($Q2188="","",INDEX(상세표[블록 22~06시],$Q2188))</f>
        <v/>
      </c>
      <c r="O2188">
        <f>IF($Q2188="","",INDEX(상세표[주말·휴일 포함],$Q2188)&amp;"")</f>
        <v/>
      </c>
      <c r="P2188">
        <f>IF($Q2188="","",INDEX(상세표[월 넘김 포함],$Q2188)&amp;"")</f>
        <v/>
      </c>
      <c r="Q2188" s="4">
        <f>IFERROR(MATCH(2183,상세표[연속순번],0),"")</f>
        <v/>
      </c>
    </row>
    <row r="2189">
      <c r="A2189">
        <f>IF($Q2189="","",INDEX(상세표[부서],$Q2189)&amp;"")</f>
        <v/>
      </c>
      <c r="B2189">
        <f>IF($Q2189="","",INDEX(상세표[사번],$Q2189)&amp;"")</f>
        <v/>
      </c>
      <c r="C2189">
        <f>IF($Q2189="","",INDEX(상세표[성명],$Q2189)&amp;"")</f>
        <v/>
      </c>
      <c r="D2189">
        <f>IF($Q2189="","",INDEX(상세표[직위],$Q2189)&amp;"")</f>
        <v/>
      </c>
      <c r="E2189">
        <f>IF($Q2189="","",IF(ISNUMBER(INDEX(상세표[근무일자],$Q2189)),TEXT(INDEX(상세표[근무일자],$Q2189),"yyyy-mm-dd"),INDEX(상세표[근무일자],$Q2189)&amp;""))</f>
        <v/>
      </c>
      <c r="F2189">
        <f>IF($Q2189="","",IF(ISNUMBER(INDEX(상세표[시작],$Q2189)),TEXT(INDEX(상세표[시작],$Q2189),"yyyy-mm-dd hh:mm"),INDEX(상세표[시작],$Q2189)&amp;""))</f>
        <v/>
      </c>
      <c r="G2189">
        <f>IF($Q2189="","",IF(ISNUMBER(INDEX(상세표[블록종료],$Q2189)),TEXT(INDEX(상세표[블록종료],$Q2189),"yyyy-mm-dd hh:mm"),INDEX(상세표[블록종료],$Q2189)&amp;""))</f>
        <v/>
      </c>
      <c r="H2189">
        <f>IF($Q2189="","",CHOOSE(WEEKDAY(INDEX(상세표[시작],$Q2189)),"일","월","화","수","목","금","토"))</f>
        <v/>
      </c>
      <c r="I2189" s="20">
        <f>IF($Q2189="","",INDEX(상세표[연속 시간],$Q2189))</f>
        <v/>
      </c>
      <c r="J2189">
        <f>IF($Q2189="","",INDEX(상세표[기록 수],$Q2189))</f>
        <v/>
      </c>
      <c r="K2189" s="20">
        <f>IF($Q2189="","",INDEX(상세표[블록 06~07시],$Q2189))</f>
        <v/>
      </c>
      <c r="L2189" s="20">
        <f>IF($Q2189="","",INDEX(상세표[블록 07~18시],$Q2189))</f>
        <v/>
      </c>
      <c r="M2189" s="20">
        <f>IF($Q2189="","",INDEX(상세표[블록 18~22시],$Q2189))</f>
        <v/>
      </c>
      <c r="N2189" s="20">
        <f>IF($Q2189="","",INDEX(상세표[블록 22~06시],$Q2189))</f>
        <v/>
      </c>
      <c r="O2189">
        <f>IF($Q2189="","",INDEX(상세표[주말·휴일 포함],$Q2189)&amp;"")</f>
        <v/>
      </c>
      <c r="P2189">
        <f>IF($Q2189="","",INDEX(상세표[월 넘김 포함],$Q2189)&amp;"")</f>
        <v/>
      </c>
      <c r="Q2189" s="4">
        <f>IFERROR(MATCH(2184,상세표[연속순번],0),"")</f>
        <v/>
      </c>
    </row>
    <row r="2190">
      <c r="A2190">
        <f>IF($Q2190="","",INDEX(상세표[부서],$Q2190)&amp;"")</f>
        <v/>
      </c>
      <c r="B2190">
        <f>IF($Q2190="","",INDEX(상세표[사번],$Q2190)&amp;"")</f>
        <v/>
      </c>
      <c r="C2190">
        <f>IF($Q2190="","",INDEX(상세표[성명],$Q2190)&amp;"")</f>
        <v/>
      </c>
      <c r="D2190">
        <f>IF($Q2190="","",INDEX(상세표[직위],$Q2190)&amp;"")</f>
        <v/>
      </c>
      <c r="E2190">
        <f>IF($Q2190="","",IF(ISNUMBER(INDEX(상세표[근무일자],$Q2190)),TEXT(INDEX(상세표[근무일자],$Q2190),"yyyy-mm-dd"),INDEX(상세표[근무일자],$Q2190)&amp;""))</f>
        <v/>
      </c>
      <c r="F2190">
        <f>IF($Q2190="","",IF(ISNUMBER(INDEX(상세표[시작],$Q2190)),TEXT(INDEX(상세표[시작],$Q2190),"yyyy-mm-dd hh:mm"),INDEX(상세표[시작],$Q2190)&amp;""))</f>
        <v/>
      </c>
      <c r="G2190">
        <f>IF($Q2190="","",IF(ISNUMBER(INDEX(상세표[블록종료],$Q2190)),TEXT(INDEX(상세표[블록종료],$Q2190),"yyyy-mm-dd hh:mm"),INDEX(상세표[블록종료],$Q2190)&amp;""))</f>
        <v/>
      </c>
      <c r="H2190">
        <f>IF($Q2190="","",CHOOSE(WEEKDAY(INDEX(상세표[시작],$Q2190)),"일","월","화","수","목","금","토"))</f>
        <v/>
      </c>
      <c r="I2190" s="20">
        <f>IF($Q2190="","",INDEX(상세표[연속 시간],$Q2190))</f>
        <v/>
      </c>
      <c r="J2190">
        <f>IF($Q2190="","",INDEX(상세표[기록 수],$Q2190))</f>
        <v/>
      </c>
      <c r="K2190" s="20">
        <f>IF($Q2190="","",INDEX(상세표[블록 06~07시],$Q2190))</f>
        <v/>
      </c>
      <c r="L2190" s="20">
        <f>IF($Q2190="","",INDEX(상세표[블록 07~18시],$Q2190))</f>
        <v/>
      </c>
      <c r="M2190" s="20">
        <f>IF($Q2190="","",INDEX(상세표[블록 18~22시],$Q2190))</f>
        <v/>
      </c>
      <c r="N2190" s="20">
        <f>IF($Q2190="","",INDEX(상세표[블록 22~06시],$Q2190))</f>
        <v/>
      </c>
      <c r="O2190">
        <f>IF($Q2190="","",INDEX(상세표[주말·휴일 포함],$Q2190)&amp;"")</f>
        <v/>
      </c>
      <c r="P2190">
        <f>IF($Q2190="","",INDEX(상세표[월 넘김 포함],$Q2190)&amp;"")</f>
        <v/>
      </c>
      <c r="Q2190" s="4">
        <f>IFERROR(MATCH(2185,상세표[연속순번],0),"")</f>
        <v/>
      </c>
    </row>
    <row r="2191">
      <c r="A2191">
        <f>IF($Q2191="","",INDEX(상세표[부서],$Q2191)&amp;"")</f>
        <v/>
      </c>
      <c r="B2191">
        <f>IF($Q2191="","",INDEX(상세표[사번],$Q2191)&amp;"")</f>
        <v/>
      </c>
      <c r="C2191">
        <f>IF($Q2191="","",INDEX(상세표[성명],$Q2191)&amp;"")</f>
        <v/>
      </c>
      <c r="D2191">
        <f>IF($Q2191="","",INDEX(상세표[직위],$Q2191)&amp;"")</f>
        <v/>
      </c>
      <c r="E2191">
        <f>IF($Q2191="","",IF(ISNUMBER(INDEX(상세표[근무일자],$Q2191)),TEXT(INDEX(상세표[근무일자],$Q2191),"yyyy-mm-dd"),INDEX(상세표[근무일자],$Q2191)&amp;""))</f>
        <v/>
      </c>
      <c r="F2191">
        <f>IF($Q2191="","",IF(ISNUMBER(INDEX(상세표[시작],$Q2191)),TEXT(INDEX(상세표[시작],$Q2191),"yyyy-mm-dd hh:mm"),INDEX(상세표[시작],$Q2191)&amp;""))</f>
        <v/>
      </c>
      <c r="G2191">
        <f>IF($Q2191="","",IF(ISNUMBER(INDEX(상세표[블록종료],$Q2191)),TEXT(INDEX(상세표[블록종료],$Q2191),"yyyy-mm-dd hh:mm"),INDEX(상세표[블록종료],$Q2191)&amp;""))</f>
        <v/>
      </c>
      <c r="H2191">
        <f>IF($Q2191="","",CHOOSE(WEEKDAY(INDEX(상세표[시작],$Q2191)),"일","월","화","수","목","금","토"))</f>
        <v/>
      </c>
      <c r="I2191" s="20">
        <f>IF($Q2191="","",INDEX(상세표[연속 시간],$Q2191))</f>
        <v/>
      </c>
      <c r="J2191">
        <f>IF($Q2191="","",INDEX(상세표[기록 수],$Q2191))</f>
        <v/>
      </c>
      <c r="K2191" s="20">
        <f>IF($Q2191="","",INDEX(상세표[블록 06~07시],$Q2191))</f>
        <v/>
      </c>
      <c r="L2191" s="20">
        <f>IF($Q2191="","",INDEX(상세표[블록 07~18시],$Q2191))</f>
        <v/>
      </c>
      <c r="M2191" s="20">
        <f>IF($Q2191="","",INDEX(상세표[블록 18~22시],$Q2191))</f>
        <v/>
      </c>
      <c r="N2191" s="20">
        <f>IF($Q2191="","",INDEX(상세표[블록 22~06시],$Q2191))</f>
        <v/>
      </c>
      <c r="O2191">
        <f>IF($Q2191="","",INDEX(상세표[주말·휴일 포함],$Q2191)&amp;"")</f>
        <v/>
      </c>
      <c r="P2191">
        <f>IF($Q2191="","",INDEX(상세표[월 넘김 포함],$Q2191)&amp;"")</f>
        <v/>
      </c>
      <c r="Q2191" s="4">
        <f>IFERROR(MATCH(2186,상세표[연속순번],0),"")</f>
        <v/>
      </c>
    </row>
    <row r="2192">
      <c r="A2192">
        <f>IF($Q2192="","",INDEX(상세표[부서],$Q2192)&amp;"")</f>
        <v/>
      </c>
      <c r="B2192">
        <f>IF($Q2192="","",INDEX(상세표[사번],$Q2192)&amp;"")</f>
        <v/>
      </c>
      <c r="C2192">
        <f>IF($Q2192="","",INDEX(상세표[성명],$Q2192)&amp;"")</f>
        <v/>
      </c>
      <c r="D2192">
        <f>IF($Q2192="","",INDEX(상세표[직위],$Q2192)&amp;"")</f>
        <v/>
      </c>
      <c r="E2192">
        <f>IF($Q2192="","",IF(ISNUMBER(INDEX(상세표[근무일자],$Q2192)),TEXT(INDEX(상세표[근무일자],$Q2192),"yyyy-mm-dd"),INDEX(상세표[근무일자],$Q2192)&amp;""))</f>
        <v/>
      </c>
      <c r="F2192">
        <f>IF($Q2192="","",IF(ISNUMBER(INDEX(상세표[시작],$Q2192)),TEXT(INDEX(상세표[시작],$Q2192),"yyyy-mm-dd hh:mm"),INDEX(상세표[시작],$Q2192)&amp;""))</f>
        <v/>
      </c>
      <c r="G2192">
        <f>IF($Q2192="","",IF(ISNUMBER(INDEX(상세표[블록종료],$Q2192)),TEXT(INDEX(상세표[블록종료],$Q2192),"yyyy-mm-dd hh:mm"),INDEX(상세표[블록종료],$Q2192)&amp;""))</f>
        <v/>
      </c>
      <c r="H2192">
        <f>IF($Q2192="","",CHOOSE(WEEKDAY(INDEX(상세표[시작],$Q2192)),"일","월","화","수","목","금","토"))</f>
        <v/>
      </c>
      <c r="I2192" s="20">
        <f>IF($Q2192="","",INDEX(상세표[연속 시간],$Q2192))</f>
        <v/>
      </c>
      <c r="J2192">
        <f>IF($Q2192="","",INDEX(상세표[기록 수],$Q2192))</f>
        <v/>
      </c>
      <c r="K2192" s="20">
        <f>IF($Q2192="","",INDEX(상세표[블록 06~07시],$Q2192))</f>
        <v/>
      </c>
      <c r="L2192" s="20">
        <f>IF($Q2192="","",INDEX(상세표[블록 07~18시],$Q2192))</f>
        <v/>
      </c>
      <c r="M2192" s="20">
        <f>IF($Q2192="","",INDEX(상세표[블록 18~22시],$Q2192))</f>
        <v/>
      </c>
      <c r="N2192" s="20">
        <f>IF($Q2192="","",INDEX(상세표[블록 22~06시],$Q2192))</f>
        <v/>
      </c>
      <c r="O2192">
        <f>IF($Q2192="","",INDEX(상세표[주말·휴일 포함],$Q2192)&amp;"")</f>
        <v/>
      </c>
      <c r="P2192">
        <f>IF($Q2192="","",INDEX(상세표[월 넘김 포함],$Q2192)&amp;"")</f>
        <v/>
      </c>
      <c r="Q2192" s="4">
        <f>IFERROR(MATCH(2187,상세표[연속순번],0),"")</f>
        <v/>
      </c>
    </row>
    <row r="2193">
      <c r="A2193">
        <f>IF($Q2193="","",INDEX(상세표[부서],$Q2193)&amp;"")</f>
        <v/>
      </c>
      <c r="B2193">
        <f>IF($Q2193="","",INDEX(상세표[사번],$Q2193)&amp;"")</f>
        <v/>
      </c>
      <c r="C2193">
        <f>IF($Q2193="","",INDEX(상세표[성명],$Q2193)&amp;"")</f>
        <v/>
      </c>
      <c r="D2193">
        <f>IF($Q2193="","",INDEX(상세표[직위],$Q2193)&amp;"")</f>
        <v/>
      </c>
      <c r="E2193">
        <f>IF($Q2193="","",IF(ISNUMBER(INDEX(상세표[근무일자],$Q2193)),TEXT(INDEX(상세표[근무일자],$Q2193),"yyyy-mm-dd"),INDEX(상세표[근무일자],$Q2193)&amp;""))</f>
        <v/>
      </c>
      <c r="F2193">
        <f>IF($Q2193="","",IF(ISNUMBER(INDEX(상세표[시작],$Q2193)),TEXT(INDEX(상세표[시작],$Q2193),"yyyy-mm-dd hh:mm"),INDEX(상세표[시작],$Q2193)&amp;""))</f>
        <v/>
      </c>
      <c r="G2193">
        <f>IF($Q2193="","",IF(ISNUMBER(INDEX(상세표[블록종료],$Q2193)),TEXT(INDEX(상세표[블록종료],$Q2193),"yyyy-mm-dd hh:mm"),INDEX(상세표[블록종료],$Q2193)&amp;""))</f>
        <v/>
      </c>
      <c r="H2193">
        <f>IF($Q2193="","",CHOOSE(WEEKDAY(INDEX(상세표[시작],$Q2193)),"일","월","화","수","목","금","토"))</f>
        <v/>
      </c>
      <c r="I2193" s="20">
        <f>IF($Q2193="","",INDEX(상세표[연속 시간],$Q2193))</f>
        <v/>
      </c>
      <c r="J2193">
        <f>IF($Q2193="","",INDEX(상세표[기록 수],$Q2193))</f>
        <v/>
      </c>
      <c r="K2193" s="20">
        <f>IF($Q2193="","",INDEX(상세표[블록 06~07시],$Q2193))</f>
        <v/>
      </c>
      <c r="L2193" s="20">
        <f>IF($Q2193="","",INDEX(상세표[블록 07~18시],$Q2193))</f>
        <v/>
      </c>
      <c r="M2193" s="20">
        <f>IF($Q2193="","",INDEX(상세표[블록 18~22시],$Q2193))</f>
        <v/>
      </c>
      <c r="N2193" s="20">
        <f>IF($Q2193="","",INDEX(상세표[블록 22~06시],$Q2193))</f>
        <v/>
      </c>
      <c r="O2193">
        <f>IF($Q2193="","",INDEX(상세표[주말·휴일 포함],$Q2193)&amp;"")</f>
        <v/>
      </c>
      <c r="P2193">
        <f>IF($Q2193="","",INDEX(상세표[월 넘김 포함],$Q2193)&amp;"")</f>
        <v/>
      </c>
      <c r="Q2193" s="4">
        <f>IFERROR(MATCH(2188,상세표[연속순번],0),"")</f>
        <v/>
      </c>
    </row>
    <row r="2194">
      <c r="A2194">
        <f>IF($Q2194="","",INDEX(상세표[부서],$Q2194)&amp;"")</f>
        <v/>
      </c>
      <c r="B2194">
        <f>IF($Q2194="","",INDEX(상세표[사번],$Q2194)&amp;"")</f>
        <v/>
      </c>
      <c r="C2194">
        <f>IF($Q2194="","",INDEX(상세표[성명],$Q2194)&amp;"")</f>
        <v/>
      </c>
      <c r="D2194">
        <f>IF($Q2194="","",INDEX(상세표[직위],$Q2194)&amp;"")</f>
        <v/>
      </c>
      <c r="E2194">
        <f>IF($Q2194="","",IF(ISNUMBER(INDEX(상세표[근무일자],$Q2194)),TEXT(INDEX(상세표[근무일자],$Q2194),"yyyy-mm-dd"),INDEX(상세표[근무일자],$Q2194)&amp;""))</f>
        <v/>
      </c>
      <c r="F2194">
        <f>IF($Q2194="","",IF(ISNUMBER(INDEX(상세표[시작],$Q2194)),TEXT(INDEX(상세표[시작],$Q2194),"yyyy-mm-dd hh:mm"),INDEX(상세표[시작],$Q2194)&amp;""))</f>
        <v/>
      </c>
      <c r="G2194">
        <f>IF($Q2194="","",IF(ISNUMBER(INDEX(상세표[블록종료],$Q2194)),TEXT(INDEX(상세표[블록종료],$Q2194),"yyyy-mm-dd hh:mm"),INDEX(상세표[블록종료],$Q2194)&amp;""))</f>
        <v/>
      </c>
      <c r="H2194">
        <f>IF($Q2194="","",CHOOSE(WEEKDAY(INDEX(상세표[시작],$Q2194)),"일","월","화","수","목","금","토"))</f>
        <v/>
      </c>
      <c r="I2194" s="20">
        <f>IF($Q2194="","",INDEX(상세표[연속 시간],$Q2194))</f>
        <v/>
      </c>
      <c r="J2194">
        <f>IF($Q2194="","",INDEX(상세표[기록 수],$Q2194))</f>
        <v/>
      </c>
      <c r="K2194" s="20">
        <f>IF($Q2194="","",INDEX(상세표[블록 06~07시],$Q2194))</f>
        <v/>
      </c>
      <c r="L2194" s="20">
        <f>IF($Q2194="","",INDEX(상세표[블록 07~18시],$Q2194))</f>
        <v/>
      </c>
      <c r="M2194" s="20">
        <f>IF($Q2194="","",INDEX(상세표[블록 18~22시],$Q2194))</f>
        <v/>
      </c>
      <c r="N2194" s="20">
        <f>IF($Q2194="","",INDEX(상세표[블록 22~06시],$Q2194))</f>
        <v/>
      </c>
      <c r="O2194">
        <f>IF($Q2194="","",INDEX(상세표[주말·휴일 포함],$Q2194)&amp;"")</f>
        <v/>
      </c>
      <c r="P2194">
        <f>IF($Q2194="","",INDEX(상세표[월 넘김 포함],$Q2194)&amp;"")</f>
        <v/>
      </c>
      <c r="Q2194" s="4">
        <f>IFERROR(MATCH(2189,상세표[연속순번],0),"")</f>
        <v/>
      </c>
    </row>
    <row r="2195">
      <c r="A2195">
        <f>IF($Q2195="","",INDEX(상세표[부서],$Q2195)&amp;"")</f>
        <v/>
      </c>
      <c r="B2195">
        <f>IF($Q2195="","",INDEX(상세표[사번],$Q2195)&amp;"")</f>
        <v/>
      </c>
      <c r="C2195">
        <f>IF($Q2195="","",INDEX(상세표[성명],$Q2195)&amp;"")</f>
        <v/>
      </c>
      <c r="D2195">
        <f>IF($Q2195="","",INDEX(상세표[직위],$Q2195)&amp;"")</f>
        <v/>
      </c>
      <c r="E2195">
        <f>IF($Q2195="","",IF(ISNUMBER(INDEX(상세표[근무일자],$Q2195)),TEXT(INDEX(상세표[근무일자],$Q2195),"yyyy-mm-dd"),INDEX(상세표[근무일자],$Q2195)&amp;""))</f>
        <v/>
      </c>
      <c r="F2195">
        <f>IF($Q2195="","",IF(ISNUMBER(INDEX(상세표[시작],$Q2195)),TEXT(INDEX(상세표[시작],$Q2195),"yyyy-mm-dd hh:mm"),INDEX(상세표[시작],$Q2195)&amp;""))</f>
        <v/>
      </c>
      <c r="G2195">
        <f>IF($Q2195="","",IF(ISNUMBER(INDEX(상세표[블록종료],$Q2195)),TEXT(INDEX(상세표[블록종료],$Q2195),"yyyy-mm-dd hh:mm"),INDEX(상세표[블록종료],$Q2195)&amp;""))</f>
        <v/>
      </c>
      <c r="H2195">
        <f>IF($Q2195="","",CHOOSE(WEEKDAY(INDEX(상세표[시작],$Q2195)),"일","월","화","수","목","금","토"))</f>
        <v/>
      </c>
      <c r="I2195" s="20">
        <f>IF($Q2195="","",INDEX(상세표[연속 시간],$Q2195))</f>
        <v/>
      </c>
      <c r="J2195">
        <f>IF($Q2195="","",INDEX(상세표[기록 수],$Q2195))</f>
        <v/>
      </c>
      <c r="K2195" s="20">
        <f>IF($Q2195="","",INDEX(상세표[블록 06~07시],$Q2195))</f>
        <v/>
      </c>
      <c r="L2195" s="20">
        <f>IF($Q2195="","",INDEX(상세표[블록 07~18시],$Q2195))</f>
        <v/>
      </c>
      <c r="M2195" s="20">
        <f>IF($Q2195="","",INDEX(상세표[블록 18~22시],$Q2195))</f>
        <v/>
      </c>
      <c r="N2195" s="20">
        <f>IF($Q2195="","",INDEX(상세표[블록 22~06시],$Q2195))</f>
        <v/>
      </c>
      <c r="O2195">
        <f>IF($Q2195="","",INDEX(상세표[주말·휴일 포함],$Q2195)&amp;"")</f>
        <v/>
      </c>
      <c r="P2195">
        <f>IF($Q2195="","",INDEX(상세표[월 넘김 포함],$Q2195)&amp;"")</f>
        <v/>
      </c>
      <c r="Q2195" s="4">
        <f>IFERROR(MATCH(2190,상세표[연속순번],0),"")</f>
        <v/>
      </c>
    </row>
    <row r="2196">
      <c r="A2196">
        <f>IF($Q2196="","",INDEX(상세표[부서],$Q2196)&amp;"")</f>
        <v/>
      </c>
      <c r="B2196">
        <f>IF($Q2196="","",INDEX(상세표[사번],$Q2196)&amp;"")</f>
        <v/>
      </c>
      <c r="C2196">
        <f>IF($Q2196="","",INDEX(상세표[성명],$Q2196)&amp;"")</f>
        <v/>
      </c>
      <c r="D2196">
        <f>IF($Q2196="","",INDEX(상세표[직위],$Q2196)&amp;"")</f>
        <v/>
      </c>
      <c r="E2196">
        <f>IF($Q2196="","",IF(ISNUMBER(INDEX(상세표[근무일자],$Q2196)),TEXT(INDEX(상세표[근무일자],$Q2196),"yyyy-mm-dd"),INDEX(상세표[근무일자],$Q2196)&amp;""))</f>
        <v/>
      </c>
      <c r="F2196">
        <f>IF($Q2196="","",IF(ISNUMBER(INDEX(상세표[시작],$Q2196)),TEXT(INDEX(상세표[시작],$Q2196),"yyyy-mm-dd hh:mm"),INDEX(상세표[시작],$Q2196)&amp;""))</f>
        <v/>
      </c>
      <c r="G2196">
        <f>IF($Q2196="","",IF(ISNUMBER(INDEX(상세표[블록종료],$Q2196)),TEXT(INDEX(상세표[블록종료],$Q2196),"yyyy-mm-dd hh:mm"),INDEX(상세표[블록종료],$Q2196)&amp;""))</f>
        <v/>
      </c>
      <c r="H2196">
        <f>IF($Q2196="","",CHOOSE(WEEKDAY(INDEX(상세표[시작],$Q2196)),"일","월","화","수","목","금","토"))</f>
        <v/>
      </c>
      <c r="I2196" s="20">
        <f>IF($Q2196="","",INDEX(상세표[연속 시간],$Q2196))</f>
        <v/>
      </c>
      <c r="J2196">
        <f>IF($Q2196="","",INDEX(상세표[기록 수],$Q2196))</f>
        <v/>
      </c>
      <c r="K2196" s="20">
        <f>IF($Q2196="","",INDEX(상세표[블록 06~07시],$Q2196))</f>
        <v/>
      </c>
      <c r="L2196" s="20">
        <f>IF($Q2196="","",INDEX(상세표[블록 07~18시],$Q2196))</f>
        <v/>
      </c>
      <c r="M2196" s="20">
        <f>IF($Q2196="","",INDEX(상세표[블록 18~22시],$Q2196))</f>
        <v/>
      </c>
      <c r="N2196" s="20">
        <f>IF($Q2196="","",INDEX(상세표[블록 22~06시],$Q2196))</f>
        <v/>
      </c>
      <c r="O2196">
        <f>IF($Q2196="","",INDEX(상세표[주말·휴일 포함],$Q2196)&amp;"")</f>
        <v/>
      </c>
      <c r="P2196">
        <f>IF($Q2196="","",INDEX(상세표[월 넘김 포함],$Q2196)&amp;"")</f>
        <v/>
      </c>
      <c r="Q2196" s="4">
        <f>IFERROR(MATCH(2191,상세표[연속순번],0),"")</f>
        <v/>
      </c>
    </row>
    <row r="2197">
      <c r="A2197">
        <f>IF($Q2197="","",INDEX(상세표[부서],$Q2197)&amp;"")</f>
        <v/>
      </c>
      <c r="B2197">
        <f>IF($Q2197="","",INDEX(상세표[사번],$Q2197)&amp;"")</f>
        <v/>
      </c>
      <c r="C2197">
        <f>IF($Q2197="","",INDEX(상세표[성명],$Q2197)&amp;"")</f>
        <v/>
      </c>
      <c r="D2197">
        <f>IF($Q2197="","",INDEX(상세표[직위],$Q2197)&amp;"")</f>
        <v/>
      </c>
      <c r="E2197">
        <f>IF($Q2197="","",IF(ISNUMBER(INDEX(상세표[근무일자],$Q2197)),TEXT(INDEX(상세표[근무일자],$Q2197),"yyyy-mm-dd"),INDEX(상세표[근무일자],$Q2197)&amp;""))</f>
        <v/>
      </c>
      <c r="F2197">
        <f>IF($Q2197="","",IF(ISNUMBER(INDEX(상세표[시작],$Q2197)),TEXT(INDEX(상세표[시작],$Q2197),"yyyy-mm-dd hh:mm"),INDEX(상세표[시작],$Q2197)&amp;""))</f>
        <v/>
      </c>
      <c r="G2197">
        <f>IF($Q2197="","",IF(ISNUMBER(INDEX(상세표[블록종료],$Q2197)),TEXT(INDEX(상세표[블록종료],$Q2197),"yyyy-mm-dd hh:mm"),INDEX(상세표[블록종료],$Q2197)&amp;""))</f>
        <v/>
      </c>
      <c r="H2197">
        <f>IF($Q2197="","",CHOOSE(WEEKDAY(INDEX(상세표[시작],$Q2197)),"일","월","화","수","목","금","토"))</f>
        <v/>
      </c>
      <c r="I2197" s="20">
        <f>IF($Q2197="","",INDEX(상세표[연속 시간],$Q2197))</f>
        <v/>
      </c>
      <c r="J2197">
        <f>IF($Q2197="","",INDEX(상세표[기록 수],$Q2197))</f>
        <v/>
      </c>
      <c r="K2197" s="20">
        <f>IF($Q2197="","",INDEX(상세표[블록 06~07시],$Q2197))</f>
        <v/>
      </c>
      <c r="L2197" s="20">
        <f>IF($Q2197="","",INDEX(상세표[블록 07~18시],$Q2197))</f>
        <v/>
      </c>
      <c r="M2197" s="20">
        <f>IF($Q2197="","",INDEX(상세표[블록 18~22시],$Q2197))</f>
        <v/>
      </c>
      <c r="N2197" s="20">
        <f>IF($Q2197="","",INDEX(상세표[블록 22~06시],$Q2197))</f>
        <v/>
      </c>
      <c r="O2197">
        <f>IF($Q2197="","",INDEX(상세표[주말·휴일 포함],$Q2197)&amp;"")</f>
        <v/>
      </c>
      <c r="P2197">
        <f>IF($Q2197="","",INDEX(상세표[월 넘김 포함],$Q2197)&amp;"")</f>
        <v/>
      </c>
      <c r="Q2197" s="4">
        <f>IFERROR(MATCH(2192,상세표[연속순번],0),"")</f>
        <v/>
      </c>
    </row>
    <row r="2198">
      <c r="A2198">
        <f>IF($Q2198="","",INDEX(상세표[부서],$Q2198)&amp;"")</f>
        <v/>
      </c>
      <c r="B2198">
        <f>IF($Q2198="","",INDEX(상세표[사번],$Q2198)&amp;"")</f>
        <v/>
      </c>
      <c r="C2198">
        <f>IF($Q2198="","",INDEX(상세표[성명],$Q2198)&amp;"")</f>
        <v/>
      </c>
      <c r="D2198">
        <f>IF($Q2198="","",INDEX(상세표[직위],$Q2198)&amp;"")</f>
        <v/>
      </c>
      <c r="E2198">
        <f>IF($Q2198="","",IF(ISNUMBER(INDEX(상세표[근무일자],$Q2198)),TEXT(INDEX(상세표[근무일자],$Q2198),"yyyy-mm-dd"),INDEX(상세표[근무일자],$Q2198)&amp;""))</f>
        <v/>
      </c>
      <c r="F2198">
        <f>IF($Q2198="","",IF(ISNUMBER(INDEX(상세표[시작],$Q2198)),TEXT(INDEX(상세표[시작],$Q2198),"yyyy-mm-dd hh:mm"),INDEX(상세표[시작],$Q2198)&amp;""))</f>
        <v/>
      </c>
      <c r="G2198">
        <f>IF($Q2198="","",IF(ISNUMBER(INDEX(상세표[블록종료],$Q2198)),TEXT(INDEX(상세표[블록종료],$Q2198),"yyyy-mm-dd hh:mm"),INDEX(상세표[블록종료],$Q2198)&amp;""))</f>
        <v/>
      </c>
      <c r="H2198">
        <f>IF($Q2198="","",CHOOSE(WEEKDAY(INDEX(상세표[시작],$Q2198)),"일","월","화","수","목","금","토"))</f>
        <v/>
      </c>
      <c r="I2198" s="20">
        <f>IF($Q2198="","",INDEX(상세표[연속 시간],$Q2198))</f>
        <v/>
      </c>
      <c r="J2198">
        <f>IF($Q2198="","",INDEX(상세표[기록 수],$Q2198))</f>
        <v/>
      </c>
      <c r="K2198" s="20">
        <f>IF($Q2198="","",INDEX(상세표[블록 06~07시],$Q2198))</f>
        <v/>
      </c>
      <c r="L2198" s="20">
        <f>IF($Q2198="","",INDEX(상세표[블록 07~18시],$Q2198))</f>
        <v/>
      </c>
      <c r="M2198" s="20">
        <f>IF($Q2198="","",INDEX(상세표[블록 18~22시],$Q2198))</f>
        <v/>
      </c>
      <c r="N2198" s="20">
        <f>IF($Q2198="","",INDEX(상세표[블록 22~06시],$Q2198))</f>
        <v/>
      </c>
      <c r="O2198">
        <f>IF($Q2198="","",INDEX(상세표[주말·휴일 포함],$Q2198)&amp;"")</f>
        <v/>
      </c>
      <c r="P2198">
        <f>IF($Q2198="","",INDEX(상세표[월 넘김 포함],$Q2198)&amp;"")</f>
        <v/>
      </c>
      <c r="Q2198" s="4">
        <f>IFERROR(MATCH(2193,상세표[연속순번],0),"")</f>
        <v/>
      </c>
    </row>
    <row r="2199">
      <c r="A2199">
        <f>IF($Q2199="","",INDEX(상세표[부서],$Q2199)&amp;"")</f>
        <v/>
      </c>
      <c r="B2199">
        <f>IF($Q2199="","",INDEX(상세표[사번],$Q2199)&amp;"")</f>
        <v/>
      </c>
      <c r="C2199">
        <f>IF($Q2199="","",INDEX(상세표[성명],$Q2199)&amp;"")</f>
        <v/>
      </c>
      <c r="D2199">
        <f>IF($Q2199="","",INDEX(상세표[직위],$Q2199)&amp;"")</f>
        <v/>
      </c>
      <c r="E2199">
        <f>IF($Q2199="","",IF(ISNUMBER(INDEX(상세표[근무일자],$Q2199)),TEXT(INDEX(상세표[근무일자],$Q2199),"yyyy-mm-dd"),INDEX(상세표[근무일자],$Q2199)&amp;""))</f>
        <v/>
      </c>
      <c r="F2199">
        <f>IF($Q2199="","",IF(ISNUMBER(INDEX(상세표[시작],$Q2199)),TEXT(INDEX(상세표[시작],$Q2199),"yyyy-mm-dd hh:mm"),INDEX(상세표[시작],$Q2199)&amp;""))</f>
        <v/>
      </c>
      <c r="G2199">
        <f>IF($Q2199="","",IF(ISNUMBER(INDEX(상세표[블록종료],$Q2199)),TEXT(INDEX(상세표[블록종료],$Q2199),"yyyy-mm-dd hh:mm"),INDEX(상세표[블록종료],$Q2199)&amp;""))</f>
        <v/>
      </c>
      <c r="H2199">
        <f>IF($Q2199="","",CHOOSE(WEEKDAY(INDEX(상세표[시작],$Q2199)),"일","월","화","수","목","금","토"))</f>
        <v/>
      </c>
      <c r="I2199" s="20">
        <f>IF($Q2199="","",INDEX(상세표[연속 시간],$Q2199))</f>
        <v/>
      </c>
      <c r="J2199">
        <f>IF($Q2199="","",INDEX(상세표[기록 수],$Q2199))</f>
        <v/>
      </c>
      <c r="K2199" s="20">
        <f>IF($Q2199="","",INDEX(상세표[블록 06~07시],$Q2199))</f>
        <v/>
      </c>
      <c r="L2199" s="20">
        <f>IF($Q2199="","",INDEX(상세표[블록 07~18시],$Q2199))</f>
        <v/>
      </c>
      <c r="M2199" s="20">
        <f>IF($Q2199="","",INDEX(상세표[블록 18~22시],$Q2199))</f>
        <v/>
      </c>
      <c r="N2199" s="20">
        <f>IF($Q2199="","",INDEX(상세표[블록 22~06시],$Q2199))</f>
        <v/>
      </c>
      <c r="O2199">
        <f>IF($Q2199="","",INDEX(상세표[주말·휴일 포함],$Q2199)&amp;"")</f>
        <v/>
      </c>
      <c r="P2199">
        <f>IF($Q2199="","",INDEX(상세표[월 넘김 포함],$Q2199)&amp;"")</f>
        <v/>
      </c>
      <c r="Q2199" s="4">
        <f>IFERROR(MATCH(2194,상세표[연속순번],0),"")</f>
        <v/>
      </c>
    </row>
    <row r="2200">
      <c r="A2200">
        <f>IF($Q2200="","",INDEX(상세표[부서],$Q2200)&amp;"")</f>
        <v/>
      </c>
      <c r="B2200">
        <f>IF($Q2200="","",INDEX(상세표[사번],$Q2200)&amp;"")</f>
        <v/>
      </c>
      <c r="C2200">
        <f>IF($Q2200="","",INDEX(상세표[성명],$Q2200)&amp;"")</f>
        <v/>
      </c>
      <c r="D2200">
        <f>IF($Q2200="","",INDEX(상세표[직위],$Q2200)&amp;"")</f>
        <v/>
      </c>
      <c r="E2200">
        <f>IF($Q2200="","",IF(ISNUMBER(INDEX(상세표[근무일자],$Q2200)),TEXT(INDEX(상세표[근무일자],$Q2200),"yyyy-mm-dd"),INDEX(상세표[근무일자],$Q2200)&amp;""))</f>
        <v/>
      </c>
      <c r="F2200">
        <f>IF($Q2200="","",IF(ISNUMBER(INDEX(상세표[시작],$Q2200)),TEXT(INDEX(상세표[시작],$Q2200),"yyyy-mm-dd hh:mm"),INDEX(상세표[시작],$Q2200)&amp;""))</f>
        <v/>
      </c>
      <c r="G2200">
        <f>IF($Q2200="","",IF(ISNUMBER(INDEX(상세표[블록종료],$Q2200)),TEXT(INDEX(상세표[블록종료],$Q2200),"yyyy-mm-dd hh:mm"),INDEX(상세표[블록종료],$Q2200)&amp;""))</f>
        <v/>
      </c>
      <c r="H2200">
        <f>IF($Q2200="","",CHOOSE(WEEKDAY(INDEX(상세표[시작],$Q2200)),"일","월","화","수","목","금","토"))</f>
        <v/>
      </c>
      <c r="I2200" s="20">
        <f>IF($Q2200="","",INDEX(상세표[연속 시간],$Q2200))</f>
        <v/>
      </c>
      <c r="J2200">
        <f>IF($Q2200="","",INDEX(상세표[기록 수],$Q2200))</f>
        <v/>
      </c>
      <c r="K2200" s="20">
        <f>IF($Q2200="","",INDEX(상세표[블록 06~07시],$Q2200))</f>
        <v/>
      </c>
      <c r="L2200" s="20">
        <f>IF($Q2200="","",INDEX(상세표[블록 07~18시],$Q2200))</f>
        <v/>
      </c>
      <c r="M2200" s="20">
        <f>IF($Q2200="","",INDEX(상세표[블록 18~22시],$Q2200))</f>
        <v/>
      </c>
      <c r="N2200" s="20">
        <f>IF($Q2200="","",INDEX(상세표[블록 22~06시],$Q2200))</f>
        <v/>
      </c>
      <c r="O2200">
        <f>IF($Q2200="","",INDEX(상세표[주말·휴일 포함],$Q2200)&amp;"")</f>
        <v/>
      </c>
      <c r="P2200">
        <f>IF($Q2200="","",INDEX(상세표[월 넘김 포함],$Q2200)&amp;"")</f>
        <v/>
      </c>
      <c r="Q2200" s="4">
        <f>IFERROR(MATCH(2195,상세표[연속순번],0),"")</f>
        <v/>
      </c>
    </row>
    <row r="2201">
      <c r="A2201">
        <f>IF($Q2201="","",INDEX(상세표[부서],$Q2201)&amp;"")</f>
        <v/>
      </c>
      <c r="B2201">
        <f>IF($Q2201="","",INDEX(상세표[사번],$Q2201)&amp;"")</f>
        <v/>
      </c>
      <c r="C2201">
        <f>IF($Q2201="","",INDEX(상세표[성명],$Q2201)&amp;"")</f>
        <v/>
      </c>
      <c r="D2201">
        <f>IF($Q2201="","",INDEX(상세표[직위],$Q2201)&amp;"")</f>
        <v/>
      </c>
      <c r="E2201">
        <f>IF($Q2201="","",IF(ISNUMBER(INDEX(상세표[근무일자],$Q2201)),TEXT(INDEX(상세표[근무일자],$Q2201),"yyyy-mm-dd"),INDEX(상세표[근무일자],$Q2201)&amp;""))</f>
        <v/>
      </c>
      <c r="F2201">
        <f>IF($Q2201="","",IF(ISNUMBER(INDEX(상세표[시작],$Q2201)),TEXT(INDEX(상세표[시작],$Q2201),"yyyy-mm-dd hh:mm"),INDEX(상세표[시작],$Q2201)&amp;""))</f>
        <v/>
      </c>
      <c r="G2201">
        <f>IF($Q2201="","",IF(ISNUMBER(INDEX(상세표[블록종료],$Q2201)),TEXT(INDEX(상세표[블록종료],$Q2201),"yyyy-mm-dd hh:mm"),INDEX(상세표[블록종료],$Q2201)&amp;""))</f>
        <v/>
      </c>
      <c r="H2201">
        <f>IF($Q2201="","",CHOOSE(WEEKDAY(INDEX(상세표[시작],$Q2201)),"일","월","화","수","목","금","토"))</f>
        <v/>
      </c>
      <c r="I2201" s="20">
        <f>IF($Q2201="","",INDEX(상세표[연속 시간],$Q2201))</f>
        <v/>
      </c>
      <c r="J2201">
        <f>IF($Q2201="","",INDEX(상세표[기록 수],$Q2201))</f>
        <v/>
      </c>
      <c r="K2201" s="20">
        <f>IF($Q2201="","",INDEX(상세표[블록 06~07시],$Q2201))</f>
        <v/>
      </c>
      <c r="L2201" s="20">
        <f>IF($Q2201="","",INDEX(상세표[블록 07~18시],$Q2201))</f>
        <v/>
      </c>
      <c r="M2201" s="20">
        <f>IF($Q2201="","",INDEX(상세표[블록 18~22시],$Q2201))</f>
        <v/>
      </c>
      <c r="N2201" s="20">
        <f>IF($Q2201="","",INDEX(상세표[블록 22~06시],$Q2201))</f>
        <v/>
      </c>
      <c r="O2201">
        <f>IF($Q2201="","",INDEX(상세표[주말·휴일 포함],$Q2201)&amp;"")</f>
        <v/>
      </c>
      <c r="P2201">
        <f>IF($Q2201="","",INDEX(상세표[월 넘김 포함],$Q2201)&amp;"")</f>
        <v/>
      </c>
      <c r="Q2201" s="4">
        <f>IFERROR(MATCH(2196,상세표[연속순번],0),"")</f>
        <v/>
      </c>
    </row>
    <row r="2202">
      <c r="A2202">
        <f>IF($Q2202="","",INDEX(상세표[부서],$Q2202)&amp;"")</f>
        <v/>
      </c>
      <c r="B2202">
        <f>IF($Q2202="","",INDEX(상세표[사번],$Q2202)&amp;"")</f>
        <v/>
      </c>
      <c r="C2202">
        <f>IF($Q2202="","",INDEX(상세표[성명],$Q2202)&amp;"")</f>
        <v/>
      </c>
      <c r="D2202">
        <f>IF($Q2202="","",INDEX(상세표[직위],$Q2202)&amp;"")</f>
        <v/>
      </c>
      <c r="E2202">
        <f>IF($Q2202="","",IF(ISNUMBER(INDEX(상세표[근무일자],$Q2202)),TEXT(INDEX(상세표[근무일자],$Q2202),"yyyy-mm-dd"),INDEX(상세표[근무일자],$Q2202)&amp;""))</f>
        <v/>
      </c>
      <c r="F2202">
        <f>IF($Q2202="","",IF(ISNUMBER(INDEX(상세표[시작],$Q2202)),TEXT(INDEX(상세표[시작],$Q2202),"yyyy-mm-dd hh:mm"),INDEX(상세표[시작],$Q2202)&amp;""))</f>
        <v/>
      </c>
      <c r="G2202">
        <f>IF($Q2202="","",IF(ISNUMBER(INDEX(상세표[블록종료],$Q2202)),TEXT(INDEX(상세표[블록종료],$Q2202),"yyyy-mm-dd hh:mm"),INDEX(상세표[블록종료],$Q2202)&amp;""))</f>
        <v/>
      </c>
      <c r="H2202">
        <f>IF($Q2202="","",CHOOSE(WEEKDAY(INDEX(상세표[시작],$Q2202)),"일","월","화","수","목","금","토"))</f>
        <v/>
      </c>
      <c r="I2202" s="20">
        <f>IF($Q2202="","",INDEX(상세표[연속 시간],$Q2202))</f>
        <v/>
      </c>
      <c r="J2202">
        <f>IF($Q2202="","",INDEX(상세표[기록 수],$Q2202))</f>
        <v/>
      </c>
      <c r="K2202" s="20">
        <f>IF($Q2202="","",INDEX(상세표[블록 06~07시],$Q2202))</f>
        <v/>
      </c>
      <c r="L2202" s="20">
        <f>IF($Q2202="","",INDEX(상세표[블록 07~18시],$Q2202))</f>
        <v/>
      </c>
      <c r="M2202" s="20">
        <f>IF($Q2202="","",INDEX(상세표[블록 18~22시],$Q2202))</f>
        <v/>
      </c>
      <c r="N2202" s="20">
        <f>IF($Q2202="","",INDEX(상세표[블록 22~06시],$Q2202))</f>
        <v/>
      </c>
      <c r="O2202">
        <f>IF($Q2202="","",INDEX(상세표[주말·휴일 포함],$Q2202)&amp;"")</f>
        <v/>
      </c>
      <c r="P2202">
        <f>IF($Q2202="","",INDEX(상세표[월 넘김 포함],$Q2202)&amp;"")</f>
        <v/>
      </c>
      <c r="Q2202" s="4">
        <f>IFERROR(MATCH(2197,상세표[연속순번],0),"")</f>
        <v/>
      </c>
    </row>
    <row r="2203">
      <c r="A2203">
        <f>IF($Q2203="","",INDEX(상세표[부서],$Q2203)&amp;"")</f>
        <v/>
      </c>
      <c r="B2203">
        <f>IF($Q2203="","",INDEX(상세표[사번],$Q2203)&amp;"")</f>
        <v/>
      </c>
      <c r="C2203">
        <f>IF($Q2203="","",INDEX(상세표[성명],$Q2203)&amp;"")</f>
        <v/>
      </c>
      <c r="D2203">
        <f>IF($Q2203="","",INDEX(상세표[직위],$Q2203)&amp;"")</f>
        <v/>
      </c>
      <c r="E2203">
        <f>IF($Q2203="","",IF(ISNUMBER(INDEX(상세표[근무일자],$Q2203)),TEXT(INDEX(상세표[근무일자],$Q2203),"yyyy-mm-dd"),INDEX(상세표[근무일자],$Q2203)&amp;""))</f>
        <v/>
      </c>
      <c r="F2203">
        <f>IF($Q2203="","",IF(ISNUMBER(INDEX(상세표[시작],$Q2203)),TEXT(INDEX(상세표[시작],$Q2203),"yyyy-mm-dd hh:mm"),INDEX(상세표[시작],$Q2203)&amp;""))</f>
        <v/>
      </c>
      <c r="G2203">
        <f>IF($Q2203="","",IF(ISNUMBER(INDEX(상세표[블록종료],$Q2203)),TEXT(INDEX(상세표[블록종료],$Q2203),"yyyy-mm-dd hh:mm"),INDEX(상세표[블록종료],$Q2203)&amp;""))</f>
        <v/>
      </c>
      <c r="H2203">
        <f>IF($Q2203="","",CHOOSE(WEEKDAY(INDEX(상세표[시작],$Q2203)),"일","월","화","수","목","금","토"))</f>
        <v/>
      </c>
      <c r="I2203" s="20">
        <f>IF($Q2203="","",INDEX(상세표[연속 시간],$Q2203))</f>
        <v/>
      </c>
      <c r="J2203">
        <f>IF($Q2203="","",INDEX(상세표[기록 수],$Q2203))</f>
        <v/>
      </c>
      <c r="K2203" s="20">
        <f>IF($Q2203="","",INDEX(상세표[블록 06~07시],$Q2203))</f>
        <v/>
      </c>
      <c r="L2203" s="20">
        <f>IF($Q2203="","",INDEX(상세표[블록 07~18시],$Q2203))</f>
        <v/>
      </c>
      <c r="M2203" s="20">
        <f>IF($Q2203="","",INDEX(상세표[블록 18~22시],$Q2203))</f>
        <v/>
      </c>
      <c r="N2203" s="20">
        <f>IF($Q2203="","",INDEX(상세표[블록 22~06시],$Q2203))</f>
        <v/>
      </c>
      <c r="O2203">
        <f>IF($Q2203="","",INDEX(상세표[주말·휴일 포함],$Q2203)&amp;"")</f>
        <v/>
      </c>
      <c r="P2203">
        <f>IF($Q2203="","",INDEX(상세표[월 넘김 포함],$Q2203)&amp;"")</f>
        <v/>
      </c>
      <c r="Q2203" s="4">
        <f>IFERROR(MATCH(2198,상세표[연속순번],0),"")</f>
        <v/>
      </c>
    </row>
    <row r="2204">
      <c r="A2204">
        <f>IF($Q2204="","",INDEX(상세표[부서],$Q2204)&amp;"")</f>
        <v/>
      </c>
      <c r="B2204">
        <f>IF($Q2204="","",INDEX(상세표[사번],$Q2204)&amp;"")</f>
        <v/>
      </c>
      <c r="C2204">
        <f>IF($Q2204="","",INDEX(상세표[성명],$Q2204)&amp;"")</f>
        <v/>
      </c>
      <c r="D2204">
        <f>IF($Q2204="","",INDEX(상세표[직위],$Q2204)&amp;"")</f>
        <v/>
      </c>
      <c r="E2204">
        <f>IF($Q2204="","",IF(ISNUMBER(INDEX(상세표[근무일자],$Q2204)),TEXT(INDEX(상세표[근무일자],$Q2204),"yyyy-mm-dd"),INDEX(상세표[근무일자],$Q2204)&amp;""))</f>
        <v/>
      </c>
      <c r="F2204">
        <f>IF($Q2204="","",IF(ISNUMBER(INDEX(상세표[시작],$Q2204)),TEXT(INDEX(상세표[시작],$Q2204),"yyyy-mm-dd hh:mm"),INDEX(상세표[시작],$Q2204)&amp;""))</f>
        <v/>
      </c>
      <c r="G2204">
        <f>IF($Q2204="","",IF(ISNUMBER(INDEX(상세표[블록종료],$Q2204)),TEXT(INDEX(상세표[블록종료],$Q2204),"yyyy-mm-dd hh:mm"),INDEX(상세표[블록종료],$Q2204)&amp;""))</f>
        <v/>
      </c>
      <c r="H2204">
        <f>IF($Q2204="","",CHOOSE(WEEKDAY(INDEX(상세표[시작],$Q2204)),"일","월","화","수","목","금","토"))</f>
        <v/>
      </c>
      <c r="I2204" s="20">
        <f>IF($Q2204="","",INDEX(상세표[연속 시간],$Q2204))</f>
        <v/>
      </c>
      <c r="J2204">
        <f>IF($Q2204="","",INDEX(상세표[기록 수],$Q2204))</f>
        <v/>
      </c>
      <c r="K2204" s="20">
        <f>IF($Q2204="","",INDEX(상세표[블록 06~07시],$Q2204))</f>
        <v/>
      </c>
      <c r="L2204" s="20">
        <f>IF($Q2204="","",INDEX(상세표[블록 07~18시],$Q2204))</f>
        <v/>
      </c>
      <c r="M2204" s="20">
        <f>IF($Q2204="","",INDEX(상세표[블록 18~22시],$Q2204))</f>
        <v/>
      </c>
      <c r="N2204" s="20">
        <f>IF($Q2204="","",INDEX(상세표[블록 22~06시],$Q2204))</f>
        <v/>
      </c>
      <c r="O2204">
        <f>IF($Q2204="","",INDEX(상세표[주말·휴일 포함],$Q2204)&amp;"")</f>
        <v/>
      </c>
      <c r="P2204">
        <f>IF($Q2204="","",INDEX(상세표[월 넘김 포함],$Q2204)&amp;"")</f>
        <v/>
      </c>
      <c r="Q2204" s="4">
        <f>IFERROR(MATCH(2199,상세표[연속순번],0),"")</f>
        <v/>
      </c>
    </row>
    <row r="2205">
      <c r="A2205">
        <f>IF($Q2205="","",INDEX(상세표[부서],$Q2205)&amp;"")</f>
        <v/>
      </c>
      <c r="B2205">
        <f>IF($Q2205="","",INDEX(상세표[사번],$Q2205)&amp;"")</f>
        <v/>
      </c>
      <c r="C2205">
        <f>IF($Q2205="","",INDEX(상세표[성명],$Q2205)&amp;"")</f>
        <v/>
      </c>
      <c r="D2205">
        <f>IF($Q2205="","",INDEX(상세표[직위],$Q2205)&amp;"")</f>
        <v/>
      </c>
      <c r="E2205">
        <f>IF($Q2205="","",IF(ISNUMBER(INDEX(상세표[근무일자],$Q2205)),TEXT(INDEX(상세표[근무일자],$Q2205),"yyyy-mm-dd"),INDEX(상세표[근무일자],$Q2205)&amp;""))</f>
        <v/>
      </c>
      <c r="F2205">
        <f>IF($Q2205="","",IF(ISNUMBER(INDEX(상세표[시작],$Q2205)),TEXT(INDEX(상세표[시작],$Q2205),"yyyy-mm-dd hh:mm"),INDEX(상세표[시작],$Q2205)&amp;""))</f>
        <v/>
      </c>
      <c r="G2205">
        <f>IF($Q2205="","",IF(ISNUMBER(INDEX(상세표[블록종료],$Q2205)),TEXT(INDEX(상세표[블록종료],$Q2205),"yyyy-mm-dd hh:mm"),INDEX(상세표[블록종료],$Q2205)&amp;""))</f>
        <v/>
      </c>
      <c r="H2205">
        <f>IF($Q2205="","",CHOOSE(WEEKDAY(INDEX(상세표[시작],$Q2205)),"일","월","화","수","목","금","토"))</f>
        <v/>
      </c>
      <c r="I2205" s="20">
        <f>IF($Q2205="","",INDEX(상세표[연속 시간],$Q2205))</f>
        <v/>
      </c>
      <c r="J2205">
        <f>IF($Q2205="","",INDEX(상세표[기록 수],$Q2205))</f>
        <v/>
      </c>
      <c r="K2205" s="20">
        <f>IF($Q2205="","",INDEX(상세표[블록 06~07시],$Q2205))</f>
        <v/>
      </c>
      <c r="L2205" s="20">
        <f>IF($Q2205="","",INDEX(상세표[블록 07~18시],$Q2205))</f>
        <v/>
      </c>
      <c r="M2205" s="20">
        <f>IF($Q2205="","",INDEX(상세표[블록 18~22시],$Q2205))</f>
        <v/>
      </c>
      <c r="N2205" s="20">
        <f>IF($Q2205="","",INDEX(상세표[블록 22~06시],$Q2205))</f>
        <v/>
      </c>
      <c r="O2205">
        <f>IF($Q2205="","",INDEX(상세표[주말·휴일 포함],$Q2205)&amp;"")</f>
        <v/>
      </c>
      <c r="P2205">
        <f>IF($Q2205="","",INDEX(상세표[월 넘김 포함],$Q2205)&amp;"")</f>
        <v/>
      </c>
      <c r="Q2205" s="4">
        <f>IFERROR(MATCH(2200,상세표[연속순번],0),"")</f>
        <v/>
      </c>
    </row>
    <row r="2206">
      <c r="A2206">
        <f>IF($Q2206="","",INDEX(상세표[부서],$Q2206)&amp;"")</f>
        <v/>
      </c>
      <c r="B2206">
        <f>IF($Q2206="","",INDEX(상세표[사번],$Q2206)&amp;"")</f>
        <v/>
      </c>
      <c r="C2206">
        <f>IF($Q2206="","",INDEX(상세표[성명],$Q2206)&amp;"")</f>
        <v/>
      </c>
      <c r="D2206">
        <f>IF($Q2206="","",INDEX(상세표[직위],$Q2206)&amp;"")</f>
        <v/>
      </c>
      <c r="E2206">
        <f>IF($Q2206="","",IF(ISNUMBER(INDEX(상세표[근무일자],$Q2206)),TEXT(INDEX(상세표[근무일자],$Q2206),"yyyy-mm-dd"),INDEX(상세표[근무일자],$Q2206)&amp;""))</f>
        <v/>
      </c>
      <c r="F2206">
        <f>IF($Q2206="","",IF(ISNUMBER(INDEX(상세표[시작],$Q2206)),TEXT(INDEX(상세표[시작],$Q2206),"yyyy-mm-dd hh:mm"),INDEX(상세표[시작],$Q2206)&amp;""))</f>
        <v/>
      </c>
      <c r="G2206">
        <f>IF($Q2206="","",IF(ISNUMBER(INDEX(상세표[블록종료],$Q2206)),TEXT(INDEX(상세표[블록종료],$Q2206),"yyyy-mm-dd hh:mm"),INDEX(상세표[블록종료],$Q2206)&amp;""))</f>
        <v/>
      </c>
      <c r="H2206">
        <f>IF($Q2206="","",CHOOSE(WEEKDAY(INDEX(상세표[시작],$Q2206)),"일","월","화","수","목","금","토"))</f>
        <v/>
      </c>
      <c r="I2206" s="20">
        <f>IF($Q2206="","",INDEX(상세표[연속 시간],$Q2206))</f>
        <v/>
      </c>
      <c r="J2206">
        <f>IF($Q2206="","",INDEX(상세표[기록 수],$Q2206))</f>
        <v/>
      </c>
      <c r="K2206" s="20">
        <f>IF($Q2206="","",INDEX(상세표[블록 06~07시],$Q2206))</f>
        <v/>
      </c>
      <c r="L2206" s="20">
        <f>IF($Q2206="","",INDEX(상세표[블록 07~18시],$Q2206))</f>
        <v/>
      </c>
      <c r="M2206" s="20">
        <f>IF($Q2206="","",INDEX(상세표[블록 18~22시],$Q2206))</f>
        <v/>
      </c>
      <c r="N2206" s="20">
        <f>IF($Q2206="","",INDEX(상세표[블록 22~06시],$Q2206))</f>
        <v/>
      </c>
      <c r="O2206">
        <f>IF($Q2206="","",INDEX(상세표[주말·휴일 포함],$Q2206)&amp;"")</f>
        <v/>
      </c>
      <c r="P2206">
        <f>IF($Q2206="","",INDEX(상세표[월 넘김 포함],$Q2206)&amp;"")</f>
        <v/>
      </c>
      <c r="Q2206" s="4">
        <f>IFERROR(MATCH(2201,상세표[연속순번],0),"")</f>
        <v/>
      </c>
    </row>
    <row r="2207">
      <c r="A2207">
        <f>IF($Q2207="","",INDEX(상세표[부서],$Q2207)&amp;"")</f>
        <v/>
      </c>
      <c r="B2207">
        <f>IF($Q2207="","",INDEX(상세표[사번],$Q2207)&amp;"")</f>
        <v/>
      </c>
      <c r="C2207">
        <f>IF($Q2207="","",INDEX(상세표[성명],$Q2207)&amp;"")</f>
        <v/>
      </c>
      <c r="D2207">
        <f>IF($Q2207="","",INDEX(상세표[직위],$Q2207)&amp;"")</f>
        <v/>
      </c>
      <c r="E2207">
        <f>IF($Q2207="","",IF(ISNUMBER(INDEX(상세표[근무일자],$Q2207)),TEXT(INDEX(상세표[근무일자],$Q2207),"yyyy-mm-dd"),INDEX(상세표[근무일자],$Q2207)&amp;""))</f>
        <v/>
      </c>
      <c r="F2207">
        <f>IF($Q2207="","",IF(ISNUMBER(INDEX(상세표[시작],$Q2207)),TEXT(INDEX(상세표[시작],$Q2207),"yyyy-mm-dd hh:mm"),INDEX(상세표[시작],$Q2207)&amp;""))</f>
        <v/>
      </c>
      <c r="G2207">
        <f>IF($Q2207="","",IF(ISNUMBER(INDEX(상세표[블록종료],$Q2207)),TEXT(INDEX(상세표[블록종료],$Q2207),"yyyy-mm-dd hh:mm"),INDEX(상세표[블록종료],$Q2207)&amp;""))</f>
        <v/>
      </c>
      <c r="H2207">
        <f>IF($Q2207="","",CHOOSE(WEEKDAY(INDEX(상세표[시작],$Q2207)),"일","월","화","수","목","금","토"))</f>
        <v/>
      </c>
      <c r="I2207" s="20">
        <f>IF($Q2207="","",INDEX(상세표[연속 시간],$Q2207))</f>
        <v/>
      </c>
      <c r="J2207">
        <f>IF($Q2207="","",INDEX(상세표[기록 수],$Q2207))</f>
        <v/>
      </c>
      <c r="K2207" s="20">
        <f>IF($Q2207="","",INDEX(상세표[블록 06~07시],$Q2207))</f>
        <v/>
      </c>
      <c r="L2207" s="20">
        <f>IF($Q2207="","",INDEX(상세표[블록 07~18시],$Q2207))</f>
        <v/>
      </c>
      <c r="M2207" s="20">
        <f>IF($Q2207="","",INDEX(상세표[블록 18~22시],$Q2207))</f>
        <v/>
      </c>
      <c r="N2207" s="20">
        <f>IF($Q2207="","",INDEX(상세표[블록 22~06시],$Q2207))</f>
        <v/>
      </c>
      <c r="O2207">
        <f>IF($Q2207="","",INDEX(상세표[주말·휴일 포함],$Q2207)&amp;"")</f>
        <v/>
      </c>
      <c r="P2207">
        <f>IF($Q2207="","",INDEX(상세표[월 넘김 포함],$Q2207)&amp;"")</f>
        <v/>
      </c>
      <c r="Q2207" s="4">
        <f>IFERROR(MATCH(2202,상세표[연속순번],0),"")</f>
        <v/>
      </c>
    </row>
    <row r="2208">
      <c r="A2208">
        <f>IF($Q2208="","",INDEX(상세표[부서],$Q2208)&amp;"")</f>
        <v/>
      </c>
      <c r="B2208">
        <f>IF($Q2208="","",INDEX(상세표[사번],$Q2208)&amp;"")</f>
        <v/>
      </c>
      <c r="C2208">
        <f>IF($Q2208="","",INDEX(상세표[성명],$Q2208)&amp;"")</f>
        <v/>
      </c>
      <c r="D2208">
        <f>IF($Q2208="","",INDEX(상세표[직위],$Q2208)&amp;"")</f>
        <v/>
      </c>
      <c r="E2208">
        <f>IF($Q2208="","",IF(ISNUMBER(INDEX(상세표[근무일자],$Q2208)),TEXT(INDEX(상세표[근무일자],$Q2208),"yyyy-mm-dd"),INDEX(상세표[근무일자],$Q2208)&amp;""))</f>
        <v/>
      </c>
      <c r="F2208">
        <f>IF($Q2208="","",IF(ISNUMBER(INDEX(상세표[시작],$Q2208)),TEXT(INDEX(상세표[시작],$Q2208),"yyyy-mm-dd hh:mm"),INDEX(상세표[시작],$Q2208)&amp;""))</f>
        <v/>
      </c>
      <c r="G2208">
        <f>IF($Q2208="","",IF(ISNUMBER(INDEX(상세표[블록종료],$Q2208)),TEXT(INDEX(상세표[블록종료],$Q2208),"yyyy-mm-dd hh:mm"),INDEX(상세표[블록종료],$Q2208)&amp;""))</f>
        <v/>
      </c>
      <c r="H2208">
        <f>IF($Q2208="","",CHOOSE(WEEKDAY(INDEX(상세표[시작],$Q2208)),"일","월","화","수","목","금","토"))</f>
        <v/>
      </c>
      <c r="I2208" s="20">
        <f>IF($Q2208="","",INDEX(상세표[연속 시간],$Q2208))</f>
        <v/>
      </c>
      <c r="J2208">
        <f>IF($Q2208="","",INDEX(상세표[기록 수],$Q2208))</f>
        <v/>
      </c>
      <c r="K2208" s="20">
        <f>IF($Q2208="","",INDEX(상세표[블록 06~07시],$Q2208))</f>
        <v/>
      </c>
      <c r="L2208" s="20">
        <f>IF($Q2208="","",INDEX(상세표[블록 07~18시],$Q2208))</f>
        <v/>
      </c>
      <c r="M2208" s="20">
        <f>IF($Q2208="","",INDEX(상세표[블록 18~22시],$Q2208))</f>
        <v/>
      </c>
      <c r="N2208" s="20">
        <f>IF($Q2208="","",INDEX(상세표[블록 22~06시],$Q2208))</f>
        <v/>
      </c>
      <c r="O2208">
        <f>IF($Q2208="","",INDEX(상세표[주말·휴일 포함],$Q2208)&amp;"")</f>
        <v/>
      </c>
      <c r="P2208">
        <f>IF($Q2208="","",INDEX(상세표[월 넘김 포함],$Q2208)&amp;"")</f>
        <v/>
      </c>
      <c r="Q2208" s="4">
        <f>IFERROR(MATCH(2203,상세표[연속순번],0),"")</f>
        <v/>
      </c>
    </row>
    <row r="2209">
      <c r="A2209">
        <f>IF($Q2209="","",INDEX(상세표[부서],$Q2209)&amp;"")</f>
        <v/>
      </c>
      <c r="B2209">
        <f>IF($Q2209="","",INDEX(상세표[사번],$Q2209)&amp;"")</f>
        <v/>
      </c>
      <c r="C2209">
        <f>IF($Q2209="","",INDEX(상세표[성명],$Q2209)&amp;"")</f>
        <v/>
      </c>
      <c r="D2209">
        <f>IF($Q2209="","",INDEX(상세표[직위],$Q2209)&amp;"")</f>
        <v/>
      </c>
      <c r="E2209">
        <f>IF($Q2209="","",IF(ISNUMBER(INDEX(상세표[근무일자],$Q2209)),TEXT(INDEX(상세표[근무일자],$Q2209),"yyyy-mm-dd"),INDEX(상세표[근무일자],$Q2209)&amp;""))</f>
        <v/>
      </c>
      <c r="F2209">
        <f>IF($Q2209="","",IF(ISNUMBER(INDEX(상세표[시작],$Q2209)),TEXT(INDEX(상세표[시작],$Q2209),"yyyy-mm-dd hh:mm"),INDEX(상세표[시작],$Q2209)&amp;""))</f>
        <v/>
      </c>
      <c r="G2209">
        <f>IF($Q2209="","",IF(ISNUMBER(INDEX(상세표[블록종료],$Q2209)),TEXT(INDEX(상세표[블록종료],$Q2209),"yyyy-mm-dd hh:mm"),INDEX(상세표[블록종료],$Q2209)&amp;""))</f>
        <v/>
      </c>
      <c r="H2209">
        <f>IF($Q2209="","",CHOOSE(WEEKDAY(INDEX(상세표[시작],$Q2209)),"일","월","화","수","목","금","토"))</f>
        <v/>
      </c>
      <c r="I2209" s="20">
        <f>IF($Q2209="","",INDEX(상세표[연속 시간],$Q2209))</f>
        <v/>
      </c>
      <c r="J2209">
        <f>IF($Q2209="","",INDEX(상세표[기록 수],$Q2209))</f>
        <v/>
      </c>
      <c r="K2209" s="20">
        <f>IF($Q2209="","",INDEX(상세표[블록 06~07시],$Q2209))</f>
        <v/>
      </c>
      <c r="L2209" s="20">
        <f>IF($Q2209="","",INDEX(상세표[블록 07~18시],$Q2209))</f>
        <v/>
      </c>
      <c r="M2209" s="20">
        <f>IF($Q2209="","",INDEX(상세표[블록 18~22시],$Q2209))</f>
        <v/>
      </c>
      <c r="N2209" s="20">
        <f>IF($Q2209="","",INDEX(상세표[블록 22~06시],$Q2209))</f>
        <v/>
      </c>
      <c r="O2209">
        <f>IF($Q2209="","",INDEX(상세표[주말·휴일 포함],$Q2209)&amp;"")</f>
        <v/>
      </c>
      <c r="P2209">
        <f>IF($Q2209="","",INDEX(상세표[월 넘김 포함],$Q2209)&amp;"")</f>
        <v/>
      </c>
      <c r="Q2209" s="4">
        <f>IFERROR(MATCH(2204,상세표[연속순번],0),"")</f>
        <v/>
      </c>
    </row>
    <row r="2210">
      <c r="A2210">
        <f>IF($Q2210="","",INDEX(상세표[부서],$Q2210)&amp;"")</f>
        <v/>
      </c>
      <c r="B2210">
        <f>IF($Q2210="","",INDEX(상세표[사번],$Q2210)&amp;"")</f>
        <v/>
      </c>
      <c r="C2210">
        <f>IF($Q2210="","",INDEX(상세표[성명],$Q2210)&amp;"")</f>
        <v/>
      </c>
      <c r="D2210">
        <f>IF($Q2210="","",INDEX(상세표[직위],$Q2210)&amp;"")</f>
        <v/>
      </c>
      <c r="E2210">
        <f>IF($Q2210="","",IF(ISNUMBER(INDEX(상세표[근무일자],$Q2210)),TEXT(INDEX(상세표[근무일자],$Q2210),"yyyy-mm-dd"),INDEX(상세표[근무일자],$Q2210)&amp;""))</f>
        <v/>
      </c>
      <c r="F2210">
        <f>IF($Q2210="","",IF(ISNUMBER(INDEX(상세표[시작],$Q2210)),TEXT(INDEX(상세표[시작],$Q2210),"yyyy-mm-dd hh:mm"),INDEX(상세표[시작],$Q2210)&amp;""))</f>
        <v/>
      </c>
      <c r="G2210">
        <f>IF($Q2210="","",IF(ISNUMBER(INDEX(상세표[블록종료],$Q2210)),TEXT(INDEX(상세표[블록종료],$Q2210),"yyyy-mm-dd hh:mm"),INDEX(상세표[블록종료],$Q2210)&amp;""))</f>
        <v/>
      </c>
      <c r="H2210">
        <f>IF($Q2210="","",CHOOSE(WEEKDAY(INDEX(상세표[시작],$Q2210)),"일","월","화","수","목","금","토"))</f>
        <v/>
      </c>
      <c r="I2210" s="20">
        <f>IF($Q2210="","",INDEX(상세표[연속 시간],$Q2210))</f>
        <v/>
      </c>
      <c r="J2210">
        <f>IF($Q2210="","",INDEX(상세표[기록 수],$Q2210))</f>
        <v/>
      </c>
      <c r="K2210" s="20">
        <f>IF($Q2210="","",INDEX(상세표[블록 06~07시],$Q2210))</f>
        <v/>
      </c>
      <c r="L2210" s="20">
        <f>IF($Q2210="","",INDEX(상세표[블록 07~18시],$Q2210))</f>
        <v/>
      </c>
      <c r="M2210" s="20">
        <f>IF($Q2210="","",INDEX(상세표[블록 18~22시],$Q2210))</f>
        <v/>
      </c>
      <c r="N2210" s="20">
        <f>IF($Q2210="","",INDEX(상세표[블록 22~06시],$Q2210))</f>
        <v/>
      </c>
      <c r="O2210">
        <f>IF($Q2210="","",INDEX(상세표[주말·휴일 포함],$Q2210)&amp;"")</f>
        <v/>
      </c>
      <c r="P2210">
        <f>IF($Q2210="","",INDEX(상세표[월 넘김 포함],$Q2210)&amp;"")</f>
        <v/>
      </c>
      <c r="Q2210" s="4">
        <f>IFERROR(MATCH(2205,상세표[연속순번],0),"")</f>
        <v/>
      </c>
    </row>
    <row r="2211">
      <c r="A2211">
        <f>IF($Q2211="","",INDEX(상세표[부서],$Q2211)&amp;"")</f>
        <v/>
      </c>
      <c r="B2211">
        <f>IF($Q2211="","",INDEX(상세표[사번],$Q2211)&amp;"")</f>
        <v/>
      </c>
      <c r="C2211">
        <f>IF($Q2211="","",INDEX(상세표[성명],$Q2211)&amp;"")</f>
        <v/>
      </c>
      <c r="D2211">
        <f>IF($Q2211="","",INDEX(상세표[직위],$Q2211)&amp;"")</f>
        <v/>
      </c>
      <c r="E2211">
        <f>IF($Q2211="","",IF(ISNUMBER(INDEX(상세표[근무일자],$Q2211)),TEXT(INDEX(상세표[근무일자],$Q2211),"yyyy-mm-dd"),INDEX(상세표[근무일자],$Q2211)&amp;""))</f>
        <v/>
      </c>
      <c r="F2211">
        <f>IF($Q2211="","",IF(ISNUMBER(INDEX(상세표[시작],$Q2211)),TEXT(INDEX(상세표[시작],$Q2211),"yyyy-mm-dd hh:mm"),INDEX(상세표[시작],$Q2211)&amp;""))</f>
        <v/>
      </c>
      <c r="G2211">
        <f>IF($Q2211="","",IF(ISNUMBER(INDEX(상세표[블록종료],$Q2211)),TEXT(INDEX(상세표[블록종료],$Q2211),"yyyy-mm-dd hh:mm"),INDEX(상세표[블록종료],$Q2211)&amp;""))</f>
        <v/>
      </c>
      <c r="H2211">
        <f>IF($Q2211="","",CHOOSE(WEEKDAY(INDEX(상세표[시작],$Q2211)),"일","월","화","수","목","금","토"))</f>
        <v/>
      </c>
      <c r="I2211" s="20">
        <f>IF($Q2211="","",INDEX(상세표[연속 시간],$Q2211))</f>
        <v/>
      </c>
      <c r="J2211">
        <f>IF($Q2211="","",INDEX(상세표[기록 수],$Q2211))</f>
        <v/>
      </c>
      <c r="K2211" s="20">
        <f>IF($Q2211="","",INDEX(상세표[블록 06~07시],$Q2211))</f>
        <v/>
      </c>
      <c r="L2211" s="20">
        <f>IF($Q2211="","",INDEX(상세표[블록 07~18시],$Q2211))</f>
        <v/>
      </c>
      <c r="M2211" s="20">
        <f>IF($Q2211="","",INDEX(상세표[블록 18~22시],$Q2211))</f>
        <v/>
      </c>
      <c r="N2211" s="20">
        <f>IF($Q2211="","",INDEX(상세표[블록 22~06시],$Q2211))</f>
        <v/>
      </c>
      <c r="O2211">
        <f>IF($Q2211="","",INDEX(상세표[주말·휴일 포함],$Q2211)&amp;"")</f>
        <v/>
      </c>
      <c r="P2211">
        <f>IF($Q2211="","",INDEX(상세표[월 넘김 포함],$Q2211)&amp;"")</f>
        <v/>
      </c>
      <c r="Q2211" s="4">
        <f>IFERROR(MATCH(2206,상세표[연속순번],0),"")</f>
        <v/>
      </c>
    </row>
    <row r="2212">
      <c r="A2212">
        <f>IF($Q2212="","",INDEX(상세표[부서],$Q2212)&amp;"")</f>
        <v/>
      </c>
      <c r="B2212">
        <f>IF($Q2212="","",INDEX(상세표[사번],$Q2212)&amp;"")</f>
        <v/>
      </c>
      <c r="C2212">
        <f>IF($Q2212="","",INDEX(상세표[성명],$Q2212)&amp;"")</f>
        <v/>
      </c>
      <c r="D2212">
        <f>IF($Q2212="","",INDEX(상세표[직위],$Q2212)&amp;"")</f>
        <v/>
      </c>
      <c r="E2212">
        <f>IF($Q2212="","",IF(ISNUMBER(INDEX(상세표[근무일자],$Q2212)),TEXT(INDEX(상세표[근무일자],$Q2212),"yyyy-mm-dd"),INDEX(상세표[근무일자],$Q2212)&amp;""))</f>
        <v/>
      </c>
      <c r="F2212">
        <f>IF($Q2212="","",IF(ISNUMBER(INDEX(상세표[시작],$Q2212)),TEXT(INDEX(상세표[시작],$Q2212),"yyyy-mm-dd hh:mm"),INDEX(상세표[시작],$Q2212)&amp;""))</f>
        <v/>
      </c>
      <c r="G2212">
        <f>IF($Q2212="","",IF(ISNUMBER(INDEX(상세표[블록종료],$Q2212)),TEXT(INDEX(상세표[블록종료],$Q2212),"yyyy-mm-dd hh:mm"),INDEX(상세표[블록종료],$Q2212)&amp;""))</f>
        <v/>
      </c>
      <c r="H2212">
        <f>IF($Q2212="","",CHOOSE(WEEKDAY(INDEX(상세표[시작],$Q2212)),"일","월","화","수","목","금","토"))</f>
        <v/>
      </c>
      <c r="I2212" s="20">
        <f>IF($Q2212="","",INDEX(상세표[연속 시간],$Q2212))</f>
        <v/>
      </c>
      <c r="J2212">
        <f>IF($Q2212="","",INDEX(상세표[기록 수],$Q2212))</f>
        <v/>
      </c>
      <c r="K2212" s="20">
        <f>IF($Q2212="","",INDEX(상세표[블록 06~07시],$Q2212))</f>
        <v/>
      </c>
      <c r="L2212" s="20">
        <f>IF($Q2212="","",INDEX(상세표[블록 07~18시],$Q2212))</f>
        <v/>
      </c>
      <c r="M2212" s="20">
        <f>IF($Q2212="","",INDEX(상세표[블록 18~22시],$Q2212))</f>
        <v/>
      </c>
      <c r="N2212" s="20">
        <f>IF($Q2212="","",INDEX(상세표[블록 22~06시],$Q2212))</f>
        <v/>
      </c>
      <c r="O2212">
        <f>IF($Q2212="","",INDEX(상세표[주말·휴일 포함],$Q2212)&amp;"")</f>
        <v/>
      </c>
      <c r="P2212">
        <f>IF($Q2212="","",INDEX(상세표[월 넘김 포함],$Q2212)&amp;"")</f>
        <v/>
      </c>
      <c r="Q2212" s="4">
        <f>IFERROR(MATCH(2207,상세표[연속순번],0),"")</f>
        <v/>
      </c>
    </row>
    <row r="2213">
      <c r="A2213">
        <f>IF($Q2213="","",INDEX(상세표[부서],$Q2213)&amp;"")</f>
        <v/>
      </c>
      <c r="B2213">
        <f>IF($Q2213="","",INDEX(상세표[사번],$Q2213)&amp;"")</f>
        <v/>
      </c>
      <c r="C2213">
        <f>IF($Q2213="","",INDEX(상세표[성명],$Q2213)&amp;"")</f>
        <v/>
      </c>
      <c r="D2213">
        <f>IF($Q2213="","",INDEX(상세표[직위],$Q2213)&amp;"")</f>
        <v/>
      </c>
      <c r="E2213">
        <f>IF($Q2213="","",IF(ISNUMBER(INDEX(상세표[근무일자],$Q2213)),TEXT(INDEX(상세표[근무일자],$Q2213),"yyyy-mm-dd"),INDEX(상세표[근무일자],$Q2213)&amp;""))</f>
        <v/>
      </c>
      <c r="F2213">
        <f>IF($Q2213="","",IF(ISNUMBER(INDEX(상세표[시작],$Q2213)),TEXT(INDEX(상세표[시작],$Q2213),"yyyy-mm-dd hh:mm"),INDEX(상세표[시작],$Q2213)&amp;""))</f>
        <v/>
      </c>
      <c r="G2213">
        <f>IF($Q2213="","",IF(ISNUMBER(INDEX(상세표[블록종료],$Q2213)),TEXT(INDEX(상세표[블록종료],$Q2213),"yyyy-mm-dd hh:mm"),INDEX(상세표[블록종료],$Q2213)&amp;""))</f>
        <v/>
      </c>
      <c r="H2213">
        <f>IF($Q2213="","",CHOOSE(WEEKDAY(INDEX(상세표[시작],$Q2213)),"일","월","화","수","목","금","토"))</f>
        <v/>
      </c>
      <c r="I2213" s="20">
        <f>IF($Q2213="","",INDEX(상세표[연속 시간],$Q2213))</f>
        <v/>
      </c>
      <c r="J2213">
        <f>IF($Q2213="","",INDEX(상세표[기록 수],$Q2213))</f>
        <v/>
      </c>
      <c r="K2213" s="20">
        <f>IF($Q2213="","",INDEX(상세표[블록 06~07시],$Q2213))</f>
        <v/>
      </c>
      <c r="L2213" s="20">
        <f>IF($Q2213="","",INDEX(상세표[블록 07~18시],$Q2213))</f>
        <v/>
      </c>
      <c r="M2213" s="20">
        <f>IF($Q2213="","",INDEX(상세표[블록 18~22시],$Q2213))</f>
        <v/>
      </c>
      <c r="N2213" s="20">
        <f>IF($Q2213="","",INDEX(상세표[블록 22~06시],$Q2213))</f>
        <v/>
      </c>
      <c r="O2213">
        <f>IF($Q2213="","",INDEX(상세표[주말·휴일 포함],$Q2213)&amp;"")</f>
        <v/>
      </c>
      <c r="P2213">
        <f>IF($Q2213="","",INDEX(상세표[월 넘김 포함],$Q2213)&amp;"")</f>
        <v/>
      </c>
      <c r="Q2213" s="4">
        <f>IFERROR(MATCH(2208,상세표[연속순번],0),"")</f>
        <v/>
      </c>
    </row>
    <row r="2214">
      <c r="A2214">
        <f>IF($Q2214="","",INDEX(상세표[부서],$Q2214)&amp;"")</f>
        <v/>
      </c>
      <c r="B2214">
        <f>IF($Q2214="","",INDEX(상세표[사번],$Q2214)&amp;"")</f>
        <v/>
      </c>
      <c r="C2214">
        <f>IF($Q2214="","",INDEX(상세표[성명],$Q2214)&amp;"")</f>
        <v/>
      </c>
      <c r="D2214">
        <f>IF($Q2214="","",INDEX(상세표[직위],$Q2214)&amp;"")</f>
        <v/>
      </c>
      <c r="E2214">
        <f>IF($Q2214="","",IF(ISNUMBER(INDEX(상세표[근무일자],$Q2214)),TEXT(INDEX(상세표[근무일자],$Q2214),"yyyy-mm-dd"),INDEX(상세표[근무일자],$Q2214)&amp;""))</f>
        <v/>
      </c>
      <c r="F2214">
        <f>IF($Q2214="","",IF(ISNUMBER(INDEX(상세표[시작],$Q2214)),TEXT(INDEX(상세표[시작],$Q2214),"yyyy-mm-dd hh:mm"),INDEX(상세표[시작],$Q2214)&amp;""))</f>
        <v/>
      </c>
      <c r="G2214">
        <f>IF($Q2214="","",IF(ISNUMBER(INDEX(상세표[블록종료],$Q2214)),TEXT(INDEX(상세표[블록종료],$Q2214),"yyyy-mm-dd hh:mm"),INDEX(상세표[블록종료],$Q2214)&amp;""))</f>
        <v/>
      </c>
      <c r="H2214">
        <f>IF($Q2214="","",CHOOSE(WEEKDAY(INDEX(상세표[시작],$Q2214)),"일","월","화","수","목","금","토"))</f>
        <v/>
      </c>
      <c r="I2214" s="20">
        <f>IF($Q2214="","",INDEX(상세표[연속 시간],$Q2214))</f>
        <v/>
      </c>
      <c r="J2214">
        <f>IF($Q2214="","",INDEX(상세표[기록 수],$Q2214))</f>
        <v/>
      </c>
      <c r="K2214" s="20">
        <f>IF($Q2214="","",INDEX(상세표[블록 06~07시],$Q2214))</f>
        <v/>
      </c>
      <c r="L2214" s="20">
        <f>IF($Q2214="","",INDEX(상세표[블록 07~18시],$Q2214))</f>
        <v/>
      </c>
      <c r="M2214" s="20">
        <f>IF($Q2214="","",INDEX(상세표[블록 18~22시],$Q2214))</f>
        <v/>
      </c>
      <c r="N2214" s="20">
        <f>IF($Q2214="","",INDEX(상세표[블록 22~06시],$Q2214))</f>
        <v/>
      </c>
      <c r="O2214">
        <f>IF($Q2214="","",INDEX(상세표[주말·휴일 포함],$Q2214)&amp;"")</f>
        <v/>
      </c>
      <c r="P2214">
        <f>IF($Q2214="","",INDEX(상세표[월 넘김 포함],$Q2214)&amp;"")</f>
        <v/>
      </c>
      <c r="Q2214" s="4">
        <f>IFERROR(MATCH(2209,상세표[연속순번],0),"")</f>
        <v/>
      </c>
    </row>
    <row r="2215">
      <c r="A2215">
        <f>IF($Q2215="","",INDEX(상세표[부서],$Q2215)&amp;"")</f>
        <v/>
      </c>
      <c r="B2215">
        <f>IF($Q2215="","",INDEX(상세표[사번],$Q2215)&amp;"")</f>
        <v/>
      </c>
      <c r="C2215">
        <f>IF($Q2215="","",INDEX(상세표[성명],$Q2215)&amp;"")</f>
        <v/>
      </c>
      <c r="D2215">
        <f>IF($Q2215="","",INDEX(상세표[직위],$Q2215)&amp;"")</f>
        <v/>
      </c>
      <c r="E2215">
        <f>IF($Q2215="","",IF(ISNUMBER(INDEX(상세표[근무일자],$Q2215)),TEXT(INDEX(상세표[근무일자],$Q2215),"yyyy-mm-dd"),INDEX(상세표[근무일자],$Q2215)&amp;""))</f>
        <v/>
      </c>
      <c r="F2215">
        <f>IF($Q2215="","",IF(ISNUMBER(INDEX(상세표[시작],$Q2215)),TEXT(INDEX(상세표[시작],$Q2215),"yyyy-mm-dd hh:mm"),INDEX(상세표[시작],$Q2215)&amp;""))</f>
        <v/>
      </c>
      <c r="G2215">
        <f>IF($Q2215="","",IF(ISNUMBER(INDEX(상세표[블록종료],$Q2215)),TEXT(INDEX(상세표[블록종료],$Q2215),"yyyy-mm-dd hh:mm"),INDEX(상세표[블록종료],$Q2215)&amp;""))</f>
        <v/>
      </c>
      <c r="H2215">
        <f>IF($Q2215="","",CHOOSE(WEEKDAY(INDEX(상세표[시작],$Q2215)),"일","월","화","수","목","금","토"))</f>
        <v/>
      </c>
      <c r="I2215" s="20">
        <f>IF($Q2215="","",INDEX(상세표[연속 시간],$Q2215))</f>
        <v/>
      </c>
      <c r="J2215">
        <f>IF($Q2215="","",INDEX(상세표[기록 수],$Q2215))</f>
        <v/>
      </c>
      <c r="K2215" s="20">
        <f>IF($Q2215="","",INDEX(상세표[블록 06~07시],$Q2215))</f>
        <v/>
      </c>
      <c r="L2215" s="20">
        <f>IF($Q2215="","",INDEX(상세표[블록 07~18시],$Q2215))</f>
        <v/>
      </c>
      <c r="M2215" s="20">
        <f>IF($Q2215="","",INDEX(상세표[블록 18~22시],$Q2215))</f>
        <v/>
      </c>
      <c r="N2215" s="20">
        <f>IF($Q2215="","",INDEX(상세표[블록 22~06시],$Q2215))</f>
        <v/>
      </c>
      <c r="O2215">
        <f>IF($Q2215="","",INDEX(상세표[주말·휴일 포함],$Q2215)&amp;"")</f>
        <v/>
      </c>
      <c r="P2215">
        <f>IF($Q2215="","",INDEX(상세표[월 넘김 포함],$Q2215)&amp;"")</f>
        <v/>
      </c>
      <c r="Q2215" s="4">
        <f>IFERROR(MATCH(2210,상세표[연속순번],0),"")</f>
        <v/>
      </c>
    </row>
    <row r="2216">
      <c r="A2216">
        <f>IF($Q2216="","",INDEX(상세표[부서],$Q2216)&amp;"")</f>
        <v/>
      </c>
      <c r="B2216">
        <f>IF($Q2216="","",INDEX(상세표[사번],$Q2216)&amp;"")</f>
        <v/>
      </c>
      <c r="C2216">
        <f>IF($Q2216="","",INDEX(상세표[성명],$Q2216)&amp;"")</f>
        <v/>
      </c>
      <c r="D2216">
        <f>IF($Q2216="","",INDEX(상세표[직위],$Q2216)&amp;"")</f>
        <v/>
      </c>
      <c r="E2216">
        <f>IF($Q2216="","",IF(ISNUMBER(INDEX(상세표[근무일자],$Q2216)),TEXT(INDEX(상세표[근무일자],$Q2216),"yyyy-mm-dd"),INDEX(상세표[근무일자],$Q2216)&amp;""))</f>
        <v/>
      </c>
      <c r="F2216">
        <f>IF($Q2216="","",IF(ISNUMBER(INDEX(상세표[시작],$Q2216)),TEXT(INDEX(상세표[시작],$Q2216),"yyyy-mm-dd hh:mm"),INDEX(상세표[시작],$Q2216)&amp;""))</f>
        <v/>
      </c>
      <c r="G2216">
        <f>IF($Q2216="","",IF(ISNUMBER(INDEX(상세표[블록종료],$Q2216)),TEXT(INDEX(상세표[블록종료],$Q2216),"yyyy-mm-dd hh:mm"),INDEX(상세표[블록종료],$Q2216)&amp;""))</f>
        <v/>
      </c>
      <c r="H2216">
        <f>IF($Q2216="","",CHOOSE(WEEKDAY(INDEX(상세표[시작],$Q2216)),"일","월","화","수","목","금","토"))</f>
        <v/>
      </c>
      <c r="I2216" s="20">
        <f>IF($Q2216="","",INDEX(상세표[연속 시간],$Q2216))</f>
        <v/>
      </c>
      <c r="J2216">
        <f>IF($Q2216="","",INDEX(상세표[기록 수],$Q2216))</f>
        <v/>
      </c>
      <c r="K2216" s="20">
        <f>IF($Q2216="","",INDEX(상세표[블록 06~07시],$Q2216))</f>
        <v/>
      </c>
      <c r="L2216" s="20">
        <f>IF($Q2216="","",INDEX(상세표[블록 07~18시],$Q2216))</f>
        <v/>
      </c>
      <c r="M2216" s="20">
        <f>IF($Q2216="","",INDEX(상세표[블록 18~22시],$Q2216))</f>
        <v/>
      </c>
      <c r="N2216" s="20">
        <f>IF($Q2216="","",INDEX(상세표[블록 22~06시],$Q2216))</f>
        <v/>
      </c>
      <c r="O2216">
        <f>IF($Q2216="","",INDEX(상세표[주말·휴일 포함],$Q2216)&amp;"")</f>
        <v/>
      </c>
      <c r="P2216">
        <f>IF($Q2216="","",INDEX(상세표[월 넘김 포함],$Q2216)&amp;"")</f>
        <v/>
      </c>
      <c r="Q2216" s="4">
        <f>IFERROR(MATCH(2211,상세표[연속순번],0),"")</f>
        <v/>
      </c>
    </row>
    <row r="2217">
      <c r="A2217">
        <f>IF($Q2217="","",INDEX(상세표[부서],$Q2217)&amp;"")</f>
        <v/>
      </c>
      <c r="B2217">
        <f>IF($Q2217="","",INDEX(상세표[사번],$Q2217)&amp;"")</f>
        <v/>
      </c>
      <c r="C2217">
        <f>IF($Q2217="","",INDEX(상세표[성명],$Q2217)&amp;"")</f>
        <v/>
      </c>
      <c r="D2217">
        <f>IF($Q2217="","",INDEX(상세표[직위],$Q2217)&amp;"")</f>
        <v/>
      </c>
      <c r="E2217">
        <f>IF($Q2217="","",IF(ISNUMBER(INDEX(상세표[근무일자],$Q2217)),TEXT(INDEX(상세표[근무일자],$Q2217),"yyyy-mm-dd"),INDEX(상세표[근무일자],$Q2217)&amp;""))</f>
        <v/>
      </c>
      <c r="F2217">
        <f>IF($Q2217="","",IF(ISNUMBER(INDEX(상세표[시작],$Q2217)),TEXT(INDEX(상세표[시작],$Q2217),"yyyy-mm-dd hh:mm"),INDEX(상세표[시작],$Q2217)&amp;""))</f>
        <v/>
      </c>
      <c r="G2217">
        <f>IF($Q2217="","",IF(ISNUMBER(INDEX(상세표[블록종료],$Q2217)),TEXT(INDEX(상세표[블록종료],$Q2217),"yyyy-mm-dd hh:mm"),INDEX(상세표[블록종료],$Q2217)&amp;""))</f>
        <v/>
      </c>
      <c r="H2217">
        <f>IF($Q2217="","",CHOOSE(WEEKDAY(INDEX(상세표[시작],$Q2217)),"일","월","화","수","목","금","토"))</f>
        <v/>
      </c>
      <c r="I2217" s="20">
        <f>IF($Q2217="","",INDEX(상세표[연속 시간],$Q2217))</f>
        <v/>
      </c>
      <c r="J2217">
        <f>IF($Q2217="","",INDEX(상세표[기록 수],$Q2217))</f>
        <v/>
      </c>
      <c r="K2217" s="20">
        <f>IF($Q2217="","",INDEX(상세표[블록 06~07시],$Q2217))</f>
        <v/>
      </c>
      <c r="L2217" s="20">
        <f>IF($Q2217="","",INDEX(상세표[블록 07~18시],$Q2217))</f>
        <v/>
      </c>
      <c r="M2217" s="20">
        <f>IF($Q2217="","",INDEX(상세표[블록 18~22시],$Q2217))</f>
        <v/>
      </c>
      <c r="N2217" s="20">
        <f>IF($Q2217="","",INDEX(상세표[블록 22~06시],$Q2217))</f>
        <v/>
      </c>
      <c r="O2217">
        <f>IF($Q2217="","",INDEX(상세표[주말·휴일 포함],$Q2217)&amp;"")</f>
        <v/>
      </c>
      <c r="P2217">
        <f>IF($Q2217="","",INDEX(상세표[월 넘김 포함],$Q2217)&amp;"")</f>
        <v/>
      </c>
      <c r="Q2217" s="4">
        <f>IFERROR(MATCH(2212,상세표[연속순번],0),"")</f>
        <v/>
      </c>
    </row>
    <row r="2218">
      <c r="A2218">
        <f>IF($Q2218="","",INDEX(상세표[부서],$Q2218)&amp;"")</f>
        <v/>
      </c>
      <c r="B2218">
        <f>IF($Q2218="","",INDEX(상세표[사번],$Q2218)&amp;"")</f>
        <v/>
      </c>
      <c r="C2218">
        <f>IF($Q2218="","",INDEX(상세표[성명],$Q2218)&amp;"")</f>
        <v/>
      </c>
      <c r="D2218">
        <f>IF($Q2218="","",INDEX(상세표[직위],$Q2218)&amp;"")</f>
        <v/>
      </c>
      <c r="E2218">
        <f>IF($Q2218="","",IF(ISNUMBER(INDEX(상세표[근무일자],$Q2218)),TEXT(INDEX(상세표[근무일자],$Q2218),"yyyy-mm-dd"),INDEX(상세표[근무일자],$Q2218)&amp;""))</f>
        <v/>
      </c>
      <c r="F2218">
        <f>IF($Q2218="","",IF(ISNUMBER(INDEX(상세표[시작],$Q2218)),TEXT(INDEX(상세표[시작],$Q2218),"yyyy-mm-dd hh:mm"),INDEX(상세표[시작],$Q2218)&amp;""))</f>
        <v/>
      </c>
      <c r="G2218">
        <f>IF($Q2218="","",IF(ISNUMBER(INDEX(상세표[블록종료],$Q2218)),TEXT(INDEX(상세표[블록종료],$Q2218),"yyyy-mm-dd hh:mm"),INDEX(상세표[블록종료],$Q2218)&amp;""))</f>
        <v/>
      </c>
      <c r="H2218">
        <f>IF($Q2218="","",CHOOSE(WEEKDAY(INDEX(상세표[시작],$Q2218)),"일","월","화","수","목","금","토"))</f>
        <v/>
      </c>
      <c r="I2218" s="20">
        <f>IF($Q2218="","",INDEX(상세표[연속 시간],$Q2218))</f>
        <v/>
      </c>
      <c r="J2218">
        <f>IF($Q2218="","",INDEX(상세표[기록 수],$Q2218))</f>
        <v/>
      </c>
      <c r="K2218" s="20">
        <f>IF($Q2218="","",INDEX(상세표[블록 06~07시],$Q2218))</f>
        <v/>
      </c>
      <c r="L2218" s="20">
        <f>IF($Q2218="","",INDEX(상세표[블록 07~18시],$Q2218))</f>
        <v/>
      </c>
      <c r="M2218" s="20">
        <f>IF($Q2218="","",INDEX(상세표[블록 18~22시],$Q2218))</f>
        <v/>
      </c>
      <c r="N2218" s="20">
        <f>IF($Q2218="","",INDEX(상세표[블록 22~06시],$Q2218))</f>
        <v/>
      </c>
      <c r="O2218">
        <f>IF($Q2218="","",INDEX(상세표[주말·휴일 포함],$Q2218)&amp;"")</f>
        <v/>
      </c>
      <c r="P2218">
        <f>IF($Q2218="","",INDEX(상세표[월 넘김 포함],$Q2218)&amp;"")</f>
        <v/>
      </c>
      <c r="Q2218" s="4">
        <f>IFERROR(MATCH(2213,상세표[연속순번],0),"")</f>
        <v/>
      </c>
    </row>
    <row r="2219">
      <c r="A2219">
        <f>IF($Q2219="","",INDEX(상세표[부서],$Q2219)&amp;"")</f>
        <v/>
      </c>
      <c r="B2219">
        <f>IF($Q2219="","",INDEX(상세표[사번],$Q2219)&amp;"")</f>
        <v/>
      </c>
      <c r="C2219">
        <f>IF($Q2219="","",INDEX(상세표[성명],$Q2219)&amp;"")</f>
        <v/>
      </c>
      <c r="D2219">
        <f>IF($Q2219="","",INDEX(상세표[직위],$Q2219)&amp;"")</f>
        <v/>
      </c>
      <c r="E2219">
        <f>IF($Q2219="","",IF(ISNUMBER(INDEX(상세표[근무일자],$Q2219)),TEXT(INDEX(상세표[근무일자],$Q2219),"yyyy-mm-dd"),INDEX(상세표[근무일자],$Q2219)&amp;""))</f>
        <v/>
      </c>
      <c r="F2219">
        <f>IF($Q2219="","",IF(ISNUMBER(INDEX(상세표[시작],$Q2219)),TEXT(INDEX(상세표[시작],$Q2219),"yyyy-mm-dd hh:mm"),INDEX(상세표[시작],$Q2219)&amp;""))</f>
        <v/>
      </c>
      <c r="G2219">
        <f>IF($Q2219="","",IF(ISNUMBER(INDEX(상세표[블록종료],$Q2219)),TEXT(INDEX(상세표[블록종료],$Q2219),"yyyy-mm-dd hh:mm"),INDEX(상세표[블록종료],$Q2219)&amp;""))</f>
        <v/>
      </c>
      <c r="H2219">
        <f>IF($Q2219="","",CHOOSE(WEEKDAY(INDEX(상세표[시작],$Q2219)),"일","월","화","수","목","금","토"))</f>
        <v/>
      </c>
      <c r="I2219" s="20">
        <f>IF($Q2219="","",INDEX(상세표[연속 시간],$Q2219))</f>
        <v/>
      </c>
      <c r="J2219">
        <f>IF($Q2219="","",INDEX(상세표[기록 수],$Q2219))</f>
        <v/>
      </c>
      <c r="K2219" s="20">
        <f>IF($Q2219="","",INDEX(상세표[블록 06~07시],$Q2219))</f>
        <v/>
      </c>
      <c r="L2219" s="20">
        <f>IF($Q2219="","",INDEX(상세표[블록 07~18시],$Q2219))</f>
        <v/>
      </c>
      <c r="M2219" s="20">
        <f>IF($Q2219="","",INDEX(상세표[블록 18~22시],$Q2219))</f>
        <v/>
      </c>
      <c r="N2219" s="20">
        <f>IF($Q2219="","",INDEX(상세표[블록 22~06시],$Q2219))</f>
        <v/>
      </c>
      <c r="O2219">
        <f>IF($Q2219="","",INDEX(상세표[주말·휴일 포함],$Q2219)&amp;"")</f>
        <v/>
      </c>
      <c r="P2219">
        <f>IF($Q2219="","",INDEX(상세표[월 넘김 포함],$Q2219)&amp;"")</f>
        <v/>
      </c>
      <c r="Q2219" s="4">
        <f>IFERROR(MATCH(2214,상세표[연속순번],0),"")</f>
        <v/>
      </c>
    </row>
    <row r="2220">
      <c r="A2220">
        <f>IF($Q2220="","",INDEX(상세표[부서],$Q2220)&amp;"")</f>
        <v/>
      </c>
      <c r="B2220">
        <f>IF($Q2220="","",INDEX(상세표[사번],$Q2220)&amp;"")</f>
        <v/>
      </c>
      <c r="C2220">
        <f>IF($Q2220="","",INDEX(상세표[성명],$Q2220)&amp;"")</f>
        <v/>
      </c>
      <c r="D2220">
        <f>IF($Q2220="","",INDEX(상세표[직위],$Q2220)&amp;"")</f>
        <v/>
      </c>
      <c r="E2220">
        <f>IF($Q2220="","",IF(ISNUMBER(INDEX(상세표[근무일자],$Q2220)),TEXT(INDEX(상세표[근무일자],$Q2220),"yyyy-mm-dd"),INDEX(상세표[근무일자],$Q2220)&amp;""))</f>
        <v/>
      </c>
      <c r="F2220">
        <f>IF($Q2220="","",IF(ISNUMBER(INDEX(상세표[시작],$Q2220)),TEXT(INDEX(상세표[시작],$Q2220),"yyyy-mm-dd hh:mm"),INDEX(상세표[시작],$Q2220)&amp;""))</f>
        <v/>
      </c>
      <c r="G2220">
        <f>IF($Q2220="","",IF(ISNUMBER(INDEX(상세표[블록종료],$Q2220)),TEXT(INDEX(상세표[블록종료],$Q2220),"yyyy-mm-dd hh:mm"),INDEX(상세표[블록종료],$Q2220)&amp;""))</f>
        <v/>
      </c>
      <c r="H2220">
        <f>IF($Q2220="","",CHOOSE(WEEKDAY(INDEX(상세표[시작],$Q2220)),"일","월","화","수","목","금","토"))</f>
        <v/>
      </c>
      <c r="I2220" s="20">
        <f>IF($Q2220="","",INDEX(상세표[연속 시간],$Q2220))</f>
        <v/>
      </c>
      <c r="J2220">
        <f>IF($Q2220="","",INDEX(상세표[기록 수],$Q2220))</f>
        <v/>
      </c>
      <c r="K2220" s="20">
        <f>IF($Q2220="","",INDEX(상세표[블록 06~07시],$Q2220))</f>
        <v/>
      </c>
      <c r="L2220" s="20">
        <f>IF($Q2220="","",INDEX(상세표[블록 07~18시],$Q2220))</f>
        <v/>
      </c>
      <c r="M2220" s="20">
        <f>IF($Q2220="","",INDEX(상세표[블록 18~22시],$Q2220))</f>
        <v/>
      </c>
      <c r="N2220" s="20">
        <f>IF($Q2220="","",INDEX(상세표[블록 22~06시],$Q2220))</f>
        <v/>
      </c>
      <c r="O2220">
        <f>IF($Q2220="","",INDEX(상세표[주말·휴일 포함],$Q2220)&amp;"")</f>
        <v/>
      </c>
      <c r="P2220">
        <f>IF($Q2220="","",INDEX(상세표[월 넘김 포함],$Q2220)&amp;"")</f>
        <v/>
      </c>
      <c r="Q2220" s="4">
        <f>IFERROR(MATCH(2215,상세표[연속순번],0),"")</f>
        <v/>
      </c>
    </row>
    <row r="2221">
      <c r="A2221">
        <f>IF($Q2221="","",INDEX(상세표[부서],$Q2221)&amp;"")</f>
        <v/>
      </c>
      <c r="B2221">
        <f>IF($Q2221="","",INDEX(상세표[사번],$Q2221)&amp;"")</f>
        <v/>
      </c>
      <c r="C2221">
        <f>IF($Q2221="","",INDEX(상세표[성명],$Q2221)&amp;"")</f>
        <v/>
      </c>
      <c r="D2221">
        <f>IF($Q2221="","",INDEX(상세표[직위],$Q2221)&amp;"")</f>
        <v/>
      </c>
      <c r="E2221">
        <f>IF($Q2221="","",IF(ISNUMBER(INDEX(상세표[근무일자],$Q2221)),TEXT(INDEX(상세표[근무일자],$Q2221),"yyyy-mm-dd"),INDEX(상세표[근무일자],$Q2221)&amp;""))</f>
        <v/>
      </c>
      <c r="F2221">
        <f>IF($Q2221="","",IF(ISNUMBER(INDEX(상세표[시작],$Q2221)),TEXT(INDEX(상세표[시작],$Q2221),"yyyy-mm-dd hh:mm"),INDEX(상세표[시작],$Q2221)&amp;""))</f>
        <v/>
      </c>
      <c r="G2221">
        <f>IF($Q2221="","",IF(ISNUMBER(INDEX(상세표[블록종료],$Q2221)),TEXT(INDEX(상세표[블록종료],$Q2221),"yyyy-mm-dd hh:mm"),INDEX(상세표[블록종료],$Q2221)&amp;""))</f>
        <v/>
      </c>
      <c r="H2221">
        <f>IF($Q2221="","",CHOOSE(WEEKDAY(INDEX(상세표[시작],$Q2221)),"일","월","화","수","목","금","토"))</f>
        <v/>
      </c>
      <c r="I2221" s="20">
        <f>IF($Q2221="","",INDEX(상세표[연속 시간],$Q2221))</f>
        <v/>
      </c>
      <c r="J2221">
        <f>IF($Q2221="","",INDEX(상세표[기록 수],$Q2221))</f>
        <v/>
      </c>
      <c r="K2221" s="20">
        <f>IF($Q2221="","",INDEX(상세표[블록 06~07시],$Q2221))</f>
        <v/>
      </c>
      <c r="L2221" s="20">
        <f>IF($Q2221="","",INDEX(상세표[블록 07~18시],$Q2221))</f>
        <v/>
      </c>
      <c r="M2221" s="20">
        <f>IF($Q2221="","",INDEX(상세표[블록 18~22시],$Q2221))</f>
        <v/>
      </c>
      <c r="N2221" s="20">
        <f>IF($Q2221="","",INDEX(상세표[블록 22~06시],$Q2221))</f>
        <v/>
      </c>
      <c r="O2221">
        <f>IF($Q2221="","",INDEX(상세표[주말·휴일 포함],$Q2221)&amp;"")</f>
        <v/>
      </c>
      <c r="P2221">
        <f>IF($Q2221="","",INDEX(상세표[월 넘김 포함],$Q2221)&amp;"")</f>
        <v/>
      </c>
      <c r="Q2221" s="4">
        <f>IFERROR(MATCH(2216,상세표[연속순번],0),"")</f>
        <v/>
      </c>
    </row>
    <row r="2222">
      <c r="A2222">
        <f>IF($Q2222="","",INDEX(상세표[부서],$Q2222)&amp;"")</f>
        <v/>
      </c>
      <c r="B2222">
        <f>IF($Q2222="","",INDEX(상세표[사번],$Q2222)&amp;"")</f>
        <v/>
      </c>
      <c r="C2222">
        <f>IF($Q2222="","",INDEX(상세표[성명],$Q2222)&amp;"")</f>
        <v/>
      </c>
      <c r="D2222">
        <f>IF($Q2222="","",INDEX(상세표[직위],$Q2222)&amp;"")</f>
        <v/>
      </c>
      <c r="E2222">
        <f>IF($Q2222="","",IF(ISNUMBER(INDEX(상세표[근무일자],$Q2222)),TEXT(INDEX(상세표[근무일자],$Q2222),"yyyy-mm-dd"),INDEX(상세표[근무일자],$Q2222)&amp;""))</f>
        <v/>
      </c>
      <c r="F2222">
        <f>IF($Q2222="","",IF(ISNUMBER(INDEX(상세표[시작],$Q2222)),TEXT(INDEX(상세표[시작],$Q2222),"yyyy-mm-dd hh:mm"),INDEX(상세표[시작],$Q2222)&amp;""))</f>
        <v/>
      </c>
      <c r="G2222">
        <f>IF($Q2222="","",IF(ISNUMBER(INDEX(상세표[블록종료],$Q2222)),TEXT(INDEX(상세표[블록종료],$Q2222),"yyyy-mm-dd hh:mm"),INDEX(상세표[블록종료],$Q2222)&amp;""))</f>
        <v/>
      </c>
      <c r="H2222">
        <f>IF($Q2222="","",CHOOSE(WEEKDAY(INDEX(상세표[시작],$Q2222)),"일","월","화","수","목","금","토"))</f>
        <v/>
      </c>
      <c r="I2222" s="20">
        <f>IF($Q2222="","",INDEX(상세표[연속 시간],$Q2222))</f>
        <v/>
      </c>
      <c r="J2222">
        <f>IF($Q2222="","",INDEX(상세표[기록 수],$Q2222))</f>
        <v/>
      </c>
      <c r="K2222" s="20">
        <f>IF($Q2222="","",INDEX(상세표[블록 06~07시],$Q2222))</f>
        <v/>
      </c>
      <c r="L2222" s="20">
        <f>IF($Q2222="","",INDEX(상세표[블록 07~18시],$Q2222))</f>
        <v/>
      </c>
      <c r="M2222" s="20">
        <f>IF($Q2222="","",INDEX(상세표[블록 18~22시],$Q2222))</f>
        <v/>
      </c>
      <c r="N2222" s="20">
        <f>IF($Q2222="","",INDEX(상세표[블록 22~06시],$Q2222))</f>
        <v/>
      </c>
      <c r="O2222">
        <f>IF($Q2222="","",INDEX(상세표[주말·휴일 포함],$Q2222)&amp;"")</f>
        <v/>
      </c>
      <c r="P2222">
        <f>IF($Q2222="","",INDEX(상세표[월 넘김 포함],$Q2222)&amp;"")</f>
        <v/>
      </c>
      <c r="Q2222" s="4">
        <f>IFERROR(MATCH(2217,상세표[연속순번],0),"")</f>
        <v/>
      </c>
    </row>
    <row r="2223">
      <c r="A2223">
        <f>IF($Q2223="","",INDEX(상세표[부서],$Q2223)&amp;"")</f>
        <v/>
      </c>
      <c r="B2223">
        <f>IF($Q2223="","",INDEX(상세표[사번],$Q2223)&amp;"")</f>
        <v/>
      </c>
      <c r="C2223">
        <f>IF($Q2223="","",INDEX(상세표[성명],$Q2223)&amp;"")</f>
        <v/>
      </c>
      <c r="D2223">
        <f>IF($Q2223="","",INDEX(상세표[직위],$Q2223)&amp;"")</f>
        <v/>
      </c>
      <c r="E2223">
        <f>IF($Q2223="","",IF(ISNUMBER(INDEX(상세표[근무일자],$Q2223)),TEXT(INDEX(상세표[근무일자],$Q2223),"yyyy-mm-dd"),INDEX(상세표[근무일자],$Q2223)&amp;""))</f>
        <v/>
      </c>
      <c r="F2223">
        <f>IF($Q2223="","",IF(ISNUMBER(INDEX(상세표[시작],$Q2223)),TEXT(INDEX(상세표[시작],$Q2223),"yyyy-mm-dd hh:mm"),INDEX(상세표[시작],$Q2223)&amp;""))</f>
        <v/>
      </c>
      <c r="G2223">
        <f>IF($Q2223="","",IF(ISNUMBER(INDEX(상세표[블록종료],$Q2223)),TEXT(INDEX(상세표[블록종료],$Q2223),"yyyy-mm-dd hh:mm"),INDEX(상세표[블록종료],$Q2223)&amp;""))</f>
        <v/>
      </c>
      <c r="H2223">
        <f>IF($Q2223="","",CHOOSE(WEEKDAY(INDEX(상세표[시작],$Q2223)),"일","월","화","수","목","금","토"))</f>
        <v/>
      </c>
      <c r="I2223" s="20">
        <f>IF($Q2223="","",INDEX(상세표[연속 시간],$Q2223))</f>
        <v/>
      </c>
      <c r="J2223">
        <f>IF($Q2223="","",INDEX(상세표[기록 수],$Q2223))</f>
        <v/>
      </c>
      <c r="K2223" s="20">
        <f>IF($Q2223="","",INDEX(상세표[블록 06~07시],$Q2223))</f>
        <v/>
      </c>
      <c r="L2223" s="20">
        <f>IF($Q2223="","",INDEX(상세표[블록 07~18시],$Q2223))</f>
        <v/>
      </c>
      <c r="M2223" s="20">
        <f>IF($Q2223="","",INDEX(상세표[블록 18~22시],$Q2223))</f>
        <v/>
      </c>
      <c r="N2223" s="20">
        <f>IF($Q2223="","",INDEX(상세표[블록 22~06시],$Q2223))</f>
        <v/>
      </c>
      <c r="O2223">
        <f>IF($Q2223="","",INDEX(상세표[주말·휴일 포함],$Q2223)&amp;"")</f>
        <v/>
      </c>
      <c r="P2223">
        <f>IF($Q2223="","",INDEX(상세표[월 넘김 포함],$Q2223)&amp;"")</f>
        <v/>
      </c>
      <c r="Q2223" s="4">
        <f>IFERROR(MATCH(2218,상세표[연속순번],0),"")</f>
        <v/>
      </c>
    </row>
    <row r="2224">
      <c r="A2224">
        <f>IF($Q2224="","",INDEX(상세표[부서],$Q2224)&amp;"")</f>
        <v/>
      </c>
      <c r="B2224">
        <f>IF($Q2224="","",INDEX(상세표[사번],$Q2224)&amp;"")</f>
        <v/>
      </c>
      <c r="C2224">
        <f>IF($Q2224="","",INDEX(상세표[성명],$Q2224)&amp;"")</f>
        <v/>
      </c>
      <c r="D2224">
        <f>IF($Q2224="","",INDEX(상세표[직위],$Q2224)&amp;"")</f>
        <v/>
      </c>
      <c r="E2224">
        <f>IF($Q2224="","",IF(ISNUMBER(INDEX(상세표[근무일자],$Q2224)),TEXT(INDEX(상세표[근무일자],$Q2224),"yyyy-mm-dd"),INDEX(상세표[근무일자],$Q2224)&amp;""))</f>
        <v/>
      </c>
      <c r="F2224">
        <f>IF($Q2224="","",IF(ISNUMBER(INDEX(상세표[시작],$Q2224)),TEXT(INDEX(상세표[시작],$Q2224),"yyyy-mm-dd hh:mm"),INDEX(상세표[시작],$Q2224)&amp;""))</f>
        <v/>
      </c>
      <c r="G2224">
        <f>IF($Q2224="","",IF(ISNUMBER(INDEX(상세표[블록종료],$Q2224)),TEXT(INDEX(상세표[블록종료],$Q2224),"yyyy-mm-dd hh:mm"),INDEX(상세표[블록종료],$Q2224)&amp;""))</f>
        <v/>
      </c>
      <c r="H2224">
        <f>IF($Q2224="","",CHOOSE(WEEKDAY(INDEX(상세표[시작],$Q2224)),"일","월","화","수","목","금","토"))</f>
        <v/>
      </c>
      <c r="I2224" s="20">
        <f>IF($Q2224="","",INDEX(상세표[연속 시간],$Q2224))</f>
        <v/>
      </c>
      <c r="J2224">
        <f>IF($Q2224="","",INDEX(상세표[기록 수],$Q2224))</f>
        <v/>
      </c>
      <c r="K2224" s="20">
        <f>IF($Q2224="","",INDEX(상세표[블록 06~07시],$Q2224))</f>
        <v/>
      </c>
      <c r="L2224" s="20">
        <f>IF($Q2224="","",INDEX(상세표[블록 07~18시],$Q2224))</f>
        <v/>
      </c>
      <c r="M2224" s="20">
        <f>IF($Q2224="","",INDEX(상세표[블록 18~22시],$Q2224))</f>
        <v/>
      </c>
      <c r="N2224" s="20">
        <f>IF($Q2224="","",INDEX(상세표[블록 22~06시],$Q2224))</f>
        <v/>
      </c>
      <c r="O2224">
        <f>IF($Q2224="","",INDEX(상세표[주말·휴일 포함],$Q2224)&amp;"")</f>
        <v/>
      </c>
      <c r="P2224">
        <f>IF($Q2224="","",INDEX(상세표[월 넘김 포함],$Q2224)&amp;"")</f>
        <v/>
      </c>
      <c r="Q2224" s="4">
        <f>IFERROR(MATCH(2219,상세표[연속순번],0),"")</f>
        <v/>
      </c>
    </row>
    <row r="2225">
      <c r="A2225">
        <f>IF($Q2225="","",INDEX(상세표[부서],$Q2225)&amp;"")</f>
        <v/>
      </c>
      <c r="B2225">
        <f>IF($Q2225="","",INDEX(상세표[사번],$Q2225)&amp;"")</f>
        <v/>
      </c>
      <c r="C2225">
        <f>IF($Q2225="","",INDEX(상세표[성명],$Q2225)&amp;"")</f>
        <v/>
      </c>
      <c r="D2225">
        <f>IF($Q2225="","",INDEX(상세표[직위],$Q2225)&amp;"")</f>
        <v/>
      </c>
      <c r="E2225">
        <f>IF($Q2225="","",IF(ISNUMBER(INDEX(상세표[근무일자],$Q2225)),TEXT(INDEX(상세표[근무일자],$Q2225),"yyyy-mm-dd"),INDEX(상세표[근무일자],$Q2225)&amp;""))</f>
        <v/>
      </c>
      <c r="F2225">
        <f>IF($Q2225="","",IF(ISNUMBER(INDEX(상세표[시작],$Q2225)),TEXT(INDEX(상세표[시작],$Q2225),"yyyy-mm-dd hh:mm"),INDEX(상세표[시작],$Q2225)&amp;""))</f>
        <v/>
      </c>
      <c r="G2225">
        <f>IF($Q2225="","",IF(ISNUMBER(INDEX(상세표[블록종료],$Q2225)),TEXT(INDEX(상세표[블록종료],$Q2225),"yyyy-mm-dd hh:mm"),INDEX(상세표[블록종료],$Q2225)&amp;""))</f>
        <v/>
      </c>
      <c r="H2225">
        <f>IF($Q2225="","",CHOOSE(WEEKDAY(INDEX(상세표[시작],$Q2225)),"일","월","화","수","목","금","토"))</f>
        <v/>
      </c>
      <c r="I2225" s="20">
        <f>IF($Q2225="","",INDEX(상세표[연속 시간],$Q2225))</f>
        <v/>
      </c>
      <c r="J2225">
        <f>IF($Q2225="","",INDEX(상세표[기록 수],$Q2225))</f>
        <v/>
      </c>
      <c r="K2225" s="20">
        <f>IF($Q2225="","",INDEX(상세표[블록 06~07시],$Q2225))</f>
        <v/>
      </c>
      <c r="L2225" s="20">
        <f>IF($Q2225="","",INDEX(상세표[블록 07~18시],$Q2225))</f>
        <v/>
      </c>
      <c r="M2225" s="20">
        <f>IF($Q2225="","",INDEX(상세표[블록 18~22시],$Q2225))</f>
        <v/>
      </c>
      <c r="N2225" s="20">
        <f>IF($Q2225="","",INDEX(상세표[블록 22~06시],$Q2225))</f>
        <v/>
      </c>
      <c r="O2225">
        <f>IF($Q2225="","",INDEX(상세표[주말·휴일 포함],$Q2225)&amp;"")</f>
        <v/>
      </c>
      <c r="P2225">
        <f>IF($Q2225="","",INDEX(상세표[월 넘김 포함],$Q2225)&amp;"")</f>
        <v/>
      </c>
      <c r="Q2225" s="4">
        <f>IFERROR(MATCH(2220,상세표[연속순번],0),"")</f>
        <v/>
      </c>
    </row>
    <row r="2226">
      <c r="A2226">
        <f>IF($Q2226="","",INDEX(상세표[부서],$Q2226)&amp;"")</f>
        <v/>
      </c>
      <c r="B2226">
        <f>IF($Q2226="","",INDEX(상세표[사번],$Q2226)&amp;"")</f>
        <v/>
      </c>
      <c r="C2226">
        <f>IF($Q2226="","",INDEX(상세표[성명],$Q2226)&amp;"")</f>
        <v/>
      </c>
      <c r="D2226">
        <f>IF($Q2226="","",INDEX(상세표[직위],$Q2226)&amp;"")</f>
        <v/>
      </c>
      <c r="E2226">
        <f>IF($Q2226="","",IF(ISNUMBER(INDEX(상세표[근무일자],$Q2226)),TEXT(INDEX(상세표[근무일자],$Q2226),"yyyy-mm-dd"),INDEX(상세표[근무일자],$Q2226)&amp;""))</f>
        <v/>
      </c>
      <c r="F2226">
        <f>IF($Q2226="","",IF(ISNUMBER(INDEX(상세표[시작],$Q2226)),TEXT(INDEX(상세표[시작],$Q2226),"yyyy-mm-dd hh:mm"),INDEX(상세표[시작],$Q2226)&amp;""))</f>
        <v/>
      </c>
      <c r="G2226">
        <f>IF($Q2226="","",IF(ISNUMBER(INDEX(상세표[블록종료],$Q2226)),TEXT(INDEX(상세표[블록종료],$Q2226),"yyyy-mm-dd hh:mm"),INDEX(상세표[블록종료],$Q2226)&amp;""))</f>
        <v/>
      </c>
      <c r="H2226">
        <f>IF($Q2226="","",CHOOSE(WEEKDAY(INDEX(상세표[시작],$Q2226)),"일","월","화","수","목","금","토"))</f>
        <v/>
      </c>
      <c r="I2226" s="20">
        <f>IF($Q2226="","",INDEX(상세표[연속 시간],$Q2226))</f>
        <v/>
      </c>
      <c r="J2226">
        <f>IF($Q2226="","",INDEX(상세표[기록 수],$Q2226))</f>
        <v/>
      </c>
      <c r="K2226" s="20">
        <f>IF($Q2226="","",INDEX(상세표[블록 06~07시],$Q2226))</f>
        <v/>
      </c>
      <c r="L2226" s="20">
        <f>IF($Q2226="","",INDEX(상세표[블록 07~18시],$Q2226))</f>
        <v/>
      </c>
      <c r="M2226" s="20">
        <f>IF($Q2226="","",INDEX(상세표[블록 18~22시],$Q2226))</f>
        <v/>
      </c>
      <c r="N2226" s="20">
        <f>IF($Q2226="","",INDEX(상세표[블록 22~06시],$Q2226))</f>
        <v/>
      </c>
      <c r="O2226">
        <f>IF($Q2226="","",INDEX(상세표[주말·휴일 포함],$Q2226)&amp;"")</f>
        <v/>
      </c>
      <c r="P2226">
        <f>IF($Q2226="","",INDEX(상세표[월 넘김 포함],$Q2226)&amp;"")</f>
        <v/>
      </c>
      <c r="Q2226" s="4">
        <f>IFERROR(MATCH(2221,상세표[연속순번],0),"")</f>
        <v/>
      </c>
    </row>
    <row r="2227">
      <c r="A2227">
        <f>IF($Q2227="","",INDEX(상세표[부서],$Q2227)&amp;"")</f>
        <v/>
      </c>
      <c r="B2227">
        <f>IF($Q2227="","",INDEX(상세표[사번],$Q2227)&amp;"")</f>
        <v/>
      </c>
      <c r="C2227">
        <f>IF($Q2227="","",INDEX(상세표[성명],$Q2227)&amp;"")</f>
        <v/>
      </c>
      <c r="D2227">
        <f>IF($Q2227="","",INDEX(상세표[직위],$Q2227)&amp;"")</f>
        <v/>
      </c>
      <c r="E2227">
        <f>IF($Q2227="","",IF(ISNUMBER(INDEX(상세표[근무일자],$Q2227)),TEXT(INDEX(상세표[근무일자],$Q2227),"yyyy-mm-dd"),INDEX(상세표[근무일자],$Q2227)&amp;""))</f>
        <v/>
      </c>
      <c r="F2227">
        <f>IF($Q2227="","",IF(ISNUMBER(INDEX(상세표[시작],$Q2227)),TEXT(INDEX(상세표[시작],$Q2227),"yyyy-mm-dd hh:mm"),INDEX(상세표[시작],$Q2227)&amp;""))</f>
        <v/>
      </c>
      <c r="G2227">
        <f>IF($Q2227="","",IF(ISNUMBER(INDEX(상세표[블록종료],$Q2227)),TEXT(INDEX(상세표[블록종료],$Q2227),"yyyy-mm-dd hh:mm"),INDEX(상세표[블록종료],$Q2227)&amp;""))</f>
        <v/>
      </c>
      <c r="H2227">
        <f>IF($Q2227="","",CHOOSE(WEEKDAY(INDEX(상세표[시작],$Q2227)),"일","월","화","수","목","금","토"))</f>
        <v/>
      </c>
      <c r="I2227" s="20">
        <f>IF($Q2227="","",INDEX(상세표[연속 시간],$Q2227))</f>
        <v/>
      </c>
      <c r="J2227">
        <f>IF($Q2227="","",INDEX(상세표[기록 수],$Q2227))</f>
        <v/>
      </c>
      <c r="K2227" s="20">
        <f>IF($Q2227="","",INDEX(상세표[블록 06~07시],$Q2227))</f>
        <v/>
      </c>
      <c r="L2227" s="20">
        <f>IF($Q2227="","",INDEX(상세표[블록 07~18시],$Q2227))</f>
        <v/>
      </c>
      <c r="M2227" s="20">
        <f>IF($Q2227="","",INDEX(상세표[블록 18~22시],$Q2227))</f>
        <v/>
      </c>
      <c r="N2227" s="20">
        <f>IF($Q2227="","",INDEX(상세표[블록 22~06시],$Q2227))</f>
        <v/>
      </c>
      <c r="O2227">
        <f>IF($Q2227="","",INDEX(상세표[주말·휴일 포함],$Q2227)&amp;"")</f>
        <v/>
      </c>
      <c r="P2227">
        <f>IF($Q2227="","",INDEX(상세표[월 넘김 포함],$Q2227)&amp;"")</f>
        <v/>
      </c>
      <c r="Q2227" s="4">
        <f>IFERROR(MATCH(2222,상세표[연속순번],0),"")</f>
        <v/>
      </c>
    </row>
    <row r="2228">
      <c r="A2228">
        <f>IF($Q2228="","",INDEX(상세표[부서],$Q2228)&amp;"")</f>
        <v/>
      </c>
      <c r="B2228">
        <f>IF($Q2228="","",INDEX(상세표[사번],$Q2228)&amp;"")</f>
        <v/>
      </c>
      <c r="C2228">
        <f>IF($Q2228="","",INDEX(상세표[성명],$Q2228)&amp;"")</f>
        <v/>
      </c>
      <c r="D2228">
        <f>IF($Q2228="","",INDEX(상세표[직위],$Q2228)&amp;"")</f>
        <v/>
      </c>
      <c r="E2228">
        <f>IF($Q2228="","",IF(ISNUMBER(INDEX(상세표[근무일자],$Q2228)),TEXT(INDEX(상세표[근무일자],$Q2228),"yyyy-mm-dd"),INDEX(상세표[근무일자],$Q2228)&amp;""))</f>
        <v/>
      </c>
      <c r="F2228">
        <f>IF($Q2228="","",IF(ISNUMBER(INDEX(상세표[시작],$Q2228)),TEXT(INDEX(상세표[시작],$Q2228),"yyyy-mm-dd hh:mm"),INDEX(상세표[시작],$Q2228)&amp;""))</f>
        <v/>
      </c>
      <c r="G2228">
        <f>IF($Q2228="","",IF(ISNUMBER(INDEX(상세표[블록종료],$Q2228)),TEXT(INDEX(상세표[블록종료],$Q2228),"yyyy-mm-dd hh:mm"),INDEX(상세표[블록종료],$Q2228)&amp;""))</f>
        <v/>
      </c>
      <c r="H2228">
        <f>IF($Q2228="","",CHOOSE(WEEKDAY(INDEX(상세표[시작],$Q2228)),"일","월","화","수","목","금","토"))</f>
        <v/>
      </c>
      <c r="I2228" s="20">
        <f>IF($Q2228="","",INDEX(상세표[연속 시간],$Q2228))</f>
        <v/>
      </c>
      <c r="J2228">
        <f>IF($Q2228="","",INDEX(상세표[기록 수],$Q2228))</f>
        <v/>
      </c>
      <c r="K2228" s="20">
        <f>IF($Q2228="","",INDEX(상세표[블록 06~07시],$Q2228))</f>
        <v/>
      </c>
      <c r="L2228" s="20">
        <f>IF($Q2228="","",INDEX(상세표[블록 07~18시],$Q2228))</f>
        <v/>
      </c>
      <c r="M2228" s="20">
        <f>IF($Q2228="","",INDEX(상세표[블록 18~22시],$Q2228))</f>
        <v/>
      </c>
      <c r="N2228" s="20">
        <f>IF($Q2228="","",INDEX(상세표[블록 22~06시],$Q2228))</f>
        <v/>
      </c>
      <c r="O2228">
        <f>IF($Q2228="","",INDEX(상세표[주말·휴일 포함],$Q2228)&amp;"")</f>
        <v/>
      </c>
      <c r="P2228">
        <f>IF($Q2228="","",INDEX(상세표[월 넘김 포함],$Q2228)&amp;"")</f>
        <v/>
      </c>
      <c r="Q2228" s="4">
        <f>IFERROR(MATCH(2223,상세표[연속순번],0),"")</f>
        <v/>
      </c>
    </row>
    <row r="2229">
      <c r="A2229">
        <f>IF($Q2229="","",INDEX(상세표[부서],$Q2229)&amp;"")</f>
        <v/>
      </c>
      <c r="B2229">
        <f>IF($Q2229="","",INDEX(상세표[사번],$Q2229)&amp;"")</f>
        <v/>
      </c>
      <c r="C2229">
        <f>IF($Q2229="","",INDEX(상세표[성명],$Q2229)&amp;"")</f>
        <v/>
      </c>
      <c r="D2229">
        <f>IF($Q2229="","",INDEX(상세표[직위],$Q2229)&amp;"")</f>
        <v/>
      </c>
      <c r="E2229">
        <f>IF($Q2229="","",IF(ISNUMBER(INDEX(상세표[근무일자],$Q2229)),TEXT(INDEX(상세표[근무일자],$Q2229),"yyyy-mm-dd"),INDEX(상세표[근무일자],$Q2229)&amp;""))</f>
        <v/>
      </c>
      <c r="F2229">
        <f>IF($Q2229="","",IF(ISNUMBER(INDEX(상세표[시작],$Q2229)),TEXT(INDEX(상세표[시작],$Q2229),"yyyy-mm-dd hh:mm"),INDEX(상세표[시작],$Q2229)&amp;""))</f>
        <v/>
      </c>
      <c r="G2229">
        <f>IF($Q2229="","",IF(ISNUMBER(INDEX(상세표[블록종료],$Q2229)),TEXT(INDEX(상세표[블록종료],$Q2229),"yyyy-mm-dd hh:mm"),INDEX(상세표[블록종료],$Q2229)&amp;""))</f>
        <v/>
      </c>
      <c r="H2229">
        <f>IF($Q2229="","",CHOOSE(WEEKDAY(INDEX(상세표[시작],$Q2229)),"일","월","화","수","목","금","토"))</f>
        <v/>
      </c>
      <c r="I2229" s="20">
        <f>IF($Q2229="","",INDEX(상세표[연속 시간],$Q2229))</f>
        <v/>
      </c>
      <c r="J2229">
        <f>IF($Q2229="","",INDEX(상세표[기록 수],$Q2229))</f>
        <v/>
      </c>
      <c r="K2229" s="20">
        <f>IF($Q2229="","",INDEX(상세표[블록 06~07시],$Q2229))</f>
        <v/>
      </c>
      <c r="L2229" s="20">
        <f>IF($Q2229="","",INDEX(상세표[블록 07~18시],$Q2229))</f>
        <v/>
      </c>
      <c r="M2229" s="20">
        <f>IF($Q2229="","",INDEX(상세표[블록 18~22시],$Q2229))</f>
        <v/>
      </c>
      <c r="N2229" s="20">
        <f>IF($Q2229="","",INDEX(상세표[블록 22~06시],$Q2229))</f>
        <v/>
      </c>
      <c r="O2229">
        <f>IF($Q2229="","",INDEX(상세표[주말·휴일 포함],$Q2229)&amp;"")</f>
        <v/>
      </c>
      <c r="P2229">
        <f>IF($Q2229="","",INDEX(상세표[월 넘김 포함],$Q2229)&amp;"")</f>
        <v/>
      </c>
      <c r="Q2229" s="4">
        <f>IFERROR(MATCH(2224,상세표[연속순번],0),"")</f>
        <v/>
      </c>
    </row>
    <row r="2230">
      <c r="A2230">
        <f>IF($Q2230="","",INDEX(상세표[부서],$Q2230)&amp;"")</f>
        <v/>
      </c>
      <c r="B2230">
        <f>IF($Q2230="","",INDEX(상세표[사번],$Q2230)&amp;"")</f>
        <v/>
      </c>
      <c r="C2230">
        <f>IF($Q2230="","",INDEX(상세표[성명],$Q2230)&amp;"")</f>
        <v/>
      </c>
      <c r="D2230">
        <f>IF($Q2230="","",INDEX(상세표[직위],$Q2230)&amp;"")</f>
        <v/>
      </c>
      <c r="E2230">
        <f>IF($Q2230="","",IF(ISNUMBER(INDEX(상세표[근무일자],$Q2230)),TEXT(INDEX(상세표[근무일자],$Q2230),"yyyy-mm-dd"),INDEX(상세표[근무일자],$Q2230)&amp;""))</f>
        <v/>
      </c>
      <c r="F2230">
        <f>IF($Q2230="","",IF(ISNUMBER(INDEX(상세표[시작],$Q2230)),TEXT(INDEX(상세표[시작],$Q2230),"yyyy-mm-dd hh:mm"),INDEX(상세표[시작],$Q2230)&amp;""))</f>
        <v/>
      </c>
      <c r="G2230">
        <f>IF($Q2230="","",IF(ISNUMBER(INDEX(상세표[블록종료],$Q2230)),TEXT(INDEX(상세표[블록종료],$Q2230),"yyyy-mm-dd hh:mm"),INDEX(상세표[블록종료],$Q2230)&amp;""))</f>
        <v/>
      </c>
      <c r="H2230">
        <f>IF($Q2230="","",CHOOSE(WEEKDAY(INDEX(상세표[시작],$Q2230)),"일","월","화","수","목","금","토"))</f>
        <v/>
      </c>
      <c r="I2230" s="20">
        <f>IF($Q2230="","",INDEX(상세표[연속 시간],$Q2230))</f>
        <v/>
      </c>
      <c r="J2230">
        <f>IF($Q2230="","",INDEX(상세표[기록 수],$Q2230))</f>
        <v/>
      </c>
      <c r="K2230" s="20">
        <f>IF($Q2230="","",INDEX(상세표[블록 06~07시],$Q2230))</f>
        <v/>
      </c>
      <c r="L2230" s="20">
        <f>IF($Q2230="","",INDEX(상세표[블록 07~18시],$Q2230))</f>
        <v/>
      </c>
      <c r="M2230" s="20">
        <f>IF($Q2230="","",INDEX(상세표[블록 18~22시],$Q2230))</f>
        <v/>
      </c>
      <c r="N2230" s="20">
        <f>IF($Q2230="","",INDEX(상세표[블록 22~06시],$Q2230))</f>
        <v/>
      </c>
      <c r="O2230">
        <f>IF($Q2230="","",INDEX(상세표[주말·휴일 포함],$Q2230)&amp;"")</f>
        <v/>
      </c>
      <c r="P2230">
        <f>IF($Q2230="","",INDEX(상세표[월 넘김 포함],$Q2230)&amp;"")</f>
        <v/>
      </c>
      <c r="Q2230" s="4">
        <f>IFERROR(MATCH(2225,상세표[연속순번],0),"")</f>
        <v/>
      </c>
    </row>
    <row r="2231">
      <c r="A2231">
        <f>IF($Q2231="","",INDEX(상세표[부서],$Q2231)&amp;"")</f>
        <v/>
      </c>
      <c r="B2231">
        <f>IF($Q2231="","",INDEX(상세표[사번],$Q2231)&amp;"")</f>
        <v/>
      </c>
      <c r="C2231">
        <f>IF($Q2231="","",INDEX(상세표[성명],$Q2231)&amp;"")</f>
        <v/>
      </c>
      <c r="D2231">
        <f>IF($Q2231="","",INDEX(상세표[직위],$Q2231)&amp;"")</f>
        <v/>
      </c>
      <c r="E2231">
        <f>IF($Q2231="","",IF(ISNUMBER(INDEX(상세표[근무일자],$Q2231)),TEXT(INDEX(상세표[근무일자],$Q2231),"yyyy-mm-dd"),INDEX(상세표[근무일자],$Q2231)&amp;""))</f>
        <v/>
      </c>
      <c r="F2231">
        <f>IF($Q2231="","",IF(ISNUMBER(INDEX(상세표[시작],$Q2231)),TEXT(INDEX(상세표[시작],$Q2231),"yyyy-mm-dd hh:mm"),INDEX(상세표[시작],$Q2231)&amp;""))</f>
        <v/>
      </c>
      <c r="G2231">
        <f>IF($Q2231="","",IF(ISNUMBER(INDEX(상세표[블록종료],$Q2231)),TEXT(INDEX(상세표[블록종료],$Q2231),"yyyy-mm-dd hh:mm"),INDEX(상세표[블록종료],$Q2231)&amp;""))</f>
        <v/>
      </c>
      <c r="H2231">
        <f>IF($Q2231="","",CHOOSE(WEEKDAY(INDEX(상세표[시작],$Q2231)),"일","월","화","수","목","금","토"))</f>
        <v/>
      </c>
      <c r="I2231" s="20">
        <f>IF($Q2231="","",INDEX(상세표[연속 시간],$Q2231))</f>
        <v/>
      </c>
      <c r="J2231">
        <f>IF($Q2231="","",INDEX(상세표[기록 수],$Q2231))</f>
        <v/>
      </c>
      <c r="K2231" s="20">
        <f>IF($Q2231="","",INDEX(상세표[블록 06~07시],$Q2231))</f>
        <v/>
      </c>
      <c r="L2231" s="20">
        <f>IF($Q2231="","",INDEX(상세표[블록 07~18시],$Q2231))</f>
        <v/>
      </c>
      <c r="M2231" s="20">
        <f>IF($Q2231="","",INDEX(상세표[블록 18~22시],$Q2231))</f>
        <v/>
      </c>
      <c r="N2231" s="20">
        <f>IF($Q2231="","",INDEX(상세표[블록 22~06시],$Q2231))</f>
        <v/>
      </c>
      <c r="O2231">
        <f>IF($Q2231="","",INDEX(상세표[주말·휴일 포함],$Q2231)&amp;"")</f>
        <v/>
      </c>
      <c r="P2231">
        <f>IF($Q2231="","",INDEX(상세표[월 넘김 포함],$Q2231)&amp;"")</f>
        <v/>
      </c>
      <c r="Q2231" s="4">
        <f>IFERROR(MATCH(2226,상세표[연속순번],0),"")</f>
        <v/>
      </c>
    </row>
    <row r="2232">
      <c r="A2232">
        <f>IF($Q2232="","",INDEX(상세표[부서],$Q2232)&amp;"")</f>
        <v/>
      </c>
      <c r="B2232">
        <f>IF($Q2232="","",INDEX(상세표[사번],$Q2232)&amp;"")</f>
        <v/>
      </c>
      <c r="C2232">
        <f>IF($Q2232="","",INDEX(상세표[성명],$Q2232)&amp;"")</f>
        <v/>
      </c>
      <c r="D2232">
        <f>IF($Q2232="","",INDEX(상세표[직위],$Q2232)&amp;"")</f>
        <v/>
      </c>
      <c r="E2232">
        <f>IF($Q2232="","",IF(ISNUMBER(INDEX(상세표[근무일자],$Q2232)),TEXT(INDEX(상세표[근무일자],$Q2232),"yyyy-mm-dd"),INDEX(상세표[근무일자],$Q2232)&amp;""))</f>
        <v/>
      </c>
      <c r="F2232">
        <f>IF($Q2232="","",IF(ISNUMBER(INDEX(상세표[시작],$Q2232)),TEXT(INDEX(상세표[시작],$Q2232),"yyyy-mm-dd hh:mm"),INDEX(상세표[시작],$Q2232)&amp;""))</f>
        <v/>
      </c>
      <c r="G2232">
        <f>IF($Q2232="","",IF(ISNUMBER(INDEX(상세표[블록종료],$Q2232)),TEXT(INDEX(상세표[블록종료],$Q2232),"yyyy-mm-dd hh:mm"),INDEX(상세표[블록종료],$Q2232)&amp;""))</f>
        <v/>
      </c>
      <c r="H2232">
        <f>IF($Q2232="","",CHOOSE(WEEKDAY(INDEX(상세표[시작],$Q2232)),"일","월","화","수","목","금","토"))</f>
        <v/>
      </c>
      <c r="I2232" s="20">
        <f>IF($Q2232="","",INDEX(상세표[연속 시간],$Q2232))</f>
        <v/>
      </c>
      <c r="J2232">
        <f>IF($Q2232="","",INDEX(상세표[기록 수],$Q2232))</f>
        <v/>
      </c>
      <c r="K2232" s="20">
        <f>IF($Q2232="","",INDEX(상세표[블록 06~07시],$Q2232))</f>
        <v/>
      </c>
      <c r="L2232" s="20">
        <f>IF($Q2232="","",INDEX(상세표[블록 07~18시],$Q2232))</f>
        <v/>
      </c>
      <c r="M2232" s="20">
        <f>IF($Q2232="","",INDEX(상세표[블록 18~22시],$Q2232))</f>
        <v/>
      </c>
      <c r="N2232" s="20">
        <f>IF($Q2232="","",INDEX(상세표[블록 22~06시],$Q2232))</f>
        <v/>
      </c>
      <c r="O2232">
        <f>IF($Q2232="","",INDEX(상세표[주말·휴일 포함],$Q2232)&amp;"")</f>
        <v/>
      </c>
      <c r="P2232">
        <f>IF($Q2232="","",INDEX(상세표[월 넘김 포함],$Q2232)&amp;"")</f>
        <v/>
      </c>
      <c r="Q2232" s="4">
        <f>IFERROR(MATCH(2227,상세표[연속순번],0),"")</f>
        <v/>
      </c>
    </row>
    <row r="2233">
      <c r="A2233">
        <f>IF($Q2233="","",INDEX(상세표[부서],$Q2233)&amp;"")</f>
        <v/>
      </c>
      <c r="B2233">
        <f>IF($Q2233="","",INDEX(상세표[사번],$Q2233)&amp;"")</f>
        <v/>
      </c>
      <c r="C2233">
        <f>IF($Q2233="","",INDEX(상세표[성명],$Q2233)&amp;"")</f>
        <v/>
      </c>
      <c r="D2233">
        <f>IF($Q2233="","",INDEX(상세표[직위],$Q2233)&amp;"")</f>
        <v/>
      </c>
      <c r="E2233">
        <f>IF($Q2233="","",IF(ISNUMBER(INDEX(상세표[근무일자],$Q2233)),TEXT(INDEX(상세표[근무일자],$Q2233),"yyyy-mm-dd"),INDEX(상세표[근무일자],$Q2233)&amp;""))</f>
        <v/>
      </c>
      <c r="F2233">
        <f>IF($Q2233="","",IF(ISNUMBER(INDEX(상세표[시작],$Q2233)),TEXT(INDEX(상세표[시작],$Q2233),"yyyy-mm-dd hh:mm"),INDEX(상세표[시작],$Q2233)&amp;""))</f>
        <v/>
      </c>
      <c r="G2233">
        <f>IF($Q2233="","",IF(ISNUMBER(INDEX(상세표[블록종료],$Q2233)),TEXT(INDEX(상세표[블록종료],$Q2233),"yyyy-mm-dd hh:mm"),INDEX(상세표[블록종료],$Q2233)&amp;""))</f>
        <v/>
      </c>
      <c r="H2233">
        <f>IF($Q2233="","",CHOOSE(WEEKDAY(INDEX(상세표[시작],$Q2233)),"일","월","화","수","목","금","토"))</f>
        <v/>
      </c>
      <c r="I2233" s="20">
        <f>IF($Q2233="","",INDEX(상세표[연속 시간],$Q2233))</f>
        <v/>
      </c>
      <c r="J2233">
        <f>IF($Q2233="","",INDEX(상세표[기록 수],$Q2233))</f>
        <v/>
      </c>
      <c r="K2233" s="20">
        <f>IF($Q2233="","",INDEX(상세표[블록 06~07시],$Q2233))</f>
        <v/>
      </c>
      <c r="L2233" s="20">
        <f>IF($Q2233="","",INDEX(상세표[블록 07~18시],$Q2233))</f>
        <v/>
      </c>
      <c r="M2233" s="20">
        <f>IF($Q2233="","",INDEX(상세표[블록 18~22시],$Q2233))</f>
        <v/>
      </c>
      <c r="N2233" s="20">
        <f>IF($Q2233="","",INDEX(상세표[블록 22~06시],$Q2233))</f>
        <v/>
      </c>
      <c r="O2233">
        <f>IF($Q2233="","",INDEX(상세표[주말·휴일 포함],$Q2233)&amp;"")</f>
        <v/>
      </c>
      <c r="P2233">
        <f>IF($Q2233="","",INDEX(상세표[월 넘김 포함],$Q2233)&amp;"")</f>
        <v/>
      </c>
      <c r="Q2233" s="4">
        <f>IFERROR(MATCH(2228,상세표[연속순번],0),"")</f>
        <v/>
      </c>
    </row>
    <row r="2234">
      <c r="A2234">
        <f>IF($Q2234="","",INDEX(상세표[부서],$Q2234)&amp;"")</f>
        <v/>
      </c>
      <c r="B2234">
        <f>IF($Q2234="","",INDEX(상세표[사번],$Q2234)&amp;"")</f>
        <v/>
      </c>
      <c r="C2234">
        <f>IF($Q2234="","",INDEX(상세표[성명],$Q2234)&amp;"")</f>
        <v/>
      </c>
      <c r="D2234">
        <f>IF($Q2234="","",INDEX(상세표[직위],$Q2234)&amp;"")</f>
        <v/>
      </c>
      <c r="E2234">
        <f>IF($Q2234="","",IF(ISNUMBER(INDEX(상세표[근무일자],$Q2234)),TEXT(INDEX(상세표[근무일자],$Q2234),"yyyy-mm-dd"),INDEX(상세표[근무일자],$Q2234)&amp;""))</f>
        <v/>
      </c>
      <c r="F2234">
        <f>IF($Q2234="","",IF(ISNUMBER(INDEX(상세표[시작],$Q2234)),TEXT(INDEX(상세표[시작],$Q2234),"yyyy-mm-dd hh:mm"),INDEX(상세표[시작],$Q2234)&amp;""))</f>
        <v/>
      </c>
      <c r="G2234">
        <f>IF($Q2234="","",IF(ISNUMBER(INDEX(상세표[블록종료],$Q2234)),TEXT(INDEX(상세표[블록종료],$Q2234),"yyyy-mm-dd hh:mm"),INDEX(상세표[블록종료],$Q2234)&amp;""))</f>
        <v/>
      </c>
      <c r="H2234">
        <f>IF($Q2234="","",CHOOSE(WEEKDAY(INDEX(상세표[시작],$Q2234)),"일","월","화","수","목","금","토"))</f>
        <v/>
      </c>
      <c r="I2234" s="20">
        <f>IF($Q2234="","",INDEX(상세표[연속 시간],$Q2234))</f>
        <v/>
      </c>
      <c r="J2234">
        <f>IF($Q2234="","",INDEX(상세표[기록 수],$Q2234))</f>
        <v/>
      </c>
      <c r="K2234" s="20">
        <f>IF($Q2234="","",INDEX(상세표[블록 06~07시],$Q2234))</f>
        <v/>
      </c>
      <c r="L2234" s="20">
        <f>IF($Q2234="","",INDEX(상세표[블록 07~18시],$Q2234))</f>
        <v/>
      </c>
      <c r="M2234" s="20">
        <f>IF($Q2234="","",INDEX(상세표[블록 18~22시],$Q2234))</f>
        <v/>
      </c>
      <c r="N2234" s="20">
        <f>IF($Q2234="","",INDEX(상세표[블록 22~06시],$Q2234))</f>
        <v/>
      </c>
      <c r="O2234">
        <f>IF($Q2234="","",INDEX(상세표[주말·휴일 포함],$Q2234)&amp;"")</f>
        <v/>
      </c>
      <c r="P2234">
        <f>IF($Q2234="","",INDEX(상세표[월 넘김 포함],$Q2234)&amp;"")</f>
        <v/>
      </c>
      <c r="Q2234" s="4">
        <f>IFERROR(MATCH(2229,상세표[연속순번],0),"")</f>
        <v/>
      </c>
    </row>
    <row r="2235">
      <c r="A2235">
        <f>IF($Q2235="","",INDEX(상세표[부서],$Q2235)&amp;"")</f>
        <v/>
      </c>
      <c r="B2235">
        <f>IF($Q2235="","",INDEX(상세표[사번],$Q2235)&amp;"")</f>
        <v/>
      </c>
      <c r="C2235">
        <f>IF($Q2235="","",INDEX(상세표[성명],$Q2235)&amp;"")</f>
        <v/>
      </c>
      <c r="D2235">
        <f>IF($Q2235="","",INDEX(상세표[직위],$Q2235)&amp;"")</f>
        <v/>
      </c>
      <c r="E2235">
        <f>IF($Q2235="","",IF(ISNUMBER(INDEX(상세표[근무일자],$Q2235)),TEXT(INDEX(상세표[근무일자],$Q2235),"yyyy-mm-dd"),INDEX(상세표[근무일자],$Q2235)&amp;""))</f>
        <v/>
      </c>
      <c r="F2235">
        <f>IF($Q2235="","",IF(ISNUMBER(INDEX(상세표[시작],$Q2235)),TEXT(INDEX(상세표[시작],$Q2235),"yyyy-mm-dd hh:mm"),INDEX(상세표[시작],$Q2235)&amp;""))</f>
        <v/>
      </c>
      <c r="G2235">
        <f>IF($Q2235="","",IF(ISNUMBER(INDEX(상세표[블록종료],$Q2235)),TEXT(INDEX(상세표[블록종료],$Q2235),"yyyy-mm-dd hh:mm"),INDEX(상세표[블록종료],$Q2235)&amp;""))</f>
        <v/>
      </c>
      <c r="H2235">
        <f>IF($Q2235="","",CHOOSE(WEEKDAY(INDEX(상세표[시작],$Q2235)),"일","월","화","수","목","금","토"))</f>
        <v/>
      </c>
      <c r="I2235" s="20">
        <f>IF($Q2235="","",INDEX(상세표[연속 시간],$Q2235))</f>
        <v/>
      </c>
      <c r="J2235">
        <f>IF($Q2235="","",INDEX(상세표[기록 수],$Q2235))</f>
        <v/>
      </c>
      <c r="K2235" s="20">
        <f>IF($Q2235="","",INDEX(상세표[블록 06~07시],$Q2235))</f>
        <v/>
      </c>
      <c r="L2235" s="20">
        <f>IF($Q2235="","",INDEX(상세표[블록 07~18시],$Q2235))</f>
        <v/>
      </c>
      <c r="M2235" s="20">
        <f>IF($Q2235="","",INDEX(상세표[블록 18~22시],$Q2235))</f>
        <v/>
      </c>
      <c r="N2235" s="20">
        <f>IF($Q2235="","",INDEX(상세표[블록 22~06시],$Q2235))</f>
        <v/>
      </c>
      <c r="O2235">
        <f>IF($Q2235="","",INDEX(상세표[주말·휴일 포함],$Q2235)&amp;"")</f>
        <v/>
      </c>
      <c r="P2235">
        <f>IF($Q2235="","",INDEX(상세표[월 넘김 포함],$Q2235)&amp;"")</f>
        <v/>
      </c>
      <c r="Q2235" s="4">
        <f>IFERROR(MATCH(2230,상세표[연속순번],0),"")</f>
        <v/>
      </c>
    </row>
    <row r="2236">
      <c r="A2236">
        <f>IF($Q2236="","",INDEX(상세표[부서],$Q2236)&amp;"")</f>
        <v/>
      </c>
      <c r="B2236">
        <f>IF($Q2236="","",INDEX(상세표[사번],$Q2236)&amp;"")</f>
        <v/>
      </c>
      <c r="C2236">
        <f>IF($Q2236="","",INDEX(상세표[성명],$Q2236)&amp;"")</f>
        <v/>
      </c>
      <c r="D2236">
        <f>IF($Q2236="","",INDEX(상세표[직위],$Q2236)&amp;"")</f>
        <v/>
      </c>
      <c r="E2236">
        <f>IF($Q2236="","",IF(ISNUMBER(INDEX(상세표[근무일자],$Q2236)),TEXT(INDEX(상세표[근무일자],$Q2236),"yyyy-mm-dd"),INDEX(상세표[근무일자],$Q2236)&amp;""))</f>
        <v/>
      </c>
      <c r="F2236">
        <f>IF($Q2236="","",IF(ISNUMBER(INDEX(상세표[시작],$Q2236)),TEXT(INDEX(상세표[시작],$Q2236),"yyyy-mm-dd hh:mm"),INDEX(상세표[시작],$Q2236)&amp;""))</f>
        <v/>
      </c>
      <c r="G2236">
        <f>IF($Q2236="","",IF(ISNUMBER(INDEX(상세표[블록종료],$Q2236)),TEXT(INDEX(상세표[블록종료],$Q2236),"yyyy-mm-dd hh:mm"),INDEX(상세표[블록종료],$Q2236)&amp;""))</f>
        <v/>
      </c>
      <c r="H2236">
        <f>IF($Q2236="","",CHOOSE(WEEKDAY(INDEX(상세표[시작],$Q2236)),"일","월","화","수","목","금","토"))</f>
        <v/>
      </c>
      <c r="I2236" s="20">
        <f>IF($Q2236="","",INDEX(상세표[연속 시간],$Q2236))</f>
        <v/>
      </c>
      <c r="J2236">
        <f>IF($Q2236="","",INDEX(상세표[기록 수],$Q2236))</f>
        <v/>
      </c>
      <c r="K2236" s="20">
        <f>IF($Q2236="","",INDEX(상세표[블록 06~07시],$Q2236))</f>
        <v/>
      </c>
      <c r="L2236" s="20">
        <f>IF($Q2236="","",INDEX(상세표[블록 07~18시],$Q2236))</f>
        <v/>
      </c>
      <c r="M2236" s="20">
        <f>IF($Q2236="","",INDEX(상세표[블록 18~22시],$Q2236))</f>
        <v/>
      </c>
      <c r="N2236" s="20">
        <f>IF($Q2236="","",INDEX(상세표[블록 22~06시],$Q2236))</f>
        <v/>
      </c>
      <c r="O2236">
        <f>IF($Q2236="","",INDEX(상세표[주말·휴일 포함],$Q2236)&amp;"")</f>
        <v/>
      </c>
      <c r="P2236">
        <f>IF($Q2236="","",INDEX(상세표[월 넘김 포함],$Q2236)&amp;"")</f>
        <v/>
      </c>
      <c r="Q2236" s="4">
        <f>IFERROR(MATCH(2231,상세표[연속순번],0),"")</f>
        <v/>
      </c>
    </row>
    <row r="2237">
      <c r="A2237">
        <f>IF($Q2237="","",INDEX(상세표[부서],$Q2237)&amp;"")</f>
        <v/>
      </c>
      <c r="B2237">
        <f>IF($Q2237="","",INDEX(상세표[사번],$Q2237)&amp;"")</f>
        <v/>
      </c>
      <c r="C2237">
        <f>IF($Q2237="","",INDEX(상세표[성명],$Q2237)&amp;"")</f>
        <v/>
      </c>
      <c r="D2237">
        <f>IF($Q2237="","",INDEX(상세표[직위],$Q2237)&amp;"")</f>
        <v/>
      </c>
      <c r="E2237">
        <f>IF($Q2237="","",IF(ISNUMBER(INDEX(상세표[근무일자],$Q2237)),TEXT(INDEX(상세표[근무일자],$Q2237),"yyyy-mm-dd"),INDEX(상세표[근무일자],$Q2237)&amp;""))</f>
        <v/>
      </c>
      <c r="F2237">
        <f>IF($Q2237="","",IF(ISNUMBER(INDEX(상세표[시작],$Q2237)),TEXT(INDEX(상세표[시작],$Q2237),"yyyy-mm-dd hh:mm"),INDEX(상세표[시작],$Q2237)&amp;""))</f>
        <v/>
      </c>
      <c r="G2237">
        <f>IF($Q2237="","",IF(ISNUMBER(INDEX(상세표[블록종료],$Q2237)),TEXT(INDEX(상세표[블록종료],$Q2237),"yyyy-mm-dd hh:mm"),INDEX(상세표[블록종료],$Q2237)&amp;""))</f>
        <v/>
      </c>
      <c r="H2237">
        <f>IF($Q2237="","",CHOOSE(WEEKDAY(INDEX(상세표[시작],$Q2237)),"일","월","화","수","목","금","토"))</f>
        <v/>
      </c>
      <c r="I2237" s="20">
        <f>IF($Q2237="","",INDEX(상세표[연속 시간],$Q2237))</f>
        <v/>
      </c>
      <c r="J2237">
        <f>IF($Q2237="","",INDEX(상세표[기록 수],$Q2237))</f>
        <v/>
      </c>
      <c r="K2237" s="20">
        <f>IF($Q2237="","",INDEX(상세표[블록 06~07시],$Q2237))</f>
        <v/>
      </c>
      <c r="L2237" s="20">
        <f>IF($Q2237="","",INDEX(상세표[블록 07~18시],$Q2237))</f>
        <v/>
      </c>
      <c r="M2237" s="20">
        <f>IF($Q2237="","",INDEX(상세표[블록 18~22시],$Q2237))</f>
        <v/>
      </c>
      <c r="N2237" s="20">
        <f>IF($Q2237="","",INDEX(상세표[블록 22~06시],$Q2237))</f>
        <v/>
      </c>
      <c r="O2237">
        <f>IF($Q2237="","",INDEX(상세표[주말·휴일 포함],$Q2237)&amp;"")</f>
        <v/>
      </c>
      <c r="P2237">
        <f>IF($Q2237="","",INDEX(상세표[월 넘김 포함],$Q2237)&amp;"")</f>
        <v/>
      </c>
      <c r="Q2237" s="4">
        <f>IFERROR(MATCH(2232,상세표[연속순번],0),"")</f>
        <v/>
      </c>
    </row>
    <row r="2238">
      <c r="A2238">
        <f>IF($Q2238="","",INDEX(상세표[부서],$Q2238)&amp;"")</f>
        <v/>
      </c>
      <c r="B2238">
        <f>IF($Q2238="","",INDEX(상세표[사번],$Q2238)&amp;"")</f>
        <v/>
      </c>
      <c r="C2238">
        <f>IF($Q2238="","",INDEX(상세표[성명],$Q2238)&amp;"")</f>
        <v/>
      </c>
      <c r="D2238">
        <f>IF($Q2238="","",INDEX(상세표[직위],$Q2238)&amp;"")</f>
        <v/>
      </c>
      <c r="E2238">
        <f>IF($Q2238="","",IF(ISNUMBER(INDEX(상세표[근무일자],$Q2238)),TEXT(INDEX(상세표[근무일자],$Q2238),"yyyy-mm-dd"),INDEX(상세표[근무일자],$Q2238)&amp;""))</f>
        <v/>
      </c>
      <c r="F2238">
        <f>IF($Q2238="","",IF(ISNUMBER(INDEX(상세표[시작],$Q2238)),TEXT(INDEX(상세표[시작],$Q2238),"yyyy-mm-dd hh:mm"),INDEX(상세표[시작],$Q2238)&amp;""))</f>
        <v/>
      </c>
      <c r="G2238">
        <f>IF($Q2238="","",IF(ISNUMBER(INDEX(상세표[블록종료],$Q2238)),TEXT(INDEX(상세표[블록종료],$Q2238),"yyyy-mm-dd hh:mm"),INDEX(상세표[블록종료],$Q2238)&amp;""))</f>
        <v/>
      </c>
      <c r="H2238">
        <f>IF($Q2238="","",CHOOSE(WEEKDAY(INDEX(상세표[시작],$Q2238)),"일","월","화","수","목","금","토"))</f>
        <v/>
      </c>
      <c r="I2238" s="20">
        <f>IF($Q2238="","",INDEX(상세표[연속 시간],$Q2238))</f>
        <v/>
      </c>
      <c r="J2238">
        <f>IF($Q2238="","",INDEX(상세표[기록 수],$Q2238))</f>
        <v/>
      </c>
      <c r="K2238" s="20">
        <f>IF($Q2238="","",INDEX(상세표[블록 06~07시],$Q2238))</f>
        <v/>
      </c>
      <c r="L2238" s="20">
        <f>IF($Q2238="","",INDEX(상세표[블록 07~18시],$Q2238))</f>
        <v/>
      </c>
      <c r="M2238" s="20">
        <f>IF($Q2238="","",INDEX(상세표[블록 18~22시],$Q2238))</f>
        <v/>
      </c>
      <c r="N2238" s="20">
        <f>IF($Q2238="","",INDEX(상세표[블록 22~06시],$Q2238))</f>
        <v/>
      </c>
      <c r="O2238">
        <f>IF($Q2238="","",INDEX(상세표[주말·휴일 포함],$Q2238)&amp;"")</f>
        <v/>
      </c>
      <c r="P2238">
        <f>IF($Q2238="","",INDEX(상세표[월 넘김 포함],$Q2238)&amp;"")</f>
        <v/>
      </c>
      <c r="Q2238" s="4">
        <f>IFERROR(MATCH(2233,상세표[연속순번],0),"")</f>
        <v/>
      </c>
    </row>
    <row r="2239">
      <c r="A2239">
        <f>IF($Q2239="","",INDEX(상세표[부서],$Q2239)&amp;"")</f>
        <v/>
      </c>
      <c r="B2239">
        <f>IF($Q2239="","",INDEX(상세표[사번],$Q2239)&amp;"")</f>
        <v/>
      </c>
      <c r="C2239">
        <f>IF($Q2239="","",INDEX(상세표[성명],$Q2239)&amp;"")</f>
        <v/>
      </c>
      <c r="D2239">
        <f>IF($Q2239="","",INDEX(상세표[직위],$Q2239)&amp;"")</f>
        <v/>
      </c>
      <c r="E2239">
        <f>IF($Q2239="","",IF(ISNUMBER(INDEX(상세표[근무일자],$Q2239)),TEXT(INDEX(상세표[근무일자],$Q2239),"yyyy-mm-dd"),INDEX(상세표[근무일자],$Q2239)&amp;""))</f>
        <v/>
      </c>
      <c r="F2239">
        <f>IF($Q2239="","",IF(ISNUMBER(INDEX(상세표[시작],$Q2239)),TEXT(INDEX(상세표[시작],$Q2239),"yyyy-mm-dd hh:mm"),INDEX(상세표[시작],$Q2239)&amp;""))</f>
        <v/>
      </c>
      <c r="G2239">
        <f>IF($Q2239="","",IF(ISNUMBER(INDEX(상세표[블록종료],$Q2239)),TEXT(INDEX(상세표[블록종료],$Q2239),"yyyy-mm-dd hh:mm"),INDEX(상세표[블록종료],$Q2239)&amp;""))</f>
        <v/>
      </c>
      <c r="H2239">
        <f>IF($Q2239="","",CHOOSE(WEEKDAY(INDEX(상세표[시작],$Q2239)),"일","월","화","수","목","금","토"))</f>
        <v/>
      </c>
      <c r="I2239" s="20">
        <f>IF($Q2239="","",INDEX(상세표[연속 시간],$Q2239))</f>
        <v/>
      </c>
      <c r="J2239">
        <f>IF($Q2239="","",INDEX(상세표[기록 수],$Q2239))</f>
        <v/>
      </c>
      <c r="K2239" s="20">
        <f>IF($Q2239="","",INDEX(상세표[블록 06~07시],$Q2239))</f>
        <v/>
      </c>
      <c r="L2239" s="20">
        <f>IF($Q2239="","",INDEX(상세표[블록 07~18시],$Q2239))</f>
        <v/>
      </c>
      <c r="M2239" s="20">
        <f>IF($Q2239="","",INDEX(상세표[블록 18~22시],$Q2239))</f>
        <v/>
      </c>
      <c r="N2239" s="20">
        <f>IF($Q2239="","",INDEX(상세표[블록 22~06시],$Q2239))</f>
        <v/>
      </c>
      <c r="O2239">
        <f>IF($Q2239="","",INDEX(상세표[주말·휴일 포함],$Q2239)&amp;"")</f>
        <v/>
      </c>
      <c r="P2239">
        <f>IF($Q2239="","",INDEX(상세표[월 넘김 포함],$Q2239)&amp;"")</f>
        <v/>
      </c>
      <c r="Q2239" s="4">
        <f>IFERROR(MATCH(2234,상세표[연속순번],0),"")</f>
        <v/>
      </c>
    </row>
    <row r="2240">
      <c r="A2240">
        <f>IF($Q2240="","",INDEX(상세표[부서],$Q2240)&amp;"")</f>
        <v/>
      </c>
      <c r="B2240">
        <f>IF($Q2240="","",INDEX(상세표[사번],$Q2240)&amp;"")</f>
        <v/>
      </c>
      <c r="C2240">
        <f>IF($Q2240="","",INDEX(상세표[성명],$Q2240)&amp;"")</f>
        <v/>
      </c>
      <c r="D2240">
        <f>IF($Q2240="","",INDEX(상세표[직위],$Q2240)&amp;"")</f>
        <v/>
      </c>
      <c r="E2240">
        <f>IF($Q2240="","",IF(ISNUMBER(INDEX(상세표[근무일자],$Q2240)),TEXT(INDEX(상세표[근무일자],$Q2240),"yyyy-mm-dd"),INDEX(상세표[근무일자],$Q2240)&amp;""))</f>
        <v/>
      </c>
      <c r="F2240">
        <f>IF($Q2240="","",IF(ISNUMBER(INDEX(상세표[시작],$Q2240)),TEXT(INDEX(상세표[시작],$Q2240),"yyyy-mm-dd hh:mm"),INDEX(상세표[시작],$Q2240)&amp;""))</f>
        <v/>
      </c>
      <c r="G2240">
        <f>IF($Q2240="","",IF(ISNUMBER(INDEX(상세표[블록종료],$Q2240)),TEXT(INDEX(상세표[블록종료],$Q2240),"yyyy-mm-dd hh:mm"),INDEX(상세표[블록종료],$Q2240)&amp;""))</f>
        <v/>
      </c>
      <c r="H2240">
        <f>IF($Q2240="","",CHOOSE(WEEKDAY(INDEX(상세표[시작],$Q2240)),"일","월","화","수","목","금","토"))</f>
        <v/>
      </c>
      <c r="I2240" s="20">
        <f>IF($Q2240="","",INDEX(상세표[연속 시간],$Q2240))</f>
        <v/>
      </c>
      <c r="J2240">
        <f>IF($Q2240="","",INDEX(상세표[기록 수],$Q2240))</f>
        <v/>
      </c>
      <c r="K2240" s="20">
        <f>IF($Q2240="","",INDEX(상세표[블록 06~07시],$Q2240))</f>
        <v/>
      </c>
      <c r="L2240" s="20">
        <f>IF($Q2240="","",INDEX(상세표[블록 07~18시],$Q2240))</f>
        <v/>
      </c>
      <c r="M2240" s="20">
        <f>IF($Q2240="","",INDEX(상세표[블록 18~22시],$Q2240))</f>
        <v/>
      </c>
      <c r="N2240" s="20">
        <f>IF($Q2240="","",INDEX(상세표[블록 22~06시],$Q2240))</f>
        <v/>
      </c>
      <c r="O2240">
        <f>IF($Q2240="","",INDEX(상세표[주말·휴일 포함],$Q2240)&amp;"")</f>
        <v/>
      </c>
      <c r="P2240">
        <f>IF($Q2240="","",INDEX(상세표[월 넘김 포함],$Q2240)&amp;"")</f>
        <v/>
      </c>
      <c r="Q2240" s="4">
        <f>IFERROR(MATCH(2235,상세표[연속순번],0),"")</f>
        <v/>
      </c>
    </row>
    <row r="2241">
      <c r="A2241">
        <f>IF($Q2241="","",INDEX(상세표[부서],$Q2241)&amp;"")</f>
        <v/>
      </c>
      <c r="B2241">
        <f>IF($Q2241="","",INDEX(상세표[사번],$Q2241)&amp;"")</f>
        <v/>
      </c>
      <c r="C2241">
        <f>IF($Q2241="","",INDEX(상세표[성명],$Q2241)&amp;"")</f>
        <v/>
      </c>
      <c r="D2241">
        <f>IF($Q2241="","",INDEX(상세표[직위],$Q2241)&amp;"")</f>
        <v/>
      </c>
      <c r="E2241">
        <f>IF($Q2241="","",IF(ISNUMBER(INDEX(상세표[근무일자],$Q2241)),TEXT(INDEX(상세표[근무일자],$Q2241),"yyyy-mm-dd"),INDEX(상세표[근무일자],$Q2241)&amp;""))</f>
        <v/>
      </c>
      <c r="F2241">
        <f>IF($Q2241="","",IF(ISNUMBER(INDEX(상세표[시작],$Q2241)),TEXT(INDEX(상세표[시작],$Q2241),"yyyy-mm-dd hh:mm"),INDEX(상세표[시작],$Q2241)&amp;""))</f>
        <v/>
      </c>
      <c r="G2241">
        <f>IF($Q2241="","",IF(ISNUMBER(INDEX(상세표[블록종료],$Q2241)),TEXT(INDEX(상세표[블록종료],$Q2241),"yyyy-mm-dd hh:mm"),INDEX(상세표[블록종료],$Q2241)&amp;""))</f>
        <v/>
      </c>
      <c r="H2241">
        <f>IF($Q2241="","",CHOOSE(WEEKDAY(INDEX(상세표[시작],$Q2241)),"일","월","화","수","목","금","토"))</f>
        <v/>
      </c>
      <c r="I2241" s="20">
        <f>IF($Q2241="","",INDEX(상세표[연속 시간],$Q2241))</f>
        <v/>
      </c>
      <c r="J2241">
        <f>IF($Q2241="","",INDEX(상세표[기록 수],$Q2241))</f>
        <v/>
      </c>
      <c r="K2241" s="20">
        <f>IF($Q2241="","",INDEX(상세표[블록 06~07시],$Q2241))</f>
        <v/>
      </c>
      <c r="L2241" s="20">
        <f>IF($Q2241="","",INDEX(상세표[블록 07~18시],$Q2241))</f>
        <v/>
      </c>
      <c r="M2241" s="20">
        <f>IF($Q2241="","",INDEX(상세표[블록 18~22시],$Q2241))</f>
        <v/>
      </c>
      <c r="N2241" s="20">
        <f>IF($Q2241="","",INDEX(상세표[블록 22~06시],$Q2241))</f>
        <v/>
      </c>
      <c r="O2241">
        <f>IF($Q2241="","",INDEX(상세표[주말·휴일 포함],$Q2241)&amp;"")</f>
        <v/>
      </c>
      <c r="P2241">
        <f>IF($Q2241="","",INDEX(상세표[월 넘김 포함],$Q2241)&amp;"")</f>
        <v/>
      </c>
      <c r="Q2241" s="4">
        <f>IFERROR(MATCH(2236,상세표[연속순번],0),"")</f>
        <v/>
      </c>
    </row>
    <row r="2242">
      <c r="A2242">
        <f>IF($Q2242="","",INDEX(상세표[부서],$Q2242)&amp;"")</f>
        <v/>
      </c>
      <c r="B2242">
        <f>IF($Q2242="","",INDEX(상세표[사번],$Q2242)&amp;"")</f>
        <v/>
      </c>
      <c r="C2242">
        <f>IF($Q2242="","",INDEX(상세표[성명],$Q2242)&amp;"")</f>
        <v/>
      </c>
      <c r="D2242">
        <f>IF($Q2242="","",INDEX(상세표[직위],$Q2242)&amp;"")</f>
        <v/>
      </c>
      <c r="E2242">
        <f>IF($Q2242="","",IF(ISNUMBER(INDEX(상세표[근무일자],$Q2242)),TEXT(INDEX(상세표[근무일자],$Q2242),"yyyy-mm-dd"),INDEX(상세표[근무일자],$Q2242)&amp;""))</f>
        <v/>
      </c>
      <c r="F2242">
        <f>IF($Q2242="","",IF(ISNUMBER(INDEX(상세표[시작],$Q2242)),TEXT(INDEX(상세표[시작],$Q2242),"yyyy-mm-dd hh:mm"),INDEX(상세표[시작],$Q2242)&amp;""))</f>
        <v/>
      </c>
      <c r="G2242">
        <f>IF($Q2242="","",IF(ISNUMBER(INDEX(상세표[블록종료],$Q2242)),TEXT(INDEX(상세표[블록종료],$Q2242),"yyyy-mm-dd hh:mm"),INDEX(상세표[블록종료],$Q2242)&amp;""))</f>
        <v/>
      </c>
      <c r="H2242">
        <f>IF($Q2242="","",CHOOSE(WEEKDAY(INDEX(상세표[시작],$Q2242)),"일","월","화","수","목","금","토"))</f>
        <v/>
      </c>
      <c r="I2242" s="20">
        <f>IF($Q2242="","",INDEX(상세표[연속 시간],$Q2242))</f>
        <v/>
      </c>
      <c r="J2242">
        <f>IF($Q2242="","",INDEX(상세표[기록 수],$Q2242))</f>
        <v/>
      </c>
      <c r="K2242" s="20">
        <f>IF($Q2242="","",INDEX(상세표[블록 06~07시],$Q2242))</f>
        <v/>
      </c>
      <c r="L2242" s="20">
        <f>IF($Q2242="","",INDEX(상세표[블록 07~18시],$Q2242))</f>
        <v/>
      </c>
      <c r="M2242" s="20">
        <f>IF($Q2242="","",INDEX(상세표[블록 18~22시],$Q2242))</f>
        <v/>
      </c>
      <c r="N2242" s="20">
        <f>IF($Q2242="","",INDEX(상세표[블록 22~06시],$Q2242))</f>
        <v/>
      </c>
      <c r="O2242">
        <f>IF($Q2242="","",INDEX(상세표[주말·휴일 포함],$Q2242)&amp;"")</f>
        <v/>
      </c>
      <c r="P2242">
        <f>IF($Q2242="","",INDEX(상세표[월 넘김 포함],$Q2242)&amp;"")</f>
        <v/>
      </c>
      <c r="Q2242" s="4">
        <f>IFERROR(MATCH(2237,상세표[연속순번],0),"")</f>
        <v/>
      </c>
    </row>
    <row r="2243">
      <c r="A2243">
        <f>IF($Q2243="","",INDEX(상세표[부서],$Q2243)&amp;"")</f>
        <v/>
      </c>
      <c r="B2243">
        <f>IF($Q2243="","",INDEX(상세표[사번],$Q2243)&amp;"")</f>
        <v/>
      </c>
      <c r="C2243">
        <f>IF($Q2243="","",INDEX(상세표[성명],$Q2243)&amp;"")</f>
        <v/>
      </c>
      <c r="D2243">
        <f>IF($Q2243="","",INDEX(상세표[직위],$Q2243)&amp;"")</f>
        <v/>
      </c>
      <c r="E2243">
        <f>IF($Q2243="","",IF(ISNUMBER(INDEX(상세표[근무일자],$Q2243)),TEXT(INDEX(상세표[근무일자],$Q2243),"yyyy-mm-dd"),INDEX(상세표[근무일자],$Q2243)&amp;""))</f>
        <v/>
      </c>
      <c r="F2243">
        <f>IF($Q2243="","",IF(ISNUMBER(INDEX(상세표[시작],$Q2243)),TEXT(INDEX(상세표[시작],$Q2243),"yyyy-mm-dd hh:mm"),INDEX(상세표[시작],$Q2243)&amp;""))</f>
        <v/>
      </c>
      <c r="G2243">
        <f>IF($Q2243="","",IF(ISNUMBER(INDEX(상세표[블록종료],$Q2243)),TEXT(INDEX(상세표[블록종료],$Q2243),"yyyy-mm-dd hh:mm"),INDEX(상세표[블록종료],$Q2243)&amp;""))</f>
        <v/>
      </c>
      <c r="H2243">
        <f>IF($Q2243="","",CHOOSE(WEEKDAY(INDEX(상세표[시작],$Q2243)),"일","월","화","수","목","금","토"))</f>
        <v/>
      </c>
      <c r="I2243" s="20">
        <f>IF($Q2243="","",INDEX(상세표[연속 시간],$Q2243))</f>
        <v/>
      </c>
      <c r="J2243">
        <f>IF($Q2243="","",INDEX(상세표[기록 수],$Q2243))</f>
        <v/>
      </c>
      <c r="K2243" s="20">
        <f>IF($Q2243="","",INDEX(상세표[블록 06~07시],$Q2243))</f>
        <v/>
      </c>
      <c r="L2243" s="20">
        <f>IF($Q2243="","",INDEX(상세표[블록 07~18시],$Q2243))</f>
        <v/>
      </c>
      <c r="M2243" s="20">
        <f>IF($Q2243="","",INDEX(상세표[블록 18~22시],$Q2243))</f>
        <v/>
      </c>
      <c r="N2243" s="20">
        <f>IF($Q2243="","",INDEX(상세표[블록 22~06시],$Q2243))</f>
        <v/>
      </c>
      <c r="O2243">
        <f>IF($Q2243="","",INDEX(상세표[주말·휴일 포함],$Q2243)&amp;"")</f>
        <v/>
      </c>
      <c r="P2243">
        <f>IF($Q2243="","",INDEX(상세표[월 넘김 포함],$Q2243)&amp;"")</f>
        <v/>
      </c>
      <c r="Q2243" s="4">
        <f>IFERROR(MATCH(2238,상세표[연속순번],0),"")</f>
        <v/>
      </c>
    </row>
    <row r="2244">
      <c r="A2244">
        <f>IF($Q2244="","",INDEX(상세표[부서],$Q2244)&amp;"")</f>
        <v/>
      </c>
      <c r="B2244">
        <f>IF($Q2244="","",INDEX(상세표[사번],$Q2244)&amp;"")</f>
        <v/>
      </c>
      <c r="C2244">
        <f>IF($Q2244="","",INDEX(상세표[성명],$Q2244)&amp;"")</f>
        <v/>
      </c>
      <c r="D2244">
        <f>IF($Q2244="","",INDEX(상세표[직위],$Q2244)&amp;"")</f>
        <v/>
      </c>
      <c r="E2244">
        <f>IF($Q2244="","",IF(ISNUMBER(INDEX(상세표[근무일자],$Q2244)),TEXT(INDEX(상세표[근무일자],$Q2244),"yyyy-mm-dd"),INDEX(상세표[근무일자],$Q2244)&amp;""))</f>
        <v/>
      </c>
      <c r="F2244">
        <f>IF($Q2244="","",IF(ISNUMBER(INDEX(상세표[시작],$Q2244)),TEXT(INDEX(상세표[시작],$Q2244),"yyyy-mm-dd hh:mm"),INDEX(상세표[시작],$Q2244)&amp;""))</f>
        <v/>
      </c>
      <c r="G2244">
        <f>IF($Q2244="","",IF(ISNUMBER(INDEX(상세표[블록종료],$Q2244)),TEXT(INDEX(상세표[블록종료],$Q2244),"yyyy-mm-dd hh:mm"),INDEX(상세표[블록종료],$Q2244)&amp;""))</f>
        <v/>
      </c>
      <c r="H2244">
        <f>IF($Q2244="","",CHOOSE(WEEKDAY(INDEX(상세표[시작],$Q2244)),"일","월","화","수","목","금","토"))</f>
        <v/>
      </c>
      <c r="I2244" s="20">
        <f>IF($Q2244="","",INDEX(상세표[연속 시간],$Q2244))</f>
        <v/>
      </c>
      <c r="J2244">
        <f>IF($Q2244="","",INDEX(상세표[기록 수],$Q2244))</f>
        <v/>
      </c>
      <c r="K2244" s="20">
        <f>IF($Q2244="","",INDEX(상세표[블록 06~07시],$Q2244))</f>
        <v/>
      </c>
      <c r="L2244" s="20">
        <f>IF($Q2244="","",INDEX(상세표[블록 07~18시],$Q2244))</f>
        <v/>
      </c>
      <c r="M2244" s="20">
        <f>IF($Q2244="","",INDEX(상세표[블록 18~22시],$Q2244))</f>
        <v/>
      </c>
      <c r="N2244" s="20">
        <f>IF($Q2244="","",INDEX(상세표[블록 22~06시],$Q2244))</f>
        <v/>
      </c>
      <c r="O2244">
        <f>IF($Q2244="","",INDEX(상세표[주말·휴일 포함],$Q2244)&amp;"")</f>
        <v/>
      </c>
      <c r="P2244">
        <f>IF($Q2244="","",INDEX(상세표[월 넘김 포함],$Q2244)&amp;"")</f>
        <v/>
      </c>
      <c r="Q2244" s="4">
        <f>IFERROR(MATCH(2239,상세표[연속순번],0),"")</f>
        <v/>
      </c>
    </row>
    <row r="2245">
      <c r="A2245">
        <f>IF($Q2245="","",INDEX(상세표[부서],$Q2245)&amp;"")</f>
        <v/>
      </c>
      <c r="B2245">
        <f>IF($Q2245="","",INDEX(상세표[사번],$Q2245)&amp;"")</f>
        <v/>
      </c>
      <c r="C2245">
        <f>IF($Q2245="","",INDEX(상세표[성명],$Q2245)&amp;"")</f>
        <v/>
      </c>
      <c r="D2245">
        <f>IF($Q2245="","",INDEX(상세표[직위],$Q2245)&amp;"")</f>
        <v/>
      </c>
      <c r="E2245">
        <f>IF($Q2245="","",IF(ISNUMBER(INDEX(상세표[근무일자],$Q2245)),TEXT(INDEX(상세표[근무일자],$Q2245),"yyyy-mm-dd"),INDEX(상세표[근무일자],$Q2245)&amp;""))</f>
        <v/>
      </c>
      <c r="F2245">
        <f>IF($Q2245="","",IF(ISNUMBER(INDEX(상세표[시작],$Q2245)),TEXT(INDEX(상세표[시작],$Q2245),"yyyy-mm-dd hh:mm"),INDEX(상세표[시작],$Q2245)&amp;""))</f>
        <v/>
      </c>
      <c r="G2245">
        <f>IF($Q2245="","",IF(ISNUMBER(INDEX(상세표[블록종료],$Q2245)),TEXT(INDEX(상세표[블록종료],$Q2245),"yyyy-mm-dd hh:mm"),INDEX(상세표[블록종료],$Q2245)&amp;""))</f>
        <v/>
      </c>
      <c r="H2245">
        <f>IF($Q2245="","",CHOOSE(WEEKDAY(INDEX(상세표[시작],$Q2245)),"일","월","화","수","목","금","토"))</f>
        <v/>
      </c>
      <c r="I2245" s="20">
        <f>IF($Q2245="","",INDEX(상세표[연속 시간],$Q2245))</f>
        <v/>
      </c>
      <c r="J2245">
        <f>IF($Q2245="","",INDEX(상세표[기록 수],$Q2245))</f>
        <v/>
      </c>
      <c r="K2245" s="20">
        <f>IF($Q2245="","",INDEX(상세표[블록 06~07시],$Q2245))</f>
        <v/>
      </c>
      <c r="L2245" s="20">
        <f>IF($Q2245="","",INDEX(상세표[블록 07~18시],$Q2245))</f>
        <v/>
      </c>
      <c r="M2245" s="20">
        <f>IF($Q2245="","",INDEX(상세표[블록 18~22시],$Q2245))</f>
        <v/>
      </c>
      <c r="N2245" s="20">
        <f>IF($Q2245="","",INDEX(상세표[블록 22~06시],$Q2245))</f>
        <v/>
      </c>
      <c r="O2245">
        <f>IF($Q2245="","",INDEX(상세표[주말·휴일 포함],$Q2245)&amp;"")</f>
        <v/>
      </c>
      <c r="P2245">
        <f>IF($Q2245="","",INDEX(상세표[월 넘김 포함],$Q2245)&amp;"")</f>
        <v/>
      </c>
      <c r="Q2245" s="4">
        <f>IFERROR(MATCH(2240,상세표[연속순번],0),"")</f>
        <v/>
      </c>
    </row>
    <row r="2246">
      <c r="A2246">
        <f>IF($Q2246="","",INDEX(상세표[부서],$Q2246)&amp;"")</f>
        <v/>
      </c>
      <c r="B2246">
        <f>IF($Q2246="","",INDEX(상세표[사번],$Q2246)&amp;"")</f>
        <v/>
      </c>
      <c r="C2246">
        <f>IF($Q2246="","",INDEX(상세표[성명],$Q2246)&amp;"")</f>
        <v/>
      </c>
      <c r="D2246">
        <f>IF($Q2246="","",INDEX(상세표[직위],$Q2246)&amp;"")</f>
        <v/>
      </c>
      <c r="E2246">
        <f>IF($Q2246="","",IF(ISNUMBER(INDEX(상세표[근무일자],$Q2246)),TEXT(INDEX(상세표[근무일자],$Q2246),"yyyy-mm-dd"),INDEX(상세표[근무일자],$Q2246)&amp;""))</f>
        <v/>
      </c>
      <c r="F2246">
        <f>IF($Q2246="","",IF(ISNUMBER(INDEX(상세표[시작],$Q2246)),TEXT(INDEX(상세표[시작],$Q2246),"yyyy-mm-dd hh:mm"),INDEX(상세표[시작],$Q2246)&amp;""))</f>
        <v/>
      </c>
      <c r="G2246">
        <f>IF($Q2246="","",IF(ISNUMBER(INDEX(상세표[블록종료],$Q2246)),TEXT(INDEX(상세표[블록종료],$Q2246),"yyyy-mm-dd hh:mm"),INDEX(상세표[블록종료],$Q2246)&amp;""))</f>
        <v/>
      </c>
      <c r="H2246">
        <f>IF($Q2246="","",CHOOSE(WEEKDAY(INDEX(상세표[시작],$Q2246)),"일","월","화","수","목","금","토"))</f>
        <v/>
      </c>
      <c r="I2246" s="20">
        <f>IF($Q2246="","",INDEX(상세표[연속 시간],$Q2246))</f>
        <v/>
      </c>
      <c r="J2246">
        <f>IF($Q2246="","",INDEX(상세표[기록 수],$Q2246))</f>
        <v/>
      </c>
      <c r="K2246" s="20">
        <f>IF($Q2246="","",INDEX(상세표[블록 06~07시],$Q2246))</f>
        <v/>
      </c>
      <c r="L2246" s="20">
        <f>IF($Q2246="","",INDEX(상세표[블록 07~18시],$Q2246))</f>
        <v/>
      </c>
      <c r="M2246" s="20">
        <f>IF($Q2246="","",INDEX(상세표[블록 18~22시],$Q2246))</f>
        <v/>
      </c>
      <c r="N2246" s="20">
        <f>IF($Q2246="","",INDEX(상세표[블록 22~06시],$Q2246))</f>
        <v/>
      </c>
      <c r="O2246">
        <f>IF($Q2246="","",INDEX(상세표[주말·휴일 포함],$Q2246)&amp;"")</f>
        <v/>
      </c>
      <c r="P2246">
        <f>IF($Q2246="","",INDEX(상세표[월 넘김 포함],$Q2246)&amp;"")</f>
        <v/>
      </c>
      <c r="Q2246" s="4">
        <f>IFERROR(MATCH(2241,상세표[연속순번],0),"")</f>
        <v/>
      </c>
    </row>
    <row r="2247">
      <c r="A2247">
        <f>IF($Q2247="","",INDEX(상세표[부서],$Q2247)&amp;"")</f>
        <v/>
      </c>
      <c r="B2247">
        <f>IF($Q2247="","",INDEX(상세표[사번],$Q2247)&amp;"")</f>
        <v/>
      </c>
      <c r="C2247">
        <f>IF($Q2247="","",INDEX(상세표[성명],$Q2247)&amp;"")</f>
        <v/>
      </c>
      <c r="D2247">
        <f>IF($Q2247="","",INDEX(상세표[직위],$Q2247)&amp;"")</f>
        <v/>
      </c>
      <c r="E2247">
        <f>IF($Q2247="","",IF(ISNUMBER(INDEX(상세표[근무일자],$Q2247)),TEXT(INDEX(상세표[근무일자],$Q2247),"yyyy-mm-dd"),INDEX(상세표[근무일자],$Q2247)&amp;""))</f>
        <v/>
      </c>
      <c r="F2247">
        <f>IF($Q2247="","",IF(ISNUMBER(INDEX(상세표[시작],$Q2247)),TEXT(INDEX(상세표[시작],$Q2247),"yyyy-mm-dd hh:mm"),INDEX(상세표[시작],$Q2247)&amp;""))</f>
        <v/>
      </c>
      <c r="G2247">
        <f>IF($Q2247="","",IF(ISNUMBER(INDEX(상세표[블록종료],$Q2247)),TEXT(INDEX(상세표[블록종료],$Q2247),"yyyy-mm-dd hh:mm"),INDEX(상세표[블록종료],$Q2247)&amp;""))</f>
        <v/>
      </c>
      <c r="H2247">
        <f>IF($Q2247="","",CHOOSE(WEEKDAY(INDEX(상세표[시작],$Q2247)),"일","월","화","수","목","금","토"))</f>
        <v/>
      </c>
      <c r="I2247" s="20">
        <f>IF($Q2247="","",INDEX(상세표[연속 시간],$Q2247))</f>
        <v/>
      </c>
      <c r="J2247">
        <f>IF($Q2247="","",INDEX(상세표[기록 수],$Q2247))</f>
        <v/>
      </c>
      <c r="K2247" s="20">
        <f>IF($Q2247="","",INDEX(상세표[블록 06~07시],$Q2247))</f>
        <v/>
      </c>
      <c r="L2247" s="20">
        <f>IF($Q2247="","",INDEX(상세표[블록 07~18시],$Q2247))</f>
        <v/>
      </c>
      <c r="M2247" s="20">
        <f>IF($Q2247="","",INDEX(상세표[블록 18~22시],$Q2247))</f>
        <v/>
      </c>
      <c r="N2247" s="20">
        <f>IF($Q2247="","",INDEX(상세표[블록 22~06시],$Q2247))</f>
        <v/>
      </c>
      <c r="O2247">
        <f>IF($Q2247="","",INDEX(상세표[주말·휴일 포함],$Q2247)&amp;"")</f>
        <v/>
      </c>
      <c r="P2247">
        <f>IF($Q2247="","",INDEX(상세표[월 넘김 포함],$Q2247)&amp;"")</f>
        <v/>
      </c>
      <c r="Q2247" s="4">
        <f>IFERROR(MATCH(2242,상세표[연속순번],0),"")</f>
        <v/>
      </c>
    </row>
    <row r="2248">
      <c r="A2248">
        <f>IF($Q2248="","",INDEX(상세표[부서],$Q2248)&amp;"")</f>
        <v/>
      </c>
      <c r="B2248">
        <f>IF($Q2248="","",INDEX(상세표[사번],$Q2248)&amp;"")</f>
        <v/>
      </c>
      <c r="C2248">
        <f>IF($Q2248="","",INDEX(상세표[성명],$Q2248)&amp;"")</f>
        <v/>
      </c>
      <c r="D2248">
        <f>IF($Q2248="","",INDEX(상세표[직위],$Q2248)&amp;"")</f>
        <v/>
      </c>
      <c r="E2248">
        <f>IF($Q2248="","",IF(ISNUMBER(INDEX(상세표[근무일자],$Q2248)),TEXT(INDEX(상세표[근무일자],$Q2248),"yyyy-mm-dd"),INDEX(상세표[근무일자],$Q2248)&amp;""))</f>
        <v/>
      </c>
      <c r="F2248">
        <f>IF($Q2248="","",IF(ISNUMBER(INDEX(상세표[시작],$Q2248)),TEXT(INDEX(상세표[시작],$Q2248),"yyyy-mm-dd hh:mm"),INDEX(상세표[시작],$Q2248)&amp;""))</f>
        <v/>
      </c>
      <c r="G2248">
        <f>IF($Q2248="","",IF(ISNUMBER(INDEX(상세표[블록종료],$Q2248)),TEXT(INDEX(상세표[블록종료],$Q2248),"yyyy-mm-dd hh:mm"),INDEX(상세표[블록종료],$Q2248)&amp;""))</f>
        <v/>
      </c>
      <c r="H2248">
        <f>IF($Q2248="","",CHOOSE(WEEKDAY(INDEX(상세표[시작],$Q2248)),"일","월","화","수","목","금","토"))</f>
        <v/>
      </c>
      <c r="I2248" s="20">
        <f>IF($Q2248="","",INDEX(상세표[연속 시간],$Q2248))</f>
        <v/>
      </c>
      <c r="J2248">
        <f>IF($Q2248="","",INDEX(상세표[기록 수],$Q2248))</f>
        <v/>
      </c>
      <c r="K2248" s="20">
        <f>IF($Q2248="","",INDEX(상세표[블록 06~07시],$Q2248))</f>
        <v/>
      </c>
      <c r="L2248" s="20">
        <f>IF($Q2248="","",INDEX(상세표[블록 07~18시],$Q2248))</f>
        <v/>
      </c>
      <c r="M2248" s="20">
        <f>IF($Q2248="","",INDEX(상세표[블록 18~22시],$Q2248))</f>
        <v/>
      </c>
      <c r="N2248" s="20">
        <f>IF($Q2248="","",INDEX(상세표[블록 22~06시],$Q2248))</f>
        <v/>
      </c>
      <c r="O2248">
        <f>IF($Q2248="","",INDEX(상세표[주말·휴일 포함],$Q2248)&amp;"")</f>
        <v/>
      </c>
      <c r="P2248">
        <f>IF($Q2248="","",INDEX(상세표[월 넘김 포함],$Q2248)&amp;"")</f>
        <v/>
      </c>
      <c r="Q2248" s="4">
        <f>IFERROR(MATCH(2243,상세표[연속순번],0),"")</f>
        <v/>
      </c>
    </row>
    <row r="2249">
      <c r="A2249">
        <f>IF($Q2249="","",INDEX(상세표[부서],$Q2249)&amp;"")</f>
        <v/>
      </c>
      <c r="B2249">
        <f>IF($Q2249="","",INDEX(상세표[사번],$Q2249)&amp;"")</f>
        <v/>
      </c>
      <c r="C2249">
        <f>IF($Q2249="","",INDEX(상세표[성명],$Q2249)&amp;"")</f>
        <v/>
      </c>
      <c r="D2249">
        <f>IF($Q2249="","",INDEX(상세표[직위],$Q2249)&amp;"")</f>
        <v/>
      </c>
      <c r="E2249">
        <f>IF($Q2249="","",IF(ISNUMBER(INDEX(상세표[근무일자],$Q2249)),TEXT(INDEX(상세표[근무일자],$Q2249),"yyyy-mm-dd"),INDEX(상세표[근무일자],$Q2249)&amp;""))</f>
        <v/>
      </c>
      <c r="F2249">
        <f>IF($Q2249="","",IF(ISNUMBER(INDEX(상세표[시작],$Q2249)),TEXT(INDEX(상세표[시작],$Q2249),"yyyy-mm-dd hh:mm"),INDEX(상세표[시작],$Q2249)&amp;""))</f>
        <v/>
      </c>
      <c r="G2249">
        <f>IF($Q2249="","",IF(ISNUMBER(INDEX(상세표[블록종료],$Q2249)),TEXT(INDEX(상세표[블록종료],$Q2249),"yyyy-mm-dd hh:mm"),INDEX(상세표[블록종료],$Q2249)&amp;""))</f>
        <v/>
      </c>
      <c r="H2249">
        <f>IF($Q2249="","",CHOOSE(WEEKDAY(INDEX(상세표[시작],$Q2249)),"일","월","화","수","목","금","토"))</f>
        <v/>
      </c>
      <c r="I2249" s="20">
        <f>IF($Q2249="","",INDEX(상세표[연속 시간],$Q2249))</f>
        <v/>
      </c>
      <c r="J2249">
        <f>IF($Q2249="","",INDEX(상세표[기록 수],$Q2249))</f>
        <v/>
      </c>
      <c r="K2249" s="20">
        <f>IF($Q2249="","",INDEX(상세표[블록 06~07시],$Q2249))</f>
        <v/>
      </c>
      <c r="L2249" s="20">
        <f>IF($Q2249="","",INDEX(상세표[블록 07~18시],$Q2249))</f>
        <v/>
      </c>
      <c r="M2249" s="20">
        <f>IF($Q2249="","",INDEX(상세표[블록 18~22시],$Q2249))</f>
        <v/>
      </c>
      <c r="N2249" s="20">
        <f>IF($Q2249="","",INDEX(상세표[블록 22~06시],$Q2249))</f>
        <v/>
      </c>
      <c r="O2249">
        <f>IF($Q2249="","",INDEX(상세표[주말·휴일 포함],$Q2249)&amp;"")</f>
        <v/>
      </c>
      <c r="P2249">
        <f>IF($Q2249="","",INDEX(상세표[월 넘김 포함],$Q2249)&amp;"")</f>
        <v/>
      </c>
      <c r="Q2249" s="4">
        <f>IFERROR(MATCH(2244,상세표[연속순번],0),"")</f>
        <v/>
      </c>
    </row>
    <row r="2250">
      <c r="A2250">
        <f>IF($Q2250="","",INDEX(상세표[부서],$Q2250)&amp;"")</f>
        <v/>
      </c>
      <c r="B2250">
        <f>IF($Q2250="","",INDEX(상세표[사번],$Q2250)&amp;"")</f>
        <v/>
      </c>
      <c r="C2250">
        <f>IF($Q2250="","",INDEX(상세표[성명],$Q2250)&amp;"")</f>
        <v/>
      </c>
      <c r="D2250">
        <f>IF($Q2250="","",INDEX(상세표[직위],$Q2250)&amp;"")</f>
        <v/>
      </c>
      <c r="E2250">
        <f>IF($Q2250="","",IF(ISNUMBER(INDEX(상세표[근무일자],$Q2250)),TEXT(INDEX(상세표[근무일자],$Q2250),"yyyy-mm-dd"),INDEX(상세표[근무일자],$Q2250)&amp;""))</f>
        <v/>
      </c>
      <c r="F2250">
        <f>IF($Q2250="","",IF(ISNUMBER(INDEX(상세표[시작],$Q2250)),TEXT(INDEX(상세표[시작],$Q2250),"yyyy-mm-dd hh:mm"),INDEX(상세표[시작],$Q2250)&amp;""))</f>
        <v/>
      </c>
      <c r="G2250">
        <f>IF($Q2250="","",IF(ISNUMBER(INDEX(상세표[블록종료],$Q2250)),TEXT(INDEX(상세표[블록종료],$Q2250),"yyyy-mm-dd hh:mm"),INDEX(상세표[블록종료],$Q2250)&amp;""))</f>
        <v/>
      </c>
      <c r="H2250">
        <f>IF($Q2250="","",CHOOSE(WEEKDAY(INDEX(상세표[시작],$Q2250)),"일","월","화","수","목","금","토"))</f>
        <v/>
      </c>
      <c r="I2250" s="20">
        <f>IF($Q2250="","",INDEX(상세표[연속 시간],$Q2250))</f>
        <v/>
      </c>
      <c r="J2250">
        <f>IF($Q2250="","",INDEX(상세표[기록 수],$Q2250))</f>
        <v/>
      </c>
      <c r="K2250" s="20">
        <f>IF($Q2250="","",INDEX(상세표[블록 06~07시],$Q2250))</f>
        <v/>
      </c>
      <c r="L2250" s="20">
        <f>IF($Q2250="","",INDEX(상세표[블록 07~18시],$Q2250))</f>
        <v/>
      </c>
      <c r="M2250" s="20">
        <f>IF($Q2250="","",INDEX(상세표[블록 18~22시],$Q2250))</f>
        <v/>
      </c>
      <c r="N2250" s="20">
        <f>IF($Q2250="","",INDEX(상세표[블록 22~06시],$Q2250))</f>
        <v/>
      </c>
      <c r="O2250">
        <f>IF($Q2250="","",INDEX(상세표[주말·휴일 포함],$Q2250)&amp;"")</f>
        <v/>
      </c>
      <c r="P2250">
        <f>IF($Q2250="","",INDEX(상세표[월 넘김 포함],$Q2250)&amp;"")</f>
        <v/>
      </c>
      <c r="Q2250" s="4">
        <f>IFERROR(MATCH(2245,상세표[연속순번],0),"")</f>
        <v/>
      </c>
    </row>
    <row r="2251">
      <c r="A2251">
        <f>IF($Q2251="","",INDEX(상세표[부서],$Q2251)&amp;"")</f>
        <v/>
      </c>
      <c r="B2251">
        <f>IF($Q2251="","",INDEX(상세표[사번],$Q2251)&amp;"")</f>
        <v/>
      </c>
      <c r="C2251">
        <f>IF($Q2251="","",INDEX(상세표[성명],$Q2251)&amp;"")</f>
        <v/>
      </c>
      <c r="D2251">
        <f>IF($Q2251="","",INDEX(상세표[직위],$Q2251)&amp;"")</f>
        <v/>
      </c>
      <c r="E2251">
        <f>IF($Q2251="","",IF(ISNUMBER(INDEX(상세표[근무일자],$Q2251)),TEXT(INDEX(상세표[근무일자],$Q2251),"yyyy-mm-dd"),INDEX(상세표[근무일자],$Q2251)&amp;""))</f>
        <v/>
      </c>
      <c r="F2251">
        <f>IF($Q2251="","",IF(ISNUMBER(INDEX(상세표[시작],$Q2251)),TEXT(INDEX(상세표[시작],$Q2251),"yyyy-mm-dd hh:mm"),INDEX(상세표[시작],$Q2251)&amp;""))</f>
        <v/>
      </c>
      <c r="G2251">
        <f>IF($Q2251="","",IF(ISNUMBER(INDEX(상세표[블록종료],$Q2251)),TEXT(INDEX(상세표[블록종료],$Q2251),"yyyy-mm-dd hh:mm"),INDEX(상세표[블록종료],$Q2251)&amp;""))</f>
        <v/>
      </c>
      <c r="H2251">
        <f>IF($Q2251="","",CHOOSE(WEEKDAY(INDEX(상세표[시작],$Q2251)),"일","월","화","수","목","금","토"))</f>
        <v/>
      </c>
      <c r="I2251" s="20">
        <f>IF($Q2251="","",INDEX(상세표[연속 시간],$Q2251))</f>
        <v/>
      </c>
      <c r="J2251">
        <f>IF($Q2251="","",INDEX(상세표[기록 수],$Q2251))</f>
        <v/>
      </c>
      <c r="K2251" s="20">
        <f>IF($Q2251="","",INDEX(상세표[블록 06~07시],$Q2251))</f>
        <v/>
      </c>
      <c r="L2251" s="20">
        <f>IF($Q2251="","",INDEX(상세표[블록 07~18시],$Q2251))</f>
        <v/>
      </c>
      <c r="M2251" s="20">
        <f>IF($Q2251="","",INDEX(상세표[블록 18~22시],$Q2251))</f>
        <v/>
      </c>
      <c r="N2251" s="20">
        <f>IF($Q2251="","",INDEX(상세표[블록 22~06시],$Q2251))</f>
        <v/>
      </c>
      <c r="O2251">
        <f>IF($Q2251="","",INDEX(상세표[주말·휴일 포함],$Q2251)&amp;"")</f>
        <v/>
      </c>
      <c r="P2251">
        <f>IF($Q2251="","",INDEX(상세표[월 넘김 포함],$Q2251)&amp;"")</f>
        <v/>
      </c>
      <c r="Q2251" s="4">
        <f>IFERROR(MATCH(2246,상세표[연속순번],0),"")</f>
        <v/>
      </c>
    </row>
    <row r="2252">
      <c r="A2252">
        <f>IF($Q2252="","",INDEX(상세표[부서],$Q2252)&amp;"")</f>
        <v/>
      </c>
      <c r="B2252">
        <f>IF($Q2252="","",INDEX(상세표[사번],$Q2252)&amp;"")</f>
        <v/>
      </c>
      <c r="C2252">
        <f>IF($Q2252="","",INDEX(상세표[성명],$Q2252)&amp;"")</f>
        <v/>
      </c>
      <c r="D2252">
        <f>IF($Q2252="","",INDEX(상세표[직위],$Q2252)&amp;"")</f>
        <v/>
      </c>
      <c r="E2252">
        <f>IF($Q2252="","",IF(ISNUMBER(INDEX(상세표[근무일자],$Q2252)),TEXT(INDEX(상세표[근무일자],$Q2252),"yyyy-mm-dd"),INDEX(상세표[근무일자],$Q2252)&amp;""))</f>
        <v/>
      </c>
      <c r="F2252">
        <f>IF($Q2252="","",IF(ISNUMBER(INDEX(상세표[시작],$Q2252)),TEXT(INDEX(상세표[시작],$Q2252),"yyyy-mm-dd hh:mm"),INDEX(상세표[시작],$Q2252)&amp;""))</f>
        <v/>
      </c>
      <c r="G2252">
        <f>IF($Q2252="","",IF(ISNUMBER(INDEX(상세표[블록종료],$Q2252)),TEXT(INDEX(상세표[블록종료],$Q2252),"yyyy-mm-dd hh:mm"),INDEX(상세표[블록종료],$Q2252)&amp;""))</f>
        <v/>
      </c>
      <c r="H2252">
        <f>IF($Q2252="","",CHOOSE(WEEKDAY(INDEX(상세표[시작],$Q2252)),"일","월","화","수","목","금","토"))</f>
        <v/>
      </c>
      <c r="I2252" s="20">
        <f>IF($Q2252="","",INDEX(상세표[연속 시간],$Q2252))</f>
        <v/>
      </c>
      <c r="J2252">
        <f>IF($Q2252="","",INDEX(상세표[기록 수],$Q2252))</f>
        <v/>
      </c>
      <c r="K2252" s="20">
        <f>IF($Q2252="","",INDEX(상세표[블록 06~07시],$Q2252))</f>
        <v/>
      </c>
      <c r="L2252" s="20">
        <f>IF($Q2252="","",INDEX(상세표[블록 07~18시],$Q2252))</f>
        <v/>
      </c>
      <c r="M2252" s="20">
        <f>IF($Q2252="","",INDEX(상세표[블록 18~22시],$Q2252))</f>
        <v/>
      </c>
      <c r="N2252" s="20">
        <f>IF($Q2252="","",INDEX(상세표[블록 22~06시],$Q2252))</f>
        <v/>
      </c>
      <c r="O2252">
        <f>IF($Q2252="","",INDEX(상세표[주말·휴일 포함],$Q2252)&amp;"")</f>
        <v/>
      </c>
      <c r="P2252">
        <f>IF($Q2252="","",INDEX(상세표[월 넘김 포함],$Q2252)&amp;"")</f>
        <v/>
      </c>
      <c r="Q2252" s="4">
        <f>IFERROR(MATCH(2247,상세표[연속순번],0),"")</f>
        <v/>
      </c>
    </row>
    <row r="2253">
      <c r="A2253">
        <f>IF($Q2253="","",INDEX(상세표[부서],$Q2253)&amp;"")</f>
        <v/>
      </c>
      <c r="B2253">
        <f>IF($Q2253="","",INDEX(상세표[사번],$Q2253)&amp;"")</f>
        <v/>
      </c>
      <c r="C2253">
        <f>IF($Q2253="","",INDEX(상세표[성명],$Q2253)&amp;"")</f>
        <v/>
      </c>
      <c r="D2253">
        <f>IF($Q2253="","",INDEX(상세표[직위],$Q2253)&amp;"")</f>
        <v/>
      </c>
      <c r="E2253">
        <f>IF($Q2253="","",IF(ISNUMBER(INDEX(상세표[근무일자],$Q2253)),TEXT(INDEX(상세표[근무일자],$Q2253),"yyyy-mm-dd"),INDEX(상세표[근무일자],$Q2253)&amp;""))</f>
        <v/>
      </c>
      <c r="F2253">
        <f>IF($Q2253="","",IF(ISNUMBER(INDEX(상세표[시작],$Q2253)),TEXT(INDEX(상세표[시작],$Q2253),"yyyy-mm-dd hh:mm"),INDEX(상세표[시작],$Q2253)&amp;""))</f>
        <v/>
      </c>
      <c r="G2253">
        <f>IF($Q2253="","",IF(ISNUMBER(INDEX(상세표[블록종료],$Q2253)),TEXT(INDEX(상세표[블록종료],$Q2253),"yyyy-mm-dd hh:mm"),INDEX(상세표[블록종료],$Q2253)&amp;""))</f>
        <v/>
      </c>
      <c r="H2253">
        <f>IF($Q2253="","",CHOOSE(WEEKDAY(INDEX(상세표[시작],$Q2253)),"일","월","화","수","목","금","토"))</f>
        <v/>
      </c>
      <c r="I2253" s="20">
        <f>IF($Q2253="","",INDEX(상세표[연속 시간],$Q2253))</f>
        <v/>
      </c>
      <c r="J2253">
        <f>IF($Q2253="","",INDEX(상세표[기록 수],$Q2253))</f>
        <v/>
      </c>
      <c r="K2253" s="20">
        <f>IF($Q2253="","",INDEX(상세표[블록 06~07시],$Q2253))</f>
        <v/>
      </c>
      <c r="L2253" s="20">
        <f>IF($Q2253="","",INDEX(상세표[블록 07~18시],$Q2253))</f>
        <v/>
      </c>
      <c r="M2253" s="20">
        <f>IF($Q2253="","",INDEX(상세표[블록 18~22시],$Q2253))</f>
        <v/>
      </c>
      <c r="N2253" s="20">
        <f>IF($Q2253="","",INDEX(상세표[블록 22~06시],$Q2253))</f>
        <v/>
      </c>
      <c r="O2253">
        <f>IF($Q2253="","",INDEX(상세표[주말·휴일 포함],$Q2253)&amp;"")</f>
        <v/>
      </c>
      <c r="P2253">
        <f>IF($Q2253="","",INDEX(상세표[월 넘김 포함],$Q2253)&amp;"")</f>
        <v/>
      </c>
      <c r="Q2253" s="4">
        <f>IFERROR(MATCH(2248,상세표[연속순번],0),"")</f>
        <v/>
      </c>
    </row>
    <row r="2254">
      <c r="A2254">
        <f>IF($Q2254="","",INDEX(상세표[부서],$Q2254)&amp;"")</f>
        <v/>
      </c>
      <c r="B2254">
        <f>IF($Q2254="","",INDEX(상세표[사번],$Q2254)&amp;"")</f>
        <v/>
      </c>
      <c r="C2254">
        <f>IF($Q2254="","",INDEX(상세표[성명],$Q2254)&amp;"")</f>
        <v/>
      </c>
      <c r="D2254">
        <f>IF($Q2254="","",INDEX(상세표[직위],$Q2254)&amp;"")</f>
        <v/>
      </c>
      <c r="E2254">
        <f>IF($Q2254="","",IF(ISNUMBER(INDEX(상세표[근무일자],$Q2254)),TEXT(INDEX(상세표[근무일자],$Q2254),"yyyy-mm-dd"),INDEX(상세표[근무일자],$Q2254)&amp;""))</f>
        <v/>
      </c>
      <c r="F2254">
        <f>IF($Q2254="","",IF(ISNUMBER(INDEX(상세표[시작],$Q2254)),TEXT(INDEX(상세표[시작],$Q2254),"yyyy-mm-dd hh:mm"),INDEX(상세표[시작],$Q2254)&amp;""))</f>
        <v/>
      </c>
      <c r="G2254">
        <f>IF($Q2254="","",IF(ISNUMBER(INDEX(상세표[블록종료],$Q2254)),TEXT(INDEX(상세표[블록종료],$Q2254),"yyyy-mm-dd hh:mm"),INDEX(상세표[블록종료],$Q2254)&amp;""))</f>
        <v/>
      </c>
      <c r="H2254">
        <f>IF($Q2254="","",CHOOSE(WEEKDAY(INDEX(상세표[시작],$Q2254)),"일","월","화","수","목","금","토"))</f>
        <v/>
      </c>
      <c r="I2254" s="20">
        <f>IF($Q2254="","",INDEX(상세표[연속 시간],$Q2254))</f>
        <v/>
      </c>
      <c r="J2254">
        <f>IF($Q2254="","",INDEX(상세표[기록 수],$Q2254))</f>
        <v/>
      </c>
      <c r="K2254" s="20">
        <f>IF($Q2254="","",INDEX(상세표[블록 06~07시],$Q2254))</f>
        <v/>
      </c>
      <c r="L2254" s="20">
        <f>IF($Q2254="","",INDEX(상세표[블록 07~18시],$Q2254))</f>
        <v/>
      </c>
      <c r="M2254" s="20">
        <f>IF($Q2254="","",INDEX(상세표[블록 18~22시],$Q2254))</f>
        <v/>
      </c>
      <c r="N2254" s="20">
        <f>IF($Q2254="","",INDEX(상세표[블록 22~06시],$Q2254))</f>
        <v/>
      </c>
      <c r="O2254">
        <f>IF($Q2254="","",INDEX(상세표[주말·휴일 포함],$Q2254)&amp;"")</f>
        <v/>
      </c>
      <c r="P2254">
        <f>IF($Q2254="","",INDEX(상세표[월 넘김 포함],$Q2254)&amp;"")</f>
        <v/>
      </c>
      <c r="Q2254" s="4">
        <f>IFERROR(MATCH(2249,상세표[연속순번],0),"")</f>
        <v/>
      </c>
    </row>
    <row r="2255">
      <c r="A2255">
        <f>IF($Q2255="","",INDEX(상세표[부서],$Q2255)&amp;"")</f>
        <v/>
      </c>
      <c r="B2255">
        <f>IF($Q2255="","",INDEX(상세표[사번],$Q2255)&amp;"")</f>
        <v/>
      </c>
      <c r="C2255">
        <f>IF($Q2255="","",INDEX(상세표[성명],$Q2255)&amp;"")</f>
        <v/>
      </c>
      <c r="D2255">
        <f>IF($Q2255="","",INDEX(상세표[직위],$Q2255)&amp;"")</f>
        <v/>
      </c>
      <c r="E2255">
        <f>IF($Q2255="","",IF(ISNUMBER(INDEX(상세표[근무일자],$Q2255)),TEXT(INDEX(상세표[근무일자],$Q2255),"yyyy-mm-dd"),INDEX(상세표[근무일자],$Q2255)&amp;""))</f>
        <v/>
      </c>
      <c r="F2255">
        <f>IF($Q2255="","",IF(ISNUMBER(INDEX(상세표[시작],$Q2255)),TEXT(INDEX(상세표[시작],$Q2255),"yyyy-mm-dd hh:mm"),INDEX(상세표[시작],$Q2255)&amp;""))</f>
        <v/>
      </c>
      <c r="G2255">
        <f>IF($Q2255="","",IF(ISNUMBER(INDEX(상세표[블록종료],$Q2255)),TEXT(INDEX(상세표[블록종료],$Q2255),"yyyy-mm-dd hh:mm"),INDEX(상세표[블록종료],$Q2255)&amp;""))</f>
        <v/>
      </c>
      <c r="H2255">
        <f>IF($Q2255="","",CHOOSE(WEEKDAY(INDEX(상세표[시작],$Q2255)),"일","월","화","수","목","금","토"))</f>
        <v/>
      </c>
      <c r="I2255" s="20">
        <f>IF($Q2255="","",INDEX(상세표[연속 시간],$Q2255))</f>
        <v/>
      </c>
      <c r="J2255">
        <f>IF($Q2255="","",INDEX(상세표[기록 수],$Q2255))</f>
        <v/>
      </c>
      <c r="K2255" s="20">
        <f>IF($Q2255="","",INDEX(상세표[블록 06~07시],$Q2255))</f>
        <v/>
      </c>
      <c r="L2255" s="20">
        <f>IF($Q2255="","",INDEX(상세표[블록 07~18시],$Q2255))</f>
        <v/>
      </c>
      <c r="M2255" s="20">
        <f>IF($Q2255="","",INDEX(상세표[블록 18~22시],$Q2255))</f>
        <v/>
      </c>
      <c r="N2255" s="20">
        <f>IF($Q2255="","",INDEX(상세표[블록 22~06시],$Q2255))</f>
        <v/>
      </c>
      <c r="O2255">
        <f>IF($Q2255="","",INDEX(상세표[주말·휴일 포함],$Q2255)&amp;"")</f>
        <v/>
      </c>
      <c r="P2255">
        <f>IF($Q2255="","",INDEX(상세표[월 넘김 포함],$Q2255)&amp;"")</f>
        <v/>
      </c>
      <c r="Q2255" s="4">
        <f>IFERROR(MATCH(2250,상세표[연속순번],0),"")</f>
        <v/>
      </c>
    </row>
    <row r="2256">
      <c r="A2256">
        <f>IF($Q2256="","",INDEX(상세표[부서],$Q2256)&amp;"")</f>
        <v/>
      </c>
      <c r="B2256">
        <f>IF($Q2256="","",INDEX(상세표[사번],$Q2256)&amp;"")</f>
        <v/>
      </c>
      <c r="C2256">
        <f>IF($Q2256="","",INDEX(상세표[성명],$Q2256)&amp;"")</f>
        <v/>
      </c>
      <c r="D2256">
        <f>IF($Q2256="","",INDEX(상세표[직위],$Q2256)&amp;"")</f>
        <v/>
      </c>
      <c r="E2256">
        <f>IF($Q2256="","",IF(ISNUMBER(INDEX(상세표[근무일자],$Q2256)),TEXT(INDEX(상세표[근무일자],$Q2256),"yyyy-mm-dd"),INDEX(상세표[근무일자],$Q2256)&amp;""))</f>
        <v/>
      </c>
      <c r="F2256">
        <f>IF($Q2256="","",IF(ISNUMBER(INDEX(상세표[시작],$Q2256)),TEXT(INDEX(상세표[시작],$Q2256),"yyyy-mm-dd hh:mm"),INDEX(상세표[시작],$Q2256)&amp;""))</f>
        <v/>
      </c>
      <c r="G2256">
        <f>IF($Q2256="","",IF(ISNUMBER(INDEX(상세표[블록종료],$Q2256)),TEXT(INDEX(상세표[블록종료],$Q2256),"yyyy-mm-dd hh:mm"),INDEX(상세표[블록종료],$Q2256)&amp;""))</f>
        <v/>
      </c>
      <c r="H2256">
        <f>IF($Q2256="","",CHOOSE(WEEKDAY(INDEX(상세표[시작],$Q2256)),"일","월","화","수","목","금","토"))</f>
        <v/>
      </c>
      <c r="I2256" s="20">
        <f>IF($Q2256="","",INDEX(상세표[연속 시간],$Q2256))</f>
        <v/>
      </c>
      <c r="J2256">
        <f>IF($Q2256="","",INDEX(상세표[기록 수],$Q2256))</f>
        <v/>
      </c>
      <c r="K2256" s="20">
        <f>IF($Q2256="","",INDEX(상세표[블록 06~07시],$Q2256))</f>
        <v/>
      </c>
      <c r="L2256" s="20">
        <f>IF($Q2256="","",INDEX(상세표[블록 07~18시],$Q2256))</f>
        <v/>
      </c>
      <c r="M2256" s="20">
        <f>IF($Q2256="","",INDEX(상세표[블록 18~22시],$Q2256))</f>
        <v/>
      </c>
      <c r="N2256" s="20">
        <f>IF($Q2256="","",INDEX(상세표[블록 22~06시],$Q2256))</f>
        <v/>
      </c>
      <c r="O2256">
        <f>IF($Q2256="","",INDEX(상세표[주말·휴일 포함],$Q2256)&amp;"")</f>
        <v/>
      </c>
      <c r="P2256">
        <f>IF($Q2256="","",INDEX(상세표[월 넘김 포함],$Q2256)&amp;"")</f>
        <v/>
      </c>
      <c r="Q2256" s="4">
        <f>IFERROR(MATCH(2251,상세표[연속순번],0),"")</f>
        <v/>
      </c>
    </row>
    <row r="2257">
      <c r="A2257">
        <f>IF($Q2257="","",INDEX(상세표[부서],$Q2257)&amp;"")</f>
        <v/>
      </c>
      <c r="B2257">
        <f>IF($Q2257="","",INDEX(상세표[사번],$Q2257)&amp;"")</f>
        <v/>
      </c>
      <c r="C2257">
        <f>IF($Q2257="","",INDEX(상세표[성명],$Q2257)&amp;"")</f>
        <v/>
      </c>
      <c r="D2257">
        <f>IF($Q2257="","",INDEX(상세표[직위],$Q2257)&amp;"")</f>
        <v/>
      </c>
      <c r="E2257">
        <f>IF($Q2257="","",IF(ISNUMBER(INDEX(상세표[근무일자],$Q2257)),TEXT(INDEX(상세표[근무일자],$Q2257),"yyyy-mm-dd"),INDEX(상세표[근무일자],$Q2257)&amp;""))</f>
        <v/>
      </c>
      <c r="F2257">
        <f>IF($Q2257="","",IF(ISNUMBER(INDEX(상세표[시작],$Q2257)),TEXT(INDEX(상세표[시작],$Q2257),"yyyy-mm-dd hh:mm"),INDEX(상세표[시작],$Q2257)&amp;""))</f>
        <v/>
      </c>
      <c r="G2257">
        <f>IF($Q2257="","",IF(ISNUMBER(INDEX(상세표[블록종료],$Q2257)),TEXT(INDEX(상세표[블록종료],$Q2257),"yyyy-mm-dd hh:mm"),INDEX(상세표[블록종료],$Q2257)&amp;""))</f>
        <v/>
      </c>
      <c r="H2257">
        <f>IF($Q2257="","",CHOOSE(WEEKDAY(INDEX(상세표[시작],$Q2257)),"일","월","화","수","목","금","토"))</f>
        <v/>
      </c>
      <c r="I2257" s="20">
        <f>IF($Q2257="","",INDEX(상세표[연속 시간],$Q2257))</f>
        <v/>
      </c>
      <c r="J2257">
        <f>IF($Q2257="","",INDEX(상세표[기록 수],$Q2257))</f>
        <v/>
      </c>
      <c r="K2257" s="20">
        <f>IF($Q2257="","",INDEX(상세표[블록 06~07시],$Q2257))</f>
        <v/>
      </c>
      <c r="L2257" s="20">
        <f>IF($Q2257="","",INDEX(상세표[블록 07~18시],$Q2257))</f>
        <v/>
      </c>
      <c r="M2257" s="20">
        <f>IF($Q2257="","",INDEX(상세표[블록 18~22시],$Q2257))</f>
        <v/>
      </c>
      <c r="N2257" s="20">
        <f>IF($Q2257="","",INDEX(상세표[블록 22~06시],$Q2257))</f>
        <v/>
      </c>
      <c r="O2257">
        <f>IF($Q2257="","",INDEX(상세표[주말·휴일 포함],$Q2257)&amp;"")</f>
        <v/>
      </c>
      <c r="P2257">
        <f>IF($Q2257="","",INDEX(상세표[월 넘김 포함],$Q2257)&amp;"")</f>
        <v/>
      </c>
      <c r="Q2257" s="4">
        <f>IFERROR(MATCH(2252,상세표[연속순번],0),"")</f>
        <v/>
      </c>
    </row>
    <row r="2258">
      <c r="A2258">
        <f>IF($Q2258="","",INDEX(상세표[부서],$Q2258)&amp;"")</f>
        <v/>
      </c>
      <c r="B2258">
        <f>IF($Q2258="","",INDEX(상세표[사번],$Q2258)&amp;"")</f>
        <v/>
      </c>
      <c r="C2258">
        <f>IF($Q2258="","",INDEX(상세표[성명],$Q2258)&amp;"")</f>
        <v/>
      </c>
      <c r="D2258">
        <f>IF($Q2258="","",INDEX(상세표[직위],$Q2258)&amp;"")</f>
        <v/>
      </c>
      <c r="E2258">
        <f>IF($Q2258="","",IF(ISNUMBER(INDEX(상세표[근무일자],$Q2258)),TEXT(INDEX(상세표[근무일자],$Q2258),"yyyy-mm-dd"),INDEX(상세표[근무일자],$Q2258)&amp;""))</f>
        <v/>
      </c>
      <c r="F2258">
        <f>IF($Q2258="","",IF(ISNUMBER(INDEX(상세표[시작],$Q2258)),TEXT(INDEX(상세표[시작],$Q2258),"yyyy-mm-dd hh:mm"),INDEX(상세표[시작],$Q2258)&amp;""))</f>
        <v/>
      </c>
      <c r="G2258">
        <f>IF($Q2258="","",IF(ISNUMBER(INDEX(상세표[블록종료],$Q2258)),TEXT(INDEX(상세표[블록종료],$Q2258),"yyyy-mm-dd hh:mm"),INDEX(상세표[블록종료],$Q2258)&amp;""))</f>
        <v/>
      </c>
      <c r="H2258">
        <f>IF($Q2258="","",CHOOSE(WEEKDAY(INDEX(상세표[시작],$Q2258)),"일","월","화","수","목","금","토"))</f>
        <v/>
      </c>
      <c r="I2258" s="20">
        <f>IF($Q2258="","",INDEX(상세표[연속 시간],$Q2258))</f>
        <v/>
      </c>
      <c r="J2258">
        <f>IF($Q2258="","",INDEX(상세표[기록 수],$Q2258))</f>
        <v/>
      </c>
      <c r="K2258" s="20">
        <f>IF($Q2258="","",INDEX(상세표[블록 06~07시],$Q2258))</f>
        <v/>
      </c>
      <c r="L2258" s="20">
        <f>IF($Q2258="","",INDEX(상세표[블록 07~18시],$Q2258))</f>
        <v/>
      </c>
      <c r="M2258" s="20">
        <f>IF($Q2258="","",INDEX(상세표[블록 18~22시],$Q2258))</f>
        <v/>
      </c>
      <c r="N2258" s="20">
        <f>IF($Q2258="","",INDEX(상세표[블록 22~06시],$Q2258))</f>
        <v/>
      </c>
      <c r="O2258">
        <f>IF($Q2258="","",INDEX(상세표[주말·휴일 포함],$Q2258)&amp;"")</f>
        <v/>
      </c>
      <c r="P2258">
        <f>IF($Q2258="","",INDEX(상세표[월 넘김 포함],$Q2258)&amp;"")</f>
        <v/>
      </c>
      <c r="Q2258" s="4">
        <f>IFERROR(MATCH(2253,상세표[연속순번],0),"")</f>
        <v/>
      </c>
    </row>
    <row r="2259">
      <c r="A2259">
        <f>IF($Q2259="","",INDEX(상세표[부서],$Q2259)&amp;"")</f>
        <v/>
      </c>
      <c r="B2259">
        <f>IF($Q2259="","",INDEX(상세표[사번],$Q2259)&amp;"")</f>
        <v/>
      </c>
      <c r="C2259">
        <f>IF($Q2259="","",INDEX(상세표[성명],$Q2259)&amp;"")</f>
        <v/>
      </c>
      <c r="D2259">
        <f>IF($Q2259="","",INDEX(상세표[직위],$Q2259)&amp;"")</f>
        <v/>
      </c>
      <c r="E2259">
        <f>IF($Q2259="","",IF(ISNUMBER(INDEX(상세표[근무일자],$Q2259)),TEXT(INDEX(상세표[근무일자],$Q2259),"yyyy-mm-dd"),INDEX(상세표[근무일자],$Q2259)&amp;""))</f>
        <v/>
      </c>
      <c r="F2259">
        <f>IF($Q2259="","",IF(ISNUMBER(INDEX(상세표[시작],$Q2259)),TEXT(INDEX(상세표[시작],$Q2259),"yyyy-mm-dd hh:mm"),INDEX(상세표[시작],$Q2259)&amp;""))</f>
        <v/>
      </c>
      <c r="G2259">
        <f>IF($Q2259="","",IF(ISNUMBER(INDEX(상세표[블록종료],$Q2259)),TEXT(INDEX(상세표[블록종료],$Q2259),"yyyy-mm-dd hh:mm"),INDEX(상세표[블록종료],$Q2259)&amp;""))</f>
        <v/>
      </c>
      <c r="H2259">
        <f>IF($Q2259="","",CHOOSE(WEEKDAY(INDEX(상세표[시작],$Q2259)),"일","월","화","수","목","금","토"))</f>
        <v/>
      </c>
      <c r="I2259" s="20">
        <f>IF($Q2259="","",INDEX(상세표[연속 시간],$Q2259))</f>
        <v/>
      </c>
      <c r="J2259">
        <f>IF($Q2259="","",INDEX(상세표[기록 수],$Q2259))</f>
        <v/>
      </c>
      <c r="K2259" s="20">
        <f>IF($Q2259="","",INDEX(상세표[블록 06~07시],$Q2259))</f>
        <v/>
      </c>
      <c r="L2259" s="20">
        <f>IF($Q2259="","",INDEX(상세표[블록 07~18시],$Q2259))</f>
        <v/>
      </c>
      <c r="M2259" s="20">
        <f>IF($Q2259="","",INDEX(상세표[블록 18~22시],$Q2259))</f>
        <v/>
      </c>
      <c r="N2259" s="20">
        <f>IF($Q2259="","",INDEX(상세표[블록 22~06시],$Q2259))</f>
        <v/>
      </c>
      <c r="O2259">
        <f>IF($Q2259="","",INDEX(상세표[주말·휴일 포함],$Q2259)&amp;"")</f>
        <v/>
      </c>
      <c r="P2259">
        <f>IF($Q2259="","",INDEX(상세표[월 넘김 포함],$Q2259)&amp;"")</f>
        <v/>
      </c>
      <c r="Q2259" s="4">
        <f>IFERROR(MATCH(2254,상세표[연속순번],0),"")</f>
        <v/>
      </c>
    </row>
    <row r="2260">
      <c r="A2260">
        <f>IF($Q2260="","",INDEX(상세표[부서],$Q2260)&amp;"")</f>
        <v/>
      </c>
      <c r="B2260">
        <f>IF($Q2260="","",INDEX(상세표[사번],$Q2260)&amp;"")</f>
        <v/>
      </c>
      <c r="C2260">
        <f>IF($Q2260="","",INDEX(상세표[성명],$Q2260)&amp;"")</f>
        <v/>
      </c>
      <c r="D2260">
        <f>IF($Q2260="","",INDEX(상세표[직위],$Q2260)&amp;"")</f>
        <v/>
      </c>
      <c r="E2260">
        <f>IF($Q2260="","",IF(ISNUMBER(INDEX(상세표[근무일자],$Q2260)),TEXT(INDEX(상세표[근무일자],$Q2260),"yyyy-mm-dd"),INDEX(상세표[근무일자],$Q2260)&amp;""))</f>
        <v/>
      </c>
      <c r="F2260">
        <f>IF($Q2260="","",IF(ISNUMBER(INDEX(상세표[시작],$Q2260)),TEXT(INDEX(상세표[시작],$Q2260),"yyyy-mm-dd hh:mm"),INDEX(상세표[시작],$Q2260)&amp;""))</f>
        <v/>
      </c>
      <c r="G2260">
        <f>IF($Q2260="","",IF(ISNUMBER(INDEX(상세표[블록종료],$Q2260)),TEXT(INDEX(상세표[블록종료],$Q2260),"yyyy-mm-dd hh:mm"),INDEX(상세표[블록종료],$Q2260)&amp;""))</f>
        <v/>
      </c>
      <c r="H2260">
        <f>IF($Q2260="","",CHOOSE(WEEKDAY(INDEX(상세표[시작],$Q2260)),"일","월","화","수","목","금","토"))</f>
        <v/>
      </c>
      <c r="I2260" s="20">
        <f>IF($Q2260="","",INDEX(상세표[연속 시간],$Q2260))</f>
        <v/>
      </c>
      <c r="J2260">
        <f>IF($Q2260="","",INDEX(상세표[기록 수],$Q2260))</f>
        <v/>
      </c>
      <c r="K2260" s="20">
        <f>IF($Q2260="","",INDEX(상세표[블록 06~07시],$Q2260))</f>
        <v/>
      </c>
      <c r="L2260" s="20">
        <f>IF($Q2260="","",INDEX(상세표[블록 07~18시],$Q2260))</f>
        <v/>
      </c>
      <c r="M2260" s="20">
        <f>IF($Q2260="","",INDEX(상세표[블록 18~22시],$Q2260))</f>
        <v/>
      </c>
      <c r="N2260" s="20">
        <f>IF($Q2260="","",INDEX(상세표[블록 22~06시],$Q2260))</f>
        <v/>
      </c>
      <c r="O2260">
        <f>IF($Q2260="","",INDEX(상세표[주말·휴일 포함],$Q2260)&amp;"")</f>
        <v/>
      </c>
      <c r="P2260">
        <f>IF($Q2260="","",INDEX(상세표[월 넘김 포함],$Q2260)&amp;"")</f>
        <v/>
      </c>
      <c r="Q2260" s="4">
        <f>IFERROR(MATCH(2255,상세표[연속순번],0),"")</f>
        <v/>
      </c>
    </row>
    <row r="2261">
      <c r="A2261">
        <f>IF($Q2261="","",INDEX(상세표[부서],$Q2261)&amp;"")</f>
        <v/>
      </c>
      <c r="B2261">
        <f>IF($Q2261="","",INDEX(상세표[사번],$Q2261)&amp;"")</f>
        <v/>
      </c>
      <c r="C2261">
        <f>IF($Q2261="","",INDEX(상세표[성명],$Q2261)&amp;"")</f>
        <v/>
      </c>
      <c r="D2261">
        <f>IF($Q2261="","",INDEX(상세표[직위],$Q2261)&amp;"")</f>
        <v/>
      </c>
      <c r="E2261">
        <f>IF($Q2261="","",IF(ISNUMBER(INDEX(상세표[근무일자],$Q2261)),TEXT(INDEX(상세표[근무일자],$Q2261),"yyyy-mm-dd"),INDEX(상세표[근무일자],$Q2261)&amp;""))</f>
        <v/>
      </c>
      <c r="F2261">
        <f>IF($Q2261="","",IF(ISNUMBER(INDEX(상세표[시작],$Q2261)),TEXT(INDEX(상세표[시작],$Q2261),"yyyy-mm-dd hh:mm"),INDEX(상세표[시작],$Q2261)&amp;""))</f>
        <v/>
      </c>
      <c r="G2261">
        <f>IF($Q2261="","",IF(ISNUMBER(INDEX(상세표[블록종료],$Q2261)),TEXT(INDEX(상세표[블록종료],$Q2261),"yyyy-mm-dd hh:mm"),INDEX(상세표[블록종료],$Q2261)&amp;""))</f>
        <v/>
      </c>
      <c r="H2261">
        <f>IF($Q2261="","",CHOOSE(WEEKDAY(INDEX(상세표[시작],$Q2261)),"일","월","화","수","목","금","토"))</f>
        <v/>
      </c>
      <c r="I2261" s="20">
        <f>IF($Q2261="","",INDEX(상세표[연속 시간],$Q2261))</f>
        <v/>
      </c>
      <c r="J2261">
        <f>IF($Q2261="","",INDEX(상세표[기록 수],$Q2261))</f>
        <v/>
      </c>
      <c r="K2261" s="20">
        <f>IF($Q2261="","",INDEX(상세표[블록 06~07시],$Q2261))</f>
        <v/>
      </c>
      <c r="L2261" s="20">
        <f>IF($Q2261="","",INDEX(상세표[블록 07~18시],$Q2261))</f>
        <v/>
      </c>
      <c r="M2261" s="20">
        <f>IF($Q2261="","",INDEX(상세표[블록 18~22시],$Q2261))</f>
        <v/>
      </c>
      <c r="N2261" s="20">
        <f>IF($Q2261="","",INDEX(상세표[블록 22~06시],$Q2261))</f>
        <v/>
      </c>
      <c r="O2261">
        <f>IF($Q2261="","",INDEX(상세표[주말·휴일 포함],$Q2261)&amp;"")</f>
        <v/>
      </c>
      <c r="P2261">
        <f>IF($Q2261="","",INDEX(상세표[월 넘김 포함],$Q2261)&amp;"")</f>
        <v/>
      </c>
      <c r="Q2261" s="4">
        <f>IFERROR(MATCH(2256,상세표[연속순번],0),"")</f>
        <v/>
      </c>
    </row>
    <row r="2262">
      <c r="A2262">
        <f>IF($Q2262="","",INDEX(상세표[부서],$Q2262)&amp;"")</f>
        <v/>
      </c>
      <c r="B2262">
        <f>IF($Q2262="","",INDEX(상세표[사번],$Q2262)&amp;"")</f>
        <v/>
      </c>
      <c r="C2262">
        <f>IF($Q2262="","",INDEX(상세표[성명],$Q2262)&amp;"")</f>
        <v/>
      </c>
      <c r="D2262">
        <f>IF($Q2262="","",INDEX(상세표[직위],$Q2262)&amp;"")</f>
        <v/>
      </c>
      <c r="E2262">
        <f>IF($Q2262="","",IF(ISNUMBER(INDEX(상세표[근무일자],$Q2262)),TEXT(INDEX(상세표[근무일자],$Q2262),"yyyy-mm-dd"),INDEX(상세표[근무일자],$Q2262)&amp;""))</f>
        <v/>
      </c>
      <c r="F2262">
        <f>IF($Q2262="","",IF(ISNUMBER(INDEX(상세표[시작],$Q2262)),TEXT(INDEX(상세표[시작],$Q2262),"yyyy-mm-dd hh:mm"),INDEX(상세표[시작],$Q2262)&amp;""))</f>
        <v/>
      </c>
      <c r="G2262">
        <f>IF($Q2262="","",IF(ISNUMBER(INDEX(상세표[블록종료],$Q2262)),TEXT(INDEX(상세표[블록종료],$Q2262),"yyyy-mm-dd hh:mm"),INDEX(상세표[블록종료],$Q2262)&amp;""))</f>
        <v/>
      </c>
      <c r="H2262">
        <f>IF($Q2262="","",CHOOSE(WEEKDAY(INDEX(상세표[시작],$Q2262)),"일","월","화","수","목","금","토"))</f>
        <v/>
      </c>
      <c r="I2262" s="20">
        <f>IF($Q2262="","",INDEX(상세표[연속 시간],$Q2262))</f>
        <v/>
      </c>
      <c r="J2262">
        <f>IF($Q2262="","",INDEX(상세표[기록 수],$Q2262))</f>
        <v/>
      </c>
      <c r="K2262" s="20">
        <f>IF($Q2262="","",INDEX(상세표[블록 06~07시],$Q2262))</f>
        <v/>
      </c>
      <c r="L2262" s="20">
        <f>IF($Q2262="","",INDEX(상세표[블록 07~18시],$Q2262))</f>
        <v/>
      </c>
      <c r="M2262" s="20">
        <f>IF($Q2262="","",INDEX(상세표[블록 18~22시],$Q2262))</f>
        <v/>
      </c>
      <c r="N2262" s="20">
        <f>IF($Q2262="","",INDEX(상세표[블록 22~06시],$Q2262))</f>
        <v/>
      </c>
      <c r="O2262">
        <f>IF($Q2262="","",INDEX(상세표[주말·휴일 포함],$Q2262)&amp;"")</f>
        <v/>
      </c>
      <c r="P2262">
        <f>IF($Q2262="","",INDEX(상세표[월 넘김 포함],$Q2262)&amp;"")</f>
        <v/>
      </c>
      <c r="Q2262" s="4">
        <f>IFERROR(MATCH(2257,상세표[연속순번],0),"")</f>
        <v/>
      </c>
    </row>
    <row r="2263">
      <c r="A2263">
        <f>IF($Q2263="","",INDEX(상세표[부서],$Q2263)&amp;"")</f>
        <v/>
      </c>
      <c r="B2263">
        <f>IF($Q2263="","",INDEX(상세표[사번],$Q2263)&amp;"")</f>
        <v/>
      </c>
      <c r="C2263">
        <f>IF($Q2263="","",INDEX(상세표[성명],$Q2263)&amp;"")</f>
        <v/>
      </c>
      <c r="D2263">
        <f>IF($Q2263="","",INDEX(상세표[직위],$Q2263)&amp;"")</f>
        <v/>
      </c>
      <c r="E2263">
        <f>IF($Q2263="","",IF(ISNUMBER(INDEX(상세표[근무일자],$Q2263)),TEXT(INDEX(상세표[근무일자],$Q2263),"yyyy-mm-dd"),INDEX(상세표[근무일자],$Q2263)&amp;""))</f>
        <v/>
      </c>
      <c r="F2263">
        <f>IF($Q2263="","",IF(ISNUMBER(INDEX(상세표[시작],$Q2263)),TEXT(INDEX(상세표[시작],$Q2263),"yyyy-mm-dd hh:mm"),INDEX(상세표[시작],$Q2263)&amp;""))</f>
        <v/>
      </c>
      <c r="G2263">
        <f>IF($Q2263="","",IF(ISNUMBER(INDEX(상세표[블록종료],$Q2263)),TEXT(INDEX(상세표[블록종료],$Q2263),"yyyy-mm-dd hh:mm"),INDEX(상세표[블록종료],$Q2263)&amp;""))</f>
        <v/>
      </c>
      <c r="H2263">
        <f>IF($Q2263="","",CHOOSE(WEEKDAY(INDEX(상세표[시작],$Q2263)),"일","월","화","수","목","금","토"))</f>
        <v/>
      </c>
      <c r="I2263" s="20">
        <f>IF($Q2263="","",INDEX(상세표[연속 시간],$Q2263))</f>
        <v/>
      </c>
      <c r="J2263">
        <f>IF($Q2263="","",INDEX(상세표[기록 수],$Q2263))</f>
        <v/>
      </c>
      <c r="K2263" s="20">
        <f>IF($Q2263="","",INDEX(상세표[블록 06~07시],$Q2263))</f>
        <v/>
      </c>
      <c r="L2263" s="20">
        <f>IF($Q2263="","",INDEX(상세표[블록 07~18시],$Q2263))</f>
        <v/>
      </c>
      <c r="M2263" s="20">
        <f>IF($Q2263="","",INDEX(상세표[블록 18~22시],$Q2263))</f>
        <v/>
      </c>
      <c r="N2263" s="20">
        <f>IF($Q2263="","",INDEX(상세표[블록 22~06시],$Q2263))</f>
        <v/>
      </c>
      <c r="O2263">
        <f>IF($Q2263="","",INDEX(상세표[주말·휴일 포함],$Q2263)&amp;"")</f>
        <v/>
      </c>
      <c r="P2263">
        <f>IF($Q2263="","",INDEX(상세표[월 넘김 포함],$Q2263)&amp;"")</f>
        <v/>
      </c>
      <c r="Q2263" s="4">
        <f>IFERROR(MATCH(2258,상세표[연속순번],0),"")</f>
        <v/>
      </c>
    </row>
    <row r="2264">
      <c r="A2264">
        <f>IF($Q2264="","",INDEX(상세표[부서],$Q2264)&amp;"")</f>
        <v/>
      </c>
      <c r="B2264">
        <f>IF($Q2264="","",INDEX(상세표[사번],$Q2264)&amp;"")</f>
        <v/>
      </c>
      <c r="C2264">
        <f>IF($Q2264="","",INDEX(상세표[성명],$Q2264)&amp;"")</f>
        <v/>
      </c>
      <c r="D2264">
        <f>IF($Q2264="","",INDEX(상세표[직위],$Q2264)&amp;"")</f>
        <v/>
      </c>
      <c r="E2264">
        <f>IF($Q2264="","",IF(ISNUMBER(INDEX(상세표[근무일자],$Q2264)),TEXT(INDEX(상세표[근무일자],$Q2264),"yyyy-mm-dd"),INDEX(상세표[근무일자],$Q2264)&amp;""))</f>
        <v/>
      </c>
      <c r="F2264">
        <f>IF($Q2264="","",IF(ISNUMBER(INDEX(상세표[시작],$Q2264)),TEXT(INDEX(상세표[시작],$Q2264),"yyyy-mm-dd hh:mm"),INDEX(상세표[시작],$Q2264)&amp;""))</f>
        <v/>
      </c>
      <c r="G2264">
        <f>IF($Q2264="","",IF(ISNUMBER(INDEX(상세표[블록종료],$Q2264)),TEXT(INDEX(상세표[블록종료],$Q2264),"yyyy-mm-dd hh:mm"),INDEX(상세표[블록종료],$Q2264)&amp;""))</f>
        <v/>
      </c>
      <c r="H2264">
        <f>IF($Q2264="","",CHOOSE(WEEKDAY(INDEX(상세표[시작],$Q2264)),"일","월","화","수","목","금","토"))</f>
        <v/>
      </c>
      <c r="I2264" s="20">
        <f>IF($Q2264="","",INDEX(상세표[연속 시간],$Q2264))</f>
        <v/>
      </c>
      <c r="J2264">
        <f>IF($Q2264="","",INDEX(상세표[기록 수],$Q2264))</f>
        <v/>
      </c>
      <c r="K2264" s="20">
        <f>IF($Q2264="","",INDEX(상세표[블록 06~07시],$Q2264))</f>
        <v/>
      </c>
      <c r="L2264" s="20">
        <f>IF($Q2264="","",INDEX(상세표[블록 07~18시],$Q2264))</f>
        <v/>
      </c>
      <c r="M2264" s="20">
        <f>IF($Q2264="","",INDEX(상세표[블록 18~22시],$Q2264))</f>
        <v/>
      </c>
      <c r="N2264" s="20">
        <f>IF($Q2264="","",INDEX(상세표[블록 22~06시],$Q2264))</f>
        <v/>
      </c>
      <c r="O2264">
        <f>IF($Q2264="","",INDEX(상세표[주말·휴일 포함],$Q2264)&amp;"")</f>
        <v/>
      </c>
      <c r="P2264">
        <f>IF($Q2264="","",INDEX(상세표[월 넘김 포함],$Q2264)&amp;"")</f>
        <v/>
      </c>
      <c r="Q2264" s="4">
        <f>IFERROR(MATCH(2259,상세표[연속순번],0),"")</f>
        <v/>
      </c>
    </row>
    <row r="2265">
      <c r="A2265">
        <f>IF($Q2265="","",INDEX(상세표[부서],$Q2265)&amp;"")</f>
        <v/>
      </c>
      <c r="B2265">
        <f>IF($Q2265="","",INDEX(상세표[사번],$Q2265)&amp;"")</f>
        <v/>
      </c>
      <c r="C2265">
        <f>IF($Q2265="","",INDEX(상세표[성명],$Q2265)&amp;"")</f>
        <v/>
      </c>
      <c r="D2265">
        <f>IF($Q2265="","",INDEX(상세표[직위],$Q2265)&amp;"")</f>
        <v/>
      </c>
      <c r="E2265">
        <f>IF($Q2265="","",IF(ISNUMBER(INDEX(상세표[근무일자],$Q2265)),TEXT(INDEX(상세표[근무일자],$Q2265),"yyyy-mm-dd"),INDEX(상세표[근무일자],$Q2265)&amp;""))</f>
        <v/>
      </c>
      <c r="F2265">
        <f>IF($Q2265="","",IF(ISNUMBER(INDEX(상세표[시작],$Q2265)),TEXT(INDEX(상세표[시작],$Q2265),"yyyy-mm-dd hh:mm"),INDEX(상세표[시작],$Q2265)&amp;""))</f>
        <v/>
      </c>
      <c r="G2265">
        <f>IF($Q2265="","",IF(ISNUMBER(INDEX(상세표[블록종료],$Q2265)),TEXT(INDEX(상세표[블록종료],$Q2265),"yyyy-mm-dd hh:mm"),INDEX(상세표[블록종료],$Q2265)&amp;""))</f>
        <v/>
      </c>
      <c r="H2265">
        <f>IF($Q2265="","",CHOOSE(WEEKDAY(INDEX(상세표[시작],$Q2265)),"일","월","화","수","목","금","토"))</f>
        <v/>
      </c>
      <c r="I2265" s="20">
        <f>IF($Q2265="","",INDEX(상세표[연속 시간],$Q2265))</f>
        <v/>
      </c>
      <c r="J2265">
        <f>IF($Q2265="","",INDEX(상세표[기록 수],$Q2265))</f>
        <v/>
      </c>
      <c r="K2265" s="20">
        <f>IF($Q2265="","",INDEX(상세표[블록 06~07시],$Q2265))</f>
        <v/>
      </c>
      <c r="L2265" s="20">
        <f>IF($Q2265="","",INDEX(상세표[블록 07~18시],$Q2265))</f>
        <v/>
      </c>
      <c r="M2265" s="20">
        <f>IF($Q2265="","",INDEX(상세표[블록 18~22시],$Q2265))</f>
        <v/>
      </c>
      <c r="N2265" s="20">
        <f>IF($Q2265="","",INDEX(상세표[블록 22~06시],$Q2265))</f>
        <v/>
      </c>
      <c r="O2265">
        <f>IF($Q2265="","",INDEX(상세표[주말·휴일 포함],$Q2265)&amp;"")</f>
        <v/>
      </c>
      <c r="P2265">
        <f>IF($Q2265="","",INDEX(상세표[월 넘김 포함],$Q2265)&amp;"")</f>
        <v/>
      </c>
      <c r="Q2265" s="4">
        <f>IFERROR(MATCH(2260,상세표[연속순번],0),"")</f>
        <v/>
      </c>
    </row>
    <row r="2266">
      <c r="A2266">
        <f>IF($Q2266="","",INDEX(상세표[부서],$Q2266)&amp;"")</f>
        <v/>
      </c>
      <c r="B2266">
        <f>IF($Q2266="","",INDEX(상세표[사번],$Q2266)&amp;"")</f>
        <v/>
      </c>
      <c r="C2266">
        <f>IF($Q2266="","",INDEX(상세표[성명],$Q2266)&amp;"")</f>
        <v/>
      </c>
      <c r="D2266">
        <f>IF($Q2266="","",INDEX(상세표[직위],$Q2266)&amp;"")</f>
        <v/>
      </c>
      <c r="E2266">
        <f>IF($Q2266="","",IF(ISNUMBER(INDEX(상세표[근무일자],$Q2266)),TEXT(INDEX(상세표[근무일자],$Q2266),"yyyy-mm-dd"),INDEX(상세표[근무일자],$Q2266)&amp;""))</f>
        <v/>
      </c>
      <c r="F2266">
        <f>IF($Q2266="","",IF(ISNUMBER(INDEX(상세표[시작],$Q2266)),TEXT(INDEX(상세표[시작],$Q2266),"yyyy-mm-dd hh:mm"),INDEX(상세표[시작],$Q2266)&amp;""))</f>
        <v/>
      </c>
      <c r="G2266">
        <f>IF($Q2266="","",IF(ISNUMBER(INDEX(상세표[블록종료],$Q2266)),TEXT(INDEX(상세표[블록종료],$Q2266),"yyyy-mm-dd hh:mm"),INDEX(상세표[블록종료],$Q2266)&amp;""))</f>
        <v/>
      </c>
      <c r="H2266">
        <f>IF($Q2266="","",CHOOSE(WEEKDAY(INDEX(상세표[시작],$Q2266)),"일","월","화","수","목","금","토"))</f>
        <v/>
      </c>
      <c r="I2266" s="20">
        <f>IF($Q2266="","",INDEX(상세표[연속 시간],$Q2266))</f>
        <v/>
      </c>
      <c r="J2266">
        <f>IF($Q2266="","",INDEX(상세표[기록 수],$Q2266))</f>
        <v/>
      </c>
      <c r="K2266" s="20">
        <f>IF($Q2266="","",INDEX(상세표[블록 06~07시],$Q2266))</f>
        <v/>
      </c>
      <c r="L2266" s="20">
        <f>IF($Q2266="","",INDEX(상세표[블록 07~18시],$Q2266))</f>
        <v/>
      </c>
      <c r="M2266" s="20">
        <f>IF($Q2266="","",INDEX(상세표[블록 18~22시],$Q2266))</f>
        <v/>
      </c>
      <c r="N2266" s="20">
        <f>IF($Q2266="","",INDEX(상세표[블록 22~06시],$Q2266))</f>
        <v/>
      </c>
      <c r="O2266">
        <f>IF($Q2266="","",INDEX(상세표[주말·휴일 포함],$Q2266)&amp;"")</f>
        <v/>
      </c>
      <c r="P2266">
        <f>IF($Q2266="","",INDEX(상세표[월 넘김 포함],$Q2266)&amp;"")</f>
        <v/>
      </c>
      <c r="Q2266" s="4">
        <f>IFERROR(MATCH(2261,상세표[연속순번],0),"")</f>
        <v/>
      </c>
    </row>
    <row r="2267">
      <c r="A2267">
        <f>IF($Q2267="","",INDEX(상세표[부서],$Q2267)&amp;"")</f>
        <v/>
      </c>
      <c r="B2267">
        <f>IF($Q2267="","",INDEX(상세표[사번],$Q2267)&amp;"")</f>
        <v/>
      </c>
      <c r="C2267">
        <f>IF($Q2267="","",INDEX(상세표[성명],$Q2267)&amp;"")</f>
        <v/>
      </c>
      <c r="D2267">
        <f>IF($Q2267="","",INDEX(상세표[직위],$Q2267)&amp;"")</f>
        <v/>
      </c>
      <c r="E2267">
        <f>IF($Q2267="","",IF(ISNUMBER(INDEX(상세표[근무일자],$Q2267)),TEXT(INDEX(상세표[근무일자],$Q2267),"yyyy-mm-dd"),INDEX(상세표[근무일자],$Q2267)&amp;""))</f>
        <v/>
      </c>
      <c r="F2267">
        <f>IF($Q2267="","",IF(ISNUMBER(INDEX(상세표[시작],$Q2267)),TEXT(INDEX(상세표[시작],$Q2267),"yyyy-mm-dd hh:mm"),INDEX(상세표[시작],$Q2267)&amp;""))</f>
        <v/>
      </c>
      <c r="G2267">
        <f>IF($Q2267="","",IF(ISNUMBER(INDEX(상세표[블록종료],$Q2267)),TEXT(INDEX(상세표[블록종료],$Q2267),"yyyy-mm-dd hh:mm"),INDEX(상세표[블록종료],$Q2267)&amp;""))</f>
        <v/>
      </c>
      <c r="H2267">
        <f>IF($Q2267="","",CHOOSE(WEEKDAY(INDEX(상세표[시작],$Q2267)),"일","월","화","수","목","금","토"))</f>
        <v/>
      </c>
      <c r="I2267" s="20">
        <f>IF($Q2267="","",INDEX(상세표[연속 시간],$Q2267))</f>
        <v/>
      </c>
      <c r="J2267">
        <f>IF($Q2267="","",INDEX(상세표[기록 수],$Q2267))</f>
        <v/>
      </c>
      <c r="K2267" s="20">
        <f>IF($Q2267="","",INDEX(상세표[블록 06~07시],$Q2267))</f>
        <v/>
      </c>
      <c r="L2267" s="20">
        <f>IF($Q2267="","",INDEX(상세표[블록 07~18시],$Q2267))</f>
        <v/>
      </c>
      <c r="M2267" s="20">
        <f>IF($Q2267="","",INDEX(상세표[블록 18~22시],$Q2267))</f>
        <v/>
      </c>
      <c r="N2267" s="20">
        <f>IF($Q2267="","",INDEX(상세표[블록 22~06시],$Q2267))</f>
        <v/>
      </c>
      <c r="O2267">
        <f>IF($Q2267="","",INDEX(상세표[주말·휴일 포함],$Q2267)&amp;"")</f>
        <v/>
      </c>
      <c r="P2267">
        <f>IF($Q2267="","",INDEX(상세표[월 넘김 포함],$Q2267)&amp;"")</f>
        <v/>
      </c>
      <c r="Q2267" s="4">
        <f>IFERROR(MATCH(2262,상세표[연속순번],0),"")</f>
        <v/>
      </c>
    </row>
    <row r="2268">
      <c r="A2268">
        <f>IF($Q2268="","",INDEX(상세표[부서],$Q2268)&amp;"")</f>
        <v/>
      </c>
      <c r="B2268">
        <f>IF($Q2268="","",INDEX(상세표[사번],$Q2268)&amp;"")</f>
        <v/>
      </c>
      <c r="C2268">
        <f>IF($Q2268="","",INDEX(상세표[성명],$Q2268)&amp;"")</f>
        <v/>
      </c>
      <c r="D2268">
        <f>IF($Q2268="","",INDEX(상세표[직위],$Q2268)&amp;"")</f>
        <v/>
      </c>
      <c r="E2268">
        <f>IF($Q2268="","",IF(ISNUMBER(INDEX(상세표[근무일자],$Q2268)),TEXT(INDEX(상세표[근무일자],$Q2268),"yyyy-mm-dd"),INDEX(상세표[근무일자],$Q2268)&amp;""))</f>
        <v/>
      </c>
      <c r="F2268">
        <f>IF($Q2268="","",IF(ISNUMBER(INDEX(상세표[시작],$Q2268)),TEXT(INDEX(상세표[시작],$Q2268),"yyyy-mm-dd hh:mm"),INDEX(상세표[시작],$Q2268)&amp;""))</f>
        <v/>
      </c>
      <c r="G2268">
        <f>IF($Q2268="","",IF(ISNUMBER(INDEX(상세표[블록종료],$Q2268)),TEXT(INDEX(상세표[블록종료],$Q2268),"yyyy-mm-dd hh:mm"),INDEX(상세표[블록종료],$Q2268)&amp;""))</f>
        <v/>
      </c>
      <c r="H2268">
        <f>IF($Q2268="","",CHOOSE(WEEKDAY(INDEX(상세표[시작],$Q2268)),"일","월","화","수","목","금","토"))</f>
        <v/>
      </c>
      <c r="I2268" s="20">
        <f>IF($Q2268="","",INDEX(상세표[연속 시간],$Q2268))</f>
        <v/>
      </c>
      <c r="J2268">
        <f>IF($Q2268="","",INDEX(상세표[기록 수],$Q2268))</f>
        <v/>
      </c>
      <c r="K2268" s="20">
        <f>IF($Q2268="","",INDEX(상세표[블록 06~07시],$Q2268))</f>
        <v/>
      </c>
      <c r="L2268" s="20">
        <f>IF($Q2268="","",INDEX(상세표[블록 07~18시],$Q2268))</f>
        <v/>
      </c>
      <c r="M2268" s="20">
        <f>IF($Q2268="","",INDEX(상세표[블록 18~22시],$Q2268))</f>
        <v/>
      </c>
      <c r="N2268" s="20">
        <f>IF($Q2268="","",INDEX(상세표[블록 22~06시],$Q2268))</f>
        <v/>
      </c>
      <c r="O2268">
        <f>IF($Q2268="","",INDEX(상세표[주말·휴일 포함],$Q2268)&amp;"")</f>
        <v/>
      </c>
      <c r="P2268">
        <f>IF($Q2268="","",INDEX(상세표[월 넘김 포함],$Q2268)&amp;"")</f>
        <v/>
      </c>
      <c r="Q2268" s="4">
        <f>IFERROR(MATCH(2263,상세표[연속순번],0),"")</f>
        <v/>
      </c>
    </row>
    <row r="2269">
      <c r="A2269">
        <f>IF($Q2269="","",INDEX(상세표[부서],$Q2269)&amp;"")</f>
        <v/>
      </c>
      <c r="B2269">
        <f>IF($Q2269="","",INDEX(상세표[사번],$Q2269)&amp;"")</f>
        <v/>
      </c>
      <c r="C2269">
        <f>IF($Q2269="","",INDEX(상세표[성명],$Q2269)&amp;"")</f>
        <v/>
      </c>
      <c r="D2269">
        <f>IF($Q2269="","",INDEX(상세표[직위],$Q2269)&amp;"")</f>
        <v/>
      </c>
      <c r="E2269">
        <f>IF($Q2269="","",IF(ISNUMBER(INDEX(상세표[근무일자],$Q2269)),TEXT(INDEX(상세표[근무일자],$Q2269),"yyyy-mm-dd"),INDEX(상세표[근무일자],$Q2269)&amp;""))</f>
        <v/>
      </c>
      <c r="F2269">
        <f>IF($Q2269="","",IF(ISNUMBER(INDEX(상세표[시작],$Q2269)),TEXT(INDEX(상세표[시작],$Q2269),"yyyy-mm-dd hh:mm"),INDEX(상세표[시작],$Q2269)&amp;""))</f>
        <v/>
      </c>
      <c r="G2269">
        <f>IF($Q2269="","",IF(ISNUMBER(INDEX(상세표[블록종료],$Q2269)),TEXT(INDEX(상세표[블록종료],$Q2269),"yyyy-mm-dd hh:mm"),INDEX(상세표[블록종료],$Q2269)&amp;""))</f>
        <v/>
      </c>
      <c r="H2269">
        <f>IF($Q2269="","",CHOOSE(WEEKDAY(INDEX(상세표[시작],$Q2269)),"일","월","화","수","목","금","토"))</f>
        <v/>
      </c>
      <c r="I2269" s="20">
        <f>IF($Q2269="","",INDEX(상세표[연속 시간],$Q2269))</f>
        <v/>
      </c>
      <c r="J2269">
        <f>IF($Q2269="","",INDEX(상세표[기록 수],$Q2269))</f>
        <v/>
      </c>
      <c r="K2269" s="20">
        <f>IF($Q2269="","",INDEX(상세표[블록 06~07시],$Q2269))</f>
        <v/>
      </c>
      <c r="L2269" s="20">
        <f>IF($Q2269="","",INDEX(상세표[블록 07~18시],$Q2269))</f>
        <v/>
      </c>
      <c r="M2269" s="20">
        <f>IF($Q2269="","",INDEX(상세표[블록 18~22시],$Q2269))</f>
        <v/>
      </c>
      <c r="N2269" s="20">
        <f>IF($Q2269="","",INDEX(상세표[블록 22~06시],$Q2269))</f>
        <v/>
      </c>
      <c r="O2269">
        <f>IF($Q2269="","",INDEX(상세표[주말·휴일 포함],$Q2269)&amp;"")</f>
        <v/>
      </c>
      <c r="P2269">
        <f>IF($Q2269="","",INDEX(상세표[월 넘김 포함],$Q2269)&amp;"")</f>
        <v/>
      </c>
      <c r="Q2269" s="4">
        <f>IFERROR(MATCH(2264,상세표[연속순번],0),"")</f>
        <v/>
      </c>
    </row>
    <row r="2270">
      <c r="A2270">
        <f>IF($Q2270="","",INDEX(상세표[부서],$Q2270)&amp;"")</f>
        <v/>
      </c>
      <c r="B2270">
        <f>IF($Q2270="","",INDEX(상세표[사번],$Q2270)&amp;"")</f>
        <v/>
      </c>
      <c r="C2270">
        <f>IF($Q2270="","",INDEX(상세표[성명],$Q2270)&amp;"")</f>
        <v/>
      </c>
      <c r="D2270">
        <f>IF($Q2270="","",INDEX(상세표[직위],$Q2270)&amp;"")</f>
        <v/>
      </c>
      <c r="E2270">
        <f>IF($Q2270="","",IF(ISNUMBER(INDEX(상세표[근무일자],$Q2270)),TEXT(INDEX(상세표[근무일자],$Q2270),"yyyy-mm-dd"),INDEX(상세표[근무일자],$Q2270)&amp;""))</f>
        <v/>
      </c>
      <c r="F2270">
        <f>IF($Q2270="","",IF(ISNUMBER(INDEX(상세표[시작],$Q2270)),TEXT(INDEX(상세표[시작],$Q2270),"yyyy-mm-dd hh:mm"),INDEX(상세표[시작],$Q2270)&amp;""))</f>
        <v/>
      </c>
      <c r="G2270">
        <f>IF($Q2270="","",IF(ISNUMBER(INDEX(상세표[블록종료],$Q2270)),TEXT(INDEX(상세표[블록종료],$Q2270),"yyyy-mm-dd hh:mm"),INDEX(상세표[블록종료],$Q2270)&amp;""))</f>
        <v/>
      </c>
      <c r="H2270">
        <f>IF($Q2270="","",CHOOSE(WEEKDAY(INDEX(상세표[시작],$Q2270)),"일","월","화","수","목","금","토"))</f>
        <v/>
      </c>
      <c r="I2270" s="20">
        <f>IF($Q2270="","",INDEX(상세표[연속 시간],$Q2270))</f>
        <v/>
      </c>
      <c r="J2270">
        <f>IF($Q2270="","",INDEX(상세표[기록 수],$Q2270))</f>
        <v/>
      </c>
      <c r="K2270" s="20">
        <f>IF($Q2270="","",INDEX(상세표[블록 06~07시],$Q2270))</f>
        <v/>
      </c>
      <c r="L2270" s="20">
        <f>IF($Q2270="","",INDEX(상세표[블록 07~18시],$Q2270))</f>
        <v/>
      </c>
      <c r="M2270" s="20">
        <f>IF($Q2270="","",INDEX(상세표[블록 18~22시],$Q2270))</f>
        <v/>
      </c>
      <c r="N2270" s="20">
        <f>IF($Q2270="","",INDEX(상세표[블록 22~06시],$Q2270))</f>
        <v/>
      </c>
      <c r="O2270">
        <f>IF($Q2270="","",INDEX(상세표[주말·휴일 포함],$Q2270)&amp;"")</f>
        <v/>
      </c>
      <c r="P2270">
        <f>IF($Q2270="","",INDEX(상세표[월 넘김 포함],$Q2270)&amp;"")</f>
        <v/>
      </c>
      <c r="Q2270" s="4">
        <f>IFERROR(MATCH(2265,상세표[연속순번],0),"")</f>
        <v/>
      </c>
    </row>
    <row r="2271">
      <c r="A2271">
        <f>IF($Q2271="","",INDEX(상세표[부서],$Q2271)&amp;"")</f>
        <v/>
      </c>
      <c r="B2271">
        <f>IF($Q2271="","",INDEX(상세표[사번],$Q2271)&amp;"")</f>
        <v/>
      </c>
      <c r="C2271">
        <f>IF($Q2271="","",INDEX(상세표[성명],$Q2271)&amp;"")</f>
        <v/>
      </c>
      <c r="D2271">
        <f>IF($Q2271="","",INDEX(상세표[직위],$Q2271)&amp;"")</f>
        <v/>
      </c>
      <c r="E2271">
        <f>IF($Q2271="","",IF(ISNUMBER(INDEX(상세표[근무일자],$Q2271)),TEXT(INDEX(상세표[근무일자],$Q2271),"yyyy-mm-dd"),INDEX(상세표[근무일자],$Q2271)&amp;""))</f>
        <v/>
      </c>
      <c r="F2271">
        <f>IF($Q2271="","",IF(ISNUMBER(INDEX(상세표[시작],$Q2271)),TEXT(INDEX(상세표[시작],$Q2271),"yyyy-mm-dd hh:mm"),INDEX(상세표[시작],$Q2271)&amp;""))</f>
        <v/>
      </c>
      <c r="G2271">
        <f>IF($Q2271="","",IF(ISNUMBER(INDEX(상세표[블록종료],$Q2271)),TEXT(INDEX(상세표[블록종료],$Q2271),"yyyy-mm-dd hh:mm"),INDEX(상세표[블록종료],$Q2271)&amp;""))</f>
        <v/>
      </c>
      <c r="H2271">
        <f>IF($Q2271="","",CHOOSE(WEEKDAY(INDEX(상세표[시작],$Q2271)),"일","월","화","수","목","금","토"))</f>
        <v/>
      </c>
      <c r="I2271" s="20">
        <f>IF($Q2271="","",INDEX(상세표[연속 시간],$Q2271))</f>
        <v/>
      </c>
      <c r="J2271">
        <f>IF($Q2271="","",INDEX(상세표[기록 수],$Q2271))</f>
        <v/>
      </c>
      <c r="K2271" s="20">
        <f>IF($Q2271="","",INDEX(상세표[블록 06~07시],$Q2271))</f>
        <v/>
      </c>
      <c r="L2271" s="20">
        <f>IF($Q2271="","",INDEX(상세표[블록 07~18시],$Q2271))</f>
        <v/>
      </c>
      <c r="M2271" s="20">
        <f>IF($Q2271="","",INDEX(상세표[블록 18~22시],$Q2271))</f>
        <v/>
      </c>
      <c r="N2271" s="20">
        <f>IF($Q2271="","",INDEX(상세표[블록 22~06시],$Q2271))</f>
        <v/>
      </c>
      <c r="O2271">
        <f>IF($Q2271="","",INDEX(상세표[주말·휴일 포함],$Q2271)&amp;"")</f>
        <v/>
      </c>
      <c r="P2271">
        <f>IF($Q2271="","",INDEX(상세표[월 넘김 포함],$Q2271)&amp;"")</f>
        <v/>
      </c>
      <c r="Q2271" s="4">
        <f>IFERROR(MATCH(2266,상세표[연속순번],0),"")</f>
        <v/>
      </c>
    </row>
    <row r="2272">
      <c r="A2272">
        <f>IF($Q2272="","",INDEX(상세표[부서],$Q2272)&amp;"")</f>
        <v/>
      </c>
      <c r="B2272">
        <f>IF($Q2272="","",INDEX(상세표[사번],$Q2272)&amp;"")</f>
        <v/>
      </c>
      <c r="C2272">
        <f>IF($Q2272="","",INDEX(상세표[성명],$Q2272)&amp;"")</f>
        <v/>
      </c>
      <c r="D2272">
        <f>IF($Q2272="","",INDEX(상세표[직위],$Q2272)&amp;"")</f>
        <v/>
      </c>
      <c r="E2272">
        <f>IF($Q2272="","",IF(ISNUMBER(INDEX(상세표[근무일자],$Q2272)),TEXT(INDEX(상세표[근무일자],$Q2272),"yyyy-mm-dd"),INDEX(상세표[근무일자],$Q2272)&amp;""))</f>
        <v/>
      </c>
      <c r="F2272">
        <f>IF($Q2272="","",IF(ISNUMBER(INDEX(상세표[시작],$Q2272)),TEXT(INDEX(상세표[시작],$Q2272),"yyyy-mm-dd hh:mm"),INDEX(상세표[시작],$Q2272)&amp;""))</f>
        <v/>
      </c>
      <c r="G2272">
        <f>IF($Q2272="","",IF(ISNUMBER(INDEX(상세표[블록종료],$Q2272)),TEXT(INDEX(상세표[블록종료],$Q2272),"yyyy-mm-dd hh:mm"),INDEX(상세표[블록종료],$Q2272)&amp;""))</f>
        <v/>
      </c>
      <c r="H2272">
        <f>IF($Q2272="","",CHOOSE(WEEKDAY(INDEX(상세표[시작],$Q2272)),"일","월","화","수","목","금","토"))</f>
        <v/>
      </c>
      <c r="I2272" s="20">
        <f>IF($Q2272="","",INDEX(상세표[연속 시간],$Q2272))</f>
        <v/>
      </c>
      <c r="J2272">
        <f>IF($Q2272="","",INDEX(상세표[기록 수],$Q2272))</f>
        <v/>
      </c>
      <c r="K2272" s="20">
        <f>IF($Q2272="","",INDEX(상세표[블록 06~07시],$Q2272))</f>
        <v/>
      </c>
      <c r="L2272" s="20">
        <f>IF($Q2272="","",INDEX(상세표[블록 07~18시],$Q2272))</f>
        <v/>
      </c>
      <c r="M2272" s="20">
        <f>IF($Q2272="","",INDEX(상세표[블록 18~22시],$Q2272))</f>
        <v/>
      </c>
      <c r="N2272" s="20">
        <f>IF($Q2272="","",INDEX(상세표[블록 22~06시],$Q2272))</f>
        <v/>
      </c>
      <c r="O2272">
        <f>IF($Q2272="","",INDEX(상세표[주말·휴일 포함],$Q2272)&amp;"")</f>
        <v/>
      </c>
      <c r="P2272">
        <f>IF($Q2272="","",INDEX(상세표[월 넘김 포함],$Q2272)&amp;"")</f>
        <v/>
      </c>
      <c r="Q2272" s="4">
        <f>IFERROR(MATCH(2267,상세표[연속순번],0),"")</f>
        <v/>
      </c>
    </row>
    <row r="2273">
      <c r="A2273">
        <f>IF($Q2273="","",INDEX(상세표[부서],$Q2273)&amp;"")</f>
        <v/>
      </c>
      <c r="B2273">
        <f>IF($Q2273="","",INDEX(상세표[사번],$Q2273)&amp;"")</f>
        <v/>
      </c>
      <c r="C2273">
        <f>IF($Q2273="","",INDEX(상세표[성명],$Q2273)&amp;"")</f>
        <v/>
      </c>
      <c r="D2273">
        <f>IF($Q2273="","",INDEX(상세표[직위],$Q2273)&amp;"")</f>
        <v/>
      </c>
      <c r="E2273">
        <f>IF($Q2273="","",IF(ISNUMBER(INDEX(상세표[근무일자],$Q2273)),TEXT(INDEX(상세표[근무일자],$Q2273),"yyyy-mm-dd"),INDEX(상세표[근무일자],$Q2273)&amp;""))</f>
        <v/>
      </c>
      <c r="F2273">
        <f>IF($Q2273="","",IF(ISNUMBER(INDEX(상세표[시작],$Q2273)),TEXT(INDEX(상세표[시작],$Q2273),"yyyy-mm-dd hh:mm"),INDEX(상세표[시작],$Q2273)&amp;""))</f>
        <v/>
      </c>
      <c r="G2273">
        <f>IF($Q2273="","",IF(ISNUMBER(INDEX(상세표[블록종료],$Q2273)),TEXT(INDEX(상세표[블록종료],$Q2273),"yyyy-mm-dd hh:mm"),INDEX(상세표[블록종료],$Q2273)&amp;""))</f>
        <v/>
      </c>
      <c r="H2273">
        <f>IF($Q2273="","",CHOOSE(WEEKDAY(INDEX(상세표[시작],$Q2273)),"일","월","화","수","목","금","토"))</f>
        <v/>
      </c>
      <c r="I2273" s="20">
        <f>IF($Q2273="","",INDEX(상세표[연속 시간],$Q2273))</f>
        <v/>
      </c>
      <c r="J2273">
        <f>IF($Q2273="","",INDEX(상세표[기록 수],$Q2273))</f>
        <v/>
      </c>
      <c r="K2273" s="20">
        <f>IF($Q2273="","",INDEX(상세표[블록 06~07시],$Q2273))</f>
        <v/>
      </c>
      <c r="L2273" s="20">
        <f>IF($Q2273="","",INDEX(상세표[블록 07~18시],$Q2273))</f>
        <v/>
      </c>
      <c r="M2273" s="20">
        <f>IF($Q2273="","",INDEX(상세표[블록 18~22시],$Q2273))</f>
        <v/>
      </c>
      <c r="N2273" s="20">
        <f>IF($Q2273="","",INDEX(상세표[블록 22~06시],$Q2273))</f>
        <v/>
      </c>
      <c r="O2273">
        <f>IF($Q2273="","",INDEX(상세표[주말·휴일 포함],$Q2273)&amp;"")</f>
        <v/>
      </c>
      <c r="P2273">
        <f>IF($Q2273="","",INDEX(상세표[월 넘김 포함],$Q2273)&amp;"")</f>
        <v/>
      </c>
      <c r="Q2273" s="4">
        <f>IFERROR(MATCH(2268,상세표[연속순번],0),"")</f>
        <v/>
      </c>
    </row>
    <row r="2274">
      <c r="A2274">
        <f>IF($Q2274="","",INDEX(상세표[부서],$Q2274)&amp;"")</f>
        <v/>
      </c>
      <c r="B2274">
        <f>IF($Q2274="","",INDEX(상세표[사번],$Q2274)&amp;"")</f>
        <v/>
      </c>
      <c r="C2274">
        <f>IF($Q2274="","",INDEX(상세표[성명],$Q2274)&amp;"")</f>
        <v/>
      </c>
      <c r="D2274">
        <f>IF($Q2274="","",INDEX(상세표[직위],$Q2274)&amp;"")</f>
        <v/>
      </c>
      <c r="E2274">
        <f>IF($Q2274="","",IF(ISNUMBER(INDEX(상세표[근무일자],$Q2274)),TEXT(INDEX(상세표[근무일자],$Q2274),"yyyy-mm-dd"),INDEX(상세표[근무일자],$Q2274)&amp;""))</f>
        <v/>
      </c>
      <c r="F2274">
        <f>IF($Q2274="","",IF(ISNUMBER(INDEX(상세표[시작],$Q2274)),TEXT(INDEX(상세표[시작],$Q2274),"yyyy-mm-dd hh:mm"),INDEX(상세표[시작],$Q2274)&amp;""))</f>
        <v/>
      </c>
      <c r="G2274">
        <f>IF($Q2274="","",IF(ISNUMBER(INDEX(상세표[블록종료],$Q2274)),TEXT(INDEX(상세표[블록종료],$Q2274),"yyyy-mm-dd hh:mm"),INDEX(상세표[블록종료],$Q2274)&amp;""))</f>
        <v/>
      </c>
      <c r="H2274">
        <f>IF($Q2274="","",CHOOSE(WEEKDAY(INDEX(상세표[시작],$Q2274)),"일","월","화","수","목","금","토"))</f>
        <v/>
      </c>
      <c r="I2274" s="20">
        <f>IF($Q2274="","",INDEX(상세표[연속 시간],$Q2274))</f>
        <v/>
      </c>
      <c r="J2274">
        <f>IF($Q2274="","",INDEX(상세표[기록 수],$Q2274))</f>
        <v/>
      </c>
      <c r="K2274" s="20">
        <f>IF($Q2274="","",INDEX(상세표[블록 06~07시],$Q2274))</f>
        <v/>
      </c>
      <c r="L2274" s="20">
        <f>IF($Q2274="","",INDEX(상세표[블록 07~18시],$Q2274))</f>
        <v/>
      </c>
      <c r="M2274" s="20">
        <f>IF($Q2274="","",INDEX(상세표[블록 18~22시],$Q2274))</f>
        <v/>
      </c>
      <c r="N2274" s="20">
        <f>IF($Q2274="","",INDEX(상세표[블록 22~06시],$Q2274))</f>
        <v/>
      </c>
      <c r="O2274">
        <f>IF($Q2274="","",INDEX(상세표[주말·휴일 포함],$Q2274)&amp;"")</f>
        <v/>
      </c>
      <c r="P2274">
        <f>IF($Q2274="","",INDEX(상세표[월 넘김 포함],$Q2274)&amp;"")</f>
        <v/>
      </c>
      <c r="Q2274" s="4">
        <f>IFERROR(MATCH(2269,상세표[연속순번],0),"")</f>
        <v/>
      </c>
    </row>
    <row r="2275">
      <c r="A2275">
        <f>IF($Q2275="","",INDEX(상세표[부서],$Q2275)&amp;"")</f>
        <v/>
      </c>
      <c r="B2275">
        <f>IF($Q2275="","",INDEX(상세표[사번],$Q2275)&amp;"")</f>
        <v/>
      </c>
      <c r="C2275">
        <f>IF($Q2275="","",INDEX(상세표[성명],$Q2275)&amp;"")</f>
        <v/>
      </c>
      <c r="D2275">
        <f>IF($Q2275="","",INDEX(상세표[직위],$Q2275)&amp;"")</f>
        <v/>
      </c>
      <c r="E2275">
        <f>IF($Q2275="","",IF(ISNUMBER(INDEX(상세표[근무일자],$Q2275)),TEXT(INDEX(상세표[근무일자],$Q2275),"yyyy-mm-dd"),INDEX(상세표[근무일자],$Q2275)&amp;""))</f>
        <v/>
      </c>
      <c r="F2275">
        <f>IF($Q2275="","",IF(ISNUMBER(INDEX(상세표[시작],$Q2275)),TEXT(INDEX(상세표[시작],$Q2275),"yyyy-mm-dd hh:mm"),INDEX(상세표[시작],$Q2275)&amp;""))</f>
        <v/>
      </c>
      <c r="G2275">
        <f>IF($Q2275="","",IF(ISNUMBER(INDEX(상세표[블록종료],$Q2275)),TEXT(INDEX(상세표[블록종료],$Q2275),"yyyy-mm-dd hh:mm"),INDEX(상세표[블록종료],$Q2275)&amp;""))</f>
        <v/>
      </c>
      <c r="H2275">
        <f>IF($Q2275="","",CHOOSE(WEEKDAY(INDEX(상세표[시작],$Q2275)),"일","월","화","수","목","금","토"))</f>
        <v/>
      </c>
      <c r="I2275" s="20">
        <f>IF($Q2275="","",INDEX(상세표[연속 시간],$Q2275))</f>
        <v/>
      </c>
      <c r="J2275">
        <f>IF($Q2275="","",INDEX(상세표[기록 수],$Q2275))</f>
        <v/>
      </c>
      <c r="K2275" s="20">
        <f>IF($Q2275="","",INDEX(상세표[블록 06~07시],$Q2275))</f>
        <v/>
      </c>
      <c r="L2275" s="20">
        <f>IF($Q2275="","",INDEX(상세표[블록 07~18시],$Q2275))</f>
        <v/>
      </c>
      <c r="M2275" s="20">
        <f>IF($Q2275="","",INDEX(상세표[블록 18~22시],$Q2275))</f>
        <v/>
      </c>
      <c r="N2275" s="20">
        <f>IF($Q2275="","",INDEX(상세표[블록 22~06시],$Q2275))</f>
        <v/>
      </c>
      <c r="O2275">
        <f>IF($Q2275="","",INDEX(상세표[주말·휴일 포함],$Q2275)&amp;"")</f>
        <v/>
      </c>
      <c r="P2275">
        <f>IF($Q2275="","",INDEX(상세표[월 넘김 포함],$Q2275)&amp;"")</f>
        <v/>
      </c>
      <c r="Q2275" s="4">
        <f>IFERROR(MATCH(2270,상세표[연속순번],0),"")</f>
        <v/>
      </c>
    </row>
    <row r="2276">
      <c r="A2276">
        <f>IF($Q2276="","",INDEX(상세표[부서],$Q2276)&amp;"")</f>
        <v/>
      </c>
      <c r="B2276">
        <f>IF($Q2276="","",INDEX(상세표[사번],$Q2276)&amp;"")</f>
        <v/>
      </c>
      <c r="C2276">
        <f>IF($Q2276="","",INDEX(상세표[성명],$Q2276)&amp;"")</f>
        <v/>
      </c>
      <c r="D2276">
        <f>IF($Q2276="","",INDEX(상세표[직위],$Q2276)&amp;"")</f>
        <v/>
      </c>
      <c r="E2276">
        <f>IF($Q2276="","",IF(ISNUMBER(INDEX(상세표[근무일자],$Q2276)),TEXT(INDEX(상세표[근무일자],$Q2276),"yyyy-mm-dd"),INDEX(상세표[근무일자],$Q2276)&amp;""))</f>
        <v/>
      </c>
      <c r="F2276">
        <f>IF($Q2276="","",IF(ISNUMBER(INDEX(상세표[시작],$Q2276)),TEXT(INDEX(상세표[시작],$Q2276),"yyyy-mm-dd hh:mm"),INDEX(상세표[시작],$Q2276)&amp;""))</f>
        <v/>
      </c>
      <c r="G2276">
        <f>IF($Q2276="","",IF(ISNUMBER(INDEX(상세표[블록종료],$Q2276)),TEXT(INDEX(상세표[블록종료],$Q2276),"yyyy-mm-dd hh:mm"),INDEX(상세표[블록종료],$Q2276)&amp;""))</f>
        <v/>
      </c>
      <c r="H2276">
        <f>IF($Q2276="","",CHOOSE(WEEKDAY(INDEX(상세표[시작],$Q2276)),"일","월","화","수","목","금","토"))</f>
        <v/>
      </c>
      <c r="I2276" s="20">
        <f>IF($Q2276="","",INDEX(상세표[연속 시간],$Q2276))</f>
        <v/>
      </c>
      <c r="J2276">
        <f>IF($Q2276="","",INDEX(상세표[기록 수],$Q2276))</f>
        <v/>
      </c>
      <c r="K2276" s="20">
        <f>IF($Q2276="","",INDEX(상세표[블록 06~07시],$Q2276))</f>
        <v/>
      </c>
      <c r="L2276" s="20">
        <f>IF($Q2276="","",INDEX(상세표[블록 07~18시],$Q2276))</f>
        <v/>
      </c>
      <c r="M2276" s="20">
        <f>IF($Q2276="","",INDEX(상세표[블록 18~22시],$Q2276))</f>
        <v/>
      </c>
      <c r="N2276" s="20">
        <f>IF($Q2276="","",INDEX(상세표[블록 22~06시],$Q2276))</f>
        <v/>
      </c>
      <c r="O2276">
        <f>IF($Q2276="","",INDEX(상세표[주말·휴일 포함],$Q2276)&amp;"")</f>
        <v/>
      </c>
      <c r="P2276">
        <f>IF($Q2276="","",INDEX(상세표[월 넘김 포함],$Q2276)&amp;"")</f>
        <v/>
      </c>
      <c r="Q2276" s="4">
        <f>IFERROR(MATCH(2271,상세표[연속순번],0),"")</f>
        <v/>
      </c>
    </row>
    <row r="2277">
      <c r="A2277">
        <f>IF($Q2277="","",INDEX(상세표[부서],$Q2277)&amp;"")</f>
        <v/>
      </c>
      <c r="B2277">
        <f>IF($Q2277="","",INDEX(상세표[사번],$Q2277)&amp;"")</f>
        <v/>
      </c>
      <c r="C2277">
        <f>IF($Q2277="","",INDEX(상세표[성명],$Q2277)&amp;"")</f>
        <v/>
      </c>
      <c r="D2277">
        <f>IF($Q2277="","",INDEX(상세표[직위],$Q2277)&amp;"")</f>
        <v/>
      </c>
      <c r="E2277">
        <f>IF($Q2277="","",IF(ISNUMBER(INDEX(상세표[근무일자],$Q2277)),TEXT(INDEX(상세표[근무일자],$Q2277),"yyyy-mm-dd"),INDEX(상세표[근무일자],$Q2277)&amp;""))</f>
        <v/>
      </c>
      <c r="F2277">
        <f>IF($Q2277="","",IF(ISNUMBER(INDEX(상세표[시작],$Q2277)),TEXT(INDEX(상세표[시작],$Q2277),"yyyy-mm-dd hh:mm"),INDEX(상세표[시작],$Q2277)&amp;""))</f>
        <v/>
      </c>
      <c r="G2277">
        <f>IF($Q2277="","",IF(ISNUMBER(INDEX(상세표[블록종료],$Q2277)),TEXT(INDEX(상세표[블록종료],$Q2277),"yyyy-mm-dd hh:mm"),INDEX(상세표[블록종료],$Q2277)&amp;""))</f>
        <v/>
      </c>
      <c r="H2277">
        <f>IF($Q2277="","",CHOOSE(WEEKDAY(INDEX(상세표[시작],$Q2277)),"일","월","화","수","목","금","토"))</f>
        <v/>
      </c>
      <c r="I2277" s="20">
        <f>IF($Q2277="","",INDEX(상세표[연속 시간],$Q2277))</f>
        <v/>
      </c>
      <c r="J2277">
        <f>IF($Q2277="","",INDEX(상세표[기록 수],$Q2277))</f>
        <v/>
      </c>
      <c r="K2277" s="20">
        <f>IF($Q2277="","",INDEX(상세표[블록 06~07시],$Q2277))</f>
        <v/>
      </c>
      <c r="L2277" s="20">
        <f>IF($Q2277="","",INDEX(상세표[블록 07~18시],$Q2277))</f>
        <v/>
      </c>
      <c r="M2277" s="20">
        <f>IF($Q2277="","",INDEX(상세표[블록 18~22시],$Q2277))</f>
        <v/>
      </c>
      <c r="N2277" s="20">
        <f>IF($Q2277="","",INDEX(상세표[블록 22~06시],$Q2277))</f>
        <v/>
      </c>
      <c r="O2277">
        <f>IF($Q2277="","",INDEX(상세표[주말·휴일 포함],$Q2277)&amp;"")</f>
        <v/>
      </c>
      <c r="P2277">
        <f>IF($Q2277="","",INDEX(상세표[월 넘김 포함],$Q2277)&amp;"")</f>
        <v/>
      </c>
      <c r="Q2277" s="4">
        <f>IFERROR(MATCH(2272,상세표[연속순번],0),"")</f>
        <v/>
      </c>
    </row>
    <row r="2278">
      <c r="A2278">
        <f>IF($Q2278="","",INDEX(상세표[부서],$Q2278)&amp;"")</f>
        <v/>
      </c>
      <c r="B2278">
        <f>IF($Q2278="","",INDEX(상세표[사번],$Q2278)&amp;"")</f>
        <v/>
      </c>
      <c r="C2278">
        <f>IF($Q2278="","",INDEX(상세표[성명],$Q2278)&amp;"")</f>
        <v/>
      </c>
      <c r="D2278">
        <f>IF($Q2278="","",INDEX(상세표[직위],$Q2278)&amp;"")</f>
        <v/>
      </c>
      <c r="E2278">
        <f>IF($Q2278="","",IF(ISNUMBER(INDEX(상세표[근무일자],$Q2278)),TEXT(INDEX(상세표[근무일자],$Q2278),"yyyy-mm-dd"),INDEX(상세표[근무일자],$Q2278)&amp;""))</f>
        <v/>
      </c>
      <c r="F2278">
        <f>IF($Q2278="","",IF(ISNUMBER(INDEX(상세표[시작],$Q2278)),TEXT(INDEX(상세표[시작],$Q2278),"yyyy-mm-dd hh:mm"),INDEX(상세표[시작],$Q2278)&amp;""))</f>
        <v/>
      </c>
      <c r="G2278">
        <f>IF($Q2278="","",IF(ISNUMBER(INDEX(상세표[블록종료],$Q2278)),TEXT(INDEX(상세표[블록종료],$Q2278),"yyyy-mm-dd hh:mm"),INDEX(상세표[블록종료],$Q2278)&amp;""))</f>
        <v/>
      </c>
      <c r="H2278">
        <f>IF($Q2278="","",CHOOSE(WEEKDAY(INDEX(상세표[시작],$Q2278)),"일","월","화","수","목","금","토"))</f>
        <v/>
      </c>
      <c r="I2278" s="20">
        <f>IF($Q2278="","",INDEX(상세표[연속 시간],$Q2278))</f>
        <v/>
      </c>
      <c r="J2278">
        <f>IF($Q2278="","",INDEX(상세표[기록 수],$Q2278))</f>
        <v/>
      </c>
      <c r="K2278" s="20">
        <f>IF($Q2278="","",INDEX(상세표[블록 06~07시],$Q2278))</f>
        <v/>
      </c>
      <c r="L2278" s="20">
        <f>IF($Q2278="","",INDEX(상세표[블록 07~18시],$Q2278))</f>
        <v/>
      </c>
      <c r="M2278" s="20">
        <f>IF($Q2278="","",INDEX(상세표[블록 18~22시],$Q2278))</f>
        <v/>
      </c>
      <c r="N2278" s="20">
        <f>IF($Q2278="","",INDEX(상세표[블록 22~06시],$Q2278))</f>
        <v/>
      </c>
      <c r="O2278">
        <f>IF($Q2278="","",INDEX(상세표[주말·휴일 포함],$Q2278)&amp;"")</f>
        <v/>
      </c>
      <c r="P2278">
        <f>IF($Q2278="","",INDEX(상세표[월 넘김 포함],$Q2278)&amp;"")</f>
        <v/>
      </c>
      <c r="Q2278" s="4">
        <f>IFERROR(MATCH(2273,상세표[연속순번],0),"")</f>
        <v/>
      </c>
    </row>
    <row r="2279">
      <c r="A2279">
        <f>IF($Q2279="","",INDEX(상세표[부서],$Q2279)&amp;"")</f>
        <v/>
      </c>
      <c r="B2279">
        <f>IF($Q2279="","",INDEX(상세표[사번],$Q2279)&amp;"")</f>
        <v/>
      </c>
      <c r="C2279">
        <f>IF($Q2279="","",INDEX(상세표[성명],$Q2279)&amp;"")</f>
        <v/>
      </c>
      <c r="D2279">
        <f>IF($Q2279="","",INDEX(상세표[직위],$Q2279)&amp;"")</f>
        <v/>
      </c>
      <c r="E2279">
        <f>IF($Q2279="","",IF(ISNUMBER(INDEX(상세표[근무일자],$Q2279)),TEXT(INDEX(상세표[근무일자],$Q2279),"yyyy-mm-dd"),INDEX(상세표[근무일자],$Q2279)&amp;""))</f>
        <v/>
      </c>
      <c r="F2279">
        <f>IF($Q2279="","",IF(ISNUMBER(INDEX(상세표[시작],$Q2279)),TEXT(INDEX(상세표[시작],$Q2279),"yyyy-mm-dd hh:mm"),INDEX(상세표[시작],$Q2279)&amp;""))</f>
        <v/>
      </c>
      <c r="G2279">
        <f>IF($Q2279="","",IF(ISNUMBER(INDEX(상세표[블록종료],$Q2279)),TEXT(INDEX(상세표[블록종료],$Q2279),"yyyy-mm-dd hh:mm"),INDEX(상세표[블록종료],$Q2279)&amp;""))</f>
        <v/>
      </c>
      <c r="H2279">
        <f>IF($Q2279="","",CHOOSE(WEEKDAY(INDEX(상세표[시작],$Q2279)),"일","월","화","수","목","금","토"))</f>
        <v/>
      </c>
      <c r="I2279" s="20">
        <f>IF($Q2279="","",INDEX(상세표[연속 시간],$Q2279))</f>
        <v/>
      </c>
      <c r="J2279">
        <f>IF($Q2279="","",INDEX(상세표[기록 수],$Q2279))</f>
        <v/>
      </c>
      <c r="K2279" s="20">
        <f>IF($Q2279="","",INDEX(상세표[블록 06~07시],$Q2279))</f>
        <v/>
      </c>
      <c r="L2279" s="20">
        <f>IF($Q2279="","",INDEX(상세표[블록 07~18시],$Q2279))</f>
        <v/>
      </c>
      <c r="M2279" s="20">
        <f>IF($Q2279="","",INDEX(상세표[블록 18~22시],$Q2279))</f>
        <v/>
      </c>
      <c r="N2279" s="20">
        <f>IF($Q2279="","",INDEX(상세표[블록 22~06시],$Q2279))</f>
        <v/>
      </c>
      <c r="O2279">
        <f>IF($Q2279="","",INDEX(상세표[주말·휴일 포함],$Q2279)&amp;"")</f>
        <v/>
      </c>
      <c r="P2279">
        <f>IF($Q2279="","",INDEX(상세표[월 넘김 포함],$Q2279)&amp;"")</f>
        <v/>
      </c>
      <c r="Q2279" s="4">
        <f>IFERROR(MATCH(2274,상세표[연속순번],0),"")</f>
        <v/>
      </c>
    </row>
    <row r="2280">
      <c r="A2280">
        <f>IF($Q2280="","",INDEX(상세표[부서],$Q2280)&amp;"")</f>
        <v/>
      </c>
      <c r="B2280">
        <f>IF($Q2280="","",INDEX(상세표[사번],$Q2280)&amp;"")</f>
        <v/>
      </c>
      <c r="C2280">
        <f>IF($Q2280="","",INDEX(상세표[성명],$Q2280)&amp;"")</f>
        <v/>
      </c>
      <c r="D2280">
        <f>IF($Q2280="","",INDEX(상세표[직위],$Q2280)&amp;"")</f>
        <v/>
      </c>
      <c r="E2280">
        <f>IF($Q2280="","",IF(ISNUMBER(INDEX(상세표[근무일자],$Q2280)),TEXT(INDEX(상세표[근무일자],$Q2280),"yyyy-mm-dd"),INDEX(상세표[근무일자],$Q2280)&amp;""))</f>
        <v/>
      </c>
      <c r="F2280">
        <f>IF($Q2280="","",IF(ISNUMBER(INDEX(상세표[시작],$Q2280)),TEXT(INDEX(상세표[시작],$Q2280),"yyyy-mm-dd hh:mm"),INDEX(상세표[시작],$Q2280)&amp;""))</f>
        <v/>
      </c>
      <c r="G2280">
        <f>IF($Q2280="","",IF(ISNUMBER(INDEX(상세표[블록종료],$Q2280)),TEXT(INDEX(상세표[블록종료],$Q2280),"yyyy-mm-dd hh:mm"),INDEX(상세표[블록종료],$Q2280)&amp;""))</f>
        <v/>
      </c>
      <c r="H2280">
        <f>IF($Q2280="","",CHOOSE(WEEKDAY(INDEX(상세표[시작],$Q2280)),"일","월","화","수","목","금","토"))</f>
        <v/>
      </c>
      <c r="I2280" s="20">
        <f>IF($Q2280="","",INDEX(상세표[연속 시간],$Q2280))</f>
        <v/>
      </c>
      <c r="J2280">
        <f>IF($Q2280="","",INDEX(상세표[기록 수],$Q2280))</f>
        <v/>
      </c>
      <c r="K2280" s="20">
        <f>IF($Q2280="","",INDEX(상세표[블록 06~07시],$Q2280))</f>
        <v/>
      </c>
      <c r="L2280" s="20">
        <f>IF($Q2280="","",INDEX(상세표[블록 07~18시],$Q2280))</f>
        <v/>
      </c>
      <c r="M2280" s="20">
        <f>IF($Q2280="","",INDEX(상세표[블록 18~22시],$Q2280))</f>
        <v/>
      </c>
      <c r="N2280" s="20">
        <f>IF($Q2280="","",INDEX(상세표[블록 22~06시],$Q2280))</f>
        <v/>
      </c>
      <c r="O2280">
        <f>IF($Q2280="","",INDEX(상세표[주말·휴일 포함],$Q2280)&amp;"")</f>
        <v/>
      </c>
      <c r="P2280">
        <f>IF($Q2280="","",INDEX(상세표[월 넘김 포함],$Q2280)&amp;"")</f>
        <v/>
      </c>
      <c r="Q2280" s="4">
        <f>IFERROR(MATCH(2275,상세표[연속순번],0),"")</f>
        <v/>
      </c>
    </row>
    <row r="2281">
      <c r="A2281">
        <f>IF($Q2281="","",INDEX(상세표[부서],$Q2281)&amp;"")</f>
        <v/>
      </c>
      <c r="B2281">
        <f>IF($Q2281="","",INDEX(상세표[사번],$Q2281)&amp;"")</f>
        <v/>
      </c>
      <c r="C2281">
        <f>IF($Q2281="","",INDEX(상세표[성명],$Q2281)&amp;"")</f>
        <v/>
      </c>
      <c r="D2281">
        <f>IF($Q2281="","",INDEX(상세표[직위],$Q2281)&amp;"")</f>
        <v/>
      </c>
      <c r="E2281">
        <f>IF($Q2281="","",IF(ISNUMBER(INDEX(상세표[근무일자],$Q2281)),TEXT(INDEX(상세표[근무일자],$Q2281),"yyyy-mm-dd"),INDEX(상세표[근무일자],$Q2281)&amp;""))</f>
        <v/>
      </c>
      <c r="F2281">
        <f>IF($Q2281="","",IF(ISNUMBER(INDEX(상세표[시작],$Q2281)),TEXT(INDEX(상세표[시작],$Q2281),"yyyy-mm-dd hh:mm"),INDEX(상세표[시작],$Q2281)&amp;""))</f>
        <v/>
      </c>
      <c r="G2281">
        <f>IF($Q2281="","",IF(ISNUMBER(INDEX(상세표[블록종료],$Q2281)),TEXT(INDEX(상세표[블록종료],$Q2281),"yyyy-mm-dd hh:mm"),INDEX(상세표[블록종료],$Q2281)&amp;""))</f>
        <v/>
      </c>
      <c r="H2281">
        <f>IF($Q2281="","",CHOOSE(WEEKDAY(INDEX(상세표[시작],$Q2281)),"일","월","화","수","목","금","토"))</f>
        <v/>
      </c>
      <c r="I2281" s="20">
        <f>IF($Q2281="","",INDEX(상세표[연속 시간],$Q2281))</f>
        <v/>
      </c>
      <c r="J2281">
        <f>IF($Q2281="","",INDEX(상세표[기록 수],$Q2281))</f>
        <v/>
      </c>
      <c r="K2281" s="20">
        <f>IF($Q2281="","",INDEX(상세표[블록 06~07시],$Q2281))</f>
        <v/>
      </c>
      <c r="L2281" s="20">
        <f>IF($Q2281="","",INDEX(상세표[블록 07~18시],$Q2281))</f>
        <v/>
      </c>
      <c r="M2281" s="20">
        <f>IF($Q2281="","",INDEX(상세표[블록 18~22시],$Q2281))</f>
        <v/>
      </c>
      <c r="N2281" s="20">
        <f>IF($Q2281="","",INDEX(상세표[블록 22~06시],$Q2281))</f>
        <v/>
      </c>
      <c r="O2281">
        <f>IF($Q2281="","",INDEX(상세표[주말·휴일 포함],$Q2281)&amp;"")</f>
        <v/>
      </c>
      <c r="P2281">
        <f>IF($Q2281="","",INDEX(상세표[월 넘김 포함],$Q2281)&amp;"")</f>
        <v/>
      </c>
      <c r="Q2281" s="4">
        <f>IFERROR(MATCH(2276,상세표[연속순번],0),"")</f>
        <v/>
      </c>
    </row>
    <row r="2282">
      <c r="A2282">
        <f>IF($Q2282="","",INDEX(상세표[부서],$Q2282)&amp;"")</f>
        <v/>
      </c>
      <c r="B2282">
        <f>IF($Q2282="","",INDEX(상세표[사번],$Q2282)&amp;"")</f>
        <v/>
      </c>
      <c r="C2282">
        <f>IF($Q2282="","",INDEX(상세표[성명],$Q2282)&amp;"")</f>
        <v/>
      </c>
      <c r="D2282">
        <f>IF($Q2282="","",INDEX(상세표[직위],$Q2282)&amp;"")</f>
        <v/>
      </c>
      <c r="E2282">
        <f>IF($Q2282="","",IF(ISNUMBER(INDEX(상세표[근무일자],$Q2282)),TEXT(INDEX(상세표[근무일자],$Q2282),"yyyy-mm-dd"),INDEX(상세표[근무일자],$Q2282)&amp;""))</f>
        <v/>
      </c>
      <c r="F2282">
        <f>IF($Q2282="","",IF(ISNUMBER(INDEX(상세표[시작],$Q2282)),TEXT(INDEX(상세표[시작],$Q2282),"yyyy-mm-dd hh:mm"),INDEX(상세표[시작],$Q2282)&amp;""))</f>
        <v/>
      </c>
      <c r="G2282">
        <f>IF($Q2282="","",IF(ISNUMBER(INDEX(상세표[블록종료],$Q2282)),TEXT(INDEX(상세표[블록종료],$Q2282),"yyyy-mm-dd hh:mm"),INDEX(상세표[블록종료],$Q2282)&amp;""))</f>
        <v/>
      </c>
      <c r="H2282">
        <f>IF($Q2282="","",CHOOSE(WEEKDAY(INDEX(상세표[시작],$Q2282)),"일","월","화","수","목","금","토"))</f>
        <v/>
      </c>
      <c r="I2282" s="20">
        <f>IF($Q2282="","",INDEX(상세표[연속 시간],$Q2282))</f>
        <v/>
      </c>
      <c r="J2282">
        <f>IF($Q2282="","",INDEX(상세표[기록 수],$Q2282))</f>
        <v/>
      </c>
      <c r="K2282" s="20">
        <f>IF($Q2282="","",INDEX(상세표[블록 06~07시],$Q2282))</f>
        <v/>
      </c>
      <c r="L2282" s="20">
        <f>IF($Q2282="","",INDEX(상세표[블록 07~18시],$Q2282))</f>
        <v/>
      </c>
      <c r="M2282" s="20">
        <f>IF($Q2282="","",INDEX(상세표[블록 18~22시],$Q2282))</f>
        <v/>
      </c>
      <c r="N2282" s="20">
        <f>IF($Q2282="","",INDEX(상세표[블록 22~06시],$Q2282))</f>
        <v/>
      </c>
      <c r="O2282">
        <f>IF($Q2282="","",INDEX(상세표[주말·휴일 포함],$Q2282)&amp;"")</f>
        <v/>
      </c>
      <c r="P2282">
        <f>IF($Q2282="","",INDEX(상세표[월 넘김 포함],$Q2282)&amp;"")</f>
        <v/>
      </c>
      <c r="Q2282" s="4">
        <f>IFERROR(MATCH(2277,상세표[연속순번],0),"")</f>
        <v/>
      </c>
    </row>
    <row r="2283">
      <c r="A2283">
        <f>IF($Q2283="","",INDEX(상세표[부서],$Q2283)&amp;"")</f>
        <v/>
      </c>
      <c r="B2283">
        <f>IF($Q2283="","",INDEX(상세표[사번],$Q2283)&amp;"")</f>
        <v/>
      </c>
      <c r="C2283">
        <f>IF($Q2283="","",INDEX(상세표[성명],$Q2283)&amp;"")</f>
        <v/>
      </c>
      <c r="D2283">
        <f>IF($Q2283="","",INDEX(상세표[직위],$Q2283)&amp;"")</f>
        <v/>
      </c>
      <c r="E2283">
        <f>IF($Q2283="","",IF(ISNUMBER(INDEX(상세표[근무일자],$Q2283)),TEXT(INDEX(상세표[근무일자],$Q2283),"yyyy-mm-dd"),INDEX(상세표[근무일자],$Q2283)&amp;""))</f>
        <v/>
      </c>
      <c r="F2283">
        <f>IF($Q2283="","",IF(ISNUMBER(INDEX(상세표[시작],$Q2283)),TEXT(INDEX(상세표[시작],$Q2283),"yyyy-mm-dd hh:mm"),INDEX(상세표[시작],$Q2283)&amp;""))</f>
        <v/>
      </c>
      <c r="G2283">
        <f>IF($Q2283="","",IF(ISNUMBER(INDEX(상세표[블록종료],$Q2283)),TEXT(INDEX(상세표[블록종료],$Q2283),"yyyy-mm-dd hh:mm"),INDEX(상세표[블록종료],$Q2283)&amp;""))</f>
        <v/>
      </c>
      <c r="H2283">
        <f>IF($Q2283="","",CHOOSE(WEEKDAY(INDEX(상세표[시작],$Q2283)),"일","월","화","수","목","금","토"))</f>
        <v/>
      </c>
      <c r="I2283" s="20">
        <f>IF($Q2283="","",INDEX(상세표[연속 시간],$Q2283))</f>
        <v/>
      </c>
      <c r="J2283">
        <f>IF($Q2283="","",INDEX(상세표[기록 수],$Q2283))</f>
        <v/>
      </c>
      <c r="K2283" s="20">
        <f>IF($Q2283="","",INDEX(상세표[블록 06~07시],$Q2283))</f>
        <v/>
      </c>
      <c r="L2283" s="20">
        <f>IF($Q2283="","",INDEX(상세표[블록 07~18시],$Q2283))</f>
        <v/>
      </c>
      <c r="M2283" s="20">
        <f>IF($Q2283="","",INDEX(상세표[블록 18~22시],$Q2283))</f>
        <v/>
      </c>
      <c r="N2283" s="20">
        <f>IF($Q2283="","",INDEX(상세표[블록 22~06시],$Q2283))</f>
        <v/>
      </c>
      <c r="O2283">
        <f>IF($Q2283="","",INDEX(상세표[주말·휴일 포함],$Q2283)&amp;"")</f>
        <v/>
      </c>
      <c r="P2283">
        <f>IF($Q2283="","",INDEX(상세표[월 넘김 포함],$Q2283)&amp;"")</f>
        <v/>
      </c>
      <c r="Q2283" s="4">
        <f>IFERROR(MATCH(2278,상세표[연속순번],0),"")</f>
        <v/>
      </c>
    </row>
    <row r="2284">
      <c r="A2284">
        <f>IF($Q2284="","",INDEX(상세표[부서],$Q2284)&amp;"")</f>
        <v/>
      </c>
      <c r="B2284">
        <f>IF($Q2284="","",INDEX(상세표[사번],$Q2284)&amp;"")</f>
        <v/>
      </c>
      <c r="C2284">
        <f>IF($Q2284="","",INDEX(상세표[성명],$Q2284)&amp;"")</f>
        <v/>
      </c>
      <c r="D2284">
        <f>IF($Q2284="","",INDEX(상세표[직위],$Q2284)&amp;"")</f>
        <v/>
      </c>
      <c r="E2284">
        <f>IF($Q2284="","",IF(ISNUMBER(INDEX(상세표[근무일자],$Q2284)),TEXT(INDEX(상세표[근무일자],$Q2284),"yyyy-mm-dd"),INDEX(상세표[근무일자],$Q2284)&amp;""))</f>
        <v/>
      </c>
      <c r="F2284">
        <f>IF($Q2284="","",IF(ISNUMBER(INDEX(상세표[시작],$Q2284)),TEXT(INDEX(상세표[시작],$Q2284),"yyyy-mm-dd hh:mm"),INDEX(상세표[시작],$Q2284)&amp;""))</f>
        <v/>
      </c>
      <c r="G2284">
        <f>IF($Q2284="","",IF(ISNUMBER(INDEX(상세표[블록종료],$Q2284)),TEXT(INDEX(상세표[블록종료],$Q2284),"yyyy-mm-dd hh:mm"),INDEX(상세표[블록종료],$Q2284)&amp;""))</f>
        <v/>
      </c>
      <c r="H2284">
        <f>IF($Q2284="","",CHOOSE(WEEKDAY(INDEX(상세표[시작],$Q2284)),"일","월","화","수","목","금","토"))</f>
        <v/>
      </c>
      <c r="I2284" s="20">
        <f>IF($Q2284="","",INDEX(상세표[연속 시간],$Q2284))</f>
        <v/>
      </c>
      <c r="J2284">
        <f>IF($Q2284="","",INDEX(상세표[기록 수],$Q2284))</f>
        <v/>
      </c>
      <c r="K2284" s="20">
        <f>IF($Q2284="","",INDEX(상세표[블록 06~07시],$Q2284))</f>
        <v/>
      </c>
      <c r="L2284" s="20">
        <f>IF($Q2284="","",INDEX(상세표[블록 07~18시],$Q2284))</f>
        <v/>
      </c>
      <c r="M2284" s="20">
        <f>IF($Q2284="","",INDEX(상세표[블록 18~22시],$Q2284))</f>
        <v/>
      </c>
      <c r="N2284" s="20">
        <f>IF($Q2284="","",INDEX(상세표[블록 22~06시],$Q2284))</f>
        <v/>
      </c>
      <c r="O2284">
        <f>IF($Q2284="","",INDEX(상세표[주말·휴일 포함],$Q2284)&amp;"")</f>
        <v/>
      </c>
      <c r="P2284">
        <f>IF($Q2284="","",INDEX(상세표[월 넘김 포함],$Q2284)&amp;"")</f>
        <v/>
      </c>
      <c r="Q2284" s="4">
        <f>IFERROR(MATCH(2279,상세표[연속순번],0),"")</f>
        <v/>
      </c>
    </row>
    <row r="2285">
      <c r="A2285">
        <f>IF($Q2285="","",INDEX(상세표[부서],$Q2285)&amp;"")</f>
        <v/>
      </c>
      <c r="B2285">
        <f>IF($Q2285="","",INDEX(상세표[사번],$Q2285)&amp;"")</f>
        <v/>
      </c>
      <c r="C2285">
        <f>IF($Q2285="","",INDEX(상세표[성명],$Q2285)&amp;"")</f>
        <v/>
      </c>
      <c r="D2285">
        <f>IF($Q2285="","",INDEX(상세표[직위],$Q2285)&amp;"")</f>
        <v/>
      </c>
      <c r="E2285">
        <f>IF($Q2285="","",IF(ISNUMBER(INDEX(상세표[근무일자],$Q2285)),TEXT(INDEX(상세표[근무일자],$Q2285),"yyyy-mm-dd"),INDEX(상세표[근무일자],$Q2285)&amp;""))</f>
        <v/>
      </c>
      <c r="F2285">
        <f>IF($Q2285="","",IF(ISNUMBER(INDEX(상세표[시작],$Q2285)),TEXT(INDEX(상세표[시작],$Q2285),"yyyy-mm-dd hh:mm"),INDEX(상세표[시작],$Q2285)&amp;""))</f>
        <v/>
      </c>
      <c r="G2285">
        <f>IF($Q2285="","",IF(ISNUMBER(INDEX(상세표[블록종료],$Q2285)),TEXT(INDEX(상세표[블록종료],$Q2285),"yyyy-mm-dd hh:mm"),INDEX(상세표[블록종료],$Q2285)&amp;""))</f>
        <v/>
      </c>
      <c r="H2285">
        <f>IF($Q2285="","",CHOOSE(WEEKDAY(INDEX(상세표[시작],$Q2285)),"일","월","화","수","목","금","토"))</f>
        <v/>
      </c>
      <c r="I2285" s="20">
        <f>IF($Q2285="","",INDEX(상세표[연속 시간],$Q2285))</f>
        <v/>
      </c>
      <c r="J2285">
        <f>IF($Q2285="","",INDEX(상세표[기록 수],$Q2285))</f>
        <v/>
      </c>
      <c r="K2285" s="20">
        <f>IF($Q2285="","",INDEX(상세표[블록 06~07시],$Q2285))</f>
        <v/>
      </c>
      <c r="L2285" s="20">
        <f>IF($Q2285="","",INDEX(상세표[블록 07~18시],$Q2285))</f>
        <v/>
      </c>
      <c r="M2285" s="20">
        <f>IF($Q2285="","",INDEX(상세표[블록 18~22시],$Q2285))</f>
        <v/>
      </c>
      <c r="N2285" s="20">
        <f>IF($Q2285="","",INDEX(상세표[블록 22~06시],$Q2285))</f>
        <v/>
      </c>
      <c r="O2285">
        <f>IF($Q2285="","",INDEX(상세표[주말·휴일 포함],$Q2285)&amp;"")</f>
        <v/>
      </c>
      <c r="P2285">
        <f>IF($Q2285="","",INDEX(상세표[월 넘김 포함],$Q2285)&amp;"")</f>
        <v/>
      </c>
      <c r="Q2285" s="4">
        <f>IFERROR(MATCH(2280,상세표[연속순번],0),"")</f>
        <v/>
      </c>
    </row>
    <row r="2286">
      <c r="A2286">
        <f>IF($Q2286="","",INDEX(상세표[부서],$Q2286)&amp;"")</f>
        <v/>
      </c>
      <c r="B2286">
        <f>IF($Q2286="","",INDEX(상세표[사번],$Q2286)&amp;"")</f>
        <v/>
      </c>
      <c r="C2286">
        <f>IF($Q2286="","",INDEX(상세표[성명],$Q2286)&amp;"")</f>
        <v/>
      </c>
      <c r="D2286">
        <f>IF($Q2286="","",INDEX(상세표[직위],$Q2286)&amp;"")</f>
        <v/>
      </c>
      <c r="E2286">
        <f>IF($Q2286="","",IF(ISNUMBER(INDEX(상세표[근무일자],$Q2286)),TEXT(INDEX(상세표[근무일자],$Q2286),"yyyy-mm-dd"),INDEX(상세표[근무일자],$Q2286)&amp;""))</f>
        <v/>
      </c>
      <c r="F2286">
        <f>IF($Q2286="","",IF(ISNUMBER(INDEX(상세표[시작],$Q2286)),TEXT(INDEX(상세표[시작],$Q2286),"yyyy-mm-dd hh:mm"),INDEX(상세표[시작],$Q2286)&amp;""))</f>
        <v/>
      </c>
      <c r="G2286">
        <f>IF($Q2286="","",IF(ISNUMBER(INDEX(상세표[블록종료],$Q2286)),TEXT(INDEX(상세표[블록종료],$Q2286),"yyyy-mm-dd hh:mm"),INDEX(상세표[블록종료],$Q2286)&amp;""))</f>
        <v/>
      </c>
      <c r="H2286">
        <f>IF($Q2286="","",CHOOSE(WEEKDAY(INDEX(상세표[시작],$Q2286)),"일","월","화","수","목","금","토"))</f>
        <v/>
      </c>
      <c r="I2286" s="20">
        <f>IF($Q2286="","",INDEX(상세표[연속 시간],$Q2286))</f>
        <v/>
      </c>
      <c r="J2286">
        <f>IF($Q2286="","",INDEX(상세표[기록 수],$Q2286))</f>
        <v/>
      </c>
      <c r="K2286" s="20">
        <f>IF($Q2286="","",INDEX(상세표[블록 06~07시],$Q2286))</f>
        <v/>
      </c>
      <c r="L2286" s="20">
        <f>IF($Q2286="","",INDEX(상세표[블록 07~18시],$Q2286))</f>
        <v/>
      </c>
      <c r="M2286" s="20">
        <f>IF($Q2286="","",INDEX(상세표[블록 18~22시],$Q2286))</f>
        <v/>
      </c>
      <c r="N2286" s="20">
        <f>IF($Q2286="","",INDEX(상세표[블록 22~06시],$Q2286))</f>
        <v/>
      </c>
      <c r="O2286">
        <f>IF($Q2286="","",INDEX(상세표[주말·휴일 포함],$Q2286)&amp;"")</f>
        <v/>
      </c>
      <c r="P2286">
        <f>IF($Q2286="","",INDEX(상세표[월 넘김 포함],$Q2286)&amp;"")</f>
        <v/>
      </c>
      <c r="Q2286" s="4">
        <f>IFERROR(MATCH(2281,상세표[연속순번],0),"")</f>
        <v/>
      </c>
    </row>
    <row r="2287">
      <c r="A2287">
        <f>IF($Q2287="","",INDEX(상세표[부서],$Q2287)&amp;"")</f>
        <v/>
      </c>
      <c r="B2287">
        <f>IF($Q2287="","",INDEX(상세표[사번],$Q2287)&amp;"")</f>
        <v/>
      </c>
      <c r="C2287">
        <f>IF($Q2287="","",INDEX(상세표[성명],$Q2287)&amp;"")</f>
        <v/>
      </c>
      <c r="D2287">
        <f>IF($Q2287="","",INDEX(상세표[직위],$Q2287)&amp;"")</f>
        <v/>
      </c>
      <c r="E2287">
        <f>IF($Q2287="","",IF(ISNUMBER(INDEX(상세표[근무일자],$Q2287)),TEXT(INDEX(상세표[근무일자],$Q2287),"yyyy-mm-dd"),INDEX(상세표[근무일자],$Q2287)&amp;""))</f>
        <v/>
      </c>
      <c r="F2287">
        <f>IF($Q2287="","",IF(ISNUMBER(INDEX(상세표[시작],$Q2287)),TEXT(INDEX(상세표[시작],$Q2287),"yyyy-mm-dd hh:mm"),INDEX(상세표[시작],$Q2287)&amp;""))</f>
        <v/>
      </c>
      <c r="G2287">
        <f>IF($Q2287="","",IF(ISNUMBER(INDEX(상세표[블록종료],$Q2287)),TEXT(INDEX(상세표[블록종료],$Q2287),"yyyy-mm-dd hh:mm"),INDEX(상세표[블록종료],$Q2287)&amp;""))</f>
        <v/>
      </c>
      <c r="H2287">
        <f>IF($Q2287="","",CHOOSE(WEEKDAY(INDEX(상세표[시작],$Q2287)),"일","월","화","수","목","금","토"))</f>
        <v/>
      </c>
      <c r="I2287" s="20">
        <f>IF($Q2287="","",INDEX(상세표[연속 시간],$Q2287))</f>
        <v/>
      </c>
      <c r="J2287">
        <f>IF($Q2287="","",INDEX(상세표[기록 수],$Q2287))</f>
        <v/>
      </c>
      <c r="K2287" s="20">
        <f>IF($Q2287="","",INDEX(상세표[블록 06~07시],$Q2287))</f>
        <v/>
      </c>
      <c r="L2287" s="20">
        <f>IF($Q2287="","",INDEX(상세표[블록 07~18시],$Q2287))</f>
        <v/>
      </c>
      <c r="M2287" s="20">
        <f>IF($Q2287="","",INDEX(상세표[블록 18~22시],$Q2287))</f>
        <v/>
      </c>
      <c r="N2287" s="20">
        <f>IF($Q2287="","",INDEX(상세표[블록 22~06시],$Q2287))</f>
        <v/>
      </c>
      <c r="O2287">
        <f>IF($Q2287="","",INDEX(상세표[주말·휴일 포함],$Q2287)&amp;"")</f>
        <v/>
      </c>
      <c r="P2287">
        <f>IF($Q2287="","",INDEX(상세표[월 넘김 포함],$Q2287)&amp;"")</f>
        <v/>
      </c>
      <c r="Q2287" s="4">
        <f>IFERROR(MATCH(2282,상세표[연속순번],0),"")</f>
        <v/>
      </c>
    </row>
    <row r="2288">
      <c r="A2288">
        <f>IF($Q2288="","",INDEX(상세표[부서],$Q2288)&amp;"")</f>
        <v/>
      </c>
      <c r="B2288">
        <f>IF($Q2288="","",INDEX(상세표[사번],$Q2288)&amp;"")</f>
        <v/>
      </c>
      <c r="C2288">
        <f>IF($Q2288="","",INDEX(상세표[성명],$Q2288)&amp;"")</f>
        <v/>
      </c>
      <c r="D2288">
        <f>IF($Q2288="","",INDEX(상세표[직위],$Q2288)&amp;"")</f>
        <v/>
      </c>
      <c r="E2288">
        <f>IF($Q2288="","",IF(ISNUMBER(INDEX(상세표[근무일자],$Q2288)),TEXT(INDEX(상세표[근무일자],$Q2288),"yyyy-mm-dd"),INDEX(상세표[근무일자],$Q2288)&amp;""))</f>
        <v/>
      </c>
      <c r="F2288">
        <f>IF($Q2288="","",IF(ISNUMBER(INDEX(상세표[시작],$Q2288)),TEXT(INDEX(상세표[시작],$Q2288),"yyyy-mm-dd hh:mm"),INDEX(상세표[시작],$Q2288)&amp;""))</f>
        <v/>
      </c>
      <c r="G2288">
        <f>IF($Q2288="","",IF(ISNUMBER(INDEX(상세표[블록종료],$Q2288)),TEXT(INDEX(상세표[블록종료],$Q2288),"yyyy-mm-dd hh:mm"),INDEX(상세표[블록종료],$Q2288)&amp;""))</f>
        <v/>
      </c>
      <c r="H2288">
        <f>IF($Q2288="","",CHOOSE(WEEKDAY(INDEX(상세표[시작],$Q2288)),"일","월","화","수","목","금","토"))</f>
        <v/>
      </c>
      <c r="I2288" s="20">
        <f>IF($Q2288="","",INDEX(상세표[연속 시간],$Q2288))</f>
        <v/>
      </c>
      <c r="J2288">
        <f>IF($Q2288="","",INDEX(상세표[기록 수],$Q2288))</f>
        <v/>
      </c>
      <c r="K2288" s="20">
        <f>IF($Q2288="","",INDEX(상세표[블록 06~07시],$Q2288))</f>
        <v/>
      </c>
      <c r="L2288" s="20">
        <f>IF($Q2288="","",INDEX(상세표[블록 07~18시],$Q2288))</f>
        <v/>
      </c>
      <c r="M2288" s="20">
        <f>IF($Q2288="","",INDEX(상세표[블록 18~22시],$Q2288))</f>
        <v/>
      </c>
      <c r="N2288" s="20">
        <f>IF($Q2288="","",INDEX(상세표[블록 22~06시],$Q2288))</f>
        <v/>
      </c>
      <c r="O2288">
        <f>IF($Q2288="","",INDEX(상세표[주말·휴일 포함],$Q2288)&amp;"")</f>
        <v/>
      </c>
      <c r="P2288">
        <f>IF($Q2288="","",INDEX(상세표[월 넘김 포함],$Q2288)&amp;"")</f>
        <v/>
      </c>
      <c r="Q2288" s="4">
        <f>IFERROR(MATCH(2283,상세표[연속순번],0),"")</f>
        <v/>
      </c>
    </row>
    <row r="2289">
      <c r="A2289">
        <f>IF($Q2289="","",INDEX(상세표[부서],$Q2289)&amp;"")</f>
        <v/>
      </c>
      <c r="B2289">
        <f>IF($Q2289="","",INDEX(상세표[사번],$Q2289)&amp;"")</f>
        <v/>
      </c>
      <c r="C2289">
        <f>IF($Q2289="","",INDEX(상세표[성명],$Q2289)&amp;"")</f>
        <v/>
      </c>
      <c r="D2289">
        <f>IF($Q2289="","",INDEX(상세표[직위],$Q2289)&amp;"")</f>
        <v/>
      </c>
      <c r="E2289">
        <f>IF($Q2289="","",IF(ISNUMBER(INDEX(상세표[근무일자],$Q2289)),TEXT(INDEX(상세표[근무일자],$Q2289),"yyyy-mm-dd"),INDEX(상세표[근무일자],$Q2289)&amp;""))</f>
        <v/>
      </c>
      <c r="F2289">
        <f>IF($Q2289="","",IF(ISNUMBER(INDEX(상세표[시작],$Q2289)),TEXT(INDEX(상세표[시작],$Q2289),"yyyy-mm-dd hh:mm"),INDEX(상세표[시작],$Q2289)&amp;""))</f>
        <v/>
      </c>
      <c r="G2289">
        <f>IF($Q2289="","",IF(ISNUMBER(INDEX(상세표[블록종료],$Q2289)),TEXT(INDEX(상세표[블록종료],$Q2289),"yyyy-mm-dd hh:mm"),INDEX(상세표[블록종료],$Q2289)&amp;""))</f>
        <v/>
      </c>
      <c r="H2289">
        <f>IF($Q2289="","",CHOOSE(WEEKDAY(INDEX(상세표[시작],$Q2289)),"일","월","화","수","목","금","토"))</f>
        <v/>
      </c>
      <c r="I2289" s="20">
        <f>IF($Q2289="","",INDEX(상세표[연속 시간],$Q2289))</f>
        <v/>
      </c>
      <c r="J2289">
        <f>IF($Q2289="","",INDEX(상세표[기록 수],$Q2289))</f>
        <v/>
      </c>
      <c r="K2289" s="20">
        <f>IF($Q2289="","",INDEX(상세표[블록 06~07시],$Q2289))</f>
        <v/>
      </c>
      <c r="L2289" s="20">
        <f>IF($Q2289="","",INDEX(상세표[블록 07~18시],$Q2289))</f>
        <v/>
      </c>
      <c r="M2289" s="20">
        <f>IF($Q2289="","",INDEX(상세표[블록 18~22시],$Q2289))</f>
        <v/>
      </c>
      <c r="N2289" s="20">
        <f>IF($Q2289="","",INDEX(상세표[블록 22~06시],$Q2289))</f>
        <v/>
      </c>
      <c r="O2289">
        <f>IF($Q2289="","",INDEX(상세표[주말·휴일 포함],$Q2289)&amp;"")</f>
        <v/>
      </c>
      <c r="P2289">
        <f>IF($Q2289="","",INDEX(상세표[월 넘김 포함],$Q2289)&amp;"")</f>
        <v/>
      </c>
      <c r="Q2289" s="4">
        <f>IFERROR(MATCH(2284,상세표[연속순번],0),"")</f>
        <v/>
      </c>
    </row>
    <row r="2290">
      <c r="A2290">
        <f>IF($Q2290="","",INDEX(상세표[부서],$Q2290)&amp;"")</f>
        <v/>
      </c>
      <c r="B2290">
        <f>IF($Q2290="","",INDEX(상세표[사번],$Q2290)&amp;"")</f>
        <v/>
      </c>
      <c r="C2290">
        <f>IF($Q2290="","",INDEX(상세표[성명],$Q2290)&amp;"")</f>
        <v/>
      </c>
      <c r="D2290">
        <f>IF($Q2290="","",INDEX(상세표[직위],$Q2290)&amp;"")</f>
        <v/>
      </c>
      <c r="E2290">
        <f>IF($Q2290="","",IF(ISNUMBER(INDEX(상세표[근무일자],$Q2290)),TEXT(INDEX(상세표[근무일자],$Q2290),"yyyy-mm-dd"),INDEX(상세표[근무일자],$Q2290)&amp;""))</f>
        <v/>
      </c>
      <c r="F2290">
        <f>IF($Q2290="","",IF(ISNUMBER(INDEX(상세표[시작],$Q2290)),TEXT(INDEX(상세표[시작],$Q2290),"yyyy-mm-dd hh:mm"),INDEX(상세표[시작],$Q2290)&amp;""))</f>
        <v/>
      </c>
      <c r="G2290">
        <f>IF($Q2290="","",IF(ISNUMBER(INDEX(상세표[블록종료],$Q2290)),TEXT(INDEX(상세표[블록종료],$Q2290),"yyyy-mm-dd hh:mm"),INDEX(상세표[블록종료],$Q2290)&amp;""))</f>
        <v/>
      </c>
      <c r="H2290">
        <f>IF($Q2290="","",CHOOSE(WEEKDAY(INDEX(상세표[시작],$Q2290)),"일","월","화","수","목","금","토"))</f>
        <v/>
      </c>
      <c r="I2290" s="20">
        <f>IF($Q2290="","",INDEX(상세표[연속 시간],$Q2290))</f>
        <v/>
      </c>
      <c r="J2290">
        <f>IF($Q2290="","",INDEX(상세표[기록 수],$Q2290))</f>
        <v/>
      </c>
      <c r="K2290" s="20">
        <f>IF($Q2290="","",INDEX(상세표[블록 06~07시],$Q2290))</f>
        <v/>
      </c>
      <c r="L2290" s="20">
        <f>IF($Q2290="","",INDEX(상세표[블록 07~18시],$Q2290))</f>
        <v/>
      </c>
      <c r="M2290" s="20">
        <f>IF($Q2290="","",INDEX(상세표[블록 18~22시],$Q2290))</f>
        <v/>
      </c>
      <c r="N2290" s="20">
        <f>IF($Q2290="","",INDEX(상세표[블록 22~06시],$Q2290))</f>
        <v/>
      </c>
      <c r="O2290">
        <f>IF($Q2290="","",INDEX(상세표[주말·휴일 포함],$Q2290)&amp;"")</f>
        <v/>
      </c>
      <c r="P2290">
        <f>IF($Q2290="","",INDEX(상세표[월 넘김 포함],$Q2290)&amp;"")</f>
        <v/>
      </c>
      <c r="Q2290" s="4">
        <f>IFERROR(MATCH(2285,상세표[연속순번],0),"")</f>
        <v/>
      </c>
    </row>
    <row r="2291">
      <c r="A2291">
        <f>IF($Q2291="","",INDEX(상세표[부서],$Q2291)&amp;"")</f>
        <v/>
      </c>
      <c r="B2291">
        <f>IF($Q2291="","",INDEX(상세표[사번],$Q2291)&amp;"")</f>
        <v/>
      </c>
      <c r="C2291">
        <f>IF($Q2291="","",INDEX(상세표[성명],$Q2291)&amp;"")</f>
        <v/>
      </c>
      <c r="D2291">
        <f>IF($Q2291="","",INDEX(상세표[직위],$Q2291)&amp;"")</f>
        <v/>
      </c>
      <c r="E2291">
        <f>IF($Q2291="","",IF(ISNUMBER(INDEX(상세표[근무일자],$Q2291)),TEXT(INDEX(상세표[근무일자],$Q2291),"yyyy-mm-dd"),INDEX(상세표[근무일자],$Q2291)&amp;""))</f>
        <v/>
      </c>
      <c r="F2291">
        <f>IF($Q2291="","",IF(ISNUMBER(INDEX(상세표[시작],$Q2291)),TEXT(INDEX(상세표[시작],$Q2291),"yyyy-mm-dd hh:mm"),INDEX(상세표[시작],$Q2291)&amp;""))</f>
        <v/>
      </c>
      <c r="G2291">
        <f>IF($Q2291="","",IF(ISNUMBER(INDEX(상세표[블록종료],$Q2291)),TEXT(INDEX(상세표[블록종료],$Q2291),"yyyy-mm-dd hh:mm"),INDEX(상세표[블록종료],$Q2291)&amp;""))</f>
        <v/>
      </c>
      <c r="H2291">
        <f>IF($Q2291="","",CHOOSE(WEEKDAY(INDEX(상세표[시작],$Q2291)),"일","월","화","수","목","금","토"))</f>
        <v/>
      </c>
      <c r="I2291" s="20">
        <f>IF($Q2291="","",INDEX(상세표[연속 시간],$Q2291))</f>
        <v/>
      </c>
      <c r="J2291">
        <f>IF($Q2291="","",INDEX(상세표[기록 수],$Q2291))</f>
        <v/>
      </c>
      <c r="K2291" s="20">
        <f>IF($Q2291="","",INDEX(상세표[블록 06~07시],$Q2291))</f>
        <v/>
      </c>
      <c r="L2291" s="20">
        <f>IF($Q2291="","",INDEX(상세표[블록 07~18시],$Q2291))</f>
        <v/>
      </c>
      <c r="M2291" s="20">
        <f>IF($Q2291="","",INDEX(상세표[블록 18~22시],$Q2291))</f>
        <v/>
      </c>
      <c r="N2291" s="20">
        <f>IF($Q2291="","",INDEX(상세표[블록 22~06시],$Q2291))</f>
        <v/>
      </c>
      <c r="O2291">
        <f>IF($Q2291="","",INDEX(상세표[주말·휴일 포함],$Q2291)&amp;"")</f>
        <v/>
      </c>
      <c r="P2291">
        <f>IF($Q2291="","",INDEX(상세표[월 넘김 포함],$Q2291)&amp;"")</f>
        <v/>
      </c>
      <c r="Q2291" s="4">
        <f>IFERROR(MATCH(2286,상세표[연속순번],0),"")</f>
        <v/>
      </c>
    </row>
    <row r="2292">
      <c r="A2292">
        <f>IF($Q2292="","",INDEX(상세표[부서],$Q2292)&amp;"")</f>
        <v/>
      </c>
      <c r="B2292">
        <f>IF($Q2292="","",INDEX(상세표[사번],$Q2292)&amp;"")</f>
        <v/>
      </c>
      <c r="C2292">
        <f>IF($Q2292="","",INDEX(상세표[성명],$Q2292)&amp;"")</f>
        <v/>
      </c>
      <c r="D2292">
        <f>IF($Q2292="","",INDEX(상세표[직위],$Q2292)&amp;"")</f>
        <v/>
      </c>
      <c r="E2292">
        <f>IF($Q2292="","",IF(ISNUMBER(INDEX(상세표[근무일자],$Q2292)),TEXT(INDEX(상세표[근무일자],$Q2292),"yyyy-mm-dd"),INDEX(상세표[근무일자],$Q2292)&amp;""))</f>
        <v/>
      </c>
      <c r="F2292">
        <f>IF($Q2292="","",IF(ISNUMBER(INDEX(상세표[시작],$Q2292)),TEXT(INDEX(상세표[시작],$Q2292),"yyyy-mm-dd hh:mm"),INDEX(상세표[시작],$Q2292)&amp;""))</f>
        <v/>
      </c>
      <c r="G2292">
        <f>IF($Q2292="","",IF(ISNUMBER(INDEX(상세표[블록종료],$Q2292)),TEXT(INDEX(상세표[블록종료],$Q2292),"yyyy-mm-dd hh:mm"),INDEX(상세표[블록종료],$Q2292)&amp;""))</f>
        <v/>
      </c>
      <c r="H2292">
        <f>IF($Q2292="","",CHOOSE(WEEKDAY(INDEX(상세표[시작],$Q2292)),"일","월","화","수","목","금","토"))</f>
        <v/>
      </c>
      <c r="I2292" s="20">
        <f>IF($Q2292="","",INDEX(상세표[연속 시간],$Q2292))</f>
        <v/>
      </c>
      <c r="J2292">
        <f>IF($Q2292="","",INDEX(상세표[기록 수],$Q2292))</f>
        <v/>
      </c>
      <c r="K2292" s="20">
        <f>IF($Q2292="","",INDEX(상세표[블록 06~07시],$Q2292))</f>
        <v/>
      </c>
      <c r="L2292" s="20">
        <f>IF($Q2292="","",INDEX(상세표[블록 07~18시],$Q2292))</f>
        <v/>
      </c>
      <c r="M2292" s="20">
        <f>IF($Q2292="","",INDEX(상세표[블록 18~22시],$Q2292))</f>
        <v/>
      </c>
      <c r="N2292" s="20">
        <f>IF($Q2292="","",INDEX(상세표[블록 22~06시],$Q2292))</f>
        <v/>
      </c>
      <c r="O2292">
        <f>IF($Q2292="","",INDEX(상세표[주말·휴일 포함],$Q2292)&amp;"")</f>
        <v/>
      </c>
      <c r="P2292">
        <f>IF($Q2292="","",INDEX(상세표[월 넘김 포함],$Q2292)&amp;"")</f>
        <v/>
      </c>
      <c r="Q2292" s="4">
        <f>IFERROR(MATCH(2287,상세표[연속순번],0),"")</f>
        <v/>
      </c>
    </row>
    <row r="2293">
      <c r="A2293">
        <f>IF($Q2293="","",INDEX(상세표[부서],$Q2293)&amp;"")</f>
        <v/>
      </c>
      <c r="B2293">
        <f>IF($Q2293="","",INDEX(상세표[사번],$Q2293)&amp;"")</f>
        <v/>
      </c>
      <c r="C2293">
        <f>IF($Q2293="","",INDEX(상세표[성명],$Q2293)&amp;"")</f>
        <v/>
      </c>
      <c r="D2293">
        <f>IF($Q2293="","",INDEX(상세표[직위],$Q2293)&amp;"")</f>
        <v/>
      </c>
      <c r="E2293">
        <f>IF($Q2293="","",IF(ISNUMBER(INDEX(상세표[근무일자],$Q2293)),TEXT(INDEX(상세표[근무일자],$Q2293),"yyyy-mm-dd"),INDEX(상세표[근무일자],$Q2293)&amp;""))</f>
        <v/>
      </c>
      <c r="F2293">
        <f>IF($Q2293="","",IF(ISNUMBER(INDEX(상세표[시작],$Q2293)),TEXT(INDEX(상세표[시작],$Q2293),"yyyy-mm-dd hh:mm"),INDEX(상세표[시작],$Q2293)&amp;""))</f>
        <v/>
      </c>
      <c r="G2293">
        <f>IF($Q2293="","",IF(ISNUMBER(INDEX(상세표[블록종료],$Q2293)),TEXT(INDEX(상세표[블록종료],$Q2293),"yyyy-mm-dd hh:mm"),INDEX(상세표[블록종료],$Q2293)&amp;""))</f>
        <v/>
      </c>
      <c r="H2293">
        <f>IF($Q2293="","",CHOOSE(WEEKDAY(INDEX(상세표[시작],$Q2293)),"일","월","화","수","목","금","토"))</f>
        <v/>
      </c>
      <c r="I2293" s="20">
        <f>IF($Q2293="","",INDEX(상세표[연속 시간],$Q2293))</f>
        <v/>
      </c>
      <c r="J2293">
        <f>IF($Q2293="","",INDEX(상세표[기록 수],$Q2293))</f>
        <v/>
      </c>
      <c r="K2293" s="20">
        <f>IF($Q2293="","",INDEX(상세표[블록 06~07시],$Q2293))</f>
        <v/>
      </c>
      <c r="L2293" s="20">
        <f>IF($Q2293="","",INDEX(상세표[블록 07~18시],$Q2293))</f>
        <v/>
      </c>
      <c r="M2293" s="20">
        <f>IF($Q2293="","",INDEX(상세표[블록 18~22시],$Q2293))</f>
        <v/>
      </c>
      <c r="N2293" s="20">
        <f>IF($Q2293="","",INDEX(상세표[블록 22~06시],$Q2293))</f>
        <v/>
      </c>
      <c r="O2293">
        <f>IF($Q2293="","",INDEX(상세표[주말·휴일 포함],$Q2293)&amp;"")</f>
        <v/>
      </c>
      <c r="P2293">
        <f>IF($Q2293="","",INDEX(상세표[월 넘김 포함],$Q2293)&amp;"")</f>
        <v/>
      </c>
      <c r="Q2293" s="4">
        <f>IFERROR(MATCH(2288,상세표[연속순번],0),"")</f>
        <v/>
      </c>
    </row>
    <row r="2294">
      <c r="A2294">
        <f>IF($Q2294="","",INDEX(상세표[부서],$Q2294)&amp;"")</f>
        <v/>
      </c>
      <c r="B2294">
        <f>IF($Q2294="","",INDEX(상세표[사번],$Q2294)&amp;"")</f>
        <v/>
      </c>
      <c r="C2294">
        <f>IF($Q2294="","",INDEX(상세표[성명],$Q2294)&amp;"")</f>
        <v/>
      </c>
      <c r="D2294">
        <f>IF($Q2294="","",INDEX(상세표[직위],$Q2294)&amp;"")</f>
        <v/>
      </c>
      <c r="E2294">
        <f>IF($Q2294="","",IF(ISNUMBER(INDEX(상세표[근무일자],$Q2294)),TEXT(INDEX(상세표[근무일자],$Q2294),"yyyy-mm-dd"),INDEX(상세표[근무일자],$Q2294)&amp;""))</f>
        <v/>
      </c>
      <c r="F2294">
        <f>IF($Q2294="","",IF(ISNUMBER(INDEX(상세표[시작],$Q2294)),TEXT(INDEX(상세표[시작],$Q2294),"yyyy-mm-dd hh:mm"),INDEX(상세표[시작],$Q2294)&amp;""))</f>
        <v/>
      </c>
      <c r="G2294">
        <f>IF($Q2294="","",IF(ISNUMBER(INDEX(상세표[블록종료],$Q2294)),TEXT(INDEX(상세표[블록종료],$Q2294),"yyyy-mm-dd hh:mm"),INDEX(상세표[블록종료],$Q2294)&amp;""))</f>
        <v/>
      </c>
      <c r="H2294">
        <f>IF($Q2294="","",CHOOSE(WEEKDAY(INDEX(상세표[시작],$Q2294)),"일","월","화","수","목","금","토"))</f>
        <v/>
      </c>
      <c r="I2294" s="20">
        <f>IF($Q2294="","",INDEX(상세표[연속 시간],$Q2294))</f>
        <v/>
      </c>
      <c r="J2294">
        <f>IF($Q2294="","",INDEX(상세표[기록 수],$Q2294))</f>
        <v/>
      </c>
      <c r="K2294" s="20">
        <f>IF($Q2294="","",INDEX(상세표[블록 06~07시],$Q2294))</f>
        <v/>
      </c>
      <c r="L2294" s="20">
        <f>IF($Q2294="","",INDEX(상세표[블록 07~18시],$Q2294))</f>
        <v/>
      </c>
      <c r="M2294" s="20">
        <f>IF($Q2294="","",INDEX(상세표[블록 18~22시],$Q2294))</f>
        <v/>
      </c>
      <c r="N2294" s="20">
        <f>IF($Q2294="","",INDEX(상세표[블록 22~06시],$Q2294))</f>
        <v/>
      </c>
      <c r="O2294">
        <f>IF($Q2294="","",INDEX(상세표[주말·휴일 포함],$Q2294)&amp;"")</f>
        <v/>
      </c>
      <c r="P2294">
        <f>IF($Q2294="","",INDEX(상세표[월 넘김 포함],$Q2294)&amp;"")</f>
        <v/>
      </c>
      <c r="Q2294" s="4">
        <f>IFERROR(MATCH(2289,상세표[연속순번],0),"")</f>
        <v/>
      </c>
    </row>
    <row r="2295">
      <c r="A2295">
        <f>IF($Q2295="","",INDEX(상세표[부서],$Q2295)&amp;"")</f>
        <v/>
      </c>
      <c r="B2295">
        <f>IF($Q2295="","",INDEX(상세표[사번],$Q2295)&amp;"")</f>
        <v/>
      </c>
      <c r="C2295">
        <f>IF($Q2295="","",INDEX(상세표[성명],$Q2295)&amp;"")</f>
        <v/>
      </c>
      <c r="D2295">
        <f>IF($Q2295="","",INDEX(상세표[직위],$Q2295)&amp;"")</f>
        <v/>
      </c>
      <c r="E2295">
        <f>IF($Q2295="","",IF(ISNUMBER(INDEX(상세표[근무일자],$Q2295)),TEXT(INDEX(상세표[근무일자],$Q2295),"yyyy-mm-dd"),INDEX(상세표[근무일자],$Q2295)&amp;""))</f>
        <v/>
      </c>
      <c r="F2295">
        <f>IF($Q2295="","",IF(ISNUMBER(INDEX(상세표[시작],$Q2295)),TEXT(INDEX(상세표[시작],$Q2295),"yyyy-mm-dd hh:mm"),INDEX(상세표[시작],$Q2295)&amp;""))</f>
        <v/>
      </c>
      <c r="G2295">
        <f>IF($Q2295="","",IF(ISNUMBER(INDEX(상세표[블록종료],$Q2295)),TEXT(INDEX(상세표[블록종료],$Q2295),"yyyy-mm-dd hh:mm"),INDEX(상세표[블록종료],$Q2295)&amp;""))</f>
        <v/>
      </c>
      <c r="H2295">
        <f>IF($Q2295="","",CHOOSE(WEEKDAY(INDEX(상세표[시작],$Q2295)),"일","월","화","수","목","금","토"))</f>
        <v/>
      </c>
      <c r="I2295" s="20">
        <f>IF($Q2295="","",INDEX(상세표[연속 시간],$Q2295))</f>
        <v/>
      </c>
      <c r="J2295">
        <f>IF($Q2295="","",INDEX(상세표[기록 수],$Q2295))</f>
        <v/>
      </c>
      <c r="K2295" s="20">
        <f>IF($Q2295="","",INDEX(상세표[블록 06~07시],$Q2295))</f>
        <v/>
      </c>
      <c r="L2295" s="20">
        <f>IF($Q2295="","",INDEX(상세표[블록 07~18시],$Q2295))</f>
        <v/>
      </c>
      <c r="M2295" s="20">
        <f>IF($Q2295="","",INDEX(상세표[블록 18~22시],$Q2295))</f>
        <v/>
      </c>
      <c r="N2295" s="20">
        <f>IF($Q2295="","",INDEX(상세표[블록 22~06시],$Q2295))</f>
        <v/>
      </c>
      <c r="O2295">
        <f>IF($Q2295="","",INDEX(상세표[주말·휴일 포함],$Q2295)&amp;"")</f>
        <v/>
      </c>
      <c r="P2295">
        <f>IF($Q2295="","",INDEX(상세표[월 넘김 포함],$Q2295)&amp;"")</f>
        <v/>
      </c>
      <c r="Q2295" s="4">
        <f>IFERROR(MATCH(2290,상세표[연속순번],0),"")</f>
        <v/>
      </c>
    </row>
    <row r="2296">
      <c r="A2296">
        <f>IF($Q2296="","",INDEX(상세표[부서],$Q2296)&amp;"")</f>
        <v/>
      </c>
      <c r="B2296">
        <f>IF($Q2296="","",INDEX(상세표[사번],$Q2296)&amp;"")</f>
        <v/>
      </c>
      <c r="C2296">
        <f>IF($Q2296="","",INDEX(상세표[성명],$Q2296)&amp;"")</f>
        <v/>
      </c>
      <c r="D2296">
        <f>IF($Q2296="","",INDEX(상세표[직위],$Q2296)&amp;"")</f>
        <v/>
      </c>
      <c r="E2296">
        <f>IF($Q2296="","",IF(ISNUMBER(INDEX(상세표[근무일자],$Q2296)),TEXT(INDEX(상세표[근무일자],$Q2296),"yyyy-mm-dd"),INDEX(상세표[근무일자],$Q2296)&amp;""))</f>
        <v/>
      </c>
      <c r="F2296">
        <f>IF($Q2296="","",IF(ISNUMBER(INDEX(상세표[시작],$Q2296)),TEXT(INDEX(상세표[시작],$Q2296),"yyyy-mm-dd hh:mm"),INDEX(상세표[시작],$Q2296)&amp;""))</f>
        <v/>
      </c>
      <c r="G2296">
        <f>IF($Q2296="","",IF(ISNUMBER(INDEX(상세표[블록종료],$Q2296)),TEXT(INDEX(상세표[블록종료],$Q2296),"yyyy-mm-dd hh:mm"),INDEX(상세표[블록종료],$Q2296)&amp;""))</f>
        <v/>
      </c>
      <c r="H2296">
        <f>IF($Q2296="","",CHOOSE(WEEKDAY(INDEX(상세표[시작],$Q2296)),"일","월","화","수","목","금","토"))</f>
        <v/>
      </c>
      <c r="I2296" s="20">
        <f>IF($Q2296="","",INDEX(상세표[연속 시간],$Q2296))</f>
        <v/>
      </c>
      <c r="J2296">
        <f>IF($Q2296="","",INDEX(상세표[기록 수],$Q2296))</f>
        <v/>
      </c>
      <c r="K2296" s="20">
        <f>IF($Q2296="","",INDEX(상세표[블록 06~07시],$Q2296))</f>
        <v/>
      </c>
      <c r="L2296" s="20">
        <f>IF($Q2296="","",INDEX(상세표[블록 07~18시],$Q2296))</f>
        <v/>
      </c>
      <c r="M2296" s="20">
        <f>IF($Q2296="","",INDEX(상세표[블록 18~22시],$Q2296))</f>
        <v/>
      </c>
      <c r="N2296" s="20">
        <f>IF($Q2296="","",INDEX(상세표[블록 22~06시],$Q2296))</f>
        <v/>
      </c>
      <c r="O2296">
        <f>IF($Q2296="","",INDEX(상세표[주말·휴일 포함],$Q2296)&amp;"")</f>
        <v/>
      </c>
      <c r="P2296">
        <f>IF($Q2296="","",INDEX(상세표[월 넘김 포함],$Q2296)&amp;"")</f>
        <v/>
      </c>
      <c r="Q2296" s="4">
        <f>IFERROR(MATCH(2291,상세표[연속순번],0),"")</f>
        <v/>
      </c>
    </row>
    <row r="2297">
      <c r="A2297">
        <f>IF($Q2297="","",INDEX(상세표[부서],$Q2297)&amp;"")</f>
        <v/>
      </c>
      <c r="B2297">
        <f>IF($Q2297="","",INDEX(상세표[사번],$Q2297)&amp;"")</f>
        <v/>
      </c>
      <c r="C2297">
        <f>IF($Q2297="","",INDEX(상세표[성명],$Q2297)&amp;"")</f>
        <v/>
      </c>
      <c r="D2297">
        <f>IF($Q2297="","",INDEX(상세표[직위],$Q2297)&amp;"")</f>
        <v/>
      </c>
      <c r="E2297">
        <f>IF($Q2297="","",IF(ISNUMBER(INDEX(상세표[근무일자],$Q2297)),TEXT(INDEX(상세표[근무일자],$Q2297),"yyyy-mm-dd"),INDEX(상세표[근무일자],$Q2297)&amp;""))</f>
        <v/>
      </c>
      <c r="F2297">
        <f>IF($Q2297="","",IF(ISNUMBER(INDEX(상세표[시작],$Q2297)),TEXT(INDEX(상세표[시작],$Q2297),"yyyy-mm-dd hh:mm"),INDEX(상세표[시작],$Q2297)&amp;""))</f>
        <v/>
      </c>
      <c r="G2297">
        <f>IF($Q2297="","",IF(ISNUMBER(INDEX(상세표[블록종료],$Q2297)),TEXT(INDEX(상세표[블록종료],$Q2297),"yyyy-mm-dd hh:mm"),INDEX(상세표[블록종료],$Q2297)&amp;""))</f>
        <v/>
      </c>
      <c r="H2297">
        <f>IF($Q2297="","",CHOOSE(WEEKDAY(INDEX(상세표[시작],$Q2297)),"일","월","화","수","목","금","토"))</f>
        <v/>
      </c>
      <c r="I2297" s="20">
        <f>IF($Q2297="","",INDEX(상세표[연속 시간],$Q2297))</f>
        <v/>
      </c>
      <c r="J2297">
        <f>IF($Q2297="","",INDEX(상세표[기록 수],$Q2297))</f>
        <v/>
      </c>
      <c r="K2297" s="20">
        <f>IF($Q2297="","",INDEX(상세표[블록 06~07시],$Q2297))</f>
        <v/>
      </c>
      <c r="L2297" s="20">
        <f>IF($Q2297="","",INDEX(상세표[블록 07~18시],$Q2297))</f>
        <v/>
      </c>
      <c r="M2297" s="20">
        <f>IF($Q2297="","",INDEX(상세표[블록 18~22시],$Q2297))</f>
        <v/>
      </c>
      <c r="N2297" s="20">
        <f>IF($Q2297="","",INDEX(상세표[블록 22~06시],$Q2297))</f>
        <v/>
      </c>
      <c r="O2297">
        <f>IF($Q2297="","",INDEX(상세표[주말·휴일 포함],$Q2297)&amp;"")</f>
        <v/>
      </c>
      <c r="P2297">
        <f>IF($Q2297="","",INDEX(상세표[월 넘김 포함],$Q2297)&amp;"")</f>
        <v/>
      </c>
      <c r="Q2297" s="4">
        <f>IFERROR(MATCH(2292,상세표[연속순번],0),"")</f>
        <v/>
      </c>
    </row>
    <row r="2298">
      <c r="A2298">
        <f>IF($Q2298="","",INDEX(상세표[부서],$Q2298)&amp;"")</f>
        <v/>
      </c>
      <c r="B2298">
        <f>IF($Q2298="","",INDEX(상세표[사번],$Q2298)&amp;"")</f>
        <v/>
      </c>
      <c r="C2298">
        <f>IF($Q2298="","",INDEX(상세표[성명],$Q2298)&amp;"")</f>
        <v/>
      </c>
      <c r="D2298">
        <f>IF($Q2298="","",INDEX(상세표[직위],$Q2298)&amp;"")</f>
        <v/>
      </c>
      <c r="E2298">
        <f>IF($Q2298="","",IF(ISNUMBER(INDEX(상세표[근무일자],$Q2298)),TEXT(INDEX(상세표[근무일자],$Q2298),"yyyy-mm-dd"),INDEX(상세표[근무일자],$Q2298)&amp;""))</f>
        <v/>
      </c>
      <c r="F2298">
        <f>IF($Q2298="","",IF(ISNUMBER(INDEX(상세표[시작],$Q2298)),TEXT(INDEX(상세표[시작],$Q2298),"yyyy-mm-dd hh:mm"),INDEX(상세표[시작],$Q2298)&amp;""))</f>
        <v/>
      </c>
      <c r="G2298">
        <f>IF($Q2298="","",IF(ISNUMBER(INDEX(상세표[블록종료],$Q2298)),TEXT(INDEX(상세표[블록종료],$Q2298),"yyyy-mm-dd hh:mm"),INDEX(상세표[블록종료],$Q2298)&amp;""))</f>
        <v/>
      </c>
      <c r="H2298">
        <f>IF($Q2298="","",CHOOSE(WEEKDAY(INDEX(상세표[시작],$Q2298)),"일","월","화","수","목","금","토"))</f>
        <v/>
      </c>
      <c r="I2298" s="20">
        <f>IF($Q2298="","",INDEX(상세표[연속 시간],$Q2298))</f>
        <v/>
      </c>
      <c r="J2298">
        <f>IF($Q2298="","",INDEX(상세표[기록 수],$Q2298))</f>
        <v/>
      </c>
      <c r="K2298" s="20">
        <f>IF($Q2298="","",INDEX(상세표[블록 06~07시],$Q2298))</f>
        <v/>
      </c>
      <c r="L2298" s="20">
        <f>IF($Q2298="","",INDEX(상세표[블록 07~18시],$Q2298))</f>
        <v/>
      </c>
      <c r="M2298" s="20">
        <f>IF($Q2298="","",INDEX(상세표[블록 18~22시],$Q2298))</f>
        <v/>
      </c>
      <c r="N2298" s="20">
        <f>IF($Q2298="","",INDEX(상세표[블록 22~06시],$Q2298))</f>
        <v/>
      </c>
      <c r="O2298">
        <f>IF($Q2298="","",INDEX(상세표[주말·휴일 포함],$Q2298)&amp;"")</f>
        <v/>
      </c>
      <c r="P2298">
        <f>IF($Q2298="","",INDEX(상세표[월 넘김 포함],$Q2298)&amp;"")</f>
        <v/>
      </c>
      <c r="Q2298" s="4">
        <f>IFERROR(MATCH(2293,상세표[연속순번],0),"")</f>
        <v/>
      </c>
    </row>
    <row r="2299">
      <c r="A2299">
        <f>IF($Q2299="","",INDEX(상세표[부서],$Q2299)&amp;"")</f>
        <v/>
      </c>
      <c r="B2299">
        <f>IF($Q2299="","",INDEX(상세표[사번],$Q2299)&amp;"")</f>
        <v/>
      </c>
      <c r="C2299">
        <f>IF($Q2299="","",INDEX(상세표[성명],$Q2299)&amp;"")</f>
        <v/>
      </c>
      <c r="D2299">
        <f>IF($Q2299="","",INDEX(상세표[직위],$Q2299)&amp;"")</f>
        <v/>
      </c>
      <c r="E2299">
        <f>IF($Q2299="","",IF(ISNUMBER(INDEX(상세표[근무일자],$Q2299)),TEXT(INDEX(상세표[근무일자],$Q2299),"yyyy-mm-dd"),INDEX(상세표[근무일자],$Q2299)&amp;""))</f>
        <v/>
      </c>
      <c r="F2299">
        <f>IF($Q2299="","",IF(ISNUMBER(INDEX(상세표[시작],$Q2299)),TEXT(INDEX(상세표[시작],$Q2299),"yyyy-mm-dd hh:mm"),INDEX(상세표[시작],$Q2299)&amp;""))</f>
        <v/>
      </c>
      <c r="G2299">
        <f>IF($Q2299="","",IF(ISNUMBER(INDEX(상세표[블록종료],$Q2299)),TEXT(INDEX(상세표[블록종료],$Q2299),"yyyy-mm-dd hh:mm"),INDEX(상세표[블록종료],$Q2299)&amp;""))</f>
        <v/>
      </c>
      <c r="H2299">
        <f>IF($Q2299="","",CHOOSE(WEEKDAY(INDEX(상세표[시작],$Q2299)),"일","월","화","수","목","금","토"))</f>
        <v/>
      </c>
      <c r="I2299" s="20">
        <f>IF($Q2299="","",INDEX(상세표[연속 시간],$Q2299))</f>
        <v/>
      </c>
      <c r="J2299">
        <f>IF($Q2299="","",INDEX(상세표[기록 수],$Q2299))</f>
        <v/>
      </c>
      <c r="K2299" s="20">
        <f>IF($Q2299="","",INDEX(상세표[블록 06~07시],$Q2299))</f>
        <v/>
      </c>
      <c r="L2299" s="20">
        <f>IF($Q2299="","",INDEX(상세표[블록 07~18시],$Q2299))</f>
        <v/>
      </c>
      <c r="M2299" s="20">
        <f>IF($Q2299="","",INDEX(상세표[블록 18~22시],$Q2299))</f>
        <v/>
      </c>
      <c r="N2299" s="20">
        <f>IF($Q2299="","",INDEX(상세표[블록 22~06시],$Q2299))</f>
        <v/>
      </c>
      <c r="O2299">
        <f>IF($Q2299="","",INDEX(상세표[주말·휴일 포함],$Q2299)&amp;"")</f>
        <v/>
      </c>
      <c r="P2299">
        <f>IF($Q2299="","",INDEX(상세표[월 넘김 포함],$Q2299)&amp;"")</f>
        <v/>
      </c>
      <c r="Q2299" s="4">
        <f>IFERROR(MATCH(2294,상세표[연속순번],0),"")</f>
        <v/>
      </c>
    </row>
    <row r="2300">
      <c r="A2300">
        <f>IF($Q2300="","",INDEX(상세표[부서],$Q2300)&amp;"")</f>
        <v/>
      </c>
      <c r="B2300">
        <f>IF($Q2300="","",INDEX(상세표[사번],$Q2300)&amp;"")</f>
        <v/>
      </c>
      <c r="C2300">
        <f>IF($Q2300="","",INDEX(상세표[성명],$Q2300)&amp;"")</f>
        <v/>
      </c>
      <c r="D2300">
        <f>IF($Q2300="","",INDEX(상세표[직위],$Q2300)&amp;"")</f>
        <v/>
      </c>
      <c r="E2300">
        <f>IF($Q2300="","",IF(ISNUMBER(INDEX(상세표[근무일자],$Q2300)),TEXT(INDEX(상세표[근무일자],$Q2300),"yyyy-mm-dd"),INDEX(상세표[근무일자],$Q2300)&amp;""))</f>
        <v/>
      </c>
      <c r="F2300">
        <f>IF($Q2300="","",IF(ISNUMBER(INDEX(상세표[시작],$Q2300)),TEXT(INDEX(상세표[시작],$Q2300),"yyyy-mm-dd hh:mm"),INDEX(상세표[시작],$Q2300)&amp;""))</f>
        <v/>
      </c>
      <c r="G2300">
        <f>IF($Q2300="","",IF(ISNUMBER(INDEX(상세표[블록종료],$Q2300)),TEXT(INDEX(상세표[블록종료],$Q2300),"yyyy-mm-dd hh:mm"),INDEX(상세표[블록종료],$Q2300)&amp;""))</f>
        <v/>
      </c>
      <c r="H2300">
        <f>IF($Q2300="","",CHOOSE(WEEKDAY(INDEX(상세표[시작],$Q2300)),"일","월","화","수","목","금","토"))</f>
        <v/>
      </c>
      <c r="I2300" s="20">
        <f>IF($Q2300="","",INDEX(상세표[연속 시간],$Q2300))</f>
        <v/>
      </c>
      <c r="J2300">
        <f>IF($Q2300="","",INDEX(상세표[기록 수],$Q2300))</f>
        <v/>
      </c>
      <c r="K2300" s="20">
        <f>IF($Q2300="","",INDEX(상세표[블록 06~07시],$Q2300))</f>
        <v/>
      </c>
      <c r="L2300" s="20">
        <f>IF($Q2300="","",INDEX(상세표[블록 07~18시],$Q2300))</f>
        <v/>
      </c>
      <c r="M2300" s="20">
        <f>IF($Q2300="","",INDEX(상세표[블록 18~22시],$Q2300))</f>
        <v/>
      </c>
      <c r="N2300" s="20">
        <f>IF($Q2300="","",INDEX(상세표[블록 22~06시],$Q2300))</f>
        <v/>
      </c>
      <c r="O2300">
        <f>IF($Q2300="","",INDEX(상세표[주말·휴일 포함],$Q2300)&amp;"")</f>
        <v/>
      </c>
      <c r="P2300">
        <f>IF($Q2300="","",INDEX(상세표[월 넘김 포함],$Q2300)&amp;"")</f>
        <v/>
      </c>
      <c r="Q2300" s="4">
        <f>IFERROR(MATCH(2295,상세표[연속순번],0),"")</f>
        <v/>
      </c>
    </row>
    <row r="2301">
      <c r="A2301">
        <f>IF($Q2301="","",INDEX(상세표[부서],$Q2301)&amp;"")</f>
        <v/>
      </c>
      <c r="B2301">
        <f>IF($Q2301="","",INDEX(상세표[사번],$Q2301)&amp;"")</f>
        <v/>
      </c>
      <c r="C2301">
        <f>IF($Q2301="","",INDEX(상세표[성명],$Q2301)&amp;"")</f>
        <v/>
      </c>
      <c r="D2301">
        <f>IF($Q2301="","",INDEX(상세표[직위],$Q2301)&amp;"")</f>
        <v/>
      </c>
      <c r="E2301">
        <f>IF($Q2301="","",IF(ISNUMBER(INDEX(상세표[근무일자],$Q2301)),TEXT(INDEX(상세표[근무일자],$Q2301),"yyyy-mm-dd"),INDEX(상세표[근무일자],$Q2301)&amp;""))</f>
        <v/>
      </c>
      <c r="F2301">
        <f>IF($Q2301="","",IF(ISNUMBER(INDEX(상세표[시작],$Q2301)),TEXT(INDEX(상세표[시작],$Q2301),"yyyy-mm-dd hh:mm"),INDEX(상세표[시작],$Q2301)&amp;""))</f>
        <v/>
      </c>
      <c r="G2301">
        <f>IF($Q2301="","",IF(ISNUMBER(INDEX(상세표[블록종료],$Q2301)),TEXT(INDEX(상세표[블록종료],$Q2301),"yyyy-mm-dd hh:mm"),INDEX(상세표[블록종료],$Q2301)&amp;""))</f>
        <v/>
      </c>
      <c r="H2301">
        <f>IF($Q2301="","",CHOOSE(WEEKDAY(INDEX(상세표[시작],$Q2301)),"일","월","화","수","목","금","토"))</f>
        <v/>
      </c>
      <c r="I2301" s="20">
        <f>IF($Q2301="","",INDEX(상세표[연속 시간],$Q2301))</f>
        <v/>
      </c>
      <c r="J2301">
        <f>IF($Q2301="","",INDEX(상세표[기록 수],$Q2301))</f>
        <v/>
      </c>
      <c r="K2301" s="20">
        <f>IF($Q2301="","",INDEX(상세표[블록 06~07시],$Q2301))</f>
        <v/>
      </c>
      <c r="L2301" s="20">
        <f>IF($Q2301="","",INDEX(상세표[블록 07~18시],$Q2301))</f>
        <v/>
      </c>
      <c r="M2301" s="20">
        <f>IF($Q2301="","",INDEX(상세표[블록 18~22시],$Q2301))</f>
        <v/>
      </c>
      <c r="N2301" s="20">
        <f>IF($Q2301="","",INDEX(상세표[블록 22~06시],$Q2301))</f>
        <v/>
      </c>
      <c r="O2301">
        <f>IF($Q2301="","",INDEX(상세표[주말·휴일 포함],$Q2301)&amp;"")</f>
        <v/>
      </c>
      <c r="P2301">
        <f>IF($Q2301="","",INDEX(상세표[월 넘김 포함],$Q2301)&amp;"")</f>
        <v/>
      </c>
      <c r="Q2301" s="4">
        <f>IFERROR(MATCH(2296,상세표[연속순번],0),"")</f>
        <v/>
      </c>
    </row>
    <row r="2302">
      <c r="A2302">
        <f>IF($Q2302="","",INDEX(상세표[부서],$Q2302)&amp;"")</f>
        <v/>
      </c>
      <c r="B2302">
        <f>IF($Q2302="","",INDEX(상세표[사번],$Q2302)&amp;"")</f>
        <v/>
      </c>
      <c r="C2302">
        <f>IF($Q2302="","",INDEX(상세표[성명],$Q2302)&amp;"")</f>
        <v/>
      </c>
      <c r="D2302">
        <f>IF($Q2302="","",INDEX(상세표[직위],$Q2302)&amp;"")</f>
        <v/>
      </c>
      <c r="E2302">
        <f>IF($Q2302="","",IF(ISNUMBER(INDEX(상세표[근무일자],$Q2302)),TEXT(INDEX(상세표[근무일자],$Q2302),"yyyy-mm-dd"),INDEX(상세표[근무일자],$Q2302)&amp;""))</f>
        <v/>
      </c>
      <c r="F2302">
        <f>IF($Q2302="","",IF(ISNUMBER(INDEX(상세표[시작],$Q2302)),TEXT(INDEX(상세표[시작],$Q2302),"yyyy-mm-dd hh:mm"),INDEX(상세표[시작],$Q2302)&amp;""))</f>
        <v/>
      </c>
      <c r="G2302">
        <f>IF($Q2302="","",IF(ISNUMBER(INDEX(상세표[블록종료],$Q2302)),TEXT(INDEX(상세표[블록종료],$Q2302),"yyyy-mm-dd hh:mm"),INDEX(상세표[블록종료],$Q2302)&amp;""))</f>
        <v/>
      </c>
      <c r="H2302">
        <f>IF($Q2302="","",CHOOSE(WEEKDAY(INDEX(상세표[시작],$Q2302)),"일","월","화","수","목","금","토"))</f>
        <v/>
      </c>
      <c r="I2302" s="20">
        <f>IF($Q2302="","",INDEX(상세표[연속 시간],$Q2302))</f>
        <v/>
      </c>
      <c r="J2302">
        <f>IF($Q2302="","",INDEX(상세표[기록 수],$Q2302))</f>
        <v/>
      </c>
      <c r="K2302" s="20">
        <f>IF($Q2302="","",INDEX(상세표[블록 06~07시],$Q2302))</f>
        <v/>
      </c>
      <c r="L2302" s="20">
        <f>IF($Q2302="","",INDEX(상세표[블록 07~18시],$Q2302))</f>
        <v/>
      </c>
      <c r="M2302" s="20">
        <f>IF($Q2302="","",INDEX(상세표[블록 18~22시],$Q2302))</f>
        <v/>
      </c>
      <c r="N2302" s="20">
        <f>IF($Q2302="","",INDEX(상세표[블록 22~06시],$Q2302))</f>
        <v/>
      </c>
      <c r="O2302">
        <f>IF($Q2302="","",INDEX(상세표[주말·휴일 포함],$Q2302)&amp;"")</f>
        <v/>
      </c>
      <c r="P2302">
        <f>IF($Q2302="","",INDEX(상세표[월 넘김 포함],$Q2302)&amp;"")</f>
        <v/>
      </c>
      <c r="Q2302" s="4">
        <f>IFERROR(MATCH(2297,상세표[연속순번],0),"")</f>
        <v/>
      </c>
    </row>
    <row r="2303">
      <c r="A2303">
        <f>IF($Q2303="","",INDEX(상세표[부서],$Q2303)&amp;"")</f>
        <v/>
      </c>
      <c r="B2303">
        <f>IF($Q2303="","",INDEX(상세표[사번],$Q2303)&amp;"")</f>
        <v/>
      </c>
      <c r="C2303">
        <f>IF($Q2303="","",INDEX(상세표[성명],$Q2303)&amp;"")</f>
        <v/>
      </c>
      <c r="D2303">
        <f>IF($Q2303="","",INDEX(상세표[직위],$Q2303)&amp;"")</f>
        <v/>
      </c>
      <c r="E2303">
        <f>IF($Q2303="","",IF(ISNUMBER(INDEX(상세표[근무일자],$Q2303)),TEXT(INDEX(상세표[근무일자],$Q2303),"yyyy-mm-dd"),INDEX(상세표[근무일자],$Q2303)&amp;""))</f>
        <v/>
      </c>
      <c r="F2303">
        <f>IF($Q2303="","",IF(ISNUMBER(INDEX(상세표[시작],$Q2303)),TEXT(INDEX(상세표[시작],$Q2303),"yyyy-mm-dd hh:mm"),INDEX(상세표[시작],$Q2303)&amp;""))</f>
        <v/>
      </c>
      <c r="G2303">
        <f>IF($Q2303="","",IF(ISNUMBER(INDEX(상세표[블록종료],$Q2303)),TEXT(INDEX(상세표[블록종료],$Q2303),"yyyy-mm-dd hh:mm"),INDEX(상세표[블록종료],$Q2303)&amp;""))</f>
        <v/>
      </c>
      <c r="H2303">
        <f>IF($Q2303="","",CHOOSE(WEEKDAY(INDEX(상세표[시작],$Q2303)),"일","월","화","수","목","금","토"))</f>
        <v/>
      </c>
      <c r="I2303" s="20">
        <f>IF($Q2303="","",INDEX(상세표[연속 시간],$Q2303))</f>
        <v/>
      </c>
      <c r="J2303">
        <f>IF($Q2303="","",INDEX(상세표[기록 수],$Q2303))</f>
        <v/>
      </c>
      <c r="K2303" s="20">
        <f>IF($Q2303="","",INDEX(상세표[블록 06~07시],$Q2303))</f>
        <v/>
      </c>
      <c r="L2303" s="20">
        <f>IF($Q2303="","",INDEX(상세표[블록 07~18시],$Q2303))</f>
        <v/>
      </c>
      <c r="M2303" s="20">
        <f>IF($Q2303="","",INDEX(상세표[블록 18~22시],$Q2303))</f>
        <v/>
      </c>
      <c r="N2303" s="20">
        <f>IF($Q2303="","",INDEX(상세표[블록 22~06시],$Q2303))</f>
        <v/>
      </c>
      <c r="O2303">
        <f>IF($Q2303="","",INDEX(상세표[주말·휴일 포함],$Q2303)&amp;"")</f>
        <v/>
      </c>
      <c r="P2303">
        <f>IF($Q2303="","",INDEX(상세표[월 넘김 포함],$Q2303)&amp;"")</f>
        <v/>
      </c>
      <c r="Q2303" s="4">
        <f>IFERROR(MATCH(2298,상세표[연속순번],0),"")</f>
        <v/>
      </c>
    </row>
    <row r="2304">
      <c r="A2304">
        <f>IF($Q2304="","",INDEX(상세표[부서],$Q2304)&amp;"")</f>
        <v/>
      </c>
      <c r="B2304">
        <f>IF($Q2304="","",INDEX(상세표[사번],$Q2304)&amp;"")</f>
        <v/>
      </c>
      <c r="C2304">
        <f>IF($Q2304="","",INDEX(상세표[성명],$Q2304)&amp;"")</f>
        <v/>
      </c>
      <c r="D2304">
        <f>IF($Q2304="","",INDEX(상세표[직위],$Q2304)&amp;"")</f>
        <v/>
      </c>
      <c r="E2304">
        <f>IF($Q2304="","",IF(ISNUMBER(INDEX(상세표[근무일자],$Q2304)),TEXT(INDEX(상세표[근무일자],$Q2304),"yyyy-mm-dd"),INDEX(상세표[근무일자],$Q2304)&amp;""))</f>
        <v/>
      </c>
      <c r="F2304">
        <f>IF($Q2304="","",IF(ISNUMBER(INDEX(상세표[시작],$Q2304)),TEXT(INDEX(상세표[시작],$Q2304),"yyyy-mm-dd hh:mm"),INDEX(상세표[시작],$Q2304)&amp;""))</f>
        <v/>
      </c>
      <c r="G2304">
        <f>IF($Q2304="","",IF(ISNUMBER(INDEX(상세표[블록종료],$Q2304)),TEXT(INDEX(상세표[블록종료],$Q2304),"yyyy-mm-dd hh:mm"),INDEX(상세표[블록종료],$Q2304)&amp;""))</f>
        <v/>
      </c>
      <c r="H2304">
        <f>IF($Q2304="","",CHOOSE(WEEKDAY(INDEX(상세표[시작],$Q2304)),"일","월","화","수","목","금","토"))</f>
        <v/>
      </c>
      <c r="I2304" s="20">
        <f>IF($Q2304="","",INDEX(상세표[연속 시간],$Q2304))</f>
        <v/>
      </c>
      <c r="J2304">
        <f>IF($Q2304="","",INDEX(상세표[기록 수],$Q2304))</f>
        <v/>
      </c>
      <c r="K2304" s="20">
        <f>IF($Q2304="","",INDEX(상세표[블록 06~07시],$Q2304))</f>
        <v/>
      </c>
      <c r="L2304" s="20">
        <f>IF($Q2304="","",INDEX(상세표[블록 07~18시],$Q2304))</f>
        <v/>
      </c>
      <c r="M2304" s="20">
        <f>IF($Q2304="","",INDEX(상세표[블록 18~22시],$Q2304))</f>
        <v/>
      </c>
      <c r="N2304" s="20">
        <f>IF($Q2304="","",INDEX(상세표[블록 22~06시],$Q2304))</f>
        <v/>
      </c>
      <c r="O2304">
        <f>IF($Q2304="","",INDEX(상세표[주말·휴일 포함],$Q2304)&amp;"")</f>
        <v/>
      </c>
      <c r="P2304">
        <f>IF($Q2304="","",INDEX(상세표[월 넘김 포함],$Q2304)&amp;"")</f>
        <v/>
      </c>
      <c r="Q2304" s="4">
        <f>IFERROR(MATCH(2299,상세표[연속순번],0),"")</f>
        <v/>
      </c>
    </row>
    <row r="2305">
      <c r="A2305">
        <f>IF($Q2305="","",INDEX(상세표[부서],$Q2305)&amp;"")</f>
        <v/>
      </c>
      <c r="B2305">
        <f>IF($Q2305="","",INDEX(상세표[사번],$Q2305)&amp;"")</f>
        <v/>
      </c>
      <c r="C2305">
        <f>IF($Q2305="","",INDEX(상세표[성명],$Q2305)&amp;"")</f>
        <v/>
      </c>
      <c r="D2305">
        <f>IF($Q2305="","",INDEX(상세표[직위],$Q2305)&amp;"")</f>
        <v/>
      </c>
      <c r="E2305">
        <f>IF($Q2305="","",IF(ISNUMBER(INDEX(상세표[근무일자],$Q2305)),TEXT(INDEX(상세표[근무일자],$Q2305),"yyyy-mm-dd"),INDEX(상세표[근무일자],$Q2305)&amp;""))</f>
        <v/>
      </c>
      <c r="F2305">
        <f>IF($Q2305="","",IF(ISNUMBER(INDEX(상세표[시작],$Q2305)),TEXT(INDEX(상세표[시작],$Q2305),"yyyy-mm-dd hh:mm"),INDEX(상세표[시작],$Q2305)&amp;""))</f>
        <v/>
      </c>
      <c r="G2305">
        <f>IF($Q2305="","",IF(ISNUMBER(INDEX(상세표[블록종료],$Q2305)),TEXT(INDEX(상세표[블록종료],$Q2305),"yyyy-mm-dd hh:mm"),INDEX(상세표[블록종료],$Q2305)&amp;""))</f>
        <v/>
      </c>
      <c r="H2305">
        <f>IF($Q2305="","",CHOOSE(WEEKDAY(INDEX(상세표[시작],$Q2305)),"일","월","화","수","목","금","토"))</f>
        <v/>
      </c>
      <c r="I2305" s="20">
        <f>IF($Q2305="","",INDEX(상세표[연속 시간],$Q2305))</f>
        <v/>
      </c>
      <c r="J2305">
        <f>IF($Q2305="","",INDEX(상세표[기록 수],$Q2305))</f>
        <v/>
      </c>
      <c r="K2305" s="20">
        <f>IF($Q2305="","",INDEX(상세표[블록 06~07시],$Q2305))</f>
        <v/>
      </c>
      <c r="L2305" s="20">
        <f>IF($Q2305="","",INDEX(상세표[블록 07~18시],$Q2305))</f>
        <v/>
      </c>
      <c r="M2305" s="20">
        <f>IF($Q2305="","",INDEX(상세표[블록 18~22시],$Q2305))</f>
        <v/>
      </c>
      <c r="N2305" s="20">
        <f>IF($Q2305="","",INDEX(상세표[블록 22~06시],$Q2305))</f>
        <v/>
      </c>
      <c r="O2305">
        <f>IF($Q2305="","",INDEX(상세표[주말·휴일 포함],$Q2305)&amp;"")</f>
        <v/>
      </c>
      <c r="P2305">
        <f>IF($Q2305="","",INDEX(상세표[월 넘김 포함],$Q2305)&amp;"")</f>
        <v/>
      </c>
      <c r="Q2305" s="4">
        <f>IFERROR(MATCH(2300,상세표[연속순번],0),"")</f>
        <v/>
      </c>
    </row>
    <row r="2306">
      <c r="A2306">
        <f>IF($Q2306="","",INDEX(상세표[부서],$Q2306)&amp;"")</f>
        <v/>
      </c>
      <c r="B2306">
        <f>IF($Q2306="","",INDEX(상세표[사번],$Q2306)&amp;"")</f>
        <v/>
      </c>
      <c r="C2306">
        <f>IF($Q2306="","",INDEX(상세표[성명],$Q2306)&amp;"")</f>
        <v/>
      </c>
      <c r="D2306">
        <f>IF($Q2306="","",INDEX(상세표[직위],$Q2306)&amp;"")</f>
        <v/>
      </c>
      <c r="E2306">
        <f>IF($Q2306="","",IF(ISNUMBER(INDEX(상세표[근무일자],$Q2306)),TEXT(INDEX(상세표[근무일자],$Q2306),"yyyy-mm-dd"),INDEX(상세표[근무일자],$Q2306)&amp;""))</f>
        <v/>
      </c>
      <c r="F2306">
        <f>IF($Q2306="","",IF(ISNUMBER(INDEX(상세표[시작],$Q2306)),TEXT(INDEX(상세표[시작],$Q2306),"yyyy-mm-dd hh:mm"),INDEX(상세표[시작],$Q2306)&amp;""))</f>
        <v/>
      </c>
      <c r="G2306">
        <f>IF($Q2306="","",IF(ISNUMBER(INDEX(상세표[블록종료],$Q2306)),TEXT(INDEX(상세표[블록종료],$Q2306),"yyyy-mm-dd hh:mm"),INDEX(상세표[블록종료],$Q2306)&amp;""))</f>
        <v/>
      </c>
      <c r="H2306">
        <f>IF($Q2306="","",CHOOSE(WEEKDAY(INDEX(상세표[시작],$Q2306)),"일","월","화","수","목","금","토"))</f>
        <v/>
      </c>
      <c r="I2306" s="20">
        <f>IF($Q2306="","",INDEX(상세표[연속 시간],$Q2306))</f>
        <v/>
      </c>
      <c r="J2306">
        <f>IF($Q2306="","",INDEX(상세표[기록 수],$Q2306))</f>
        <v/>
      </c>
      <c r="K2306" s="20">
        <f>IF($Q2306="","",INDEX(상세표[블록 06~07시],$Q2306))</f>
        <v/>
      </c>
      <c r="L2306" s="20">
        <f>IF($Q2306="","",INDEX(상세표[블록 07~18시],$Q2306))</f>
        <v/>
      </c>
      <c r="M2306" s="20">
        <f>IF($Q2306="","",INDEX(상세표[블록 18~22시],$Q2306))</f>
        <v/>
      </c>
      <c r="N2306" s="20">
        <f>IF($Q2306="","",INDEX(상세표[블록 22~06시],$Q2306))</f>
        <v/>
      </c>
      <c r="O2306">
        <f>IF($Q2306="","",INDEX(상세표[주말·휴일 포함],$Q2306)&amp;"")</f>
        <v/>
      </c>
      <c r="P2306">
        <f>IF($Q2306="","",INDEX(상세표[월 넘김 포함],$Q2306)&amp;"")</f>
        <v/>
      </c>
      <c r="Q2306" s="4">
        <f>IFERROR(MATCH(2301,상세표[연속순번],0),"")</f>
        <v/>
      </c>
    </row>
    <row r="2307">
      <c r="A2307">
        <f>IF($Q2307="","",INDEX(상세표[부서],$Q2307)&amp;"")</f>
        <v/>
      </c>
      <c r="B2307">
        <f>IF($Q2307="","",INDEX(상세표[사번],$Q2307)&amp;"")</f>
        <v/>
      </c>
      <c r="C2307">
        <f>IF($Q2307="","",INDEX(상세표[성명],$Q2307)&amp;"")</f>
        <v/>
      </c>
      <c r="D2307">
        <f>IF($Q2307="","",INDEX(상세표[직위],$Q2307)&amp;"")</f>
        <v/>
      </c>
      <c r="E2307">
        <f>IF($Q2307="","",IF(ISNUMBER(INDEX(상세표[근무일자],$Q2307)),TEXT(INDEX(상세표[근무일자],$Q2307),"yyyy-mm-dd"),INDEX(상세표[근무일자],$Q2307)&amp;""))</f>
        <v/>
      </c>
      <c r="F2307">
        <f>IF($Q2307="","",IF(ISNUMBER(INDEX(상세표[시작],$Q2307)),TEXT(INDEX(상세표[시작],$Q2307),"yyyy-mm-dd hh:mm"),INDEX(상세표[시작],$Q2307)&amp;""))</f>
        <v/>
      </c>
      <c r="G2307">
        <f>IF($Q2307="","",IF(ISNUMBER(INDEX(상세표[블록종료],$Q2307)),TEXT(INDEX(상세표[블록종료],$Q2307),"yyyy-mm-dd hh:mm"),INDEX(상세표[블록종료],$Q2307)&amp;""))</f>
        <v/>
      </c>
      <c r="H2307">
        <f>IF($Q2307="","",CHOOSE(WEEKDAY(INDEX(상세표[시작],$Q2307)),"일","월","화","수","목","금","토"))</f>
        <v/>
      </c>
      <c r="I2307" s="20">
        <f>IF($Q2307="","",INDEX(상세표[연속 시간],$Q2307))</f>
        <v/>
      </c>
      <c r="J2307">
        <f>IF($Q2307="","",INDEX(상세표[기록 수],$Q2307))</f>
        <v/>
      </c>
      <c r="K2307" s="20">
        <f>IF($Q2307="","",INDEX(상세표[블록 06~07시],$Q2307))</f>
        <v/>
      </c>
      <c r="L2307" s="20">
        <f>IF($Q2307="","",INDEX(상세표[블록 07~18시],$Q2307))</f>
        <v/>
      </c>
      <c r="M2307" s="20">
        <f>IF($Q2307="","",INDEX(상세표[블록 18~22시],$Q2307))</f>
        <v/>
      </c>
      <c r="N2307" s="20">
        <f>IF($Q2307="","",INDEX(상세표[블록 22~06시],$Q2307))</f>
        <v/>
      </c>
      <c r="O2307">
        <f>IF($Q2307="","",INDEX(상세표[주말·휴일 포함],$Q2307)&amp;"")</f>
        <v/>
      </c>
      <c r="P2307">
        <f>IF($Q2307="","",INDEX(상세표[월 넘김 포함],$Q2307)&amp;"")</f>
        <v/>
      </c>
      <c r="Q2307" s="4">
        <f>IFERROR(MATCH(2302,상세표[연속순번],0),"")</f>
        <v/>
      </c>
    </row>
    <row r="2308">
      <c r="A2308">
        <f>IF($Q2308="","",INDEX(상세표[부서],$Q2308)&amp;"")</f>
        <v/>
      </c>
      <c r="B2308">
        <f>IF($Q2308="","",INDEX(상세표[사번],$Q2308)&amp;"")</f>
        <v/>
      </c>
      <c r="C2308">
        <f>IF($Q2308="","",INDEX(상세표[성명],$Q2308)&amp;"")</f>
        <v/>
      </c>
      <c r="D2308">
        <f>IF($Q2308="","",INDEX(상세표[직위],$Q2308)&amp;"")</f>
        <v/>
      </c>
      <c r="E2308">
        <f>IF($Q2308="","",IF(ISNUMBER(INDEX(상세표[근무일자],$Q2308)),TEXT(INDEX(상세표[근무일자],$Q2308),"yyyy-mm-dd"),INDEX(상세표[근무일자],$Q2308)&amp;""))</f>
        <v/>
      </c>
      <c r="F2308">
        <f>IF($Q2308="","",IF(ISNUMBER(INDEX(상세표[시작],$Q2308)),TEXT(INDEX(상세표[시작],$Q2308),"yyyy-mm-dd hh:mm"),INDEX(상세표[시작],$Q2308)&amp;""))</f>
        <v/>
      </c>
      <c r="G2308">
        <f>IF($Q2308="","",IF(ISNUMBER(INDEX(상세표[블록종료],$Q2308)),TEXT(INDEX(상세표[블록종료],$Q2308),"yyyy-mm-dd hh:mm"),INDEX(상세표[블록종료],$Q2308)&amp;""))</f>
        <v/>
      </c>
      <c r="H2308">
        <f>IF($Q2308="","",CHOOSE(WEEKDAY(INDEX(상세표[시작],$Q2308)),"일","월","화","수","목","금","토"))</f>
        <v/>
      </c>
      <c r="I2308" s="20">
        <f>IF($Q2308="","",INDEX(상세표[연속 시간],$Q2308))</f>
        <v/>
      </c>
      <c r="J2308">
        <f>IF($Q2308="","",INDEX(상세표[기록 수],$Q2308))</f>
        <v/>
      </c>
      <c r="K2308" s="20">
        <f>IF($Q2308="","",INDEX(상세표[블록 06~07시],$Q2308))</f>
        <v/>
      </c>
      <c r="L2308" s="20">
        <f>IF($Q2308="","",INDEX(상세표[블록 07~18시],$Q2308))</f>
        <v/>
      </c>
      <c r="M2308" s="20">
        <f>IF($Q2308="","",INDEX(상세표[블록 18~22시],$Q2308))</f>
        <v/>
      </c>
      <c r="N2308" s="20">
        <f>IF($Q2308="","",INDEX(상세표[블록 22~06시],$Q2308))</f>
        <v/>
      </c>
      <c r="O2308">
        <f>IF($Q2308="","",INDEX(상세표[주말·휴일 포함],$Q2308)&amp;"")</f>
        <v/>
      </c>
      <c r="P2308">
        <f>IF($Q2308="","",INDEX(상세표[월 넘김 포함],$Q2308)&amp;"")</f>
        <v/>
      </c>
      <c r="Q2308" s="4">
        <f>IFERROR(MATCH(2303,상세표[연속순번],0),"")</f>
        <v/>
      </c>
    </row>
    <row r="2309">
      <c r="A2309">
        <f>IF($Q2309="","",INDEX(상세표[부서],$Q2309)&amp;"")</f>
        <v/>
      </c>
      <c r="B2309">
        <f>IF($Q2309="","",INDEX(상세표[사번],$Q2309)&amp;"")</f>
        <v/>
      </c>
      <c r="C2309">
        <f>IF($Q2309="","",INDEX(상세표[성명],$Q2309)&amp;"")</f>
        <v/>
      </c>
      <c r="D2309">
        <f>IF($Q2309="","",INDEX(상세표[직위],$Q2309)&amp;"")</f>
        <v/>
      </c>
      <c r="E2309">
        <f>IF($Q2309="","",IF(ISNUMBER(INDEX(상세표[근무일자],$Q2309)),TEXT(INDEX(상세표[근무일자],$Q2309),"yyyy-mm-dd"),INDEX(상세표[근무일자],$Q2309)&amp;""))</f>
        <v/>
      </c>
      <c r="F2309">
        <f>IF($Q2309="","",IF(ISNUMBER(INDEX(상세표[시작],$Q2309)),TEXT(INDEX(상세표[시작],$Q2309),"yyyy-mm-dd hh:mm"),INDEX(상세표[시작],$Q2309)&amp;""))</f>
        <v/>
      </c>
      <c r="G2309">
        <f>IF($Q2309="","",IF(ISNUMBER(INDEX(상세표[블록종료],$Q2309)),TEXT(INDEX(상세표[블록종료],$Q2309),"yyyy-mm-dd hh:mm"),INDEX(상세표[블록종료],$Q2309)&amp;""))</f>
        <v/>
      </c>
      <c r="H2309">
        <f>IF($Q2309="","",CHOOSE(WEEKDAY(INDEX(상세표[시작],$Q2309)),"일","월","화","수","목","금","토"))</f>
        <v/>
      </c>
      <c r="I2309" s="20">
        <f>IF($Q2309="","",INDEX(상세표[연속 시간],$Q2309))</f>
        <v/>
      </c>
      <c r="J2309">
        <f>IF($Q2309="","",INDEX(상세표[기록 수],$Q2309))</f>
        <v/>
      </c>
      <c r="K2309" s="20">
        <f>IF($Q2309="","",INDEX(상세표[블록 06~07시],$Q2309))</f>
        <v/>
      </c>
      <c r="L2309" s="20">
        <f>IF($Q2309="","",INDEX(상세표[블록 07~18시],$Q2309))</f>
        <v/>
      </c>
      <c r="M2309" s="20">
        <f>IF($Q2309="","",INDEX(상세표[블록 18~22시],$Q2309))</f>
        <v/>
      </c>
      <c r="N2309" s="20">
        <f>IF($Q2309="","",INDEX(상세표[블록 22~06시],$Q2309))</f>
        <v/>
      </c>
      <c r="O2309">
        <f>IF($Q2309="","",INDEX(상세표[주말·휴일 포함],$Q2309)&amp;"")</f>
        <v/>
      </c>
      <c r="P2309">
        <f>IF($Q2309="","",INDEX(상세표[월 넘김 포함],$Q2309)&amp;"")</f>
        <v/>
      </c>
      <c r="Q2309" s="4">
        <f>IFERROR(MATCH(2304,상세표[연속순번],0),"")</f>
        <v/>
      </c>
    </row>
    <row r="2310">
      <c r="A2310">
        <f>IF($Q2310="","",INDEX(상세표[부서],$Q2310)&amp;"")</f>
        <v/>
      </c>
      <c r="B2310">
        <f>IF($Q2310="","",INDEX(상세표[사번],$Q2310)&amp;"")</f>
        <v/>
      </c>
      <c r="C2310">
        <f>IF($Q2310="","",INDEX(상세표[성명],$Q2310)&amp;"")</f>
        <v/>
      </c>
      <c r="D2310">
        <f>IF($Q2310="","",INDEX(상세표[직위],$Q2310)&amp;"")</f>
        <v/>
      </c>
      <c r="E2310">
        <f>IF($Q2310="","",IF(ISNUMBER(INDEX(상세표[근무일자],$Q2310)),TEXT(INDEX(상세표[근무일자],$Q2310),"yyyy-mm-dd"),INDEX(상세표[근무일자],$Q2310)&amp;""))</f>
        <v/>
      </c>
      <c r="F2310">
        <f>IF($Q2310="","",IF(ISNUMBER(INDEX(상세표[시작],$Q2310)),TEXT(INDEX(상세표[시작],$Q2310),"yyyy-mm-dd hh:mm"),INDEX(상세표[시작],$Q2310)&amp;""))</f>
        <v/>
      </c>
      <c r="G2310">
        <f>IF($Q2310="","",IF(ISNUMBER(INDEX(상세표[블록종료],$Q2310)),TEXT(INDEX(상세표[블록종료],$Q2310),"yyyy-mm-dd hh:mm"),INDEX(상세표[블록종료],$Q2310)&amp;""))</f>
        <v/>
      </c>
      <c r="H2310">
        <f>IF($Q2310="","",CHOOSE(WEEKDAY(INDEX(상세표[시작],$Q2310)),"일","월","화","수","목","금","토"))</f>
        <v/>
      </c>
      <c r="I2310" s="20">
        <f>IF($Q2310="","",INDEX(상세표[연속 시간],$Q2310))</f>
        <v/>
      </c>
      <c r="J2310">
        <f>IF($Q2310="","",INDEX(상세표[기록 수],$Q2310))</f>
        <v/>
      </c>
      <c r="K2310" s="20">
        <f>IF($Q2310="","",INDEX(상세표[블록 06~07시],$Q2310))</f>
        <v/>
      </c>
      <c r="L2310" s="20">
        <f>IF($Q2310="","",INDEX(상세표[블록 07~18시],$Q2310))</f>
        <v/>
      </c>
      <c r="M2310" s="20">
        <f>IF($Q2310="","",INDEX(상세표[블록 18~22시],$Q2310))</f>
        <v/>
      </c>
      <c r="N2310" s="20">
        <f>IF($Q2310="","",INDEX(상세표[블록 22~06시],$Q2310))</f>
        <v/>
      </c>
      <c r="O2310">
        <f>IF($Q2310="","",INDEX(상세표[주말·휴일 포함],$Q2310)&amp;"")</f>
        <v/>
      </c>
      <c r="P2310">
        <f>IF($Q2310="","",INDEX(상세표[월 넘김 포함],$Q2310)&amp;"")</f>
        <v/>
      </c>
      <c r="Q2310" s="4">
        <f>IFERROR(MATCH(2305,상세표[연속순번],0),"")</f>
        <v/>
      </c>
    </row>
    <row r="2311">
      <c r="A2311">
        <f>IF($Q2311="","",INDEX(상세표[부서],$Q2311)&amp;"")</f>
        <v/>
      </c>
      <c r="B2311">
        <f>IF($Q2311="","",INDEX(상세표[사번],$Q2311)&amp;"")</f>
        <v/>
      </c>
      <c r="C2311">
        <f>IF($Q2311="","",INDEX(상세표[성명],$Q2311)&amp;"")</f>
        <v/>
      </c>
      <c r="D2311">
        <f>IF($Q2311="","",INDEX(상세표[직위],$Q2311)&amp;"")</f>
        <v/>
      </c>
      <c r="E2311">
        <f>IF($Q2311="","",IF(ISNUMBER(INDEX(상세표[근무일자],$Q2311)),TEXT(INDEX(상세표[근무일자],$Q2311),"yyyy-mm-dd"),INDEX(상세표[근무일자],$Q2311)&amp;""))</f>
        <v/>
      </c>
      <c r="F2311">
        <f>IF($Q2311="","",IF(ISNUMBER(INDEX(상세표[시작],$Q2311)),TEXT(INDEX(상세표[시작],$Q2311),"yyyy-mm-dd hh:mm"),INDEX(상세표[시작],$Q2311)&amp;""))</f>
        <v/>
      </c>
      <c r="G2311">
        <f>IF($Q2311="","",IF(ISNUMBER(INDEX(상세표[블록종료],$Q2311)),TEXT(INDEX(상세표[블록종료],$Q2311),"yyyy-mm-dd hh:mm"),INDEX(상세표[블록종료],$Q2311)&amp;""))</f>
        <v/>
      </c>
      <c r="H2311">
        <f>IF($Q2311="","",CHOOSE(WEEKDAY(INDEX(상세표[시작],$Q2311)),"일","월","화","수","목","금","토"))</f>
        <v/>
      </c>
      <c r="I2311" s="20">
        <f>IF($Q2311="","",INDEX(상세표[연속 시간],$Q2311))</f>
        <v/>
      </c>
      <c r="J2311">
        <f>IF($Q2311="","",INDEX(상세표[기록 수],$Q2311))</f>
        <v/>
      </c>
      <c r="K2311" s="20">
        <f>IF($Q2311="","",INDEX(상세표[블록 06~07시],$Q2311))</f>
        <v/>
      </c>
      <c r="L2311" s="20">
        <f>IF($Q2311="","",INDEX(상세표[블록 07~18시],$Q2311))</f>
        <v/>
      </c>
      <c r="M2311" s="20">
        <f>IF($Q2311="","",INDEX(상세표[블록 18~22시],$Q2311))</f>
        <v/>
      </c>
      <c r="N2311" s="20">
        <f>IF($Q2311="","",INDEX(상세표[블록 22~06시],$Q2311))</f>
        <v/>
      </c>
      <c r="O2311">
        <f>IF($Q2311="","",INDEX(상세표[주말·휴일 포함],$Q2311)&amp;"")</f>
        <v/>
      </c>
      <c r="P2311">
        <f>IF($Q2311="","",INDEX(상세표[월 넘김 포함],$Q2311)&amp;"")</f>
        <v/>
      </c>
      <c r="Q2311" s="4">
        <f>IFERROR(MATCH(2306,상세표[연속순번],0),"")</f>
        <v/>
      </c>
    </row>
    <row r="2312">
      <c r="A2312">
        <f>IF($Q2312="","",INDEX(상세표[부서],$Q2312)&amp;"")</f>
        <v/>
      </c>
      <c r="B2312">
        <f>IF($Q2312="","",INDEX(상세표[사번],$Q2312)&amp;"")</f>
        <v/>
      </c>
      <c r="C2312">
        <f>IF($Q2312="","",INDEX(상세표[성명],$Q2312)&amp;"")</f>
        <v/>
      </c>
      <c r="D2312">
        <f>IF($Q2312="","",INDEX(상세표[직위],$Q2312)&amp;"")</f>
        <v/>
      </c>
      <c r="E2312">
        <f>IF($Q2312="","",IF(ISNUMBER(INDEX(상세표[근무일자],$Q2312)),TEXT(INDEX(상세표[근무일자],$Q2312),"yyyy-mm-dd"),INDEX(상세표[근무일자],$Q2312)&amp;""))</f>
        <v/>
      </c>
      <c r="F2312">
        <f>IF($Q2312="","",IF(ISNUMBER(INDEX(상세표[시작],$Q2312)),TEXT(INDEX(상세표[시작],$Q2312),"yyyy-mm-dd hh:mm"),INDEX(상세표[시작],$Q2312)&amp;""))</f>
        <v/>
      </c>
      <c r="G2312">
        <f>IF($Q2312="","",IF(ISNUMBER(INDEX(상세표[블록종료],$Q2312)),TEXT(INDEX(상세표[블록종료],$Q2312),"yyyy-mm-dd hh:mm"),INDEX(상세표[블록종료],$Q2312)&amp;""))</f>
        <v/>
      </c>
      <c r="H2312">
        <f>IF($Q2312="","",CHOOSE(WEEKDAY(INDEX(상세표[시작],$Q2312)),"일","월","화","수","목","금","토"))</f>
        <v/>
      </c>
      <c r="I2312" s="20">
        <f>IF($Q2312="","",INDEX(상세표[연속 시간],$Q2312))</f>
        <v/>
      </c>
      <c r="J2312">
        <f>IF($Q2312="","",INDEX(상세표[기록 수],$Q2312))</f>
        <v/>
      </c>
      <c r="K2312" s="20">
        <f>IF($Q2312="","",INDEX(상세표[블록 06~07시],$Q2312))</f>
        <v/>
      </c>
      <c r="L2312" s="20">
        <f>IF($Q2312="","",INDEX(상세표[블록 07~18시],$Q2312))</f>
        <v/>
      </c>
      <c r="M2312" s="20">
        <f>IF($Q2312="","",INDEX(상세표[블록 18~22시],$Q2312))</f>
        <v/>
      </c>
      <c r="N2312" s="20">
        <f>IF($Q2312="","",INDEX(상세표[블록 22~06시],$Q2312))</f>
        <v/>
      </c>
      <c r="O2312">
        <f>IF($Q2312="","",INDEX(상세표[주말·휴일 포함],$Q2312)&amp;"")</f>
        <v/>
      </c>
      <c r="P2312">
        <f>IF($Q2312="","",INDEX(상세표[월 넘김 포함],$Q2312)&amp;"")</f>
        <v/>
      </c>
      <c r="Q2312" s="4">
        <f>IFERROR(MATCH(2307,상세표[연속순번],0),"")</f>
        <v/>
      </c>
    </row>
    <row r="2313">
      <c r="A2313">
        <f>IF($Q2313="","",INDEX(상세표[부서],$Q2313)&amp;"")</f>
        <v/>
      </c>
      <c r="B2313">
        <f>IF($Q2313="","",INDEX(상세표[사번],$Q2313)&amp;"")</f>
        <v/>
      </c>
      <c r="C2313">
        <f>IF($Q2313="","",INDEX(상세표[성명],$Q2313)&amp;"")</f>
        <v/>
      </c>
      <c r="D2313">
        <f>IF($Q2313="","",INDEX(상세표[직위],$Q2313)&amp;"")</f>
        <v/>
      </c>
      <c r="E2313">
        <f>IF($Q2313="","",IF(ISNUMBER(INDEX(상세표[근무일자],$Q2313)),TEXT(INDEX(상세표[근무일자],$Q2313),"yyyy-mm-dd"),INDEX(상세표[근무일자],$Q2313)&amp;""))</f>
        <v/>
      </c>
      <c r="F2313">
        <f>IF($Q2313="","",IF(ISNUMBER(INDEX(상세표[시작],$Q2313)),TEXT(INDEX(상세표[시작],$Q2313),"yyyy-mm-dd hh:mm"),INDEX(상세표[시작],$Q2313)&amp;""))</f>
        <v/>
      </c>
      <c r="G2313">
        <f>IF($Q2313="","",IF(ISNUMBER(INDEX(상세표[블록종료],$Q2313)),TEXT(INDEX(상세표[블록종료],$Q2313),"yyyy-mm-dd hh:mm"),INDEX(상세표[블록종료],$Q2313)&amp;""))</f>
        <v/>
      </c>
      <c r="H2313">
        <f>IF($Q2313="","",CHOOSE(WEEKDAY(INDEX(상세표[시작],$Q2313)),"일","월","화","수","목","금","토"))</f>
        <v/>
      </c>
      <c r="I2313" s="20">
        <f>IF($Q2313="","",INDEX(상세표[연속 시간],$Q2313))</f>
        <v/>
      </c>
      <c r="J2313">
        <f>IF($Q2313="","",INDEX(상세표[기록 수],$Q2313))</f>
        <v/>
      </c>
      <c r="K2313" s="20">
        <f>IF($Q2313="","",INDEX(상세표[블록 06~07시],$Q2313))</f>
        <v/>
      </c>
      <c r="L2313" s="20">
        <f>IF($Q2313="","",INDEX(상세표[블록 07~18시],$Q2313))</f>
        <v/>
      </c>
      <c r="M2313" s="20">
        <f>IF($Q2313="","",INDEX(상세표[블록 18~22시],$Q2313))</f>
        <v/>
      </c>
      <c r="N2313" s="20">
        <f>IF($Q2313="","",INDEX(상세표[블록 22~06시],$Q2313))</f>
        <v/>
      </c>
      <c r="O2313">
        <f>IF($Q2313="","",INDEX(상세표[주말·휴일 포함],$Q2313)&amp;"")</f>
        <v/>
      </c>
      <c r="P2313">
        <f>IF($Q2313="","",INDEX(상세표[월 넘김 포함],$Q2313)&amp;"")</f>
        <v/>
      </c>
      <c r="Q2313" s="4">
        <f>IFERROR(MATCH(2308,상세표[연속순번],0),"")</f>
        <v/>
      </c>
    </row>
    <row r="2314">
      <c r="A2314">
        <f>IF($Q2314="","",INDEX(상세표[부서],$Q2314)&amp;"")</f>
        <v/>
      </c>
      <c r="B2314">
        <f>IF($Q2314="","",INDEX(상세표[사번],$Q2314)&amp;"")</f>
        <v/>
      </c>
      <c r="C2314">
        <f>IF($Q2314="","",INDEX(상세표[성명],$Q2314)&amp;"")</f>
        <v/>
      </c>
      <c r="D2314">
        <f>IF($Q2314="","",INDEX(상세표[직위],$Q2314)&amp;"")</f>
        <v/>
      </c>
      <c r="E2314">
        <f>IF($Q2314="","",IF(ISNUMBER(INDEX(상세표[근무일자],$Q2314)),TEXT(INDEX(상세표[근무일자],$Q2314),"yyyy-mm-dd"),INDEX(상세표[근무일자],$Q2314)&amp;""))</f>
        <v/>
      </c>
      <c r="F2314">
        <f>IF($Q2314="","",IF(ISNUMBER(INDEX(상세표[시작],$Q2314)),TEXT(INDEX(상세표[시작],$Q2314),"yyyy-mm-dd hh:mm"),INDEX(상세표[시작],$Q2314)&amp;""))</f>
        <v/>
      </c>
      <c r="G2314">
        <f>IF($Q2314="","",IF(ISNUMBER(INDEX(상세표[블록종료],$Q2314)),TEXT(INDEX(상세표[블록종료],$Q2314),"yyyy-mm-dd hh:mm"),INDEX(상세표[블록종료],$Q2314)&amp;""))</f>
        <v/>
      </c>
      <c r="H2314">
        <f>IF($Q2314="","",CHOOSE(WEEKDAY(INDEX(상세표[시작],$Q2314)),"일","월","화","수","목","금","토"))</f>
        <v/>
      </c>
      <c r="I2314" s="20">
        <f>IF($Q2314="","",INDEX(상세표[연속 시간],$Q2314))</f>
        <v/>
      </c>
      <c r="J2314">
        <f>IF($Q2314="","",INDEX(상세표[기록 수],$Q2314))</f>
        <v/>
      </c>
      <c r="K2314" s="20">
        <f>IF($Q2314="","",INDEX(상세표[블록 06~07시],$Q2314))</f>
        <v/>
      </c>
      <c r="L2314" s="20">
        <f>IF($Q2314="","",INDEX(상세표[블록 07~18시],$Q2314))</f>
        <v/>
      </c>
      <c r="M2314" s="20">
        <f>IF($Q2314="","",INDEX(상세표[블록 18~22시],$Q2314))</f>
        <v/>
      </c>
      <c r="N2314" s="20">
        <f>IF($Q2314="","",INDEX(상세표[블록 22~06시],$Q2314))</f>
        <v/>
      </c>
      <c r="O2314">
        <f>IF($Q2314="","",INDEX(상세표[주말·휴일 포함],$Q2314)&amp;"")</f>
        <v/>
      </c>
      <c r="P2314">
        <f>IF($Q2314="","",INDEX(상세표[월 넘김 포함],$Q2314)&amp;"")</f>
        <v/>
      </c>
      <c r="Q2314" s="4">
        <f>IFERROR(MATCH(2309,상세표[연속순번],0),"")</f>
        <v/>
      </c>
    </row>
    <row r="2315">
      <c r="A2315">
        <f>IF($Q2315="","",INDEX(상세표[부서],$Q2315)&amp;"")</f>
        <v/>
      </c>
      <c r="B2315">
        <f>IF($Q2315="","",INDEX(상세표[사번],$Q2315)&amp;"")</f>
        <v/>
      </c>
      <c r="C2315">
        <f>IF($Q2315="","",INDEX(상세표[성명],$Q2315)&amp;"")</f>
        <v/>
      </c>
      <c r="D2315">
        <f>IF($Q2315="","",INDEX(상세표[직위],$Q2315)&amp;"")</f>
        <v/>
      </c>
      <c r="E2315">
        <f>IF($Q2315="","",IF(ISNUMBER(INDEX(상세표[근무일자],$Q2315)),TEXT(INDEX(상세표[근무일자],$Q2315),"yyyy-mm-dd"),INDEX(상세표[근무일자],$Q2315)&amp;""))</f>
        <v/>
      </c>
      <c r="F2315">
        <f>IF($Q2315="","",IF(ISNUMBER(INDEX(상세표[시작],$Q2315)),TEXT(INDEX(상세표[시작],$Q2315),"yyyy-mm-dd hh:mm"),INDEX(상세표[시작],$Q2315)&amp;""))</f>
        <v/>
      </c>
      <c r="G2315">
        <f>IF($Q2315="","",IF(ISNUMBER(INDEX(상세표[블록종료],$Q2315)),TEXT(INDEX(상세표[블록종료],$Q2315),"yyyy-mm-dd hh:mm"),INDEX(상세표[블록종료],$Q2315)&amp;""))</f>
        <v/>
      </c>
      <c r="H2315">
        <f>IF($Q2315="","",CHOOSE(WEEKDAY(INDEX(상세표[시작],$Q2315)),"일","월","화","수","목","금","토"))</f>
        <v/>
      </c>
      <c r="I2315" s="20">
        <f>IF($Q2315="","",INDEX(상세표[연속 시간],$Q2315))</f>
        <v/>
      </c>
      <c r="J2315">
        <f>IF($Q2315="","",INDEX(상세표[기록 수],$Q2315))</f>
        <v/>
      </c>
      <c r="K2315" s="20">
        <f>IF($Q2315="","",INDEX(상세표[블록 06~07시],$Q2315))</f>
        <v/>
      </c>
      <c r="L2315" s="20">
        <f>IF($Q2315="","",INDEX(상세표[블록 07~18시],$Q2315))</f>
        <v/>
      </c>
      <c r="M2315" s="20">
        <f>IF($Q2315="","",INDEX(상세표[블록 18~22시],$Q2315))</f>
        <v/>
      </c>
      <c r="N2315" s="20">
        <f>IF($Q2315="","",INDEX(상세표[블록 22~06시],$Q2315))</f>
        <v/>
      </c>
      <c r="O2315">
        <f>IF($Q2315="","",INDEX(상세표[주말·휴일 포함],$Q2315)&amp;"")</f>
        <v/>
      </c>
      <c r="P2315">
        <f>IF($Q2315="","",INDEX(상세표[월 넘김 포함],$Q2315)&amp;"")</f>
        <v/>
      </c>
      <c r="Q2315" s="4">
        <f>IFERROR(MATCH(2310,상세표[연속순번],0),"")</f>
        <v/>
      </c>
    </row>
    <row r="2316">
      <c r="A2316">
        <f>IF($Q2316="","",INDEX(상세표[부서],$Q2316)&amp;"")</f>
        <v/>
      </c>
      <c r="B2316">
        <f>IF($Q2316="","",INDEX(상세표[사번],$Q2316)&amp;"")</f>
        <v/>
      </c>
      <c r="C2316">
        <f>IF($Q2316="","",INDEX(상세표[성명],$Q2316)&amp;"")</f>
        <v/>
      </c>
      <c r="D2316">
        <f>IF($Q2316="","",INDEX(상세표[직위],$Q2316)&amp;"")</f>
        <v/>
      </c>
      <c r="E2316">
        <f>IF($Q2316="","",IF(ISNUMBER(INDEX(상세표[근무일자],$Q2316)),TEXT(INDEX(상세표[근무일자],$Q2316),"yyyy-mm-dd"),INDEX(상세표[근무일자],$Q2316)&amp;""))</f>
        <v/>
      </c>
      <c r="F2316">
        <f>IF($Q2316="","",IF(ISNUMBER(INDEX(상세표[시작],$Q2316)),TEXT(INDEX(상세표[시작],$Q2316),"yyyy-mm-dd hh:mm"),INDEX(상세표[시작],$Q2316)&amp;""))</f>
        <v/>
      </c>
      <c r="G2316">
        <f>IF($Q2316="","",IF(ISNUMBER(INDEX(상세표[블록종료],$Q2316)),TEXT(INDEX(상세표[블록종료],$Q2316),"yyyy-mm-dd hh:mm"),INDEX(상세표[블록종료],$Q2316)&amp;""))</f>
        <v/>
      </c>
      <c r="H2316">
        <f>IF($Q2316="","",CHOOSE(WEEKDAY(INDEX(상세표[시작],$Q2316)),"일","월","화","수","목","금","토"))</f>
        <v/>
      </c>
      <c r="I2316" s="20">
        <f>IF($Q2316="","",INDEX(상세표[연속 시간],$Q2316))</f>
        <v/>
      </c>
      <c r="J2316">
        <f>IF($Q2316="","",INDEX(상세표[기록 수],$Q2316))</f>
        <v/>
      </c>
      <c r="K2316" s="20">
        <f>IF($Q2316="","",INDEX(상세표[블록 06~07시],$Q2316))</f>
        <v/>
      </c>
      <c r="L2316" s="20">
        <f>IF($Q2316="","",INDEX(상세표[블록 07~18시],$Q2316))</f>
        <v/>
      </c>
      <c r="M2316" s="20">
        <f>IF($Q2316="","",INDEX(상세표[블록 18~22시],$Q2316))</f>
        <v/>
      </c>
      <c r="N2316" s="20">
        <f>IF($Q2316="","",INDEX(상세표[블록 22~06시],$Q2316))</f>
        <v/>
      </c>
      <c r="O2316">
        <f>IF($Q2316="","",INDEX(상세표[주말·휴일 포함],$Q2316)&amp;"")</f>
        <v/>
      </c>
      <c r="P2316">
        <f>IF($Q2316="","",INDEX(상세표[월 넘김 포함],$Q2316)&amp;"")</f>
        <v/>
      </c>
      <c r="Q2316" s="4">
        <f>IFERROR(MATCH(2311,상세표[연속순번],0),"")</f>
        <v/>
      </c>
    </row>
    <row r="2317">
      <c r="A2317">
        <f>IF($Q2317="","",INDEX(상세표[부서],$Q2317)&amp;"")</f>
        <v/>
      </c>
      <c r="B2317">
        <f>IF($Q2317="","",INDEX(상세표[사번],$Q2317)&amp;"")</f>
        <v/>
      </c>
      <c r="C2317">
        <f>IF($Q2317="","",INDEX(상세표[성명],$Q2317)&amp;"")</f>
        <v/>
      </c>
      <c r="D2317">
        <f>IF($Q2317="","",INDEX(상세표[직위],$Q2317)&amp;"")</f>
        <v/>
      </c>
      <c r="E2317">
        <f>IF($Q2317="","",IF(ISNUMBER(INDEX(상세표[근무일자],$Q2317)),TEXT(INDEX(상세표[근무일자],$Q2317),"yyyy-mm-dd"),INDEX(상세표[근무일자],$Q2317)&amp;""))</f>
        <v/>
      </c>
      <c r="F2317">
        <f>IF($Q2317="","",IF(ISNUMBER(INDEX(상세표[시작],$Q2317)),TEXT(INDEX(상세표[시작],$Q2317),"yyyy-mm-dd hh:mm"),INDEX(상세표[시작],$Q2317)&amp;""))</f>
        <v/>
      </c>
      <c r="G2317">
        <f>IF($Q2317="","",IF(ISNUMBER(INDEX(상세표[블록종료],$Q2317)),TEXT(INDEX(상세표[블록종료],$Q2317),"yyyy-mm-dd hh:mm"),INDEX(상세표[블록종료],$Q2317)&amp;""))</f>
        <v/>
      </c>
      <c r="H2317">
        <f>IF($Q2317="","",CHOOSE(WEEKDAY(INDEX(상세표[시작],$Q2317)),"일","월","화","수","목","금","토"))</f>
        <v/>
      </c>
      <c r="I2317" s="20">
        <f>IF($Q2317="","",INDEX(상세표[연속 시간],$Q2317))</f>
        <v/>
      </c>
      <c r="J2317">
        <f>IF($Q2317="","",INDEX(상세표[기록 수],$Q2317))</f>
        <v/>
      </c>
      <c r="K2317" s="20">
        <f>IF($Q2317="","",INDEX(상세표[블록 06~07시],$Q2317))</f>
        <v/>
      </c>
      <c r="L2317" s="20">
        <f>IF($Q2317="","",INDEX(상세표[블록 07~18시],$Q2317))</f>
        <v/>
      </c>
      <c r="M2317" s="20">
        <f>IF($Q2317="","",INDEX(상세표[블록 18~22시],$Q2317))</f>
        <v/>
      </c>
      <c r="N2317" s="20">
        <f>IF($Q2317="","",INDEX(상세표[블록 22~06시],$Q2317))</f>
        <v/>
      </c>
      <c r="O2317">
        <f>IF($Q2317="","",INDEX(상세표[주말·휴일 포함],$Q2317)&amp;"")</f>
        <v/>
      </c>
      <c r="P2317">
        <f>IF($Q2317="","",INDEX(상세표[월 넘김 포함],$Q2317)&amp;"")</f>
        <v/>
      </c>
      <c r="Q2317" s="4">
        <f>IFERROR(MATCH(2312,상세표[연속순번],0),"")</f>
        <v/>
      </c>
    </row>
    <row r="2318">
      <c r="A2318">
        <f>IF($Q2318="","",INDEX(상세표[부서],$Q2318)&amp;"")</f>
        <v/>
      </c>
      <c r="B2318">
        <f>IF($Q2318="","",INDEX(상세표[사번],$Q2318)&amp;"")</f>
        <v/>
      </c>
      <c r="C2318">
        <f>IF($Q2318="","",INDEX(상세표[성명],$Q2318)&amp;"")</f>
        <v/>
      </c>
      <c r="D2318">
        <f>IF($Q2318="","",INDEX(상세표[직위],$Q2318)&amp;"")</f>
        <v/>
      </c>
      <c r="E2318">
        <f>IF($Q2318="","",IF(ISNUMBER(INDEX(상세표[근무일자],$Q2318)),TEXT(INDEX(상세표[근무일자],$Q2318),"yyyy-mm-dd"),INDEX(상세표[근무일자],$Q2318)&amp;""))</f>
        <v/>
      </c>
      <c r="F2318">
        <f>IF($Q2318="","",IF(ISNUMBER(INDEX(상세표[시작],$Q2318)),TEXT(INDEX(상세표[시작],$Q2318),"yyyy-mm-dd hh:mm"),INDEX(상세표[시작],$Q2318)&amp;""))</f>
        <v/>
      </c>
      <c r="G2318">
        <f>IF($Q2318="","",IF(ISNUMBER(INDEX(상세표[블록종료],$Q2318)),TEXT(INDEX(상세표[블록종료],$Q2318),"yyyy-mm-dd hh:mm"),INDEX(상세표[블록종료],$Q2318)&amp;""))</f>
        <v/>
      </c>
      <c r="H2318">
        <f>IF($Q2318="","",CHOOSE(WEEKDAY(INDEX(상세표[시작],$Q2318)),"일","월","화","수","목","금","토"))</f>
        <v/>
      </c>
      <c r="I2318" s="20">
        <f>IF($Q2318="","",INDEX(상세표[연속 시간],$Q2318))</f>
        <v/>
      </c>
      <c r="J2318">
        <f>IF($Q2318="","",INDEX(상세표[기록 수],$Q2318))</f>
        <v/>
      </c>
      <c r="K2318" s="20">
        <f>IF($Q2318="","",INDEX(상세표[블록 06~07시],$Q2318))</f>
        <v/>
      </c>
      <c r="L2318" s="20">
        <f>IF($Q2318="","",INDEX(상세표[블록 07~18시],$Q2318))</f>
        <v/>
      </c>
      <c r="M2318" s="20">
        <f>IF($Q2318="","",INDEX(상세표[블록 18~22시],$Q2318))</f>
        <v/>
      </c>
      <c r="N2318" s="20">
        <f>IF($Q2318="","",INDEX(상세표[블록 22~06시],$Q2318))</f>
        <v/>
      </c>
      <c r="O2318">
        <f>IF($Q2318="","",INDEX(상세표[주말·휴일 포함],$Q2318)&amp;"")</f>
        <v/>
      </c>
      <c r="P2318">
        <f>IF($Q2318="","",INDEX(상세표[월 넘김 포함],$Q2318)&amp;"")</f>
        <v/>
      </c>
      <c r="Q2318" s="4">
        <f>IFERROR(MATCH(2313,상세표[연속순번],0),"")</f>
        <v/>
      </c>
    </row>
    <row r="2319">
      <c r="A2319">
        <f>IF($Q2319="","",INDEX(상세표[부서],$Q2319)&amp;"")</f>
        <v/>
      </c>
      <c r="B2319">
        <f>IF($Q2319="","",INDEX(상세표[사번],$Q2319)&amp;"")</f>
        <v/>
      </c>
      <c r="C2319">
        <f>IF($Q2319="","",INDEX(상세표[성명],$Q2319)&amp;"")</f>
        <v/>
      </c>
      <c r="D2319">
        <f>IF($Q2319="","",INDEX(상세표[직위],$Q2319)&amp;"")</f>
        <v/>
      </c>
      <c r="E2319">
        <f>IF($Q2319="","",IF(ISNUMBER(INDEX(상세표[근무일자],$Q2319)),TEXT(INDEX(상세표[근무일자],$Q2319),"yyyy-mm-dd"),INDEX(상세표[근무일자],$Q2319)&amp;""))</f>
        <v/>
      </c>
      <c r="F2319">
        <f>IF($Q2319="","",IF(ISNUMBER(INDEX(상세표[시작],$Q2319)),TEXT(INDEX(상세표[시작],$Q2319),"yyyy-mm-dd hh:mm"),INDEX(상세표[시작],$Q2319)&amp;""))</f>
        <v/>
      </c>
      <c r="G2319">
        <f>IF($Q2319="","",IF(ISNUMBER(INDEX(상세표[블록종료],$Q2319)),TEXT(INDEX(상세표[블록종료],$Q2319),"yyyy-mm-dd hh:mm"),INDEX(상세표[블록종료],$Q2319)&amp;""))</f>
        <v/>
      </c>
      <c r="H2319">
        <f>IF($Q2319="","",CHOOSE(WEEKDAY(INDEX(상세표[시작],$Q2319)),"일","월","화","수","목","금","토"))</f>
        <v/>
      </c>
      <c r="I2319" s="20">
        <f>IF($Q2319="","",INDEX(상세표[연속 시간],$Q2319))</f>
        <v/>
      </c>
      <c r="J2319">
        <f>IF($Q2319="","",INDEX(상세표[기록 수],$Q2319))</f>
        <v/>
      </c>
      <c r="K2319" s="20">
        <f>IF($Q2319="","",INDEX(상세표[블록 06~07시],$Q2319))</f>
        <v/>
      </c>
      <c r="L2319" s="20">
        <f>IF($Q2319="","",INDEX(상세표[블록 07~18시],$Q2319))</f>
        <v/>
      </c>
      <c r="M2319" s="20">
        <f>IF($Q2319="","",INDEX(상세표[블록 18~22시],$Q2319))</f>
        <v/>
      </c>
      <c r="N2319" s="20">
        <f>IF($Q2319="","",INDEX(상세표[블록 22~06시],$Q2319))</f>
        <v/>
      </c>
      <c r="O2319">
        <f>IF($Q2319="","",INDEX(상세표[주말·휴일 포함],$Q2319)&amp;"")</f>
        <v/>
      </c>
      <c r="P2319">
        <f>IF($Q2319="","",INDEX(상세표[월 넘김 포함],$Q2319)&amp;"")</f>
        <v/>
      </c>
      <c r="Q2319" s="4">
        <f>IFERROR(MATCH(2314,상세표[연속순번],0),"")</f>
        <v/>
      </c>
    </row>
    <row r="2320">
      <c r="A2320">
        <f>IF($Q2320="","",INDEX(상세표[부서],$Q2320)&amp;"")</f>
        <v/>
      </c>
      <c r="B2320">
        <f>IF($Q2320="","",INDEX(상세표[사번],$Q2320)&amp;"")</f>
        <v/>
      </c>
      <c r="C2320">
        <f>IF($Q2320="","",INDEX(상세표[성명],$Q2320)&amp;"")</f>
        <v/>
      </c>
      <c r="D2320">
        <f>IF($Q2320="","",INDEX(상세표[직위],$Q2320)&amp;"")</f>
        <v/>
      </c>
      <c r="E2320">
        <f>IF($Q2320="","",IF(ISNUMBER(INDEX(상세표[근무일자],$Q2320)),TEXT(INDEX(상세표[근무일자],$Q2320),"yyyy-mm-dd"),INDEX(상세표[근무일자],$Q2320)&amp;""))</f>
        <v/>
      </c>
      <c r="F2320">
        <f>IF($Q2320="","",IF(ISNUMBER(INDEX(상세표[시작],$Q2320)),TEXT(INDEX(상세표[시작],$Q2320),"yyyy-mm-dd hh:mm"),INDEX(상세표[시작],$Q2320)&amp;""))</f>
        <v/>
      </c>
      <c r="G2320">
        <f>IF($Q2320="","",IF(ISNUMBER(INDEX(상세표[블록종료],$Q2320)),TEXT(INDEX(상세표[블록종료],$Q2320),"yyyy-mm-dd hh:mm"),INDEX(상세표[블록종료],$Q2320)&amp;""))</f>
        <v/>
      </c>
      <c r="H2320">
        <f>IF($Q2320="","",CHOOSE(WEEKDAY(INDEX(상세표[시작],$Q2320)),"일","월","화","수","목","금","토"))</f>
        <v/>
      </c>
      <c r="I2320" s="20">
        <f>IF($Q2320="","",INDEX(상세표[연속 시간],$Q2320))</f>
        <v/>
      </c>
      <c r="J2320">
        <f>IF($Q2320="","",INDEX(상세표[기록 수],$Q2320))</f>
        <v/>
      </c>
      <c r="K2320" s="20">
        <f>IF($Q2320="","",INDEX(상세표[블록 06~07시],$Q2320))</f>
        <v/>
      </c>
      <c r="L2320" s="20">
        <f>IF($Q2320="","",INDEX(상세표[블록 07~18시],$Q2320))</f>
        <v/>
      </c>
      <c r="M2320" s="20">
        <f>IF($Q2320="","",INDEX(상세표[블록 18~22시],$Q2320))</f>
        <v/>
      </c>
      <c r="N2320" s="20">
        <f>IF($Q2320="","",INDEX(상세표[블록 22~06시],$Q2320))</f>
        <v/>
      </c>
      <c r="O2320">
        <f>IF($Q2320="","",INDEX(상세표[주말·휴일 포함],$Q2320)&amp;"")</f>
        <v/>
      </c>
      <c r="P2320">
        <f>IF($Q2320="","",INDEX(상세표[월 넘김 포함],$Q2320)&amp;"")</f>
        <v/>
      </c>
      <c r="Q2320" s="4">
        <f>IFERROR(MATCH(2315,상세표[연속순번],0),"")</f>
        <v/>
      </c>
    </row>
    <row r="2321">
      <c r="A2321">
        <f>IF($Q2321="","",INDEX(상세표[부서],$Q2321)&amp;"")</f>
        <v/>
      </c>
      <c r="B2321">
        <f>IF($Q2321="","",INDEX(상세표[사번],$Q2321)&amp;"")</f>
        <v/>
      </c>
      <c r="C2321">
        <f>IF($Q2321="","",INDEX(상세표[성명],$Q2321)&amp;"")</f>
        <v/>
      </c>
      <c r="D2321">
        <f>IF($Q2321="","",INDEX(상세표[직위],$Q2321)&amp;"")</f>
        <v/>
      </c>
      <c r="E2321">
        <f>IF($Q2321="","",IF(ISNUMBER(INDEX(상세표[근무일자],$Q2321)),TEXT(INDEX(상세표[근무일자],$Q2321),"yyyy-mm-dd"),INDEX(상세표[근무일자],$Q2321)&amp;""))</f>
        <v/>
      </c>
      <c r="F2321">
        <f>IF($Q2321="","",IF(ISNUMBER(INDEX(상세표[시작],$Q2321)),TEXT(INDEX(상세표[시작],$Q2321),"yyyy-mm-dd hh:mm"),INDEX(상세표[시작],$Q2321)&amp;""))</f>
        <v/>
      </c>
      <c r="G2321">
        <f>IF($Q2321="","",IF(ISNUMBER(INDEX(상세표[블록종료],$Q2321)),TEXT(INDEX(상세표[블록종료],$Q2321),"yyyy-mm-dd hh:mm"),INDEX(상세표[블록종료],$Q2321)&amp;""))</f>
        <v/>
      </c>
      <c r="H2321">
        <f>IF($Q2321="","",CHOOSE(WEEKDAY(INDEX(상세표[시작],$Q2321)),"일","월","화","수","목","금","토"))</f>
        <v/>
      </c>
      <c r="I2321" s="20">
        <f>IF($Q2321="","",INDEX(상세표[연속 시간],$Q2321))</f>
        <v/>
      </c>
      <c r="J2321">
        <f>IF($Q2321="","",INDEX(상세표[기록 수],$Q2321))</f>
        <v/>
      </c>
      <c r="K2321" s="20">
        <f>IF($Q2321="","",INDEX(상세표[블록 06~07시],$Q2321))</f>
        <v/>
      </c>
      <c r="L2321" s="20">
        <f>IF($Q2321="","",INDEX(상세표[블록 07~18시],$Q2321))</f>
        <v/>
      </c>
      <c r="M2321" s="20">
        <f>IF($Q2321="","",INDEX(상세표[블록 18~22시],$Q2321))</f>
        <v/>
      </c>
      <c r="N2321" s="20">
        <f>IF($Q2321="","",INDEX(상세표[블록 22~06시],$Q2321))</f>
        <v/>
      </c>
      <c r="O2321">
        <f>IF($Q2321="","",INDEX(상세표[주말·휴일 포함],$Q2321)&amp;"")</f>
        <v/>
      </c>
      <c r="P2321">
        <f>IF($Q2321="","",INDEX(상세표[월 넘김 포함],$Q2321)&amp;"")</f>
        <v/>
      </c>
      <c r="Q2321" s="4">
        <f>IFERROR(MATCH(2316,상세표[연속순번],0),"")</f>
        <v/>
      </c>
    </row>
    <row r="2322">
      <c r="A2322">
        <f>IF($Q2322="","",INDEX(상세표[부서],$Q2322)&amp;"")</f>
        <v/>
      </c>
      <c r="B2322">
        <f>IF($Q2322="","",INDEX(상세표[사번],$Q2322)&amp;"")</f>
        <v/>
      </c>
      <c r="C2322">
        <f>IF($Q2322="","",INDEX(상세표[성명],$Q2322)&amp;"")</f>
        <v/>
      </c>
      <c r="D2322">
        <f>IF($Q2322="","",INDEX(상세표[직위],$Q2322)&amp;"")</f>
        <v/>
      </c>
      <c r="E2322">
        <f>IF($Q2322="","",IF(ISNUMBER(INDEX(상세표[근무일자],$Q2322)),TEXT(INDEX(상세표[근무일자],$Q2322),"yyyy-mm-dd"),INDEX(상세표[근무일자],$Q2322)&amp;""))</f>
        <v/>
      </c>
      <c r="F2322">
        <f>IF($Q2322="","",IF(ISNUMBER(INDEX(상세표[시작],$Q2322)),TEXT(INDEX(상세표[시작],$Q2322),"yyyy-mm-dd hh:mm"),INDEX(상세표[시작],$Q2322)&amp;""))</f>
        <v/>
      </c>
      <c r="G2322">
        <f>IF($Q2322="","",IF(ISNUMBER(INDEX(상세표[블록종료],$Q2322)),TEXT(INDEX(상세표[블록종료],$Q2322),"yyyy-mm-dd hh:mm"),INDEX(상세표[블록종료],$Q2322)&amp;""))</f>
        <v/>
      </c>
      <c r="H2322">
        <f>IF($Q2322="","",CHOOSE(WEEKDAY(INDEX(상세표[시작],$Q2322)),"일","월","화","수","목","금","토"))</f>
        <v/>
      </c>
      <c r="I2322" s="20">
        <f>IF($Q2322="","",INDEX(상세표[연속 시간],$Q2322))</f>
        <v/>
      </c>
      <c r="J2322">
        <f>IF($Q2322="","",INDEX(상세표[기록 수],$Q2322))</f>
        <v/>
      </c>
      <c r="K2322" s="20">
        <f>IF($Q2322="","",INDEX(상세표[블록 06~07시],$Q2322))</f>
        <v/>
      </c>
      <c r="L2322" s="20">
        <f>IF($Q2322="","",INDEX(상세표[블록 07~18시],$Q2322))</f>
        <v/>
      </c>
      <c r="M2322" s="20">
        <f>IF($Q2322="","",INDEX(상세표[블록 18~22시],$Q2322))</f>
        <v/>
      </c>
      <c r="N2322" s="20">
        <f>IF($Q2322="","",INDEX(상세표[블록 22~06시],$Q2322))</f>
        <v/>
      </c>
      <c r="O2322">
        <f>IF($Q2322="","",INDEX(상세표[주말·휴일 포함],$Q2322)&amp;"")</f>
        <v/>
      </c>
      <c r="P2322">
        <f>IF($Q2322="","",INDEX(상세표[월 넘김 포함],$Q2322)&amp;"")</f>
        <v/>
      </c>
      <c r="Q2322" s="4">
        <f>IFERROR(MATCH(2317,상세표[연속순번],0),"")</f>
        <v/>
      </c>
    </row>
    <row r="2323">
      <c r="A2323">
        <f>IF($Q2323="","",INDEX(상세표[부서],$Q2323)&amp;"")</f>
        <v/>
      </c>
      <c r="B2323">
        <f>IF($Q2323="","",INDEX(상세표[사번],$Q2323)&amp;"")</f>
        <v/>
      </c>
      <c r="C2323">
        <f>IF($Q2323="","",INDEX(상세표[성명],$Q2323)&amp;"")</f>
        <v/>
      </c>
      <c r="D2323">
        <f>IF($Q2323="","",INDEX(상세표[직위],$Q2323)&amp;"")</f>
        <v/>
      </c>
      <c r="E2323">
        <f>IF($Q2323="","",IF(ISNUMBER(INDEX(상세표[근무일자],$Q2323)),TEXT(INDEX(상세표[근무일자],$Q2323),"yyyy-mm-dd"),INDEX(상세표[근무일자],$Q2323)&amp;""))</f>
        <v/>
      </c>
      <c r="F2323">
        <f>IF($Q2323="","",IF(ISNUMBER(INDEX(상세표[시작],$Q2323)),TEXT(INDEX(상세표[시작],$Q2323),"yyyy-mm-dd hh:mm"),INDEX(상세표[시작],$Q2323)&amp;""))</f>
        <v/>
      </c>
      <c r="G2323">
        <f>IF($Q2323="","",IF(ISNUMBER(INDEX(상세표[블록종료],$Q2323)),TEXT(INDEX(상세표[블록종료],$Q2323),"yyyy-mm-dd hh:mm"),INDEX(상세표[블록종료],$Q2323)&amp;""))</f>
        <v/>
      </c>
      <c r="H2323">
        <f>IF($Q2323="","",CHOOSE(WEEKDAY(INDEX(상세표[시작],$Q2323)),"일","월","화","수","목","금","토"))</f>
        <v/>
      </c>
      <c r="I2323" s="20">
        <f>IF($Q2323="","",INDEX(상세표[연속 시간],$Q2323))</f>
        <v/>
      </c>
      <c r="J2323">
        <f>IF($Q2323="","",INDEX(상세표[기록 수],$Q2323))</f>
        <v/>
      </c>
      <c r="K2323" s="20">
        <f>IF($Q2323="","",INDEX(상세표[블록 06~07시],$Q2323))</f>
        <v/>
      </c>
      <c r="L2323" s="20">
        <f>IF($Q2323="","",INDEX(상세표[블록 07~18시],$Q2323))</f>
        <v/>
      </c>
      <c r="M2323" s="20">
        <f>IF($Q2323="","",INDEX(상세표[블록 18~22시],$Q2323))</f>
        <v/>
      </c>
      <c r="N2323" s="20">
        <f>IF($Q2323="","",INDEX(상세표[블록 22~06시],$Q2323))</f>
        <v/>
      </c>
      <c r="O2323">
        <f>IF($Q2323="","",INDEX(상세표[주말·휴일 포함],$Q2323)&amp;"")</f>
        <v/>
      </c>
      <c r="P2323">
        <f>IF($Q2323="","",INDEX(상세표[월 넘김 포함],$Q2323)&amp;"")</f>
        <v/>
      </c>
      <c r="Q2323" s="4">
        <f>IFERROR(MATCH(2318,상세표[연속순번],0),"")</f>
        <v/>
      </c>
    </row>
    <row r="2324">
      <c r="A2324">
        <f>IF($Q2324="","",INDEX(상세표[부서],$Q2324)&amp;"")</f>
        <v/>
      </c>
      <c r="B2324">
        <f>IF($Q2324="","",INDEX(상세표[사번],$Q2324)&amp;"")</f>
        <v/>
      </c>
      <c r="C2324">
        <f>IF($Q2324="","",INDEX(상세표[성명],$Q2324)&amp;"")</f>
        <v/>
      </c>
      <c r="D2324">
        <f>IF($Q2324="","",INDEX(상세표[직위],$Q2324)&amp;"")</f>
        <v/>
      </c>
      <c r="E2324">
        <f>IF($Q2324="","",IF(ISNUMBER(INDEX(상세표[근무일자],$Q2324)),TEXT(INDEX(상세표[근무일자],$Q2324),"yyyy-mm-dd"),INDEX(상세표[근무일자],$Q2324)&amp;""))</f>
        <v/>
      </c>
      <c r="F2324">
        <f>IF($Q2324="","",IF(ISNUMBER(INDEX(상세표[시작],$Q2324)),TEXT(INDEX(상세표[시작],$Q2324),"yyyy-mm-dd hh:mm"),INDEX(상세표[시작],$Q2324)&amp;""))</f>
        <v/>
      </c>
      <c r="G2324">
        <f>IF($Q2324="","",IF(ISNUMBER(INDEX(상세표[블록종료],$Q2324)),TEXT(INDEX(상세표[블록종료],$Q2324),"yyyy-mm-dd hh:mm"),INDEX(상세표[블록종료],$Q2324)&amp;""))</f>
        <v/>
      </c>
      <c r="H2324">
        <f>IF($Q2324="","",CHOOSE(WEEKDAY(INDEX(상세표[시작],$Q2324)),"일","월","화","수","목","금","토"))</f>
        <v/>
      </c>
      <c r="I2324" s="20">
        <f>IF($Q2324="","",INDEX(상세표[연속 시간],$Q2324))</f>
        <v/>
      </c>
      <c r="J2324">
        <f>IF($Q2324="","",INDEX(상세표[기록 수],$Q2324))</f>
        <v/>
      </c>
      <c r="K2324" s="20">
        <f>IF($Q2324="","",INDEX(상세표[블록 06~07시],$Q2324))</f>
        <v/>
      </c>
      <c r="L2324" s="20">
        <f>IF($Q2324="","",INDEX(상세표[블록 07~18시],$Q2324))</f>
        <v/>
      </c>
      <c r="M2324" s="20">
        <f>IF($Q2324="","",INDEX(상세표[블록 18~22시],$Q2324))</f>
        <v/>
      </c>
      <c r="N2324" s="20">
        <f>IF($Q2324="","",INDEX(상세표[블록 22~06시],$Q2324))</f>
        <v/>
      </c>
      <c r="O2324">
        <f>IF($Q2324="","",INDEX(상세표[주말·휴일 포함],$Q2324)&amp;"")</f>
        <v/>
      </c>
      <c r="P2324">
        <f>IF($Q2324="","",INDEX(상세표[월 넘김 포함],$Q2324)&amp;"")</f>
        <v/>
      </c>
      <c r="Q2324" s="4">
        <f>IFERROR(MATCH(2319,상세표[연속순번],0),"")</f>
        <v/>
      </c>
    </row>
    <row r="2325">
      <c r="A2325">
        <f>IF($Q2325="","",INDEX(상세표[부서],$Q2325)&amp;"")</f>
        <v/>
      </c>
      <c r="B2325">
        <f>IF($Q2325="","",INDEX(상세표[사번],$Q2325)&amp;"")</f>
        <v/>
      </c>
      <c r="C2325">
        <f>IF($Q2325="","",INDEX(상세표[성명],$Q2325)&amp;"")</f>
        <v/>
      </c>
      <c r="D2325">
        <f>IF($Q2325="","",INDEX(상세표[직위],$Q2325)&amp;"")</f>
        <v/>
      </c>
      <c r="E2325">
        <f>IF($Q2325="","",IF(ISNUMBER(INDEX(상세표[근무일자],$Q2325)),TEXT(INDEX(상세표[근무일자],$Q2325),"yyyy-mm-dd"),INDEX(상세표[근무일자],$Q2325)&amp;""))</f>
        <v/>
      </c>
      <c r="F2325">
        <f>IF($Q2325="","",IF(ISNUMBER(INDEX(상세표[시작],$Q2325)),TEXT(INDEX(상세표[시작],$Q2325),"yyyy-mm-dd hh:mm"),INDEX(상세표[시작],$Q2325)&amp;""))</f>
        <v/>
      </c>
      <c r="G2325">
        <f>IF($Q2325="","",IF(ISNUMBER(INDEX(상세표[블록종료],$Q2325)),TEXT(INDEX(상세표[블록종료],$Q2325),"yyyy-mm-dd hh:mm"),INDEX(상세표[블록종료],$Q2325)&amp;""))</f>
        <v/>
      </c>
      <c r="H2325">
        <f>IF($Q2325="","",CHOOSE(WEEKDAY(INDEX(상세표[시작],$Q2325)),"일","월","화","수","목","금","토"))</f>
        <v/>
      </c>
      <c r="I2325" s="20">
        <f>IF($Q2325="","",INDEX(상세표[연속 시간],$Q2325))</f>
        <v/>
      </c>
      <c r="J2325">
        <f>IF($Q2325="","",INDEX(상세표[기록 수],$Q2325))</f>
        <v/>
      </c>
      <c r="K2325" s="20">
        <f>IF($Q2325="","",INDEX(상세표[블록 06~07시],$Q2325))</f>
        <v/>
      </c>
      <c r="L2325" s="20">
        <f>IF($Q2325="","",INDEX(상세표[블록 07~18시],$Q2325))</f>
        <v/>
      </c>
      <c r="M2325" s="20">
        <f>IF($Q2325="","",INDEX(상세표[블록 18~22시],$Q2325))</f>
        <v/>
      </c>
      <c r="N2325" s="20">
        <f>IF($Q2325="","",INDEX(상세표[블록 22~06시],$Q2325))</f>
        <v/>
      </c>
      <c r="O2325">
        <f>IF($Q2325="","",INDEX(상세표[주말·휴일 포함],$Q2325)&amp;"")</f>
        <v/>
      </c>
      <c r="P2325">
        <f>IF($Q2325="","",INDEX(상세표[월 넘김 포함],$Q2325)&amp;"")</f>
        <v/>
      </c>
      <c r="Q2325" s="4">
        <f>IFERROR(MATCH(2320,상세표[연속순번],0),"")</f>
        <v/>
      </c>
    </row>
    <row r="2326">
      <c r="A2326">
        <f>IF($Q2326="","",INDEX(상세표[부서],$Q2326)&amp;"")</f>
        <v/>
      </c>
      <c r="B2326">
        <f>IF($Q2326="","",INDEX(상세표[사번],$Q2326)&amp;"")</f>
        <v/>
      </c>
      <c r="C2326">
        <f>IF($Q2326="","",INDEX(상세표[성명],$Q2326)&amp;"")</f>
        <v/>
      </c>
      <c r="D2326">
        <f>IF($Q2326="","",INDEX(상세표[직위],$Q2326)&amp;"")</f>
        <v/>
      </c>
      <c r="E2326">
        <f>IF($Q2326="","",IF(ISNUMBER(INDEX(상세표[근무일자],$Q2326)),TEXT(INDEX(상세표[근무일자],$Q2326),"yyyy-mm-dd"),INDEX(상세표[근무일자],$Q2326)&amp;""))</f>
        <v/>
      </c>
      <c r="F2326">
        <f>IF($Q2326="","",IF(ISNUMBER(INDEX(상세표[시작],$Q2326)),TEXT(INDEX(상세표[시작],$Q2326),"yyyy-mm-dd hh:mm"),INDEX(상세표[시작],$Q2326)&amp;""))</f>
        <v/>
      </c>
      <c r="G2326">
        <f>IF($Q2326="","",IF(ISNUMBER(INDEX(상세표[블록종료],$Q2326)),TEXT(INDEX(상세표[블록종료],$Q2326),"yyyy-mm-dd hh:mm"),INDEX(상세표[블록종료],$Q2326)&amp;""))</f>
        <v/>
      </c>
      <c r="H2326">
        <f>IF($Q2326="","",CHOOSE(WEEKDAY(INDEX(상세표[시작],$Q2326)),"일","월","화","수","목","금","토"))</f>
        <v/>
      </c>
      <c r="I2326" s="20">
        <f>IF($Q2326="","",INDEX(상세표[연속 시간],$Q2326))</f>
        <v/>
      </c>
      <c r="J2326">
        <f>IF($Q2326="","",INDEX(상세표[기록 수],$Q2326))</f>
        <v/>
      </c>
      <c r="K2326" s="20">
        <f>IF($Q2326="","",INDEX(상세표[블록 06~07시],$Q2326))</f>
        <v/>
      </c>
      <c r="L2326" s="20">
        <f>IF($Q2326="","",INDEX(상세표[블록 07~18시],$Q2326))</f>
        <v/>
      </c>
      <c r="M2326" s="20">
        <f>IF($Q2326="","",INDEX(상세표[블록 18~22시],$Q2326))</f>
        <v/>
      </c>
      <c r="N2326" s="20">
        <f>IF($Q2326="","",INDEX(상세표[블록 22~06시],$Q2326))</f>
        <v/>
      </c>
      <c r="O2326">
        <f>IF($Q2326="","",INDEX(상세표[주말·휴일 포함],$Q2326)&amp;"")</f>
        <v/>
      </c>
      <c r="P2326">
        <f>IF($Q2326="","",INDEX(상세표[월 넘김 포함],$Q2326)&amp;"")</f>
        <v/>
      </c>
      <c r="Q2326" s="4">
        <f>IFERROR(MATCH(2321,상세표[연속순번],0),"")</f>
        <v/>
      </c>
    </row>
    <row r="2327">
      <c r="A2327">
        <f>IF($Q2327="","",INDEX(상세표[부서],$Q2327)&amp;"")</f>
        <v/>
      </c>
      <c r="B2327">
        <f>IF($Q2327="","",INDEX(상세표[사번],$Q2327)&amp;"")</f>
        <v/>
      </c>
      <c r="C2327">
        <f>IF($Q2327="","",INDEX(상세표[성명],$Q2327)&amp;"")</f>
        <v/>
      </c>
      <c r="D2327">
        <f>IF($Q2327="","",INDEX(상세표[직위],$Q2327)&amp;"")</f>
        <v/>
      </c>
      <c r="E2327">
        <f>IF($Q2327="","",IF(ISNUMBER(INDEX(상세표[근무일자],$Q2327)),TEXT(INDEX(상세표[근무일자],$Q2327),"yyyy-mm-dd"),INDEX(상세표[근무일자],$Q2327)&amp;""))</f>
        <v/>
      </c>
      <c r="F2327">
        <f>IF($Q2327="","",IF(ISNUMBER(INDEX(상세표[시작],$Q2327)),TEXT(INDEX(상세표[시작],$Q2327),"yyyy-mm-dd hh:mm"),INDEX(상세표[시작],$Q2327)&amp;""))</f>
        <v/>
      </c>
      <c r="G2327">
        <f>IF($Q2327="","",IF(ISNUMBER(INDEX(상세표[블록종료],$Q2327)),TEXT(INDEX(상세표[블록종료],$Q2327),"yyyy-mm-dd hh:mm"),INDEX(상세표[블록종료],$Q2327)&amp;""))</f>
        <v/>
      </c>
      <c r="H2327">
        <f>IF($Q2327="","",CHOOSE(WEEKDAY(INDEX(상세표[시작],$Q2327)),"일","월","화","수","목","금","토"))</f>
        <v/>
      </c>
      <c r="I2327" s="20">
        <f>IF($Q2327="","",INDEX(상세표[연속 시간],$Q2327))</f>
        <v/>
      </c>
      <c r="J2327">
        <f>IF($Q2327="","",INDEX(상세표[기록 수],$Q2327))</f>
        <v/>
      </c>
      <c r="K2327" s="20">
        <f>IF($Q2327="","",INDEX(상세표[블록 06~07시],$Q2327))</f>
        <v/>
      </c>
      <c r="L2327" s="20">
        <f>IF($Q2327="","",INDEX(상세표[블록 07~18시],$Q2327))</f>
        <v/>
      </c>
      <c r="M2327" s="20">
        <f>IF($Q2327="","",INDEX(상세표[블록 18~22시],$Q2327))</f>
        <v/>
      </c>
      <c r="N2327" s="20">
        <f>IF($Q2327="","",INDEX(상세표[블록 22~06시],$Q2327))</f>
        <v/>
      </c>
      <c r="O2327">
        <f>IF($Q2327="","",INDEX(상세표[주말·휴일 포함],$Q2327)&amp;"")</f>
        <v/>
      </c>
      <c r="P2327">
        <f>IF($Q2327="","",INDEX(상세표[월 넘김 포함],$Q2327)&amp;"")</f>
        <v/>
      </c>
      <c r="Q2327" s="4">
        <f>IFERROR(MATCH(2322,상세표[연속순번],0),"")</f>
        <v/>
      </c>
    </row>
    <row r="2328">
      <c r="A2328">
        <f>IF($Q2328="","",INDEX(상세표[부서],$Q2328)&amp;"")</f>
        <v/>
      </c>
      <c r="B2328">
        <f>IF($Q2328="","",INDEX(상세표[사번],$Q2328)&amp;"")</f>
        <v/>
      </c>
      <c r="C2328">
        <f>IF($Q2328="","",INDEX(상세표[성명],$Q2328)&amp;"")</f>
        <v/>
      </c>
      <c r="D2328">
        <f>IF($Q2328="","",INDEX(상세표[직위],$Q2328)&amp;"")</f>
        <v/>
      </c>
      <c r="E2328">
        <f>IF($Q2328="","",IF(ISNUMBER(INDEX(상세표[근무일자],$Q2328)),TEXT(INDEX(상세표[근무일자],$Q2328),"yyyy-mm-dd"),INDEX(상세표[근무일자],$Q2328)&amp;""))</f>
        <v/>
      </c>
      <c r="F2328">
        <f>IF($Q2328="","",IF(ISNUMBER(INDEX(상세표[시작],$Q2328)),TEXT(INDEX(상세표[시작],$Q2328),"yyyy-mm-dd hh:mm"),INDEX(상세표[시작],$Q2328)&amp;""))</f>
        <v/>
      </c>
      <c r="G2328">
        <f>IF($Q2328="","",IF(ISNUMBER(INDEX(상세표[블록종료],$Q2328)),TEXT(INDEX(상세표[블록종료],$Q2328),"yyyy-mm-dd hh:mm"),INDEX(상세표[블록종료],$Q2328)&amp;""))</f>
        <v/>
      </c>
      <c r="H2328">
        <f>IF($Q2328="","",CHOOSE(WEEKDAY(INDEX(상세표[시작],$Q2328)),"일","월","화","수","목","금","토"))</f>
        <v/>
      </c>
      <c r="I2328" s="20">
        <f>IF($Q2328="","",INDEX(상세표[연속 시간],$Q2328))</f>
        <v/>
      </c>
      <c r="J2328">
        <f>IF($Q2328="","",INDEX(상세표[기록 수],$Q2328))</f>
        <v/>
      </c>
      <c r="K2328" s="20">
        <f>IF($Q2328="","",INDEX(상세표[블록 06~07시],$Q2328))</f>
        <v/>
      </c>
      <c r="L2328" s="20">
        <f>IF($Q2328="","",INDEX(상세표[블록 07~18시],$Q2328))</f>
        <v/>
      </c>
      <c r="M2328" s="20">
        <f>IF($Q2328="","",INDEX(상세표[블록 18~22시],$Q2328))</f>
        <v/>
      </c>
      <c r="N2328" s="20">
        <f>IF($Q2328="","",INDEX(상세표[블록 22~06시],$Q2328))</f>
        <v/>
      </c>
      <c r="O2328">
        <f>IF($Q2328="","",INDEX(상세표[주말·휴일 포함],$Q2328)&amp;"")</f>
        <v/>
      </c>
      <c r="P2328">
        <f>IF($Q2328="","",INDEX(상세표[월 넘김 포함],$Q2328)&amp;"")</f>
        <v/>
      </c>
      <c r="Q2328" s="4">
        <f>IFERROR(MATCH(2323,상세표[연속순번],0),"")</f>
        <v/>
      </c>
    </row>
    <row r="2329">
      <c r="A2329">
        <f>IF($Q2329="","",INDEX(상세표[부서],$Q2329)&amp;"")</f>
        <v/>
      </c>
      <c r="B2329">
        <f>IF($Q2329="","",INDEX(상세표[사번],$Q2329)&amp;"")</f>
        <v/>
      </c>
      <c r="C2329">
        <f>IF($Q2329="","",INDEX(상세표[성명],$Q2329)&amp;"")</f>
        <v/>
      </c>
      <c r="D2329">
        <f>IF($Q2329="","",INDEX(상세표[직위],$Q2329)&amp;"")</f>
        <v/>
      </c>
      <c r="E2329">
        <f>IF($Q2329="","",IF(ISNUMBER(INDEX(상세표[근무일자],$Q2329)),TEXT(INDEX(상세표[근무일자],$Q2329),"yyyy-mm-dd"),INDEX(상세표[근무일자],$Q2329)&amp;""))</f>
        <v/>
      </c>
      <c r="F2329">
        <f>IF($Q2329="","",IF(ISNUMBER(INDEX(상세표[시작],$Q2329)),TEXT(INDEX(상세표[시작],$Q2329),"yyyy-mm-dd hh:mm"),INDEX(상세표[시작],$Q2329)&amp;""))</f>
        <v/>
      </c>
      <c r="G2329">
        <f>IF($Q2329="","",IF(ISNUMBER(INDEX(상세표[블록종료],$Q2329)),TEXT(INDEX(상세표[블록종료],$Q2329),"yyyy-mm-dd hh:mm"),INDEX(상세표[블록종료],$Q2329)&amp;""))</f>
        <v/>
      </c>
      <c r="H2329">
        <f>IF($Q2329="","",CHOOSE(WEEKDAY(INDEX(상세표[시작],$Q2329)),"일","월","화","수","목","금","토"))</f>
        <v/>
      </c>
      <c r="I2329" s="20">
        <f>IF($Q2329="","",INDEX(상세표[연속 시간],$Q2329))</f>
        <v/>
      </c>
      <c r="J2329">
        <f>IF($Q2329="","",INDEX(상세표[기록 수],$Q2329))</f>
        <v/>
      </c>
      <c r="K2329" s="20">
        <f>IF($Q2329="","",INDEX(상세표[블록 06~07시],$Q2329))</f>
        <v/>
      </c>
      <c r="L2329" s="20">
        <f>IF($Q2329="","",INDEX(상세표[블록 07~18시],$Q2329))</f>
        <v/>
      </c>
      <c r="M2329" s="20">
        <f>IF($Q2329="","",INDEX(상세표[블록 18~22시],$Q2329))</f>
        <v/>
      </c>
      <c r="N2329" s="20">
        <f>IF($Q2329="","",INDEX(상세표[블록 22~06시],$Q2329))</f>
        <v/>
      </c>
      <c r="O2329">
        <f>IF($Q2329="","",INDEX(상세표[주말·휴일 포함],$Q2329)&amp;"")</f>
        <v/>
      </c>
      <c r="P2329">
        <f>IF($Q2329="","",INDEX(상세표[월 넘김 포함],$Q2329)&amp;"")</f>
        <v/>
      </c>
      <c r="Q2329" s="4">
        <f>IFERROR(MATCH(2324,상세표[연속순번],0),"")</f>
        <v/>
      </c>
    </row>
    <row r="2330">
      <c r="A2330">
        <f>IF($Q2330="","",INDEX(상세표[부서],$Q2330)&amp;"")</f>
        <v/>
      </c>
      <c r="B2330">
        <f>IF($Q2330="","",INDEX(상세표[사번],$Q2330)&amp;"")</f>
        <v/>
      </c>
      <c r="C2330">
        <f>IF($Q2330="","",INDEX(상세표[성명],$Q2330)&amp;"")</f>
        <v/>
      </c>
      <c r="D2330">
        <f>IF($Q2330="","",INDEX(상세표[직위],$Q2330)&amp;"")</f>
        <v/>
      </c>
      <c r="E2330">
        <f>IF($Q2330="","",IF(ISNUMBER(INDEX(상세표[근무일자],$Q2330)),TEXT(INDEX(상세표[근무일자],$Q2330),"yyyy-mm-dd"),INDEX(상세표[근무일자],$Q2330)&amp;""))</f>
        <v/>
      </c>
      <c r="F2330">
        <f>IF($Q2330="","",IF(ISNUMBER(INDEX(상세표[시작],$Q2330)),TEXT(INDEX(상세표[시작],$Q2330),"yyyy-mm-dd hh:mm"),INDEX(상세표[시작],$Q2330)&amp;""))</f>
        <v/>
      </c>
      <c r="G2330">
        <f>IF($Q2330="","",IF(ISNUMBER(INDEX(상세표[블록종료],$Q2330)),TEXT(INDEX(상세표[블록종료],$Q2330),"yyyy-mm-dd hh:mm"),INDEX(상세표[블록종료],$Q2330)&amp;""))</f>
        <v/>
      </c>
      <c r="H2330">
        <f>IF($Q2330="","",CHOOSE(WEEKDAY(INDEX(상세표[시작],$Q2330)),"일","월","화","수","목","금","토"))</f>
        <v/>
      </c>
      <c r="I2330" s="20">
        <f>IF($Q2330="","",INDEX(상세표[연속 시간],$Q2330))</f>
        <v/>
      </c>
      <c r="J2330">
        <f>IF($Q2330="","",INDEX(상세표[기록 수],$Q2330))</f>
        <v/>
      </c>
      <c r="K2330" s="20">
        <f>IF($Q2330="","",INDEX(상세표[블록 06~07시],$Q2330))</f>
        <v/>
      </c>
      <c r="L2330" s="20">
        <f>IF($Q2330="","",INDEX(상세표[블록 07~18시],$Q2330))</f>
        <v/>
      </c>
      <c r="M2330" s="20">
        <f>IF($Q2330="","",INDEX(상세표[블록 18~22시],$Q2330))</f>
        <v/>
      </c>
      <c r="N2330" s="20">
        <f>IF($Q2330="","",INDEX(상세표[블록 22~06시],$Q2330))</f>
        <v/>
      </c>
      <c r="O2330">
        <f>IF($Q2330="","",INDEX(상세표[주말·휴일 포함],$Q2330)&amp;"")</f>
        <v/>
      </c>
      <c r="P2330">
        <f>IF($Q2330="","",INDEX(상세표[월 넘김 포함],$Q2330)&amp;"")</f>
        <v/>
      </c>
      <c r="Q2330" s="4">
        <f>IFERROR(MATCH(2325,상세표[연속순번],0),"")</f>
        <v/>
      </c>
    </row>
    <row r="2331">
      <c r="A2331">
        <f>IF($Q2331="","",INDEX(상세표[부서],$Q2331)&amp;"")</f>
        <v/>
      </c>
      <c r="B2331">
        <f>IF($Q2331="","",INDEX(상세표[사번],$Q2331)&amp;"")</f>
        <v/>
      </c>
      <c r="C2331">
        <f>IF($Q2331="","",INDEX(상세표[성명],$Q2331)&amp;"")</f>
        <v/>
      </c>
      <c r="D2331">
        <f>IF($Q2331="","",INDEX(상세표[직위],$Q2331)&amp;"")</f>
        <v/>
      </c>
      <c r="E2331">
        <f>IF($Q2331="","",IF(ISNUMBER(INDEX(상세표[근무일자],$Q2331)),TEXT(INDEX(상세표[근무일자],$Q2331),"yyyy-mm-dd"),INDEX(상세표[근무일자],$Q2331)&amp;""))</f>
        <v/>
      </c>
      <c r="F2331">
        <f>IF($Q2331="","",IF(ISNUMBER(INDEX(상세표[시작],$Q2331)),TEXT(INDEX(상세표[시작],$Q2331),"yyyy-mm-dd hh:mm"),INDEX(상세표[시작],$Q2331)&amp;""))</f>
        <v/>
      </c>
      <c r="G2331">
        <f>IF($Q2331="","",IF(ISNUMBER(INDEX(상세표[블록종료],$Q2331)),TEXT(INDEX(상세표[블록종료],$Q2331),"yyyy-mm-dd hh:mm"),INDEX(상세표[블록종료],$Q2331)&amp;""))</f>
        <v/>
      </c>
      <c r="H2331">
        <f>IF($Q2331="","",CHOOSE(WEEKDAY(INDEX(상세표[시작],$Q2331)),"일","월","화","수","목","금","토"))</f>
        <v/>
      </c>
      <c r="I2331" s="20">
        <f>IF($Q2331="","",INDEX(상세표[연속 시간],$Q2331))</f>
        <v/>
      </c>
      <c r="J2331">
        <f>IF($Q2331="","",INDEX(상세표[기록 수],$Q2331))</f>
        <v/>
      </c>
      <c r="K2331" s="20">
        <f>IF($Q2331="","",INDEX(상세표[블록 06~07시],$Q2331))</f>
        <v/>
      </c>
      <c r="L2331" s="20">
        <f>IF($Q2331="","",INDEX(상세표[블록 07~18시],$Q2331))</f>
        <v/>
      </c>
      <c r="M2331" s="20">
        <f>IF($Q2331="","",INDEX(상세표[블록 18~22시],$Q2331))</f>
        <v/>
      </c>
      <c r="N2331" s="20">
        <f>IF($Q2331="","",INDEX(상세표[블록 22~06시],$Q2331))</f>
        <v/>
      </c>
      <c r="O2331">
        <f>IF($Q2331="","",INDEX(상세표[주말·휴일 포함],$Q2331)&amp;"")</f>
        <v/>
      </c>
      <c r="P2331">
        <f>IF($Q2331="","",INDEX(상세표[월 넘김 포함],$Q2331)&amp;"")</f>
        <v/>
      </c>
      <c r="Q2331" s="4">
        <f>IFERROR(MATCH(2326,상세표[연속순번],0),"")</f>
        <v/>
      </c>
    </row>
    <row r="2332">
      <c r="A2332">
        <f>IF($Q2332="","",INDEX(상세표[부서],$Q2332)&amp;"")</f>
        <v/>
      </c>
      <c r="B2332">
        <f>IF($Q2332="","",INDEX(상세표[사번],$Q2332)&amp;"")</f>
        <v/>
      </c>
      <c r="C2332">
        <f>IF($Q2332="","",INDEX(상세표[성명],$Q2332)&amp;"")</f>
        <v/>
      </c>
      <c r="D2332">
        <f>IF($Q2332="","",INDEX(상세표[직위],$Q2332)&amp;"")</f>
        <v/>
      </c>
      <c r="E2332">
        <f>IF($Q2332="","",IF(ISNUMBER(INDEX(상세표[근무일자],$Q2332)),TEXT(INDEX(상세표[근무일자],$Q2332),"yyyy-mm-dd"),INDEX(상세표[근무일자],$Q2332)&amp;""))</f>
        <v/>
      </c>
      <c r="F2332">
        <f>IF($Q2332="","",IF(ISNUMBER(INDEX(상세표[시작],$Q2332)),TEXT(INDEX(상세표[시작],$Q2332),"yyyy-mm-dd hh:mm"),INDEX(상세표[시작],$Q2332)&amp;""))</f>
        <v/>
      </c>
      <c r="G2332">
        <f>IF($Q2332="","",IF(ISNUMBER(INDEX(상세표[블록종료],$Q2332)),TEXT(INDEX(상세표[블록종료],$Q2332),"yyyy-mm-dd hh:mm"),INDEX(상세표[블록종료],$Q2332)&amp;""))</f>
        <v/>
      </c>
      <c r="H2332">
        <f>IF($Q2332="","",CHOOSE(WEEKDAY(INDEX(상세표[시작],$Q2332)),"일","월","화","수","목","금","토"))</f>
        <v/>
      </c>
      <c r="I2332" s="20">
        <f>IF($Q2332="","",INDEX(상세표[연속 시간],$Q2332))</f>
        <v/>
      </c>
      <c r="J2332">
        <f>IF($Q2332="","",INDEX(상세표[기록 수],$Q2332))</f>
        <v/>
      </c>
      <c r="K2332" s="20">
        <f>IF($Q2332="","",INDEX(상세표[블록 06~07시],$Q2332))</f>
        <v/>
      </c>
      <c r="L2332" s="20">
        <f>IF($Q2332="","",INDEX(상세표[블록 07~18시],$Q2332))</f>
        <v/>
      </c>
      <c r="M2332" s="20">
        <f>IF($Q2332="","",INDEX(상세표[블록 18~22시],$Q2332))</f>
        <v/>
      </c>
      <c r="N2332" s="20">
        <f>IF($Q2332="","",INDEX(상세표[블록 22~06시],$Q2332))</f>
        <v/>
      </c>
      <c r="O2332">
        <f>IF($Q2332="","",INDEX(상세표[주말·휴일 포함],$Q2332)&amp;"")</f>
        <v/>
      </c>
      <c r="P2332">
        <f>IF($Q2332="","",INDEX(상세표[월 넘김 포함],$Q2332)&amp;"")</f>
        <v/>
      </c>
      <c r="Q2332" s="4">
        <f>IFERROR(MATCH(2327,상세표[연속순번],0),"")</f>
        <v/>
      </c>
    </row>
    <row r="2333">
      <c r="A2333">
        <f>IF($Q2333="","",INDEX(상세표[부서],$Q2333)&amp;"")</f>
        <v/>
      </c>
      <c r="B2333">
        <f>IF($Q2333="","",INDEX(상세표[사번],$Q2333)&amp;"")</f>
        <v/>
      </c>
      <c r="C2333">
        <f>IF($Q2333="","",INDEX(상세표[성명],$Q2333)&amp;"")</f>
        <v/>
      </c>
      <c r="D2333">
        <f>IF($Q2333="","",INDEX(상세표[직위],$Q2333)&amp;"")</f>
        <v/>
      </c>
      <c r="E2333">
        <f>IF($Q2333="","",IF(ISNUMBER(INDEX(상세표[근무일자],$Q2333)),TEXT(INDEX(상세표[근무일자],$Q2333),"yyyy-mm-dd"),INDEX(상세표[근무일자],$Q2333)&amp;""))</f>
        <v/>
      </c>
      <c r="F2333">
        <f>IF($Q2333="","",IF(ISNUMBER(INDEX(상세표[시작],$Q2333)),TEXT(INDEX(상세표[시작],$Q2333),"yyyy-mm-dd hh:mm"),INDEX(상세표[시작],$Q2333)&amp;""))</f>
        <v/>
      </c>
      <c r="G2333">
        <f>IF($Q2333="","",IF(ISNUMBER(INDEX(상세표[블록종료],$Q2333)),TEXT(INDEX(상세표[블록종료],$Q2333),"yyyy-mm-dd hh:mm"),INDEX(상세표[블록종료],$Q2333)&amp;""))</f>
        <v/>
      </c>
      <c r="H2333">
        <f>IF($Q2333="","",CHOOSE(WEEKDAY(INDEX(상세표[시작],$Q2333)),"일","월","화","수","목","금","토"))</f>
        <v/>
      </c>
      <c r="I2333" s="20">
        <f>IF($Q2333="","",INDEX(상세표[연속 시간],$Q2333))</f>
        <v/>
      </c>
      <c r="J2333">
        <f>IF($Q2333="","",INDEX(상세표[기록 수],$Q2333))</f>
        <v/>
      </c>
      <c r="K2333" s="20">
        <f>IF($Q2333="","",INDEX(상세표[블록 06~07시],$Q2333))</f>
        <v/>
      </c>
      <c r="L2333" s="20">
        <f>IF($Q2333="","",INDEX(상세표[블록 07~18시],$Q2333))</f>
        <v/>
      </c>
      <c r="M2333" s="20">
        <f>IF($Q2333="","",INDEX(상세표[블록 18~22시],$Q2333))</f>
        <v/>
      </c>
      <c r="N2333" s="20">
        <f>IF($Q2333="","",INDEX(상세표[블록 22~06시],$Q2333))</f>
        <v/>
      </c>
      <c r="O2333">
        <f>IF($Q2333="","",INDEX(상세표[주말·휴일 포함],$Q2333)&amp;"")</f>
        <v/>
      </c>
      <c r="P2333">
        <f>IF($Q2333="","",INDEX(상세표[월 넘김 포함],$Q2333)&amp;"")</f>
        <v/>
      </c>
      <c r="Q2333" s="4">
        <f>IFERROR(MATCH(2328,상세표[연속순번],0),"")</f>
        <v/>
      </c>
    </row>
    <row r="2334">
      <c r="A2334">
        <f>IF($Q2334="","",INDEX(상세표[부서],$Q2334)&amp;"")</f>
        <v/>
      </c>
      <c r="B2334">
        <f>IF($Q2334="","",INDEX(상세표[사번],$Q2334)&amp;"")</f>
        <v/>
      </c>
      <c r="C2334">
        <f>IF($Q2334="","",INDEX(상세표[성명],$Q2334)&amp;"")</f>
        <v/>
      </c>
      <c r="D2334">
        <f>IF($Q2334="","",INDEX(상세표[직위],$Q2334)&amp;"")</f>
        <v/>
      </c>
      <c r="E2334">
        <f>IF($Q2334="","",IF(ISNUMBER(INDEX(상세표[근무일자],$Q2334)),TEXT(INDEX(상세표[근무일자],$Q2334),"yyyy-mm-dd"),INDEX(상세표[근무일자],$Q2334)&amp;""))</f>
        <v/>
      </c>
      <c r="F2334">
        <f>IF($Q2334="","",IF(ISNUMBER(INDEX(상세표[시작],$Q2334)),TEXT(INDEX(상세표[시작],$Q2334),"yyyy-mm-dd hh:mm"),INDEX(상세표[시작],$Q2334)&amp;""))</f>
        <v/>
      </c>
      <c r="G2334">
        <f>IF($Q2334="","",IF(ISNUMBER(INDEX(상세표[블록종료],$Q2334)),TEXT(INDEX(상세표[블록종료],$Q2334),"yyyy-mm-dd hh:mm"),INDEX(상세표[블록종료],$Q2334)&amp;""))</f>
        <v/>
      </c>
      <c r="H2334">
        <f>IF($Q2334="","",CHOOSE(WEEKDAY(INDEX(상세표[시작],$Q2334)),"일","월","화","수","목","금","토"))</f>
        <v/>
      </c>
      <c r="I2334" s="20">
        <f>IF($Q2334="","",INDEX(상세표[연속 시간],$Q2334))</f>
        <v/>
      </c>
      <c r="J2334">
        <f>IF($Q2334="","",INDEX(상세표[기록 수],$Q2334))</f>
        <v/>
      </c>
      <c r="K2334" s="20">
        <f>IF($Q2334="","",INDEX(상세표[블록 06~07시],$Q2334))</f>
        <v/>
      </c>
      <c r="L2334" s="20">
        <f>IF($Q2334="","",INDEX(상세표[블록 07~18시],$Q2334))</f>
        <v/>
      </c>
      <c r="M2334" s="20">
        <f>IF($Q2334="","",INDEX(상세표[블록 18~22시],$Q2334))</f>
        <v/>
      </c>
      <c r="N2334" s="20">
        <f>IF($Q2334="","",INDEX(상세표[블록 22~06시],$Q2334))</f>
        <v/>
      </c>
      <c r="O2334">
        <f>IF($Q2334="","",INDEX(상세표[주말·휴일 포함],$Q2334)&amp;"")</f>
        <v/>
      </c>
      <c r="P2334">
        <f>IF($Q2334="","",INDEX(상세표[월 넘김 포함],$Q2334)&amp;"")</f>
        <v/>
      </c>
      <c r="Q2334" s="4">
        <f>IFERROR(MATCH(2329,상세표[연속순번],0),"")</f>
        <v/>
      </c>
    </row>
    <row r="2335">
      <c r="A2335">
        <f>IF($Q2335="","",INDEX(상세표[부서],$Q2335)&amp;"")</f>
        <v/>
      </c>
      <c r="B2335">
        <f>IF($Q2335="","",INDEX(상세표[사번],$Q2335)&amp;"")</f>
        <v/>
      </c>
      <c r="C2335">
        <f>IF($Q2335="","",INDEX(상세표[성명],$Q2335)&amp;"")</f>
        <v/>
      </c>
      <c r="D2335">
        <f>IF($Q2335="","",INDEX(상세표[직위],$Q2335)&amp;"")</f>
        <v/>
      </c>
      <c r="E2335">
        <f>IF($Q2335="","",IF(ISNUMBER(INDEX(상세표[근무일자],$Q2335)),TEXT(INDEX(상세표[근무일자],$Q2335),"yyyy-mm-dd"),INDEX(상세표[근무일자],$Q2335)&amp;""))</f>
        <v/>
      </c>
      <c r="F2335">
        <f>IF($Q2335="","",IF(ISNUMBER(INDEX(상세표[시작],$Q2335)),TEXT(INDEX(상세표[시작],$Q2335),"yyyy-mm-dd hh:mm"),INDEX(상세표[시작],$Q2335)&amp;""))</f>
        <v/>
      </c>
      <c r="G2335">
        <f>IF($Q2335="","",IF(ISNUMBER(INDEX(상세표[블록종료],$Q2335)),TEXT(INDEX(상세표[블록종료],$Q2335),"yyyy-mm-dd hh:mm"),INDEX(상세표[블록종료],$Q2335)&amp;""))</f>
        <v/>
      </c>
      <c r="H2335">
        <f>IF($Q2335="","",CHOOSE(WEEKDAY(INDEX(상세표[시작],$Q2335)),"일","월","화","수","목","금","토"))</f>
        <v/>
      </c>
      <c r="I2335" s="20">
        <f>IF($Q2335="","",INDEX(상세표[연속 시간],$Q2335))</f>
        <v/>
      </c>
      <c r="J2335">
        <f>IF($Q2335="","",INDEX(상세표[기록 수],$Q2335))</f>
        <v/>
      </c>
      <c r="K2335" s="20">
        <f>IF($Q2335="","",INDEX(상세표[블록 06~07시],$Q2335))</f>
        <v/>
      </c>
      <c r="L2335" s="20">
        <f>IF($Q2335="","",INDEX(상세표[블록 07~18시],$Q2335))</f>
        <v/>
      </c>
      <c r="M2335" s="20">
        <f>IF($Q2335="","",INDEX(상세표[블록 18~22시],$Q2335))</f>
        <v/>
      </c>
      <c r="N2335" s="20">
        <f>IF($Q2335="","",INDEX(상세표[블록 22~06시],$Q2335))</f>
        <v/>
      </c>
      <c r="O2335">
        <f>IF($Q2335="","",INDEX(상세표[주말·휴일 포함],$Q2335)&amp;"")</f>
        <v/>
      </c>
      <c r="P2335">
        <f>IF($Q2335="","",INDEX(상세표[월 넘김 포함],$Q2335)&amp;"")</f>
        <v/>
      </c>
      <c r="Q2335" s="4">
        <f>IFERROR(MATCH(2330,상세표[연속순번],0),"")</f>
        <v/>
      </c>
    </row>
    <row r="2336">
      <c r="A2336">
        <f>IF($Q2336="","",INDEX(상세표[부서],$Q2336)&amp;"")</f>
        <v/>
      </c>
      <c r="B2336">
        <f>IF($Q2336="","",INDEX(상세표[사번],$Q2336)&amp;"")</f>
        <v/>
      </c>
      <c r="C2336">
        <f>IF($Q2336="","",INDEX(상세표[성명],$Q2336)&amp;"")</f>
        <v/>
      </c>
      <c r="D2336">
        <f>IF($Q2336="","",INDEX(상세표[직위],$Q2336)&amp;"")</f>
        <v/>
      </c>
      <c r="E2336">
        <f>IF($Q2336="","",IF(ISNUMBER(INDEX(상세표[근무일자],$Q2336)),TEXT(INDEX(상세표[근무일자],$Q2336),"yyyy-mm-dd"),INDEX(상세표[근무일자],$Q2336)&amp;""))</f>
        <v/>
      </c>
      <c r="F2336">
        <f>IF($Q2336="","",IF(ISNUMBER(INDEX(상세표[시작],$Q2336)),TEXT(INDEX(상세표[시작],$Q2336),"yyyy-mm-dd hh:mm"),INDEX(상세표[시작],$Q2336)&amp;""))</f>
        <v/>
      </c>
      <c r="G2336">
        <f>IF($Q2336="","",IF(ISNUMBER(INDEX(상세표[블록종료],$Q2336)),TEXT(INDEX(상세표[블록종료],$Q2336),"yyyy-mm-dd hh:mm"),INDEX(상세표[블록종료],$Q2336)&amp;""))</f>
        <v/>
      </c>
      <c r="H2336">
        <f>IF($Q2336="","",CHOOSE(WEEKDAY(INDEX(상세표[시작],$Q2336)),"일","월","화","수","목","금","토"))</f>
        <v/>
      </c>
      <c r="I2336" s="20">
        <f>IF($Q2336="","",INDEX(상세표[연속 시간],$Q2336))</f>
        <v/>
      </c>
      <c r="J2336">
        <f>IF($Q2336="","",INDEX(상세표[기록 수],$Q2336))</f>
        <v/>
      </c>
      <c r="K2336" s="20">
        <f>IF($Q2336="","",INDEX(상세표[블록 06~07시],$Q2336))</f>
        <v/>
      </c>
      <c r="L2336" s="20">
        <f>IF($Q2336="","",INDEX(상세표[블록 07~18시],$Q2336))</f>
        <v/>
      </c>
      <c r="M2336" s="20">
        <f>IF($Q2336="","",INDEX(상세표[블록 18~22시],$Q2336))</f>
        <v/>
      </c>
      <c r="N2336" s="20">
        <f>IF($Q2336="","",INDEX(상세표[블록 22~06시],$Q2336))</f>
        <v/>
      </c>
      <c r="O2336">
        <f>IF($Q2336="","",INDEX(상세표[주말·휴일 포함],$Q2336)&amp;"")</f>
        <v/>
      </c>
      <c r="P2336">
        <f>IF($Q2336="","",INDEX(상세표[월 넘김 포함],$Q2336)&amp;"")</f>
        <v/>
      </c>
      <c r="Q2336" s="4">
        <f>IFERROR(MATCH(2331,상세표[연속순번],0),"")</f>
        <v/>
      </c>
    </row>
    <row r="2337">
      <c r="A2337">
        <f>IF($Q2337="","",INDEX(상세표[부서],$Q2337)&amp;"")</f>
        <v/>
      </c>
      <c r="B2337">
        <f>IF($Q2337="","",INDEX(상세표[사번],$Q2337)&amp;"")</f>
        <v/>
      </c>
      <c r="C2337">
        <f>IF($Q2337="","",INDEX(상세표[성명],$Q2337)&amp;"")</f>
        <v/>
      </c>
      <c r="D2337">
        <f>IF($Q2337="","",INDEX(상세표[직위],$Q2337)&amp;"")</f>
        <v/>
      </c>
      <c r="E2337">
        <f>IF($Q2337="","",IF(ISNUMBER(INDEX(상세표[근무일자],$Q2337)),TEXT(INDEX(상세표[근무일자],$Q2337),"yyyy-mm-dd"),INDEX(상세표[근무일자],$Q2337)&amp;""))</f>
        <v/>
      </c>
      <c r="F2337">
        <f>IF($Q2337="","",IF(ISNUMBER(INDEX(상세표[시작],$Q2337)),TEXT(INDEX(상세표[시작],$Q2337),"yyyy-mm-dd hh:mm"),INDEX(상세표[시작],$Q2337)&amp;""))</f>
        <v/>
      </c>
      <c r="G2337">
        <f>IF($Q2337="","",IF(ISNUMBER(INDEX(상세표[블록종료],$Q2337)),TEXT(INDEX(상세표[블록종료],$Q2337),"yyyy-mm-dd hh:mm"),INDEX(상세표[블록종료],$Q2337)&amp;""))</f>
        <v/>
      </c>
      <c r="H2337">
        <f>IF($Q2337="","",CHOOSE(WEEKDAY(INDEX(상세표[시작],$Q2337)),"일","월","화","수","목","금","토"))</f>
        <v/>
      </c>
      <c r="I2337" s="20">
        <f>IF($Q2337="","",INDEX(상세표[연속 시간],$Q2337))</f>
        <v/>
      </c>
      <c r="J2337">
        <f>IF($Q2337="","",INDEX(상세표[기록 수],$Q2337))</f>
        <v/>
      </c>
      <c r="K2337" s="20">
        <f>IF($Q2337="","",INDEX(상세표[블록 06~07시],$Q2337))</f>
        <v/>
      </c>
      <c r="L2337" s="20">
        <f>IF($Q2337="","",INDEX(상세표[블록 07~18시],$Q2337))</f>
        <v/>
      </c>
      <c r="M2337" s="20">
        <f>IF($Q2337="","",INDEX(상세표[블록 18~22시],$Q2337))</f>
        <v/>
      </c>
      <c r="N2337" s="20">
        <f>IF($Q2337="","",INDEX(상세표[블록 22~06시],$Q2337))</f>
        <v/>
      </c>
      <c r="O2337">
        <f>IF($Q2337="","",INDEX(상세표[주말·휴일 포함],$Q2337)&amp;"")</f>
        <v/>
      </c>
      <c r="P2337">
        <f>IF($Q2337="","",INDEX(상세표[월 넘김 포함],$Q2337)&amp;"")</f>
        <v/>
      </c>
      <c r="Q2337" s="4">
        <f>IFERROR(MATCH(2332,상세표[연속순번],0),"")</f>
        <v/>
      </c>
    </row>
    <row r="2338">
      <c r="A2338">
        <f>IF($Q2338="","",INDEX(상세표[부서],$Q2338)&amp;"")</f>
        <v/>
      </c>
      <c r="B2338">
        <f>IF($Q2338="","",INDEX(상세표[사번],$Q2338)&amp;"")</f>
        <v/>
      </c>
      <c r="C2338">
        <f>IF($Q2338="","",INDEX(상세표[성명],$Q2338)&amp;"")</f>
        <v/>
      </c>
      <c r="D2338">
        <f>IF($Q2338="","",INDEX(상세표[직위],$Q2338)&amp;"")</f>
        <v/>
      </c>
      <c r="E2338">
        <f>IF($Q2338="","",IF(ISNUMBER(INDEX(상세표[근무일자],$Q2338)),TEXT(INDEX(상세표[근무일자],$Q2338),"yyyy-mm-dd"),INDEX(상세표[근무일자],$Q2338)&amp;""))</f>
        <v/>
      </c>
      <c r="F2338">
        <f>IF($Q2338="","",IF(ISNUMBER(INDEX(상세표[시작],$Q2338)),TEXT(INDEX(상세표[시작],$Q2338),"yyyy-mm-dd hh:mm"),INDEX(상세표[시작],$Q2338)&amp;""))</f>
        <v/>
      </c>
      <c r="G2338">
        <f>IF($Q2338="","",IF(ISNUMBER(INDEX(상세표[블록종료],$Q2338)),TEXT(INDEX(상세표[블록종료],$Q2338),"yyyy-mm-dd hh:mm"),INDEX(상세표[블록종료],$Q2338)&amp;""))</f>
        <v/>
      </c>
      <c r="H2338">
        <f>IF($Q2338="","",CHOOSE(WEEKDAY(INDEX(상세표[시작],$Q2338)),"일","월","화","수","목","금","토"))</f>
        <v/>
      </c>
      <c r="I2338" s="20">
        <f>IF($Q2338="","",INDEX(상세표[연속 시간],$Q2338))</f>
        <v/>
      </c>
      <c r="J2338">
        <f>IF($Q2338="","",INDEX(상세표[기록 수],$Q2338))</f>
        <v/>
      </c>
      <c r="K2338" s="20">
        <f>IF($Q2338="","",INDEX(상세표[블록 06~07시],$Q2338))</f>
        <v/>
      </c>
      <c r="L2338" s="20">
        <f>IF($Q2338="","",INDEX(상세표[블록 07~18시],$Q2338))</f>
        <v/>
      </c>
      <c r="M2338" s="20">
        <f>IF($Q2338="","",INDEX(상세표[블록 18~22시],$Q2338))</f>
        <v/>
      </c>
      <c r="N2338" s="20">
        <f>IF($Q2338="","",INDEX(상세표[블록 22~06시],$Q2338))</f>
        <v/>
      </c>
      <c r="O2338">
        <f>IF($Q2338="","",INDEX(상세표[주말·휴일 포함],$Q2338)&amp;"")</f>
        <v/>
      </c>
      <c r="P2338">
        <f>IF($Q2338="","",INDEX(상세표[월 넘김 포함],$Q2338)&amp;"")</f>
        <v/>
      </c>
      <c r="Q2338" s="4">
        <f>IFERROR(MATCH(2333,상세표[연속순번],0),"")</f>
        <v/>
      </c>
    </row>
    <row r="2339">
      <c r="A2339">
        <f>IF($Q2339="","",INDEX(상세표[부서],$Q2339)&amp;"")</f>
        <v/>
      </c>
      <c r="B2339">
        <f>IF($Q2339="","",INDEX(상세표[사번],$Q2339)&amp;"")</f>
        <v/>
      </c>
      <c r="C2339">
        <f>IF($Q2339="","",INDEX(상세표[성명],$Q2339)&amp;"")</f>
        <v/>
      </c>
      <c r="D2339">
        <f>IF($Q2339="","",INDEX(상세표[직위],$Q2339)&amp;"")</f>
        <v/>
      </c>
      <c r="E2339">
        <f>IF($Q2339="","",IF(ISNUMBER(INDEX(상세표[근무일자],$Q2339)),TEXT(INDEX(상세표[근무일자],$Q2339),"yyyy-mm-dd"),INDEX(상세표[근무일자],$Q2339)&amp;""))</f>
        <v/>
      </c>
      <c r="F2339">
        <f>IF($Q2339="","",IF(ISNUMBER(INDEX(상세표[시작],$Q2339)),TEXT(INDEX(상세표[시작],$Q2339),"yyyy-mm-dd hh:mm"),INDEX(상세표[시작],$Q2339)&amp;""))</f>
        <v/>
      </c>
      <c r="G2339">
        <f>IF($Q2339="","",IF(ISNUMBER(INDEX(상세표[블록종료],$Q2339)),TEXT(INDEX(상세표[블록종료],$Q2339),"yyyy-mm-dd hh:mm"),INDEX(상세표[블록종료],$Q2339)&amp;""))</f>
        <v/>
      </c>
      <c r="H2339">
        <f>IF($Q2339="","",CHOOSE(WEEKDAY(INDEX(상세표[시작],$Q2339)),"일","월","화","수","목","금","토"))</f>
        <v/>
      </c>
      <c r="I2339" s="20">
        <f>IF($Q2339="","",INDEX(상세표[연속 시간],$Q2339))</f>
        <v/>
      </c>
      <c r="J2339">
        <f>IF($Q2339="","",INDEX(상세표[기록 수],$Q2339))</f>
        <v/>
      </c>
      <c r="K2339" s="20">
        <f>IF($Q2339="","",INDEX(상세표[블록 06~07시],$Q2339))</f>
        <v/>
      </c>
      <c r="L2339" s="20">
        <f>IF($Q2339="","",INDEX(상세표[블록 07~18시],$Q2339))</f>
        <v/>
      </c>
      <c r="M2339" s="20">
        <f>IF($Q2339="","",INDEX(상세표[블록 18~22시],$Q2339))</f>
        <v/>
      </c>
      <c r="N2339" s="20">
        <f>IF($Q2339="","",INDEX(상세표[블록 22~06시],$Q2339))</f>
        <v/>
      </c>
      <c r="O2339">
        <f>IF($Q2339="","",INDEX(상세표[주말·휴일 포함],$Q2339)&amp;"")</f>
        <v/>
      </c>
      <c r="P2339">
        <f>IF($Q2339="","",INDEX(상세표[월 넘김 포함],$Q2339)&amp;"")</f>
        <v/>
      </c>
      <c r="Q2339" s="4">
        <f>IFERROR(MATCH(2334,상세표[연속순번],0),"")</f>
        <v/>
      </c>
    </row>
    <row r="2340">
      <c r="A2340">
        <f>IF($Q2340="","",INDEX(상세표[부서],$Q2340)&amp;"")</f>
        <v/>
      </c>
      <c r="B2340">
        <f>IF($Q2340="","",INDEX(상세표[사번],$Q2340)&amp;"")</f>
        <v/>
      </c>
      <c r="C2340">
        <f>IF($Q2340="","",INDEX(상세표[성명],$Q2340)&amp;"")</f>
        <v/>
      </c>
      <c r="D2340">
        <f>IF($Q2340="","",INDEX(상세표[직위],$Q2340)&amp;"")</f>
        <v/>
      </c>
      <c r="E2340">
        <f>IF($Q2340="","",IF(ISNUMBER(INDEX(상세표[근무일자],$Q2340)),TEXT(INDEX(상세표[근무일자],$Q2340),"yyyy-mm-dd"),INDEX(상세표[근무일자],$Q2340)&amp;""))</f>
        <v/>
      </c>
      <c r="F2340">
        <f>IF($Q2340="","",IF(ISNUMBER(INDEX(상세표[시작],$Q2340)),TEXT(INDEX(상세표[시작],$Q2340),"yyyy-mm-dd hh:mm"),INDEX(상세표[시작],$Q2340)&amp;""))</f>
        <v/>
      </c>
      <c r="G2340">
        <f>IF($Q2340="","",IF(ISNUMBER(INDEX(상세표[블록종료],$Q2340)),TEXT(INDEX(상세표[블록종료],$Q2340),"yyyy-mm-dd hh:mm"),INDEX(상세표[블록종료],$Q2340)&amp;""))</f>
        <v/>
      </c>
      <c r="H2340">
        <f>IF($Q2340="","",CHOOSE(WEEKDAY(INDEX(상세표[시작],$Q2340)),"일","월","화","수","목","금","토"))</f>
        <v/>
      </c>
      <c r="I2340" s="20">
        <f>IF($Q2340="","",INDEX(상세표[연속 시간],$Q2340))</f>
        <v/>
      </c>
      <c r="J2340">
        <f>IF($Q2340="","",INDEX(상세표[기록 수],$Q2340))</f>
        <v/>
      </c>
      <c r="K2340" s="20">
        <f>IF($Q2340="","",INDEX(상세표[블록 06~07시],$Q2340))</f>
        <v/>
      </c>
      <c r="L2340" s="20">
        <f>IF($Q2340="","",INDEX(상세표[블록 07~18시],$Q2340))</f>
        <v/>
      </c>
      <c r="M2340" s="20">
        <f>IF($Q2340="","",INDEX(상세표[블록 18~22시],$Q2340))</f>
        <v/>
      </c>
      <c r="N2340" s="20">
        <f>IF($Q2340="","",INDEX(상세표[블록 22~06시],$Q2340))</f>
        <v/>
      </c>
      <c r="O2340">
        <f>IF($Q2340="","",INDEX(상세표[주말·휴일 포함],$Q2340)&amp;"")</f>
        <v/>
      </c>
      <c r="P2340">
        <f>IF($Q2340="","",INDEX(상세표[월 넘김 포함],$Q2340)&amp;"")</f>
        <v/>
      </c>
      <c r="Q2340" s="4">
        <f>IFERROR(MATCH(2335,상세표[연속순번],0),"")</f>
        <v/>
      </c>
    </row>
    <row r="2341">
      <c r="A2341">
        <f>IF($Q2341="","",INDEX(상세표[부서],$Q2341)&amp;"")</f>
        <v/>
      </c>
      <c r="B2341">
        <f>IF($Q2341="","",INDEX(상세표[사번],$Q2341)&amp;"")</f>
        <v/>
      </c>
      <c r="C2341">
        <f>IF($Q2341="","",INDEX(상세표[성명],$Q2341)&amp;"")</f>
        <v/>
      </c>
      <c r="D2341">
        <f>IF($Q2341="","",INDEX(상세표[직위],$Q2341)&amp;"")</f>
        <v/>
      </c>
      <c r="E2341">
        <f>IF($Q2341="","",IF(ISNUMBER(INDEX(상세표[근무일자],$Q2341)),TEXT(INDEX(상세표[근무일자],$Q2341),"yyyy-mm-dd"),INDEX(상세표[근무일자],$Q2341)&amp;""))</f>
        <v/>
      </c>
      <c r="F2341">
        <f>IF($Q2341="","",IF(ISNUMBER(INDEX(상세표[시작],$Q2341)),TEXT(INDEX(상세표[시작],$Q2341),"yyyy-mm-dd hh:mm"),INDEX(상세표[시작],$Q2341)&amp;""))</f>
        <v/>
      </c>
      <c r="G2341">
        <f>IF($Q2341="","",IF(ISNUMBER(INDEX(상세표[블록종료],$Q2341)),TEXT(INDEX(상세표[블록종료],$Q2341),"yyyy-mm-dd hh:mm"),INDEX(상세표[블록종료],$Q2341)&amp;""))</f>
        <v/>
      </c>
      <c r="H2341">
        <f>IF($Q2341="","",CHOOSE(WEEKDAY(INDEX(상세표[시작],$Q2341)),"일","월","화","수","목","금","토"))</f>
        <v/>
      </c>
      <c r="I2341" s="20">
        <f>IF($Q2341="","",INDEX(상세표[연속 시간],$Q2341))</f>
        <v/>
      </c>
      <c r="J2341">
        <f>IF($Q2341="","",INDEX(상세표[기록 수],$Q2341))</f>
        <v/>
      </c>
      <c r="K2341" s="20">
        <f>IF($Q2341="","",INDEX(상세표[블록 06~07시],$Q2341))</f>
        <v/>
      </c>
      <c r="L2341" s="20">
        <f>IF($Q2341="","",INDEX(상세표[블록 07~18시],$Q2341))</f>
        <v/>
      </c>
      <c r="M2341" s="20">
        <f>IF($Q2341="","",INDEX(상세표[블록 18~22시],$Q2341))</f>
        <v/>
      </c>
      <c r="N2341" s="20">
        <f>IF($Q2341="","",INDEX(상세표[블록 22~06시],$Q2341))</f>
        <v/>
      </c>
      <c r="O2341">
        <f>IF($Q2341="","",INDEX(상세표[주말·휴일 포함],$Q2341)&amp;"")</f>
        <v/>
      </c>
      <c r="P2341">
        <f>IF($Q2341="","",INDEX(상세표[월 넘김 포함],$Q2341)&amp;"")</f>
        <v/>
      </c>
      <c r="Q2341" s="4">
        <f>IFERROR(MATCH(2336,상세표[연속순번],0),"")</f>
        <v/>
      </c>
    </row>
    <row r="2342">
      <c r="A2342">
        <f>IF($Q2342="","",INDEX(상세표[부서],$Q2342)&amp;"")</f>
        <v/>
      </c>
      <c r="B2342">
        <f>IF($Q2342="","",INDEX(상세표[사번],$Q2342)&amp;"")</f>
        <v/>
      </c>
      <c r="C2342">
        <f>IF($Q2342="","",INDEX(상세표[성명],$Q2342)&amp;"")</f>
        <v/>
      </c>
      <c r="D2342">
        <f>IF($Q2342="","",INDEX(상세표[직위],$Q2342)&amp;"")</f>
        <v/>
      </c>
      <c r="E2342">
        <f>IF($Q2342="","",IF(ISNUMBER(INDEX(상세표[근무일자],$Q2342)),TEXT(INDEX(상세표[근무일자],$Q2342),"yyyy-mm-dd"),INDEX(상세표[근무일자],$Q2342)&amp;""))</f>
        <v/>
      </c>
      <c r="F2342">
        <f>IF($Q2342="","",IF(ISNUMBER(INDEX(상세표[시작],$Q2342)),TEXT(INDEX(상세표[시작],$Q2342),"yyyy-mm-dd hh:mm"),INDEX(상세표[시작],$Q2342)&amp;""))</f>
        <v/>
      </c>
      <c r="G2342">
        <f>IF($Q2342="","",IF(ISNUMBER(INDEX(상세표[블록종료],$Q2342)),TEXT(INDEX(상세표[블록종료],$Q2342),"yyyy-mm-dd hh:mm"),INDEX(상세표[블록종료],$Q2342)&amp;""))</f>
        <v/>
      </c>
      <c r="H2342">
        <f>IF($Q2342="","",CHOOSE(WEEKDAY(INDEX(상세표[시작],$Q2342)),"일","월","화","수","목","금","토"))</f>
        <v/>
      </c>
      <c r="I2342" s="20">
        <f>IF($Q2342="","",INDEX(상세표[연속 시간],$Q2342))</f>
        <v/>
      </c>
      <c r="J2342">
        <f>IF($Q2342="","",INDEX(상세표[기록 수],$Q2342))</f>
        <v/>
      </c>
      <c r="K2342" s="20">
        <f>IF($Q2342="","",INDEX(상세표[블록 06~07시],$Q2342))</f>
        <v/>
      </c>
      <c r="L2342" s="20">
        <f>IF($Q2342="","",INDEX(상세표[블록 07~18시],$Q2342))</f>
        <v/>
      </c>
      <c r="M2342" s="20">
        <f>IF($Q2342="","",INDEX(상세표[블록 18~22시],$Q2342))</f>
        <v/>
      </c>
      <c r="N2342" s="20">
        <f>IF($Q2342="","",INDEX(상세표[블록 22~06시],$Q2342))</f>
        <v/>
      </c>
      <c r="O2342">
        <f>IF($Q2342="","",INDEX(상세표[주말·휴일 포함],$Q2342)&amp;"")</f>
        <v/>
      </c>
      <c r="P2342">
        <f>IF($Q2342="","",INDEX(상세표[월 넘김 포함],$Q2342)&amp;"")</f>
        <v/>
      </c>
      <c r="Q2342" s="4">
        <f>IFERROR(MATCH(2337,상세표[연속순번],0),"")</f>
        <v/>
      </c>
    </row>
    <row r="2343">
      <c r="A2343">
        <f>IF($Q2343="","",INDEX(상세표[부서],$Q2343)&amp;"")</f>
        <v/>
      </c>
      <c r="B2343">
        <f>IF($Q2343="","",INDEX(상세표[사번],$Q2343)&amp;"")</f>
        <v/>
      </c>
      <c r="C2343">
        <f>IF($Q2343="","",INDEX(상세표[성명],$Q2343)&amp;"")</f>
        <v/>
      </c>
      <c r="D2343">
        <f>IF($Q2343="","",INDEX(상세표[직위],$Q2343)&amp;"")</f>
        <v/>
      </c>
      <c r="E2343">
        <f>IF($Q2343="","",IF(ISNUMBER(INDEX(상세표[근무일자],$Q2343)),TEXT(INDEX(상세표[근무일자],$Q2343),"yyyy-mm-dd"),INDEX(상세표[근무일자],$Q2343)&amp;""))</f>
        <v/>
      </c>
      <c r="F2343">
        <f>IF($Q2343="","",IF(ISNUMBER(INDEX(상세표[시작],$Q2343)),TEXT(INDEX(상세표[시작],$Q2343),"yyyy-mm-dd hh:mm"),INDEX(상세표[시작],$Q2343)&amp;""))</f>
        <v/>
      </c>
      <c r="G2343">
        <f>IF($Q2343="","",IF(ISNUMBER(INDEX(상세표[블록종료],$Q2343)),TEXT(INDEX(상세표[블록종료],$Q2343),"yyyy-mm-dd hh:mm"),INDEX(상세표[블록종료],$Q2343)&amp;""))</f>
        <v/>
      </c>
      <c r="H2343">
        <f>IF($Q2343="","",CHOOSE(WEEKDAY(INDEX(상세표[시작],$Q2343)),"일","월","화","수","목","금","토"))</f>
        <v/>
      </c>
      <c r="I2343" s="20">
        <f>IF($Q2343="","",INDEX(상세표[연속 시간],$Q2343))</f>
        <v/>
      </c>
      <c r="J2343">
        <f>IF($Q2343="","",INDEX(상세표[기록 수],$Q2343))</f>
        <v/>
      </c>
      <c r="K2343" s="20">
        <f>IF($Q2343="","",INDEX(상세표[블록 06~07시],$Q2343))</f>
        <v/>
      </c>
      <c r="L2343" s="20">
        <f>IF($Q2343="","",INDEX(상세표[블록 07~18시],$Q2343))</f>
        <v/>
      </c>
      <c r="M2343" s="20">
        <f>IF($Q2343="","",INDEX(상세표[블록 18~22시],$Q2343))</f>
        <v/>
      </c>
      <c r="N2343" s="20">
        <f>IF($Q2343="","",INDEX(상세표[블록 22~06시],$Q2343))</f>
        <v/>
      </c>
      <c r="O2343">
        <f>IF($Q2343="","",INDEX(상세표[주말·휴일 포함],$Q2343)&amp;"")</f>
        <v/>
      </c>
      <c r="P2343">
        <f>IF($Q2343="","",INDEX(상세표[월 넘김 포함],$Q2343)&amp;"")</f>
        <v/>
      </c>
      <c r="Q2343" s="4">
        <f>IFERROR(MATCH(2338,상세표[연속순번],0),"")</f>
        <v/>
      </c>
    </row>
    <row r="2344">
      <c r="A2344">
        <f>IF($Q2344="","",INDEX(상세표[부서],$Q2344)&amp;"")</f>
        <v/>
      </c>
      <c r="B2344">
        <f>IF($Q2344="","",INDEX(상세표[사번],$Q2344)&amp;"")</f>
        <v/>
      </c>
      <c r="C2344">
        <f>IF($Q2344="","",INDEX(상세표[성명],$Q2344)&amp;"")</f>
        <v/>
      </c>
      <c r="D2344">
        <f>IF($Q2344="","",INDEX(상세표[직위],$Q2344)&amp;"")</f>
        <v/>
      </c>
      <c r="E2344">
        <f>IF($Q2344="","",IF(ISNUMBER(INDEX(상세표[근무일자],$Q2344)),TEXT(INDEX(상세표[근무일자],$Q2344),"yyyy-mm-dd"),INDEX(상세표[근무일자],$Q2344)&amp;""))</f>
        <v/>
      </c>
      <c r="F2344">
        <f>IF($Q2344="","",IF(ISNUMBER(INDEX(상세표[시작],$Q2344)),TEXT(INDEX(상세표[시작],$Q2344),"yyyy-mm-dd hh:mm"),INDEX(상세표[시작],$Q2344)&amp;""))</f>
        <v/>
      </c>
      <c r="G2344">
        <f>IF($Q2344="","",IF(ISNUMBER(INDEX(상세표[블록종료],$Q2344)),TEXT(INDEX(상세표[블록종료],$Q2344),"yyyy-mm-dd hh:mm"),INDEX(상세표[블록종료],$Q2344)&amp;""))</f>
        <v/>
      </c>
      <c r="H2344">
        <f>IF($Q2344="","",CHOOSE(WEEKDAY(INDEX(상세표[시작],$Q2344)),"일","월","화","수","목","금","토"))</f>
        <v/>
      </c>
      <c r="I2344" s="20">
        <f>IF($Q2344="","",INDEX(상세표[연속 시간],$Q2344))</f>
        <v/>
      </c>
      <c r="J2344">
        <f>IF($Q2344="","",INDEX(상세표[기록 수],$Q2344))</f>
        <v/>
      </c>
      <c r="K2344" s="20">
        <f>IF($Q2344="","",INDEX(상세표[블록 06~07시],$Q2344))</f>
        <v/>
      </c>
      <c r="L2344" s="20">
        <f>IF($Q2344="","",INDEX(상세표[블록 07~18시],$Q2344))</f>
        <v/>
      </c>
      <c r="M2344" s="20">
        <f>IF($Q2344="","",INDEX(상세표[블록 18~22시],$Q2344))</f>
        <v/>
      </c>
      <c r="N2344" s="20">
        <f>IF($Q2344="","",INDEX(상세표[블록 22~06시],$Q2344))</f>
        <v/>
      </c>
      <c r="O2344">
        <f>IF($Q2344="","",INDEX(상세표[주말·휴일 포함],$Q2344)&amp;"")</f>
        <v/>
      </c>
      <c r="P2344">
        <f>IF($Q2344="","",INDEX(상세표[월 넘김 포함],$Q2344)&amp;"")</f>
        <v/>
      </c>
      <c r="Q2344" s="4">
        <f>IFERROR(MATCH(2339,상세표[연속순번],0),"")</f>
        <v/>
      </c>
    </row>
    <row r="2345">
      <c r="A2345">
        <f>IF($Q2345="","",INDEX(상세표[부서],$Q2345)&amp;"")</f>
        <v/>
      </c>
      <c r="B2345">
        <f>IF($Q2345="","",INDEX(상세표[사번],$Q2345)&amp;"")</f>
        <v/>
      </c>
      <c r="C2345">
        <f>IF($Q2345="","",INDEX(상세표[성명],$Q2345)&amp;"")</f>
        <v/>
      </c>
      <c r="D2345">
        <f>IF($Q2345="","",INDEX(상세표[직위],$Q2345)&amp;"")</f>
        <v/>
      </c>
      <c r="E2345">
        <f>IF($Q2345="","",IF(ISNUMBER(INDEX(상세표[근무일자],$Q2345)),TEXT(INDEX(상세표[근무일자],$Q2345),"yyyy-mm-dd"),INDEX(상세표[근무일자],$Q2345)&amp;""))</f>
        <v/>
      </c>
      <c r="F2345">
        <f>IF($Q2345="","",IF(ISNUMBER(INDEX(상세표[시작],$Q2345)),TEXT(INDEX(상세표[시작],$Q2345),"yyyy-mm-dd hh:mm"),INDEX(상세표[시작],$Q2345)&amp;""))</f>
        <v/>
      </c>
      <c r="G2345">
        <f>IF($Q2345="","",IF(ISNUMBER(INDEX(상세표[블록종료],$Q2345)),TEXT(INDEX(상세표[블록종료],$Q2345),"yyyy-mm-dd hh:mm"),INDEX(상세표[블록종료],$Q2345)&amp;""))</f>
        <v/>
      </c>
      <c r="H2345">
        <f>IF($Q2345="","",CHOOSE(WEEKDAY(INDEX(상세표[시작],$Q2345)),"일","월","화","수","목","금","토"))</f>
        <v/>
      </c>
      <c r="I2345" s="20">
        <f>IF($Q2345="","",INDEX(상세표[연속 시간],$Q2345))</f>
        <v/>
      </c>
      <c r="J2345">
        <f>IF($Q2345="","",INDEX(상세표[기록 수],$Q2345))</f>
        <v/>
      </c>
      <c r="K2345" s="20">
        <f>IF($Q2345="","",INDEX(상세표[블록 06~07시],$Q2345))</f>
        <v/>
      </c>
      <c r="L2345" s="20">
        <f>IF($Q2345="","",INDEX(상세표[블록 07~18시],$Q2345))</f>
        <v/>
      </c>
      <c r="M2345" s="20">
        <f>IF($Q2345="","",INDEX(상세표[블록 18~22시],$Q2345))</f>
        <v/>
      </c>
      <c r="N2345" s="20">
        <f>IF($Q2345="","",INDEX(상세표[블록 22~06시],$Q2345))</f>
        <v/>
      </c>
      <c r="O2345">
        <f>IF($Q2345="","",INDEX(상세표[주말·휴일 포함],$Q2345)&amp;"")</f>
        <v/>
      </c>
      <c r="P2345">
        <f>IF($Q2345="","",INDEX(상세표[월 넘김 포함],$Q2345)&amp;"")</f>
        <v/>
      </c>
      <c r="Q2345" s="4">
        <f>IFERROR(MATCH(2340,상세표[연속순번],0),"")</f>
        <v/>
      </c>
    </row>
    <row r="2346">
      <c r="A2346">
        <f>IF($Q2346="","",INDEX(상세표[부서],$Q2346)&amp;"")</f>
        <v/>
      </c>
      <c r="B2346">
        <f>IF($Q2346="","",INDEX(상세표[사번],$Q2346)&amp;"")</f>
        <v/>
      </c>
      <c r="C2346">
        <f>IF($Q2346="","",INDEX(상세표[성명],$Q2346)&amp;"")</f>
        <v/>
      </c>
      <c r="D2346">
        <f>IF($Q2346="","",INDEX(상세표[직위],$Q2346)&amp;"")</f>
        <v/>
      </c>
      <c r="E2346">
        <f>IF($Q2346="","",IF(ISNUMBER(INDEX(상세표[근무일자],$Q2346)),TEXT(INDEX(상세표[근무일자],$Q2346),"yyyy-mm-dd"),INDEX(상세표[근무일자],$Q2346)&amp;""))</f>
        <v/>
      </c>
      <c r="F2346">
        <f>IF($Q2346="","",IF(ISNUMBER(INDEX(상세표[시작],$Q2346)),TEXT(INDEX(상세표[시작],$Q2346),"yyyy-mm-dd hh:mm"),INDEX(상세표[시작],$Q2346)&amp;""))</f>
        <v/>
      </c>
      <c r="G2346">
        <f>IF($Q2346="","",IF(ISNUMBER(INDEX(상세표[블록종료],$Q2346)),TEXT(INDEX(상세표[블록종료],$Q2346),"yyyy-mm-dd hh:mm"),INDEX(상세표[블록종료],$Q2346)&amp;""))</f>
        <v/>
      </c>
      <c r="H2346">
        <f>IF($Q2346="","",CHOOSE(WEEKDAY(INDEX(상세표[시작],$Q2346)),"일","월","화","수","목","금","토"))</f>
        <v/>
      </c>
      <c r="I2346" s="20">
        <f>IF($Q2346="","",INDEX(상세표[연속 시간],$Q2346))</f>
        <v/>
      </c>
      <c r="J2346">
        <f>IF($Q2346="","",INDEX(상세표[기록 수],$Q2346))</f>
        <v/>
      </c>
      <c r="K2346" s="20">
        <f>IF($Q2346="","",INDEX(상세표[블록 06~07시],$Q2346))</f>
        <v/>
      </c>
      <c r="L2346" s="20">
        <f>IF($Q2346="","",INDEX(상세표[블록 07~18시],$Q2346))</f>
        <v/>
      </c>
      <c r="M2346" s="20">
        <f>IF($Q2346="","",INDEX(상세표[블록 18~22시],$Q2346))</f>
        <v/>
      </c>
      <c r="N2346" s="20">
        <f>IF($Q2346="","",INDEX(상세표[블록 22~06시],$Q2346))</f>
        <v/>
      </c>
      <c r="O2346">
        <f>IF($Q2346="","",INDEX(상세표[주말·휴일 포함],$Q2346)&amp;"")</f>
        <v/>
      </c>
      <c r="P2346">
        <f>IF($Q2346="","",INDEX(상세표[월 넘김 포함],$Q2346)&amp;"")</f>
        <v/>
      </c>
      <c r="Q2346" s="4">
        <f>IFERROR(MATCH(2341,상세표[연속순번],0),"")</f>
        <v/>
      </c>
    </row>
    <row r="2347">
      <c r="A2347">
        <f>IF($Q2347="","",INDEX(상세표[부서],$Q2347)&amp;"")</f>
        <v/>
      </c>
      <c r="B2347">
        <f>IF($Q2347="","",INDEX(상세표[사번],$Q2347)&amp;"")</f>
        <v/>
      </c>
      <c r="C2347">
        <f>IF($Q2347="","",INDEX(상세표[성명],$Q2347)&amp;"")</f>
        <v/>
      </c>
      <c r="D2347">
        <f>IF($Q2347="","",INDEX(상세표[직위],$Q2347)&amp;"")</f>
        <v/>
      </c>
      <c r="E2347">
        <f>IF($Q2347="","",IF(ISNUMBER(INDEX(상세표[근무일자],$Q2347)),TEXT(INDEX(상세표[근무일자],$Q2347),"yyyy-mm-dd"),INDEX(상세표[근무일자],$Q2347)&amp;""))</f>
        <v/>
      </c>
      <c r="F2347">
        <f>IF($Q2347="","",IF(ISNUMBER(INDEX(상세표[시작],$Q2347)),TEXT(INDEX(상세표[시작],$Q2347),"yyyy-mm-dd hh:mm"),INDEX(상세표[시작],$Q2347)&amp;""))</f>
        <v/>
      </c>
      <c r="G2347">
        <f>IF($Q2347="","",IF(ISNUMBER(INDEX(상세표[블록종료],$Q2347)),TEXT(INDEX(상세표[블록종료],$Q2347),"yyyy-mm-dd hh:mm"),INDEX(상세표[블록종료],$Q2347)&amp;""))</f>
        <v/>
      </c>
      <c r="H2347">
        <f>IF($Q2347="","",CHOOSE(WEEKDAY(INDEX(상세표[시작],$Q2347)),"일","월","화","수","목","금","토"))</f>
        <v/>
      </c>
      <c r="I2347" s="20">
        <f>IF($Q2347="","",INDEX(상세표[연속 시간],$Q2347))</f>
        <v/>
      </c>
      <c r="J2347">
        <f>IF($Q2347="","",INDEX(상세표[기록 수],$Q2347))</f>
        <v/>
      </c>
      <c r="K2347" s="20">
        <f>IF($Q2347="","",INDEX(상세표[블록 06~07시],$Q2347))</f>
        <v/>
      </c>
      <c r="L2347" s="20">
        <f>IF($Q2347="","",INDEX(상세표[블록 07~18시],$Q2347))</f>
        <v/>
      </c>
      <c r="M2347" s="20">
        <f>IF($Q2347="","",INDEX(상세표[블록 18~22시],$Q2347))</f>
        <v/>
      </c>
      <c r="N2347" s="20">
        <f>IF($Q2347="","",INDEX(상세표[블록 22~06시],$Q2347))</f>
        <v/>
      </c>
      <c r="O2347">
        <f>IF($Q2347="","",INDEX(상세표[주말·휴일 포함],$Q2347)&amp;"")</f>
        <v/>
      </c>
      <c r="P2347">
        <f>IF($Q2347="","",INDEX(상세표[월 넘김 포함],$Q2347)&amp;"")</f>
        <v/>
      </c>
      <c r="Q2347" s="4">
        <f>IFERROR(MATCH(2342,상세표[연속순번],0),"")</f>
        <v/>
      </c>
    </row>
    <row r="2348">
      <c r="A2348">
        <f>IF($Q2348="","",INDEX(상세표[부서],$Q2348)&amp;"")</f>
        <v/>
      </c>
      <c r="B2348">
        <f>IF($Q2348="","",INDEX(상세표[사번],$Q2348)&amp;"")</f>
        <v/>
      </c>
      <c r="C2348">
        <f>IF($Q2348="","",INDEX(상세표[성명],$Q2348)&amp;"")</f>
        <v/>
      </c>
      <c r="D2348">
        <f>IF($Q2348="","",INDEX(상세표[직위],$Q2348)&amp;"")</f>
        <v/>
      </c>
      <c r="E2348">
        <f>IF($Q2348="","",IF(ISNUMBER(INDEX(상세표[근무일자],$Q2348)),TEXT(INDEX(상세표[근무일자],$Q2348),"yyyy-mm-dd"),INDEX(상세표[근무일자],$Q2348)&amp;""))</f>
        <v/>
      </c>
      <c r="F2348">
        <f>IF($Q2348="","",IF(ISNUMBER(INDEX(상세표[시작],$Q2348)),TEXT(INDEX(상세표[시작],$Q2348),"yyyy-mm-dd hh:mm"),INDEX(상세표[시작],$Q2348)&amp;""))</f>
        <v/>
      </c>
      <c r="G2348">
        <f>IF($Q2348="","",IF(ISNUMBER(INDEX(상세표[블록종료],$Q2348)),TEXT(INDEX(상세표[블록종료],$Q2348),"yyyy-mm-dd hh:mm"),INDEX(상세표[블록종료],$Q2348)&amp;""))</f>
        <v/>
      </c>
      <c r="H2348">
        <f>IF($Q2348="","",CHOOSE(WEEKDAY(INDEX(상세표[시작],$Q2348)),"일","월","화","수","목","금","토"))</f>
        <v/>
      </c>
      <c r="I2348" s="20">
        <f>IF($Q2348="","",INDEX(상세표[연속 시간],$Q2348))</f>
        <v/>
      </c>
      <c r="J2348">
        <f>IF($Q2348="","",INDEX(상세표[기록 수],$Q2348))</f>
        <v/>
      </c>
      <c r="K2348" s="20">
        <f>IF($Q2348="","",INDEX(상세표[블록 06~07시],$Q2348))</f>
        <v/>
      </c>
      <c r="L2348" s="20">
        <f>IF($Q2348="","",INDEX(상세표[블록 07~18시],$Q2348))</f>
        <v/>
      </c>
      <c r="M2348" s="20">
        <f>IF($Q2348="","",INDEX(상세표[블록 18~22시],$Q2348))</f>
        <v/>
      </c>
      <c r="N2348" s="20">
        <f>IF($Q2348="","",INDEX(상세표[블록 22~06시],$Q2348))</f>
        <v/>
      </c>
      <c r="O2348">
        <f>IF($Q2348="","",INDEX(상세표[주말·휴일 포함],$Q2348)&amp;"")</f>
        <v/>
      </c>
      <c r="P2348">
        <f>IF($Q2348="","",INDEX(상세표[월 넘김 포함],$Q2348)&amp;"")</f>
        <v/>
      </c>
      <c r="Q2348" s="4">
        <f>IFERROR(MATCH(2343,상세표[연속순번],0),"")</f>
        <v/>
      </c>
    </row>
    <row r="2349">
      <c r="A2349">
        <f>IF($Q2349="","",INDEX(상세표[부서],$Q2349)&amp;"")</f>
        <v/>
      </c>
      <c r="B2349">
        <f>IF($Q2349="","",INDEX(상세표[사번],$Q2349)&amp;"")</f>
        <v/>
      </c>
      <c r="C2349">
        <f>IF($Q2349="","",INDEX(상세표[성명],$Q2349)&amp;"")</f>
        <v/>
      </c>
      <c r="D2349">
        <f>IF($Q2349="","",INDEX(상세표[직위],$Q2349)&amp;"")</f>
        <v/>
      </c>
      <c r="E2349">
        <f>IF($Q2349="","",IF(ISNUMBER(INDEX(상세표[근무일자],$Q2349)),TEXT(INDEX(상세표[근무일자],$Q2349),"yyyy-mm-dd"),INDEX(상세표[근무일자],$Q2349)&amp;""))</f>
        <v/>
      </c>
      <c r="F2349">
        <f>IF($Q2349="","",IF(ISNUMBER(INDEX(상세표[시작],$Q2349)),TEXT(INDEX(상세표[시작],$Q2349),"yyyy-mm-dd hh:mm"),INDEX(상세표[시작],$Q2349)&amp;""))</f>
        <v/>
      </c>
      <c r="G2349">
        <f>IF($Q2349="","",IF(ISNUMBER(INDEX(상세표[블록종료],$Q2349)),TEXT(INDEX(상세표[블록종료],$Q2349),"yyyy-mm-dd hh:mm"),INDEX(상세표[블록종료],$Q2349)&amp;""))</f>
        <v/>
      </c>
      <c r="H2349">
        <f>IF($Q2349="","",CHOOSE(WEEKDAY(INDEX(상세표[시작],$Q2349)),"일","월","화","수","목","금","토"))</f>
        <v/>
      </c>
      <c r="I2349" s="20">
        <f>IF($Q2349="","",INDEX(상세표[연속 시간],$Q2349))</f>
        <v/>
      </c>
      <c r="J2349">
        <f>IF($Q2349="","",INDEX(상세표[기록 수],$Q2349))</f>
        <v/>
      </c>
      <c r="K2349" s="20">
        <f>IF($Q2349="","",INDEX(상세표[블록 06~07시],$Q2349))</f>
        <v/>
      </c>
      <c r="L2349" s="20">
        <f>IF($Q2349="","",INDEX(상세표[블록 07~18시],$Q2349))</f>
        <v/>
      </c>
      <c r="M2349" s="20">
        <f>IF($Q2349="","",INDEX(상세표[블록 18~22시],$Q2349))</f>
        <v/>
      </c>
      <c r="N2349" s="20">
        <f>IF($Q2349="","",INDEX(상세표[블록 22~06시],$Q2349))</f>
        <v/>
      </c>
      <c r="O2349">
        <f>IF($Q2349="","",INDEX(상세표[주말·휴일 포함],$Q2349)&amp;"")</f>
        <v/>
      </c>
      <c r="P2349">
        <f>IF($Q2349="","",INDEX(상세표[월 넘김 포함],$Q2349)&amp;"")</f>
        <v/>
      </c>
      <c r="Q2349" s="4">
        <f>IFERROR(MATCH(2344,상세표[연속순번],0),"")</f>
        <v/>
      </c>
    </row>
    <row r="2350">
      <c r="A2350">
        <f>IF($Q2350="","",INDEX(상세표[부서],$Q2350)&amp;"")</f>
        <v/>
      </c>
      <c r="B2350">
        <f>IF($Q2350="","",INDEX(상세표[사번],$Q2350)&amp;"")</f>
        <v/>
      </c>
      <c r="C2350">
        <f>IF($Q2350="","",INDEX(상세표[성명],$Q2350)&amp;"")</f>
        <v/>
      </c>
      <c r="D2350">
        <f>IF($Q2350="","",INDEX(상세표[직위],$Q2350)&amp;"")</f>
        <v/>
      </c>
      <c r="E2350">
        <f>IF($Q2350="","",IF(ISNUMBER(INDEX(상세표[근무일자],$Q2350)),TEXT(INDEX(상세표[근무일자],$Q2350),"yyyy-mm-dd"),INDEX(상세표[근무일자],$Q2350)&amp;""))</f>
        <v/>
      </c>
      <c r="F2350">
        <f>IF($Q2350="","",IF(ISNUMBER(INDEX(상세표[시작],$Q2350)),TEXT(INDEX(상세표[시작],$Q2350),"yyyy-mm-dd hh:mm"),INDEX(상세표[시작],$Q2350)&amp;""))</f>
        <v/>
      </c>
      <c r="G2350">
        <f>IF($Q2350="","",IF(ISNUMBER(INDEX(상세표[블록종료],$Q2350)),TEXT(INDEX(상세표[블록종료],$Q2350),"yyyy-mm-dd hh:mm"),INDEX(상세표[블록종료],$Q2350)&amp;""))</f>
        <v/>
      </c>
      <c r="H2350">
        <f>IF($Q2350="","",CHOOSE(WEEKDAY(INDEX(상세표[시작],$Q2350)),"일","월","화","수","목","금","토"))</f>
        <v/>
      </c>
      <c r="I2350" s="20">
        <f>IF($Q2350="","",INDEX(상세표[연속 시간],$Q2350))</f>
        <v/>
      </c>
      <c r="J2350">
        <f>IF($Q2350="","",INDEX(상세표[기록 수],$Q2350))</f>
        <v/>
      </c>
      <c r="K2350" s="20">
        <f>IF($Q2350="","",INDEX(상세표[블록 06~07시],$Q2350))</f>
        <v/>
      </c>
      <c r="L2350" s="20">
        <f>IF($Q2350="","",INDEX(상세표[블록 07~18시],$Q2350))</f>
        <v/>
      </c>
      <c r="M2350" s="20">
        <f>IF($Q2350="","",INDEX(상세표[블록 18~22시],$Q2350))</f>
        <v/>
      </c>
      <c r="N2350" s="20">
        <f>IF($Q2350="","",INDEX(상세표[블록 22~06시],$Q2350))</f>
        <v/>
      </c>
      <c r="O2350">
        <f>IF($Q2350="","",INDEX(상세표[주말·휴일 포함],$Q2350)&amp;"")</f>
        <v/>
      </c>
      <c r="P2350">
        <f>IF($Q2350="","",INDEX(상세표[월 넘김 포함],$Q2350)&amp;"")</f>
        <v/>
      </c>
      <c r="Q2350" s="4">
        <f>IFERROR(MATCH(2345,상세표[연속순번],0),"")</f>
        <v/>
      </c>
    </row>
    <row r="2351">
      <c r="A2351">
        <f>IF($Q2351="","",INDEX(상세표[부서],$Q2351)&amp;"")</f>
        <v/>
      </c>
      <c r="B2351">
        <f>IF($Q2351="","",INDEX(상세표[사번],$Q2351)&amp;"")</f>
        <v/>
      </c>
      <c r="C2351">
        <f>IF($Q2351="","",INDEX(상세표[성명],$Q2351)&amp;"")</f>
        <v/>
      </c>
      <c r="D2351">
        <f>IF($Q2351="","",INDEX(상세표[직위],$Q2351)&amp;"")</f>
        <v/>
      </c>
      <c r="E2351">
        <f>IF($Q2351="","",IF(ISNUMBER(INDEX(상세표[근무일자],$Q2351)),TEXT(INDEX(상세표[근무일자],$Q2351),"yyyy-mm-dd"),INDEX(상세표[근무일자],$Q2351)&amp;""))</f>
        <v/>
      </c>
      <c r="F2351">
        <f>IF($Q2351="","",IF(ISNUMBER(INDEX(상세표[시작],$Q2351)),TEXT(INDEX(상세표[시작],$Q2351),"yyyy-mm-dd hh:mm"),INDEX(상세표[시작],$Q2351)&amp;""))</f>
        <v/>
      </c>
      <c r="G2351">
        <f>IF($Q2351="","",IF(ISNUMBER(INDEX(상세표[블록종료],$Q2351)),TEXT(INDEX(상세표[블록종료],$Q2351),"yyyy-mm-dd hh:mm"),INDEX(상세표[블록종료],$Q2351)&amp;""))</f>
        <v/>
      </c>
      <c r="H2351">
        <f>IF($Q2351="","",CHOOSE(WEEKDAY(INDEX(상세표[시작],$Q2351)),"일","월","화","수","목","금","토"))</f>
        <v/>
      </c>
      <c r="I2351" s="20">
        <f>IF($Q2351="","",INDEX(상세표[연속 시간],$Q2351))</f>
        <v/>
      </c>
      <c r="J2351">
        <f>IF($Q2351="","",INDEX(상세표[기록 수],$Q2351))</f>
        <v/>
      </c>
      <c r="K2351" s="20">
        <f>IF($Q2351="","",INDEX(상세표[블록 06~07시],$Q2351))</f>
        <v/>
      </c>
      <c r="L2351" s="20">
        <f>IF($Q2351="","",INDEX(상세표[블록 07~18시],$Q2351))</f>
        <v/>
      </c>
      <c r="M2351" s="20">
        <f>IF($Q2351="","",INDEX(상세표[블록 18~22시],$Q2351))</f>
        <v/>
      </c>
      <c r="N2351" s="20">
        <f>IF($Q2351="","",INDEX(상세표[블록 22~06시],$Q2351))</f>
        <v/>
      </c>
      <c r="O2351">
        <f>IF($Q2351="","",INDEX(상세표[주말·휴일 포함],$Q2351)&amp;"")</f>
        <v/>
      </c>
      <c r="P2351">
        <f>IF($Q2351="","",INDEX(상세표[월 넘김 포함],$Q2351)&amp;"")</f>
        <v/>
      </c>
      <c r="Q2351" s="4">
        <f>IFERROR(MATCH(2346,상세표[연속순번],0),"")</f>
        <v/>
      </c>
    </row>
    <row r="2352">
      <c r="A2352">
        <f>IF($Q2352="","",INDEX(상세표[부서],$Q2352)&amp;"")</f>
        <v/>
      </c>
      <c r="B2352">
        <f>IF($Q2352="","",INDEX(상세표[사번],$Q2352)&amp;"")</f>
        <v/>
      </c>
      <c r="C2352">
        <f>IF($Q2352="","",INDEX(상세표[성명],$Q2352)&amp;"")</f>
        <v/>
      </c>
      <c r="D2352">
        <f>IF($Q2352="","",INDEX(상세표[직위],$Q2352)&amp;"")</f>
        <v/>
      </c>
      <c r="E2352">
        <f>IF($Q2352="","",IF(ISNUMBER(INDEX(상세표[근무일자],$Q2352)),TEXT(INDEX(상세표[근무일자],$Q2352),"yyyy-mm-dd"),INDEX(상세표[근무일자],$Q2352)&amp;""))</f>
        <v/>
      </c>
      <c r="F2352">
        <f>IF($Q2352="","",IF(ISNUMBER(INDEX(상세표[시작],$Q2352)),TEXT(INDEX(상세표[시작],$Q2352),"yyyy-mm-dd hh:mm"),INDEX(상세표[시작],$Q2352)&amp;""))</f>
        <v/>
      </c>
      <c r="G2352">
        <f>IF($Q2352="","",IF(ISNUMBER(INDEX(상세표[블록종료],$Q2352)),TEXT(INDEX(상세표[블록종료],$Q2352),"yyyy-mm-dd hh:mm"),INDEX(상세표[블록종료],$Q2352)&amp;""))</f>
        <v/>
      </c>
      <c r="H2352">
        <f>IF($Q2352="","",CHOOSE(WEEKDAY(INDEX(상세표[시작],$Q2352)),"일","월","화","수","목","금","토"))</f>
        <v/>
      </c>
      <c r="I2352" s="20">
        <f>IF($Q2352="","",INDEX(상세표[연속 시간],$Q2352))</f>
        <v/>
      </c>
      <c r="J2352">
        <f>IF($Q2352="","",INDEX(상세표[기록 수],$Q2352))</f>
        <v/>
      </c>
      <c r="K2352" s="20">
        <f>IF($Q2352="","",INDEX(상세표[블록 06~07시],$Q2352))</f>
        <v/>
      </c>
      <c r="L2352" s="20">
        <f>IF($Q2352="","",INDEX(상세표[블록 07~18시],$Q2352))</f>
        <v/>
      </c>
      <c r="M2352" s="20">
        <f>IF($Q2352="","",INDEX(상세표[블록 18~22시],$Q2352))</f>
        <v/>
      </c>
      <c r="N2352" s="20">
        <f>IF($Q2352="","",INDEX(상세표[블록 22~06시],$Q2352))</f>
        <v/>
      </c>
      <c r="O2352">
        <f>IF($Q2352="","",INDEX(상세표[주말·휴일 포함],$Q2352)&amp;"")</f>
        <v/>
      </c>
      <c r="P2352">
        <f>IF($Q2352="","",INDEX(상세표[월 넘김 포함],$Q2352)&amp;"")</f>
        <v/>
      </c>
      <c r="Q2352" s="4">
        <f>IFERROR(MATCH(2347,상세표[연속순번],0),"")</f>
        <v/>
      </c>
    </row>
    <row r="2353">
      <c r="A2353">
        <f>IF($Q2353="","",INDEX(상세표[부서],$Q2353)&amp;"")</f>
        <v/>
      </c>
      <c r="B2353">
        <f>IF($Q2353="","",INDEX(상세표[사번],$Q2353)&amp;"")</f>
        <v/>
      </c>
      <c r="C2353">
        <f>IF($Q2353="","",INDEX(상세표[성명],$Q2353)&amp;"")</f>
        <v/>
      </c>
      <c r="D2353">
        <f>IF($Q2353="","",INDEX(상세표[직위],$Q2353)&amp;"")</f>
        <v/>
      </c>
      <c r="E2353">
        <f>IF($Q2353="","",IF(ISNUMBER(INDEX(상세표[근무일자],$Q2353)),TEXT(INDEX(상세표[근무일자],$Q2353),"yyyy-mm-dd"),INDEX(상세표[근무일자],$Q2353)&amp;""))</f>
        <v/>
      </c>
      <c r="F2353">
        <f>IF($Q2353="","",IF(ISNUMBER(INDEX(상세표[시작],$Q2353)),TEXT(INDEX(상세표[시작],$Q2353),"yyyy-mm-dd hh:mm"),INDEX(상세표[시작],$Q2353)&amp;""))</f>
        <v/>
      </c>
      <c r="G2353">
        <f>IF($Q2353="","",IF(ISNUMBER(INDEX(상세표[블록종료],$Q2353)),TEXT(INDEX(상세표[블록종료],$Q2353),"yyyy-mm-dd hh:mm"),INDEX(상세표[블록종료],$Q2353)&amp;""))</f>
        <v/>
      </c>
      <c r="H2353">
        <f>IF($Q2353="","",CHOOSE(WEEKDAY(INDEX(상세표[시작],$Q2353)),"일","월","화","수","목","금","토"))</f>
        <v/>
      </c>
      <c r="I2353" s="20">
        <f>IF($Q2353="","",INDEX(상세표[연속 시간],$Q2353))</f>
        <v/>
      </c>
      <c r="J2353">
        <f>IF($Q2353="","",INDEX(상세표[기록 수],$Q2353))</f>
        <v/>
      </c>
      <c r="K2353" s="20">
        <f>IF($Q2353="","",INDEX(상세표[블록 06~07시],$Q2353))</f>
        <v/>
      </c>
      <c r="L2353" s="20">
        <f>IF($Q2353="","",INDEX(상세표[블록 07~18시],$Q2353))</f>
        <v/>
      </c>
      <c r="M2353" s="20">
        <f>IF($Q2353="","",INDEX(상세표[블록 18~22시],$Q2353))</f>
        <v/>
      </c>
      <c r="N2353" s="20">
        <f>IF($Q2353="","",INDEX(상세표[블록 22~06시],$Q2353))</f>
        <v/>
      </c>
      <c r="O2353">
        <f>IF($Q2353="","",INDEX(상세표[주말·휴일 포함],$Q2353)&amp;"")</f>
        <v/>
      </c>
      <c r="P2353">
        <f>IF($Q2353="","",INDEX(상세표[월 넘김 포함],$Q2353)&amp;"")</f>
        <v/>
      </c>
      <c r="Q2353" s="4">
        <f>IFERROR(MATCH(2348,상세표[연속순번],0),"")</f>
        <v/>
      </c>
    </row>
    <row r="2354">
      <c r="A2354">
        <f>IF($Q2354="","",INDEX(상세표[부서],$Q2354)&amp;"")</f>
        <v/>
      </c>
      <c r="B2354">
        <f>IF($Q2354="","",INDEX(상세표[사번],$Q2354)&amp;"")</f>
        <v/>
      </c>
      <c r="C2354">
        <f>IF($Q2354="","",INDEX(상세표[성명],$Q2354)&amp;"")</f>
        <v/>
      </c>
      <c r="D2354">
        <f>IF($Q2354="","",INDEX(상세표[직위],$Q2354)&amp;"")</f>
        <v/>
      </c>
      <c r="E2354">
        <f>IF($Q2354="","",IF(ISNUMBER(INDEX(상세표[근무일자],$Q2354)),TEXT(INDEX(상세표[근무일자],$Q2354),"yyyy-mm-dd"),INDEX(상세표[근무일자],$Q2354)&amp;""))</f>
        <v/>
      </c>
      <c r="F2354">
        <f>IF($Q2354="","",IF(ISNUMBER(INDEX(상세표[시작],$Q2354)),TEXT(INDEX(상세표[시작],$Q2354),"yyyy-mm-dd hh:mm"),INDEX(상세표[시작],$Q2354)&amp;""))</f>
        <v/>
      </c>
      <c r="G2354">
        <f>IF($Q2354="","",IF(ISNUMBER(INDEX(상세표[블록종료],$Q2354)),TEXT(INDEX(상세표[블록종료],$Q2354),"yyyy-mm-dd hh:mm"),INDEX(상세표[블록종료],$Q2354)&amp;""))</f>
        <v/>
      </c>
      <c r="H2354">
        <f>IF($Q2354="","",CHOOSE(WEEKDAY(INDEX(상세표[시작],$Q2354)),"일","월","화","수","목","금","토"))</f>
        <v/>
      </c>
      <c r="I2354" s="20">
        <f>IF($Q2354="","",INDEX(상세표[연속 시간],$Q2354))</f>
        <v/>
      </c>
      <c r="J2354">
        <f>IF($Q2354="","",INDEX(상세표[기록 수],$Q2354))</f>
        <v/>
      </c>
      <c r="K2354" s="20">
        <f>IF($Q2354="","",INDEX(상세표[블록 06~07시],$Q2354))</f>
        <v/>
      </c>
      <c r="L2354" s="20">
        <f>IF($Q2354="","",INDEX(상세표[블록 07~18시],$Q2354))</f>
        <v/>
      </c>
      <c r="M2354" s="20">
        <f>IF($Q2354="","",INDEX(상세표[블록 18~22시],$Q2354))</f>
        <v/>
      </c>
      <c r="N2354" s="20">
        <f>IF($Q2354="","",INDEX(상세표[블록 22~06시],$Q2354))</f>
        <v/>
      </c>
      <c r="O2354">
        <f>IF($Q2354="","",INDEX(상세표[주말·휴일 포함],$Q2354)&amp;"")</f>
        <v/>
      </c>
      <c r="P2354">
        <f>IF($Q2354="","",INDEX(상세표[월 넘김 포함],$Q2354)&amp;"")</f>
        <v/>
      </c>
      <c r="Q2354" s="4">
        <f>IFERROR(MATCH(2349,상세표[연속순번],0),"")</f>
        <v/>
      </c>
    </row>
    <row r="2355">
      <c r="A2355">
        <f>IF($Q2355="","",INDEX(상세표[부서],$Q2355)&amp;"")</f>
        <v/>
      </c>
      <c r="B2355">
        <f>IF($Q2355="","",INDEX(상세표[사번],$Q2355)&amp;"")</f>
        <v/>
      </c>
      <c r="C2355">
        <f>IF($Q2355="","",INDEX(상세표[성명],$Q2355)&amp;"")</f>
        <v/>
      </c>
      <c r="D2355">
        <f>IF($Q2355="","",INDEX(상세표[직위],$Q2355)&amp;"")</f>
        <v/>
      </c>
      <c r="E2355">
        <f>IF($Q2355="","",IF(ISNUMBER(INDEX(상세표[근무일자],$Q2355)),TEXT(INDEX(상세표[근무일자],$Q2355),"yyyy-mm-dd"),INDEX(상세표[근무일자],$Q2355)&amp;""))</f>
        <v/>
      </c>
      <c r="F2355">
        <f>IF($Q2355="","",IF(ISNUMBER(INDEX(상세표[시작],$Q2355)),TEXT(INDEX(상세표[시작],$Q2355),"yyyy-mm-dd hh:mm"),INDEX(상세표[시작],$Q2355)&amp;""))</f>
        <v/>
      </c>
      <c r="G2355">
        <f>IF($Q2355="","",IF(ISNUMBER(INDEX(상세표[블록종료],$Q2355)),TEXT(INDEX(상세표[블록종료],$Q2355),"yyyy-mm-dd hh:mm"),INDEX(상세표[블록종료],$Q2355)&amp;""))</f>
        <v/>
      </c>
      <c r="H2355">
        <f>IF($Q2355="","",CHOOSE(WEEKDAY(INDEX(상세표[시작],$Q2355)),"일","월","화","수","목","금","토"))</f>
        <v/>
      </c>
      <c r="I2355" s="20">
        <f>IF($Q2355="","",INDEX(상세표[연속 시간],$Q2355))</f>
        <v/>
      </c>
      <c r="J2355">
        <f>IF($Q2355="","",INDEX(상세표[기록 수],$Q2355))</f>
        <v/>
      </c>
      <c r="K2355" s="20">
        <f>IF($Q2355="","",INDEX(상세표[블록 06~07시],$Q2355))</f>
        <v/>
      </c>
      <c r="L2355" s="20">
        <f>IF($Q2355="","",INDEX(상세표[블록 07~18시],$Q2355))</f>
        <v/>
      </c>
      <c r="M2355" s="20">
        <f>IF($Q2355="","",INDEX(상세표[블록 18~22시],$Q2355))</f>
        <v/>
      </c>
      <c r="N2355" s="20">
        <f>IF($Q2355="","",INDEX(상세표[블록 22~06시],$Q2355))</f>
        <v/>
      </c>
      <c r="O2355">
        <f>IF($Q2355="","",INDEX(상세표[주말·휴일 포함],$Q2355)&amp;"")</f>
        <v/>
      </c>
      <c r="P2355">
        <f>IF($Q2355="","",INDEX(상세표[월 넘김 포함],$Q2355)&amp;"")</f>
        <v/>
      </c>
      <c r="Q2355" s="4">
        <f>IFERROR(MATCH(2350,상세표[연속순번],0),"")</f>
        <v/>
      </c>
    </row>
    <row r="2356">
      <c r="A2356">
        <f>IF($Q2356="","",INDEX(상세표[부서],$Q2356)&amp;"")</f>
        <v/>
      </c>
      <c r="B2356">
        <f>IF($Q2356="","",INDEX(상세표[사번],$Q2356)&amp;"")</f>
        <v/>
      </c>
      <c r="C2356">
        <f>IF($Q2356="","",INDEX(상세표[성명],$Q2356)&amp;"")</f>
        <v/>
      </c>
      <c r="D2356">
        <f>IF($Q2356="","",INDEX(상세표[직위],$Q2356)&amp;"")</f>
        <v/>
      </c>
      <c r="E2356">
        <f>IF($Q2356="","",IF(ISNUMBER(INDEX(상세표[근무일자],$Q2356)),TEXT(INDEX(상세표[근무일자],$Q2356),"yyyy-mm-dd"),INDEX(상세표[근무일자],$Q2356)&amp;""))</f>
        <v/>
      </c>
      <c r="F2356">
        <f>IF($Q2356="","",IF(ISNUMBER(INDEX(상세표[시작],$Q2356)),TEXT(INDEX(상세표[시작],$Q2356),"yyyy-mm-dd hh:mm"),INDEX(상세표[시작],$Q2356)&amp;""))</f>
        <v/>
      </c>
      <c r="G2356">
        <f>IF($Q2356="","",IF(ISNUMBER(INDEX(상세표[블록종료],$Q2356)),TEXT(INDEX(상세표[블록종료],$Q2356),"yyyy-mm-dd hh:mm"),INDEX(상세표[블록종료],$Q2356)&amp;""))</f>
        <v/>
      </c>
      <c r="H2356">
        <f>IF($Q2356="","",CHOOSE(WEEKDAY(INDEX(상세표[시작],$Q2356)),"일","월","화","수","목","금","토"))</f>
        <v/>
      </c>
      <c r="I2356" s="20">
        <f>IF($Q2356="","",INDEX(상세표[연속 시간],$Q2356))</f>
        <v/>
      </c>
      <c r="J2356">
        <f>IF($Q2356="","",INDEX(상세표[기록 수],$Q2356))</f>
        <v/>
      </c>
      <c r="K2356" s="20">
        <f>IF($Q2356="","",INDEX(상세표[블록 06~07시],$Q2356))</f>
        <v/>
      </c>
      <c r="L2356" s="20">
        <f>IF($Q2356="","",INDEX(상세표[블록 07~18시],$Q2356))</f>
        <v/>
      </c>
      <c r="M2356" s="20">
        <f>IF($Q2356="","",INDEX(상세표[블록 18~22시],$Q2356))</f>
        <v/>
      </c>
      <c r="N2356" s="20">
        <f>IF($Q2356="","",INDEX(상세표[블록 22~06시],$Q2356))</f>
        <v/>
      </c>
      <c r="O2356">
        <f>IF($Q2356="","",INDEX(상세표[주말·휴일 포함],$Q2356)&amp;"")</f>
        <v/>
      </c>
      <c r="P2356">
        <f>IF($Q2356="","",INDEX(상세표[월 넘김 포함],$Q2356)&amp;"")</f>
        <v/>
      </c>
      <c r="Q2356" s="4">
        <f>IFERROR(MATCH(2351,상세표[연속순번],0),"")</f>
        <v/>
      </c>
    </row>
    <row r="2357">
      <c r="A2357">
        <f>IF($Q2357="","",INDEX(상세표[부서],$Q2357)&amp;"")</f>
        <v/>
      </c>
      <c r="B2357">
        <f>IF($Q2357="","",INDEX(상세표[사번],$Q2357)&amp;"")</f>
        <v/>
      </c>
      <c r="C2357">
        <f>IF($Q2357="","",INDEX(상세표[성명],$Q2357)&amp;"")</f>
        <v/>
      </c>
      <c r="D2357">
        <f>IF($Q2357="","",INDEX(상세표[직위],$Q2357)&amp;"")</f>
        <v/>
      </c>
      <c r="E2357">
        <f>IF($Q2357="","",IF(ISNUMBER(INDEX(상세표[근무일자],$Q2357)),TEXT(INDEX(상세표[근무일자],$Q2357),"yyyy-mm-dd"),INDEX(상세표[근무일자],$Q2357)&amp;""))</f>
        <v/>
      </c>
      <c r="F2357">
        <f>IF($Q2357="","",IF(ISNUMBER(INDEX(상세표[시작],$Q2357)),TEXT(INDEX(상세표[시작],$Q2357),"yyyy-mm-dd hh:mm"),INDEX(상세표[시작],$Q2357)&amp;""))</f>
        <v/>
      </c>
      <c r="G2357">
        <f>IF($Q2357="","",IF(ISNUMBER(INDEX(상세표[블록종료],$Q2357)),TEXT(INDEX(상세표[블록종료],$Q2357),"yyyy-mm-dd hh:mm"),INDEX(상세표[블록종료],$Q2357)&amp;""))</f>
        <v/>
      </c>
      <c r="H2357">
        <f>IF($Q2357="","",CHOOSE(WEEKDAY(INDEX(상세표[시작],$Q2357)),"일","월","화","수","목","금","토"))</f>
        <v/>
      </c>
      <c r="I2357" s="20">
        <f>IF($Q2357="","",INDEX(상세표[연속 시간],$Q2357))</f>
        <v/>
      </c>
      <c r="J2357">
        <f>IF($Q2357="","",INDEX(상세표[기록 수],$Q2357))</f>
        <v/>
      </c>
      <c r="K2357" s="20">
        <f>IF($Q2357="","",INDEX(상세표[블록 06~07시],$Q2357))</f>
        <v/>
      </c>
      <c r="L2357" s="20">
        <f>IF($Q2357="","",INDEX(상세표[블록 07~18시],$Q2357))</f>
        <v/>
      </c>
      <c r="M2357" s="20">
        <f>IF($Q2357="","",INDEX(상세표[블록 18~22시],$Q2357))</f>
        <v/>
      </c>
      <c r="N2357" s="20">
        <f>IF($Q2357="","",INDEX(상세표[블록 22~06시],$Q2357))</f>
        <v/>
      </c>
      <c r="O2357">
        <f>IF($Q2357="","",INDEX(상세표[주말·휴일 포함],$Q2357)&amp;"")</f>
        <v/>
      </c>
      <c r="P2357">
        <f>IF($Q2357="","",INDEX(상세표[월 넘김 포함],$Q2357)&amp;"")</f>
        <v/>
      </c>
      <c r="Q2357" s="4">
        <f>IFERROR(MATCH(2352,상세표[연속순번],0),"")</f>
        <v/>
      </c>
    </row>
    <row r="2358">
      <c r="A2358">
        <f>IF($Q2358="","",INDEX(상세표[부서],$Q2358)&amp;"")</f>
        <v/>
      </c>
      <c r="B2358">
        <f>IF($Q2358="","",INDEX(상세표[사번],$Q2358)&amp;"")</f>
        <v/>
      </c>
      <c r="C2358">
        <f>IF($Q2358="","",INDEX(상세표[성명],$Q2358)&amp;"")</f>
        <v/>
      </c>
      <c r="D2358">
        <f>IF($Q2358="","",INDEX(상세표[직위],$Q2358)&amp;"")</f>
        <v/>
      </c>
      <c r="E2358">
        <f>IF($Q2358="","",IF(ISNUMBER(INDEX(상세표[근무일자],$Q2358)),TEXT(INDEX(상세표[근무일자],$Q2358),"yyyy-mm-dd"),INDEX(상세표[근무일자],$Q2358)&amp;""))</f>
        <v/>
      </c>
      <c r="F2358">
        <f>IF($Q2358="","",IF(ISNUMBER(INDEX(상세표[시작],$Q2358)),TEXT(INDEX(상세표[시작],$Q2358),"yyyy-mm-dd hh:mm"),INDEX(상세표[시작],$Q2358)&amp;""))</f>
        <v/>
      </c>
      <c r="G2358">
        <f>IF($Q2358="","",IF(ISNUMBER(INDEX(상세표[블록종료],$Q2358)),TEXT(INDEX(상세표[블록종료],$Q2358),"yyyy-mm-dd hh:mm"),INDEX(상세표[블록종료],$Q2358)&amp;""))</f>
        <v/>
      </c>
      <c r="H2358">
        <f>IF($Q2358="","",CHOOSE(WEEKDAY(INDEX(상세표[시작],$Q2358)),"일","월","화","수","목","금","토"))</f>
        <v/>
      </c>
      <c r="I2358" s="20">
        <f>IF($Q2358="","",INDEX(상세표[연속 시간],$Q2358))</f>
        <v/>
      </c>
      <c r="J2358">
        <f>IF($Q2358="","",INDEX(상세표[기록 수],$Q2358))</f>
        <v/>
      </c>
      <c r="K2358" s="20">
        <f>IF($Q2358="","",INDEX(상세표[블록 06~07시],$Q2358))</f>
        <v/>
      </c>
      <c r="L2358" s="20">
        <f>IF($Q2358="","",INDEX(상세표[블록 07~18시],$Q2358))</f>
        <v/>
      </c>
      <c r="M2358" s="20">
        <f>IF($Q2358="","",INDEX(상세표[블록 18~22시],$Q2358))</f>
        <v/>
      </c>
      <c r="N2358" s="20">
        <f>IF($Q2358="","",INDEX(상세표[블록 22~06시],$Q2358))</f>
        <v/>
      </c>
      <c r="O2358">
        <f>IF($Q2358="","",INDEX(상세표[주말·휴일 포함],$Q2358)&amp;"")</f>
        <v/>
      </c>
      <c r="P2358">
        <f>IF($Q2358="","",INDEX(상세표[월 넘김 포함],$Q2358)&amp;"")</f>
        <v/>
      </c>
      <c r="Q2358" s="4">
        <f>IFERROR(MATCH(2353,상세표[연속순번],0),"")</f>
        <v/>
      </c>
    </row>
    <row r="2359">
      <c r="A2359">
        <f>IF($Q2359="","",INDEX(상세표[부서],$Q2359)&amp;"")</f>
        <v/>
      </c>
      <c r="B2359">
        <f>IF($Q2359="","",INDEX(상세표[사번],$Q2359)&amp;"")</f>
        <v/>
      </c>
      <c r="C2359">
        <f>IF($Q2359="","",INDEX(상세표[성명],$Q2359)&amp;"")</f>
        <v/>
      </c>
      <c r="D2359">
        <f>IF($Q2359="","",INDEX(상세표[직위],$Q2359)&amp;"")</f>
        <v/>
      </c>
      <c r="E2359">
        <f>IF($Q2359="","",IF(ISNUMBER(INDEX(상세표[근무일자],$Q2359)),TEXT(INDEX(상세표[근무일자],$Q2359),"yyyy-mm-dd"),INDEX(상세표[근무일자],$Q2359)&amp;""))</f>
        <v/>
      </c>
      <c r="F2359">
        <f>IF($Q2359="","",IF(ISNUMBER(INDEX(상세표[시작],$Q2359)),TEXT(INDEX(상세표[시작],$Q2359),"yyyy-mm-dd hh:mm"),INDEX(상세표[시작],$Q2359)&amp;""))</f>
        <v/>
      </c>
      <c r="G2359">
        <f>IF($Q2359="","",IF(ISNUMBER(INDEX(상세표[블록종료],$Q2359)),TEXT(INDEX(상세표[블록종료],$Q2359),"yyyy-mm-dd hh:mm"),INDEX(상세표[블록종료],$Q2359)&amp;""))</f>
        <v/>
      </c>
      <c r="H2359">
        <f>IF($Q2359="","",CHOOSE(WEEKDAY(INDEX(상세표[시작],$Q2359)),"일","월","화","수","목","금","토"))</f>
        <v/>
      </c>
      <c r="I2359" s="20">
        <f>IF($Q2359="","",INDEX(상세표[연속 시간],$Q2359))</f>
        <v/>
      </c>
      <c r="J2359">
        <f>IF($Q2359="","",INDEX(상세표[기록 수],$Q2359))</f>
        <v/>
      </c>
      <c r="K2359" s="20">
        <f>IF($Q2359="","",INDEX(상세표[블록 06~07시],$Q2359))</f>
        <v/>
      </c>
      <c r="L2359" s="20">
        <f>IF($Q2359="","",INDEX(상세표[블록 07~18시],$Q2359))</f>
        <v/>
      </c>
      <c r="M2359" s="20">
        <f>IF($Q2359="","",INDEX(상세표[블록 18~22시],$Q2359))</f>
        <v/>
      </c>
      <c r="N2359" s="20">
        <f>IF($Q2359="","",INDEX(상세표[블록 22~06시],$Q2359))</f>
        <v/>
      </c>
      <c r="O2359">
        <f>IF($Q2359="","",INDEX(상세표[주말·휴일 포함],$Q2359)&amp;"")</f>
        <v/>
      </c>
      <c r="P2359">
        <f>IF($Q2359="","",INDEX(상세표[월 넘김 포함],$Q2359)&amp;"")</f>
        <v/>
      </c>
      <c r="Q2359" s="4">
        <f>IFERROR(MATCH(2354,상세표[연속순번],0),"")</f>
        <v/>
      </c>
    </row>
    <row r="2360">
      <c r="A2360">
        <f>IF($Q2360="","",INDEX(상세표[부서],$Q2360)&amp;"")</f>
        <v/>
      </c>
      <c r="B2360">
        <f>IF($Q2360="","",INDEX(상세표[사번],$Q2360)&amp;"")</f>
        <v/>
      </c>
      <c r="C2360">
        <f>IF($Q2360="","",INDEX(상세표[성명],$Q2360)&amp;"")</f>
        <v/>
      </c>
      <c r="D2360">
        <f>IF($Q2360="","",INDEX(상세표[직위],$Q2360)&amp;"")</f>
        <v/>
      </c>
      <c r="E2360">
        <f>IF($Q2360="","",IF(ISNUMBER(INDEX(상세표[근무일자],$Q2360)),TEXT(INDEX(상세표[근무일자],$Q2360),"yyyy-mm-dd"),INDEX(상세표[근무일자],$Q2360)&amp;""))</f>
        <v/>
      </c>
      <c r="F2360">
        <f>IF($Q2360="","",IF(ISNUMBER(INDEX(상세표[시작],$Q2360)),TEXT(INDEX(상세표[시작],$Q2360),"yyyy-mm-dd hh:mm"),INDEX(상세표[시작],$Q2360)&amp;""))</f>
        <v/>
      </c>
      <c r="G2360">
        <f>IF($Q2360="","",IF(ISNUMBER(INDEX(상세표[블록종료],$Q2360)),TEXT(INDEX(상세표[블록종료],$Q2360),"yyyy-mm-dd hh:mm"),INDEX(상세표[블록종료],$Q2360)&amp;""))</f>
        <v/>
      </c>
      <c r="H2360">
        <f>IF($Q2360="","",CHOOSE(WEEKDAY(INDEX(상세표[시작],$Q2360)),"일","월","화","수","목","금","토"))</f>
        <v/>
      </c>
      <c r="I2360" s="20">
        <f>IF($Q2360="","",INDEX(상세표[연속 시간],$Q2360))</f>
        <v/>
      </c>
      <c r="J2360">
        <f>IF($Q2360="","",INDEX(상세표[기록 수],$Q2360))</f>
        <v/>
      </c>
      <c r="K2360" s="20">
        <f>IF($Q2360="","",INDEX(상세표[블록 06~07시],$Q2360))</f>
        <v/>
      </c>
      <c r="L2360" s="20">
        <f>IF($Q2360="","",INDEX(상세표[블록 07~18시],$Q2360))</f>
        <v/>
      </c>
      <c r="M2360" s="20">
        <f>IF($Q2360="","",INDEX(상세표[블록 18~22시],$Q2360))</f>
        <v/>
      </c>
      <c r="N2360" s="20">
        <f>IF($Q2360="","",INDEX(상세표[블록 22~06시],$Q2360))</f>
        <v/>
      </c>
      <c r="O2360">
        <f>IF($Q2360="","",INDEX(상세표[주말·휴일 포함],$Q2360)&amp;"")</f>
        <v/>
      </c>
      <c r="P2360">
        <f>IF($Q2360="","",INDEX(상세표[월 넘김 포함],$Q2360)&amp;"")</f>
        <v/>
      </c>
      <c r="Q2360" s="4">
        <f>IFERROR(MATCH(2355,상세표[연속순번],0),"")</f>
        <v/>
      </c>
    </row>
    <row r="2361">
      <c r="A2361">
        <f>IF($Q2361="","",INDEX(상세표[부서],$Q2361)&amp;"")</f>
        <v/>
      </c>
      <c r="B2361">
        <f>IF($Q2361="","",INDEX(상세표[사번],$Q2361)&amp;"")</f>
        <v/>
      </c>
      <c r="C2361">
        <f>IF($Q2361="","",INDEX(상세표[성명],$Q2361)&amp;"")</f>
        <v/>
      </c>
      <c r="D2361">
        <f>IF($Q2361="","",INDEX(상세표[직위],$Q2361)&amp;"")</f>
        <v/>
      </c>
      <c r="E2361">
        <f>IF($Q2361="","",IF(ISNUMBER(INDEX(상세표[근무일자],$Q2361)),TEXT(INDEX(상세표[근무일자],$Q2361),"yyyy-mm-dd"),INDEX(상세표[근무일자],$Q2361)&amp;""))</f>
        <v/>
      </c>
      <c r="F2361">
        <f>IF($Q2361="","",IF(ISNUMBER(INDEX(상세표[시작],$Q2361)),TEXT(INDEX(상세표[시작],$Q2361),"yyyy-mm-dd hh:mm"),INDEX(상세표[시작],$Q2361)&amp;""))</f>
        <v/>
      </c>
      <c r="G2361">
        <f>IF($Q2361="","",IF(ISNUMBER(INDEX(상세표[블록종료],$Q2361)),TEXT(INDEX(상세표[블록종료],$Q2361),"yyyy-mm-dd hh:mm"),INDEX(상세표[블록종료],$Q2361)&amp;""))</f>
        <v/>
      </c>
      <c r="H2361">
        <f>IF($Q2361="","",CHOOSE(WEEKDAY(INDEX(상세표[시작],$Q2361)),"일","월","화","수","목","금","토"))</f>
        <v/>
      </c>
      <c r="I2361" s="20">
        <f>IF($Q2361="","",INDEX(상세표[연속 시간],$Q2361))</f>
        <v/>
      </c>
      <c r="J2361">
        <f>IF($Q2361="","",INDEX(상세표[기록 수],$Q2361))</f>
        <v/>
      </c>
      <c r="K2361" s="20">
        <f>IF($Q2361="","",INDEX(상세표[블록 06~07시],$Q2361))</f>
        <v/>
      </c>
      <c r="L2361" s="20">
        <f>IF($Q2361="","",INDEX(상세표[블록 07~18시],$Q2361))</f>
        <v/>
      </c>
      <c r="M2361" s="20">
        <f>IF($Q2361="","",INDEX(상세표[블록 18~22시],$Q2361))</f>
        <v/>
      </c>
      <c r="N2361" s="20">
        <f>IF($Q2361="","",INDEX(상세표[블록 22~06시],$Q2361))</f>
        <v/>
      </c>
      <c r="O2361">
        <f>IF($Q2361="","",INDEX(상세표[주말·휴일 포함],$Q2361)&amp;"")</f>
        <v/>
      </c>
      <c r="P2361">
        <f>IF($Q2361="","",INDEX(상세표[월 넘김 포함],$Q2361)&amp;"")</f>
        <v/>
      </c>
      <c r="Q2361" s="4">
        <f>IFERROR(MATCH(2356,상세표[연속순번],0),"")</f>
        <v/>
      </c>
    </row>
    <row r="2362">
      <c r="A2362">
        <f>IF($Q2362="","",INDEX(상세표[부서],$Q2362)&amp;"")</f>
        <v/>
      </c>
      <c r="B2362">
        <f>IF($Q2362="","",INDEX(상세표[사번],$Q2362)&amp;"")</f>
        <v/>
      </c>
      <c r="C2362">
        <f>IF($Q2362="","",INDEX(상세표[성명],$Q2362)&amp;"")</f>
        <v/>
      </c>
      <c r="D2362">
        <f>IF($Q2362="","",INDEX(상세표[직위],$Q2362)&amp;"")</f>
        <v/>
      </c>
      <c r="E2362">
        <f>IF($Q2362="","",IF(ISNUMBER(INDEX(상세표[근무일자],$Q2362)),TEXT(INDEX(상세표[근무일자],$Q2362),"yyyy-mm-dd"),INDEX(상세표[근무일자],$Q2362)&amp;""))</f>
        <v/>
      </c>
      <c r="F2362">
        <f>IF($Q2362="","",IF(ISNUMBER(INDEX(상세표[시작],$Q2362)),TEXT(INDEX(상세표[시작],$Q2362),"yyyy-mm-dd hh:mm"),INDEX(상세표[시작],$Q2362)&amp;""))</f>
        <v/>
      </c>
      <c r="G2362">
        <f>IF($Q2362="","",IF(ISNUMBER(INDEX(상세표[블록종료],$Q2362)),TEXT(INDEX(상세표[블록종료],$Q2362),"yyyy-mm-dd hh:mm"),INDEX(상세표[블록종료],$Q2362)&amp;""))</f>
        <v/>
      </c>
      <c r="H2362">
        <f>IF($Q2362="","",CHOOSE(WEEKDAY(INDEX(상세표[시작],$Q2362)),"일","월","화","수","목","금","토"))</f>
        <v/>
      </c>
      <c r="I2362" s="20">
        <f>IF($Q2362="","",INDEX(상세표[연속 시간],$Q2362))</f>
        <v/>
      </c>
      <c r="J2362">
        <f>IF($Q2362="","",INDEX(상세표[기록 수],$Q2362))</f>
        <v/>
      </c>
      <c r="K2362" s="20">
        <f>IF($Q2362="","",INDEX(상세표[블록 06~07시],$Q2362))</f>
        <v/>
      </c>
      <c r="L2362" s="20">
        <f>IF($Q2362="","",INDEX(상세표[블록 07~18시],$Q2362))</f>
        <v/>
      </c>
      <c r="M2362" s="20">
        <f>IF($Q2362="","",INDEX(상세표[블록 18~22시],$Q2362))</f>
        <v/>
      </c>
      <c r="N2362" s="20">
        <f>IF($Q2362="","",INDEX(상세표[블록 22~06시],$Q2362))</f>
        <v/>
      </c>
      <c r="O2362">
        <f>IF($Q2362="","",INDEX(상세표[주말·휴일 포함],$Q2362)&amp;"")</f>
        <v/>
      </c>
      <c r="P2362">
        <f>IF($Q2362="","",INDEX(상세표[월 넘김 포함],$Q2362)&amp;"")</f>
        <v/>
      </c>
      <c r="Q2362" s="4">
        <f>IFERROR(MATCH(2357,상세표[연속순번],0),"")</f>
        <v/>
      </c>
    </row>
    <row r="2363">
      <c r="A2363">
        <f>IF($Q2363="","",INDEX(상세표[부서],$Q2363)&amp;"")</f>
        <v/>
      </c>
      <c r="B2363">
        <f>IF($Q2363="","",INDEX(상세표[사번],$Q2363)&amp;"")</f>
        <v/>
      </c>
      <c r="C2363">
        <f>IF($Q2363="","",INDEX(상세표[성명],$Q2363)&amp;"")</f>
        <v/>
      </c>
      <c r="D2363">
        <f>IF($Q2363="","",INDEX(상세표[직위],$Q2363)&amp;"")</f>
        <v/>
      </c>
      <c r="E2363">
        <f>IF($Q2363="","",IF(ISNUMBER(INDEX(상세표[근무일자],$Q2363)),TEXT(INDEX(상세표[근무일자],$Q2363),"yyyy-mm-dd"),INDEX(상세표[근무일자],$Q2363)&amp;""))</f>
        <v/>
      </c>
      <c r="F2363">
        <f>IF($Q2363="","",IF(ISNUMBER(INDEX(상세표[시작],$Q2363)),TEXT(INDEX(상세표[시작],$Q2363),"yyyy-mm-dd hh:mm"),INDEX(상세표[시작],$Q2363)&amp;""))</f>
        <v/>
      </c>
      <c r="G2363">
        <f>IF($Q2363="","",IF(ISNUMBER(INDEX(상세표[블록종료],$Q2363)),TEXT(INDEX(상세표[블록종료],$Q2363),"yyyy-mm-dd hh:mm"),INDEX(상세표[블록종료],$Q2363)&amp;""))</f>
        <v/>
      </c>
      <c r="H2363">
        <f>IF($Q2363="","",CHOOSE(WEEKDAY(INDEX(상세표[시작],$Q2363)),"일","월","화","수","목","금","토"))</f>
        <v/>
      </c>
      <c r="I2363" s="20">
        <f>IF($Q2363="","",INDEX(상세표[연속 시간],$Q2363))</f>
        <v/>
      </c>
      <c r="J2363">
        <f>IF($Q2363="","",INDEX(상세표[기록 수],$Q2363))</f>
        <v/>
      </c>
      <c r="K2363" s="20">
        <f>IF($Q2363="","",INDEX(상세표[블록 06~07시],$Q2363))</f>
        <v/>
      </c>
      <c r="L2363" s="20">
        <f>IF($Q2363="","",INDEX(상세표[블록 07~18시],$Q2363))</f>
        <v/>
      </c>
      <c r="M2363" s="20">
        <f>IF($Q2363="","",INDEX(상세표[블록 18~22시],$Q2363))</f>
        <v/>
      </c>
      <c r="N2363" s="20">
        <f>IF($Q2363="","",INDEX(상세표[블록 22~06시],$Q2363))</f>
        <v/>
      </c>
      <c r="O2363">
        <f>IF($Q2363="","",INDEX(상세표[주말·휴일 포함],$Q2363)&amp;"")</f>
        <v/>
      </c>
      <c r="P2363">
        <f>IF($Q2363="","",INDEX(상세표[월 넘김 포함],$Q2363)&amp;"")</f>
        <v/>
      </c>
      <c r="Q2363" s="4">
        <f>IFERROR(MATCH(2358,상세표[연속순번],0),"")</f>
        <v/>
      </c>
    </row>
    <row r="2364">
      <c r="A2364">
        <f>IF($Q2364="","",INDEX(상세표[부서],$Q2364)&amp;"")</f>
        <v/>
      </c>
      <c r="B2364">
        <f>IF($Q2364="","",INDEX(상세표[사번],$Q2364)&amp;"")</f>
        <v/>
      </c>
      <c r="C2364">
        <f>IF($Q2364="","",INDEX(상세표[성명],$Q2364)&amp;"")</f>
        <v/>
      </c>
      <c r="D2364">
        <f>IF($Q2364="","",INDEX(상세표[직위],$Q2364)&amp;"")</f>
        <v/>
      </c>
      <c r="E2364">
        <f>IF($Q2364="","",IF(ISNUMBER(INDEX(상세표[근무일자],$Q2364)),TEXT(INDEX(상세표[근무일자],$Q2364),"yyyy-mm-dd"),INDEX(상세표[근무일자],$Q2364)&amp;""))</f>
        <v/>
      </c>
      <c r="F2364">
        <f>IF($Q2364="","",IF(ISNUMBER(INDEX(상세표[시작],$Q2364)),TEXT(INDEX(상세표[시작],$Q2364),"yyyy-mm-dd hh:mm"),INDEX(상세표[시작],$Q2364)&amp;""))</f>
        <v/>
      </c>
      <c r="G2364">
        <f>IF($Q2364="","",IF(ISNUMBER(INDEX(상세표[블록종료],$Q2364)),TEXT(INDEX(상세표[블록종료],$Q2364),"yyyy-mm-dd hh:mm"),INDEX(상세표[블록종료],$Q2364)&amp;""))</f>
        <v/>
      </c>
      <c r="H2364">
        <f>IF($Q2364="","",CHOOSE(WEEKDAY(INDEX(상세표[시작],$Q2364)),"일","월","화","수","목","금","토"))</f>
        <v/>
      </c>
      <c r="I2364" s="20">
        <f>IF($Q2364="","",INDEX(상세표[연속 시간],$Q2364))</f>
        <v/>
      </c>
      <c r="J2364">
        <f>IF($Q2364="","",INDEX(상세표[기록 수],$Q2364))</f>
        <v/>
      </c>
      <c r="K2364" s="20">
        <f>IF($Q2364="","",INDEX(상세표[블록 06~07시],$Q2364))</f>
        <v/>
      </c>
      <c r="L2364" s="20">
        <f>IF($Q2364="","",INDEX(상세표[블록 07~18시],$Q2364))</f>
        <v/>
      </c>
      <c r="M2364" s="20">
        <f>IF($Q2364="","",INDEX(상세표[블록 18~22시],$Q2364))</f>
        <v/>
      </c>
      <c r="N2364" s="20">
        <f>IF($Q2364="","",INDEX(상세표[블록 22~06시],$Q2364))</f>
        <v/>
      </c>
      <c r="O2364">
        <f>IF($Q2364="","",INDEX(상세표[주말·휴일 포함],$Q2364)&amp;"")</f>
        <v/>
      </c>
      <c r="P2364">
        <f>IF($Q2364="","",INDEX(상세표[월 넘김 포함],$Q2364)&amp;"")</f>
        <v/>
      </c>
      <c r="Q2364" s="4">
        <f>IFERROR(MATCH(2359,상세표[연속순번],0),"")</f>
        <v/>
      </c>
    </row>
    <row r="2365">
      <c r="A2365">
        <f>IF($Q2365="","",INDEX(상세표[부서],$Q2365)&amp;"")</f>
        <v/>
      </c>
      <c r="B2365">
        <f>IF($Q2365="","",INDEX(상세표[사번],$Q2365)&amp;"")</f>
        <v/>
      </c>
      <c r="C2365">
        <f>IF($Q2365="","",INDEX(상세표[성명],$Q2365)&amp;"")</f>
        <v/>
      </c>
      <c r="D2365">
        <f>IF($Q2365="","",INDEX(상세표[직위],$Q2365)&amp;"")</f>
        <v/>
      </c>
      <c r="E2365">
        <f>IF($Q2365="","",IF(ISNUMBER(INDEX(상세표[근무일자],$Q2365)),TEXT(INDEX(상세표[근무일자],$Q2365),"yyyy-mm-dd"),INDEX(상세표[근무일자],$Q2365)&amp;""))</f>
        <v/>
      </c>
      <c r="F2365">
        <f>IF($Q2365="","",IF(ISNUMBER(INDEX(상세표[시작],$Q2365)),TEXT(INDEX(상세표[시작],$Q2365),"yyyy-mm-dd hh:mm"),INDEX(상세표[시작],$Q2365)&amp;""))</f>
        <v/>
      </c>
      <c r="G2365">
        <f>IF($Q2365="","",IF(ISNUMBER(INDEX(상세표[블록종료],$Q2365)),TEXT(INDEX(상세표[블록종료],$Q2365),"yyyy-mm-dd hh:mm"),INDEX(상세표[블록종료],$Q2365)&amp;""))</f>
        <v/>
      </c>
      <c r="H2365">
        <f>IF($Q2365="","",CHOOSE(WEEKDAY(INDEX(상세표[시작],$Q2365)),"일","월","화","수","목","금","토"))</f>
        <v/>
      </c>
      <c r="I2365" s="20">
        <f>IF($Q2365="","",INDEX(상세표[연속 시간],$Q2365))</f>
        <v/>
      </c>
      <c r="J2365">
        <f>IF($Q2365="","",INDEX(상세표[기록 수],$Q2365))</f>
        <v/>
      </c>
      <c r="K2365" s="20">
        <f>IF($Q2365="","",INDEX(상세표[블록 06~07시],$Q2365))</f>
        <v/>
      </c>
      <c r="L2365" s="20">
        <f>IF($Q2365="","",INDEX(상세표[블록 07~18시],$Q2365))</f>
        <v/>
      </c>
      <c r="M2365" s="20">
        <f>IF($Q2365="","",INDEX(상세표[블록 18~22시],$Q2365))</f>
        <v/>
      </c>
      <c r="N2365" s="20">
        <f>IF($Q2365="","",INDEX(상세표[블록 22~06시],$Q2365))</f>
        <v/>
      </c>
      <c r="O2365">
        <f>IF($Q2365="","",INDEX(상세표[주말·휴일 포함],$Q2365)&amp;"")</f>
        <v/>
      </c>
      <c r="P2365">
        <f>IF($Q2365="","",INDEX(상세표[월 넘김 포함],$Q2365)&amp;"")</f>
        <v/>
      </c>
      <c r="Q2365" s="4">
        <f>IFERROR(MATCH(2360,상세표[연속순번],0),"")</f>
        <v/>
      </c>
    </row>
    <row r="2366">
      <c r="A2366">
        <f>IF($Q2366="","",INDEX(상세표[부서],$Q2366)&amp;"")</f>
        <v/>
      </c>
      <c r="B2366">
        <f>IF($Q2366="","",INDEX(상세표[사번],$Q2366)&amp;"")</f>
        <v/>
      </c>
      <c r="C2366">
        <f>IF($Q2366="","",INDEX(상세표[성명],$Q2366)&amp;"")</f>
        <v/>
      </c>
      <c r="D2366">
        <f>IF($Q2366="","",INDEX(상세표[직위],$Q2366)&amp;"")</f>
        <v/>
      </c>
      <c r="E2366">
        <f>IF($Q2366="","",IF(ISNUMBER(INDEX(상세표[근무일자],$Q2366)),TEXT(INDEX(상세표[근무일자],$Q2366),"yyyy-mm-dd"),INDEX(상세표[근무일자],$Q2366)&amp;""))</f>
        <v/>
      </c>
      <c r="F2366">
        <f>IF($Q2366="","",IF(ISNUMBER(INDEX(상세표[시작],$Q2366)),TEXT(INDEX(상세표[시작],$Q2366),"yyyy-mm-dd hh:mm"),INDEX(상세표[시작],$Q2366)&amp;""))</f>
        <v/>
      </c>
      <c r="G2366">
        <f>IF($Q2366="","",IF(ISNUMBER(INDEX(상세표[블록종료],$Q2366)),TEXT(INDEX(상세표[블록종료],$Q2366),"yyyy-mm-dd hh:mm"),INDEX(상세표[블록종료],$Q2366)&amp;""))</f>
        <v/>
      </c>
      <c r="H2366">
        <f>IF($Q2366="","",CHOOSE(WEEKDAY(INDEX(상세표[시작],$Q2366)),"일","월","화","수","목","금","토"))</f>
        <v/>
      </c>
      <c r="I2366" s="20">
        <f>IF($Q2366="","",INDEX(상세표[연속 시간],$Q2366))</f>
        <v/>
      </c>
      <c r="J2366">
        <f>IF($Q2366="","",INDEX(상세표[기록 수],$Q2366))</f>
        <v/>
      </c>
      <c r="K2366" s="20">
        <f>IF($Q2366="","",INDEX(상세표[블록 06~07시],$Q2366))</f>
        <v/>
      </c>
      <c r="L2366" s="20">
        <f>IF($Q2366="","",INDEX(상세표[블록 07~18시],$Q2366))</f>
        <v/>
      </c>
      <c r="M2366" s="20">
        <f>IF($Q2366="","",INDEX(상세표[블록 18~22시],$Q2366))</f>
        <v/>
      </c>
      <c r="N2366" s="20">
        <f>IF($Q2366="","",INDEX(상세표[블록 22~06시],$Q2366))</f>
        <v/>
      </c>
      <c r="O2366">
        <f>IF($Q2366="","",INDEX(상세표[주말·휴일 포함],$Q2366)&amp;"")</f>
        <v/>
      </c>
      <c r="P2366">
        <f>IF($Q2366="","",INDEX(상세표[월 넘김 포함],$Q2366)&amp;"")</f>
        <v/>
      </c>
      <c r="Q2366" s="4">
        <f>IFERROR(MATCH(2361,상세표[연속순번],0),"")</f>
        <v/>
      </c>
    </row>
    <row r="2367">
      <c r="A2367">
        <f>IF($Q2367="","",INDEX(상세표[부서],$Q2367)&amp;"")</f>
        <v/>
      </c>
      <c r="B2367">
        <f>IF($Q2367="","",INDEX(상세표[사번],$Q2367)&amp;"")</f>
        <v/>
      </c>
      <c r="C2367">
        <f>IF($Q2367="","",INDEX(상세표[성명],$Q2367)&amp;"")</f>
        <v/>
      </c>
      <c r="D2367">
        <f>IF($Q2367="","",INDEX(상세표[직위],$Q2367)&amp;"")</f>
        <v/>
      </c>
      <c r="E2367">
        <f>IF($Q2367="","",IF(ISNUMBER(INDEX(상세표[근무일자],$Q2367)),TEXT(INDEX(상세표[근무일자],$Q2367),"yyyy-mm-dd"),INDEX(상세표[근무일자],$Q2367)&amp;""))</f>
        <v/>
      </c>
      <c r="F2367">
        <f>IF($Q2367="","",IF(ISNUMBER(INDEX(상세표[시작],$Q2367)),TEXT(INDEX(상세표[시작],$Q2367),"yyyy-mm-dd hh:mm"),INDEX(상세표[시작],$Q2367)&amp;""))</f>
        <v/>
      </c>
      <c r="G2367">
        <f>IF($Q2367="","",IF(ISNUMBER(INDEX(상세표[블록종료],$Q2367)),TEXT(INDEX(상세표[블록종료],$Q2367),"yyyy-mm-dd hh:mm"),INDEX(상세표[블록종료],$Q2367)&amp;""))</f>
        <v/>
      </c>
      <c r="H2367">
        <f>IF($Q2367="","",CHOOSE(WEEKDAY(INDEX(상세표[시작],$Q2367)),"일","월","화","수","목","금","토"))</f>
        <v/>
      </c>
      <c r="I2367" s="20">
        <f>IF($Q2367="","",INDEX(상세표[연속 시간],$Q2367))</f>
        <v/>
      </c>
      <c r="J2367">
        <f>IF($Q2367="","",INDEX(상세표[기록 수],$Q2367))</f>
        <v/>
      </c>
      <c r="K2367" s="20">
        <f>IF($Q2367="","",INDEX(상세표[블록 06~07시],$Q2367))</f>
        <v/>
      </c>
      <c r="L2367" s="20">
        <f>IF($Q2367="","",INDEX(상세표[블록 07~18시],$Q2367))</f>
        <v/>
      </c>
      <c r="M2367" s="20">
        <f>IF($Q2367="","",INDEX(상세표[블록 18~22시],$Q2367))</f>
        <v/>
      </c>
      <c r="N2367" s="20">
        <f>IF($Q2367="","",INDEX(상세표[블록 22~06시],$Q2367))</f>
        <v/>
      </c>
      <c r="O2367">
        <f>IF($Q2367="","",INDEX(상세표[주말·휴일 포함],$Q2367)&amp;"")</f>
        <v/>
      </c>
      <c r="P2367">
        <f>IF($Q2367="","",INDEX(상세표[월 넘김 포함],$Q2367)&amp;"")</f>
        <v/>
      </c>
      <c r="Q2367" s="4">
        <f>IFERROR(MATCH(2362,상세표[연속순번],0),"")</f>
        <v/>
      </c>
    </row>
    <row r="2368">
      <c r="A2368">
        <f>IF($Q2368="","",INDEX(상세표[부서],$Q2368)&amp;"")</f>
        <v/>
      </c>
      <c r="B2368">
        <f>IF($Q2368="","",INDEX(상세표[사번],$Q2368)&amp;"")</f>
        <v/>
      </c>
      <c r="C2368">
        <f>IF($Q2368="","",INDEX(상세표[성명],$Q2368)&amp;"")</f>
        <v/>
      </c>
      <c r="D2368">
        <f>IF($Q2368="","",INDEX(상세표[직위],$Q2368)&amp;"")</f>
        <v/>
      </c>
      <c r="E2368">
        <f>IF($Q2368="","",IF(ISNUMBER(INDEX(상세표[근무일자],$Q2368)),TEXT(INDEX(상세표[근무일자],$Q2368),"yyyy-mm-dd"),INDEX(상세표[근무일자],$Q2368)&amp;""))</f>
        <v/>
      </c>
      <c r="F2368">
        <f>IF($Q2368="","",IF(ISNUMBER(INDEX(상세표[시작],$Q2368)),TEXT(INDEX(상세표[시작],$Q2368),"yyyy-mm-dd hh:mm"),INDEX(상세표[시작],$Q2368)&amp;""))</f>
        <v/>
      </c>
      <c r="G2368">
        <f>IF($Q2368="","",IF(ISNUMBER(INDEX(상세표[블록종료],$Q2368)),TEXT(INDEX(상세표[블록종료],$Q2368),"yyyy-mm-dd hh:mm"),INDEX(상세표[블록종료],$Q2368)&amp;""))</f>
        <v/>
      </c>
      <c r="H2368">
        <f>IF($Q2368="","",CHOOSE(WEEKDAY(INDEX(상세표[시작],$Q2368)),"일","월","화","수","목","금","토"))</f>
        <v/>
      </c>
      <c r="I2368" s="20">
        <f>IF($Q2368="","",INDEX(상세표[연속 시간],$Q2368))</f>
        <v/>
      </c>
      <c r="J2368">
        <f>IF($Q2368="","",INDEX(상세표[기록 수],$Q2368))</f>
        <v/>
      </c>
      <c r="K2368" s="20">
        <f>IF($Q2368="","",INDEX(상세표[블록 06~07시],$Q2368))</f>
        <v/>
      </c>
      <c r="L2368" s="20">
        <f>IF($Q2368="","",INDEX(상세표[블록 07~18시],$Q2368))</f>
        <v/>
      </c>
      <c r="M2368" s="20">
        <f>IF($Q2368="","",INDEX(상세표[블록 18~22시],$Q2368))</f>
        <v/>
      </c>
      <c r="N2368" s="20">
        <f>IF($Q2368="","",INDEX(상세표[블록 22~06시],$Q2368))</f>
        <v/>
      </c>
      <c r="O2368">
        <f>IF($Q2368="","",INDEX(상세표[주말·휴일 포함],$Q2368)&amp;"")</f>
        <v/>
      </c>
      <c r="P2368">
        <f>IF($Q2368="","",INDEX(상세표[월 넘김 포함],$Q2368)&amp;"")</f>
        <v/>
      </c>
      <c r="Q2368" s="4">
        <f>IFERROR(MATCH(2363,상세표[연속순번],0),"")</f>
        <v/>
      </c>
    </row>
    <row r="2369">
      <c r="A2369">
        <f>IF($Q2369="","",INDEX(상세표[부서],$Q2369)&amp;"")</f>
        <v/>
      </c>
      <c r="B2369">
        <f>IF($Q2369="","",INDEX(상세표[사번],$Q2369)&amp;"")</f>
        <v/>
      </c>
      <c r="C2369">
        <f>IF($Q2369="","",INDEX(상세표[성명],$Q2369)&amp;"")</f>
        <v/>
      </c>
      <c r="D2369">
        <f>IF($Q2369="","",INDEX(상세표[직위],$Q2369)&amp;"")</f>
        <v/>
      </c>
      <c r="E2369">
        <f>IF($Q2369="","",IF(ISNUMBER(INDEX(상세표[근무일자],$Q2369)),TEXT(INDEX(상세표[근무일자],$Q2369),"yyyy-mm-dd"),INDEX(상세표[근무일자],$Q2369)&amp;""))</f>
        <v/>
      </c>
      <c r="F2369">
        <f>IF($Q2369="","",IF(ISNUMBER(INDEX(상세표[시작],$Q2369)),TEXT(INDEX(상세표[시작],$Q2369),"yyyy-mm-dd hh:mm"),INDEX(상세표[시작],$Q2369)&amp;""))</f>
        <v/>
      </c>
      <c r="G2369">
        <f>IF($Q2369="","",IF(ISNUMBER(INDEX(상세표[블록종료],$Q2369)),TEXT(INDEX(상세표[블록종료],$Q2369),"yyyy-mm-dd hh:mm"),INDEX(상세표[블록종료],$Q2369)&amp;""))</f>
        <v/>
      </c>
      <c r="H2369">
        <f>IF($Q2369="","",CHOOSE(WEEKDAY(INDEX(상세표[시작],$Q2369)),"일","월","화","수","목","금","토"))</f>
        <v/>
      </c>
      <c r="I2369" s="20">
        <f>IF($Q2369="","",INDEX(상세표[연속 시간],$Q2369))</f>
        <v/>
      </c>
      <c r="J2369">
        <f>IF($Q2369="","",INDEX(상세표[기록 수],$Q2369))</f>
        <v/>
      </c>
      <c r="K2369" s="20">
        <f>IF($Q2369="","",INDEX(상세표[블록 06~07시],$Q2369))</f>
        <v/>
      </c>
      <c r="L2369" s="20">
        <f>IF($Q2369="","",INDEX(상세표[블록 07~18시],$Q2369))</f>
        <v/>
      </c>
      <c r="M2369" s="20">
        <f>IF($Q2369="","",INDEX(상세표[블록 18~22시],$Q2369))</f>
        <v/>
      </c>
      <c r="N2369" s="20">
        <f>IF($Q2369="","",INDEX(상세표[블록 22~06시],$Q2369))</f>
        <v/>
      </c>
      <c r="O2369">
        <f>IF($Q2369="","",INDEX(상세표[주말·휴일 포함],$Q2369)&amp;"")</f>
        <v/>
      </c>
      <c r="P2369">
        <f>IF($Q2369="","",INDEX(상세표[월 넘김 포함],$Q2369)&amp;"")</f>
        <v/>
      </c>
      <c r="Q2369" s="4">
        <f>IFERROR(MATCH(2364,상세표[연속순번],0),"")</f>
        <v/>
      </c>
    </row>
    <row r="2370">
      <c r="A2370">
        <f>IF($Q2370="","",INDEX(상세표[부서],$Q2370)&amp;"")</f>
        <v/>
      </c>
      <c r="B2370">
        <f>IF($Q2370="","",INDEX(상세표[사번],$Q2370)&amp;"")</f>
        <v/>
      </c>
      <c r="C2370">
        <f>IF($Q2370="","",INDEX(상세표[성명],$Q2370)&amp;"")</f>
        <v/>
      </c>
      <c r="D2370">
        <f>IF($Q2370="","",INDEX(상세표[직위],$Q2370)&amp;"")</f>
        <v/>
      </c>
      <c r="E2370">
        <f>IF($Q2370="","",IF(ISNUMBER(INDEX(상세표[근무일자],$Q2370)),TEXT(INDEX(상세표[근무일자],$Q2370),"yyyy-mm-dd"),INDEX(상세표[근무일자],$Q2370)&amp;""))</f>
        <v/>
      </c>
      <c r="F2370">
        <f>IF($Q2370="","",IF(ISNUMBER(INDEX(상세표[시작],$Q2370)),TEXT(INDEX(상세표[시작],$Q2370),"yyyy-mm-dd hh:mm"),INDEX(상세표[시작],$Q2370)&amp;""))</f>
        <v/>
      </c>
      <c r="G2370">
        <f>IF($Q2370="","",IF(ISNUMBER(INDEX(상세표[블록종료],$Q2370)),TEXT(INDEX(상세표[블록종료],$Q2370),"yyyy-mm-dd hh:mm"),INDEX(상세표[블록종료],$Q2370)&amp;""))</f>
        <v/>
      </c>
      <c r="H2370">
        <f>IF($Q2370="","",CHOOSE(WEEKDAY(INDEX(상세표[시작],$Q2370)),"일","월","화","수","목","금","토"))</f>
        <v/>
      </c>
      <c r="I2370" s="20">
        <f>IF($Q2370="","",INDEX(상세표[연속 시간],$Q2370))</f>
        <v/>
      </c>
      <c r="J2370">
        <f>IF($Q2370="","",INDEX(상세표[기록 수],$Q2370))</f>
        <v/>
      </c>
      <c r="K2370" s="20">
        <f>IF($Q2370="","",INDEX(상세표[블록 06~07시],$Q2370))</f>
        <v/>
      </c>
      <c r="L2370" s="20">
        <f>IF($Q2370="","",INDEX(상세표[블록 07~18시],$Q2370))</f>
        <v/>
      </c>
      <c r="M2370" s="20">
        <f>IF($Q2370="","",INDEX(상세표[블록 18~22시],$Q2370))</f>
        <v/>
      </c>
      <c r="N2370" s="20">
        <f>IF($Q2370="","",INDEX(상세표[블록 22~06시],$Q2370))</f>
        <v/>
      </c>
      <c r="O2370">
        <f>IF($Q2370="","",INDEX(상세표[주말·휴일 포함],$Q2370)&amp;"")</f>
        <v/>
      </c>
      <c r="P2370">
        <f>IF($Q2370="","",INDEX(상세표[월 넘김 포함],$Q2370)&amp;"")</f>
        <v/>
      </c>
      <c r="Q2370" s="4">
        <f>IFERROR(MATCH(2365,상세표[연속순번],0),"")</f>
        <v/>
      </c>
    </row>
    <row r="2371">
      <c r="A2371">
        <f>IF($Q2371="","",INDEX(상세표[부서],$Q2371)&amp;"")</f>
        <v/>
      </c>
      <c r="B2371">
        <f>IF($Q2371="","",INDEX(상세표[사번],$Q2371)&amp;"")</f>
        <v/>
      </c>
      <c r="C2371">
        <f>IF($Q2371="","",INDEX(상세표[성명],$Q2371)&amp;"")</f>
        <v/>
      </c>
      <c r="D2371">
        <f>IF($Q2371="","",INDEX(상세표[직위],$Q2371)&amp;"")</f>
        <v/>
      </c>
      <c r="E2371">
        <f>IF($Q2371="","",IF(ISNUMBER(INDEX(상세표[근무일자],$Q2371)),TEXT(INDEX(상세표[근무일자],$Q2371),"yyyy-mm-dd"),INDEX(상세표[근무일자],$Q2371)&amp;""))</f>
        <v/>
      </c>
      <c r="F2371">
        <f>IF($Q2371="","",IF(ISNUMBER(INDEX(상세표[시작],$Q2371)),TEXT(INDEX(상세표[시작],$Q2371),"yyyy-mm-dd hh:mm"),INDEX(상세표[시작],$Q2371)&amp;""))</f>
        <v/>
      </c>
      <c r="G2371">
        <f>IF($Q2371="","",IF(ISNUMBER(INDEX(상세표[블록종료],$Q2371)),TEXT(INDEX(상세표[블록종료],$Q2371),"yyyy-mm-dd hh:mm"),INDEX(상세표[블록종료],$Q2371)&amp;""))</f>
        <v/>
      </c>
      <c r="H2371">
        <f>IF($Q2371="","",CHOOSE(WEEKDAY(INDEX(상세표[시작],$Q2371)),"일","월","화","수","목","금","토"))</f>
        <v/>
      </c>
      <c r="I2371" s="20">
        <f>IF($Q2371="","",INDEX(상세표[연속 시간],$Q2371))</f>
        <v/>
      </c>
      <c r="J2371">
        <f>IF($Q2371="","",INDEX(상세표[기록 수],$Q2371))</f>
        <v/>
      </c>
      <c r="K2371" s="20">
        <f>IF($Q2371="","",INDEX(상세표[블록 06~07시],$Q2371))</f>
        <v/>
      </c>
      <c r="L2371" s="20">
        <f>IF($Q2371="","",INDEX(상세표[블록 07~18시],$Q2371))</f>
        <v/>
      </c>
      <c r="M2371" s="20">
        <f>IF($Q2371="","",INDEX(상세표[블록 18~22시],$Q2371))</f>
        <v/>
      </c>
      <c r="N2371" s="20">
        <f>IF($Q2371="","",INDEX(상세표[블록 22~06시],$Q2371))</f>
        <v/>
      </c>
      <c r="O2371">
        <f>IF($Q2371="","",INDEX(상세표[주말·휴일 포함],$Q2371)&amp;"")</f>
        <v/>
      </c>
      <c r="P2371">
        <f>IF($Q2371="","",INDEX(상세표[월 넘김 포함],$Q2371)&amp;"")</f>
        <v/>
      </c>
      <c r="Q2371" s="4">
        <f>IFERROR(MATCH(2366,상세표[연속순번],0),"")</f>
        <v/>
      </c>
    </row>
    <row r="2372">
      <c r="A2372">
        <f>IF($Q2372="","",INDEX(상세표[부서],$Q2372)&amp;"")</f>
        <v/>
      </c>
      <c r="B2372">
        <f>IF($Q2372="","",INDEX(상세표[사번],$Q2372)&amp;"")</f>
        <v/>
      </c>
      <c r="C2372">
        <f>IF($Q2372="","",INDEX(상세표[성명],$Q2372)&amp;"")</f>
        <v/>
      </c>
      <c r="D2372">
        <f>IF($Q2372="","",INDEX(상세표[직위],$Q2372)&amp;"")</f>
        <v/>
      </c>
      <c r="E2372">
        <f>IF($Q2372="","",IF(ISNUMBER(INDEX(상세표[근무일자],$Q2372)),TEXT(INDEX(상세표[근무일자],$Q2372),"yyyy-mm-dd"),INDEX(상세표[근무일자],$Q2372)&amp;""))</f>
        <v/>
      </c>
      <c r="F2372">
        <f>IF($Q2372="","",IF(ISNUMBER(INDEX(상세표[시작],$Q2372)),TEXT(INDEX(상세표[시작],$Q2372),"yyyy-mm-dd hh:mm"),INDEX(상세표[시작],$Q2372)&amp;""))</f>
        <v/>
      </c>
      <c r="G2372">
        <f>IF($Q2372="","",IF(ISNUMBER(INDEX(상세표[블록종료],$Q2372)),TEXT(INDEX(상세표[블록종료],$Q2372),"yyyy-mm-dd hh:mm"),INDEX(상세표[블록종료],$Q2372)&amp;""))</f>
        <v/>
      </c>
      <c r="H2372">
        <f>IF($Q2372="","",CHOOSE(WEEKDAY(INDEX(상세표[시작],$Q2372)),"일","월","화","수","목","금","토"))</f>
        <v/>
      </c>
      <c r="I2372" s="20">
        <f>IF($Q2372="","",INDEX(상세표[연속 시간],$Q2372))</f>
        <v/>
      </c>
      <c r="J2372">
        <f>IF($Q2372="","",INDEX(상세표[기록 수],$Q2372))</f>
        <v/>
      </c>
      <c r="K2372" s="20">
        <f>IF($Q2372="","",INDEX(상세표[블록 06~07시],$Q2372))</f>
        <v/>
      </c>
      <c r="L2372" s="20">
        <f>IF($Q2372="","",INDEX(상세표[블록 07~18시],$Q2372))</f>
        <v/>
      </c>
      <c r="M2372" s="20">
        <f>IF($Q2372="","",INDEX(상세표[블록 18~22시],$Q2372))</f>
        <v/>
      </c>
      <c r="N2372" s="20">
        <f>IF($Q2372="","",INDEX(상세표[블록 22~06시],$Q2372))</f>
        <v/>
      </c>
      <c r="O2372">
        <f>IF($Q2372="","",INDEX(상세표[주말·휴일 포함],$Q2372)&amp;"")</f>
        <v/>
      </c>
      <c r="P2372">
        <f>IF($Q2372="","",INDEX(상세표[월 넘김 포함],$Q2372)&amp;"")</f>
        <v/>
      </c>
      <c r="Q2372" s="4">
        <f>IFERROR(MATCH(2367,상세표[연속순번],0),"")</f>
        <v/>
      </c>
    </row>
    <row r="2373">
      <c r="A2373">
        <f>IF($Q2373="","",INDEX(상세표[부서],$Q2373)&amp;"")</f>
        <v/>
      </c>
      <c r="B2373">
        <f>IF($Q2373="","",INDEX(상세표[사번],$Q2373)&amp;"")</f>
        <v/>
      </c>
      <c r="C2373">
        <f>IF($Q2373="","",INDEX(상세표[성명],$Q2373)&amp;"")</f>
        <v/>
      </c>
      <c r="D2373">
        <f>IF($Q2373="","",INDEX(상세표[직위],$Q2373)&amp;"")</f>
        <v/>
      </c>
      <c r="E2373">
        <f>IF($Q2373="","",IF(ISNUMBER(INDEX(상세표[근무일자],$Q2373)),TEXT(INDEX(상세표[근무일자],$Q2373),"yyyy-mm-dd"),INDEX(상세표[근무일자],$Q2373)&amp;""))</f>
        <v/>
      </c>
      <c r="F2373">
        <f>IF($Q2373="","",IF(ISNUMBER(INDEX(상세표[시작],$Q2373)),TEXT(INDEX(상세표[시작],$Q2373),"yyyy-mm-dd hh:mm"),INDEX(상세표[시작],$Q2373)&amp;""))</f>
        <v/>
      </c>
      <c r="G2373">
        <f>IF($Q2373="","",IF(ISNUMBER(INDEX(상세표[블록종료],$Q2373)),TEXT(INDEX(상세표[블록종료],$Q2373),"yyyy-mm-dd hh:mm"),INDEX(상세표[블록종료],$Q2373)&amp;""))</f>
        <v/>
      </c>
      <c r="H2373">
        <f>IF($Q2373="","",CHOOSE(WEEKDAY(INDEX(상세표[시작],$Q2373)),"일","월","화","수","목","금","토"))</f>
        <v/>
      </c>
      <c r="I2373" s="20">
        <f>IF($Q2373="","",INDEX(상세표[연속 시간],$Q2373))</f>
        <v/>
      </c>
      <c r="J2373">
        <f>IF($Q2373="","",INDEX(상세표[기록 수],$Q2373))</f>
        <v/>
      </c>
      <c r="K2373" s="20">
        <f>IF($Q2373="","",INDEX(상세표[블록 06~07시],$Q2373))</f>
        <v/>
      </c>
      <c r="L2373" s="20">
        <f>IF($Q2373="","",INDEX(상세표[블록 07~18시],$Q2373))</f>
        <v/>
      </c>
      <c r="M2373" s="20">
        <f>IF($Q2373="","",INDEX(상세표[블록 18~22시],$Q2373))</f>
        <v/>
      </c>
      <c r="N2373" s="20">
        <f>IF($Q2373="","",INDEX(상세표[블록 22~06시],$Q2373))</f>
        <v/>
      </c>
      <c r="O2373">
        <f>IF($Q2373="","",INDEX(상세표[주말·휴일 포함],$Q2373)&amp;"")</f>
        <v/>
      </c>
      <c r="P2373">
        <f>IF($Q2373="","",INDEX(상세표[월 넘김 포함],$Q2373)&amp;"")</f>
        <v/>
      </c>
      <c r="Q2373" s="4">
        <f>IFERROR(MATCH(2368,상세표[연속순번],0),"")</f>
        <v/>
      </c>
    </row>
    <row r="2374">
      <c r="A2374">
        <f>IF($Q2374="","",INDEX(상세표[부서],$Q2374)&amp;"")</f>
        <v/>
      </c>
      <c r="B2374">
        <f>IF($Q2374="","",INDEX(상세표[사번],$Q2374)&amp;"")</f>
        <v/>
      </c>
      <c r="C2374">
        <f>IF($Q2374="","",INDEX(상세표[성명],$Q2374)&amp;"")</f>
        <v/>
      </c>
      <c r="D2374">
        <f>IF($Q2374="","",INDEX(상세표[직위],$Q2374)&amp;"")</f>
        <v/>
      </c>
      <c r="E2374">
        <f>IF($Q2374="","",IF(ISNUMBER(INDEX(상세표[근무일자],$Q2374)),TEXT(INDEX(상세표[근무일자],$Q2374),"yyyy-mm-dd"),INDEX(상세표[근무일자],$Q2374)&amp;""))</f>
        <v/>
      </c>
      <c r="F2374">
        <f>IF($Q2374="","",IF(ISNUMBER(INDEX(상세표[시작],$Q2374)),TEXT(INDEX(상세표[시작],$Q2374),"yyyy-mm-dd hh:mm"),INDEX(상세표[시작],$Q2374)&amp;""))</f>
        <v/>
      </c>
      <c r="G2374">
        <f>IF($Q2374="","",IF(ISNUMBER(INDEX(상세표[블록종료],$Q2374)),TEXT(INDEX(상세표[블록종료],$Q2374),"yyyy-mm-dd hh:mm"),INDEX(상세표[블록종료],$Q2374)&amp;""))</f>
        <v/>
      </c>
      <c r="H2374">
        <f>IF($Q2374="","",CHOOSE(WEEKDAY(INDEX(상세표[시작],$Q2374)),"일","월","화","수","목","금","토"))</f>
        <v/>
      </c>
      <c r="I2374" s="20">
        <f>IF($Q2374="","",INDEX(상세표[연속 시간],$Q2374))</f>
        <v/>
      </c>
      <c r="J2374">
        <f>IF($Q2374="","",INDEX(상세표[기록 수],$Q2374))</f>
        <v/>
      </c>
      <c r="K2374" s="20">
        <f>IF($Q2374="","",INDEX(상세표[블록 06~07시],$Q2374))</f>
        <v/>
      </c>
      <c r="L2374" s="20">
        <f>IF($Q2374="","",INDEX(상세표[블록 07~18시],$Q2374))</f>
        <v/>
      </c>
      <c r="M2374" s="20">
        <f>IF($Q2374="","",INDEX(상세표[블록 18~22시],$Q2374))</f>
        <v/>
      </c>
      <c r="N2374" s="20">
        <f>IF($Q2374="","",INDEX(상세표[블록 22~06시],$Q2374))</f>
        <v/>
      </c>
      <c r="O2374">
        <f>IF($Q2374="","",INDEX(상세표[주말·휴일 포함],$Q2374)&amp;"")</f>
        <v/>
      </c>
      <c r="P2374">
        <f>IF($Q2374="","",INDEX(상세표[월 넘김 포함],$Q2374)&amp;"")</f>
        <v/>
      </c>
      <c r="Q2374" s="4">
        <f>IFERROR(MATCH(2369,상세표[연속순번],0),"")</f>
        <v/>
      </c>
    </row>
    <row r="2375">
      <c r="A2375">
        <f>IF($Q2375="","",INDEX(상세표[부서],$Q2375)&amp;"")</f>
        <v/>
      </c>
      <c r="B2375">
        <f>IF($Q2375="","",INDEX(상세표[사번],$Q2375)&amp;"")</f>
        <v/>
      </c>
      <c r="C2375">
        <f>IF($Q2375="","",INDEX(상세표[성명],$Q2375)&amp;"")</f>
        <v/>
      </c>
      <c r="D2375">
        <f>IF($Q2375="","",INDEX(상세표[직위],$Q2375)&amp;"")</f>
        <v/>
      </c>
      <c r="E2375">
        <f>IF($Q2375="","",IF(ISNUMBER(INDEX(상세표[근무일자],$Q2375)),TEXT(INDEX(상세표[근무일자],$Q2375),"yyyy-mm-dd"),INDEX(상세표[근무일자],$Q2375)&amp;""))</f>
        <v/>
      </c>
      <c r="F2375">
        <f>IF($Q2375="","",IF(ISNUMBER(INDEX(상세표[시작],$Q2375)),TEXT(INDEX(상세표[시작],$Q2375),"yyyy-mm-dd hh:mm"),INDEX(상세표[시작],$Q2375)&amp;""))</f>
        <v/>
      </c>
      <c r="G2375">
        <f>IF($Q2375="","",IF(ISNUMBER(INDEX(상세표[블록종료],$Q2375)),TEXT(INDEX(상세표[블록종료],$Q2375),"yyyy-mm-dd hh:mm"),INDEX(상세표[블록종료],$Q2375)&amp;""))</f>
        <v/>
      </c>
      <c r="H2375">
        <f>IF($Q2375="","",CHOOSE(WEEKDAY(INDEX(상세표[시작],$Q2375)),"일","월","화","수","목","금","토"))</f>
        <v/>
      </c>
      <c r="I2375" s="20">
        <f>IF($Q2375="","",INDEX(상세표[연속 시간],$Q2375))</f>
        <v/>
      </c>
      <c r="J2375">
        <f>IF($Q2375="","",INDEX(상세표[기록 수],$Q2375))</f>
        <v/>
      </c>
      <c r="K2375" s="20">
        <f>IF($Q2375="","",INDEX(상세표[블록 06~07시],$Q2375))</f>
        <v/>
      </c>
      <c r="L2375" s="20">
        <f>IF($Q2375="","",INDEX(상세표[블록 07~18시],$Q2375))</f>
        <v/>
      </c>
      <c r="M2375" s="20">
        <f>IF($Q2375="","",INDEX(상세표[블록 18~22시],$Q2375))</f>
        <v/>
      </c>
      <c r="N2375" s="20">
        <f>IF($Q2375="","",INDEX(상세표[블록 22~06시],$Q2375))</f>
        <v/>
      </c>
      <c r="O2375">
        <f>IF($Q2375="","",INDEX(상세표[주말·휴일 포함],$Q2375)&amp;"")</f>
        <v/>
      </c>
      <c r="P2375">
        <f>IF($Q2375="","",INDEX(상세표[월 넘김 포함],$Q2375)&amp;"")</f>
        <v/>
      </c>
      <c r="Q2375" s="4">
        <f>IFERROR(MATCH(2370,상세표[연속순번],0),"")</f>
        <v/>
      </c>
    </row>
    <row r="2376">
      <c r="A2376">
        <f>IF($Q2376="","",INDEX(상세표[부서],$Q2376)&amp;"")</f>
        <v/>
      </c>
      <c r="B2376">
        <f>IF($Q2376="","",INDEX(상세표[사번],$Q2376)&amp;"")</f>
        <v/>
      </c>
      <c r="C2376">
        <f>IF($Q2376="","",INDEX(상세표[성명],$Q2376)&amp;"")</f>
        <v/>
      </c>
      <c r="D2376">
        <f>IF($Q2376="","",INDEX(상세표[직위],$Q2376)&amp;"")</f>
        <v/>
      </c>
      <c r="E2376">
        <f>IF($Q2376="","",IF(ISNUMBER(INDEX(상세표[근무일자],$Q2376)),TEXT(INDEX(상세표[근무일자],$Q2376),"yyyy-mm-dd"),INDEX(상세표[근무일자],$Q2376)&amp;""))</f>
        <v/>
      </c>
      <c r="F2376">
        <f>IF($Q2376="","",IF(ISNUMBER(INDEX(상세표[시작],$Q2376)),TEXT(INDEX(상세표[시작],$Q2376),"yyyy-mm-dd hh:mm"),INDEX(상세표[시작],$Q2376)&amp;""))</f>
        <v/>
      </c>
      <c r="G2376">
        <f>IF($Q2376="","",IF(ISNUMBER(INDEX(상세표[블록종료],$Q2376)),TEXT(INDEX(상세표[블록종료],$Q2376),"yyyy-mm-dd hh:mm"),INDEX(상세표[블록종료],$Q2376)&amp;""))</f>
        <v/>
      </c>
      <c r="H2376">
        <f>IF($Q2376="","",CHOOSE(WEEKDAY(INDEX(상세표[시작],$Q2376)),"일","월","화","수","목","금","토"))</f>
        <v/>
      </c>
      <c r="I2376" s="20">
        <f>IF($Q2376="","",INDEX(상세표[연속 시간],$Q2376))</f>
        <v/>
      </c>
      <c r="J2376">
        <f>IF($Q2376="","",INDEX(상세표[기록 수],$Q2376))</f>
        <v/>
      </c>
      <c r="K2376" s="20">
        <f>IF($Q2376="","",INDEX(상세표[블록 06~07시],$Q2376))</f>
        <v/>
      </c>
      <c r="L2376" s="20">
        <f>IF($Q2376="","",INDEX(상세표[블록 07~18시],$Q2376))</f>
        <v/>
      </c>
      <c r="M2376" s="20">
        <f>IF($Q2376="","",INDEX(상세표[블록 18~22시],$Q2376))</f>
        <v/>
      </c>
      <c r="N2376" s="20">
        <f>IF($Q2376="","",INDEX(상세표[블록 22~06시],$Q2376))</f>
        <v/>
      </c>
      <c r="O2376">
        <f>IF($Q2376="","",INDEX(상세표[주말·휴일 포함],$Q2376)&amp;"")</f>
        <v/>
      </c>
      <c r="P2376">
        <f>IF($Q2376="","",INDEX(상세표[월 넘김 포함],$Q2376)&amp;"")</f>
        <v/>
      </c>
      <c r="Q2376" s="4">
        <f>IFERROR(MATCH(2371,상세표[연속순번],0),"")</f>
        <v/>
      </c>
    </row>
    <row r="2377">
      <c r="A2377">
        <f>IF($Q2377="","",INDEX(상세표[부서],$Q2377)&amp;"")</f>
        <v/>
      </c>
      <c r="B2377">
        <f>IF($Q2377="","",INDEX(상세표[사번],$Q2377)&amp;"")</f>
        <v/>
      </c>
      <c r="C2377">
        <f>IF($Q2377="","",INDEX(상세표[성명],$Q2377)&amp;"")</f>
        <v/>
      </c>
      <c r="D2377">
        <f>IF($Q2377="","",INDEX(상세표[직위],$Q2377)&amp;"")</f>
        <v/>
      </c>
      <c r="E2377">
        <f>IF($Q2377="","",IF(ISNUMBER(INDEX(상세표[근무일자],$Q2377)),TEXT(INDEX(상세표[근무일자],$Q2377),"yyyy-mm-dd"),INDEX(상세표[근무일자],$Q2377)&amp;""))</f>
        <v/>
      </c>
      <c r="F2377">
        <f>IF($Q2377="","",IF(ISNUMBER(INDEX(상세표[시작],$Q2377)),TEXT(INDEX(상세표[시작],$Q2377),"yyyy-mm-dd hh:mm"),INDEX(상세표[시작],$Q2377)&amp;""))</f>
        <v/>
      </c>
      <c r="G2377">
        <f>IF($Q2377="","",IF(ISNUMBER(INDEX(상세표[블록종료],$Q2377)),TEXT(INDEX(상세표[블록종료],$Q2377),"yyyy-mm-dd hh:mm"),INDEX(상세표[블록종료],$Q2377)&amp;""))</f>
        <v/>
      </c>
      <c r="H2377">
        <f>IF($Q2377="","",CHOOSE(WEEKDAY(INDEX(상세표[시작],$Q2377)),"일","월","화","수","목","금","토"))</f>
        <v/>
      </c>
      <c r="I2377" s="20">
        <f>IF($Q2377="","",INDEX(상세표[연속 시간],$Q2377))</f>
        <v/>
      </c>
      <c r="J2377">
        <f>IF($Q2377="","",INDEX(상세표[기록 수],$Q2377))</f>
        <v/>
      </c>
      <c r="K2377" s="20">
        <f>IF($Q2377="","",INDEX(상세표[블록 06~07시],$Q2377))</f>
        <v/>
      </c>
      <c r="L2377" s="20">
        <f>IF($Q2377="","",INDEX(상세표[블록 07~18시],$Q2377))</f>
        <v/>
      </c>
      <c r="M2377" s="20">
        <f>IF($Q2377="","",INDEX(상세표[블록 18~22시],$Q2377))</f>
        <v/>
      </c>
      <c r="N2377" s="20">
        <f>IF($Q2377="","",INDEX(상세표[블록 22~06시],$Q2377))</f>
        <v/>
      </c>
      <c r="O2377">
        <f>IF($Q2377="","",INDEX(상세표[주말·휴일 포함],$Q2377)&amp;"")</f>
        <v/>
      </c>
      <c r="P2377">
        <f>IF($Q2377="","",INDEX(상세표[월 넘김 포함],$Q2377)&amp;"")</f>
        <v/>
      </c>
      <c r="Q2377" s="4">
        <f>IFERROR(MATCH(2372,상세표[연속순번],0),"")</f>
        <v/>
      </c>
    </row>
    <row r="2378">
      <c r="A2378">
        <f>IF($Q2378="","",INDEX(상세표[부서],$Q2378)&amp;"")</f>
        <v/>
      </c>
      <c r="B2378">
        <f>IF($Q2378="","",INDEX(상세표[사번],$Q2378)&amp;"")</f>
        <v/>
      </c>
      <c r="C2378">
        <f>IF($Q2378="","",INDEX(상세표[성명],$Q2378)&amp;"")</f>
        <v/>
      </c>
      <c r="D2378">
        <f>IF($Q2378="","",INDEX(상세표[직위],$Q2378)&amp;"")</f>
        <v/>
      </c>
      <c r="E2378">
        <f>IF($Q2378="","",IF(ISNUMBER(INDEX(상세표[근무일자],$Q2378)),TEXT(INDEX(상세표[근무일자],$Q2378),"yyyy-mm-dd"),INDEX(상세표[근무일자],$Q2378)&amp;""))</f>
        <v/>
      </c>
      <c r="F2378">
        <f>IF($Q2378="","",IF(ISNUMBER(INDEX(상세표[시작],$Q2378)),TEXT(INDEX(상세표[시작],$Q2378),"yyyy-mm-dd hh:mm"),INDEX(상세표[시작],$Q2378)&amp;""))</f>
        <v/>
      </c>
      <c r="G2378">
        <f>IF($Q2378="","",IF(ISNUMBER(INDEX(상세표[블록종료],$Q2378)),TEXT(INDEX(상세표[블록종료],$Q2378),"yyyy-mm-dd hh:mm"),INDEX(상세표[블록종료],$Q2378)&amp;""))</f>
        <v/>
      </c>
      <c r="H2378">
        <f>IF($Q2378="","",CHOOSE(WEEKDAY(INDEX(상세표[시작],$Q2378)),"일","월","화","수","목","금","토"))</f>
        <v/>
      </c>
      <c r="I2378" s="20">
        <f>IF($Q2378="","",INDEX(상세표[연속 시간],$Q2378))</f>
        <v/>
      </c>
      <c r="J2378">
        <f>IF($Q2378="","",INDEX(상세표[기록 수],$Q2378))</f>
        <v/>
      </c>
      <c r="K2378" s="20">
        <f>IF($Q2378="","",INDEX(상세표[블록 06~07시],$Q2378))</f>
        <v/>
      </c>
      <c r="L2378" s="20">
        <f>IF($Q2378="","",INDEX(상세표[블록 07~18시],$Q2378))</f>
        <v/>
      </c>
      <c r="M2378" s="20">
        <f>IF($Q2378="","",INDEX(상세표[블록 18~22시],$Q2378))</f>
        <v/>
      </c>
      <c r="N2378" s="20">
        <f>IF($Q2378="","",INDEX(상세표[블록 22~06시],$Q2378))</f>
        <v/>
      </c>
      <c r="O2378">
        <f>IF($Q2378="","",INDEX(상세표[주말·휴일 포함],$Q2378)&amp;"")</f>
        <v/>
      </c>
      <c r="P2378">
        <f>IF($Q2378="","",INDEX(상세표[월 넘김 포함],$Q2378)&amp;"")</f>
        <v/>
      </c>
      <c r="Q2378" s="4">
        <f>IFERROR(MATCH(2373,상세표[연속순번],0),"")</f>
        <v/>
      </c>
    </row>
    <row r="2379">
      <c r="A2379">
        <f>IF($Q2379="","",INDEX(상세표[부서],$Q2379)&amp;"")</f>
        <v/>
      </c>
      <c r="B2379">
        <f>IF($Q2379="","",INDEX(상세표[사번],$Q2379)&amp;"")</f>
        <v/>
      </c>
      <c r="C2379">
        <f>IF($Q2379="","",INDEX(상세표[성명],$Q2379)&amp;"")</f>
        <v/>
      </c>
      <c r="D2379">
        <f>IF($Q2379="","",INDEX(상세표[직위],$Q2379)&amp;"")</f>
        <v/>
      </c>
      <c r="E2379">
        <f>IF($Q2379="","",IF(ISNUMBER(INDEX(상세표[근무일자],$Q2379)),TEXT(INDEX(상세표[근무일자],$Q2379),"yyyy-mm-dd"),INDEX(상세표[근무일자],$Q2379)&amp;""))</f>
        <v/>
      </c>
      <c r="F2379">
        <f>IF($Q2379="","",IF(ISNUMBER(INDEX(상세표[시작],$Q2379)),TEXT(INDEX(상세표[시작],$Q2379),"yyyy-mm-dd hh:mm"),INDEX(상세표[시작],$Q2379)&amp;""))</f>
        <v/>
      </c>
      <c r="G2379">
        <f>IF($Q2379="","",IF(ISNUMBER(INDEX(상세표[블록종료],$Q2379)),TEXT(INDEX(상세표[블록종료],$Q2379),"yyyy-mm-dd hh:mm"),INDEX(상세표[블록종료],$Q2379)&amp;""))</f>
        <v/>
      </c>
      <c r="H2379">
        <f>IF($Q2379="","",CHOOSE(WEEKDAY(INDEX(상세표[시작],$Q2379)),"일","월","화","수","목","금","토"))</f>
        <v/>
      </c>
      <c r="I2379" s="20">
        <f>IF($Q2379="","",INDEX(상세표[연속 시간],$Q2379))</f>
        <v/>
      </c>
      <c r="J2379">
        <f>IF($Q2379="","",INDEX(상세표[기록 수],$Q2379))</f>
        <v/>
      </c>
      <c r="K2379" s="20">
        <f>IF($Q2379="","",INDEX(상세표[블록 06~07시],$Q2379))</f>
        <v/>
      </c>
      <c r="L2379" s="20">
        <f>IF($Q2379="","",INDEX(상세표[블록 07~18시],$Q2379))</f>
        <v/>
      </c>
      <c r="M2379" s="20">
        <f>IF($Q2379="","",INDEX(상세표[블록 18~22시],$Q2379))</f>
        <v/>
      </c>
      <c r="N2379" s="20">
        <f>IF($Q2379="","",INDEX(상세표[블록 22~06시],$Q2379))</f>
        <v/>
      </c>
      <c r="O2379">
        <f>IF($Q2379="","",INDEX(상세표[주말·휴일 포함],$Q2379)&amp;"")</f>
        <v/>
      </c>
      <c r="P2379">
        <f>IF($Q2379="","",INDEX(상세표[월 넘김 포함],$Q2379)&amp;"")</f>
        <v/>
      </c>
      <c r="Q2379" s="4">
        <f>IFERROR(MATCH(2374,상세표[연속순번],0),"")</f>
        <v/>
      </c>
    </row>
    <row r="2380">
      <c r="A2380">
        <f>IF($Q2380="","",INDEX(상세표[부서],$Q2380)&amp;"")</f>
        <v/>
      </c>
      <c r="B2380">
        <f>IF($Q2380="","",INDEX(상세표[사번],$Q2380)&amp;"")</f>
        <v/>
      </c>
      <c r="C2380">
        <f>IF($Q2380="","",INDEX(상세표[성명],$Q2380)&amp;"")</f>
        <v/>
      </c>
      <c r="D2380">
        <f>IF($Q2380="","",INDEX(상세표[직위],$Q2380)&amp;"")</f>
        <v/>
      </c>
      <c r="E2380">
        <f>IF($Q2380="","",IF(ISNUMBER(INDEX(상세표[근무일자],$Q2380)),TEXT(INDEX(상세표[근무일자],$Q2380),"yyyy-mm-dd"),INDEX(상세표[근무일자],$Q2380)&amp;""))</f>
        <v/>
      </c>
      <c r="F2380">
        <f>IF($Q2380="","",IF(ISNUMBER(INDEX(상세표[시작],$Q2380)),TEXT(INDEX(상세표[시작],$Q2380),"yyyy-mm-dd hh:mm"),INDEX(상세표[시작],$Q2380)&amp;""))</f>
        <v/>
      </c>
      <c r="G2380">
        <f>IF($Q2380="","",IF(ISNUMBER(INDEX(상세표[블록종료],$Q2380)),TEXT(INDEX(상세표[블록종료],$Q2380),"yyyy-mm-dd hh:mm"),INDEX(상세표[블록종료],$Q2380)&amp;""))</f>
        <v/>
      </c>
      <c r="H2380">
        <f>IF($Q2380="","",CHOOSE(WEEKDAY(INDEX(상세표[시작],$Q2380)),"일","월","화","수","목","금","토"))</f>
        <v/>
      </c>
      <c r="I2380" s="20">
        <f>IF($Q2380="","",INDEX(상세표[연속 시간],$Q2380))</f>
        <v/>
      </c>
      <c r="J2380">
        <f>IF($Q2380="","",INDEX(상세표[기록 수],$Q2380))</f>
        <v/>
      </c>
      <c r="K2380" s="20">
        <f>IF($Q2380="","",INDEX(상세표[블록 06~07시],$Q2380))</f>
        <v/>
      </c>
      <c r="L2380" s="20">
        <f>IF($Q2380="","",INDEX(상세표[블록 07~18시],$Q2380))</f>
        <v/>
      </c>
      <c r="M2380" s="20">
        <f>IF($Q2380="","",INDEX(상세표[블록 18~22시],$Q2380))</f>
        <v/>
      </c>
      <c r="N2380" s="20">
        <f>IF($Q2380="","",INDEX(상세표[블록 22~06시],$Q2380))</f>
        <v/>
      </c>
      <c r="O2380">
        <f>IF($Q2380="","",INDEX(상세표[주말·휴일 포함],$Q2380)&amp;"")</f>
        <v/>
      </c>
      <c r="P2380">
        <f>IF($Q2380="","",INDEX(상세표[월 넘김 포함],$Q2380)&amp;"")</f>
        <v/>
      </c>
      <c r="Q2380" s="4">
        <f>IFERROR(MATCH(2375,상세표[연속순번],0),"")</f>
        <v/>
      </c>
    </row>
    <row r="2381">
      <c r="A2381">
        <f>IF($Q2381="","",INDEX(상세표[부서],$Q2381)&amp;"")</f>
        <v/>
      </c>
      <c r="B2381">
        <f>IF($Q2381="","",INDEX(상세표[사번],$Q2381)&amp;"")</f>
        <v/>
      </c>
      <c r="C2381">
        <f>IF($Q2381="","",INDEX(상세표[성명],$Q2381)&amp;"")</f>
        <v/>
      </c>
      <c r="D2381">
        <f>IF($Q2381="","",INDEX(상세표[직위],$Q2381)&amp;"")</f>
        <v/>
      </c>
      <c r="E2381">
        <f>IF($Q2381="","",IF(ISNUMBER(INDEX(상세표[근무일자],$Q2381)),TEXT(INDEX(상세표[근무일자],$Q2381),"yyyy-mm-dd"),INDEX(상세표[근무일자],$Q2381)&amp;""))</f>
        <v/>
      </c>
      <c r="F2381">
        <f>IF($Q2381="","",IF(ISNUMBER(INDEX(상세표[시작],$Q2381)),TEXT(INDEX(상세표[시작],$Q2381),"yyyy-mm-dd hh:mm"),INDEX(상세표[시작],$Q2381)&amp;""))</f>
        <v/>
      </c>
      <c r="G2381">
        <f>IF($Q2381="","",IF(ISNUMBER(INDEX(상세표[블록종료],$Q2381)),TEXT(INDEX(상세표[블록종료],$Q2381),"yyyy-mm-dd hh:mm"),INDEX(상세표[블록종료],$Q2381)&amp;""))</f>
        <v/>
      </c>
      <c r="H2381">
        <f>IF($Q2381="","",CHOOSE(WEEKDAY(INDEX(상세표[시작],$Q2381)),"일","월","화","수","목","금","토"))</f>
        <v/>
      </c>
      <c r="I2381" s="20">
        <f>IF($Q2381="","",INDEX(상세표[연속 시간],$Q2381))</f>
        <v/>
      </c>
      <c r="J2381">
        <f>IF($Q2381="","",INDEX(상세표[기록 수],$Q2381))</f>
        <v/>
      </c>
      <c r="K2381" s="20">
        <f>IF($Q2381="","",INDEX(상세표[블록 06~07시],$Q2381))</f>
        <v/>
      </c>
      <c r="L2381" s="20">
        <f>IF($Q2381="","",INDEX(상세표[블록 07~18시],$Q2381))</f>
        <v/>
      </c>
      <c r="M2381" s="20">
        <f>IF($Q2381="","",INDEX(상세표[블록 18~22시],$Q2381))</f>
        <v/>
      </c>
      <c r="N2381" s="20">
        <f>IF($Q2381="","",INDEX(상세표[블록 22~06시],$Q2381))</f>
        <v/>
      </c>
      <c r="O2381">
        <f>IF($Q2381="","",INDEX(상세표[주말·휴일 포함],$Q2381)&amp;"")</f>
        <v/>
      </c>
      <c r="P2381">
        <f>IF($Q2381="","",INDEX(상세표[월 넘김 포함],$Q2381)&amp;"")</f>
        <v/>
      </c>
      <c r="Q2381" s="4">
        <f>IFERROR(MATCH(2376,상세표[연속순번],0),"")</f>
        <v/>
      </c>
    </row>
    <row r="2382">
      <c r="A2382">
        <f>IF($Q2382="","",INDEX(상세표[부서],$Q2382)&amp;"")</f>
        <v/>
      </c>
      <c r="B2382">
        <f>IF($Q2382="","",INDEX(상세표[사번],$Q2382)&amp;"")</f>
        <v/>
      </c>
      <c r="C2382">
        <f>IF($Q2382="","",INDEX(상세표[성명],$Q2382)&amp;"")</f>
        <v/>
      </c>
      <c r="D2382">
        <f>IF($Q2382="","",INDEX(상세표[직위],$Q2382)&amp;"")</f>
        <v/>
      </c>
      <c r="E2382">
        <f>IF($Q2382="","",IF(ISNUMBER(INDEX(상세표[근무일자],$Q2382)),TEXT(INDEX(상세표[근무일자],$Q2382),"yyyy-mm-dd"),INDEX(상세표[근무일자],$Q2382)&amp;""))</f>
        <v/>
      </c>
      <c r="F2382">
        <f>IF($Q2382="","",IF(ISNUMBER(INDEX(상세표[시작],$Q2382)),TEXT(INDEX(상세표[시작],$Q2382),"yyyy-mm-dd hh:mm"),INDEX(상세표[시작],$Q2382)&amp;""))</f>
        <v/>
      </c>
      <c r="G2382">
        <f>IF($Q2382="","",IF(ISNUMBER(INDEX(상세표[블록종료],$Q2382)),TEXT(INDEX(상세표[블록종료],$Q2382),"yyyy-mm-dd hh:mm"),INDEX(상세표[블록종료],$Q2382)&amp;""))</f>
        <v/>
      </c>
      <c r="H2382">
        <f>IF($Q2382="","",CHOOSE(WEEKDAY(INDEX(상세표[시작],$Q2382)),"일","월","화","수","목","금","토"))</f>
        <v/>
      </c>
      <c r="I2382" s="20">
        <f>IF($Q2382="","",INDEX(상세표[연속 시간],$Q2382))</f>
        <v/>
      </c>
      <c r="J2382">
        <f>IF($Q2382="","",INDEX(상세표[기록 수],$Q2382))</f>
        <v/>
      </c>
      <c r="K2382" s="20">
        <f>IF($Q2382="","",INDEX(상세표[블록 06~07시],$Q2382))</f>
        <v/>
      </c>
      <c r="L2382" s="20">
        <f>IF($Q2382="","",INDEX(상세표[블록 07~18시],$Q2382))</f>
        <v/>
      </c>
      <c r="M2382" s="20">
        <f>IF($Q2382="","",INDEX(상세표[블록 18~22시],$Q2382))</f>
        <v/>
      </c>
      <c r="N2382" s="20">
        <f>IF($Q2382="","",INDEX(상세표[블록 22~06시],$Q2382))</f>
        <v/>
      </c>
      <c r="O2382">
        <f>IF($Q2382="","",INDEX(상세표[주말·휴일 포함],$Q2382)&amp;"")</f>
        <v/>
      </c>
      <c r="P2382">
        <f>IF($Q2382="","",INDEX(상세표[월 넘김 포함],$Q2382)&amp;"")</f>
        <v/>
      </c>
      <c r="Q2382" s="4">
        <f>IFERROR(MATCH(2377,상세표[연속순번],0),"")</f>
        <v/>
      </c>
    </row>
    <row r="2383">
      <c r="A2383">
        <f>IF($Q2383="","",INDEX(상세표[부서],$Q2383)&amp;"")</f>
        <v/>
      </c>
      <c r="B2383">
        <f>IF($Q2383="","",INDEX(상세표[사번],$Q2383)&amp;"")</f>
        <v/>
      </c>
      <c r="C2383">
        <f>IF($Q2383="","",INDEX(상세표[성명],$Q2383)&amp;"")</f>
        <v/>
      </c>
      <c r="D2383">
        <f>IF($Q2383="","",INDEX(상세표[직위],$Q2383)&amp;"")</f>
        <v/>
      </c>
      <c r="E2383">
        <f>IF($Q2383="","",IF(ISNUMBER(INDEX(상세표[근무일자],$Q2383)),TEXT(INDEX(상세표[근무일자],$Q2383),"yyyy-mm-dd"),INDEX(상세표[근무일자],$Q2383)&amp;""))</f>
        <v/>
      </c>
      <c r="F2383">
        <f>IF($Q2383="","",IF(ISNUMBER(INDEX(상세표[시작],$Q2383)),TEXT(INDEX(상세표[시작],$Q2383),"yyyy-mm-dd hh:mm"),INDEX(상세표[시작],$Q2383)&amp;""))</f>
        <v/>
      </c>
      <c r="G2383">
        <f>IF($Q2383="","",IF(ISNUMBER(INDEX(상세표[블록종료],$Q2383)),TEXT(INDEX(상세표[블록종료],$Q2383),"yyyy-mm-dd hh:mm"),INDEX(상세표[블록종료],$Q2383)&amp;""))</f>
        <v/>
      </c>
      <c r="H2383">
        <f>IF($Q2383="","",CHOOSE(WEEKDAY(INDEX(상세표[시작],$Q2383)),"일","월","화","수","목","금","토"))</f>
        <v/>
      </c>
      <c r="I2383" s="20">
        <f>IF($Q2383="","",INDEX(상세표[연속 시간],$Q2383))</f>
        <v/>
      </c>
      <c r="J2383">
        <f>IF($Q2383="","",INDEX(상세표[기록 수],$Q2383))</f>
        <v/>
      </c>
      <c r="K2383" s="20">
        <f>IF($Q2383="","",INDEX(상세표[블록 06~07시],$Q2383))</f>
        <v/>
      </c>
      <c r="L2383" s="20">
        <f>IF($Q2383="","",INDEX(상세표[블록 07~18시],$Q2383))</f>
        <v/>
      </c>
      <c r="M2383" s="20">
        <f>IF($Q2383="","",INDEX(상세표[블록 18~22시],$Q2383))</f>
        <v/>
      </c>
      <c r="N2383" s="20">
        <f>IF($Q2383="","",INDEX(상세표[블록 22~06시],$Q2383))</f>
        <v/>
      </c>
      <c r="O2383">
        <f>IF($Q2383="","",INDEX(상세표[주말·휴일 포함],$Q2383)&amp;"")</f>
        <v/>
      </c>
      <c r="P2383">
        <f>IF($Q2383="","",INDEX(상세표[월 넘김 포함],$Q2383)&amp;"")</f>
        <v/>
      </c>
      <c r="Q2383" s="4">
        <f>IFERROR(MATCH(2378,상세표[연속순번],0),"")</f>
        <v/>
      </c>
    </row>
    <row r="2384">
      <c r="A2384">
        <f>IF($Q2384="","",INDEX(상세표[부서],$Q2384)&amp;"")</f>
        <v/>
      </c>
      <c r="B2384">
        <f>IF($Q2384="","",INDEX(상세표[사번],$Q2384)&amp;"")</f>
        <v/>
      </c>
      <c r="C2384">
        <f>IF($Q2384="","",INDEX(상세표[성명],$Q2384)&amp;"")</f>
        <v/>
      </c>
      <c r="D2384">
        <f>IF($Q2384="","",INDEX(상세표[직위],$Q2384)&amp;"")</f>
        <v/>
      </c>
      <c r="E2384">
        <f>IF($Q2384="","",IF(ISNUMBER(INDEX(상세표[근무일자],$Q2384)),TEXT(INDEX(상세표[근무일자],$Q2384),"yyyy-mm-dd"),INDEX(상세표[근무일자],$Q2384)&amp;""))</f>
        <v/>
      </c>
      <c r="F2384">
        <f>IF($Q2384="","",IF(ISNUMBER(INDEX(상세표[시작],$Q2384)),TEXT(INDEX(상세표[시작],$Q2384),"yyyy-mm-dd hh:mm"),INDEX(상세표[시작],$Q2384)&amp;""))</f>
        <v/>
      </c>
      <c r="G2384">
        <f>IF($Q2384="","",IF(ISNUMBER(INDEX(상세표[블록종료],$Q2384)),TEXT(INDEX(상세표[블록종료],$Q2384),"yyyy-mm-dd hh:mm"),INDEX(상세표[블록종료],$Q2384)&amp;""))</f>
        <v/>
      </c>
      <c r="H2384">
        <f>IF($Q2384="","",CHOOSE(WEEKDAY(INDEX(상세표[시작],$Q2384)),"일","월","화","수","목","금","토"))</f>
        <v/>
      </c>
      <c r="I2384" s="20">
        <f>IF($Q2384="","",INDEX(상세표[연속 시간],$Q2384))</f>
        <v/>
      </c>
      <c r="J2384">
        <f>IF($Q2384="","",INDEX(상세표[기록 수],$Q2384))</f>
        <v/>
      </c>
      <c r="K2384" s="20">
        <f>IF($Q2384="","",INDEX(상세표[블록 06~07시],$Q2384))</f>
        <v/>
      </c>
      <c r="L2384" s="20">
        <f>IF($Q2384="","",INDEX(상세표[블록 07~18시],$Q2384))</f>
        <v/>
      </c>
      <c r="M2384" s="20">
        <f>IF($Q2384="","",INDEX(상세표[블록 18~22시],$Q2384))</f>
        <v/>
      </c>
      <c r="N2384" s="20">
        <f>IF($Q2384="","",INDEX(상세표[블록 22~06시],$Q2384))</f>
        <v/>
      </c>
      <c r="O2384">
        <f>IF($Q2384="","",INDEX(상세표[주말·휴일 포함],$Q2384)&amp;"")</f>
        <v/>
      </c>
      <c r="P2384">
        <f>IF($Q2384="","",INDEX(상세표[월 넘김 포함],$Q2384)&amp;"")</f>
        <v/>
      </c>
      <c r="Q2384" s="4">
        <f>IFERROR(MATCH(2379,상세표[연속순번],0),"")</f>
        <v/>
      </c>
    </row>
    <row r="2385">
      <c r="A2385">
        <f>IF($Q2385="","",INDEX(상세표[부서],$Q2385)&amp;"")</f>
        <v/>
      </c>
      <c r="B2385">
        <f>IF($Q2385="","",INDEX(상세표[사번],$Q2385)&amp;"")</f>
        <v/>
      </c>
      <c r="C2385">
        <f>IF($Q2385="","",INDEX(상세표[성명],$Q2385)&amp;"")</f>
        <v/>
      </c>
      <c r="D2385">
        <f>IF($Q2385="","",INDEX(상세표[직위],$Q2385)&amp;"")</f>
        <v/>
      </c>
      <c r="E2385">
        <f>IF($Q2385="","",IF(ISNUMBER(INDEX(상세표[근무일자],$Q2385)),TEXT(INDEX(상세표[근무일자],$Q2385),"yyyy-mm-dd"),INDEX(상세표[근무일자],$Q2385)&amp;""))</f>
        <v/>
      </c>
      <c r="F2385">
        <f>IF($Q2385="","",IF(ISNUMBER(INDEX(상세표[시작],$Q2385)),TEXT(INDEX(상세표[시작],$Q2385),"yyyy-mm-dd hh:mm"),INDEX(상세표[시작],$Q2385)&amp;""))</f>
        <v/>
      </c>
      <c r="G2385">
        <f>IF($Q2385="","",IF(ISNUMBER(INDEX(상세표[블록종료],$Q2385)),TEXT(INDEX(상세표[블록종료],$Q2385),"yyyy-mm-dd hh:mm"),INDEX(상세표[블록종료],$Q2385)&amp;""))</f>
        <v/>
      </c>
      <c r="H2385">
        <f>IF($Q2385="","",CHOOSE(WEEKDAY(INDEX(상세표[시작],$Q2385)),"일","월","화","수","목","금","토"))</f>
        <v/>
      </c>
      <c r="I2385" s="20">
        <f>IF($Q2385="","",INDEX(상세표[연속 시간],$Q2385))</f>
        <v/>
      </c>
      <c r="J2385">
        <f>IF($Q2385="","",INDEX(상세표[기록 수],$Q2385))</f>
        <v/>
      </c>
      <c r="K2385" s="20">
        <f>IF($Q2385="","",INDEX(상세표[블록 06~07시],$Q2385))</f>
        <v/>
      </c>
      <c r="L2385" s="20">
        <f>IF($Q2385="","",INDEX(상세표[블록 07~18시],$Q2385))</f>
        <v/>
      </c>
      <c r="M2385" s="20">
        <f>IF($Q2385="","",INDEX(상세표[블록 18~22시],$Q2385))</f>
        <v/>
      </c>
      <c r="N2385" s="20">
        <f>IF($Q2385="","",INDEX(상세표[블록 22~06시],$Q2385))</f>
        <v/>
      </c>
      <c r="O2385">
        <f>IF($Q2385="","",INDEX(상세표[주말·휴일 포함],$Q2385)&amp;"")</f>
        <v/>
      </c>
      <c r="P2385">
        <f>IF($Q2385="","",INDEX(상세표[월 넘김 포함],$Q2385)&amp;"")</f>
        <v/>
      </c>
      <c r="Q2385" s="4">
        <f>IFERROR(MATCH(2380,상세표[연속순번],0),"")</f>
        <v/>
      </c>
    </row>
    <row r="2386">
      <c r="A2386">
        <f>IF($Q2386="","",INDEX(상세표[부서],$Q2386)&amp;"")</f>
        <v/>
      </c>
      <c r="B2386">
        <f>IF($Q2386="","",INDEX(상세표[사번],$Q2386)&amp;"")</f>
        <v/>
      </c>
      <c r="C2386">
        <f>IF($Q2386="","",INDEX(상세표[성명],$Q2386)&amp;"")</f>
        <v/>
      </c>
      <c r="D2386">
        <f>IF($Q2386="","",INDEX(상세표[직위],$Q2386)&amp;"")</f>
        <v/>
      </c>
      <c r="E2386">
        <f>IF($Q2386="","",IF(ISNUMBER(INDEX(상세표[근무일자],$Q2386)),TEXT(INDEX(상세표[근무일자],$Q2386),"yyyy-mm-dd"),INDEX(상세표[근무일자],$Q2386)&amp;""))</f>
        <v/>
      </c>
      <c r="F2386">
        <f>IF($Q2386="","",IF(ISNUMBER(INDEX(상세표[시작],$Q2386)),TEXT(INDEX(상세표[시작],$Q2386),"yyyy-mm-dd hh:mm"),INDEX(상세표[시작],$Q2386)&amp;""))</f>
        <v/>
      </c>
      <c r="G2386">
        <f>IF($Q2386="","",IF(ISNUMBER(INDEX(상세표[블록종료],$Q2386)),TEXT(INDEX(상세표[블록종료],$Q2386),"yyyy-mm-dd hh:mm"),INDEX(상세표[블록종료],$Q2386)&amp;""))</f>
        <v/>
      </c>
      <c r="H2386">
        <f>IF($Q2386="","",CHOOSE(WEEKDAY(INDEX(상세표[시작],$Q2386)),"일","월","화","수","목","금","토"))</f>
        <v/>
      </c>
      <c r="I2386" s="20">
        <f>IF($Q2386="","",INDEX(상세표[연속 시간],$Q2386))</f>
        <v/>
      </c>
      <c r="J2386">
        <f>IF($Q2386="","",INDEX(상세표[기록 수],$Q2386))</f>
        <v/>
      </c>
      <c r="K2386" s="20">
        <f>IF($Q2386="","",INDEX(상세표[블록 06~07시],$Q2386))</f>
        <v/>
      </c>
      <c r="L2386" s="20">
        <f>IF($Q2386="","",INDEX(상세표[블록 07~18시],$Q2386))</f>
        <v/>
      </c>
      <c r="M2386" s="20">
        <f>IF($Q2386="","",INDEX(상세표[블록 18~22시],$Q2386))</f>
        <v/>
      </c>
      <c r="N2386" s="20">
        <f>IF($Q2386="","",INDEX(상세표[블록 22~06시],$Q2386))</f>
        <v/>
      </c>
      <c r="O2386">
        <f>IF($Q2386="","",INDEX(상세표[주말·휴일 포함],$Q2386)&amp;"")</f>
        <v/>
      </c>
      <c r="P2386">
        <f>IF($Q2386="","",INDEX(상세표[월 넘김 포함],$Q2386)&amp;"")</f>
        <v/>
      </c>
      <c r="Q2386" s="4">
        <f>IFERROR(MATCH(2381,상세표[연속순번],0),"")</f>
        <v/>
      </c>
    </row>
    <row r="2387">
      <c r="A2387">
        <f>IF($Q2387="","",INDEX(상세표[부서],$Q2387)&amp;"")</f>
        <v/>
      </c>
      <c r="B2387">
        <f>IF($Q2387="","",INDEX(상세표[사번],$Q2387)&amp;"")</f>
        <v/>
      </c>
      <c r="C2387">
        <f>IF($Q2387="","",INDEX(상세표[성명],$Q2387)&amp;"")</f>
        <v/>
      </c>
      <c r="D2387">
        <f>IF($Q2387="","",INDEX(상세표[직위],$Q2387)&amp;"")</f>
        <v/>
      </c>
      <c r="E2387">
        <f>IF($Q2387="","",IF(ISNUMBER(INDEX(상세표[근무일자],$Q2387)),TEXT(INDEX(상세표[근무일자],$Q2387),"yyyy-mm-dd"),INDEX(상세표[근무일자],$Q2387)&amp;""))</f>
        <v/>
      </c>
      <c r="F2387">
        <f>IF($Q2387="","",IF(ISNUMBER(INDEX(상세표[시작],$Q2387)),TEXT(INDEX(상세표[시작],$Q2387),"yyyy-mm-dd hh:mm"),INDEX(상세표[시작],$Q2387)&amp;""))</f>
        <v/>
      </c>
      <c r="G2387">
        <f>IF($Q2387="","",IF(ISNUMBER(INDEX(상세표[블록종료],$Q2387)),TEXT(INDEX(상세표[블록종료],$Q2387),"yyyy-mm-dd hh:mm"),INDEX(상세표[블록종료],$Q2387)&amp;""))</f>
        <v/>
      </c>
      <c r="H2387">
        <f>IF($Q2387="","",CHOOSE(WEEKDAY(INDEX(상세표[시작],$Q2387)),"일","월","화","수","목","금","토"))</f>
        <v/>
      </c>
      <c r="I2387" s="20">
        <f>IF($Q2387="","",INDEX(상세표[연속 시간],$Q2387))</f>
        <v/>
      </c>
      <c r="J2387">
        <f>IF($Q2387="","",INDEX(상세표[기록 수],$Q2387))</f>
        <v/>
      </c>
      <c r="K2387" s="20">
        <f>IF($Q2387="","",INDEX(상세표[블록 06~07시],$Q2387))</f>
        <v/>
      </c>
      <c r="L2387" s="20">
        <f>IF($Q2387="","",INDEX(상세표[블록 07~18시],$Q2387))</f>
        <v/>
      </c>
      <c r="M2387" s="20">
        <f>IF($Q2387="","",INDEX(상세표[블록 18~22시],$Q2387))</f>
        <v/>
      </c>
      <c r="N2387" s="20">
        <f>IF($Q2387="","",INDEX(상세표[블록 22~06시],$Q2387))</f>
        <v/>
      </c>
      <c r="O2387">
        <f>IF($Q2387="","",INDEX(상세표[주말·휴일 포함],$Q2387)&amp;"")</f>
        <v/>
      </c>
      <c r="P2387">
        <f>IF($Q2387="","",INDEX(상세표[월 넘김 포함],$Q2387)&amp;"")</f>
        <v/>
      </c>
      <c r="Q2387" s="4">
        <f>IFERROR(MATCH(2382,상세표[연속순번],0),"")</f>
        <v/>
      </c>
    </row>
    <row r="2388">
      <c r="A2388">
        <f>IF($Q2388="","",INDEX(상세표[부서],$Q2388)&amp;"")</f>
        <v/>
      </c>
      <c r="B2388">
        <f>IF($Q2388="","",INDEX(상세표[사번],$Q2388)&amp;"")</f>
        <v/>
      </c>
      <c r="C2388">
        <f>IF($Q2388="","",INDEX(상세표[성명],$Q2388)&amp;"")</f>
        <v/>
      </c>
      <c r="D2388">
        <f>IF($Q2388="","",INDEX(상세표[직위],$Q2388)&amp;"")</f>
        <v/>
      </c>
      <c r="E2388">
        <f>IF($Q2388="","",IF(ISNUMBER(INDEX(상세표[근무일자],$Q2388)),TEXT(INDEX(상세표[근무일자],$Q2388),"yyyy-mm-dd"),INDEX(상세표[근무일자],$Q2388)&amp;""))</f>
        <v/>
      </c>
      <c r="F2388">
        <f>IF($Q2388="","",IF(ISNUMBER(INDEX(상세표[시작],$Q2388)),TEXT(INDEX(상세표[시작],$Q2388),"yyyy-mm-dd hh:mm"),INDEX(상세표[시작],$Q2388)&amp;""))</f>
        <v/>
      </c>
      <c r="G2388">
        <f>IF($Q2388="","",IF(ISNUMBER(INDEX(상세표[블록종료],$Q2388)),TEXT(INDEX(상세표[블록종료],$Q2388),"yyyy-mm-dd hh:mm"),INDEX(상세표[블록종료],$Q2388)&amp;""))</f>
        <v/>
      </c>
      <c r="H2388">
        <f>IF($Q2388="","",CHOOSE(WEEKDAY(INDEX(상세표[시작],$Q2388)),"일","월","화","수","목","금","토"))</f>
        <v/>
      </c>
      <c r="I2388" s="20">
        <f>IF($Q2388="","",INDEX(상세표[연속 시간],$Q2388))</f>
        <v/>
      </c>
      <c r="J2388">
        <f>IF($Q2388="","",INDEX(상세표[기록 수],$Q2388))</f>
        <v/>
      </c>
      <c r="K2388" s="20">
        <f>IF($Q2388="","",INDEX(상세표[블록 06~07시],$Q2388))</f>
        <v/>
      </c>
      <c r="L2388" s="20">
        <f>IF($Q2388="","",INDEX(상세표[블록 07~18시],$Q2388))</f>
        <v/>
      </c>
      <c r="M2388" s="20">
        <f>IF($Q2388="","",INDEX(상세표[블록 18~22시],$Q2388))</f>
        <v/>
      </c>
      <c r="N2388" s="20">
        <f>IF($Q2388="","",INDEX(상세표[블록 22~06시],$Q2388))</f>
        <v/>
      </c>
      <c r="O2388">
        <f>IF($Q2388="","",INDEX(상세표[주말·휴일 포함],$Q2388)&amp;"")</f>
        <v/>
      </c>
      <c r="P2388">
        <f>IF($Q2388="","",INDEX(상세표[월 넘김 포함],$Q2388)&amp;"")</f>
        <v/>
      </c>
      <c r="Q2388" s="4">
        <f>IFERROR(MATCH(2383,상세표[연속순번],0),"")</f>
        <v/>
      </c>
    </row>
    <row r="2389">
      <c r="A2389">
        <f>IF($Q2389="","",INDEX(상세표[부서],$Q2389)&amp;"")</f>
        <v/>
      </c>
      <c r="B2389">
        <f>IF($Q2389="","",INDEX(상세표[사번],$Q2389)&amp;"")</f>
        <v/>
      </c>
      <c r="C2389">
        <f>IF($Q2389="","",INDEX(상세표[성명],$Q2389)&amp;"")</f>
        <v/>
      </c>
      <c r="D2389">
        <f>IF($Q2389="","",INDEX(상세표[직위],$Q2389)&amp;"")</f>
        <v/>
      </c>
      <c r="E2389">
        <f>IF($Q2389="","",IF(ISNUMBER(INDEX(상세표[근무일자],$Q2389)),TEXT(INDEX(상세표[근무일자],$Q2389),"yyyy-mm-dd"),INDEX(상세표[근무일자],$Q2389)&amp;""))</f>
        <v/>
      </c>
      <c r="F2389">
        <f>IF($Q2389="","",IF(ISNUMBER(INDEX(상세표[시작],$Q2389)),TEXT(INDEX(상세표[시작],$Q2389),"yyyy-mm-dd hh:mm"),INDEX(상세표[시작],$Q2389)&amp;""))</f>
        <v/>
      </c>
      <c r="G2389">
        <f>IF($Q2389="","",IF(ISNUMBER(INDEX(상세표[블록종료],$Q2389)),TEXT(INDEX(상세표[블록종료],$Q2389),"yyyy-mm-dd hh:mm"),INDEX(상세표[블록종료],$Q2389)&amp;""))</f>
        <v/>
      </c>
      <c r="H2389">
        <f>IF($Q2389="","",CHOOSE(WEEKDAY(INDEX(상세표[시작],$Q2389)),"일","월","화","수","목","금","토"))</f>
        <v/>
      </c>
      <c r="I2389" s="20">
        <f>IF($Q2389="","",INDEX(상세표[연속 시간],$Q2389))</f>
        <v/>
      </c>
      <c r="J2389">
        <f>IF($Q2389="","",INDEX(상세표[기록 수],$Q2389))</f>
        <v/>
      </c>
      <c r="K2389" s="20">
        <f>IF($Q2389="","",INDEX(상세표[블록 06~07시],$Q2389))</f>
        <v/>
      </c>
      <c r="L2389" s="20">
        <f>IF($Q2389="","",INDEX(상세표[블록 07~18시],$Q2389))</f>
        <v/>
      </c>
      <c r="M2389" s="20">
        <f>IF($Q2389="","",INDEX(상세표[블록 18~22시],$Q2389))</f>
        <v/>
      </c>
      <c r="N2389" s="20">
        <f>IF($Q2389="","",INDEX(상세표[블록 22~06시],$Q2389))</f>
        <v/>
      </c>
      <c r="O2389">
        <f>IF($Q2389="","",INDEX(상세표[주말·휴일 포함],$Q2389)&amp;"")</f>
        <v/>
      </c>
      <c r="P2389">
        <f>IF($Q2389="","",INDEX(상세표[월 넘김 포함],$Q2389)&amp;"")</f>
        <v/>
      </c>
      <c r="Q2389" s="4">
        <f>IFERROR(MATCH(2384,상세표[연속순번],0),"")</f>
        <v/>
      </c>
    </row>
    <row r="2390">
      <c r="A2390">
        <f>IF($Q2390="","",INDEX(상세표[부서],$Q2390)&amp;"")</f>
        <v/>
      </c>
      <c r="B2390">
        <f>IF($Q2390="","",INDEX(상세표[사번],$Q2390)&amp;"")</f>
        <v/>
      </c>
      <c r="C2390">
        <f>IF($Q2390="","",INDEX(상세표[성명],$Q2390)&amp;"")</f>
        <v/>
      </c>
      <c r="D2390">
        <f>IF($Q2390="","",INDEX(상세표[직위],$Q2390)&amp;"")</f>
        <v/>
      </c>
      <c r="E2390">
        <f>IF($Q2390="","",IF(ISNUMBER(INDEX(상세표[근무일자],$Q2390)),TEXT(INDEX(상세표[근무일자],$Q2390),"yyyy-mm-dd"),INDEX(상세표[근무일자],$Q2390)&amp;""))</f>
        <v/>
      </c>
      <c r="F2390">
        <f>IF($Q2390="","",IF(ISNUMBER(INDEX(상세표[시작],$Q2390)),TEXT(INDEX(상세표[시작],$Q2390),"yyyy-mm-dd hh:mm"),INDEX(상세표[시작],$Q2390)&amp;""))</f>
        <v/>
      </c>
      <c r="G2390">
        <f>IF($Q2390="","",IF(ISNUMBER(INDEX(상세표[블록종료],$Q2390)),TEXT(INDEX(상세표[블록종료],$Q2390),"yyyy-mm-dd hh:mm"),INDEX(상세표[블록종료],$Q2390)&amp;""))</f>
        <v/>
      </c>
      <c r="H2390">
        <f>IF($Q2390="","",CHOOSE(WEEKDAY(INDEX(상세표[시작],$Q2390)),"일","월","화","수","목","금","토"))</f>
        <v/>
      </c>
      <c r="I2390" s="20">
        <f>IF($Q2390="","",INDEX(상세표[연속 시간],$Q2390))</f>
        <v/>
      </c>
      <c r="J2390">
        <f>IF($Q2390="","",INDEX(상세표[기록 수],$Q2390))</f>
        <v/>
      </c>
      <c r="K2390" s="20">
        <f>IF($Q2390="","",INDEX(상세표[블록 06~07시],$Q2390))</f>
        <v/>
      </c>
      <c r="L2390" s="20">
        <f>IF($Q2390="","",INDEX(상세표[블록 07~18시],$Q2390))</f>
        <v/>
      </c>
      <c r="M2390" s="20">
        <f>IF($Q2390="","",INDEX(상세표[블록 18~22시],$Q2390))</f>
        <v/>
      </c>
      <c r="N2390" s="20">
        <f>IF($Q2390="","",INDEX(상세표[블록 22~06시],$Q2390))</f>
        <v/>
      </c>
      <c r="O2390">
        <f>IF($Q2390="","",INDEX(상세표[주말·휴일 포함],$Q2390)&amp;"")</f>
        <v/>
      </c>
      <c r="P2390">
        <f>IF($Q2390="","",INDEX(상세표[월 넘김 포함],$Q2390)&amp;"")</f>
        <v/>
      </c>
      <c r="Q2390" s="4">
        <f>IFERROR(MATCH(2385,상세표[연속순번],0),"")</f>
        <v/>
      </c>
    </row>
    <row r="2391">
      <c r="A2391">
        <f>IF($Q2391="","",INDEX(상세표[부서],$Q2391)&amp;"")</f>
        <v/>
      </c>
      <c r="B2391">
        <f>IF($Q2391="","",INDEX(상세표[사번],$Q2391)&amp;"")</f>
        <v/>
      </c>
      <c r="C2391">
        <f>IF($Q2391="","",INDEX(상세표[성명],$Q2391)&amp;"")</f>
        <v/>
      </c>
      <c r="D2391">
        <f>IF($Q2391="","",INDEX(상세표[직위],$Q2391)&amp;"")</f>
        <v/>
      </c>
      <c r="E2391">
        <f>IF($Q2391="","",IF(ISNUMBER(INDEX(상세표[근무일자],$Q2391)),TEXT(INDEX(상세표[근무일자],$Q2391),"yyyy-mm-dd"),INDEX(상세표[근무일자],$Q2391)&amp;""))</f>
        <v/>
      </c>
      <c r="F2391">
        <f>IF($Q2391="","",IF(ISNUMBER(INDEX(상세표[시작],$Q2391)),TEXT(INDEX(상세표[시작],$Q2391),"yyyy-mm-dd hh:mm"),INDEX(상세표[시작],$Q2391)&amp;""))</f>
        <v/>
      </c>
      <c r="G2391">
        <f>IF($Q2391="","",IF(ISNUMBER(INDEX(상세표[블록종료],$Q2391)),TEXT(INDEX(상세표[블록종료],$Q2391),"yyyy-mm-dd hh:mm"),INDEX(상세표[블록종료],$Q2391)&amp;""))</f>
        <v/>
      </c>
      <c r="H2391">
        <f>IF($Q2391="","",CHOOSE(WEEKDAY(INDEX(상세표[시작],$Q2391)),"일","월","화","수","목","금","토"))</f>
        <v/>
      </c>
      <c r="I2391" s="20">
        <f>IF($Q2391="","",INDEX(상세표[연속 시간],$Q2391))</f>
        <v/>
      </c>
      <c r="J2391">
        <f>IF($Q2391="","",INDEX(상세표[기록 수],$Q2391))</f>
        <v/>
      </c>
      <c r="K2391" s="20">
        <f>IF($Q2391="","",INDEX(상세표[블록 06~07시],$Q2391))</f>
        <v/>
      </c>
      <c r="L2391" s="20">
        <f>IF($Q2391="","",INDEX(상세표[블록 07~18시],$Q2391))</f>
        <v/>
      </c>
      <c r="M2391" s="20">
        <f>IF($Q2391="","",INDEX(상세표[블록 18~22시],$Q2391))</f>
        <v/>
      </c>
      <c r="N2391" s="20">
        <f>IF($Q2391="","",INDEX(상세표[블록 22~06시],$Q2391))</f>
        <v/>
      </c>
      <c r="O2391">
        <f>IF($Q2391="","",INDEX(상세표[주말·휴일 포함],$Q2391)&amp;"")</f>
        <v/>
      </c>
      <c r="P2391">
        <f>IF($Q2391="","",INDEX(상세표[월 넘김 포함],$Q2391)&amp;"")</f>
        <v/>
      </c>
      <c r="Q2391" s="4">
        <f>IFERROR(MATCH(2386,상세표[연속순번],0),"")</f>
        <v/>
      </c>
    </row>
    <row r="2392">
      <c r="A2392">
        <f>IF($Q2392="","",INDEX(상세표[부서],$Q2392)&amp;"")</f>
        <v/>
      </c>
      <c r="B2392">
        <f>IF($Q2392="","",INDEX(상세표[사번],$Q2392)&amp;"")</f>
        <v/>
      </c>
      <c r="C2392">
        <f>IF($Q2392="","",INDEX(상세표[성명],$Q2392)&amp;"")</f>
        <v/>
      </c>
      <c r="D2392">
        <f>IF($Q2392="","",INDEX(상세표[직위],$Q2392)&amp;"")</f>
        <v/>
      </c>
      <c r="E2392">
        <f>IF($Q2392="","",IF(ISNUMBER(INDEX(상세표[근무일자],$Q2392)),TEXT(INDEX(상세표[근무일자],$Q2392),"yyyy-mm-dd"),INDEX(상세표[근무일자],$Q2392)&amp;""))</f>
        <v/>
      </c>
      <c r="F2392">
        <f>IF($Q2392="","",IF(ISNUMBER(INDEX(상세표[시작],$Q2392)),TEXT(INDEX(상세표[시작],$Q2392),"yyyy-mm-dd hh:mm"),INDEX(상세표[시작],$Q2392)&amp;""))</f>
        <v/>
      </c>
      <c r="G2392">
        <f>IF($Q2392="","",IF(ISNUMBER(INDEX(상세표[블록종료],$Q2392)),TEXT(INDEX(상세표[블록종료],$Q2392),"yyyy-mm-dd hh:mm"),INDEX(상세표[블록종료],$Q2392)&amp;""))</f>
        <v/>
      </c>
      <c r="H2392">
        <f>IF($Q2392="","",CHOOSE(WEEKDAY(INDEX(상세표[시작],$Q2392)),"일","월","화","수","목","금","토"))</f>
        <v/>
      </c>
      <c r="I2392" s="20">
        <f>IF($Q2392="","",INDEX(상세표[연속 시간],$Q2392))</f>
        <v/>
      </c>
      <c r="J2392">
        <f>IF($Q2392="","",INDEX(상세표[기록 수],$Q2392))</f>
        <v/>
      </c>
      <c r="K2392" s="20">
        <f>IF($Q2392="","",INDEX(상세표[블록 06~07시],$Q2392))</f>
        <v/>
      </c>
      <c r="L2392" s="20">
        <f>IF($Q2392="","",INDEX(상세표[블록 07~18시],$Q2392))</f>
        <v/>
      </c>
      <c r="M2392" s="20">
        <f>IF($Q2392="","",INDEX(상세표[블록 18~22시],$Q2392))</f>
        <v/>
      </c>
      <c r="N2392" s="20">
        <f>IF($Q2392="","",INDEX(상세표[블록 22~06시],$Q2392))</f>
        <v/>
      </c>
      <c r="O2392">
        <f>IF($Q2392="","",INDEX(상세표[주말·휴일 포함],$Q2392)&amp;"")</f>
        <v/>
      </c>
      <c r="P2392">
        <f>IF($Q2392="","",INDEX(상세표[월 넘김 포함],$Q2392)&amp;"")</f>
        <v/>
      </c>
      <c r="Q2392" s="4">
        <f>IFERROR(MATCH(2387,상세표[연속순번],0),"")</f>
        <v/>
      </c>
    </row>
    <row r="2393">
      <c r="A2393">
        <f>IF($Q2393="","",INDEX(상세표[부서],$Q2393)&amp;"")</f>
        <v/>
      </c>
      <c r="B2393">
        <f>IF($Q2393="","",INDEX(상세표[사번],$Q2393)&amp;"")</f>
        <v/>
      </c>
      <c r="C2393">
        <f>IF($Q2393="","",INDEX(상세표[성명],$Q2393)&amp;"")</f>
        <v/>
      </c>
      <c r="D2393">
        <f>IF($Q2393="","",INDEX(상세표[직위],$Q2393)&amp;"")</f>
        <v/>
      </c>
      <c r="E2393">
        <f>IF($Q2393="","",IF(ISNUMBER(INDEX(상세표[근무일자],$Q2393)),TEXT(INDEX(상세표[근무일자],$Q2393),"yyyy-mm-dd"),INDEX(상세표[근무일자],$Q2393)&amp;""))</f>
        <v/>
      </c>
      <c r="F2393">
        <f>IF($Q2393="","",IF(ISNUMBER(INDEX(상세표[시작],$Q2393)),TEXT(INDEX(상세표[시작],$Q2393),"yyyy-mm-dd hh:mm"),INDEX(상세표[시작],$Q2393)&amp;""))</f>
        <v/>
      </c>
      <c r="G2393">
        <f>IF($Q2393="","",IF(ISNUMBER(INDEX(상세표[블록종료],$Q2393)),TEXT(INDEX(상세표[블록종료],$Q2393),"yyyy-mm-dd hh:mm"),INDEX(상세표[블록종료],$Q2393)&amp;""))</f>
        <v/>
      </c>
      <c r="H2393">
        <f>IF($Q2393="","",CHOOSE(WEEKDAY(INDEX(상세표[시작],$Q2393)),"일","월","화","수","목","금","토"))</f>
        <v/>
      </c>
      <c r="I2393" s="20">
        <f>IF($Q2393="","",INDEX(상세표[연속 시간],$Q2393))</f>
        <v/>
      </c>
      <c r="J2393">
        <f>IF($Q2393="","",INDEX(상세표[기록 수],$Q2393))</f>
        <v/>
      </c>
      <c r="K2393" s="20">
        <f>IF($Q2393="","",INDEX(상세표[블록 06~07시],$Q2393))</f>
        <v/>
      </c>
      <c r="L2393" s="20">
        <f>IF($Q2393="","",INDEX(상세표[블록 07~18시],$Q2393))</f>
        <v/>
      </c>
      <c r="M2393" s="20">
        <f>IF($Q2393="","",INDEX(상세표[블록 18~22시],$Q2393))</f>
        <v/>
      </c>
      <c r="N2393" s="20">
        <f>IF($Q2393="","",INDEX(상세표[블록 22~06시],$Q2393))</f>
        <v/>
      </c>
      <c r="O2393">
        <f>IF($Q2393="","",INDEX(상세표[주말·휴일 포함],$Q2393)&amp;"")</f>
        <v/>
      </c>
      <c r="P2393">
        <f>IF($Q2393="","",INDEX(상세표[월 넘김 포함],$Q2393)&amp;"")</f>
        <v/>
      </c>
      <c r="Q2393" s="4">
        <f>IFERROR(MATCH(2388,상세표[연속순번],0),"")</f>
        <v/>
      </c>
    </row>
    <row r="2394">
      <c r="A2394">
        <f>IF($Q2394="","",INDEX(상세표[부서],$Q2394)&amp;"")</f>
        <v/>
      </c>
      <c r="B2394">
        <f>IF($Q2394="","",INDEX(상세표[사번],$Q2394)&amp;"")</f>
        <v/>
      </c>
      <c r="C2394">
        <f>IF($Q2394="","",INDEX(상세표[성명],$Q2394)&amp;"")</f>
        <v/>
      </c>
      <c r="D2394">
        <f>IF($Q2394="","",INDEX(상세표[직위],$Q2394)&amp;"")</f>
        <v/>
      </c>
      <c r="E2394">
        <f>IF($Q2394="","",IF(ISNUMBER(INDEX(상세표[근무일자],$Q2394)),TEXT(INDEX(상세표[근무일자],$Q2394),"yyyy-mm-dd"),INDEX(상세표[근무일자],$Q2394)&amp;""))</f>
        <v/>
      </c>
      <c r="F2394">
        <f>IF($Q2394="","",IF(ISNUMBER(INDEX(상세표[시작],$Q2394)),TEXT(INDEX(상세표[시작],$Q2394),"yyyy-mm-dd hh:mm"),INDEX(상세표[시작],$Q2394)&amp;""))</f>
        <v/>
      </c>
      <c r="G2394">
        <f>IF($Q2394="","",IF(ISNUMBER(INDEX(상세표[블록종료],$Q2394)),TEXT(INDEX(상세표[블록종료],$Q2394),"yyyy-mm-dd hh:mm"),INDEX(상세표[블록종료],$Q2394)&amp;""))</f>
        <v/>
      </c>
      <c r="H2394">
        <f>IF($Q2394="","",CHOOSE(WEEKDAY(INDEX(상세표[시작],$Q2394)),"일","월","화","수","목","금","토"))</f>
        <v/>
      </c>
      <c r="I2394" s="20">
        <f>IF($Q2394="","",INDEX(상세표[연속 시간],$Q2394))</f>
        <v/>
      </c>
      <c r="J2394">
        <f>IF($Q2394="","",INDEX(상세표[기록 수],$Q2394))</f>
        <v/>
      </c>
      <c r="K2394" s="20">
        <f>IF($Q2394="","",INDEX(상세표[블록 06~07시],$Q2394))</f>
        <v/>
      </c>
      <c r="L2394" s="20">
        <f>IF($Q2394="","",INDEX(상세표[블록 07~18시],$Q2394))</f>
        <v/>
      </c>
      <c r="M2394" s="20">
        <f>IF($Q2394="","",INDEX(상세표[블록 18~22시],$Q2394))</f>
        <v/>
      </c>
      <c r="N2394" s="20">
        <f>IF($Q2394="","",INDEX(상세표[블록 22~06시],$Q2394))</f>
        <v/>
      </c>
      <c r="O2394">
        <f>IF($Q2394="","",INDEX(상세표[주말·휴일 포함],$Q2394)&amp;"")</f>
        <v/>
      </c>
      <c r="P2394">
        <f>IF($Q2394="","",INDEX(상세표[월 넘김 포함],$Q2394)&amp;"")</f>
        <v/>
      </c>
      <c r="Q2394" s="4">
        <f>IFERROR(MATCH(2389,상세표[연속순번],0),"")</f>
        <v/>
      </c>
    </row>
    <row r="2395">
      <c r="A2395">
        <f>IF($Q2395="","",INDEX(상세표[부서],$Q2395)&amp;"")</f>
        <v/>
      </c>
      <c r="B2395">
        <f>IF($Q2395="","",INDEX(상세표[사번],$Q2395)&amp;"")</f>
        <v/>
      </c>
      <c r="C2395">
        <f>IF($Q2395="","",INDEX(상세표[성명],$Q2395)&amp;"")</f>
        <v/>
      </c>
      <c r="D2395">
        <f>IF($Q2395="","",INDEX(상세표[직위],$Q2395)&amp;"")</f>
        <v/>
      </c>
      <c r="E2395">
        <f>IF($Q2395="","",IF(ISNUMBER(INDEX(상세표[근무일자],$Q2395)),TEXT(INDEX(상세표[근무일자],$Q2395),"yyyy-mm-dd"),INDEX(상세표[근무일자],$Q2395)&amp;""))</f>
        <v/>
      </c>
      <c r="F2395">
        <f>IF($Q2395="","",IF(ISNUMBER(INDEX(상세표[시작],$Q2395)),TEXT(INDEX(상세표[시작],$Q2395),"yyyy-mm-dd hh:mm"),INDEX(상세표[시작],$Q2395)&amp;""))</f>
        <v/>
      </c>
      <c r="G2395">
        <f>IF($Q2395="","",IF(ISNUMBER(INDEX(상세표[블록종료],$Q2395)),TEXT(INDEX(상세표[블록종료],$Q2395),"yyyy-mm-dd hh:mm"),INDEX(상세표[블록종료],$Q2395)&amp;""))</f>
        <v/>
      </c>
      <c r="H2395">
        <f>IF($Q2395="","",CHOOSE(WEEKDAY(INDEX(상세표[시작],$Q2395)),"일","월","화","수","목","금","토"))</f>
        <v/>
      </c>
      <c r="I2395" s="20">
        <f>IF($Q2395="","",INDEX(상세표[연속 시간],$Q2395))</f>
        <v/>
      </c>
      <c r="J2395">
        <f>IF($Q2395="","",INDEX(상세표[기록 수],$Q2395))</f>
        <v/>
      </c>
      <c r="K2395" s="20">
        <f>IF($Q2395="","",INDEX(상세표[블록 06~07시],$Q2395))</f>
        <v/>
      </c>
      <c r="L2395" s="20">
        <f>IF($Q2395="","",INDEX(상세표[블록 07~18시],$Q2395))</f>
        <v/>
      </c>
      <c r="M2395" s="20">
        <f>IF($Q2395="","",INDEX(상세표[블록 18~22시],$Q2395))</f>
        <v/>
      </c>
      <c r="N2395" s="20">
        <f>IF($Q2395="","",INDEX(상세표[블록 22~06시],$Q2395))</f>
        <v/>
      </c>
      <c r="O2395">
        <f>IF($Q2395="","",INDEX(상세표[주말·휴일 포함],$Q2395)&amp;"")</f>
        <v/>
      </c>
      <c r="P2395">
        <f>IF($Q2395="","",INDEX(상세표[월 넘김 포함],$Q2395)&amp;"")</f>
        <v/>
      </c>
      <c r="Q2395" s="4">
        <f>IFERROR(MATCH(2390,상세표[연속순번],0),"")</f>
        <v/>
      </c>
    </row>
    <row r="2396">
      <c r="A2396">
        <f>IF($Q2396="","",INDEX(상세표[부서],$Q2396)&amp;"")</f>
        <v/>
      </c>
      <c r="B2396">
        <f>IF($Q2396="","",INDEX(상세표[사번],$Q2396)&amp;"")</f>
        <v/>
      </c>
      <c r="C2396">
        <f>IF($Q2396="","",INDEX(상세표[성명],$Q2396)&amp;"")</f>
        <v/>
      </c>
      <c r="D2396">
        <f>IF($Q2396="","",INDEX(상세표[직위],$Q2396)&amp;"")</f>
        <v/>
      </c>
      <c r="E2396">
        <f>IF($Q2396="","",IF(ISNUMBER(INDEX(상세표[근무일자],$Q2396)),TEXT(INDEX(상세표[근무일자],$Q2396),"yyyy-mm-dd"),INDEX(상세표[근무일자],$Q2396)&amp;""))</f>
        <v/>
      </c>
      <c r="F2396">
        <f>IF($Q2396="","",IF(ISNUMBER(INDEX(상세표[시작],$Q2396)),TEXT(INDEX(상세표[시작],$Q2396),"yyyy-mm-dd hh:mm"),INDEX(상세표[시작],$Q2396)&amp;""))</f>
        <v/>
      </c>
      <c r="G2396">
        <f>IF($Q2396="","",IF(ISNUMBER(INDEX(상세표[블록종료],$Q2396)),TEXT(INDEX(상세표[블록종료],$Q2396),"yyyy-mm-dd hh:mm"),INDEX(상세표[블록종료],$Q2396)&amp;""))</f>
        <v/>
      </c>
      <c r="H2396">
        <f>IF($Q2396="","",CHOOSE(WEEKDAY(INDEX(상세표[시작],$Q2396)),"일","월","화","수","목","금","토"))</f>
        <v/>
      </c>
      <c r="I2396" s="20">
        <f>IF($Q2396="","",INDEX(상세표[연속 시간],$Q2396))</f>
        <v/>
      </c>
      <c r="J2396">
        <f>IF($Q2396="","",INDEX(상세표[기록 수],$Q2396))</f>
        <v/>
      </c>
      <c r="K2396" s="20">
        <f>IF($Q2396="","",INDEX(상세표[블록 06~07시],$Q2396))</f>
        <v/>
      </c>
      <c r="L2396" s="20">
        <f>IF($Q2396="","",INDEX(상세표[블록 07~18시],$Q2396))</f>
        <v/>
      </c>
      <c r="M2396" s="20">
        <f>IF($Q2396="","",INDEX(상세표[블록 18~22시],$Q2396))</f>
        <v/>
      </c>
      <c r="N2396" s="20">
        <f>IF($Q2396="","",INDEX(상세표[블록 22~06시],$Q2396))</f>
        <v/>
      </c>
      <c r="O2396">
        <f>IF($Q2396="","",INDEX(상세표[주말·휴일 포함],$Q2396)&amp;"")</f>
        <v/>
      </c>
      <c r="P2396">
        <f>IF($Q2396="","",INDEX(상세표[월 넘김 포함],$Q2396)&amp;"")</f>
        <v/>
      </c>
      <c r="Q2396" s="4">
        <f>IFERROR(MATCH(2391,상세표[연속순번],0),"")</f>
        <v/>
      </c>
    </row>
    <row r="2397">
      <c r="A2397">
        <f>IF($Q2397="","",INDEX(상세표[부서],$Q2397)&amp;"")</f>
        <v/>
      </c>
      <c r="B2397">
        <f>IF($Q2397="","",INDEX(상세표[사번],$Q2397)&amp;"")</f>
        <v/>
      </c>
      <c r="C2397">
        <f>IF($Q2397="","",INDEX(상세표[성명],$Q2397)&amp;"")</f>
        <v/>
      </c>
      <c r="D2397">
        <f>IF($Q2397="","",INDEX(상세표[직위],$Q2397)&amp;"")</f>
        <v/>
      </c>
      <c r="E2397">
        <f>IF($Q2397="","",IF(ISNUMBER(INDEX(상세표[근무일자],$Q2397)),TEXT(INDEX(상세표[근무일자],$Q2397),"yyyy-mm-dd"),INDEX(상세표[근무일자],$Q2397)&amp;""))</f>
        <v/>
      </c>
      <c r="F2397">
        <f>IF($Q2397="","",IF(ISNUMBER(INDEX(상세표[시작],$Q2397)),TEXT(INDEX(상세표[시작],$Q2397),"yyyy-mm-dd hh:mm"),INDEX(상세표[시작],$Q2397)&amp;""))</f>
        <v/>
      </c>
      <c r="G2397">
        <f>IF($Q2397="","",IF(ISNUMBER(INDEX(상세표[블록종료],$Q2397)),TEXT(INDEX(상세표[블록종료],$Q2397),"yyyy-mm-dd hh:mm"),INDEX(상세표[블록종료],$Q2397)&amp;""))</f>
        <v/>
      </c>
      <c r="H2397">
        <f>IF($Q2397="","",CHOOSE(WEEKDAY(INDEX(상세표[시작],$Q2397)),"일","월","화","수","목","금","토"))</f>
        <v/>
      </c>
      <c r="I2397" s="20">
        <f>IF($Q2397="","",INDEX(상세표[연속 시간],$Q2397))</f>
        <v/>
      </c>
      <c r="J2397">
        <f>IF($Q2397="","",INDEX(상세표[기록 수],$Q2397))</f>
        <v/>
      </c>
      <c r="K2397" s="20">
        <f>IF($Q2397="","",INDEX(상세표[블록 06~07시],$Q2397))</f>
        <v/>
      </c>
      <c r="L2397" s="20">
        <f>IF($Q2397="","",INDEX(상세표[블록 07~18시],$Q2397))</f>
        <v/>
      </c>
      <c r="M2397" s="20">
        <f>IF($Q2397="","",INDEX(상세표[블록 18~22시],$Q2397))</f>
        <v/>
      </c>
      <c r="N2397" s="20">
        <f>IF($Q2397="","",INDEX(상세표[블록 22~06시],$Q2397))</f>
        <v/>
      </c>
      <c r="O2397">
        <f>IF($Q2397="","",INDEX(상세표[주말·휴일 포함],$Q2397)&amp;"")</f>
        <v/>
      </c>
      <c r="P2397">
        <f>IF($Q2397="","",INDEX(상세표[월 넘김 포함],$Q2397)&amp;"")</f>
        <v/>
      </c>
      <c r="Q2397" s="4">
        <f>IFERROR(MATCH(2392,상세표[연속순번],0),"")</f>
        <v/>
      </c>
    </row>
    <row r="2398">
      <c r="A2398">
        <f>IF($Q2398="","",INDEX(상세표[부서],$Q2398)&amp;"")</f>
        <v/>
      </c>
      <c r="B2398">
        <f>IF($Q2398="","",INDEX(상세표[사번],$Q2398)&amp;"")</f>
        <v/>
      </c>
      <c r="C2398">
        <f>IF($Q2398="","",INDEX(상세표[성명],$Q2398)&amp;"")</f>
        <v/>
      </c>
      <c r="D2398">
        <f>IF($Q2398="","",INDEX(상세표[직위],$Q2398)&amp;"")</f>
        <v/>
      </c>
      <c r="E2398">
        <f>IF($Q2398="","",IF(ISNUMBER(INDEX(상세표[근무일자],$Q2398)),TEXT(INDEX(상세표[근무일자],$Q2398),"yyyy-mm-dd"),INDEX(상세표[근무일자],$Q2398)&amp;""))</f>
        <v/>
      </c>
      <c r="F2398">
        <f>IF($Q2398="","",IF(ISNUMBER(INDEX(상세표[시작],$Q2398)),TEXT(INDEX(상세표[시작],$Q2398),"yyyy-mm-dd hh:mm"),INDEX(상세표[시작],$Q2398)&amp;""))</f>
        <v/>
      </c>
      <c r="G2398">
        <f>IF($Q2398="","",IF(ISNUMBER(INDEX(상세표[블록종료],$Q2398)),TEXT(INDEX(상세표[블록종료],$Q2398),"yyyy-mm-dd hh:mm"),INDEX(상세표[블록종료],$Q2398)&amp;""))</f>
        <v/>
      </c>
      <c r="H2398">
        <f>IF($Q2398="","",CHOOSE(WEEKDAY(INDEX(상세표[시작],$Q2398)),"일","월","화","수","목","금","토"))</f>
        <v/>
      </c>
      <c r="I2398" s="20">
        <f>IF($Q2398="","",INDEX(상세표[연속 시간],$Q2398))</f>
        <v/>
      </c>
      <c r="J2398">
        <f>IF($Q2398="","",INDEX(상세표[기록 수],$Q2398))</f>
        <v/>
      </c>
      <c r="K2398" s="20">
        <f>IF($Q2398="","",INDEX(상세표[블록 06~07시],$Q2398))</f>
        <v/>
      </c>
      <c r="L2398" s="20">
        <f>IF($Q2398="","",INDEX(상세표[블록 07~18시],$Q2398))</f>
        <v/>
      </c>
      <c r="M2398" s="20">
        <f>IF($Q2398="","",INDEX(상세표[블록 18~22시],$Q2398))</f>
        <v/>
      </c>
      <c r="N2398" s="20">
        <f>IF($Q2398="","",INDEX(상세표[블록 22~06시],$Q2398))</f>
        <v/>
      </c>
      <c r="O2398">
        <f>IF($Q2398="","",INDEX(상세표[주말·휴일 포함],$Q2398)&amp;"")</f>
        <v/>
      </c>
      <c r="P2398">
        <f>IF($Q2398="","",INDEX(상세표[월 넘김 포함],$Q2398)&amp;"")</f>
        <v/>
      </c>
      <c r="Q2398" s="4">
        <f>IFERROR(MATCH(2393,상세표[연속순번],0),"")</f>
        <v/>
      </c>
    </row>
    <row r="2399">
      <c r="A2399">
        <f>IF($Q2399="","",INDEX(상세표[부서],$Q2399)&amp;"")</f>
        <v/>
      </c>
      <c r="B2399">
        <f>IF($Q2399="","",INDEX(상세표[사번],$Q2399)&amp;"")</f>
        <v/>
      </c>
      <c r="C2399">
        <f>IF($Q2399="","",INDEX(상세표[성명],$Q2399)&amp;"")</f>
        <v/>
      </c>
      <c r="D2399">
        <f>IF($Q2399="","",INDEX(상세표[직위],$Q2399)&amp;"")</f>
        <v/>
      </c>
      <c r="E2399">
        <f>IF($Q2399="","",IF(ISNUMBER(INDEX(상세표[근무일자],$Q2399)),TEXT(INDEX(상세표[근무일자],$Q2399),"yyyy-mm-dd"),INDEX(상세표[근무일자],$Q2399)&amp;""))</f>
        <v/>
      </c>
      <c r="F2399">
        <f>IF($Q2399="","",IF(ISNUMBER(INDEX(상세표[시작],$Q2399)),TEXT(INDEX(상세표[시작],$Q2399),"yyyy-mm-dd hh:mm"),INDEX(상세표[시작],$Q2399)&amp;""))</f>
        <v/>
      </c>
      <c r="G2399">
        <f>IF($Q2399="","",IF(ISNUMBER(INDEX(상세표[블록종료],$Q2399)),TEXT(INDEX(상세표[블록종료],$Q2399),"yyyy-mm-dd hh:mm"),INDEX(상세표[블록종료],$Q2399)&amp;""))</f>
        <v/>
      </c>
      <c r="H2399">
        <f>IF($Q2399="","",CHOOSE(WEEKDAY(INDEX(상세표[시작],$Q2399)),"일","월","화","수","목","금","토"))</f>
        <v/>
      </c>
      <c r="I2399" s="20">
        <f>IF($Q2399="","",INDEX(상세표[연속 시간],$Q2399))</f>
        <v/>
      </c>
      <c r="J2399">
        <f>IF($Q2399="","",INDEX(상세표[기록 수],$Q2399))</f>
        <v/>
      </c>
      <c r="K2399" s="20">
        <f>IF($Q2399="","",INDEX(상세표[블록 06~07시],$Q2399))</f>
        <v/>
      </c>
      <c r="L2399" s="20">
        <f>IF($Q2399="","",INDEX(상세표[블록 07~18시],$Q2399))</f>
        <v/>
      </c>
      <c r="M2399" s="20">
        <f>IF($Q2399="","",INDEX(상세표[블록 18~22시],$Q2399))</f>
        <v/>
      </c>
      <c r="N2399" s="20">
        <f>IF($Q2399="","",INDEX(상세표[블록 22~06시],$Q2399))</f>
        <v/>
      </c>
      <c r="O2399">
        <f>IF($Q2399="","",INDEX(상세표[주말·휴일 포함],$Q2399)&amp;"")</f>
        <v/>
      </c>
      <c r="P2399">
        <f>IF($Q2399="","",INDEX(상세표[월 넘김 포함],$Q2399)&amp;"")</f>
        <v/>
      </c>
      <c r="Q2399" s="4">
        <f>IFERROR(MATCH(2394,상세표[연속순번],0),"")</f>
        <v/>
      </c>
    </row>
    <row r="2400">
      <c r="A2400">
        <f>IF($Q2400="","",INDEX(상세표[부서],$Q2400)&amp;"")</f>
        <v/>
      </c>
      <c r="B2400">
        <f>IF($Q2400="","",INDEX(상세표[사번],$Q2400)&amp;"")</f>
        <v/>
      </c>
      <c r="C2400">
        <f>IF($Q2400="","",INDEX(상세표[성명],$Q2400)&amp;"")</f>
        <v/>
      </c>
      <c r="D2400">
        <f>IF($Q2400="","",INDEX(상세표[직위],$Q2400)&amp;"")</f>
        <v/>
      </c>
      <c r="E2400">
        <f>IF($Q2400="","",IF(ISNUMBER(INDEX(상세표[근무일자],$Q2400)),TEXT(INDEX(상세표[근무일자],$Q2400),"yyyy-mm-dd"),INDEX(상세표[근무일자],$Q2400)&amp;""))</f>
        <v/>
      </c>
      <c r="F2400">
        <f>IF($Q2400="","",IF(ISNUMBER(INDEX(상세표[시작],$Q2400)),TEXT(INDEX(상세표[시작],$Q2400),"yyyy-mm-dd hh:mm"),INDEX(상세표[시작],$Q2400)&amp;""))</f>
        <v/>
      </c>
      <c r="G2400">
        <f>IF($Q2400="","",IF(ISNUMBER(INDEX(상세표[블록종료],$Q2400)),TEXT(INDEX(상세표[블록종료],$Q2400),"yyyy-mm-dd hh:mm"),INDEX(상세표[블록종료],$Q2400)&amp;""))</f>
        <v/>
      </c>
      <c r="H2400">
        <f>IF($Q2400="","",CHOOSE(WEEKDAY(INDEX(상세표[시작],$Q2400)),"일","월","화","수","목","금","토"))</f>
        <v/>
      </c>
      <c r="I2400" s="20">
        <f>IF($Q2400="","",INDEX(상세표[연속 시간],$Q2400))</f>
        <v/>
      </c>
      <c r="J2400">
        <f>IF($Q2400="","",INDEX(상세표[기록 수],$Q2400))</f>
        <v/>
      </c>
      <c r="K2400" s="20">
        <f>IF($Q2400="","",INDEX(상세표[블록 06~07시],$Q2400))</f>
        <v/>
      </c>
      <c r="L2400" s="20">
        <f>IF($Q2400="","",INDEX(상세표[블록 07~18시],$Q2400))</f>
        <v/>
      </c>
      <c r="M2400" s="20">
        <f>IF($Q2400="","",INDEX(상세표[블록 18~22시],$Q2400))</f>
        <v/>
      </c>
      <c r="N2400" s="20">
        <f>IF($Q2400="","",INDEX(상세표[블록 22~06시],$Q2400))</f>
        <v/>
      </c>
      <c r="O2400">
        <f>IF($Q2400="","",INDEX(상세표[주말·휴일 포함],$Q2400)&amp;"")</f>
        <v/>
      </c>
      <c r="P2400">
        <f>IF($Q2400="","",INDEX(상세표[월 넘김 포함],$Q2400)&amp;"")</f>
        <v/>
      </c>
      <c r="Q2400" s="4">
        <f>IFERROR(MATCH(2395,상세표[연속순번],0),"")</f>
        <v/>
      </c>
    </row>
    <row r="2401">
      <c r="A2401">
        <f>IF($Q2401="","",INDEX(상세표[부서],$Q2401)&amp;"")</f>
        <v/>
      </c>
      <c r="B2401">
        <f>IF($Q2401="","",INDEX(상세표[사번],$Q2401)&amp;"")</f>
        <v/>
      </c>
      <c r="C2401">
        <f>IF($Q2401="","",INDEX(상세표[성명],$Q2401)&amp;"")</f>
        <v/>
      </c>
      <c r="D2401">
        <f>IF($Q2401="","",INDEX(상세표[직위],$Q2401)&amp;"")</f>
        <v/>
      </c>
      <c r="E2401">
        <f>IF($Q2401="","",IF(ISNUMBER(INDEX(상세표[근무일자],$Q2401)),TEXT(INDEX(상세표[근무일자],$Q2401),"yyyy-mm-dd"),INDEX(상세표[근무일자],$Q2401)&amp;""))</f>
        <v/>
      </c>
      <c r="F2401">
        <f>IF($Q2401="","",IF(ISNUMBER(INDEX(상세표[시작],$Q2401)),TEXT(INDEX(상세표[시작],$Q2401),"yyyy-mm-dd hh:mm"),INDEX(상세표[시작],$Q2401)&amp;""))</f>
        <v/>
      </c>
      <c r="G2401">
        <f>IF($Q2401="","",IF(ISNUMBER(INDEX(상세표[블록종료],$Q2401)),TEXT(INDEX(상세표[블록종료],$Q2401),"yyyy-mm-dd hh:mm"),INDEX(상세표[블록종료],$Q2401)&amp;""))</f>
        <v/>
      </c>
      <c r="H2401">
        <f>IF($Q2401="","",CHOOSE(WEEKDAY(INDEX(상세표[시작],$Q2401)),"일","월","화","수","목","금","토"))</f>
        <v/>
      </c>
      <c r="I2401" s="20">
        <f>IF($Q2401="","",INDEX(상세표[연속 시간],$Q2401))</f>
        <v/>
      </c>
      <c r="J2401">
        <f>IF($Q2401="","",INDEX(상세표[기록 수],$Q2401))</f>
        <v/>
      </c>
      <c r="K2401" s="20">
        <f>IF($Q2401="","",INDEX(상세표[블록 06~07시],$Q2401))</f>
        <v/>
      </c>
      <c r="L2401" s="20">
        <f>IF($Q2401="","",INDEX(상세표[블록 07~18시],$Q2401))</f>
        <v/>
      </c>
      <c r="M2401" s="20">
        <f>IF($Q2401="","",INDEX(상세표[블록 18~22시],$Q2401))</f>
        <v/>
      </c>
      <c r="N2401" s="20">
        <f>IF($Q2401="","",INDEX(상세표[블록 22~06시],$Q2401))</f>
        <v/>
      </c>
      <c r="O2401">
        <f>IF($Q2401="","",INDEX(상세표[주말·휴일 포함],$Q2401)&amp;"")</f>
        <v/>
      </c>
      <c r="P2401">
        <f>IF($Q2401="","",INDEX(상세표[월 넘김 포함],$Q2401)&amp;"")</f>
        <v/>
      </c>
      <c r="Q2401" s="4">
        <f>IFERROR(MATCH(2396,상세표[연속순번],0),"")</f>
        <v/>
      </c>
    </row>
    <row r="2402">
      <c r="A2402">
        <f>IF($Q2402="","",INDEX(상세표[부서],$Q2402)&amp;"")</f>
        <v/>
      </c>
      <c r="B2402">
        <f>IF($Q2402="","",INDEX(상세표[사번],$Q2402)&amp;"")</f>
        <v/>
      </c>
      <c r="C2402">
        <f>IF($Q2402="","",INDEX(상세표[성명],$Q2402)&amp;"")</f>
        <v/>
      </c>
      <c r="D2402">
        <f>IF($Q2402="","",INDEX(상세표[직위],$Q2402)&amp;"")</f>
        <v/>
      </c>
      <c r="E2402">
        <f>IF($Q2402="","",IF(ISNUMBER(INDEX(상세표[근무일자],$Q2402)),TEXT(INDEX(상세표[근무일자],$Q2402),"yyyy-mm-dd"),INDEX(상세표[근무일자],$Q2402)&amp;""))</f>
        <v/>
      </c>
      <c r="F2402">
        <f>IF($Q2402="","",IF(ISNUMBER(INDEX(상세표[시작],$Q2402)),TEXT(INDEX(상세표[시작],$Q2402),"yyyy-mm-dd hh:mm"),INDEX(상세표[시작],$Q2402)&amp;""))</f>
        <v/>
      </c>
      <c r="G2402">
        <f>IF($Q2402="","",IF(ISNUMBER(INDEX(상세표[블록종료],$Q2402)),TEXT(INDEX(상세표[블록종료],$Q2402),"yyyy-mm-dd hh:mm"),INDEX(상세표[블록종료],$Q2402)&amp;""))</f>
        <v/>
      </c>
      <c r="H2402">
        <f>IF($Q2402="","",CHOOSE(WEEKDAY(INDEX(상세표[시작],$Q2402)),"일","월","화","수","목","금","토"))</f>
        <v/>
      </c>
      <c r="I2402" s="20">
        <f>IF($Q2402="","",INDEX(상세표[연속 시간],$Q2402))</f>
        <v/>
      </c>
      <c r="J2402">
        <f>IF($Q2402="","",INDEX(상세표[기록 수],$Q2402))</f>
        <v/>
      </c>
      <c r="K2402" s="20">
        <f>IF($Q2402="","",INDEX(상세표[블록 06~07시],$Q2402))</f>
        <v/>
      </c>
      <c r="L2402" s="20">
        <f>IF($Q2402="","",INDEX(상세표[블록 07~18시],$Q2402))</f>
        <v/>
      </c>
      <c r="M2402" s="20">
        <f>IF($Q2402="","",INDEX(상세표[블록 18~22시],$Q2402))</f>
        <v/>
      </c>
      <c r="N2402" s="20">
        <f>IF($Q2402="","",INDEX(상세표[블록 22~06시],$Q2402))</f>
        <v/>
      </c>
      <c r="O2402">
        <f>IF($Q2402="","",INDEX(상세표[주말·휴일 포함],$Q2402)&amp;"")</f>
        <v/>
      </c>
      <c r="P2402">
        <f>IF($Q2402="","",INDEX(상세표[월 넘김 포함],$Q2402)&amp;"")</f>
        <v/>
      </c>
      <c r="Q2402" s="4">
        <f>IFERROR(MATCH(2397,상세표[연속순번],0),"")</f>
        <v/>
      </c>
    </row>
    <row r="2403">
      <c r="A2403">
        <f>IF($Q2403="","",INDEX(상세표[부서],$Q2403)&amp;"")</f>
        <v/>
      </c>
      <c r="B2403">
        <f>IF($Q2403="","",INDEX(상세표[사번],$Q2403)&amp;"")</f>
        <v/>
      </c>
      <c r="C2403">
        <f>IF($Q2403="","",INDEX(상세표[성명],$Q2403)&amp;"")</f>
        <v/>
      </c>
      <c r="D2403">
        <f>IF($Q2403="","",INDEX(상세표[직위],$Q2403)&amp;"")</f>
        <v/>
      </c>
      <c r="E2403">
        <f>IF($Q2403="","",IF(ISNUMBER(INDEX(상세표[근무일자],$Q2403)),TEXT(INDEX(상세표[근무일자],$Q2403),"yyyy-mm-dd"),INDEX(상세표[근무일자],$Q2403)&amp;""))</f>
        <v/>
      </c>
      <c r="F2403">
        <f>IF($Q2403="","",IF(ISNUMBER(INDEX(상세표[시작],$Q2403)),TEXT(INDEX(상세표[시작],$Q2403),"yyyy-mm-dd hh:mm"),INDEX(상세표[시작],$Q2403)&amp;""))</f>
        <v/>
      </c>
      <c r="G2403">
        <f>IF($Q2403="","",IF(ISNUMBER(INDEX(상세표[블록종료],$Q2403)),TEXT(INDEX(상세표[블록종료],$Q2403),"yyyy-mm-dd hh:mm"),INDEX(상세표[블록종료],$Q2403)&amp;""))</f>
        <v/>
      </c>
      <c r="H2403">
        <f>IF($Q2403="","",CHOOSE(WEEKDAY(INDEX(상세표[시작],$Q2403)),"일","월","화","수","목","금","토"))</f>
        <v/>
      </c>
      <c r="I2403" s="20">
        <f>IF($Q2403="","",INDEX(상세표[연속 시간],$Q2403))</f>
        <v/>
      </c>
      <c r="J2403">
        <f>IF($Q2403="","",INDEX(상세표[기록 수],$Q2403))</f>
        <v/>
      </c>
      <c r="K2403" s="20">
        <f>IF($Q2403="","",INDEX(상세표[블록 06~07시],$Q2403))</f>
        <v/>
      </c>
      <c r="L2403" s="20">
        <f>IF($Q2403="","",INDEX(상세표[블록 07~18시],$Q2403))</f>
        <v/>
      </c>
      <c r="M2403" s="20">
        <f>IF($Q2403="","",INDEX(상세표[블록 18~22시],$Q2403))</f>
        <v/>
      </c>
      <c r="N2403" s="20">
        <f>IF($Q2403="","",INDEX(상세표[블록 22~06시],$Q2403))</f>
        <v/>
      </c>
      <c r="O2403">
        <f>IF($Q2403="","",INDEX(상세표[주말·휴일 포함],$Q2403)&amp;"")</f>
        <v/>
      </c>
      <c r="P2403">
        <f>IF($Q2403="","",INDEX(상세표[월 넘김 포함],$Q2403)&amp;"")</f>
        <v/>
      </c>
      <c r="Q2403" s="4">
        <f>IFERROR(MATCH(2398,상세표[연속순번],0),"")</f>
        <v/>
      </c>
    </row>
    <row r="2404">
      <c r="A2404">
        <f>IF($Q2404="","",INDEX(상세표[부서],$Q2404)&amp;"")</f>
        <v/>
      </c>
      <c r="B2404">
        <f>IF($Q2404="","",INDEX(상세표[사번],$Q2404)&amp;"")</f>
        <v/>
      </c>
      <c r="C2404">
        <f>IF($Q2404="","",INDEX(상세표[성명],$Q2404)&amp;"")</f>
        <v/>
      </c>
      <c r="D2404">
        <f>IF($Q2404="","",INDEX(상세표[직위],$Q2404)&amp;"")</f>
        <v/>
      </c>
      <c r="E2404">
        <f>IF($Q2404="","",IF(ISNUMBER(INDEX(상세표[근무일자],$Q2404)),TEXT(INDEX(상세표[근무일자],$Q2404),"yyyy-mm-dd"),INDEX(상세표[근무일자],$Q2404)&amp;""))</f>
        <v/>
      </c>
      <c r="F2404">
        <f>IF($Q2404="","",IF(ISNUMBER(INDEX(상세표[시작],$Q2404)),TEXT(INDEX(상세표[시작],$Q2404),"yyyy-mm-dd hh:mm"),INDEX(상세표[시작],$Q2404)&amp;""))</f>
        <v/>
      </c>
      <c r="G2404">
        <f>IF($Q2404="","",IF(ISNUMBER(INDEX(상세표[블록종료],$Q2404)),TEXT(INDEX(상세표[블록종료],$Q2404),"yyyy-mm-dd hh:mm"),INDEX(상세표[블록종료],$Q2404)&amp;""))</f>
        <v/>
      </c>
      <c r="H2404">
        <f>IF($Q2404="","",CHOOSE(WEEKDAY(INDEX(상세표[시작],$Q2404)),"일","월","화","수","목","금","토"))</f>
        <v/>
      </c>
      <c r="I2404" s="20">
        <f>IF($Q2404="","",INDEX(상세표[연속 시간],$Q2404))</f>
        <v/>
      </c>
      <c r="J2404">
        <f>IF($Q2404="","",INDEX(상세표[기록 수],$Q2404))</f>
        <v/>
      </c>
      <c r="K2404" s="20">
        <f>IF($Q2404="","",INDEX(상세표[블록 06~07시],$Q2404))</f>
        <v/>
      </c>
      <c r="L2404" s="20">
        <f>IF($Q2404="","",INDEX(상세표[블록 07~18시],$Q2404))</f>
        <v/>
      </c>
      <c r="M2404" s="20">
        <f>IF($Q2404="","",INDEX(상세표[블록 18~22시],$Q2404))</f>
        <v/>
      </c>
      <c r="N2404" s="20">
        <f>IF($Q2404="","",INDEX(상세표[블록 22~06시],$Q2404))</f>
        <v/>
      </c>
      <c r="O2404">
        <f>IF($Q2404="","",INDEX(상세표[주말·휴일 포함],$Q2404)&amp;"")</f>
        <v/>
      </c>
      <c r="P2404">
        <f>IF($Q2404="","",INDEX(상세표[월 넘김 포함],$Q2404)&amp;"")</f>
        <v/>
      </c>
      <c r="Q2404" s="4">
        <f>IFERROR(MATCH(2399,상세표[연속순번],0),"")</f>
        <v/>
      </c>
    </row>
    <row r="2405">
      <c r="A2405">
        <f>IF($Q2405="","",INDEX(상세표[부서],$Q2405)&amp;"")</f>
        <v/>
      </c>
      <c r="B2405">
        <f>IF($Q2405="","",INDEX(상세표[사번],$Q2405)&amp;"")</f>
        <v/>
      </c>
      <c r="C2405">
        <f>IF($Q2405="","",INDEX(상세표[성명],$Q2405)&amp;"")</f>
        <v/>
      </c>
      <c r="D2405">
        <f>IF($Q2405="","",INDEX(상세표[직위],$Q2405)&amp;"")</f>
        <v/>
      </c>
      <c r="E2405">
        <f>IF($Q2405="","",IF(ISNUMBER(INDEX(상세표[근무일자],$Q2405)),TEXT(INDEX(상세표[근무일자],$Q2405),"yyyy-mm-dd"),INDEX(상세표[근무일자],$Q2405)&amp;""))</f>
        <v/>
      </c>
      <c r="F2405">
        <f>IF($Q2405="","",IF(ISNUMBER(INDEX(상세표[시작],$Q2405)),TEXT(INDEX(상세표[시작],$Q2405),"yyyy-mm-dd hh:mm"),INDEX(상세표[시작],$Q2405)&amp;""))</f>
        <v/>
      </c>
      <c r="G2405">
        <f>IF($Q2405="","",IF(ISNUMBER(INDEX(상세표[블록종료],$Q2405)),TEXT(INDEX(상세표[블록종료],$Q2405),"yyyy-mm-dd hh:mm"),INDEX(상세표[블록종료],$Q2405)&amp;""))</f>
        <v/>
      </c>
      <c r="H2405">
        <f>IF($Q2405="","",CHOOSE(WEEKDAY(INDEX(상세표[시작],$Q2405)),"일","월","화","수","목","금","토"))</f>
        <v/>
      </c>
      <c r="I2405" s="20">
        <f>IF($Q2405="","",INDEX(상세표[연속 시간],$Q2405))</f>
        <v/>
      </c>
      <c r="J2405">
        <f>IF($Q2405="","",INDEX(상세표[기록 수],$Q2405))</f>
        <v/>
      </c>
      <c r="K2405" s="20">
        <f>IF($Q2405="","",INDEX(상세표[블록 06~07시],$Q2405))</f>
        <v/>
      </c>
      <c r="L2405" s="20">
        <f>IF($Q2405="","",INDEX(상세표[블록 07~18시],$Q2405))</f>
        <v/>
      </c>
      <c r="M2405" s="20">
        <f>IF($Q2405="","",INDEX(상세표[블록 18~22시],$Q2405))</f>
        <v/>
      </c>
      <c r="N2405" s="20">
        <f>IF($Q2405="","",INDEX(상세표[블록 22~06시],$Q2405))</f>
        <v/>
      </c>
      <c r="O2405">
        <f>IF($Q2405="","",INDEX(상세표[주말·휴일 포함],$Q2405)&amp;"")</f>
        <v/>
      </c>
      <c r="P2405">
        <f>IF($Q2405="","",INDEX(상세표[월 넘김 포함],$Q2405)&amp;"")</f>
        <v/>
      </c>
      <c r="Q2405" s="4">
        <f>IFERROR(MATCH(2400,상세표[연속순번],0),"")</f>
        <v/>
      </c>
    </row>
    <row r="2406">
      <c r="A2406">
        <f>IF($Q2406="","",INDEX(상세표[부서],$Q2406)&amp;"")</f>
        <v/>
      </c>
      <c r="B2406">
        <f>IF($Q2406="","",INDEX(상세표[사번],$Q2406)&amp;"")</f>
        <v/>
      </c>
      <c r="C2406">
        <f>IF($Q2406="","",INDEX(상세표[성명],$Q2406)&amp;"")</f>
        <v/>
      </c>
      <c r="D2406">
        <f>IF($Q2406="","",INDEX(상세표[직위],$Q2406)&amp;"")</f>
        <v/>
      </c>
      <c r="E2406">
        <f>IF($Q2406="","",IF(ISNUMBER(INDEX(상세표[근무일자],$Q2406)),TEXT(INDEX(상세표[근무일자],$Q2406),"yyyy-mm-dd"),INDEX(상세표[근무일자],$Q2406)&amp;""))</f>
        <v/>
      </c>
      <c r="F2406">
        <f>IF($Q2406="","",IF(ISNUMBER(INDEX(상세표[시작],$Q2406)),TEXT(INDEX(상세표[시작],$Q2406),"yyyy-mm-dd hh:mm"),INDEX(상세표[시작],$Q2406)&amp;""))</f>
        <v/>
      </c>
      <c r="G2406">
        <f>IF($Q2406="","",IF(ISNUMBER(INDEX(상세표[블록종료],$Q2406)),TEXT(INDEX(상세표[블록종료],$Q2406),"yyyy-mm-dd hh:mm"),INDEX(상세표[블록종료],$Q2406)&amp;""))</f>
        <v/>
      </c>
      <c r="H2406">
        <f>IF($Q2406="","",CHOOSE(WEEKDAY(INDEX(상세표[시작],$Q2406)),"일","월","화","수","목","금","토"))</f>
        <v/>
      </c>
      <c r="I2406" s="20">
        <f>IF($Q2406="","",INDEX(상세표[연속 시간],$Q2406))</f>
        <v/>
      </c>
      <c r="J2406">
        <f>IF($Q2406="","",INDEX(상세표[기록 수],$Q2406))</f>
        <v/>
      </c>
      <c r="K2406" s="20">
        <f>IF($Q2406="","",INDEX(상세표[블록 06~07시],$Q2406))</f>
        <v/>
      </c>
      <c r="L2406" s="20">
        <f>IF($Q2406="","",INDEX(상세표[블록 07~18시],$Q2406))</f>
        <v/>
      </c>
      <c r="M2406" s="20">
        <f>IF($Q2406="","",INDEX(상세표[블록 18~22시],$Q2406))</f>
        <v/>
      </c>
      <c r="N2406" s="20">
        <f>IF($Q2406="","",INDEX(상세표[블록 22~06시],$Q2406))</f>
        <v/>
      </c>
      <c r="O2406">
        <f>IF($Q2406="","",INDEX(상세표[주말·휴일 포함],$Q2406)&amp;"")</f>
        <v/>
      </c>
      <c r="P2406">
        <f>IF($Q2406="","",INDEX(상세표[월 넘김 포함],$Q2406)&amp;"")</f>
        <v/>
      </c>
      <c r="Q2406" s="4">
        <f>IFERROR(MATCH(2401,상세표[연속순번],0),"")</f>
        <v/>
      </c>
    </row>
    <row r="2407">
      <c r="A2407">
        <f>IF($Q2407="","",INDEX(상세표[부서],$Q2407)&amp;"")</f>
        <v/>
      </c>
      <c r="B2407">
        <f>IF($Q2407="","",INDEX(상세표[사번],$Q2407)&amp;"")</f>
        <v/>
      </c>
      <c r="C2407">
        <f>IF($Q2407="","",INDEX(상세표[성명],$Q2407)&amp;"")</f>
        <v/>
      </c>
      <c r="D2407">
        <f>IF($Q2407="","",INDEX(상세표[직위],$Q2407)&amp;"")</f>
        <v/>
      </c>
      <c r="E2407">
        <f>IF($Q2407="","",IF(ISNUMBER(INDEX(상세표[근무일자],$Q2407)),TEXT(INDEX(상세표[근무일자],$Q2407),"yyyy-mm-dd"),INDEX(상세표[근무일자],$Q2407)&amp;""))</f>
        <v/>
      </c>
      <c r="F2407">
        <f>IF($Q2407="","",IF(ISNUMBER(INDEX(상세표[시작],$Q2407)),TEXT(INDEX(상세표[시작],$Q2407),"yyyy-mm-dd hh:mm"),INDEX(상세표[시작],$Q2407)&amp;""))</f>
        <v/>
      </c>
      <c r="G2407">
        <f>IF($Q2407="","",IF(ISNUMBER(INDEX(상세표[블록종료],$Q2407)),TEXT(INDEX(상세표[블록종료],$Q2407),"yyyy-mm-dd hh:mm"),INDEX(상세표[블록종료],$Q2407)&amp;""))</f>
        <v/>
      </c>
      <c r="H2407">
        <f>IF($Q2407="","",CHOOSE(WEEKDAY(INDEX(상세표[시작],$Q2407)),"일","월","화","수","목","금","토"))</f>
        <v/>
      </c>
      <c r="I2407" s="20">
        <f>IF($Q2407="","",INDEX(상세표[연속 시간],$Q2407))</f>
        <v/>
      </c>
      <c r="J2407">
        <f>IF($Q2407="","",INDEX(상세표[기록 수],$Q2407))</f>
        <v/>
      </c>
      <c r="K2407" s="20">
        <f>IF($Q2407="","",INDEX(상세표[블록 06~07시],$Q2407))</f>
        <v/>
      </c>
      <c r="L2407" s="20">
        <f>IF($Q2407="","",INDEX(상세표[블록 07~18시],$Q2407))</f>
        <v/>
      </c>
      <c r="M2407" s="20">
        <f>IF($Q2407="","",INDEX(상세표[블록 18~22시],$Q2407))</f>
        <v/>
      </c>
      <c r="N2407" s="20">
        <f>IF($Q2407="","",INDEX(상세표[블록 22~06시],$Q2407))</f>
        <v/>
      </c>
      <c r="O2407">
        <f>IF($Q2407="","",INDEX(상세표[주말·휴일 포함],$Q2407)&amp;"")</f>
        <v/>
      </c>
      <c r="P2407">
        <f>IF($Q2407="","",INDEX(상세표[월 넘김 포함],$Q2407)&amp;"")</f>
        <v/>
      </c>
      <c r="Q2407" s="4">
        <f>IFERROR(MATCH(2402,상세표[연속순번],0),"")</f>
        <v/>
      </c>
    </row>
    <row r="2408">
      <c r="A2408">
        <f>IF($Q2408="","",INDEX(상세표[부서],$Q2408)&amp;"")</f>
        <v/>
      </c>
      <c r="B2408">
        <f>IF($Q2408="","",INDEX(상세표[사번],$Q2408)&amp;"")</f>
        <v/>
      </c>
      <c r="C2408">
        <f>IF($Q2408="","",INDEX(상세표[성명],$Q2408)&amp;"")</f>
        <v/>
      </c>
      <c r="D2408">
        <f>IF($Q2408="","",INDEX(상세표[직위],$Q2408)&amp;"")</f>
        <v/>
      </c>
      <c r="E2408">
        <f>IF($Q2408="","",IF(ISNUMBER(INDEX(상세표[근무일자],$Q2408)),TEXT(INDEX(상세표[근무일자],$Q2408),"yyyy-mm-dd"),INDEX(상세표[근무일자],$Q2408)&amp;""))</f>
        <v/>
      </c>
      <c r="F2408">
        <f>IF($Q2408="","",IF(ISNUMBER(INDEX(상세표[시작],$Q2408)),TEXT(INDEX(상세표[시작],$Q2408),"yyyy-mm-dd hh:mm"),INDEX(상세표[시작],$Q2408)&amp;""))</f>
        <v/>
      </c>
      <c r="G2408">
        <f>IF($Q2408="","",IF(ISNUMBER(INDEX(상세표[블록종료],$Q2408)),TEXT(INDEX(상세표[블록종료],$Q2408),"yyyy-mm-dd hh:mm"),INDEX(상세표[블록종료],$Q2408)&amp;""))</f>
        <v/>
      </c>
      <c r="H2408">
        <f>IF($Q2408="","",CHOOSE(WEEKDAY(INDEX(상세표[시작],$Q2408)),"일","월","화","수","목","금","토"))</f>
        <v/>
      </c>
      <c r="I2408" s="20">
        <f>IF($Q2408="","",INDEX(상세표[연속 시간],$Q2408))</f>
        <v/>
      </c>
      <c r="J2408">
        <f>IF($Q2408="","",INDEX(상세표[기록 수],$Q2408))</f>
        <v/>
      </c>
      <c r="K2408" s="20">
        <f>IF($Q2408="","",INDEX(상세표[블록 06~07시],$Q2408))</f>
        <v/>
      </c>
      <c r="L2408" s="20">
        <f>IF($Q2408="","",INDEX(상세표[블록 07~18시],$Q2408))</f>
        <v/>
      </c>
      <c r="M2408" s="20">
        <f>IF($Q2408="","",INDEX(상세표[블록 18~22시],$Q2408))</f>
        <v/>
      </c>
      <c r="N2408" s="20">
        <f>IF($Q2408="","",INDEX(상세표[블록 22~06시],$Q2408))</f>
        <v/>
      </c>
      <c r="O2408">
        <f>IF($Q2408="","",INDEX(상세표[주말·휴일 포함],$Q2408)&amp;"")</f>
        <v/>
      </c>
      <c r="P2408">
        <f>IF($Q2408="","",INDEX(상세표[월 넘김 포함],$Q2408)&amp;"")</f>
        <v/>
      </c>
      <c r="Q2408" s="4">
        <f>IFERROR(MATCH(2403,상세표[연속순번],0),"")</f>
        <v/>
      </c>
    </row>
    <row r="2409">
      <c r="A2409">
        <f>IF($Q2409="","",INDEX(상세표[부서],$Q2409)&amp;"")</f>
        <v/>
      </c>
      <c r="B2409">
        <f>IF($Q2409="","",INDEX(상세표[사번],$Q2409)&amp;"")</f>
        <v/>
      </c>
      <c r="C2409">
        <f>IF($Q2409="","",INDEX(상세표[성명],$Q2409)&amp;"")</f>
        <v/>
      </c>
      <c r="D2409">
        <f>IF($Q2409="","",INDEX(상세표[직위],$Q2409)&amp;"")</f>
        <v/>
      </c>
      <c r="E2409">
        <f>IF($Q2409="","",IF(ISNUMBER(INDEX(상세표[근무일자],$Q2409)),TEXT(INDEX(상세표[근무일자],$Q2409),"yyyy-mm-dd"),INDEX(상세표[근무일자],$Q2409)&amp;""))</f>
        <v/>
      </c>
      <c r="F2409">
        <f>IF($Q2409="","",IF(ISNUMBER(INDEX(상세표[시작],$Q2409)),TEXT(INDEX(상세표[시작],$Q2409),"yyyy-mm-dd hh:mm"),INDEX(상세표[시작],$Q2409)&amp;""))</f>
        <v/>
      </c>
      <c r="G2409">
        <f>IF($Q2409="","",IF(ISNUMBER(INDEX(상세표[블록종료],$Q2409)),TEXT(INDEX(상세표[블록종료],$Q2409),"yyyy-mm-dd hh:mm"),INDEX(상세표[블록종료],$Q2409)&amp;""))</f>
        <v/>
      </c>
      <c r="H2409">
        <f>IF($Q2409="","",CHOOSE(WEEKDAY(INDEX(상세표[시작],$Q2409)),"일","월","화","수","목","금","토"))</f>
        <v/>
      </c>
      <c r="I2409" s="20">
        <f>IF($Q2409="","",INDEX(상세표[연속 시간],$Q2409))</f>
        <v/>
      </c>
      <c r="J2409">
        <f>IF($Q2409="","",INDEX(상세표[기록 수],$Q2409))</f>
        <v/>
      </c>
      <c r="K2409" s="20">
        <f>IF($Q2409="","",INDEX(상세표[블록 06~07시],$Q2409))</f>
        <v/>
      </c>
      <c r="L2409" s="20">
        <f>IF($Q2409="","",INDEX(상세표[블록 07~18시],$Q2409))</f>
        <v/>
      </c>
      <c r="M2409" s="20">
        <f>IF($Q2409="","",INDEX(상세표[블록 18~22시],$Q2409))</f>
        <v/>
      </c>
      <c r="N2409" s="20">
        <f>IF($Q2409="","",INDEX(상세표[블록 22~06시],$Q2409))</f>
        <v/>
      </c>
      <c r="O2409">
        <f>IF($Q2409="","",INDEX(상세표[주말·휴일 포함],$Q2409)&amp;"")</f>
        <v/>
      </c>
      <c r="P2409">
        <f>IF($Q2409="","",INDEX(상세표[월 넘김 포함],$Q2409)&amp;"")</f>
        <v/>
      </c>
      <c r="Q2409" s="4">
        <f>IFERROR(MATCH(2404,상세표[연속순번],0),"")</f>
        <v/>
      </c>
    </row>
    <row r="2410">
      <c r="A2410">
        <f>IF($Q2410="","",INDEX(상세표[부서],$Q2410)&amp;"")</f>
        <v/>
      </c>
      <c r="B2410">
        <f>IF($Q2410="","",INDEX(상세표[사번],$Q2410)&amp;"")</f>
        <v/>
      </c>
      <c r="C2410">
        <f>IF($Q2410="","",INDEX(상세표[성명],$Q2410)&amp;"")</f>
        <v/>
      </c>
      <c r="D2410">
        <f>IF($Q2410="","",INDEX(상세표[직위],$Q2410)&amp;"")</f>
        <v/>
      </c>
      <c r="E2410">
        <f>IF($Q2410="","",IF(ISNUMBER(INDEX(상세표[근무일자],$Q2410)),TEXT(INDEX(상세표[근무일자],$Q2410),"yyyy-mm-dd"),INDEX(상세표[근무일자],$Q2410)&amp;""))</f>
        <v/>
      </c>
      <c r="F2410">
        <f>IF($Q2410="","",IF(ISNUMBER(INDEX(상세표[시작],$Q2410)),TEXT(INDEX(상세표[시작],$Q2410),"yyyy-mm-dd hh:mm"),INDEX(상세표[시작],$Q2410)&amp;""))</f>
        <v/>
      </c>
      <c r="G2410">
        <f>IF($Q2410="","",IF(ISNUMBER(INDEX(상세표[블록종료],$Q2410)),TEXT(INDEX(상세표[블록종료],$Q2410),"yyyy-mm-dd hh:mm"),INDEX(상세표[블록종료],$Q2410)&amp;""))</f>
        <v/>
      </c>
      <c r="H2410">
        <f>IF($Q2410="","",CHOOSE(WEEKDAY(INDEX(상세표[시작],$Q2410)),"일","월","화","수","목","금","토"))</f>
        <v/>
      </c>
      <c r="I2410" s="20">
        <f>IF($Q2410="","",INDEX(상세표[연속 시간],$Q2410))</f>
        <v/>
      </c>
      <c r="J2410">
        <f>IF($Q2410="","",INDEX(상세표[기록 수],$Q2410))</f>
        <v/>
      </c>
      <c r="K2410" s="20">
        <f>IF($Q2410="","",INDEX(상세표[블록 06~07시],$Q2410))</f>
        <v/>
      </c>
      <c r="L2410" s="20">
        <f>IF($Q2410="","",INDEX(상세표[블록 07~18시],$Q2410))</f>
        <v/>
      </c>
      <c r="M2410" s="20">
        <f>IF($Q2410="","",INDEX(상세표[블록 18~22시],$Q2410))</f>
        <v/>
      </c>
      <c r="N2410" s="20">
        <f>IF($Q2410="","",INDEX(상세표[블록 22~06시],$Q2410))</f>
        <v/>
      </c>
      <c r="O2410">
        <f>IF($Q2410="","",INDEX(상세표[주말·휴일 포함],$Q2410)&amp;"")</f>
        <v/>
      </c>
      <c r="P2410">
        <f>IF($Q2410="","",INDEX(상세표[월 넘김 포함],$Q2410)&amp;"")</f>
        <v/>
      </c>
      <c r="Q2410" s="4">
        <f>IFERROR(MATCH(2405,상세표[연속순번],0),"")</f>
        <v/>
      </c>
    </row>
    <row r="2411">
      <c r="A2411">
        <f>IF($Q2411="","",INDEX(상세표[부서],$Q2411)&amp;"")</f>
        <v/>
      </c>
      <c r="B2411">
        <f>IF($Q2411="","",INDEX(상세표[사번],$Q2411)&amp;"")</f>
        <v/>
      </c>
      <c r="C2411">
        <f>IF($Q2411="","",INDEX(상세표[성명],$Q2411)&amp;"")</f>
        <v/>
      </c>
      <c r="D2411">
        <f>IF($Q2411="","",INDEX(상세표[직위],$Q2411)&amp;"")</f>
        <v/>
      </c>
      <c r="E2411">
        <f>IF($Q2411="","",IF(ISNUMBER(INDEX(상세표[근무일자],$Q2411)),TEXT(INDEX(상세표[근무일자],$Q2411),"yyyy-mm-dd"),INDEX(상세표[근무일자],$Q2411)&amp;""))</f>
        <v/>
      </c>
      <c r="F2411">
        <f>IF($Q2411="","",IF(ISNUMBER(INDEX(상세표[시작],$Q2411)),TEXT(INDEX(상세표[시작],$Q2411),"yyyy-mm-dd hh:mm"),INDEX(상세표[시작],$Q2411)&amp;""))</f>
        <v/>
      </c>
      <c r="G2411">
        <f>IF($Q2411="","",IF(ISNUMBER(INDEX(상세표[블록종료],$Q2411)),TEXT(INDEX(상세표[블록종료],$Q2411),"yyyy-mm-dd hh:mm"),INDEX(상세표[블록종료],$Q2411)&amp;""))</f>
        <v/>
      </c>
      <c r="H2411">
        <f>IF($Q2411="","",CHOOSE(WEEKDAY(INDEX(상세표[시작],$Q2411)),"일","월","화","수","목","금","토"))</f>
        <v/>
      </c>
      <c r="I2411" s="20">
        <f>IF($Q2411="","",INDEX(상세표[연속 시간],$Q2411))</f>
        <v/>
      </c>
      <c r="J2411">
        <f>IF($Q2411="","",INDEX(상세표[기록 수],$Q2411))</f>
        <v/>
      </c>
      <c r="K2411" s="20">
        <f>IF($Q2411="","",INDEX(상세표[블록 06~07시],$Q2411))</f>
        <v/>
      </c>
      <c r="L2411" s="20">
        <f>IF($Q2411="","",INDEX(상세표[블록 07~18시],$Q2411))</f>
        <v/>
      </c>
      <c r="M2411" s="20">
        <f>IF($Q2411="","",INDEX(상세표[블록 18~22시],$Q2411))</f>
        <v/>
      </c>
      <c r="N2411" s="20">
        <f>IF($Q2411="","",INDEX(상세표[블록 22~06시],$Q2411))</f>
        <v/>
      </c>
      <c r="O2411">
        <f>IF($Q2411="","",INDEX(상세표[주말·휴일 포함],$Q2411)&amp;"")</f>
        <v/>
      </c>
      <c r="P2411">
        <f>IF($Q2411="","",INDEX(상세표[월 넘김 포함],$Q2411)&amp;"")</f>
        <v/>
      </c>
      <c r="Q2411" s="4">
        <f>IFERROR(MATCH(2406,상세표[연속순번],0),"")</f>
        <v/>
      </c>
    </row>
    <row r="2412">
      <c r="A2412">
        <f>IF($Q2412="","",INDEX(상세표[부서],$Q2412)&amp;"")</f>
        <v/>
      </c>
      <c r="B2412">
        <f>IF($Q2412="","",INDEX(상세표[사번],$Q2412)&amp;"")</f>
        <v/>
      </c>
      <c r="C2412">
        <f>IF($Q2412="","",INDEX(상세표[성명],$Q2412)&amp;"")</f>
        <v/>
      </c>
      <c r="D2412">
        <f>IF($Q2412="","",INDEX(상세표[직위],$Q2412)&amp;"")</f>
        <v/>
      </c>
      <c r="E2412">
        <f>IF($Q2412="","",IF(ISNUMBER(INDEX(상세표[근무일자],$Q2412)),TEXT(INDEX(상세표[근무일자],$Q2412),"yyyy-mm-dd"),INDEX(상세표[근무일자],$Q2412)&amp;""))</f>
        <v/>
      </c>
      <c r="F2412">
        <f>IF($Q2412="","",IF(ISNUMBER(INDEX(상세표[시작],$Q2412)),TEXT(INDEX(상세표[시작],$Q2412),"yyyy-mm-dd hh:mm"),INDEX(상세표[시작],$Q2412)&amp;""))</f>
        <v/>
      </c>
      <c r="G2412">
        <f>IF($Q2412="","",IF(ISNUMBER(INDEX(상세표[블록종료],$Q2412)),TEXT(INDEX(상세표[블록종료],$Q2412),"yyyy-mm-dd hh:mm"),INDEX(상세표[블록종료],$Q2412)&amp;""))</f>
        <v/>
      </c>
      <c r="H2412">
        <f>IF($Q2412="","",CHOOSE(WEEKDAY(INDEX(상세표[시작],$Q2412)),"일","월","화","수","목","금","토"))</f>
        <v/>
      </c>
      <c r="I2412" s="20">
        <f>IF($Q2412="","",INDEX(상세표[연속 시간],$Q2412))</f>
        <v/>
      </c>
      <c r="J2412">
        <f>IF($Q2412="","",INDEX(상세표[기록 수],$Q2412))</f>
        <v/>
      </c>
      <c r="K2412" s="20">
        <f>IF($Q2412="","",INDEX(상세표[블록 06~07시],$Q2412))</f>
        <v/>
      </c>
      <c r="L2412" s="20">
        <f>IF($Q2412="","",INDEX(상세표[블록 07~18시],$Q2412))</f>
        <v/>
      </c>
      <c r="M2412" s="20">
        <f>IF($Q2412="","",INDEX(상세표[블록 18~22시],$Q2412))</f>
        <v/>
      </c>
      <c r="N2412" s="20">
        <f>IF($Q2412="","",INDEX(상세표[블록 22~06시],$Q2412))</f>
        <v/>
      </c>
      <c r="O2412">
        <f>IF($Q2412="","",INDEX(상세표[주말·휴일 포함],$Q2412)&amp;"")</f>
        <v/>
      </c>
      <c r="P2412">
        <f>IF($Q2412="","",INDEX(상세표[월 넘김 포함],$Q2412)&amp;"")</f>
        <v/>
      </c>
      <c r="Q2412" s="4">
        <f>IFERROR(MATCH(2407,상세표[연속순번],0),"")</f>
        <v/>
      </c>
    </row>
    <row r="2413">
      <c r="A2413">
        <f>IF($Q2413="","",INDEX(상세표[부서],$Q2413)&amp;"")</f>
        <v/>
      </c>
      <c r="B2413">
        <f>IF($Q2413="","",INDEX(상세표[사번],$Q2413)&amp;"")</f>
        <v/>
      </c>
      <c r="C2413">
        <f>IF($Q2413="","",INDEX(상세표[성명],$Q2413)&amp;"")</f>
        <v/>
      </c>
      <c r="D2413">
        <f>IF($Q2413="","",INDEX(상세표[직위],$Q2413)&amp;"")</f>
        <v/>
      </c>
      <c r="E2413">
        <f>IF($Q2413="","",IF(ISNUMBER(INDEX(상세표[근무일자],$Q2413)),TEXT(INDEX(상세표[근무일자],$Q2413),"yyyy-mm-dd"),INDEX(상세표[근무일자],$Q2413)&amp;""))</f>
        <v/>
      </c>
      <c r="F2413">
        <f>IF($Q2413="","",IF(ISNUMBER(INDEX(상세표[시작],$Q2413)),TEXT(INDEX(상세표[시작],$Q2413),"yyyy-mm-dd hh:mm"),INDEX(상세표[시작],$Q2413)&amp;""))</f>
        <v/>
      </c>
      <c r="G2413">
        <f>IF($Q2413="","",IF(ISNUMBER(INDEX(상세표[블록종료],$Q2413)),TEXT(INDEX(상세표[블록종료],$Q2413),"yyyy-mm-dd hh:mm"),INDEX(상세표[블록종료],$Q2413)&amp;""))</f>
        <v/>
      </c>
      <c r="H2413">
        <f>IF($Q2413="","",CHOOSE(WEEKDAY(INDEX(상세표[시작],$Q2413)),"일","월","화","수","목","금","토"))</f>
        <v/>
      </c>
      <c r="I2413" s="20">
        <f>IF($Q2413="","",INDEX(상세표[연속 시간],$Q2413))</f>
        <v/>
      </c>
      <c r="J2413">
        <f>IF($Q2413="","",INDEX(상세표[기록 수],$Q2413))</f>
        <v/>
      </c>
      <c r="K2413" s="20">
        <f>IF($Q2413="","",INDEX(상세표[블록 06~07시],$Q2413))</f>
        <v/>
      </c>
      <c r="L2413" s="20">
        <f>IF($Q2413="","",INDEX(상세표[블록 07~18시],$Q2413))</f>
        <v/>
      </c>
      <c r="M2413" s="20">
        <f>IF($Q2413="","",INDEX(상세표[블록 18~22시],$Q2413))</f>
        <v/>
      </c>
      <c r="N2413" s="20">
        <f>IF($Q2413="","",INDEX(상세표[블록 22~06시],$Q2413))</f>
        <v/>
      </c>
      <c r="O2413">
        <f>IF($Q2413="","",INDEX(상세표[주말·휴일 포함],$Q2413)&amp;"")</f>
        <v/>
      </c>
      <c r="P2413">
        <f>IF($Q2413="","",INDEX(상세표[월 넘김 포함],$Q2413)&amp;"")</f>
        <v/>
      </c>
      <c r="Q2413" s="4">
        <f>IFERROR(MATCH(2408,상세표[연속순번],0),"")</f>
        <v/>
      </c>
    </row>
    <row r="2414">
      <c r="A2414">
        <f>IF($Q2414="","",INDEX(상세표[부서],$Q2414)&amp;"")</f>
        <v/>
      </c>
      <c r="B2414">
        <f>IF($Q2414="","",INDEX(상세표[사번],$Q2414)&amp;"")</f>
        <v/>
      </c>
      <c r="C2414">
        <f>IF($Q2414="","",INDEX(상세표[성명],$Q2414)&amp;"")</f>
        <v/>
      </c>
      <c r="D2414">
        <f>IF($Q2414="","",INDEX(상세표[직위],$Q2414)&amp;"")</f>
        <v/>
      </c>
      <c r="E2414">
        <f>IF($Q2414="","",IF(ISNUMBER(INDEX(상세표[근무일자],$Q2414)),TEXT(INDEX(상세표[근무일자],$Q2414),"yyyy-mm-dd"),INDEX(상세표[근무일자],$Q2414)&amp;""))</f>
        <v/>
      </c>
      <c r="F2414">
        <f>IF($Q2414="","",IF(ISNUMBER(INDEX(상세표[시작],$Q2414)),TEXT(INDEX(상세표[시작],$Q2414),"yyyy-mm-dd hh:mm"),INDEX(상세표[시작],$Q2414)&amp;""))</f>
        <v/>
      </c>
      <c r="G2414">
        <f>IF($Q2414="","",IF(ISNUMBER(INDEX(상세표[블록종료],$Q2414)),TEXT(INDEX(상세표[블록종료],$Q2414),"yyyy-mm-dd hh:mm"),INDEX(상세표[블록종료],$Q2414)&amp;""))</f>
        <v/>
      </c>
      <c r="H2414">
        <f>IF($Q2414="","",CHOOSE(WEEKDAY(INDEX(상세표[시작],$Q2414)),"일","월","화","수","목","금","토"))</f>
        <v/>
      </c>
      <c r="I2414" s="20">
        <f>IF($Q2414="","",INDEX(상세표[연속 시간],$Q2414))</f>
        <v/>
      </c>
      <c r="J2414">
        <f>IF($Q2414="","",INDEX(상세표[기록 수],$Q2414))</f>
        <v/>
      </c>
      <c r="K2414" s="20">
        <f>IF($Q2414="","",INDEX(상세표[블록 06~07시],$Q2414))</f>
        <v/>
      </c>
      <c r="L2414" s="20">
        <f>IF($Q2414="","",INDEX(상세표[블록 07~18시],$Q2414))</f>
        <v/>
      </c>
      <c r="M2414" s="20">
        <f>IF($Q2414="","",INDEX(상세표[블록 18~22시],$Q2414))</f>
        <v/>
      </c>
      <c r="N2414" s="20">
        <f>IF($Q2414="","",INDEX(상세표[블록 22~06시],$Q2414))</f>
        <v/>
      </c>
      <c r="O2414">
        <f>IF($Q2414="","",INDEX(상세표[주말·휴일 포함],$Q2414)&amp;"")</f>
        <v/>
      </c>
      <c r="P2414">
        <f>IF($Q2414="","",INDEX(상세표[월 넘김 포함],$Q2414)&amp;"")</f>
        <v/>
      </c>
      <c r="Q2414" s="4">
        <f>IFERROR(MATCH(2409,상세표[연속순번],0),"")</f>
        <v/>
      </c>
    </row>
    <row r="2415">
      <c r="A2415">
        <f>IF($Q2415="","",INDEX(상세표[부서],$Q2415)&amp;"")</f>
        <v/>
      </c>
      <c r="B2415">
        <f>IF($Q2415="","",INDEX(상세표[사번],$Q2415)&amp;"")</f>
        <v/>
      </c>
      <c r="C2415">
        <f>IF($Q2415="","",INDEX(상세표[성명],$Q2415)&amp;"")</f>
        <v/>
      </c>
      <c r="D2415">
        <f>IF($Q2415="","",INDEX(상세표[직위],$Q2415)&amp;"")</f>
        <v/>
      </c>
      <c r="E2415">
        <f>IF($Q2415="","",IF(ISNUMBER(INDEX(상세표[근무일자],$Q2415)),TEXT(INDEX(상세표[근무일자],$Q2415),"yyyy-mm-dd"),INDEX(상세표[근무일자],$Q2415)&amp;""))</f>
        <v/>
      </c>
      <c r="F2415">
        <f>IF($Q2415="","",IF(ISNUMBER(INDEX(상세표[시작],$Q2415)),TEXT(INDEX(상세표[시작],$Q2415),"yyyy-mm-dd hh:mm"),INDEX(상세표[시작],$Q2415)&amp;""))</f>
        <v/>
      </c>
      <c r="G2415">
        <f>IF($Q2415="","",IF(ISNUMBER(INDEX(상세표[블록종료],$Q2415)),TEXT(INDEX(상세표[블록종료],$Q2415),"yyyy-mm-dd hh:mm"),INDEX(상세표[블록종료],$Q2415)&amp;""))</f>
        <v/>
      </c>
      <c r="H2415">
        <f>IF($Q2415="","",CHOOSE(WEEKDAY(INDEX(상세표[시작],$Q2415)),"일","월","화","수","목","금","토"))</f>
        <v/>
      </c>
      <c r="I2415" s="20">
        <f>IF($Q2415="","",INDEX(상세표[연속 시간],$Q2415))</f>
        <v/>
      </c>
      <c r="J2415">
        <f>IF($Q2415="","",INDEX(상세표[기록 수],$Q2415))</f>
        <v/>
      </c>
      <c r="K2415" s="20">
        <f>IF($Q2415="","",INDEX(상세표[블록 06~07시],$Q2415))</f>
        <v/>
      </c>
      <c r="L2415" s="20">
        <f>IF($Q2415="","",INDEX(상세표[블록 07~18시],$Q2415))</f>
        <v/>
      </c>
      <c r="M2415" s="20">
        <f>IF($Q2415="","",INDEX(상세표[블록 18~22시],$Q2415))</f>
        <v/>
      </c>
      <c r="N2415" s="20">
        <f>IF($Q2415="","",INDEX(상세표[블록 22~06시],$Q2415))</f>
        <v/>
      </c>
      <c r="O2415">
        <f>IF($Q2415="","",INDEX(상세표[주말·휴일 포함],$Q2415)&amp;"")</f>
        <v/>
      </c>
      <c r="P2415">
        <f>IF($Q2415="","",INDEX(상세표[월 넘김 포함],$Q2415)&amp;"")</f>
        <v/>
      </c>
      <c r="Q2415" s="4">
        <f>IFERROR(MATCH(2410,상세표[연속순번],0),"")</f>
        <v/>
      </c>
    </row>
    <row r="2416">
      <c r="A2416">
        <f>IF($Q2416="","",INDEX(상세표[부서],$Q2416)&amp;"")</f>
        <v/>
      </c>
      <c r="B2416">
        <f>IF($Q2416="","",INDEX(상세표[사번],$Q2416)&amp;"")</f>
        <v/>
      </c>
      <c r="C2416">
        <f>IF($Q2416="","",INDEX(상세표[성명],$Q2416)&amp;"")</f>
        <v/>
      </c>
      <c r="D2416">
        <f>IF($Q2416="","",INDEX(상세표[직위],$Q2416)&amp;"")</f>
        <v/>
      </c>
      <c r="E2416">
        <f>IF($Q2416="","",IF(ISNUMBER(INDEX(상세표[근무일자],$Q2416)),TEXT(INDEX(상세표[근무일자],$Q2416),"yyyy-mm-dd"),INDEX(상세표[근무일자],$Q2416)&amp;""))</f>
        <v/>
      </c>
      <c r="F2416">
        <f>IF($Q2416="","",IF(ISNUMBER(INDEX(상세표[시작],$Q2416)),TEXT(INDEX(상세표[시작],$Q2416),"yyyy-mm-dd hh:mm"),INDEX(상세표[시작],$Q2416)&amp;""))</f>
        <v/>
      </c>
      <c r="G2416">
        <f>IF($Q2416="","",IF(ISNUMBER(INDEX(상세표[블록종료],$Q2416)),TEXT(INDEX(상세표[블록종료],$Q2416),"yyyy-mm-dd hh:mm"),INDEX(상세표[블록종료],$Q2416)&amp;""))</f>
        <v/>
      </c>
      <c r="H2416">
        <f>IF($Q2416="","",CHOOSE(WEEKDAY(INDEX(상세표[시작],$Q2416)),"일","월","화","수","목","금","토"))</f>
        <v/>
      </c>
      <c r="I2416" s="20">
        <f>IF($Q2416="","",INDEX(상세표[연속 시간],$Q2416))</f>
        <v/>
      </c>
      <c r="J2416">
        <f>IF($Q2416="","",INDEX(상세표[기록 수],$Q2416))</f>
        <v/>
      </c>
      <c r="K2416" s="20">
        <f>IF($Q2416="","",INDEX(상세표[블록 06~07시],$Q2416))</f>
        <v/>
      </c>
      <c r="L2416" s="20">
        <f>IF($Q2416="","",INDEX(상세표[블록 07~18시],$Q2416))</f>
        <v/>
      </c>
      <c r="M2416" s="20">
        <f>IF($Q2416="","",INDEX(상세표[블록 18~22시],$Q2416))</f>
        <v/>
      </c>
      <c r="N2416" s="20">
        <f>IF($Q2416="","",INDEX(상세표[블록 22~06시],$Q2416))</f>
        <v/>
      </c>
      <c r="O2416">
        <f>IF($Q2416="","",INDEX(상세표[주말·휴일 포함],$Q2416)&amp;"")</f>
        <v/>
      </c>
      <c r="P2416">
        <f>IF($Q2416="","",INDEX(상세표[월 넘김 포함],$Q2416)&amp;"")</f>
        <v/>
      </c>
      <c r="Q2416" s="4">
        <f>IFERROR(MATCH(2411,상세표[연속순번],0),"")</f>
        <v/>
      </c>
    </row>
    <row r="2417">
      <c r="A2417">
        <f>IF($Q2417="","",INDEX(상세표[부서],$Q2417)&amp;"")</f>
        <v/>
      </c>
      <c r="B2417">
        <f>IF($Q2417="","",INDEX(상세표[사번],$Q2417)&amp;"")</f>
        <v/>
      </c>
      <c r="C2417">
        <f>IF($Q2417="","",INDEX(상세표[성명],$Q2417)&amp;"")</f>
        <v/>
      </c>
      <c r="D2417">
        <f>IF($Q2417="","",INDEX(상세표[직위],$Q2417)&amp;"")</f>
        <v/>
      </c>
      <c r="E2417">
        <f>IF($Q2417="","",IF(ISNUMBER(INDEX(상세표[근무일자],$Q2417)),TEXT(INDEX(상세표[근무일자],$Q2417),"yyyy-mm-dd"),INDEX(상세표[근무일자],$Q2417)&amp;""))</f>
        <v/>
      </c>
      <c r="F2417">
        <f>IF($Q2417="","",IF(ISNUMBER(INDEX(상세표[시작],$Q2417)),TEXT(INDEX(상세표[시작],$Q2417),"yyyy-mm-dd hh:mm"),INDEX(상세표[시작],$Q2417)&amp;""))</f>
        <v/>
      </c>
      <c r="G2417">
        <f>IF($Q2417="","",IF(ISNUMBER(INDEX(상세표[블록종료],$Q2417)),TEXT(INDEX(상세표[블록종료],$Q2417),"yyyy-mm-dd hh:mm"),INDEX(상세표[블록종료],$Q2417)&amp;""))</f>
        <v/>
      </c>
      <c r="H2417">
        <f>IF($Q2417="","",CHOOSE(WEEKDAY(INDEX(상세표[시작],$Q2417)),"일","월","화","수","목","금","토"))</f>
        <v/>
      </c>
      <c r="I2417" s="20">
        <f>IF($Q2417="","",INDEX(상세표[연속 시간],$Q2417))</f>
        <v/>
      </c>
      <c r="J2417">
        <f>IF($Q2417="","",INDEX(상세표[기록 수],$Q2417))</f>
        <v/>
      </c>
      <c r="K2417" s="20">
        <f>IF($Q2417="","",INDEX(상세표[블록 06~07시],$Q2417))</f>
        <v/>
      </c>
      <c r="L2417" s="20">
        <f>IF($Q2417="","",INDEX(상세표[블록 07~18시],$Q2417))</f>
        <v/>
      </c>
      <c r="M2417" s="20">
        <f>IF($Q2417="","",INDEX(상세표[블록 18~22시],$Q2417))</f>
        <v/>
      </c>
      <c r="N2417" s="20">
        <f>IF($Q2417="","",INDEX(상세표[블록 22~06시],$Q2417))</f>
        <v/>
      </c>
      <c r="O2417">
        <f>IF($Q2417="","",INDEX(상세표[주말·휴일 포함],$Q2417)&amp;"")</f>
        <v/>
      </c>
      <c r="P2417">
        <f>IF($Q2417="","",INDEX(상세표[월 넘김 포함],$Q2417)&amp;"")</f>
        <v/>
      </c>
      <c r="Q2417" s="4">
        <f>IFERROR(MATCH(2412,상세표[연속순번],0),"")</f>
        <v/>
      </c>
    </row>
    <row r="2418">
      <c r="A2418">
        <f>IF($Q2418="","",INDEX(상세표[부서],$Q2418)&amp;"")</f>
        <v/>
      </c>
      <c r="B2418">
        <f>IF($Q2418="","",INDEX(상세표[사번],$Q2418)&amp;"")</f>
        <v/>
      </c>
      <c r="C2418">
        <f>IF($Q2418="","",INDEX(상세표[성명],$Q2418)&amp;"")</f>
        <v/>
      </c>
      <c r="D2418">
        <f>IF($Q2418="","",INDEX(상세표[직위],$Q2418)&amp;"")</f>
        <v/>
      </c>
      <c r="E2418">
        <f>IF($Q2418="","",IF(ISNUMBER(INDEX(상세표[근무일자],$Q2418)),TEXT(INDEX(상세표[근무일자],$Q2418),"yyyy-mm-dd"),INDEX(상세표[근무일자],$Q2418)&amp;""))</f>
        <v/>
      </c>
      <c r="F2418">
        <f>IF($Q2418="","",IF(ISNUMBER(INDEX(상세표[시작],$Q2418)),TEXT(INDEX(상세표[시작],$Q2418),"yyyy-mm-dd hh:mm"),INDEX(상세표[시작],$Q2418)&amp;""))</f>
        <v/>
      </c>
      <c r="G2418">
        <f>IF($Q2418="","",IF(ISNUMBER(INDEX(상세표[블록종료],$Q2418)),TEXT(INDEX(상세표[블록종료],$Q2418),"yyyy-mm-dd hh:mm"),INDEX(상세표[블록종료],$Q2418)&amp;""))</f>
        <v/>
      </c>
      <c r="H2418">
        <f>IF($Q2418="","",CHOOSE(WEEKDAY(INDEX(상세표[시작],$Q2418)),"일","월","화","수","목","금","토"))</f>
        <v/>
      </c>
      <c r="I2418" s="20">
        <f>IF($Q2418="","",INDEX(상세표[연속 시간],$Q2418))</f>
        <v/>
      </c>
      <c r="J2418">
        <f>IF($Q2418="","",INDEX(상세표[기록 수],$Q2418))</f>
        <v/>
      </c>
      <c r="K2418" s="20">
        <f>IF($Q2418="","",INDEX(상세표[블록 06~07시],$Q2418))</f>
        <v/>
      </c>
      <c r="L2418" s="20">
        <f>IF($Q2418="","",INDEX(상세표[블록 07~18시],$Q2418))</f>
        <v/>
      </c>
      <c r="M2418" s="20">
        <f>IF($Q2418="","",INDEX(상세표[블록 18~22시],$Q2418))</f>
        <v/>
      </c>
      <c r="N2418" s="20">
        <f>IF($Q2418="","",INDEX(상세표[블록 22~06시],$Q2418))</f>
        <v/>
      </c>
      <c r="O2418">
        <f>IF($Q2418="","",INDEX(상세표[주말·휴일 포함],$Q2418)&amp;"")</f>
        <v/>
      </c>
      <c r="P2418">
        <f>IF($Q2418="","",INDEX(상세표[월 넘김 포함],$Q2418)&amp;"")</f>
        <v/>
      </c>
      <c r="Q2418" s="4">
        <f>IFERROR(MATCH(2413,상세표[연속순번],0),"")</f>
        <v/>
      </c>
    </row>
    <row r="2419">
      <c r="A2419">
        <f>IF($Q2419="","",INDEX(상세표[부서],$Q2419)&amp;"")</f>
        <v/>
      </c>
      <c r="B2419">
        <f>IF($Q2419="","",INDEX(상세표[사번],$Q2419)&amp;"")</f>
        <v/>
      </c>
      <c r="C2419">
        <f>IF($Q2419="","",INDEX(상세표[성명],$Q2419)&amp;"")</f>
        <v/>
      </c>
      <c r="D2419">
        <f>IF($Q2419="","",INDEX(상세표[직위],$Q2419)&amp;"")</f>
        <v/>
      </c>
      <c r="E2419">
        <f>IF($Q2419="","",IF(ISNUMBER(INDEX(상세표[근무일자],$Q2419)),TEXT(INDEX(상세표[근무일자],$Q2419),"yyyy-mm-dd"),INDEX(상세표[근무일자],$Q2419)&amp;""))</f>
        <v/>
      </c>
      <c r="F2419">
        <f>IF($Q2419="","",IF(ISNUMBER(INDEX(상세표[시작],$Q2419)),TEXT(INDEX(상세표[시작],$Q2419),"yyyy-mm-dd hh:mm"),INDEX(상세표[시작],$Q2419)&amp;""))</f>
        <v/>
      </c>
      <c r="G2419">
        <f>IF($Q2419="","",IF(ISNUMBER(INDEX(상세표[블록종료],$Q2419)),TEXT(INDEX(상세표[블록종료],$Q2419),"yyyy-mm-dd hh:mm"),INDEX(상세표[블록종료],$Q2419)&amp;""))</f>
        <v/>
      </c>
      <c r="H2419">
        <f>IF($Q2419="","",CHOOSE(WEEKDAY(INDEX(상세표[시작],$Q2419)),"일","월","화","수","목","금","토"))</f>
        <v/>
      </c>
      <c r="I2419" s="20">
        <f>IF($Q2419="","",INDEX(상세표[연속 시간],$Q2419))</f>
        <v/>
      </c>
      <c r="J2419">
        <f>IF($Q2419="","",INDEX(상세표[기록 수],$Q2419))</f>
        <v/>
      </c>
      <c r="K2419" s="20">
        <f>IF($Q2419="","",INDEX(상세표[블록 06~07시],$Q2419))</f>
        <v/>
      </c>
      <c r="L2419" s="20">
        <f>IF($Q2419="","",INDEX(상세표[블록 07~18시],$Q2419))</f>
        <v/>
      </c>
      <c r="M2419" s="20">
        <f>IF($Q2419="","",INDEX(상세표[블록 18~22시],$Q2419))</f>
        <v/>
      </c>
      <c r="N2419" s="20">
        <f>IF($Q2419="","",INDEX(상세표[블록 22~06시],$Q2419))</f>
        <v/>
      </c>
      <c r="O2419">
        <f>IF($Q2419="","",INDEX(상세표[주말·휴일 포함],$Q2419)&amp;"")</f>
        <v/>
      </c>
      <c r="P2419">
        <f>IF($Q2419="","",INDEX(상세표[월 넘김 포함],$Q2419)&amp;"")</f>
        <v/>
      </c>
      <c r="Q2419" s="4">
        <f>IFERROR(MATCH(2414,상세표[연속순번],0),"")</f>
        <v/>
      </c>
    </row>
    <row r="2420">
      <c r="A2420">
        <f>IF($Q2420="","",INDEX(상세표[부서],$Q2420)&amp;"")</f>
        <v/>
      </c>
      <c r="B2420">
        <f>IF($Q2420="","",INDEX(상세표[사번],$Q2420)&amp;"")</f>
        <v/>
      </c>
      <c r="C2420">
        <f>IF($Q2420="","",INDEX(상세표[성명],$Q2420)&amp;"")</f>
        <v/>
      </c>
      <c r="D2420">
        <f>IF($Q2420="","",INDEX(상세표[직위],$Q2420)&amp;"")</f>
        <v/>
      </c>
      <c r="E2420">
        <f>IF($Q2420="","",IF(ISNUMBER(INDEX(상세표[근무일자],$Q2420)),TEXT(INDEX(상세표[근무일자],$Q2420),"yyyy-mm-dd"),INDEX(상세표[근무일자],$Q2420)&amp;""))</f>
        <v/>
      </c>
      <c r="F2420">
        <f>IF($Q2420="","",IF(ISNUMBER(INDEX(상세표[시작],$Q2420)),TEXT(INDEX(상세표[시작],$Q2420),"yyyy-mm-dd hh:mm"),INDEX(상세표[시작],$Q2420)&amp;""))</f>
        <v/>
      </c>
      <c r="G2420">
        <f>IF($Q2420="","",IF(ISNUMBER(INDEX(상세표[블록종료],$Q2420)),TEXT(INDEX(상세표[블록종료],$Q2420),"yyyy-mm-dd hh:mm"),INDEX(상세표[블록종료],$Q2420)&amp;""))</f>
        <v/>
      </c>
      <c r="H2420">
        <f>IF($Q2420="","",CHOOSE(WEEKDAY(INDEX(상세표[시작],$Q2420)),"일","월","화","수","목","금","토"))</f>
        <v/>
      </c>
      <c r="I2420" s="20">
        <f>IF($Q2420="","",INDEX(상세표[연속 시간],$Q2420))</f>
        <v/>
      </c>
      <c r="J2420">
        <f>IF($Q2420="","",INDEX(상세표[기록 수],$Q2420))</f>
        <v/>
      </c>
      <c r="K2420" s="20">
        <f>IF($Q2420="","",INDEX(상세표[블록 06~07시],$Q2420))</f>
        <v/>
      </c>
      <c r="L2420" s="20">
        <f>IF($Q2420="","",INDEX(상세표[블록 07~18시],$Q2420))</f>
        <v/>
      </c>
      <c r="M2420" s="20">
        <f>IF($Q2420="","",INDEX(상세표[블록 18~22시],$Q2420))</f>
        <v/>
      </c>
      <c r="N2420" s="20">
        <f>IF($Q2420="","",INDEX(상세표[블록 22~06시],$Q2420))</f>
        <v/>
      </c>
      <c r="O2420">
        <f>IF($Q2420="","",INDEX(상세표[주말·휴일 포함],$Q2420)&amp;"")</f>
        <v/>
      </c>
      <c r="P2420">
        <f>IF($Q2420="","",INDEX(상세표[월 넘김 포함],$Q2420)&amp;"")</f>
        <v/>
      </c>
      <c r="Q2420" s="4">
        <f>IFERROR(MATCH(2415,상세표[연속순번],0),"")</f>
        <v/>
      </c>
    </row>
    <row r="2421">
      <c r="A2421">
        <f>IF($Q2421="","",INDEX(상세표[부서],$Q2421)&amp;"")</f>
        <v/>
      </c>
      <c r="B2421">
        <f>IF($Q2421="","",INDEX(상세표[사번],$Q2421)&amp;"")</f>
        <v/>
      </c>
      <c r="C2421">
        <f>IF($Q2421="","",INDEX(상세표[성명],$Q2421)&amp;"")</f>
        <v/>
      </c>
      <c r="D2421">
        <f>IF($Q2421="","",INDEX(상세표[직위],$Q2421)&amp;"")</f>
        <v/>
      </c>
      <c r="E2421">
        <f>IF($Q2421="","",IF(ISNUMBER(INDEX(상세표[근무일자],$Q2421)),TEXT(INDEX(상세표[근무일자],$Q2421),"yyyy-mm-dd"),INDEX(상세표[근무일자],$Q2421)&amp;""))</f>
        <v/>
      </c>
      <c r="F2421">
        <f>IF($Q2421="","",IF(ISNUMBER(INDEX(상세표[시작],$Q2421)),TEXT(INDEX(상세표[시작],$Q2421),"yyyy-mm-dd hh:mm"),INDEX(상세표[시작],$Q2421)&amp;""))</f>
        <v/>
      </c>
      <c r="G2421">
        <f>IF($Q2421="","",IF(ISNUMBER(INDEX(상세표[블록종료],$Q2421)),TEXT(INDEX(상세표[블록종료],$Q2421),"yyyy-mm-dd hh:mm"),INDEX(상세표[블록종료],$Q2421)&amp;""))</f>
        <v/>
      </c>
      <c r="H2421">
        <f>IF($Q2421="","",CHOOSE(WEEKDAY(INDEX(상세표[시작],$Q2421)),"일","월","화","수","목","금","토"))</f>
        <v/>
      </c>
      <c r="I2421" s="20">
        <f>IF($Q2421="","",INDEX(상세표[연속 시간],$Q2421))</f>
        <v/>
      </c>
      <c r="J2421">
        <f>IF($Q2421="","",INDEX(상세표[기록 수],$Q2421))</f>
        <v/>
      </c>
      <c r="K2421" s="20">
        <f>IF($Q2421="","",INDEX(상세표[블록 06~07시],$Q2421))</f>
        <v/>
      </c>
      <c r="L2421" s="20">
        <f>IF($Q2421="","",INDEX(상세표[블록 07~18시],$Q2421))</f>
        <v/>
      </c>
      <c r="M2421" s="20">
        <f>IF($Q2421="","",INDEX(상세표[블록 18~22시],$Q2421))</f>
        <v/>
      </c>
      <c r="N2421" s="20">
        <f>IF($Q2421="","",INDEX(상세표[블록 22~06시],$Q2421))</f>
        <v/>
      </c>
      <c r="O2421">
        <f>IF($Q2421="","",INDEX(상세표[주말·휴일 포함],$Q2421)&amp;"")</f>
        <v/>
      </c>
      <c r="P2421">
        <f>IF($Q2421="","",INDEX(상세표[월 넘김 포함],$Q2421)&amp;"")</f>
        <v/>
      </c>
      <c r="Q2421" s="4">
        <f>IFERROR(MATCH(2416,상세표[연속순번],0),"")</f>
        <v/>
      </c>
    </row>
    <row r="2422">
      <c r="A2422">
        <f>IF($Q2422="","",INDEX(상세표[부서],$Q2422)&amp;"")</f>
        <v/>
      </c>
      <c r="B2422">
        <f>IF($Q2422="","",INDEX(상세표[사번],$Q2422)&amp;"")</f>
        <v/>
      </c>
      <c r="C2422">
        <f>IF($Q2422="","",INDEX(상세표[성명],$Q2422)&amp;"")</f>
        <v/>
      </c>
      <c r="D2422">
        <f>IF($Q2422="","",INDEX(상세표[직위],$Q2422)&amp;"")</f>
        <v/>
      </c>
      <c r="E2422">
        <f>IF($Q2422="","",IF(ISNUMBER(INDEX(상세표[근무일자],$Q2422)),TEXT(INDEX(상세표[근무일자],$Q2422),"yyyy-mm-dd"),INDEX(상세표[근무일자],$Q2422)&amp;""))</f>
        <v/>
      </c>
      <c r="F2422">
        <f>IF($Q2422="","",IF(ISNUMBER(INDEX(상세표[시작],$Q2422)),TEXT(INDEX(상세표[시작],$Q2422),"yyyy-mm-dd hh:mm"),INDEX(상세표[시작],$Q2422)&amp;""))</f>
        <v/>
      </c>
      <c r="G2422">
        <f>IF($Q2422="","",IF(ISNUMBER(INDEX(상세표[블록종료],$Q2422)),TEXT(INDEX(상세표[블록종료],$Q2422),"yyyy-mm-dd hh:mm"),INDEX(상세표[블록종료],$Q2422)&amp;""))</f>
        <v/>
      </c>
      <c r="H2422">
        <f>IF($Q2422="","",CHOOSE(WEEKDAY(INDEX(상세표[시작],$Q2422)),"일","월","화","수","목","금","토"))</f>
        <v/>
      </c>
      <c r="I2422" s="20">
        <f>IF($Q2422="","",INDEX(상세표[연속 시간],$Q2422))</f>
        <v/>
      </c>
      <c r="J2422">
        <f>IF($Q2422="","",INDEX(상세표[기록 수],$Q2422))</f>
        <v/>
      </c>
      <c r="K2422" s="20">
        <f>IF($Q2422="","",INDEX(상세표[블록 06~07시],$Q2422))</f>
        <v/>
      </c>
      <c r="L2422" s="20">
        <f>IF($Q2422="","",INDEX(상세표[블록 07~18시],$Q2422))</f>
        <v/>
      </c>
      <c r="M2422" s="20">
        <f>IF($Q2422="","",INDEX(상세표[블록 18~22시],$Q2422))</f>
        <v/>
      </c>
      <c r="N2422" s="20">
        <f>IF($Q2422="","",INDEX(상세표[블록 22~06시],$Q2422))</f>
        <v/>
      </c>
      <c r="O2422">
        <f>IF($Q2422="","",INDEX(상세표[주말·휴일 포함],$Q2422)&amp;"")</f>
        <v/>
      </c>
      <c r="P2422">
        <f>IF($Q2422="","",INDEX(상세표[월 넘김 포함],$Q2422)&amp;"")</f>
        <v/>
      </c>
      <c r="Q2422" s="4">
        <f>IFERROR(MATCH(2417,상세표[연속순번],0),"")</f>
        <v/>
      </c>
    </row>
    <row r="2423">
      <c r="A2423">
        <f>IF($Q2423="","",INDEX(상세표[부서],$Q2423)&amp;"")</f>
        <v/>
      </c>
      <c r="B2423">
        <f>IF($Q2423="","",INDEX(상세표[사번],$Q2423)&amp;"")</f>
        <v/>
      </c>
      <c r="C2423">
        <f>IF($Q2423="","",INDEX(상세표[성명],$Q2423)&amp;"")</f>
        <v/>
      </c>
      <c r="D2423">
        <f>IF($Q2423="","",INDEX(상세표[직위],$Q2423)&amp;"")</f>
        <v/>
      </c>
      <c r="E2423">
        <f>IF($Q2423="","",IF(ISNUMBER(INDEX(상세표[근무일자],$Q2423)),TEXT(INDEX(상세표[근무일자],$Q2423),"yyyy-mm-dd"),INDEX(상세표[근무일자],$Q2423)&amp;""))</f>
        <v/>
      </c>
      <c r="F2423">
        <f>IF($Q2423="","",IF(ISNUMBER(INDEX(상세표[시작],$Q2423)),TEXT(INDEX(상세표[시작],$Q2423),"yyyy-mm-dd hh:mm"),INDEX(상세표[시작],$Q2423)&amp;""))</f>
        <v/>
      </c>
      <c r="G2423">
        <f>IF($Q2423="","",IF(ISNUMBER(INDEX(상세표[블록종료],$Q2423)),TEXT(INDEX(상세표[블록종료],$Q2423),"yyyy-mm-dd hh:mm"),INDEX(상세표[블록종료],$Q2423)&amp;""))</f>
        <v/>
      </c>
      <c r="H2423">
        <f>IF($Q2423="","",CHOOSE(WEEKDAY(INDEX(상세표[시작],$Q2423)),"일","월","화","수","목","금","토"))</f>
        <v/>
      </c>
      <c r="I2423" s="20">
        <f>IF($Q2423="","",INDEX(상세표[연속 시간],$Q2423))</f>
        <v/>
      </c>
      <c r="J2423">
        <f>IF($Q2423="","",INDEX(상세표[기록 수],$Q2423))</f>
        <v/>
      </c>
      <c r="K2423" s="20">
        <f>IF($Q2423="","",INDEX(상세표[블록 06~07시],$Q2423))</f>
        <v/>
      </c>
      <c r="L2423" s="20">
        <f>IF($Q2423="","",INDEX(상세표[블록 07~18시],$Q2423))</f>
        <v/>
      </c>
      <c r="M2423" s="20">
        <f>IF($Q2423="","",INDEX(상세표[블록 18~22시],$Q2423))</f>
        <v/>
      </c>
      <c r="N2423" s="20">
        <f>IF($Q2423="","",INDEX(상세표[블록 22~06시],$Q2423))</f>
        <v/>
      </c>
      <c r="O2423">
        <f>IF($Q2423="","",INDEX(상세표[주말·휴일 포함],$Q2423)&amp;"")</f>
        <v/>
      </c>
      <c r="P2423">
        <f>IF($Q2423="","",INDEX(상세표[월 넘김 포함],$Q2423)&amp;"")</f>
        <v/>
      </c>
      <c r="Q2423" s="4">
        <f>IFERROR(MATCH(2418,상세표[연속순번],0),"")</f>
        <v/>
      </c>
    </row>
    <row r="2424">
      <c r="A2424">
        <f>IF($Q2424="","",INDEX(상세표[부서],$Q2424)&amp;"")</f>
        <v/>
      </c>
      <c r="B2424">
        <f>IF($Q2424="","",INDEX(상세표[사번],$Q2424)&amp;"")</f>
        <v/>
      </c>
      <c r="C2424">
        <f>IF($Q2424="","",INDEX(상세표[성명],$Q2424)&amp;"")</f>
        <v/>
      </c>
      <c r="D2424">
        <f>IF($Q2424="","",INDEX(상세표[직위],$Q2424)&amp;"")</f>
        <v/>
      </c>
      <c r="E2424">
        <f>IF($Q2424="","",IF(ISNUMBER(INDEX(상세표[근무일자],$Q2424)),TEXT(INDEX(상세표[근무일자],$Q2424),"yyyy-mm-dd"),INDEX(상세표[근무일자],$Q2424)&amp;""))</f>
        <v/>
      </c>
      <c r="F2424">
        <f>IF($Q2424="","",IF(ISNUMBER(INDEX(상세표[시작],$Q2424)),TEXT(INDEX(상세표[시작],$Q2424),"yyyy-mm-dd hh:mm"),INDEX(상세표[시작],$Q2424)&amp;""))</f>
        <v/>
      </c>
      <c r="G2424">
        <f>IF($Q2424="","",IF(ISNUMBER(INDEX(상세표[블록종료],$Q2424)),TEXT(INDEX(상세표[블록종료],$Q2424),"yyyy-mm-dd hh:mm"),INDEX(상세표[블록종료],$Q2424)&amp;""))</f>
        <v/>
      </c>
      <c r="H2424">
        <f>IF($Q2424="","",CHOOSE(WEEKDAY(INDEX(상세표[시작],$Q2424)),"일","월","화","수","목","금","토"))</f>
        <v/>
      </c>
      <c r="I2424" s="20">
        <f>IF($Q2424="","",INDEX(상세표[연속 시간],$Q2424))</f>
        <v/>
      </c>
      <c r="J2424">
        <f>IF($Q2424="","",INDEX(상세표[기록 수],$Q2424))</f>
        <v/>
      </c>
      <c r="K2424" s="20">
        <f>IF($Q2424="","",INDEX(상세표[블록 06~07시],$Q2424))</f>
        <v/>
      </c>
      <c r="L2424" s="20">
        <f>IF($Q2424="","",INDEX(상세표[블록 07~18시],$Q2424))</f>
        <v/>
      </c>
      <c r="M2424" s="20">
        <f>IF($Q2424="","",INDEX(상세표[블록 18~22시],$Q2424))</f>
        <v/>
      </c>
      <c r="N2424" s="20">
        <f>IF($Q2424="","",INDEX(상세표[블록 22~06시],$Q2424))</f>
        <v/>
      </c>
      <c r="O2424">
        <f>IF($Q2424="","",INDEX(상세표[주말·휴일 포함],$Q2424)&amp;"")</f>
        <v/>
      </c>
      <c r="P2424">
        <f>IF($Q2424="","",INDEX(상세표[월 넘김 포함],$Q2424)&amp;"")</f>
        <v/>
      </c>
      <c r="Q2424" s="4">
        <f>IFERROR(MATCH(2419,상세표[연속순번],0),"")</f>
        <v/>
      </c>
    </row>
    <row r="2425">
      <c r="A2425">
        <f>IF($Q2425="","",INDEX(상세표[부서],$Q2425)&amp;"")</f>
        <v/>
      </c>
      <c r="B2425">
        <f>IF($Q2425="","",INDEX(상세표[사번],$Q2425)&amp;"")</f>
        <v/>
      </c>
      <c r="C2425">
        <f>IF($Q2425="","",INDEX(상세표[성명],$Q2425)&amp;"")</f>
        <v/>
      </c>
      <c r="D2425">
        <f>IF($Q2425="","",INDEX(상세표[직위],$Q2425)&amp;"")</f>
        <v/>
      </c>
      <c r="E2425">
        <f>IF($Q2425="","",IF(ISNUMBER(INDEX(상세표[근무일자],$Q2425)),TEXT(INDEX(상세표[근무일자],$Q2425),"yyyy-mm-dd"),INDEX(상세표[근무일자],$Q2425)&amp;""))</f>
        <v/>
      </c>
      <c r="F2425">
        <f>IF($Q2425="","",IF(ISNUMBER(INDEX(상세표[시작],$Q2425)),TEXT(INDEX(상세표[시작],$Q2425),"yyyy-mm-dd hh:mm"),INDEX(상세표[시작],$Q2425)&amp;""))</f>
        <v/>
      </c>
      <c r="G2425">
        <f>IF($Q2425="","",IF(ISNUMBER(INDEX(상세표[블록종료],$Q2425)),TEXT(INDEX(상세표[블록종료],$Q2425),"yyyy-mm-dd hh:mm"),INDEX(상세표[블록종료],$Q2425)&amp;""))</f>
        <v/>
      </c>
      <c r="H2425">
        <f>IF($Q2425="","",CHOOSE(WEEKDAY(INDEX(상세표[시작],$Q2425)),"일","월","화","수","목","금","토"))</f>
        <v/>
      </c>
      <c r="I2425" s="20">
        <f>IF($Q2425="","",INDEX(상세표[연속 시간],$Q2425))</f>
        <v/>
      </c>
      <c r="J2425">
        <f>IF($Q2425="","",INDEX(상세표[기록 수],$Q2425))</f>
        <v/>
      </c>
      <c r="K2425" s="20">
        <f>IF($Q2425="","",INDEX(상세표[블록 06~07시],$Q2425))</f>
        <v/>
      </c>
      <c r="L2425" s="20">
        <f>IF($Q2425="","",INDEX(상세표[블록 07~18시],$Q2425))</f>
        <v/>
      </c>
      <c r="M2425" s="20">
        <f>IF($Q2425="","",INDEX(상세표[블록 18~22시],$Q2425))</f>
        <v/>
      </c>
      <c r="N2425" s="20">
        <f>IF($Q2425="","",INDEX(상세표[블록 22~06시],$Q2425))</f>
        <v/>
      </c>
      <c r="O2425">
        <f>IF($Q2425="","",INDEX(상세표[주말·휴일 포함],$Q2425)&amp;"")</f>
        <v/>
      </c>
      <c r="P2425">
        <f>IF($Q2425="","",INDEX(상세표[월 넘김 포함],$Q2425)&amp;"")</f>
        <v/>
      </c>
      <c r="Q2425" s="4">
        <f>IFERROR(MATCH(2420,상세표[연속순번],0),"")</f>
        <v/>
      </c>
    </row>
    <row r="2426">
      <c r="A2426">
        <f>IF($Q2426="","",INDEX(상세표[부서],$Q2426)&amp;"")</f>
        <v/>
      </c>
      <c r="B2426">
        <f>IF($Q2426="","",INDEX(상세표[사번],$Q2426)&amp;"")</f>
        <v/>
      </c>
      <c r="C2426">
        <f>IF($Q2426="","",INDEX(상세표[성명],$Q2426)&amp;"")</f>
        <v/>
      </c>
      <c r="D2426">
        <f>IF($Q2426="","",INDEX(상세표[직위],$Q2426)&amp;"")</f>
        <v/>
      </c>
      <c r="E2426">
        <f>IF($Q2426="","",IF(ISNUMBER(INDEX(상세표[근무일자],$Q2426)),TEXT(INDEX(상세표[근무일자],$Q2426),"yyyy-mm-dd"),INDEX(상세표[근무일자],$Q2426)&amp;""))</f>
        <v/>
      </c>
      <c r="F2426">
        <f>IF($Q2426="","",IF(ISNUMBER(INDEX(상세표[시작],$Q2426)),TEXT(INDEX(상세표[시작],$Q2426),"yyyy-mm-dd hh:mm"),INDEX(상세표[시작],$Q2426)&amp;""))</f>
        <v/>
      </c>
      <c r="G2426">
        <f>IF($Q2426="","",IF(ISNUMBER(INDEX(상세표[블록종료],$Q2426)),TEXT(INDEX(상세표[블록종료],$Q2426),"yyyy-mm-dd hh:mm"),INDEX(상세표[블록종료],$Q2426)&amp;""))</f>
        <v/>
      </c>
      <c r="H2426">
        <f>IF($Q2426="","",CHOOSE(WEEKDAY(INDEX(상세표[시작],$Q2426)),"일","월","화","수","목","금","토"))</f>
        <v/>
      </c>
      <c r="I2426" s="20">
        <f>IF($Q2426="","",INDEX(상세표[연속 시간],$Q2426))</f>
        <v/>
      </c>
      <c r="J2426">
        <f>IF($Q2426="","",INDEX(상세표[기록 수],$Q2426))</f>
        <v/>
      </c>
      <c r="K2426" s="20">
        <f>IF($Q2426="","",INDEX(상세표[블록 06~07시],$Q2426))</f>
        <v/>
      </c>
      <c r="L2426" s="20">
        <f>IF($Q2426="","",INDEX(상세표[블록 07~18시],$Q2426))</f>
        <v/>
      </c>
      <c r="M2426" s="20">
        <f>IF($Q2426="","",INDEX(상세표[블록 18~22시],$Q2426))</f>
        <v/>
      </c>
      <c r="N2426" s="20">
        <f>IF($Q2426="","",INDEX(상세표[블록 22~06시],$Q2426))</f>
        <v/>
      </c>
      <c r="O2426">
        <f>IF($Q2426="","",INDEX(상세표[주말·휴일 포함],$Q2426)&amp;"")</f>
        <v/>
      </c>
      <c r="P2426">
        <f>IF($Q2426="","",INDEX(상세표[월 넘김 포함],$Q2426)&amp;"")</f>
        <v/>
      </c>
      <c r="Q2426" s="4">
        <f>IFERROR(MATCH(2421,상세표[연속순번],0),"")</f>
        <v/>
      </c>
    </row>
    <row r="2427">
      <c r="A2427">
        <f>IF($Q2427="","",INDEX(상세표[부서],$Q2427)&amp;"")</f>
        <v/>
      </c>
      <c r="B2427">
        <f>IF($Q2427="","",INDEX(상세표[사번],$Q2427)&amp;"")</f>
        <v/>
      </c>
      <c r="C2427">
        <f>IF($Q2427="","",INDEX(상세표[성명],$Q2427)&amp;"")</f>
        <v/>
      </c>
      <c r="D2427">
        <f>IF($Q2427="","",INDEX(상세표[직위],$Q2427)&amp;"")</f>
        <v/>
      </c>
      <c r="E2427">
        <f>IF($Q2427="","",IF(ISNUMBER(INDEX(상세표[근무일자],$Q2427)),TEXT(INDEX(상세표[근무일자],$Q2427),"yyyy-mm-dd"),INDEX(상세표[근무일자],$Q2427)&amp;""))</f>
        <v/>
      </c>
      <c r="F2427">
        <f>IF($Q2427="","",IF(ISNUMBER(INDEX(상세표[시작],$Q2427)),TEXT(INDEX(상세표[시작],$Q2427),"yyyy-mm-dd hh:mm"),INDEX(상세표[시작],$Q2427)&amp;""))</f>
        <v/>
      </c>
      <c r="G2427">
        <f>IF($Q2427="","",IF(ISNUMBER(INDEX(상세표[블록종료],$Q2427)),TEXT(INDEX(상세표[블록종료],$Q2427),"yyyy-mm-dd hh:mm"),INDEX(상세표[블록종료],$Q2427)&amp;""))</f>
        <v/>
      </c>
      <c r="H2427">
        <f>IF($Q2427="","",CHOOSE(WEEKDAY(INDEX(상세표[시작],$Q2427)),"일","월","화","수","목","금","토"))</f>
        <v/>
      </c>
      <c r="I2427" s="20">
        <f>IF($Q2427="","",INDEX(상세표[연속 시간],$Q2427))</f>
        <v/>
      </c>
      <c r="J2427">
        <f>IF($Q2427="","",INDEX(상세표[기록 수],$Q2427))</f>
        <v/>
      </c>
      <c r="K2427" s="20">
        <f>IF($Q2427="","",INDEX(상세표[블록 06~07시],$Q2427))</f>
        <v/>
      </c>
      <c r="L2427" s="20">
        <f>IF($Q2427="","",INDEX(상세표[블록 07~18시],$Q2427))</f>
        <v/>
      </c>
      <c r="M2427" s="20">
        <f>IF($Q2427="","",INDEX(상세표[블록 18~22시],$Q2427))</f>
        <v/>
      </c>
      <c r="N2427" s="20">
        <f>IF($Q2427="","",INDEX(상세표[블록 22~06시],$Q2427))</f>
        <v/>
      </c>
      <c r="O2427">
        <f>IF($Q2427="","",INDEX(상세표[주말·휴일 포함],$Q2427)&amp;"")</f>
        <v/>
      </c>
      <c r="P2427">
        <f>IF($Q2427="","",INDEX(상세표[월 넘김 포함],$Q2427)&amp;"")</f>
        <v/>
      </c>
      <c r="Q2427" s="4">
        <f>IFERROR(MATCH(2422,상세표[연속순번],0),"")</f>
        <v/>
      </c>
    </row>
    <row r="2428">
      <c r="A2428">
        <f>IF($Q2428="","",INDEX(상세표[부서],$Q2428)&amp;"")</f>
        <v/>
      </c>
      <c r="B2428">
        <f>IF($Q2428="","",INDEX(상세표[사번],$Q2428)&amp;"")</f>
        <v/>
      </c>
      <c r="C2428">
        <f>IF($Q2428="","",INDEX(상세표[성명],$Q2428)&amp;"")</f>
        <v/>
      </c>
      <c r="D2428">
        <f>IF($Q2428="","",INDEX(상세표[직위],$Q2428)&amp;"")</f>
        <v/>
      </c>
      <c r="E2428">
        <f>IF($Q2428="","",IF(ISNUMBER(INDEX(상세표[근무일자],$Q2428)),TEXT(INDEX(상세표[근무일자],$Q2428),"yyyy-mm-dd"),INDEX(상세표[근무일자],$Q2428)&amp;""))</f>
        <v/>
      </c>
      <c r="F2428">
        <f>IF($Q2428="","",IF(ISNUMBER(INDEX(상세표[시작],$Q2428)),TEXT(INDEX(상세표[시작],$Q2428),"yyyy-mm-dd hh:mm"),INDEX(상세표[시작],$Q2428)&amp;""))</f>
        <v/>
      </c>
      <c r="G2428">
        <f>IF($Q2428="","",IF(ISNUMBER(INDEX(상세표[블록종료],$Q2428)),TEXT(INDEX(상세표[블록종료],$Q2428),"yyyy-mm-dd hh:mm"),INDEX(상세표[블록종료],$Q2428)&amp;""))</f>
        <v/>
      </c>
      <c r="H2428">
        <f>IF($Q2428="","",CHOOSE(WEEKDAY(INDEX(상세표[시작],$Q2428)),"일","월","화","수","목","금","토"))</f>
        <v/>
      </c>
      <c r="I2428" s="20">
        <f>IF($Q2428="","",INDEX(상세표[연속 시간],$Q2428))</f>
        <v/>
      </c>
      <c r="J2428">
        <f>IF($Q2428="","",INDEX(상세표[기록 수],$Q2428))</f>
        <v/>
      </c>
      <c r="K2428" s="20">
        <f>IF($Q2428="","",INDEX(상세표[블록 06~07시],$Q2428))</f>
        <v/>
      </c>
      <c r="L2428" s="20">
        <f>IF($Q2428="","",INDEX(상세표[블록 07~18시],$Q2428))</f>
        <v/>
      </c>
      <c r="M2428" s="20">
        <f>IF($Q2428="","",INDEX(상세표[블록 18~22시],$Q2428))</f>
        <v/>
      </c>
      <c r="N2428" s="20">
        <f>IF($Q2428="","",INDEX(상세표[블록 22~06시],$Q2428))</f>
        <v/>
      </c>
      <c r="O2428">
        <f>IF($Q2428="","",INDEX(상세표[주말·휴일 포함],$Q2428)&amp;"")</f>
        <v/>
      </c>
      <c r="P2428">
        <f>IF($Q2428="","",INDEX(상세표[월 넘김 포함],$Q2428)&amp;"")</f>
        <v/>
      </c>
      <c r="Q2428" s="4">
        <f>IFERROR(MATCH(2423,상세표[연속순번],0),"")</f>
        <v/>
      </c>
    </row>
    <row r="2429">
      <c r="A2429">
        <f>IF($Q2429="","",INDEX(상세표[부서],$Q2429)&amp;"")</f>
        <v/>
      </c>
      <c r="B2429">
        <f>IF($Q2429="","",INDEX(상세표[사번],$Q2429)&amp;"")</f>
        <v/>
      </c>
      <c r="C2429">
        <f>IF($Q2429="","",INDEX(상세표[성명],$Q2429)&amp;"")</f>
        <v/>
      </c>
      <c r="D2429">
        <f>IF($Q2429="","",INDEX(상세표[직위],$Q2429)&amp;"")</f>
        <v/>
      </c>
      <c r="E2429">
        <f>IF($Q2429="","",IF(ISNUMBER(INDEX(상세표[근무일자],$Q2429)),TEXT(INDEX(상세표[근무일자],$Q2429),"yyyy-mm-dd"),INDEX(상세표[근무일자],$Q2429)&amp;""))</f>
        <v/>
      </c>
      <c r="F2429">
        <f>IF($Q2429="","",IF(ISNUMBER(INDEX(상세표[시작],$Q2429)),TEXT(INDEX(상세표[시작],$Q2429),"yyyy-mm-dd hh:mm"),INDEX(상세표[시작],$Q2429)&amp;""))</f>
        <v/>
      </c>
      <c r="G2429">
        <f>IF($Q2429="","",IF(ISNUMBER(INDEX(상세표[블록종료],$Q2429)),TEXT(INDEX(상세표[블록종료],$Q2429),"yyyy-mm-dd hh:mm"),INDEX(상세표[블록종료],$Q2429)&amp;""))</f>
        <v/>
      </c>
      <c r="H2429">
        <f>IF($Q2429="","",CHOOSE(WEEKDAY(INDEX(상세표[시작],$Q2429)),"일","월","화","수","목","금","토"))</f>
        <v/>
      </c>
      <c r="I2429" s="20">
        <f>IF($Q2429="","",INDEX(상세표[연속 시간],$Q2429))</f>
        <v/>
      </c>
      <c r="J2429">
        <f>IF($Q2429="","",INDEX(상세표[기록 수],$Q2429))</f>
        <v/>
      </c>
      <c r="K2429" s="20">
        <f>IF($Q2429="","",INDEX(상세표[블록 06~07시],$Q2429))</f>
        <v/>
      </c>
      <c r="L2429" s="20">
        <f>IF($Q2429="","",INDEX(상세표[블록 07~18시],$Q2429))</f>
        <v/>
      </c>
      <c r="M2429" s="20">
        <f>IF($Q2429="","",INDEX(상세표[블록 18~22시],$Q2429))</f>
        <v/>
      </c>
      <c r="N2429" s="20">
        <f>IF($Q2429="","",INDEX(상세표[블록 22~06시],$Q2429))</f>
        <v/>
      </c>
      <c r="O2429">
        <f>IF($Q2429="","",INDEX(상세표[주말·휴일 포함],$Q2429)&amp;"")</f>
        <v/>
      </c>
      <c r="P2429">
        <f>IF($Q2429="","",INDEX(상세표[월 넘김 포함],$Q2429)&amp;"")</f>
        <v/>
      </c>
      <c r="Q2429" s="4">
        <f>IFERROR(MATCH(2424,상세표[연속순번],0),"")</f>
        <v/>
      </c>
    </row>
    <row r="2430">
      <c r="A2430">
        <f>IF($Q2430="","",INDEX(상세표[부서],$Q2430)&amp;"")</f>
        <v/>
      </c>
      <c r="B2430">
        <f>IF($Q2430="","",INDEX(상세표[사번],$Q2430)&amp;"")</f>
        <v/>
      </c>
      <c r="C2430">
        <f>IF($Q2430="","",INDEX(상세표[성명],$Q2430)&amp;"")</f>
        <v/>
      </c>
      <c r="D2430">
        <f>IF($Q2430="","",INDEX(상세표[직위],$Q2430)&amp;"")</f>
        <v/>
      </c>
      <c r="E2430">
        <f>IF($Q2430="","",IF(ISNUMBER(INDEX(상세표[근무일자],$Q2430)),TEXT(INDEX(상세표[근무일자],$Q2430),"yyyy-mm-dd"),INDEX(상세표[근무일자],$Q2430)&amp;""))</f>
        <v/>
      </c>
      <c r="F2430">
        <f>IF($Q2430="","",IF(ISNUMBER(INDEX(상세표[시작],$Q2430)),TEXT(INDEX(상세표[시작],$Q2430),"yyyy-mm-dd hh:mm"),INDEX(상세표[시작],$Q2430)&amp;""))</f>
        <v/>
      </c>
      <c r="G2430">
        <f>IF($Q2430="","",IF(ISNUMBER(INDEX(상세표[블록종료],$Q2430)),TEXT(INDEX(상세표[블록종료],$Q2430),"yyyy-mm-dd hh:mm"),INDEX(상세표[블록종료],$Q2430)&amp;""))</f>
        <v/>
      </c>
      <c r="H2430">
        <f>IF($Q2430="","",CHOOSE(WEEKDAY(INDEX(상세표[시작],$Q2430)),"일","월","화","수","목","금","토"))</f>
        <v/>
      </c>
      <c r="I2430" s="20">
        <f>IF($Q2430="","",INDEX(상세표[연속 시간],$Q2430))</f>
        <v/>
      </c>
      <c r="J2430">
        <f>IF($Q2430="","",INDEX(상세표[기록 수],$Q2430))</f>
        <v/>
      </c>
      <c r="K2430" s="20">
        <f>IF($Q2430="","",INDEX(상세표[블록 06~07시],$Q2430))</f>
        <v/>
      </c>
      <c r="L2430" s="20">
        <f>IF($Q2430="","",INDEX(상세표[블록 07~18시],$Q2430))</f>
        <v/>
      </c>
      <c r="M2430" s="20">
        <f>IF($Q2430="","",INDEX(상세표[블록 18~22시],$Q2430))</f>
        <v/>
      </c>
      <c r="N2430" s="20">
        <f>IF($Q2430="","",INDEX(상세표[블록 22~06시],$Q2430))</f>
        <v/>
      </c>
      <c r="O2430">
        <f>IF($Q2430="","",INDEX(상세표[주말·휴일 포함],$Q2430)&amp;"")</f>
        <v/>
      </c>
      <c r="P2430">
        <f>IF($Q2430="","",INDEX(상세표[월 넘김 포함],$Q2430)&amp;"")</f>
        <v/>
      </c>
      <c r="Q2430" s="4">
        <f>IFERROR(MATCH(2425,상세표[연속순번],0),"")</f>
        <v/>
      </c>
    </row>
    <row r="2431">
      <c r="A2431">
        <f>IF($Q2431="","",INDEX(상세표[부서],$Q2431)&amp;"")</f>
        <v/>
      </c>
      <c r="B2431">
        <f>IF($Q2431="","",INDEX(상세표[사번],$Q2431)&amp;"")</f>
        <v/>
      </c>
      <c r="C2431">
        <f>IF($Q2431="","",INDEX(상세표[성명],$Q2431)&amp;"")</f>
        <v/>
      </c>
      <c r="D2431">
        <f>IF($Q2431="","",INDEX(상세표[직위],$Q2431)&amp;"")</f>
        <v/>
      </c>
      <c r="E2431">
        <f>IF($Q2431="","",IF(ISNUMBER(INDEX(상세표[근무일자],$Q2431)),TEXT(INDEX(상세표[근무일자],$Q2431),"yyyy-mm-dd"),INDEX(상세표[근무일자],$Q2431)&amp;""))</f>
        <v/>
      </c>
      <c r="F2431">
        <f>IF($Q2431="","",IF(ISNUMBER(INDEX(상세표[시작],$Q2431)),TEXT(INDEX(상세표[시작],$Q2431),"yyyy-mm-dd hh:mm"),INDEX(상세표[시작],$Q2431)&amp;""))</f>
        <v/>
      </c>
      <c r="G2431">
        <f>IF($Q2431="","",IF(ISNUMBER(INDEX(상세표[블록종료],$Q2431)),TEXT(INDEX(상세표[블록종료],$Q2431),"yyyy-mm-dd hh:mm"),INDEX(상세표[블록종료],$Q2431)&amp;""))</f>
        <v/>
      </c>
      <c r="H2431">
        <f>IF($Q2431="","",CHOOSE(WEEKDAY(INDEX(상세표[시작],$Q2431)),"일","월","화","수","목","금","토"))</f>
        <v/>
      </c>
      <c r="I2431" s="20">
        <f>IF($Q2431="","",INDEX(상세표[연속 시간],$Q2431))</f>
        <v/>
      </c>
      <c r="J2431">
        <f>IF($Q2431="","",INDEX(상세표[기록 수],$Q2431))</f>
        <v/>
      </c>
      <c r="K2431" s="20">
        <f>IF($Q2431="","",INDEX(상세표[블록 06~07시],$Q2431))</f>
        <v/>
      </c>
      <c r="L2431" s="20">
        <f>IF($Q2431="","",INDEX(상세표[블록 07~18시],$Q2431))</f>
        <v/>
      </c>
      <c r="M2431" s="20">
        <f>IF($Q2431="","",INDEX(상세표[블록 18~22시],$Q2431))</f>
        <v/>
      </c>
      <c r="N2431" s="20">
        <f>IF($Q2431="","",INDEX(상세표[블록 22~06시],$Q2431))</f>
        <v/>
      </c>
      <c r="O2431">
        <f>IF($Q2431="","",INDEX(상세표[주말·휴일 포함],$Q2431)&amp;"")</f>
        <v/>
      </c>
      <c r="P2431">
        <f>IF($Q2431="","",INDEX(상세표[월 넘김 포함],$Q2431)&amp;"")</f>
        <v/>
      </c>
      <c r="Q2431" s="4">
        <f>IFERROR(MATCH(2426,상세표[연속순번],0),"")</f>
        <v/>
      </c>
    </row>
    <row r="2432">
      <c r="A2432">
        <f>IF($Q2432="","",INDEX(상세표[부서],$Q2432)&amp;"")</f>
        <v/>
      </c>
      <c r="B2432">
        <f>IF($Q2432="","",INDEX(상세표[사번],$Q2432)&amp;"")</f>
        <v/>
      </c>
      <c r="C2432">
        <f>IF($Q2432="","",INDEX(상세표[성명],$Q2432)&amp;"")</f>
        <v/>
      </c>
      <c r="D2432">
        <f>IF($Q2432="","",INDEX(상세표[직위],$Q2432)&amp;"")</f>
        <v/>
      </c>
      <c r="E2432">
        <f>IF($Q2432="","",IF(ISNUMBER(INDEX(상세표[근무일자],$Q2432)),TEXT(INDEX(상세표[근무일자],$Q2432),"yyyy-mm-dd"),INDEX(상세표[근무일자],$Q2432)&amp;""))</f>
        <v/>
      </c>
      <c r="F2432">
        <f>IF($Q2432="","",IF(ISNUMBER(INDEX(상세표[시작],$Q2432)),TEXT(INDEX(상세표[시작],$Q2432),"yyyy-mm-dd hh:mm"),INDEX(상세표[시작],$Q2432)&amp;""))</f>
        <v/>
      </c>
      <c r="G2432">
        <f>IF($Q2432="","",IF(ISNUMBER(INDEX(상세표[블록종료],$Q2432)),TEXT(INDEX(상세표[블록종료],$Q2432),"yyyy-mm-dd hh:mm"),INDEX(상세표[블록종료],$Q2432)&amp;""))</f>
        <v/>
      </c>
      <c r="H2432">
        <f>IF($Q2432="","",CHOOSE(WEEKDAY(INDEX(상세표[시작],$Q2432)),"일","월","화","수","목","금","토"))</f>
        <v/>
      </c>
      <c r="I2432" s="20">
        <f>IF($Q2432="","",INDEX(상세표[연속 시간],$Q2432))</f>
        <v/>
      </c>
      <c r="J2432">
        <f>IF($Q2432="","",INDEX(상세표[기록 수],$Q2432))</f>
        <v/>
      </c>
      <c r="K2432" s="20">
        <f>IF($Q2432="","",INDEX(상세표[블록 06~07시],$Q2432))</f>
        <v/>
      </c>
      <c r="L2432" s="20">
        <f>IF($Q2432="","",INDEX(상세표[블록 07~18시],$Q2432))</f>
        <v/>
      </c>
      <c r="M2432" s="20">
        <f>IF($Q2432="","",INDEX(상세표[블록 18~22시],$Q2432))</f>
        <v/>
      </c>
      <c r="N2432" s="20">
        <f>IF($Q2432="","",INDEX(상세표[블록 22~06시],$Q2432))</f>
        <v/>
      </c>
      <c r="O2432">
        <f>IF($Q2432="","",INDEX(상세표[주말·휴일 포함],$Q2432)&amp;"")</f>
        <v/>
      </c>
      <c r="P2432">
        <f>IF($Q2432="","",INDEX(상세표[월 넘김 포함],$Q2432)&amp;"")</f>
        <v/>
      </c>
      <c r="Q2432" s="4">
        <f>IFERROR(MATCH(2427,상세표[연속순번],0),"")</f>
        <v/>
      </c>
    </row>
    <row r="2433">
      <c r="A2433">
        <f>IF($Q2433="","",INDEX(상세표[부서],$Q2433)&amp;"")</f>
        <v/>
      </c>
      <c r="B2433">
        <f>IF($Q2433="","",INDEX(상세표[사번],$Q2433)&amp;"")</f>
        <v/>
      </c>
      <c r="C2433">
        <f>IF($Q2433="","",INDEX(상세표[성명],$Q2433)&amp;"")</f>
        <v/>
      </c>
      <c r="D2433">
        <f>IF($Q2433="","",INDEX(상세표[직위],$Q2433)&amp;"")</f>
        <v/>
      </c>
      <c r="E2433">
        <f>IF($Q2433="","",IF(ISNUMBER(INDEX(상세표[근무일자],$Q2433)),TEXT(INDEX(상세표[근무일자],$Q2433),"yyyy-mm-dd"),INDEX(상세표[근무일자],$Q2433)&amp;""))</f>
        <v/>
      </c>
      <c r="F2433">
        <f>IF($Q2433="","",IF(ISNUMBER(INDEX(상세표[시작],$Q2433)),TEXT(INDEX(상세표[시작],$Q2433),"yyyy-mm-dd hh:mm"),INDEX(상세표[시작],$Q2433)&amp;""))</f>
        <v/>
      </c>
      <c r="G2433">
        <f>IF($Q2433="","",IF(ISNUMBER(INDEX(상세표[블록종료],$Q2433)),TEXT(INDEX(상세표[블록종료],$Q2433),"yyyy-mm-dd hh:mm"),INDEX(상세표[블록종료],$Q2433)&amp;""))</f>
        <v/>
      </c>
      <c r="H2433">
        <f>IF($Q2433="","",CHOOSE(WEEKDAY(INDEX(상세표[시작],$Q2433)),"일","월","화","수","목","금","토"))</f>
        <v/>
      </c>
      <c r="I2433" s="20">
        <f>IF($Q2433="","",INDEX(상세표[연속 시간],$Q2433))</f>
        <v/>
      </c>
      <c r="J2433">
        <f>IF($Q2433="","",INDEX(상세표[기록 수],$Q2433))</f>
        <v/>
      </c>
      <c r="K2433" s="20">
        <f>IF($Q2433="","",INDEX(상세표[블록 06~07시],$Q2433))</f>
        <v/>
      </c>
      <c r="L2433" s="20">
        <f>IF($Q2433="","",INDEX(상세표[블록 07~18시],$Q2433))</f>
        <v/>
      </c>
      <c r="M2433" s="20">
        <f>IF($Q2433="","",INDEX(상세표[블록 18~22시],$Q2433))</f>
        <v/>
      </c>
      <c r="N2433" s="20">
        <f>IF($Q2433="","",INDEX(상세표[블록 22~06시],$Q2433))</f>
        <v/>
      </c>
      <c r="O2433">
        <f>IF($Q2433="","",INDEX(상세표[주말·휴일 포함],$Q2433)&amp;"")</f>
        <v/>
      </c>
      <c r="P2433">
        <f>IF($Q2433="","",INDEX(상세표[월 넘김 포함],$Q2433)&amp;"")</f>
        <v/>
      </c>
      <c r="Q2433" s="4">
        <f>IFERROR(MATCH(2428,상세표[연속순번],0),"")</f>
        <v/>
      </c>
    </row>
    <row r="2434">
      <c r="A2434">
        <f>IF($Q2434="","",INDEX(상세표[부서],$Q2434)&amp;"")</f>
        <v/>
      </c>
      <c r="B2434">
        <f>IF($Q2434="","",INDEX(상세표[사번],$Q2434)&amp;"")</f>
        <v/>
      </c>
      <c r="C2434">
        <f>IF($Q2434="","",INDEX(상세표[성명],$Q2434)&amp;"")</f>
        <v/>
      </c>
      <c r="D2434">
        <f>IF($Q2434="","",INDEX(상세표[직위],$Q2434)&amp;"")</f>
        <v/>
      </c>
      <c r="E2434">
        <f>IF($Q2434="","",IF(ISNUMBER(INDEX(상세표[근무일자],$Q2434)),TEXT(INDEX(상세표[근무일자],$Q2434),"yyyy-mm-dd"),INDEX(상세표[근무일자],$Q2434)&amp;""))</f>
        <v/>
      </c>
      <c r="F2434">
        <f>IF($Q2434="","",IF(ISNUMBER(INDEX(상세표[시작],$Q2434)),TEXT(INDEX(상세표[시작],$Q2434),"yyyy-mm-dd hh:mm"),INDEX(상세표[시작],$Q2434)&amp;""))</f>
        <v/>
      </c>
      <c r="G2434">
        <f>IF($Q2434="","",IF(ISNUMBER(INDEX(상세표[블록종료],$Q2434)),TEXT(INDEX(상세표[블록종료],$Q2434),"yyyy-mm-dd hh:mm"),INDEX(상세표[블록종료],$Q2434)&amp;""))</f>
        <v/>
      </c>
      <c r="H2434">
        <f>IF($Q2434="","",CHOOSE(WEEKDAY(INDEX(상세표[시작],$Q2434)),"일","월","화","수","목","금","토"))</f>
        <v/>
      </c>
      <c r="I2434" s="20">
        <f>IF($Q2434="","",INDEX(상세표[연속 시간],$Q2434))</f>
        <v/>
      </c>
      <c r="J2434">
        <f>IF($Q2434="","",INDEX(상세표[기록 수],$Q2434))</f>
        <v/>
      </c>
      <c r="K2434" s="20">
        <f>IF($Q2434="","",INDEX(상세표[블록 06~07시],$Q2434))</f>
        <v/>
      </c>
      <c r="L2434" s="20">
        <f>IF($Q2434="","",INDEX(상세표[블록 07~18시],$Q2434))</f>
        <v/>
      </c>
      <c r="M2434" s="20">
        <f>IF($Q2434="","",INDEX(상세표[블록 18~22시],$Q2434))</f>
        <v/>
      </c>
      <c r="N2434" s="20">
        <f>IF($Q2434="","",INDEX(상세표[블록 22~06시],$Q2434))</f>
        <v/>
      </c>
      <c r="O2434">
        <f>IF($Q2434="","",INDEX(상세표[주말·휴일 포함],$Q2434)&amp;"")</f>
        <v/>
      </c>
      <c r="P2434">
        <f>IF($Q2434="","",INDEX(상세표[월 넘김 포함],$Q2434)&amp;"")</f>
        <v/>
      </c>
      <c r="Q2434" s="4">
        <f>IFERROR(MATCH(2429,상세표[연속순번],0),"")</f>
        <v/>
      </c>
    </row>
    <row r="2435">
      <c r="A2435">
        <f>IF($Q2435="","",INDEX(상세표[부서],$Q2435)&amp;"")</f>
        <v/>
      </c>
      <c r="B2435">
        <f>IF($Q2435="","",INDEX(상세표[사번],$Q2435)&amp;"")</f>
        <v/>
      </c>
      <c r="C2435">
        <f>IF($Q2435="","",INDEX(상세표[성명],$Q2435)&amp;"")</f>
        <v/>
      </c>
      <c r="D2435">
        <f>IF($Q2435="","",INDEX(상세표[직위],$Q2435)&amp;"")</f>
        <v/>
      </c>
      <c r="E2435">
        <f>IF($Q2435="","",IF(ISNUMBER(INDEX(상세표[근무일자],$Q2435)),TEXT(INDEX(상세표[근무일자],$Q2435),"yyyy-mm-dd"),INDEX(상세표[근무일자],$Q2435)&amp;""))</f>
        <v/>
      </c>
      <c r="F2435">
        <f>IF($Q2435="","",IF(ISNUMBER(INDEX(상세표[시작],$Q2435)),TEXT(INDEX(상세표[시작],$Q2435),"yyyy-mm-dd hh:mm"),INDEX(상세표[시작],$Q2435)&amp;""))</f>
        <v/>
      </c>
      <c r="G2435">
        <f>IF($Q2435="","",IF(ISNUMBER(INDEX(상세표[블록종료],$Q2435)),TEXT(INDEX(상세표[블록종료],$Q2435),"yyyy-mm-dd hh:mm"),INDEX(상세표[블록종료],$Q2435)&amp;""))</f>
        <v/>
      </c>
      <c r="H2435">
        <f>IF($Q2435="","",CHOOSE(WEEKDAY(INDEX(상세표[시작],$Q2435)),"일","월","화","수","목","금","토"))</f>
        <v/>
      </c>
      <c r="I2435" s="20">
        <f>IF($Q2435="","",INDEX(상세표[연속 시간],$Q2435))</f>
        <v/>
      </c>
      <c r="J2435">
        <f>IF($Q2435="","",INDEX(상세표[기록 수],$Q2435))</f>
        <v/>
      </c>
      <c r="K2435" s="20">
        <f>IF($Q2435="","",INDEX(상세표[블록 06~07시],$Q2435))</f>
        <v/>
      </c>
      <c r="L2435" s="20">
        <f>IF($Q2435="","",INDEX(상세표[블록 07~18시],$Q2435))</f>
        <v/>
      </c>
      <c r="M2435" s="20">
        <f>IF($Q2435="","",INDEX(상세표[블록 18~22시],$Q2435))</f>
        <v/>
      </c>
      <c r="N2435" s="20">
        <f>IF($Q2435="","",INDEX(상세표[블록 22~06시],$Q2435))</f>
        <v/>
      </c>
      <c r="O2435">
        <f>IF($Q2435="","",INDEX(상세표[주말·휴일 포함],$Q2435)&amp;"")</f>
        <v/>
      </c>
      <c r="P2435">
        <f>IF($Q2435="","",INDEX(상세표[월 넘김 포함],$Q2435)&amp;"")</f>
        <v/>
      </c>
      <c r="Q2435" s="4">
        <f>IFERROR(MATCH(2430,상세표[연속순번],0),"")</f>
        <v/>
      </c>
    </row>
    <row r="2436">
      <c r="A2436">
        <f>IF($Q2436="","",INDEX(상세표[부서],$Q2436)&amp;"")</f>
        <v/>
      </c>
      <c r="B2436">
        <f>IF($Q2436="","",INDEX(상세표[사번],$Q2436)&amp;"")</f>
        <v/>
      </c>
      <c r="C2436">
        <f>IF($Q2436="","",INDEX(상세표[성명],$Q2436)&amp;"")</f>
        <v/>
      </c>
      <c r="D2436">
        <f>IF($Q2436="","",INDEX(상세표[직위],$Q2436)&amp;"")</f>
        <v/>
      </c>
      <c r="E2436">
        <f>IF($Q2436="","",IF(ISNUMBER(INDEX(상세표[근무일자],$Q2436)),TEXT(INDEX(상세표[근무일자],$Q2436),"yyyy-mm-dd"),INDEX(상세표[근무일자],$Q2436)&amp;""))</f>
        <v/>
      </c>
      <c r="F2436">
        <f>IF($Q2436="","",IF(ISNUMBER(INDEX(상세표[시작],$Q2436)),TEXT(INDEX(상세표[시작],$Q2436),"yyyy-mm-dd hh:mm"),INDEX(상세표[시작],$Q2436)&amp;""))</f>
        <v/>
      </c>
      <c r="G2436">
        <f>IF($Q2436="","",IF(ISNUMBER(INDEX(상세표[블록종료],$Q2436)),TEXT(INDEX(상세표[블록종료],$Q2436),"yyyy-mm-dd hh:mm"),INDEX(상세표[블록종료],$Q2436)&amp;""))</f>
        <v/>
      </c>
      <c r="H2436">
        <f>IF($Q2436="","",CHOOSE(WEEKDAY(INDEX(상세표[시작],$Q2436)),"일","월","화","수","목","금","토"))</f>
        <v/>
      </c>
      <c r="I2436" s="20">
        <f>IF($Q2436="","",INDEX(상세표[연속 시간],$Q2436))</f>
        <v/>
      </c>
      <c r="J2436">
        <f>IF($Q2436="","",INDEX(상세표[기록 수],$Q2436))</f>
        <v/>
      </c>
      <c r="K2436" s="20">
        <f>IF($Q2436="","",INDEX(상세표[블록 06~07시],$Q2436))</f>
        <v/>
      </c>
      <c r="L2436" s="20">
        <f>IF($Q2436="","",INDEX(상세표[블록 07~18시],$Q2436))</f>
        <v/>
      </c>
      <c r="M2436" s="20">
        <f>IF($Q2436="","",INDEX(상세표[블록 18~22시],$Q2436))</f>
        <v/>
      </c>
      <c r="N2436" s="20">
        <f>IF($Q2436="","",INDEX(상세표[블록 22~06시],$Q2436))</f>
        <v/>
      </c>
      <c r="O2436">
        <f>IF($Q2436="","",INDEX(상세표[주말·휴일 포함],$Q2436)&amp;"")</f>
        <v/>
      </c>
      <c r="P2436">
        <f>IF($Q2436="","",INDEX(상세표[월 넘김 포함],$Q2436)&amp;"")</f>
        <v/>
      </c>
      <c r="Q2436" s="4">
        <f>IFERROR(MATCH(2431,상세표[연속순번],0),"")</f>
        <v/>
      </c>
    </row>
    <row r="2437">
      <c r="A2437">
        <f>IF($Q2437="","",INDEX(상세표[부서],$Q2437)&amp;"")</f>
        <v/>
      </c>
      <c r="B2437">
        <f>IF($Q2437="","",INDEX(상세표[사번],$Q2437)&amp;"")</f>
        <v/>
      </c>
      <c r="C2437">
        <f>IF($Q2437="","",INDEX(상세표[성명],$Q2437)&amp;"")</f>
        <v/>
      </c>
      <c r="D2437">
        <f>IF($Q2437="","",INDEX(상세표[직위],$Q2437)&amp;"")</f>
        <v/>
      </c>
      <c r="E2437">
        <f>IF($Q2437="","",IF(ISNUMBER(INDEX(상세표[근무일자],$Q2437)),TEXT(INDEX(상세표[근무일자],$Q2437),"yyyy-mm-dd"),INDEX(상세표[근무일자],$Q2437)&amp;""))</f>
        <v/>
      </c>
      <c r="F2437">
        <f>IF($Q2437="","",IF(ISNUMBER(INDEX(상세표[시작],$Q2437)),TEXT(INDEX(상세표[시작],$Q2437),"yyyy-mm-dd hh:mm"),INDEX(상세표[시작],$Q2437)&amp;""))</f>
        <v/>
      </c>
      <c r="G2437">
        <f>IF($Q2437="","",IF(ISNUMBER(INDEX(상세표[블록종료],$Q2437)),TEXT(INDEX(상세표[블록종료],$Q2437),"yyyy-mm-dd hh:mm"),INDEX(상세표[블록종료],$Q2437)&amp;""))</f>
        <v/>
      </c>
      <c r="H2437">
        <f>IF($Q2437="","",CHOOSE(WEEKDAY(INDEX(상세표[시작],$Q2437)),"일","월","화","수","목","금","토"))</f>
        <v/>
      </c>
      <c r="I2437" s="20">
        <f>IF($Q2437="","",INDEX(상세표[연속 시간],$Q2437))</f>
        <v/>
      </c>
      <c r="J2437">
        <f>IF($Q2437="","",INDEX(상세표[기록 수],$Q2437))</f>
        <v/>
      </c>
      <c r="K2437" s="20">
        <f>IF($Q2437="","",INDEX(상세표[블록 06~07시],$Q2437))</f>
        <v/>
      </c>
      <c r="L2437" s="20">
        <f>IF($Q2437="","",INDEX(상세표[블록 07~18시],$Q2437))</f>
        <v/>
      </c>
      <c r="M2437" s="20">
        <f>IF($Q2437="","",INDEX(상세표[블록 18~22시],$Q2437))</f>
        <v/>
      </c>
      <c r="N2437" s="20">
        <f>IF($Q2437="","",INDEX(상세표[블록 22~06시],$Q2437))</f>
        <v/>
      </c>
      <c r="O2437">
        <f>IF($Q2437="","",INDEX(상세표[주말·휴일 포함],$Q2437)&amp;"")</f>
        <v/>
      </c>
      <c r="P2437">
        <f>IF($Q2437="","",INDEX(상세표[월 넘김 포함],$Q2437)&amp;"")</f>
        <v/>
      </c>
      <c r="Q2437" s="4">
        <f>IFERROR(MATCH(2432,상세표[연속순번],0),"")</f>
        <v/>
      </c>
    </row>
    <row r="2438">
      <c r="A2438">
        <f>IF($Q2438="","",INDEX(상세표[부서],$Q2438)&amp;"")</f>
        <v/>
      </c>
      <c r="B2438">
        <f>IF($Q2438="","",INDEX(상세표[사번],$Q2438)&amp;"")</f>
        <v/>
      </c>
      <c r="C2438">
        <f>IF($Q2438="","",INDEX(상세표[성명],$Q2438)&amp;"")</f>
        <v/>
      </c>
      <c r="D2438">
        <f>IF($Q2438="","",INDEX(상세표[직위],$Q2438)&amp;"")</f>
        <v/>
      </c>
      <c r="E2438">
        <f>IF($Q2438="","",IF(ISNUMBER(INDEX(상세표[근무일자],$Q2438)),TEXT(INDEX(상세표[근무일자],$Q2438),"yyyy-mm-dd"),INDEX(상세표[근무일자],$Q2438)&amp;""))</f>
        <v/>
      </c>
      <c r="F2438">
        <f>IF($Q2438="","",IF(ISNUMBER(INDEX(상세표[시작],$Q2438)),TEXT(INDEX(상세표[시작],$Q2438),"yyyy-mm-dd hh:mm"),INDEX(상세표[시작],$Q2438)&amp;""))</f>
        <v/>
      </c>
      <c r="G2438">
        <f>IF($Q2438="","",IF(ISNUMBER(INDEX(상세표[블록종료],$Q2438)),TEXT(INDEX(상세표[블록종료],$Q2438),"yyyy-mm-dd hh:mm"),INDEX(상세표[블록종료],$Q2438)&amp;""))</f>
        <v/>
      </c>
      <c r="H2438">
        <f>IF($Q2438="","",CHOOSE(WEEKDAY(INDEX(상세표[시작],$Q2438)),"일","월","화","수","목","금","토"))</f>
        <v/>
      </c>
      <c r="I2438" s="20">
        <f>IF($Q2438="","",INDEX(상세표[연속 시간],$Q2438))</f>
        <v/>
      </c>
      <c r="J2438">
        <f>IF($Q2438="","",INDEX(상세표[기록 수],$Q2438))</f>
        <v/>
      </c>
      <c r="K2438" s="20">
        <f>IF($Q2438="","",INDEX(상세표[블록 06~07시],$Q2438))</f>
        <v/>
      </c>
      <c r="L2438" s="20">
        <f>IF($Q2438="","",INDEX(상세표[블록 07~18시],$Q2438))</f>
        <v/>
      </c>
      <c r="M2438" s="20">
        <f>IF($Q2438="","",INDEX(상세표[블록 18~22시],$Q2438))</f>
        <v/>
      </c>
      <c r="N2438" s="20">
        <f>IF($Q2438="","",INDEX(상세표[블록 22~06시],$Q2438))</f>
        <v/>
      </c>
      <c r="O2438">
        <f>IF($Q2438="","",INDEX(상세표[주말·휴일 포함],$Q2438)&amp;"")</f>
        <v/>
      </c>
      <c r="P2438">
        <f>IF($Q2438="","",INDEX(상세표[월 넘김 포함],$Q2438)&amp;"")</f>
        <v/>
      </c>
      <c r="Q2438" s="4">
        <f>IFERROR(MATCH(2433,상세표[연속순번],0),"")</f>
        <v/>
      </c>
    </row>
    <row r="2439">
      <c r="A2439">
        <f>IF($Q2439="","",INDEX(상세표[부서],$Q2439)&amp;"")</f>
        <v/>
      </c>
      <c r="B2439">
        <f>IF($Q2439="","",INDEX(상세표[사번],$Q2439)&amp;"")</f>
        <v/>
      </c>
      <c r="C2439">
        <f>IF($Q2439="","",INDEX(상세표[성명],$Q2439)&amp;"")</f>
        <v/>
      </c>
      <c r="D2439">
        <f>IF($Q2439="","",INDEX(상세표[직위],$Q2439)&amp;"")</f>
        <v/>
      </c>
      <c r="E2439">
        <f>IF($Q2439="","",IF(ISNUMBER(INDEX(상세표[근무일자],$Q2439)),TEXT(INDEX(상세표[근무일자],$Q2439),"yyyy-mm-dd"),INDEX(상세표[근무일자],$Q2439)&amp;""))</f>
        <v/>
      </c>
      <c r="F2439">
        <f>IF($Q2439="","",IF(ISNUMBER(INDEX(상세표[시작],$Q2439)),TEXT(INDEX(상세표[시작],$Q2439),"yyyy-mm-dd hh:mm"),INDEX(상세표[시작],$Q2439)&amp;""))</f>
        <v/>
      </c>
      <c r="G2439">
        <f>IF($Q2439="","",IF(ISNUMBER(INDEX(상세표[블록종료],$Q2439)),TEXT(INDEX(상세표[블록종료],$Q2439),"yyyy-mm-dd hh:mm"),INDEX(상세표[블록종료],$Q2439)&amp;""))</f>
        <v/>
      </c>
      <c r="H2439">
        <f>IF($Q2439="","",CHOOSE(WEEKDAY(INDEX(상세표[시작],$Q2439)),"일","월","화","수","목","금","토"))</f>
        <v/>
      </c>
      <c r="I2439" s="20">
        <f>IF($Q2439="","",INDEX(상세표[연속 시간],$Q2439))</f>
        <v/>
      </c>
      <c r="J2439">
        <f>IF($Q2439="","",INDEX(상세표[기록 수],$Q2439))</f>
        <v/>
      </c>
      <c r="K2439" s="20">
        <f>IF($Q2439="","",INDEX(상세표[블록 06~07시],$Q2439))</f>
        <v/>
      </c>
      <c r="L2439" s="20">
        <f>IF($Q2439="","",INDEX(상세표[블록 07~18시],$Q2439))</f>
        <v/>
      </c>
      <c r="M2439" s="20">
        <f>IF($Q2439="","",INDEX(상세표[블록 18~22시],$Q2439))</f>
        <v/>
      </c>
      <c r="N2439" s="20">
        <f>IF($Q2439="","",INDEX(상세표[블록 22~06시],$Q2439))</f>
        <v/>
      </c>
      <c r="O2439">
        <f>IF($Q2439="","",INDEX(상세표[주말·휴일 포함],$Q2439)&amp;"")</f>
        <v/>
      </c>
      <c r="P2439">
        <f>IF($Q2439="","",INDEX(상세표[월 넘김 포함],$Q2439)&amp;"")</f>
        <v/>
      </c>
      <c r="Q2439" s="4">
        <f>IFERROR(MATCH(2434,상세표[연속순번],0),"")</f>
        <v/>
      </c>
    </row>
    <row r="2440">
      <c r="A2440">
        <f>IF($Q2440="","",INDEX(상세표[부서],$Q2440)&amp;"")</f>
        <v/>
      </c>
      <c r="B2440">
        <f>IF($Q2440="","",INDEX(상세표[사번],$Q2440)&amp;"")</f>
        <v/>
      </c>
      <c r="C2440">
        <f>IF($Q2440="","",INDEX(상세표[성명],$Q2440)&amp;"")</f>
        <v/>
      </c>
      <c r="D2440">
        <f>IF($Q2440="","",INDEX(상세표[직위],$Q2440)&amp;"")</f>
        <v/>
      </c>
      <c r="E2440">
        <f>IF($Q2440="","",IF(ISNUMBER(INDEX(상세표[근무일자],$Q2440)),TEXT(INDEX(상세표[근무일자],$Q2440),"yyyy-mm-dd"),INDEX(상세표[근무일자],$Q2440)&amp;""))</f>
        <v/>
      </c>
      <c r="F2440">
        <f>IF($Q2440="","",IF(ISNUMBER(INDEX(상세표[시작],$Q2440)),TEXT(INDEX(상세표[시작],$Q2440),"yyyy-mm-dd hh:mm"),INDEX(상세표[시작],$Q2440)&amp;""))</f>
        <v/>
      </c>
      <c r="G2440">
        <f>IF($Q2440="","",IF(ISNUMBER(INDEX(상세표[블록종료],$Q2440)),TEXT(INDEX(상세표[블록종료],$Q2440),"yyyy-mm-dd hh:mm"),INDEX(상세표[블록종료],$Q2440)&amp;""))</f>
        <v/>
      </c>
      <c r="H2440">
        <f>IF($Q2440="","",CHOOSE(WEEKDAY(INDEX(상세표[시작],$Q2440)),"일","월","화","수","목","금","토"))</f>
        <v/>
      </c>
      <c r="I2440" s="20">
        <f>IF($Q2440="","",INDEX(상세표[연속 시간],$Q2440))</f>
        <v/>
      </c>
      <c r="J2440">
        <f>IF($Q2440="","",INDEX(상세표[기록 수],$Q2440))</f>
        <v/>
      </c>
      <c r="K2440" s="20">
        <f>IF($Q2440="","",INDEX(상세표[블록 06~07시],$Q2440))</f>
        <v/>
      </c>
      <c r="L2440" s="20">
        <f>IF($Q2440="","",INDEX(상세표[블록 07~18시],$Q2440))</f>
        <v/>
      </c>
      <c r="M2440" s="20">
        <f>IF($Q2440="","",INDEX(상세표[블록 18~22시],$Q2440))</f>
        <v/>
      </c>
      <c r="N2440" s="20">
        <f>IF($Q2440="","",INDEX(상세표[블록 22~06시],$Q2440))</f>
        <v/>
      </c>
      <c r="O2440">
        <f>IF($Q2440="","",INDEX(상세표[주말·휴일 포함],$Q2440)&amp;"")</f>
        <v/>
      </c>
      <c r="P2440">
        <f>IF($Q2440="","",INDEX(상세표[월 넘김 포함],$Q2440)&amp;"")</f>
        <v/>
      </c>
      <c r="Q2440" s="4">
        <f>IFERROR(MATCH(2435,상세표[연속순번],0),"")</f>
        <v/>
      </c>
    </row>
    <row r="2441">
      <c r="A2441">
        <f>IF($Q2441="","",INDEX(상세표[부서],$Q2441)&amp;"")</f>
        <v/>
      </c>
      <c r="B2441">
        <f>IF($Q2441="","",INDEX(상세표[사번],$Q2441)&amp;"")</f>
        <v/>
      </c>
      <c r="C2441">
        <f>IF($Q2441="","",INDEX(상세표[성명],$Q2441)&amp;"")</f>
        <v/>
      </c>
      <c r="D2441">
        <f>IF($Q2441="","",INDEX(상세표[직위],$Q2441)&amp;"")</f>
        <v/>
      </c>
      <c r="E2441">
        <f>IF($Q2441="","",IF(ISNUMBER(INDEX(상세표[근무일자],$Q2441)),TEXT(INDEX(상세표[근무일자],$Q2441),"yyyy-mm-dd"),INDEX(상세표[근무일자],$Q2441)&amp;""))</f>
        <v/>
      </c>
      <c r="F2441">
        <f>IF($Q2441="","",IF(ISNUMBER(INDEX(상세표[시작],$Q2441)),TEXT(INDEX(상세표[시작],$Q2441),"yyyy-mm-dd hh:mm"),INDEX(상세표[시작],$Q2441)&amp;""))</f>
        <v/>
      </c>
      <c r="G2441">
        <f>IF($Q2441="","",IF(ISNUMBER(INDEX(상세표[블록종료],$Q2441)),TEXT(INDEX(상세표[블록종료],$Q2441),"yyyy-mm-dd hh:mm"),INDEX(상세표[블록종료],$Q2441)&amp;""))</f>
        <v/>
      </c>
      <c r="H2441">
        <f>IF($Q2441="","",CHOOSE(WEEKDAY(INDEX(상세표[시작],$Q2441)),"일","월","화","수","목","금","토"))</f>
        <v/>
      </c>
      <c r="I2441" s="20">
        <f>IF($Q2441="","",INDEX(상세표[연속 시간],$Q2441))</f>
        <v/>
      </c>
      <c r="J2441">
        <f>IF($Q2441="","",INDEX(상세표[기록 수],$Q2441))</f>
        <v/>
      </c>
      <c r="K2441" s="20">
        <f>IF($Q2441="","",INDEX(상세표[블록 06~07시],$Q2441))</f>
        <v/>
      </c>
      <c r="L2441" s="20">
        <f>IF($Q2441="","",INDEX(상세표[블록 07~18시],$Q2441))</f>
        <v/>
      </c>
      <c r="M2441" s="20">
        <f>IF($Q2441="","",INDEX(상세표[블록 18~22시],$Q2441))</f>
        <v/>
      </c>
      <c r="N2441" s="20">
        <f>IF($Q2441="","",INDEX(상세표[블록 22~06시],$Q2441))</f>
        <v/>
      </c>
      <c r="O2441">
        <f>IF($Q2441="","",INDEX(상세표[주말·휴일 포함],$Q2441)&amp;"")</f>
        <v/>
      </c>
      <c r="P2441">
        <f>IF($Q2441="","",INDEX(상세표[월 넘김 포함],$Q2441)&amp;"")</f>
        <v/>
      </c>
      <c r="Q2441" s="4">
        <f>IFERROR(MATCH(2436,상세표[연속순번],0),"")</f>
        <v/>
      </c>
    </row>
    <row r="2442">
      <c r="A2442">
        <f>IF($Q2442="","",INDEX(상세표[부서],$Q2442)&amp;"")</f>
        <v/>
      </c>
      <c r="B2442">
        <f>IF($Q2442="","",INDEX(상세표[사번],$Q2442)&amp;"")</f>
        <v/>
      </c>
      <c r="C2442">
        <f>IF($Q2442="","",INDEX(상세표[성명],$Q2442)&amp;"")</f>
        <v/>
      </c>
      <c r="D2442">
        <f>IF($Q2442="","",INDEX(상세표[직위],$Q2442)&amp;"")</f>
        <v/>
      </c>
      <c r="E2442">
        <f>IF($Q2442="","",IF(ISNUMBER(INDEX(상세표[근무일자],$Q2442)),TEXT(INDEX(상세표[근무일자],$Q2442),"yyyy-mm-dd"),INDEX(상세표[근무일자],$Q2442)&amp;""))</f>
        <v/>
      </c>
      <c r="F2442">
        <f>IF($Q2442="","",IF(ISNUMBER(INDEX(상세표[시작],$Q2442)),TEXT(INDEX(상세표[시작],$Q2442),"yyyy-mm-dd hh:mm"),INDEX(상세표[시작],$Q2442)&amp;""))</f>
        <v/>
      </c>
      <c r="G2442">
        <f>IF($Q2442="","",IF(ISNUMBER(INDEX(상세표[블록종료],$Q2442)),TEXT(INDEX(상세표[블록종료],$Q2442),"yyyy-mm-dd hh:mm"),INDEX(상세표[블록종료],$Q2442)&amp;""))</f>
        <v/>
      </c>
      <c r="H2442">
        <f>IF($Q2442="","",CHOOSE(WEEKDAY(INDEX(상세표[시작],$Q2442)),"일","월","화","수","목","금","토"))</f>
        <v/>
      </c>
      <c r="I2442" s="20">
        <f>IF($Q2442="","",INDEX(상세표[연속 시간],$Q2442))</f>
        <v/>
      </c>
      <c r="J2442">
        <f>IF($Q2442="","",INDEX(상세표[기록 수],$Q2442))</f>
        <v/>
      </c>
      <c r="K2442" s="20">
        <f>IF($Q2442="","",INDEX(상세표[블록 06~07시],$Q2442))</f>
        <v/>
      </c>
      <c r="L2442" s="20">
        <f>IF($Q2442="","",INDEX(상세표[블록 07~18시],$Q2442))</f>
        <v/>
      </c>
      <c r="M2442" s="20">
        <f>IF($Q2442="","",INDEX(상세표[블록 18~22시],$Q2442))</f>
        <v/>
      </c>
      <c r="N2442" s="20">
        <f>IF($Q2442="","",INDEX(상세표[블록 22~06시],$Q2442))</f>
        <v/>
      </c>
      <c r="O2442">
        <f>IF($Q2442="","",INDEX(상세표[주말·휴일 포함],$Q2442)&amp;"")</f>
        <v/>
      </c>
      <c r="P2442">
        <f>IF($Q2442="","",INDEX(상세표[월 넘김 포함],$Q2442)&amp;"")</f>
        <v/>
      </c>
      <c r="Q2442" s="4">
        <f>IFERROR(MATCH(2437,상세표[연속순번],0),"")</f>
        <v/>
      </c>
    </row>
    <row r="2443">
      <c r="A2443">
        <f>IF($Q2443="","",INDEX(상세표[부서],$Q2443)&amp;"")</f>
        <v/>
      </c>
      <c r="B2443">
        <f>IF($Q2443="","",INDEX(상세표[사번],$Q2443)&amp;"")</f>
        <v/>
      </c>
      <c r="C2443">
        <f>IF($Q2443="","",INDEX(상세표[성명],$Q2443)&amp;"")</f>
        <v/>
      </c>
      <c r="D2443">
        <f>IF($Q2443="","",INDEX(상세표[직위],$Q2443)&amp;"")</f>
        <v/>
      </c>
      <c r="E2443">
        <f>IF($Q2443="","",IF(ISNUMBER(INDEX(상세표[근무일자],$Q2443)),TEXT(INDEX(상세표[근무일자],$Q2443),"yyyy-mm-dd"),INDEX(상세표[근무일자],$Q2443)&amp;""))</f>
        <v/>
      </c>
      <c r="F2443">
        <f>IF($Q2443="","",IF(ISNUMBER(INDEX(상세표[시작],$Q2443)),TEXT(INDEX(상세표[시작],$Q2443),"yyyy-mm-dd hh:mm"),INDEX(상세표[시작],$Q2443)&amp;""))</f>
        <v/>
      </c>
      <c r="G2443">
        <f>IF($Q2443="","",IF(ISNUMBER(INDEX(상세표[블록종료],$Q2443)),TEXT(INDEX(상세표[블록종료],$Q2443),"yyyy-mm-dd hh:mm"),INDEX(상세표[블록종료],$Q2443)&amp;""))</f>
        <v/>
      </c>
      <c r="H2443">
        <f>IF($Q2443="","",CHOOSE(WEEKDAY(INDEX(상세표[시작],$Q2443)),"일","월","화","수","목","금","토"))</f>
        <v/>
      </c>
      <c r="I2443" s="20">
        <f>IF($Q2443="","",INDEX(상세표[연속 시간],$Q2443))</f>
        <v/>
      </c>
      <c r="J2443">
        <f>IF($Q2443="","",INDEX(상세표[기록 수],$Q2443))</f>
        <v/>
      </c>
      <c r="K2443" s="20">
        <f>IF($Q2443="","",INDEX(상세표[블록 06~07시],$Q2443))</f>
        <v/>
      </c>
      <c r="L2443" s="20">
        <f>IF($Q2443="","",INDEX(상세표[블록 07~18시],$Q2443))</f>
        <v/>
      </c>
      <c r="M2443" s="20">
        <f>IF($Q2443="","",INDEX(상세표[블록 18~22시],$Q2443))</f>
        <v/>
      </c>
      <c r="N2443" s="20">
        <f>IF($Q2443="","",INDEX(상세표[블록 22~06시],$Q2443))</f>
        <v/>
      </c>
      <c r="O2443">
        <f>IF($Q2443="","",INDEX(상세표[주말·휴일 포함],$Q2443)&amp;"")</f>
        <v/>
      </c>
      <c r="P2443">
        <f>IF($Q2443="","",INDEX(상세표[월 넘김 포함],$Q2443)&amp;"")</f>
        <v/>
      </c>
      <c r="Q2443" s="4">
        <f>IFERROR(MATCH(2438,상세표[연속순번],0),"")</f>
        <v/>
      </c>
    </row>
    <row r="2444">
      <c r="A2444">
        <f>IF($Q2444="","",INDEX(상세표[부서],$Q2444)&amp;"")</f>
        <v/>
      </c>
      <c r="B2444">
        <f>IF($Q2444="","",INDEX(상세표[사번],$Q2444)&amp;"")</f>
        <v/>
      </c>
      <c r="C2444">
        <f>IF($Q2444="","",INDEX(상세표[성명],$Q2444)&amp;"")</f>
        <v/>
      </c>
      <c r="D2444">
        <f>IF($Q2444="","",INDEX(상세표[직위],$Q2444)&amp;"")</f>
        <v/>
      </c>
      <c r="E2444">
        <f>IF($Q2444="","",IF(ISNUMBER(INDEX(상세표[근무일자],$Q2444)),TEXT(INDEX(상세표[근무일자],$Q2444),"yyyy-mm-dd"),INDEX(상세표[근무일자],$Q2444)&amp;""))</f>
        <v/>
      </c>
      <c r="F2444">
        <f>IF($Q2444="","",IF(ISNUMBER(INDEX(상세표[시작],$Q2444)),TEXT(INDEX(상세표[시작],$Q2444),"yyyy-mm-dd hh:mm"),INDEX(상세표[시작],$Q2444)&amp;""))</f>
        <v/>
      </c>
      <c r="G2444">
        <f>IF($Q2444="","",IF(ISNUMBER(INDEX(상세표[블록종료],$Q2444)),TEXT(INDEX(상세표[블록종료],$Q2444),"yyyy-mm-dd hh:mm"),INDEX(상세표[블록종료],$Q2444)&amp;""))</f>
        <v/>
      </c>
      <c r="H2444">
        <f>IF($Q2444="","",CHOOSE(WEEKDAY(INDEX(상세표[시작],$Q2444)),"일","월","화","수","목","금","토"))</f>
        <v/>
      </c>
      <c r="I2444" s="20">
        <f>IF($Q2444="","",INDEX(상세표[연속 시간],$Q2444))</f>
        <v/>
      </c>
      <c r="J2444">
        <f>IF($Q2444="","",INDEX(상세표[기록 수],$Q2444))</f>
        <v/>
      </c>
      <c r="K2444" s="20">
        <f>IF($Q2444="","",INDEX(상세표[블록 06~07시],$Q2444))</f>
        <v/>
      </c>
      <c r="L2444" s="20">
        <f>IF($Q2444="","",INDEX(상세표[블록 07~18시],$Q2444))</f>
        <v/>
      </c>
      <c r="M2444" s="20">
        <f>IF($Q2444="","",INDEX(상세표[블록 18~22시],$Q2444))</f>
        <v/>
      </c>
      <c r="N2444" s="20">
        <f>IF($Q2444="","",INDEX(상세표[블록 22~06시],$Q2444))</f>
        <v/>
      </c>
      <c r="O2444">
        <f>IF($Q2444="","",INDEX(상세표[주말·휴일 포함],$Q2444)&amp;"")</f>
        <v/>
      </c>
      <c r="P2444">
        <f>IF($Q2444="","",INDEX(상세표[월 넘김 포함],$Q2444)&amp;"")</f>
        <v/>
      </c>
      <c r="Q2444" s="4">
        <f>IFERROR(MATCH(2439,상세표[연속순번],0),"")</f>
        <v/>
      </c>
    </row>
    <row r="2445">
      <c r="A2445">
        <f>IF($Q2445="","",INDEX(상세표[부서],$Q2445)&amp;"")</f>
        <v/>
      </c>
      <c r="B2445">
        <f>IF($Q2445="","",INDEX(상세표[사번],$Q2445)&amp;"")</f>
        <v/>
      </c>
      <c r="C2445">
        <f>IF($Q2445="","",INDEX(상세표[성명],$Q2445)&amp;"")</f>
        <v/>
      </c>
      <c r="D2445">
        <f>IF($Q2445="","",INDEX(상세표[직위],$Q2445)&amp;"")</f>
        <v/>
      </c>
      <c r="E2445">
        <f>IF($Q2445="","",IF(ISNUMBER(INDEX(상세표[근무일자],$Q2445)),TEXT(INDEX(상세표[근무일자],$Q2445),"yyyy-mm-dd"),INDEX(상세표[근무일자],$Q2445)&amp;""))</f>
        <v/>
      </c>
      <c r="F2445">
        <f>IF($Q2445="","",IF(ISNUMBER(INDEX(상세표[시작],$Q2445)),TEXT(INDEX(상세표[시작],$Q2445),"yyyy-mm-dd hh:mm"),INDEX(상세표[시작],$Q2445)&amp;""))</f>
        <v/>
      </c>
      <c r="G2445">
        <f>IF($Q2445="","",IF(ISNUMBER(INDEX(상세표[블록종료],$Q2445)),TEXT(INDEX(상세표[블록종료],$Q2445),"yyyy-mm-dd hh:mm"),INDEX(상세표[블록종료],$Q2445)&amp;""))</f>
        <v/>
      </c>
      <c r="H2445">
        <f>IF($Q2445="","",CHOOSE(WEEKDAY(INDEX(상세표[시작],$Q2445)),"일","월","화","수","목","금","토"))</f>
        <v/>
      </c>
      <c r="I2445" s="20">
        <f>IF($Q2445="","",INDEX(상세표[연속 시간],$Q2445))</f>
        <v/>
      </c>
      <c r="J2445">
        <f>IF($Q2445="","",INDEX(상세표[기록 수],$Q2445))</f>
        <v/>
      </c>
      <c r="K2445" s="20">
        <f>IF($Q2445="","",INDEX(상세표[블록 06~07시],$Q2445))</f>
        <v/>
      </c>
      <c r="L2445" s="20">
        <f>IF($Q2445="","",INDEX(상세표[블록 07~18시],$Q2445))</f>
        <v/>
      </c>
      <c r="M2445" s="20">
        <f>IF($Q2445="","",INDEX(상세표[블록 18~22시],$Q2445))</f>
        <v/>
      </c>
      <c r="N2445" s="20">
        <f>IF($Q2445="","",INDEX(상세표[블록 22~06시],$Q2445))</f>
        <v/>
      </c>
      <c r="O2445">
        <f>IF($Q2445="","",INDEX(상세표[주말·휴일 포함],$Q2445)&amp;"")</f>
        <v/>
      </c>
      <c r="P2445">
        <f>IF($Q2445="","",INDEX(상세표[월 넘김 포함],$Q2445)&amp;"")</f>
        <v/>
      </c>
      <c r="Q2445" s="4">
        <f>IFERROR(MATCH(2440,상세표[연속순번],0),"")</f>
        <v/>
      </c>
    </row>
    <row r="2446">
      <c r="A2446">
        <f>IF($Q2446="","",INDEX(상세표[부서],$Q2446)&amp;"")</f>
        <v/>
      </c>
      <c r="B2446">
        <f>IF($Q2446="","",INDEX(상세표[사번],$Q2446)&amp;"")</f>
        <v/>
      </c>
      <c r="C2446">
        <f>IF($Q2446="","",INDEX(상세표[성명],$Q2446)&amp;"")</f>
        <v/>
      </c>
      <c r="D2446">
        <f>IF($Q2446="","",INDEX(상세표[직위],$Q2446)&amp;"")</f>
        <v/>
      </c>
      <c r="E2446">
        <f>IF($Q2446="","",IF(ISNUMBER(INDEX(상세표[근무일자],$Q2446)),TEXT(INDEX(상세표[근무일자],$Q2446),"yyyy-mm-dd"),INDEX(상세표[근무일자],$Q2446)&amp;""))</f>
        <v/>
      </c>
      <c r="F2446">
        <f>IF($Q2446="","",IF(ISNUMBER(INDEX(상세표[시작],$Q2446)),TEXT(INDEX(상세표[시작],$Q2446),"yyyy-mm-dd hh:mm"),INDEX(상세표[시작],$Q2446)&amp;""))</f>
        <v/>
      </c>
      <c r="G2446">
        <f>IF($Q2446="","",IF(ISNUMBER(INDEX(상세표[블록종료],$Q2446)),TEXT(INDEX(상세표[블록종료],$Q2446),"yyyy-mm-dd hh:mm"),INDEX(상세표[블록종료],$Q2446)&amp;""))</f>
        <v/>
      </c>
      <c r="H2446">
        <f>IF($Q2446="","",CHOOSE(WEEKDAY(INDEX(상세표[시작],$Q2446)),"일","월","화","수","목","금","토"))</f>
        <v/>
      </c>
      <c r="I2446" s="20">
        <f>IF($Q2446="","",INDEX(상세표[연속 시간],$Q2446))</f>
        <v/>
      </c>
      <c r="J2446">
        <f>IF($Q2446="","",INDEX(상세표[기록 수],$Q2446))</f>
        <v/>
      </c>
      <c r="K2446" s="20">
        <f>IF($Q2446="","",INDEX(상세표[블록 06~07시],$Q2446))</f>
        <v/>
      </c>
      <c r="L2446" s="20">
        <f>IF($Q2446="","",INDEX(상세표[블록 07~18시],$Q2446))</f>
        <v/>
      </c>
      <c r="M2446" s="20">
        <f>IF($Q2446="","",INDEX(상세표[블록 18~22시],$Q2446))</f>
        <v/>
      </c>
      <c r="N2446" s="20">
        <f>IF($Q2446="","",INDEX(상세표[블록 22~06시],$Q2446))</f>
        <v/>
      </c>
      <c r="O2446">
        <f>IF($Q2446="","",INDEX(상세표[주말·휴일 포함],$Q2446)&amp;"")</f>
        <v/>
      </c>
      <c r="P2446">
        <f>IF($Q2446="","",INDEX(상세표[월 넘김 포함],$Q2446)&amp;"")</f>
        <v/>
      </c>
      <c r="Q2446" s="4">
        <f>IFERROR(MATCH(2441,상세표[연속순번],0),"")</f>
        <v/>
      </c>
    </row>
    <row r="2447">
      <c r="A2447">
        <f>IF($Q2447="","",INDEX(상세표[부서],$Q2447)&amp;"")</f>
        <v/>
      </c>
      <c r="B2447">
        <f>IF($Q2447="","",INDEX(상세표[사번],$Q2447)&amp;"")</f>
        <v/>
      </c>
      <c r="C2447">
        <f>IF($Q2447="","",INDEX(상세표[성명],$Q2447)&amp;"")</f>
        <v/>
      </c>
      <c r="D2447">
        <f>IF($Q2447="","",INDEX(상세표[직위],$Q2447)&amp;"")</f>
        <v/>
      </c>
      <c r="E2447">
        <f>IF($Q2447="","",IF(ISNUMBER(INDEX(상세표[근무일자],$Q2447)),TEXT(INDEX(상세표[근무일자],$Q2447),"yyyy-mm-dd"),INDEX(상세표[근무일자],$Q2447)&amp;""))</f>
        <v/>
      </c>
      <c r="F2447">
        <f>IF($Q2447="","",IF(ISNUMBER(INDEX(상세표[시작],$Q2447)),TEXT(INDEX(상세표[시작],$Q2447),"yyyy-mm-dd hh:mm"),INDEX(상세표[시작],$Q2447)&amp;""))</f>
        <v/>
      </c>
      <c r="G2447">
        <f>IF($Q2447="","",IF(ISNUMBER(INDEX(상세표[블록종료],$Q2447)),TEXT(INDEX(상세표[블록종료],$Q2447),"yyyy-mm-dd hh:mm"),INDEX(상세표[블록종료],$Q2447)&amp;""))</f>
        <v/>
      </c>
      <c r="H2447">
        <f>IF($Q2447="","",CHOOSE(WEEKDAY(INDEX(상세표[시작],$Q2447)),"일","월","화","수","목","금","토"))</f>
        <v/>
      </c>
      <c r="I2447" s="20">
        <f>IF($Q2447="","",INDEX(상세표[연속 시간],$Q2447))</f>
        <v/>
      </c>
      <c r="J2447">
        <f>IF($Q2447="","",INDEX(상세표[기록 수],$Q2447))</f>
        <v/>
      </c>
      <c r="K2447" s="20">
        <f>IF($Q2447="","",INDEX(상세표[블록 06~07시],$Q2447))</f>
        <v/>
      </c>
      <c r="L2447" s="20">
        <f>IF($Q2447="","",INDEX(상세표[블록 07~18시],$Q2447))</f>
        <v/>
      </c>
      <c r="M2447" s="20">
        <f>IF($Q2447="","",INDEX(상세표[블록 18~22시],$Q2447))</f>
        <v/>
      </c>
      <c r="N2447" s="20">
        <f>IF($Q2447="","",INDEX(상세표[블록 22~06시],$Q2447))</f>
        <v/>
      </c>
      <c r="O2447">
        <f>IF($Q2447="","",INDEX(상세표[주말·휴일 포함],$Q2447)&amp;"")</f>
        <v/>
      </c>
      <c r="P2447">
        <f>IF($Q2447="","",INDEX(상세표[월 넘김 포함],$Q2447)&amp;"")</f>
        <v/>
      </c>
      <c r="Q2447" s="4">
        <f>IFERROR(MATCH(2442,상세표[연속순번],0),"")</f>
        <v/>
      </c>
    </row>
    <row r="2448">
      <c r="A2448">
        <f>IF($Q2448="","",INDEX(상세표[부서],$Q2448)&amp;"")</f>
        <v/>
      </c>
      <c r="B2448">
        <f>IF($Q2448="","",INDEX(상세표[사번],$Q2448)&amp;"")</f>
        <v/>
      </c>
      <c r="C2448">
        <f>IF($Q2448="","",INDEX(상세표[성명],$Q2448)&amp;"")</f>
        <v/>
      </c>
      <c r="D2448">
        <f>IF($Q2448="","",INDEX(상세표[직위],$Q2448)&amp;"")</f>
        <v/>
      </c>
      <c r="E2448">
        <f>IF($Q2448="","",IF(ISNUMBER(INDEX(상세표[근무일자],$Q2448)),TEXT(INDEX(상세표[근무일자],$Q2448),"yyyy-mm-dd"),INDEX(상세표[근무일자],$Q2448)&amp;""))</f>
        <v/>
      </c>
      <c r="F2448">
        <f>IF($Q2448="","",IF(ISNUMBER(INDEX(상세표[시작],$Q2448)),TEXT(INDEX(상세표[시작],$Q2448),"yyyy-mm-dd hh:mm"),INDEX(상세표[시작],$Q2448)&amp;""))</f>
        <v/>
      </c>
      <c r="G2448">
        <f>IF($Q2448="","",IF(ISNUMBER(INDEX(상세표[블록종료],$Q2448)),TEXT(INDEX(상세표[블록종료],$Q2448),"yyyy-mm-dd hh:mm"),INDEX(상세표[블록종료],$Q2448)&amp;""))</f>
        <v/>
      </c>
      <c r="H2448">
        <f>IF($Q2448="","",CHOOSE(WEEKDAY(INDEX(상세표[시작],$Q2448)),"일","월","화","수","목","금","토"))</f>
        <v/>
      </c>
      <c r="I2448" s="20">
        <f>IF($Q2448="","",INDEX(상세표[연속 시간],$Q2448))</f>
        <v/>
      </c>
      <c r="J2448">
        <f>IF($Q2448="","",INDEX(상세표[기록 수],$Q2448))</f>
        <v/>
      </c>
      <c r="K2448" s="20">
        <f>IF($Q2448="","",INDEX(상세표[블록 06~07시],$Q2448))</f>
        <v/>
      </c>
      <c r="L2448" s="20">
        <f>IF($Q2448="","",INDEX(상세표[블록 07~18시],$Q2448))</f>
        <v/>
      </c>
      <c r="M2448" s="20">
        <f>IF($Q2448="","",INDEX(상세표[블록 18~22시],$Q2448))</f>
        <v/>
      </c>
      <c r="N2448" s="20">
        <f>IF($Q2448="","",INDEX(상세표[블록 22~06시],$Q2448))</f>
        <v/>
      </c>
      <c r="O2448">
        <f>IF($Q2448="","",INDEX(상세표[주말·휴일 포함],$Q2448)&amp;"")</f>
        <v/>
      </c>
      <c r="P2448">
        <f>IF($Q2448="","",INDEX(상세표[월 넘김 포함],$Q2448)&amp;"")</f>
        <v/>
      </c>
      <c r="Q2448" s="4">
        <f>IFERROR(MATCH(2443,상세표[연속순번],0),"")</f>
        <v/>
      </c>
    </row>
    <row r="2449">
      <c r="A2449">
        <f>IF($Q2449="","",INDEX(상세표[부서],$Q2449)&amp;"")</f>
        <v/>
      </c>
      <c r="B2449">
        <f>IF($Q2449="","",INDEX(상세표[사번],$Q2449)&amp;"")</f>
        <v/>
      </c>
      <c r="C2449">
        <f>IF($Q2449="","",INDEX(상세표[성명],$Q2449)&amp;"")</f>
        <v/>
      </c>
      <c r="D2449">
        <f>IF($Q2449="","",INDEX(상세표[직위],$Q2449)&amp;"")</f>
        <v/>
      </c>
      <c r="E2449">
        <f>IF($Q2449="","",IF(ISNUMBER(INDEX(상세표[근무일자],$Q2449)),TEXT(INDEX(상세표[근무일자],$Q2449),"yyyy-mm-dd"),INDEX(상세표[근무일자],$Q2449)&amp;""))</f>
        <v/>
      </c>
      <c r="F2449">
        <f>IF($Q2449="","",IF(ISNUMBER(INDEX(상세표[시작],$Q2449)),TEXT(INDEX(상세표[시작],$Q2449),"yyyy-mm-dd hh:mm"),INDEX(상세표[시작],$Q2449)&amp;""))</f>
        <v/>
      </c>
      <c r="G2449">
        <f>IF($Q2449="","",IF(ISNUMBER(INDEX(상세표[블록종료],$Q2449)),TEXT(INDEX(상세표[블록종료],$Q2449),"yyyy-mm-dd hh:mm"),INDEX(상세표[블록종료],$Q2449)&amp;""))</f>
        <v/>
      </c>
      <c r="H2449">
        <f>IF($Q2449="","",CHOOSE(WEEKDAY(INDEX(상세표[시작],$Q2449)),"일","월","화","수","목","금","토"))</f>
        <v/>
      </c>
      <c r="I2449" s="20">
        <f>IF($Q2449="","",INDEX(상세표[연속 시간],$Q2449))</f>
        <v/>
      </c>
      <c r="J2449">
        <f>IF($Q2449="","",INDEX(상세표[기록 수],$Q2449))</f>
        <v/>
      </c>
      <c r="K2449" s="20">
        <f>IF($Q2449="","",INDEX(상세표[블록 06~07시],$Q2449))</f>
        <v/>
      </c>
      <c r="L2449" s="20">
        <f>IF($Q2449="","",INDEX(상세표[블록 07~18시],$Q2449))</f>
        <v/>
      </c>
      <c r="M2449" s="20">
        <f>IF($Q2449="","",INDEX(상세표[블록 18~22시],$Q2449))</f>
        <v/>
      </c>
      <c r="N2449" s="20">
        <f>IF($Q2449="","",INDEX(상세표[블록 22~06시],$Q2449))</f>
        <v/>
      </c>
      <c r="O2449">
        <f>IF($Q2449="","",INDEX(상세표[주말·휴일 포함],$Q2449)&amp;"")</f>
        <v/>
      </c>
      <c r="P2449">
        <f>IF($Q2449="","",INDEX(상세표[월 넘김 포함],$Q2449)&amp;"")</f>
        <v/>
      </c>
      <c r="Q2449" s="4">
        <f>IFERROR(MATCH(2444,상세표[연속순번],0),"")</f>
        <v/>
      </c>
    </row>
    <row r="2450">
      <c r="A2450">
        <f>IF($Q2450="","",INDEX(상세표[부서],$Q2450)&amp;"")</f>
        <v/>
      </c>
      <c r="B2450">
        <f>IF($Q2450="","",INDEX(상세표[사번],$Q2450)&amp;"")</f>
        <v/>
      </c>
      <c r="C2450">
        <f>IF($Q2450="","",INDEX(상세표[성명],$Q2450)&amp;"")</f>
        <v/>
      </c>
      <c r="D2450">
        <f>IF($Q2450="","",INDEX(상세표[직위],$Q2450)&amp;"")</f>
        <v/>
      </c>
      <c r="E2450">
        <f>IF($Q2450="","",IF(ISNUMBER(INDEX(상세표[근무일자],$Q2450)),TEXT(INDEX(상세표[근무일자],$Q2450),"yyyy-mm-dd"),INDEX(상세표[근무일자],$Q2450)&amp;""))</f>
        <v/>
      </c>
      <c r="F2450">
        <f>IF($Q2450="","",IF(ISNUMBER(INDEX(상세표[시작],$Q2450)),TEXT(INDEX(상세표[시작],$Q2450),"yyyy-mm-dd hh:mm"),INDEX(상세표[시작],$Q2450)&amp;""))</f>
        <v/>
      </c>
      <c r="G2450">
        <f>IF($Q2450="","",IF(ISNUMBER(INDEX(상세표[블록종료],$Q2450)),TEXT(INDEX(상세표[블록종료],$Q2450),"yyyy-mm-dd hh:mm"),INDEX(상세표[블록종료],$Q2450)&amp;""))</f>
        <v/>
      </c>
      <c r="H2450">
        <f>IF($Q2450="","",CHOOSE(WEEKDAY(INDEX(상세표[시작],$Q2450)),"일","월","화","수","목","금","토"))</f>
        <v/>
      </c>
      <c r="I2450" s="20">
        <f>IF($Q2450="","",INDEX(상세표[연속 시간],$Q2450))</f>
        <v/>
      </c>
      <c r="J2450">
        <f>IF($Q2450="","",INDEX(상세표[기록 수],$Q2450))</f>
        <v/>
      </c>
      <c r="K2450" s="20">
        <f>IF($Q2450="","",INDEX(상세표[블록 06~07시],$Q2450))</f>
        <v/>
      </c>
      <c r="L2450" s="20">
        <f>IF($Q2450="","",INDEX(상세표[블록 07~18시],$Q2450))</f>
        <v/>
      </c>
      <c r="M2450" s="20">
        <f>IF($Q2450="","",INDEX(상세표[블록 18~22시],$Q2450))</f>
        <v/>
      </c>
      <c r="N2450" s="20">
        <f>IF($Q2450="","",INDEX(상세표[블록 22~06시],$Q2450))</f>
        <v/>
      </c>
      <c r="O2450">
        <f>IF($Q2450="","",INDEX(상세표[주말·휴일 포함],$Q2450)&amp;"")</f>
        <v/>
      </c>
      <c r="P2450">
        <f>IF($Q2450="","",INDEX(상세표[월 넘김 포함],$Q2450)&amp;"")</f>
        <v/>
      </c>
      <c r="Q2450" s="4">
        <f>IFERROR(MATCH(2445,상세표[연속순번],0),"")</f>
        <v/>
      </c>
    </row>
    <row r="2451">
      <c r="A2451">
        <f>IF($Q2451="","",INDEX(상세표[부서],$Q2451)&amp;"")</f>
        <v/>
      </c>
      <c r="B2451">
        <f>IF($Q2451="","",INDEX(상세표[사번],$Q2451)&amp;"")</f>
        <v/>
      </c>
      <c r="C2451">
        <f>IF($Q2451="","",INDEX(상세표[성명],$Q2451)&amp;"")</f>
        <v/>
      </c>
      <c r="D2451">
        <f>IF($Q2451="","",INDEX(상세표[직위],$Q2451)&amp;"")</f>
        <v/>
      </c>
      <c r="E2451">
        <f>IF($Q2451="","",IF(ISNUMBER(INDEX(상세표[근무일자],$Q2451)),TEXT(INDEX(상세표[근무일자],$Q2451),"yyyy-mm-dd"),INDEX(상세표[근무일자],$Q2451)&amp;""))</f>
        <v/>
      </c>
      <c r="F2451">
        <f>IF($Q2451="","",IF(ISNUMBER(INDEX(상세표[시작],$Q2451)),TEXT(INDEX(상세표[시작],$Q2451),"yyyy-mm-dd hh:mm"),INDEX(상세표[시작],$Q2451)&amp;""))</f>
        <v/>
      </c>
      <c r="G2451">
        <f>IF($Q2451="","",IF(ISNUMBER(INDEX(상세표[블록종료],$Q2451)),TEXT(INDEX(상세표[블록종료],$Q2451),"yyyy-mm-dd hh:mm"),INDEX(상세표[블록종료],$Q2451)&amp;""))</f>
        <v/>
      </c>
      <c r="H2451">
        <f>IF($Q2451="","",CHOOSE(WEEKDAY(INDEX(상세표[시작],$Q2451)),"일","월","화","수","목","금","토"))</f>
        <v/>
      </c>
      <c r="I2451" s="20">
        <f>IF($Q2451="","",INDEX(상세표[연속 시간],$Q2451))</f>
        <v/>
      </c>
      <c r="J2451">
        <f>IF($Q2451="","",INDEX(상세표[기록 수],$Q2451))</f>
        <v/>
      </c>
      <c r="K2451" s="20">
        <f>IF($Q2451="","",INDEX(상세표[블록 06~07시],$Q2451))</f>
        <v/>
      </c>
      <c r="L2451" s="20">
        <f>IF($Q2451="","",INDEX(상세표[블록 07~18시],$Q2451))</f>
        <v/>
      </c>
      <c r="M2451" s="20">
        <f>IF($Q2451="","",INDEX(상세표[블록 18~22시],$Q2451))</f>
        <v/>
      </c>
      <c r="N2451" s="20">
        <f>IF($Q2451="","",INDEX(상세표[블록 22~06시],$Q2451))</f>
        <v/>
      </c>
      <c r="O2451">
        <f>IF($Q2451="","",INDEX(상세표[주말·휴일 포함],$Q2451)&amp;"")</f>
        <v/>
      </c>
      <c r="P2451">
        <f>IF($Q2451="","",INDEX(상세표[월 넘김 포함],$Q2451)&amp;"")</f>
        <v/>
      </c>
      <c r="Q2451" s="4">
        <f>IFERROR(MATCH(2446,상세표[연속순번],0),"")</f>
        <v/>
      </c>
    </row>
    <row r="2452">
      <c r="A2452">
        <f>IF($Q2452="","",INDEX(상세표[부서],$Q2452)&amp;"")</f>
        <v/>
      </c>
      <c r="B2452">
        <f>IF($Q2452="","",INDEX(상세표[사번],$Q2452)&amp;"")</f>
        <v/>
      </c>
      <c r="C2452">
        <f>IF($Q2452="","",INDEX(상세표[성명],$Q2452)&amp;"")</f>
        <v/>
      </c>
      <c r="D2452">
        <f>IF($Q2452="","",INDEX(상세표[직위],$Q2452)&amp;"")</f>
        <v/>
      </c>
      <c r="E2452">
        <f>IF($Q2452="","",IF(ISNUMBER(INDEX(상세표[근무일자],$Q2452)),TEXT(INDEX(상세표[근무일자],$Q2452),"yyyy-mm-dd"),INDEX(상세표[근무일자],$Q2452)&amp;""))</f>
        <v/>
      </c>
      <c r="F2452">
        <f>IF($Q2452="","",IF(ISNUMBER(INDEX(상세표[시작],$Q2452)),TEXT(INDEX(상세표[시작],$Q2452),"yyyy-mm-dd hh:mm"),INDEX(상세표[시작],$Q2452)&amp;""))</f>
        <v/>
      </c>
      <c r="G2452">
        <f>IF($Q2452="","",IF(ISNUMBER(INDEX(상세표[블록종료],$Q2452)),TEXT(INDEX(상세표[블록종료],$Q2452),"yyyy-mm-dd hh:mm"),INDEX(상세표[블록종료],$Q2452)&amp;""))</f>
        <v/>
      </c>
      <c r="H2452">
        <f>IF($Q2452="","",CHOOSE(WEEKDAY(INDEX(상세표[시작],$Q2452)),"일","월","화","수","목","금","토"))</f>
        <v/>
      </c>
      <c r="I2452" s="20">
        <f>IF($Q2452="","",INDEX(상세표[연속 시간],$Q2452))</f>
        <v/>
      </c>
      <c r="J2452">
        <f>IF($Q2452="","",INDEX(상세표[기록 수],$Q2452))</f>
        <v/>
      </c>
      <c r="K2452" s="20">
        <f>IF($Q2452="","",INDEX(상세표[블록 06~07시],$Q2452))</f>
        <v/>
      </c>
      <c r="L2452" s="20">
        <f>IF($Q2452="","",INDEX(상세표[블록 07~18시],$Q2452))</f>
        <v/>
      </c>
      <c r="M2452" s="20">
        <f>IF($Q2452="","",INDEX(상세표[블록 18~22시],$Q2452))</f>
        <v/>
      </c>
      <c r="N2452" s="20">
        <f>IF($Q2452="","",INDEX(상세표[블록 22~06시],$Q2452))</f>
        <v/>
      </c>
      <c r="O2452">
        <f>IF($Q2452="","",INDEX(상세표[주말·휴일 포함],$Q2452)&amp;"")</f>
        <v/>
      </c>
      <c r="P2452">
        <f>IF($Q2452="","",INDEX(상세표[월 넘김 포함],$Q2452)&amp;"")</f>
        <v/>
      </c>
      <c r="Q2452" s="4">
        <f>IFERROR(MATCH(2447,상세표[연속순번],0),"")</f>
        <v/>
      </c>
    </row>
    <row r="2453">
      <c r="A2453">
        <f>IF($Q2453="","",INDEX(상세표[부서],$Q2453)&amp;"")</f>
        <v/>
      </c>
      <c r="B2453">
        <f>IF($Q2453="","",INDEX(상세표[사번],$Q2453)&amp;"")</f>
        <v/>
      </c>
      <c r="C2453">
        <f>IF($Q2453="","",INDEX(상세표[성명],$Q2453)&amp;"")</f>
        <v/>
      </c>
      <c r="D2453">
        <f>IF($Q2453="","",INDEX(상세표[직위],$Q2453)&amp;"")</f>
        <v/>
      </c>
      <c r="E2453">
        <f>IF($Q2453="","",IF(ISNUMBER(INDEX(상세표[근무일자],$Q2453)),TEXT(INDEX(상세표[근무일자],$Q2453),"yyyy-mm-dd"),INDEX(상세표[근무일자],$Q2453)&amp;""))</f>
        <v/>
      </c>
      <c r="F2453">
        <f>IF($Q2453="","",IF(ISNUMBER(INDEX(상세표[시작],$Q2453)),TEXT(INDEX(상세표[시작],$Q2453),"yyyy-mm-dd hh:mm"),INDEX(상세표[시작],$Q2453)&amp;""))</f>
        <v/>
      </c>
      <c r="G2453">
        <f>IF($Q2453="","",IF(ISNUMBER(INDEX(상세표[블록종료],$Q2453)),TEXT(INDEX(상세표[블록종료],$Q2453),"yyyy-mm-dd hh:mm"),INDEX(상세표[블록종료],$Q2453)&amp;""))</f>
        <v/>
      </c>
      <c r="H2453">
        <f>IF($Q2453="","",CHOOSE(WEEKDAY(INDEX(상세표[시작],$Q2453)),"일","월","화","수","목","금","토"))</f>
        <v/>
      </c>
      <c r="I2453" s="20">
        <f>IF($Q2453="","",INDEX(상세표[연속 시간],$Q2453))</f>
        <v/>
      </c>
      <c r="J2453">
        <f>IF($Q2453="","",INDEX(상세표[기록 수],$Q2453))</f>
        <v/>
      </c>
      <c r="K2453" s="20">
        <f>IF($Q2453="","",INDEX(상세표[블록 06~07시],$Q2453))</f>
        <v/>
      </c>
      <c r="L2453" s="20">
        <f>IF($Q2453="","",INDEX(상세표[블록 07~18시],$Q2453))</f>
        <v/>
      </c>
      <c r="M2453" s="20">
        <f>IF($Q2453="","",INDEX(상세표[블록 18~22시],$Q2453))</f>
        <v/>
      </c>
      <c r="N2453" s="20">
        <f>IF($Q2453="","",INDEX(상세표[블록 22~06시],$Q2453))</f>
        <v/>
      </c>
      <c r="O2453">
        <f>IF($Q2453="","",INDEX(상세표[주말·휴일 포함],$Q2453)&amp;"")</f>
        <v/>
      </c>
      <c r="P2453">
        <f>IF($Q2453="","",INDEX(상세표[월 넘김 포함],$Q2453)&amp;"")</f>
        <v/>
      </c>
      <c r="Q2453" s="4">
        <f>IFERROR(MATCH(2448,상세표[연속순번],0),"")</f>
        <v/>
      </c>
    </row>
    <row r="2454">
      <c r="A2454">
        <f>IF($Q2454="","",INDEX(상세표[부서],$Q2454)&amp;"")</f>
        <v/>
      </c>
      <c r="B2454">
        <f>IF($Q2454="","",INDEX(상세표[사번],$Q2454)&amp;"")</f>
        <v/>
      </c>
      <c r="C2454">
        <f>IF($Q2454="","",INDEX(상세표[성명],$Q2454)&amp;"")</f>
        <v/>
      </c>
      <c r="D2454">
        <f>IF($Q2454="","",INDEX(상세표[직위],$Q2454)&amp;"")</f>
        <v/>
      </c>
      <c r="E2454">
        <f>IF($Q2454="","",IF(ISNUMBER(INDEX(상세표[근무일자],$Q2454)),TEXT(INDEX(상세표[근무일자],$Q2454),"yyyy-mm-dd"),INDEX(상세표[근무일자],$Q2454)&amp;""))</f>
        <v/>
      </c>
      <c r="F2454">
        <f>IF($Q2454="","",IF(ISNUMBER(INDEX(상세표[시작],$Q2454)),TEXT(INDEX(상세표[시작],$Q2454),"yyyy-mm-dd hh:mm"),INDEX(상세표[시작],$Q2454)&amp;""))</f>
        <v/>
      </c>
      <c r="G2454">
        <f>IF($Q2454="","",IF(ISNUMBER(INDEX(상세표[블록종료],$Q2454)),TEXT(INDEX(상세표[블록종료],$Q2454),"yyyy-mm-dd hh:mm"),INDEX(상세표[블록종료],$Q2454)&amp;""))</f>
        <v/>
      </c>
      <c r="H2454">
        <f>IF($Q2454="","",CHOOSE(WEEKDAY(INDEX(상세표[시작],$Q2454)),"일","월","화","수","목","금","토"))</f>
        <v/>
      </c>
      <c r="I2454" s="20">
        <f>IF($Q2454="","",INDEX(상세표[연속 시간],$Q2454))</f>
        <v/>
      </c>
      <c r="J2454">
        <f>IF($Q2454="","",INDEX(상세표[기록 수],$Q2454))</f>
        <v/>
      </c>
      <c r="K2454" s="20">
        <f>IF($Q2454="","",INDEX(상세표[블록 06~07시],$Q2454))</f>
        <v/>
      </c>
      <c r="L2454" s="20">
        <f>IF($Q2454="","",INDEX(상세표[블록 07~18시],$Q2454))</f>
        <v/>
      </c>
      <c r="M2454" s="20">
        <f>IF($Q2454="","",INDEX(상세표[블록 18~22시],$Q2454))</f>
        <v/>
      </c>
      <c r="N2454" s="20">
        <f>IF($Q2454="","",INDEX(상세표[블록 22~06시],$Q2454))</f>
        <v/>
      </c>
      <c r="O2454">
        <f>IF($Q2454="","",INDEX(상세표[주말·휴일 포함],$Q2454)&amp;"")</f>
        <v/>
      </c>
      <c r="P2454">
        <f>IF($Q2454="","",INDEX(상세표[월 넘김 포함],$Q2454)&amp;"")</f>
        <v/>
      </c>
      <c r="Q2454" s="4">
        <f>IFERROR(MATCH(2449,상세표[연속순번],0),"")</f>
        <v/>
      </c>
    </row>
    <row r="2455">
      <c r="A2455">
        <f>IF($Q2455="","",INDEX(상세표[부서],$Q2455)&amp;"")</f>
        <v/>
      </c>
      <c r="B2455">
        <f>IF($Q2455="","",INDEX(상세표[사번],$Q2455)&amp;"")</f>
        <v/>
      </c>
      <c r="C2455">
        <f>IF($Q2455="","",INDEX(상세표[성명],$Q2455)&amp;"")</f>
        <v/>
      </c>
      <c r="D2455">
        <f>IF($Q2455="","",INDEX(상세표[직위],$Q2455)&amp;"")</f>
        <v/>
      </c>
      <c r="E2455">
        <f>IF($Q2455="","",IF(ISNUMBER(INDEX(상세표[근무일자],$Q2455)),TEXT(INDEX(상세표[근무일자],$Q2455),"yyyy-mm-dd"),INDEX(상세표[근무일자],$Q2455)&amp;""))</f>
        <v/>
      </c>
      <c r="F2455">
        <f>IF($Q2455="","",IF(ISNUMBER(INDEX(상세표[시작],$Q2455)),TEXT(INDEX(상세표[시작],$Q2455),"yyyy-mm-dd hh:mm"),INDEX(상세표[시작],$Q2455)&amp;""))</f>
        <v/>
      </c>
      <c r="G2455">
        <f>IF($Q2455="","",IF(ISNUMBER(INDEX(상세표[블록종료],$Q2455)),TEXT(INDEX(상세표[블록종료],$Q2455),"yyyy-mm-dd hh:mm"),INDEX(상세표[블록종료],$Q2455)&amp;""))</f>
        <v/>
      </c>
      <c r="H2455">
        <f>IF($Q2455="","",CHOOSE(WEEKDAY(INDEX(상세표[시작],$Q2455)),"일","월","화","수","목","금","토"))</f>
        <v/>
      </c>
      <c r="I2455" s="20">
        <f>IF($Q2455="","",INDEX(상세표[연속 시간],$Q2455))</f>
        <v/>
      </c>
      <c r="J2455">
        <f>IF($Q2455="","",INDEX(상세표[기록 수],$Q2455))</f>
        <v/>
      </c>
      <c r="K2455" s="20">
        <f>IF($Q2455="","",INDEX(상세표[블록 06~07시],$Q2455))</f>
        <v/>
      </c>
      <c r="L2455" s="20">
        <f>IF($Q2455="","",INDEX(상세표[블록 07~18시],$Q2455))</f>
        <v/>
      </c>
      <c r="M2455" s="20">
        <f>IF($Q2455="","",INDEX(상세표[블록 18~22시],$Q2455))</f>
        <v/>
      </c>
      <c r="N2455" s="20">
        <f>IF($Q2455="","",INDEX(상세표[블록 22~06시],$Q2455))</f>
        <v/>
      </c>
      <c r="O2455">
        <f>IF($Q2455="","",INDEX(상세표[주말·휴일 포함],$Q2455)&amp;"")</f>
        <v/>
      </c>
      <c r="P2455">
        <f>IF($Q2455="","",INDEX(상세표[월 넘김 포함],$Q2455)&amp;"")</f>
        <v/>
      </c>
      <c r="Q2455" s="4">
        <f>IFERROR(MATCH(2450,상세표[연속순번],0),"")</f>
        <v/>
      </c>
    </row>
    <row r="2456">
      <c r="A2456">
        <f>IF($Q2456="","",INDEX(상세표[부서],$Q2456)&amp;"")</f>
        <v/>
      </c>
      <c r="B2456">
        <f>IF($Q2456="","",INDEX(상세표[사번],$Q2456)&amp;"")</f>
        <v/>
      </c>
      <c r="C2456">
        <f>IF($Q2456="","",INDEX(상세표[성명],$Q2456)&amp;"")</f>
        <v/>
      </c>
      <c r="D2456">
        <f>IF($Q2456="","",INDEX(상세표[직위],$Q2456)&amp;"")</f>
        <v/>
      </c>
      <c r="E2456">
        <f>IF($Q2456="","",IF(ISNUMBER(INDEX(상세표[근무일자],$Q2456)),TEXT(INDEX(상세표[근무일자],$Q2456),"yyyy-mm-dd"),INDEX(상세표[근무일자],$Q2456)&amp;""))</f>
        <v/>
      </c>
      <c r="F2456">
        <f>IF($Q2456="","",IF(ISNUMBER(INDEX(상세표[시작],$Q2456)),TEXT(INDEX(상세표[시작],$Q2456),"yyyy-mm-dd hh:mm"),INDEX(상세표[시작],$Q2456)&amp;""))</f>
        <v/>
      </c>
      <c r="G2456">
        <f>IF($Q2456="","",IF(ISNUMBER(INDEX(상세표[블록종료],$Q2456)),TEXT(INDEX(상세표[블록종료],$Q2456),"yyyy-mm-dd hh:mm"),INDEX(상세표[블록종료],$Q2456)&amp;""))</f>
        <v/>
      </c>
      <c r="H2456">
        <f>IF($Q2456="","",CHOOSE(WEEKDAY(INDEX(상세표[시작],$Q2456)),"일","월","화","수","목","금","토"))</f>
        <v/>
      </c>
      <c r="I2456" s="20">
        <f>IF($Q2456="","",INDEX(상세표[연속 시간],$Q2456))</f>
        <v/>
      </c>
      <c r="J2456">
        <f>IF($Q2456="","",INDEX(상세표[기록 수],$Q2456))</f>
        <v/>
      </c>
      <c r="K2456" s="20">
        <f>IF($Q2456="","",INDEX(상세표[블록 06~07시],$Q2456))</f>
        <v/>
      </c>
      <c r="L2456" s="20">
        <f>IF($Q2456="","",INDEX(상세표[블록 07~18시],$Q2456))</f>
        <v/>
      </c>
      <c r="M2456" s="20">
        <f>IF($Q2456="","",INDEX(상세표[블록 18~22시],$Q2456))</f>
        <v/>
      </c>
      <c r="N2456" s="20">
        <f>IF($Q2456="","",INDEX(상세표[블록 22~06시],$Q2456))</f>
        <v/>
      </c>
      <c r="O2456">
        <f>IF($Q2456="","",INDEX(상세표[주말·휴일 포함],$Q2456)&amp;"")</f>
        <v/>
      </c>
      <c r="P2456">
        <f>IF($Q2456="","",INDEX(상세표[월 넘김 포함],$Q2456)&amp;"")</f>
        <v/>
      </c>
      <c r="Q2456" s="4">
        <f>IFERROR(MATCH(2451,상세표[연속순번],0),"")</f>
        <v/>
      </c>
    </row>
    <row r="2457">
      <c r="A2457">
        <f>IF($Q2457="","",INDEX(상세표[부서],$Q2457)&amp;"")</f>
        <v/>
      </c>
      <c r="B2457">
        <f>IF($Q2457="","",INDEX(상세표[사번],$Q2457)&amp;"")</f>
        <v/>
      </c>
      <c r="C2457">
        <f>IF($Q2457="","",INDEX(상세표[성명],$Q2457)&amp;"")</f>
        <v/>
      </c>
      <c r="D2457">
        <f>IF($Q2457="","",INDEX(상세표[직위],$Q2457)&amp;"")</f>
        <v/>
      </c>
      <c r="E2457">
        <f>IF($Q2457="","",IF(ISNUMBER(INDEX(상세표[근무일자],$Q2457)),TEXT(INDEX(상세표[근무일자],$Q2457),"yyyy-mm-dd"),INDEX(상세표[근무일자],$Q2457)&amp;""))</f>
        <v/>
      </c>
      <c r="F2457">
        <f>IF($Q2457="","",IF(ISNUMBER(INDEX(상세표[시작],$Q2457)),TEXT(INDEX(상세표[시작],$Q2457),"yyyy-mm-dd hh:mm"),INDEX(상세표[시작],$Q2457)&amp;""))</f>
        <v/>
      </c>
      <c r="G2457">
        <f>IF($Q2457="","",IF(ISNUMBER(INDEX(상세표[블록종료],$Q2457)),TEXT(INDEX(상세표[블록종료],$Q2457),"yyyy-mm-dd hh:mm"),INDEX(상세표[블록종료],$Q2457)&amp;""))</f>
        <v/>
      </c>
      <c r="H2457">
        <f>IF($Q2457="","",CHOOSE(WEEKDAY(INDEX(상세표[시작],$Q2457)),"일","월","화","수","목","금","토"))</f>
        <v/>
      </c>
      <c r="I2457" s="20">
        <f>IF($Q2457="","",INDEX(상세표[연속 시간],$Q2457))</f>
        <v/>
      </c>
      <c r="J2457">
        <f>IF($Q2457="","",INDEX(상세표[기록 수],$Q2457))</f>
        <v/>
      </c>
      <c r="K2457" s="20">
        <f>IF($Q2457="","",INDEX(상세표[블록 06~07시],$Q2457))</f>
        <v/>
      </c>
      <c r="L2457" s="20">
        <f>IF($Q2457="","",INDEX(상세표[블록 07~18시],$Q2457))</f>
        <v/>
      </c>
      <c r="M2457" s="20">
        <f>IF($Q2457="","",INDEX(상세표[블록 18~22시],$Q2457))</f>
        <v/>
      </c>
      <c r="N2457" s="20">
        <f>IF($Q2457="","",INDEX(상세표[블록 22~06시],$Q2457))</f>
        <v/>
      </c>
      <c r="O2457">
        <f>IF($Q2457="","",INDEX(상세표[주말·휴일 포함],$Q2457)&amp;"")</f>
        <v/>
      </c>
      <c r="P2457">
        <f>IF($Q2457="","",INDEX(상세표[월 넘김 포함],$Q2457)&amp;"")</f>
        <v/>
      </c>
      <c r="Q2457" s="4">
        <f>IFERROR(MATCH(2452,상세표[연속순번],0),"")</f>
        <v/>
      </c>
    </row>
    <row r="2458">
      <c r="A2458">
        <f>IF($Q2458="","",INDEX(상세표[부서],$Q2458)&amp;"")</f>
        <v/>
      </c>
      <c r="B2458">
        <f>IF($Q2458="","",INDEX(상세표[사번],$Q2458)&amp;"")</f>
        <v/>
      </c>
      <c r="C2458">
        <f>IF($Q2458="","",INDEX(상세표[성명],$Q2458)&amp;"")</f>
        <v/>
      </c>
      <c r="D2458">
        <f>IF($Q2458="","",INDEX(상세표[직위],$Q2458)&amp;"")</f>
        <v/>
      </c>
      <c r="E2458">
        <f>IF($Q2458="","",IF(ISNUMBER(INDEX(상세표[근무일자],$Q2458)),TEXT(INDEX(상세표[근무일자],$Q2458),"yyyy-mm-dd"),INDEX(상세표[근무일자],$Q2458)&amp;""))</f>
        <v/>
      </c>
      <c r="F2458">
        <f>IF($Q2458="","",IF(ISNUMBER(INDEX(상세표[시작],$Q2458)),TEXT(INDEX(상세표[시작],$Q2458),"yyyy-mm-dd hh:mm"),INDEX(상세표[시작],$Q2458)&amp;""))</f>
        <v/>
      </c>
      <c r="G2458">
        <f>IF($Q2458="","",IF(ISNUMBER(INDEX(상세표[블록종료],$Q2458)),TEXT(INDEX(상세표[블록종료],$Q2458),"yyyy-mm-dd hh:mm"),INDEX(상세표[블록종료],$Q2458)&amp;""))</f>
        <v/>
      </c>
      <c r="H2458">
        <f>IF($Q2458="","",CHOOSE(WEEKDAY(INDEX(상세표[시작],$Q2458)),"일","월","화","수","목","금","토"))</f>
        <v/>
      </c>
      <c r="I2458" s="20">
        <f>IF($Q2458="","",INDEX(상세표[연속 시간],$Q2458))</f>
        <v/>
      </c>
      <c r="J2458">
        <f>IF($Q2458="","",INDEX(상세표[기록 수],$Q2458))</f>
        <v/>
      </c>
      <c r="K2458" s="20">
        <f>IF($Q2458="","",INDEX(상세표[블록 06~07시],$Q2458))</f>
        <v/>
      </c>
      <c r="L2458" s="20">
        <f>IF($Q2458="","",INDEX(상세표[블록 07~18시],$Q2458))</f>
        <v/>
      </c>
      <c r="M2458" s="20">
        <f>IF($Q2458="","",INDEX(상세표[블록 18~22시],$Q2458))</f>
        <v/>
      </c>
      <c r="N2458" s="20">
        <f>IF($Q2458="","",INDEX(상세표[블록 22~06시],$Q2458))</f>
        <v/>
      </c>
      <c r="O2458">
        <f>IF($Q2458="","",INDEX(상세표[주말·휴일 포함],$Q2458)&amp;"")</f>
        <v/>
      </c>
      <c r="P2458">
        <f>IF($Q2458="","",INDEX(상세표[월 넘김 포함],$Q2458)&amp;"")</f>
        <v/>
      </c>
      <c r="Q2458" s="4">
        <f>IFERROR(MATCH(2453,상세표[연속순번],0),"")</f>
        <v/>
      </c>
    </row>
    <row r="2459">
      <c r="A2459">
        <f>IF($Q2459="","",INDEX(상세표[부서],$Q2459)&amp;"")</f>
        <v/>
      </c>
      <c r="B2459">
        <f>IF($Q2459="","",INDEX(상세표[사번],$Q2459)&amp;"")</f>
        <v/>
      </c>
      <c r="C2459">
        <f>IF($Q2459="","",INDEX(상세표[성명],$Q2459)&amp;"")</f>
        <v/>
      </c>
      <c r="D2459">
        <f>IF($Q2459="","",INDEX(상세표[직위],$Q2459)&amp;"")</f>
        <v/>
      </c>
      <c r="E2459">
        <f>IF($Q2459="","",IF(ISNUMBER(INDEX(상세표[근무일자],$Q2459)),TEXT(INDEX(상세표[근무일자],$Q2459),"yyyy-mm-dd"),INDEX(상세표[근무일자],$Q2459)&amp;""))</f>
        <v/>
      </c>
      <c r="F2459">
        <f>IF($Q2459="","",IF(ISNUMBER(INDEX(상세표[시작],$Q2459)),TEXT(INDEX(상세표[시작],$Q2459),"yyyy-mm-dd hh:mm"),INDEX(상세표[시작],$Q2459)&amp;""))</f>
        <v/>
      </c>
      <c r="G2459">
        <f>IF($Q2459="","",IF(ISNUMBER(INDEX(상세표[블록종료],$Q2459)),TEXT(INDEX(상세표[블록종료],$Q2459),"yyyy-mm-dd hh:mm"),INDEX(상세표[블록종료],$Q2459)&amp;""))</f>
        <v/>
      </c>
      <c r="H2459">
        <f>IF($Q2459="","",CHOOSE(WEEKDAY(INDEX(상세표[시작],$Q2459)),"일","월","화","수","목","금","토"))</f>
        <v/>
      </c>
      <c r="I2459" s="20">
        <f>IF($Q2459="","",INDEX(상세표[연속 시간],$Q2459))</f>
        <v/>
      </c>
      <c r="J2459">
        <f>IF($Q2459="","",INDEX(상세표[기록 수],$Q2459))</f>
        <v/>
      </c>
      <c r="K2459" s="20">
        <f>IF($Q2459="","",INDEX(상세표[블록 06~07시],$Q2459))</f>
        <v/>
      </c>
      <c r="L2459" s="20">
        <f>IF($Q2459="","",INDEX(상세표[블록 07~18시],$Q2459))</f>
        <v/>
      </c>
      <c r="M2459" s="20">
        <f>IF($Q2459="","",INDEX(상세표[블록 18~22시],$Q2459))</f>
        <v/>
      </c>
      <c r="N2459" s="20">
        <f>IF($Q2459="","",INDEX(상세표[블록 22~06시],$Q2459))</f>
        <v/>
      </c>
      <c r="O2459">
        <f>IF($Q2459="","",INDEX(상세표[주말·휴일 포함],$Q2459)&amp;"")</f>
        <v/>
      </c>
      <c r="P2459">
        <f>IF($Q2459="","",INDEX(상세표[월 넘김 포함],$Q2459)&amp;"")</f>
        <v/>
      </c>
      <c r="Q2459" s="4">
        <f>IFERROR(MATCH(2454,상세표[연속순번],0),"")</f>
        <v/>
      </c>
    </row>
    <row r="2460">
      <c r="A2460">
        <f>IF($Q2460="","",INDEX(상세표[부서],$Q2460)&amp;"")</f>
        <v/>
      </c>
      <c r="B2460">
        <f>IF($Q2460="","",INDEX(상세표[사번],$Q2460)&amp;"")</f>
        <v/>
      </c>
      <c r="C2460">
        <f>IF($Q2460="","",INDEX(상세표[성명],$Q2460)&amp;"")</f>
        <v/>
      </c>
      <c r="D2460">
        <f>IF($Q2460="","",INDEX(상세표[직위],$Q2460)&amp;"")</f>
        <v/>
      </c>
      <c r="E2460">
        <f>IF($Q2460="","",IF(ISNUMBER(INDEX(상세표[근무일자],$Q2460)),TEXT(INDEX(상세표[근무일자],$Q2460),"yyyy-mm-dd"),INDEX(상세표[근무일자],$Q2460)&amp;""))</f>
        <v/>
      </c>
      <c r="F2460">
        <f>IF($Q2460="","",IF(ISNUMBER(INDEX(상세표[시작],$Q2460)),TEXT(INDEX(상세표[시작],$Q2460),"yyyy-mm-dd hh:mm"),INDEX(상세표[시작],$Q2460)&amp;""))</f>
        <v/>
      </c>
      <c r="G2460">
        <f>IF($Q2460="","",IF(ISNUMBER(INDEX(상세표[블록종료],$Q2460)),TEXT(INDEX(상세표[블록종료],$Q2460),"yyyy-mm-dd hh:mm"),INDEX(상세표[블록종료],$Q2460)&amp;""))</f>
        <v/>
      </c>
      <c r="H2460">
        <f>IF($Q2460="","",CHOOSE(WEEKDAY(INDEX(상세표[시작],$Q2460)),"일","월","화","수","목","금","토"))</f>
        <v/>
      </c>
      <c r="I2460" s="20">
        <f>IF($Q2460="","",INDEX(상세표[연속 시간],$Q2460))</f>
        <v/>
      </c>
      <c r="J2460">
        <f>IF($Q2460="","",INDEX(상세표[기록 수],$Q2460))</f>
        <v/>
      </c>
      <c r="K2460" s="20">
        <f>IF($Q2460="","",INDEX(상세표[블록 06~07시],$Q2460))</f>
        <v/>
      </c>
      <c r="L2460" s="20">
        <f>IF($Q2460="","",INDEX(상세표[블록 07~18시],$Q2460))</f>
        <v/>
      </c>
      <c r="M2460" s="20">
        <f>IF($Q2460="","",INDEX(상세표[블록 18~22시],$Q2460))</f>
        <v/>
      </c>
      <c r="N2460" s="20">
        <f>IF($Q2460="","",INDEX(상세표[블록 22~06시],$Q2460))</f>
        <v/>
      </c>
      <c r="O2460">
        <f>IF($Q2460="","",INDEX(상세표[주말·휴일 포함],$Q2460)&amp;"")</f>
        <v/>
      </c>
      <c r="P2460">
        <f>IF($Q2460="","",INDEX(상세표[월 넘김 포함],$Q2460)&amp;"")</f>
        <v/>
      </c>
      <c r="Q2460" s="4">
        <f>IFERROR(MATCH(2455,상세표[연속순번],0),"")</f>
        <v/>
      </c>
    </row>
    <row r="2461">
      <c r="A2461">
        <f>IF($Q2461="","",INDEX(상세표[부서],$Q2461)&amp;"")</f>
        <v/>
      </c>
      <c r="B2461">
        <f>IF($Q2461="","",INDEX(상세표[사번],$Q2461)&amp;"")</f>
        <v/>
      </c>
      <c r="C2461">
        <f>IF($Q2461="","",INDEX(상세표[성명],$Q2461)&amp;"")</f>
        <v/>
      </c>
      <c r="D2461">
        <f>IF($Q2461="","",INDEX(상세표[직위],$Q2461)&amp;"")</f>
        <v/>
      </c>
      <c r="E2461">
        <f>IF($Q2461="","",IF(ISNUMBER(INDEX(상세표[근무일자],$Q2461)),TEXT(INDEX(상세표[근무일자],$Q2461),"yyyy-mm-dd"),INDEX(상세표[근무일자],$Q2461)&amp;""))</f>
        <v/>
      </c>
      <c r="F2461">
        <f>IF($Q2461="","",IF(ISNUMBER(INDEX(상세표[시작],$Q2461)),TEXT(INDEX(상세표[시작],$Q2461),"yyyy-mm-dd hh:mm"),INDEX(상세표[시작],$Q2461)&amp;""))</f>
        <v/>
      </c>
      <c r="G2461">
        <f>IF($Q2461="","",IF(ISNUMBER(INDEX(상세표[블록종료],$Q2461)),TEXT(INDEX(상세표[블록종료],$Q2461),"yyyy-mm-dd hh:mm"),INDEX(상세표[블록종료],$Q2461)&amp;""))</f>
        <v/>
      </c>
      <c r="H2461">
        <f>IF($Q2461="","",CHOOSE(WEEKDAY(INDEX(상세표[시작],$Q2461)),"일","월","화","수","목","금","토"))</f>
        <v/>
      </c>
      <c r="I2461" s="20">
        <f>IF($Q2461="","",INDEX(상세표[연속 시간],$Q2461))</f>
        <v/>
      </c>
      <c r="J2461">
        <f>IF($Q2461="","",INDEX(상세표[기록 수],$Q2461))</f>
        <v/>
      </c>
      <c r="K2461" s="20">
        <f>IF($Q2461="","",INDEX(상세표[블록 06~07시],$Q2461))</f>
        <v/>
      </c>
      <c r="L2461" s="20">
        <f>IF($Q2461="","",INDEX(상세표[블록 07~18시],$Q2461))</f>
        <v/>
      </c>
      <c r="M2461" s="20">
        <f>IF($Q2461="","",INDEX(상세표[블록 18~22시],$Q2461))</f>
        <v/>
      </c>
      <c r="N2461" s="20">
        <f>IF($Q2461="","",INDEX(상세표[블록 22~06시],$Q2461))</f>
        <v/>
      </c>
      <c r="O2461">
        <f>IF($Q2461="","",INDEX(상세표[주말·휴일 포함],$Q2461)&amp;"")</f>
        <v/>
      </c>
      <c r="P2461">
        <f>IF($Q2461="","",INDEX(상세표[월 넘김 포함],$Q2461)&amp;"")</f>
        <v/>
      </c>
      <c r="Q2461" s="4">
        <f>IFERROR(MATCH(2456,상세표[연속순번],0),"")</f>
        <v/>
      </c>
    </row>
    <row r="2462">
      <c r="A2462">
        <f>IF($Q2462="","",INDEX(상세표[부서],$Q2462)&amp;"")</f>
        <v/>
      </c>
      <c r="B2462">
        <f>IF($Q2462="","",INDEX(상세표[사번],$Q2462)&amp;"")</f>
        <v/>
      </c>
      <c r="C2462">
        <f>IF($Q2462="","",INDEX(상세표[성명],$Q2462)&amp;"")</f>
        <v/>
      </c>
      <c r="D2462">
        <f>IF($Q2462="","",INDEX(상세표[직위],$Q2462)&amp;"")</f>
        <v/>
      </c>
      <c r="E2462">
        <f>IF($Q2462="","",IF(ISNUMBER(INDEX(상세표[근무일자],$Q2462)),TEXT(INDEX(상세표[근무일자],$Q2462),"yyyy-mm-dd"),INDEX(상세표[근무일자],$Q2462)&amp;""))</f>
        <v/>
      </c>
      <c r="F2462">
        <f>IF($Q2462="","",IF(ISNUMBER(INDEX(상세표[시작],$Q2462)),TEXT(INDEX(상세표[시작],$Q2462),"yyyy-mm-dd hh:mm"),INDEX(상세표[시작],$Q2462)&amp;""))</f>
        <v/>
      </c>
      <c r="G2462">
        <f>IF($Q2462="","",IF(ISNUMBER(INDEX(상세표[블록종료],$Q2462)),TEXT(INDEX(상세표[블록종료],$Q2462),"yyyy-mm-dd hh:mm"),INDEX(상세표[블록종료],$Q2462)&amp;""))</f>
        <v/>
      </c>
      <c r="H2462">
        <f>IF($Q2462="","",CHOOSE(WEEKDAY(INDEX(상세표[시작],$Q2462)),"일","월","화","수","목","금","토"))</f>
        <v/>
      </c>
      <c r="I2462" s="20">
        <f>IF($Q2462="","",INDEX(상세표[연속 시간],$Q2462))</f>
        <v/>
      </c>
      <c r="J2462">
        <f>IF($Q2462="","",INDEX(상세표[기록 수],$Q2462))</f>
        <v/>
      </c>
      <c r="K2462" s="20">
        <f>IF($Q2462="","",INDEX(상세표[블록 06~07시],$Q2462))</f>
        <v/>
      </c>
      <c r="L2462" s="20">
        <f>IF($Q2462="","",INDEX(상세표[블록 07~18시],$Q2462))</f>
        <v/>
      </c>
      <c r="M2462" s="20">
        <f>IF($Q2462="","",INDEX(상세표[블록 18~22시],$Q2462))</f>
        <v/>
      </c>
      <c r="N2462" s="20">
        <f>IF($Q2462="","",INDEX(상세표[블록 22~06시],$Q2462))</f>
        <v/>
      </c>
      <c r="O2462">
        <f>IF($Q2462="","",INDEX(상세표[주말·휴일 포함],$Q2462)&amp;"")</f>
        <v/>
      </c>
      <c r="P2462">
        <f>IF($Q2462="","",INDEX(상세표[월 넘김 포함],$Q2462)&amp;"")</f>
        <v/>
      </c>
      <c r="Q2462" s="4">
        <f>IFERROR(MATCH(2457,상세표[연속순번],0),"")</f>
        <v/>
      </c>
    </row>
    <row r="2463">
      <c r="A2463">
        <f>IF($Q2463="","",INDEX(상세표[부서],$Q2463)&amp;"")</f>
        <v/>
      </c>
      <c r="B2463">
        <f>IF($Q2463="","",INDEX(상세표[사번],$Q2463)&amp;"")</f>
        <v/>
      </c>
      <c r="C2463">
        <f>IF($Q2463="","",INDEX(상세표[성명],$Q2463)&amp;"")</f>
        <v/>
      </c>
      <c r="D2463">
        <f>IF($Q2463="","",INDEX(상세표[직위],$Q2463)&amp;"")</f>
        <v/>
      </c>
      <c r="E2463">
        <f>IF($Q2463="","",IF(ISNUMBER(INDEX(상세표[근무일자],$Q2463)),TEXT(INDEX(상세표[근무일자],$Q2463),"yyyy-mm-dd"),INDEX(상세표[근무일자],$Q2463)&amp;""))</f>
        <v/>
      </c>
      <c r="F2463">
        <f>IF($Q2463="","",IF(ISNUMBER(INDEX(상세표[시작],$Q2463)),TEXT(INDEX(상세표[시작],$Q2463),"yyyy-mm-dd hh:mm"),INDEX(상세표[시작],$Q2463)&amp;""))</f>
        <v/>
      </c>
      <c r="G2463">
        <f>IF($Q2463="","",IF(ISNUMBER(INDEX(상세표[블록종료],$Q2463)),TEXT(INDEX(상세표[블록종료],$Q2463),"yyyy-mm-dd hh:mm"),INDEX(상세표[블록종료],$Q2463)&amp;""))</f>
        <v/>
      </c>
      <c r="H2463">
        <f>IF($Q2463="","",CHOOSE(WEEKDAY(INDEX(상세표[시작],$Q2463)),"일","월","화","수","목","금","토"))</f>
        <v/>
      </c>
      <c r="I2463" s="20">
        <f>IF($Q2463="","",INDEX(상세표[연속 시간],$Q2463))</f>
        <v/>
      </c>
      <c r="J2463">
        <f>IF($Q2463="","",INDEX(상세표[기록 수],$Q2463))</f>
        <v/>
      </c>
      <c r="K2463" s="20">
        <f>IF($Q2463="","",INDEX(상세표[블록 06~07시],$Q2463))</f>
        <v/>
      </c>
      <c r="L2463" s="20">
        <f>IF($Q2463="","",INDEX(상세표[블록 07~18시],$Q2463))</f>
        <v/>
      </c>
      <c r="M2463" s="20">
        <f>IF($Q2463="","",INDEX(상세표[블록 18~22시],$Q2463))</f>
        <v/>
      </c>
      <c r="N2463" s="20">
        <f>IF($Q2463="","",INDEX(상세표[블록 22~06시],$Q2463))</f>
        <v/>
      </c>
      <c r="O2463">
        <f>IF($Q2463="","",INDEX(상세표[주말·휴일 포함],$Q2463)&amp;"")</f>
        <v/>
      </c>
      <c r="P2463">
        <f>IF($Q2463="","",INDEX(상세표[월 넘김 포함],$Q2463)&amp;"")</f>
        <v/>
      </c>
      <c r="Q2463" s="4">
        <f>IFERROR(MATCH(2458,상세표[연속순번],0),"")</f>
        <v/>
      </c>
    </row>
    <row r="2464">
      <c r="A2464">
        <f>IF($Q2464="","",INDEX(상세표[부서],$Q2464)&amp;"")</f>
        <v/>
      </c>
      <c r="B2464">
        <f>IF($Q2464="","",INDEX(상세표[사번],$Q2464)&amp;"")</f>
        <v/>
      </c>
      <c r="C2464">
        <f>IF($Q2464="","",INDEX(상세표[성명],$Q2464)&amp;"")</f>
        <v/>
      </c>
      <c r="D2464">
        <f>IF($Q2464="","",INDEX(상세표[직위],$Q2464)&amp;"")</f>
        <v/>
      </c>
      <c r="E2464">
        <f>IF($Q2464="","",IF(ISNUMBER(INDEX(상세표[근무일자],$Q2464)),TEXT(INDEX(상세표[근무일자],$Q2464),"yyyy-mm-dd"),INDEX(상세표[근무일자],$Q2464)&amp;""))</f>
        <v/>
      </c>
      <c r="F2464">
        <f>IF($Q2464="","",IF(ISNUMBER(INDEX(상세표[시작],$Q2464)),TEXT(INDEX(상세표[시작],$Q2464),"yyyy-mm-dd hh:mm"),INDEX(상세표[시작],$Q2464)&amp;""))</f>
        <v/>
      </c>
      <c r="G2464">
        <f>IF($Q2464="","",IF(ISNUMBER(INDEX(상세표[블록종료],$Q2464)),TEXT(INDEX(상세표[블록종료],$Q2464),"yyyy-mm-dd hh:mm"),INDEX(상세표[블록종료],$Q2464)&amp;""))</f>
        <v/>
      </c>
      <c r="H2464">
        <f>IF($Q2464="","",CHOOSE(WEEKDAY(INDEX(상세표[시작],$Q2464)),"일","월","화","수","목","금","토"))</f>
        <v/>
      </c>
      <c r="I2464" s="20">
        <f>IF($Q2464="","",INDEX(상세표[연속 시간],$Q2464))</f>
        <v/>
      </c>
      <c r="J2464">
        <f>IF($Q2464="","",INDEX(상세표[기록 수],$Q2464))</f>
        <v/>
      </c>
      <c r="K2464" s="20">
        <f>IF($Q2464="","",INDEX(상세표[블록 06~07시],$Q2464))</f>
        <v/>
      </c>
      <c r="L2464" s="20">
        <f>IF($Q2464="","",INDEX(상세표[블록 07~18시],$Q2464))</f>
        <v/>
      </c>
      <c r="M2464" s="20">
        <f>IF($Q2464="","",INDEX(상세표[블록 18~22시],$Q2464))</f>
        <v/>
      </c>
      <c r="N2464" s="20">
        <f>IF($Q2464="","",INDEX(상세표[블록 22~06시],$Q2464))</f>
        <v/>
      </c>
      <c r="O2464">
        <f>IF($Q2464="","",INDEX(상세표[주말·휴일 포함],$Q2464)&amp;"")</f>
        <v/>
      </c>
      <c r="P2464">
        <f>IF($Q2464="","",INDEX(상세표[월 넘김 포함],$Q2464)&amp;"")</f>
        <v/>
      </c>
      <c r="Q2464" s="4">
        <f>IFERROR(MATCH(2459,상세표[연속순번],0),"")</f>
        <v/>
      </c>
    </row>
    <row r="2465">
      <c r="A2465">
        <f>IF($Q2465="","",INDEX(상세표[부서],$Q2465)&amp;"")</f>
        <v/>
      </c>
      <c r="B2465">
        <f>IF($Q2465="","",INDEX(상세표[사번],$Q2465)&amp;"")</f>
        <v/>
      </c>
      <c r="C2465">
        <f>IF($Q2465="","",INDEX(상세표[성명],$Q2465)&amp;"")</f>
        <v/>
      </c>
      <c r="D2465">
        <f>IF($Q2465="","",INDEX(상세표[직위],$Q2465)&amp;"")</f>
        <v/>
      </c>
      <c r="E2465">
        <f>IF($Q2465="","",IF(ISNUMBER(INDEX(상세표[근무일자],$Q2465)),TEXT(INDEX(상세표[근무일자],$Q2465),"yyyy-mm-dd"),INDEX(상세표[근무일자],$Q2465)&amp;""))</f>
        <v/>
      </c>
      <c r="F2465">
        <f>IF($Q2465="","",IF(ISNUMBER(INDEX(상세표[시작],$Q2465)),TEXT(INDEX(상세표[시작],$Q2465),"yyyy-mm-dd hh:mm"),INDEX(상세표[시작],$Q2465)&amp;""))</f>
        <v/>
      </c>
      <c r="G2465">
        <f>IF($Q2465="","",IF(ISNUMBER(INDEX(상세표[블록종료],$Q2465)),TEXT(INDEX(상세표[블록종료],$Q2465),"yyyy-mm-dd hh:mm"),INDEX(상세표[블록종료],$Q2465)&amp;""))</f>
        <v/>
      </c>
      <c r="H2465">
        <f>IF($Q2465="","",CHOOSE(WEEKDAY(INDEX(상세표[시작],$Q2465)),"일","월","화","수","목","금","토"))</f>
        <v/>
      </c>
      <c r="I2465" s="20">
        <f>IF($Q2465="","",INDEX(상세표[연속 시간],$Q2465))</f>
        <v/>
      </c>
      <c r="J2465">
        <f>IF($Q2465="","",INDEX(상세표[기록 수],$Q2465))</f>
        <v/>
      </c>
      <c r="K2465" s="20">
        <f>IF($Q2465="","",INDEX(상세표[블록 06~07시],$Q2465))</f>
        <v/>
      </c>
      <c r="L2465" s="20">
        <f>IF($Q2465="","",INDEX(상세표[블록 07~18시],$Q2465))</f>
        <v/>
      </c>
      <c r="M2465" s="20">
        <f>IF($Q2465="","",INDEX(상세표[블록 18~22시],$Q2465))</f>
        <v/>
      </c>
      <c r="N2465" s="20">
        <f>IF($Q2465="","",INDEX(상세표[블록 22~06시],$Q2465))</f>
        <v/>
      </c>
      <c r="O2465">
        <f>IF($Q2465="","",INDEX(상세표[주말·휴일 포함],$Q2465)&amp;"")</f>
        <v/>
      </c>
      <c r="P2465">
        <f>IF($Q2465="","",INDEX(상세표[월 넘김 포함],$Q2465)&amp;"")</f>
        <v/>
      </c>
      <c r="Q2465" s="4">
        <f>IFERROR(MATCH(2460,상세표[연속순번],0),"")</f>
        <v/>
      </c>
    </row>
    <row r="2466">
      <c r="A2466">
        <f>IF($Q2466="","",INDEX(상세표[부서],$Q2466)&amp;"")</f>
        <v/>
      </c>
      <c r="B2466">
        <f>IF($Q2466="","",INDEX(상세표[사번],$Q2466)&amp;"")</f>
        <v/>
      </c>
      <c r="C2466">
        <f>IF($Q2466="","",INDEX(상세표[성명],$Q2466)&amp;"")</f>
        <v/>
      </c>
      <c r="D2466">
        <f>IF($Q2466="","",INDEX(상세표[직위],$Q2466)&amp;"")</f>
        <v/>
      </c>
      <c r="E2466">
        <f>IF($Q2466="","",IF(ISNUMBER(INDEX(상세표[근무일자],$Q2466)),TEXT(INDEX(상세표[근무일자],$Q2466),"yyyy-mm-dd"),INDEX(상세표[근무일자],$Q2466)&amp;""))</f>
        <v/>
      </c>
      <c r="F2466">
        <f>IF($Q2466="","",IF(ISNUMBER(INDEX(상세표[시작],$Q2466)),TEXT(INDEX(상세표[시작],$Q2466),"yyyy-mm-dd hh:mm"),INDEX(상세표[시작],$Q2466)&amp;""))</f>
        <v/>
      </c>
      <c r="G2466">
        <f>IF($Q2466="","",IF(ISNUMBER(INDEX(상세표[블록종료],$Q2466)),TEXT(INDEX(상세표[블록종료],$Q2466),"yyyy-mm-dd hh:mm"),INDEX(상세표[블록종료],$Q2466)&amp;""))</f>
        <v/>
      </c>
      <c r="H2466">
        <f>IF($Q2466="","",CHOOSE(WEEKDAY(INDEX(상세표[시작],$Q2466)),"일","월","화","수","목","금","토"))</f>
        <v/>
      </c>
      <c r="I2466" s="20">
        <f>IF($Q2466="","",INDEX(상세표[연속 시간],$Q2466))</f>
        <v/>
      </c>
      <c r="J2466">
        <f>IF($Q2466="","",INDEX(상세표[기록 수],$Q2466))</f>
        <v/>
      </c>
      <c r="K2466" s="20">
        <f>IF($Q2466="","",INDEX(상세표[블록 06~07시],$Q2466))</f>
        <v/>
      </c>
      <c r="L2466" s="20">
        <f>IF($Q2466="","",INDEX(상세표[블록 07~18시],$Q2466))</f>
        <v/>
      </c>
      <c r="M2466" s="20">
        <f>IF($Q2466="","",INDEX(상세표[블록 18~22시],$Q2466))</f>
        <v/>
      </c>
      <c r="N2466" s="20">
        <f>IF($Q2466="","",INDEX(상세표[블록 22~06시],$Q2466))</f>
        <v/>
      </c>
      <c r="O2466">
        <f>IF($Q2466="","",INDEX(상세표[주말·휴일 포함],$Q2466)&amp;"")</f>
        <v/>
      </c>
      <c r="P2466">
        <f>IF($Q2466="","",INDEX(상세표[월 넘김 포함],$Q2466)&amp;"")</f>
        <v/>
      </c>
      <c r="Q2466" s="4">
        <f>IFERROR(MATCH(2461,상세표[연속순번],0),"")</f>
        <v/>
      </c>
    </row>
    <row r="2467">
      <c r="A2467">
        <f>IF($Q2467="","",INDEX(상세표[부서],$Q2467)&amp;"")</f>
        <v/>
      </c>
      <c r="B2467">
        <f>IF($Q2467="","",INDEX(상세표[사번],$Q2467)&amp;"")</f>
        <v/>
      </c>
      <c r="C2467">
        <f>IF($Q2467="","",INDEX(상세표[성명],$Q2467)&amp;"")</f>
        <v/>
      </c>
      <c r="D2467">
        <f>IF($Q2467="","",INDEX(상세표[직위],$Q2467)&amp;"")</f>
        <v/>
      </c>
      <c r="E2467">
        <f>IF($Q2467="","",IF(ISNUMBER(INDEX(상세표[근무일자],$Q2467)),TEXT(INDEX(상세표[근무일자],$Q2467),"yyyy-mm-dd"),INDEX(상세표[근무일자],$Q2467)&amp;""))</f>
        <v/>
      </c>
      <c r="F2467">
        <f>IF($Q2467="","",IF(ISNUMBER(INDEX(상세표[시작],$Q2467)),TEXT(INDEX(상세표[시작],$Q2467),"yyyy-mm-dd hh:mm"),INDEX(상세표[시작],$Q2467)&amp;""))</f>
        <v/>
      </c>
      <c r="G2467">
        <f>IF($Q2467="","",IF(ISNUMBER(INDEX(상세표[블록종료],$Q2467)),TEXT(INDEX(상세표[블록종료],$Q2467),"yyyy-mm-dd hh:mm"),INDEX(상세표[블록종료],$Q2467)&amp;""))</f>
        <v/>
      </c>
      <c r="H2467">
        <f>IF($Q2467="","",CHOOSE(WEEKDAY(INDEX(상세표[시작],$Q2467)),"일","월","화","수","목","금","토"))</f>
        <v/>
      </c>
      <c r="I2467" s="20">
        <f>IF($Q2467="","",INDEX(상세표[연속 시간],$Q2467))</f>
        <v/>
      </c>
      <c r="J2467">
        <f>IF($Q2467="","",INDEX(상세표[기록 수],$Q2467))</f>
        <v/>
      </c>
      <c r="K2467" s="20">
        <f>IF($Q2467="","",INDEX(상세표[블록 06~07시],$Q2467))</f>
        <v/>
      </c>
      <c r="L2467" s="20">
        <f>IF($Q2467="","",INDEX(상세표[블록 07~18시],$Q2467))</f>
        <v/>
      </c>
      <c r="M2467" s="20">
        <f>IF($Q2467="","",INDEX(상세표[블록 18~22시],$Q2467))</f>
        <v/>
      </c>
      <c r="N2467" s="20">
        <f>IF($Q2467="","",INDEX(상세표[블록 22~06시],$Q2467))</f>
        <v/>
      </c>
      <c r="O2467">
        <f>IF($Q2467="","",INDEX(상세표[주말·휴일 포함],$Q2467)&amp;"")</f>
        <v/>
      </c>
      <c r="P2467">
        <f>IF($Q2467="","",INDEX(상세표[월 넘김 포함],$Q2467)&amp;"")</f>
        <v/>
      </c>
      <c r="Q2467" s="4">
        <f>IFERROR(MATCH(2462,상세표[연속순번],0),"")</f>
        <v/>
      </c>
    </row>
    <row r="2468">
      <c r="A2468">
        <f>IF($Q2468="","",INDEX(상세표[부서],$Q2468)&amp;"")</f>
        <v/>
      </c>
      <c r="B2468">
        <f>IF($Q2468="","",INDEX(상세표[사번],$Q2468)&amp;"")</f>
        <v/>
      </c>
      <c r="C2468">
        <f>IF($Q2468="","",INDEX(상세표[성명],$Q2468)&amp;"")</f>
        <v/>
      </c>
      <c r="D2468">
        <f>IF($Q2468="","",INDEX(상세표[직위],$Q2468)&amp;"")</f>
        <v/>
      </c>
      <c r="E2468">
        <f>IF($Q2468="","",IF(ISNUMBER(INDEX(상세표[근무일자],$Q2468)),TEXT(INDEX(상세표[근무일자],$Q2468),"yyyy-mm-dd"),INDEX(상세표[근무일자],$Q2468)&amp;""))</f>
        <v/>
      </c>
      <c r="F2468">
        <f>IF($Q2468="","",IF(ISNUMBER(INDEX(상세표[시작],$Q2468)),TEXT(INDEX(상세표[시작],$Q2468),"yyyy-mm-dd hh:mm"),INDEX(상세표[시작],$Q2468)&amp;""))</f>
        <v/>
      </c>
      <c r="G2468">
        <f>IF($Q2468="","",IF(ISNUMBER(INDEX(상세표[블록종료],$Q2468)),TEXT(INDEX(상세표[블록종료],$Q2468),"yyyy-mm-dd hh:mm"),INDEX(상세표[블록종료],$Q2468)&amp;""))</f>
        <v/>
      </c>
      <c r="H2468">
        <f>IF($Q2468="","",CHOOSE(WEEKDAY(INDEX(상세표[시작],$Q2468)),"일","월","화","수","목","금","토"))</f>
        <v/>
      </c>
      <c r="I2468" s="20">
        <f>IF($Q2468="","",INDEX(상세표[연속 시간],$Q2468))</f>
        <v/>
      </c>
      <c r="J2468">
        <f>IF($Q2468="","",INDEX(상세표[기록 수],$Q2468))</f>
        <v/>
      </c>
      <c r="K2468" s="20">
        <f>IF($Q2468="","",INDEX(상세표[블록 06~07시],$Q2468))</f>
        <v/>
      </c>
      <c r="L2468" s="20">
        <f>IF($Q2468="","",INDEX(상세표[블록 07~18시],$Q2468))</f>
        <v/>
      </c>
      <c r="M2468" s="20">
        <f>IF($Q2468="","",INDEX(상세표[블록 18~22시],$Q2468))</f>
        <v/>
      </c>
      <c r="N2468" s="20">
        <f>IF($Q2468="","",INDEX(상세표[블록 22~06시],$Q2468))</f>
        <v/>
      </c>
      <c r="O2468">
        <f>IF($Q2468="","",INDEX(상세표[주말·휴일 포함],$Q2468)&amp;"")</f>
        <v/>
      </c>
      <c r="P2468">
        <f>IF($Q2468="","",INDEX(상세표[월 넘김 포함],$Q2468)&amp;"")</f>
        <v/>
      </c>
      <c r="Q2468" s="4">
        <f>IFERROR(MATCH(2463,상세표[연속순번],0),"")</f>
        <v/>
      </c>
    </row>
    <row r="2469">
      <c r="A2469">
        <f>IF($Q2469="","",INDEX(상세표[부서],$Q2469)&amp;"")</f>
        <v/>
      </c>
      <c r="B2469">
        <f>IF($Q2469="","",INDEX(상세표[사번],$Q2469)&amp;"")</f>
        <v/>
      </c>
      <c r="C2469">
        <f>IF($Q2469="","",INDEX(상세표[성명],$Q2469)&amp;"")</f>
        <v/>
      </c>
      <c r="D2469">
        <f>IF($Q2469="","",INDEX(상세표[직위],$Q2469)&amp;"")</f>
        <v/>
      </c>
      <c r="E2469">
        <f>IF($Q2469="","",IF(ISNUMBER(INDEX(상세표[근무일자],$Q2469)),TEXT(INDEX(상세표[근무일자],$Q2469),"yyyy-mm-dd"),INDEX(상세표[근무일자],$Q2469)&amp;""))</f>
        <v/>
      </c>
      <c r="F2469">
        <f>IF($Q2469="","",IF(ISNUMBER(INDEX(상세표[시작],$Q2469)),TEXT(INDEX(상세표[시작],$Q2469),"yyyy-mm-dd hh:mm"),INDEX(상세표[시작],$Q2469)&amp;""))</f>
        <v/>
      </c>
      <c r="G2469">
        <f>IF($Q2469="","",IF(ISNUMBER(INDEX(상세표[블록종료],$Q2469)),TEXT(INDEX(상세표[블록종료],$Q2469),"yyyy-mm-dd hh:mm"),INDEX(상세표[블록종료],$Q2469)&amp;""))</f>
        <v/>
      </c>
      <c r="H2469">
        <f>IF($Q2469="","",CHOOSE(WEEKDAY(INDEX(상세표[시작],$Q2469)),"일","월","화","수","목","금","토"))</f>
        <v/>
      </c>
      <c r="I2469" s="20">
        <f>IF($Q2469="","",INDEX(상세표[연속 시간],$Q2469))</f>
        <v/>
      </c>
      <c r="J2469">
        <f>IF($Q2469="","",INDEX(상세표[기록 수],$Q2469))</f>
        <v/>
      </c>
      <c r="K2469" s="20">
        <f>IF($Q2469="","",INDEX(상세표[블록 06~07시],$Q2469))</f>
        <v/>
      </c>
      <c r="L2469" s="20">
        <f>IF($Q2469="","",INDEX(상세표[블록 07~18시],$Q2469))</f>
        <v/>
      </c>
      <c r="M2469" s="20">
        <f>IF($Q2469="","",INDEX(상세표[블록 18~22시],$Q2469))</f>
        <v/>
      </c>
      <c r="N2469" s="20">
        <f>IF($Q2469="","",INDEX(상세표[블록 22~06시],$Q2469))</f>
        <v/>
      </c>
      <c r="O2469">
        <f>IF($Q2469="","",INDEX(상세표[주말·휴일 포함],$Q2469)&amp;"")</f>
        <v/>
      </c>
      <c r="P2469">
        <f>IF($Q2469="","",INDEX(상세표[월 넘김 포함],$Q2469)&amp;"")</f>
        <v/>
      </c>
      <c r="Q2469" s="4">
        <f>IFERROR(MATCH(2464,상세표[연속순번],0),"")</f>
        <v/>
      </c>
    </row>
    <row r="2470">
      <c r="A2470">
        <f>IF($Q2470="","",INDEX(상세표[부서],$Q2470)&amp;"")</f>
        <v/>
      </c>
      <c r="B2470">
        <f>IF($Q2470="","",INDEX(상세표[사번],$Q2470)&amp;"")</f>
        <v/>
      </c>
      <c r="C2470">
        <f>IF($Q2470="","",INDEX(상세표[성명],$Q2470)&amp;"")</f>
        <v/>
      </c>
      <c r="D2470">
        <f>IF($Q2470="","",INDEX(상세표[직위],$Q2470)&amp;"")</f>
        <v/>
      </c>
      <c r="E2470">
        <f>IF($Q2470="","",IF(ISNUMBER(INDEX(상세표[근무일자],$Q2470)),TEXT(INDEX(상세표[근무일자],$Q2470),"yyyy-mm-dd"),INDEX(상세표[근무일자],$Q2470)&amp;""))</f>
        <v/>
      </c>
      <c r="F2470">
        <f>IF($Q2470="","",IF(ISNUMBER(INDEX(상세표[시작],$Q2470)),TEXT(INDEX(상세표[시작],$Q2470),"yyyy-mm-dd hh:mm"),INDEX(상세표[시작],$Q2470)&amp;""))</f>
        <v/>
      </c>
      <c r="G2470">
        <f>IF($Q2470="","",IF(ISNUMBER(INDEX(상세표[블록종료],$Q2470)),TEXT(INDEX(상세표[블록종료],$Q2470),"yyyy-mm-dd hh:mm"),INDEX(상세표[블록종료],$Q2470)&amp;""))</f>
        <v/>
      </c>
      <c r="H2470">
        <f>IF($Q2470="","",CHOOSE(WEEKDAY(INDEX(상세표[시작],$Q2470)),"일","월","화","수","목","금","토"))</f>
        <v/>
      </c>
      <c r="I2470" s="20">
        <f>IF($Q2470="","",INDEX(상세표[연속 시간],$Q2470))</f>
        <v/>
      </c>
      <c r="J2470">
        <f>IF($Q2470="","",INDEX(상세표[기록 수],$Q2470))</f>
        <v/>
      </c>
      <c r="K2470" s="20">
        <f>IF($Q2470="","",INDEX(상세표[블록 06~07시],$Q2470))</f>
        <v/>
      </c>
      <c r="L2470" s="20">
        <f>IF($Q2470="","",INDEX(상세표[블록 07~18시],$Q2470))</f>
        <v/>
      </c>
      <c r="M2470" s="20">
        <f>IF($Q2470="","",INDEX(상세표[블록 18~22시],$Q2470))</f>
        <v/>
      </c>
      <c r="N2470" s="20">
        <f>IF($Q2470="","",INDEX(상세표[블록 22~06시],$Q2470))</f>
        <v/>
      </c>
      <c r="O2470">
        <f>IF($Q2470="","",INDEX(상세표[주말·휴일 포함],$Q2470)&amp;"")</f>
        <v/>
      </c>
      <c r="P2470">
        <f>IF($Q2470="","",INDEX(상세표[월 넘김 포함],$Q2470)&amp;"")</f>
        <v/>
      </c>
      <c r="Q2470" s="4">
        <f>IFERROR(MATCH(2465,상세표[연속순번],0),"")</f>
        <v/>
      </c>
    </row>
    <row r="2471">
      <c r="A2471">
        <f>IF($Q2471="","",INDEX(상세표[부서],$Q2471)&amp;"")</f>
        <v/>
      </c>
      <c r="B2471">
        <f>IF($Q2471="","",INDEX(상세표[사번],$Q2471)&amp;"")</f>
        <v/>
      </c>
      <c r="C2471">
        <f>IF($Q2471="","",INDEX(상세표[성명],$Q2471)&amp;"")</f>
        <v/>
      </c>
      <c r="D2471">
        <f>IF($Q2471="","",INDEX(상세표[직위],$Q2471)&amp;"")</f>
        <v/>
      </c>
      <c r="E2471">
        <f>IF($Q2471="","",IF(ISNUMBER(INDEX(상세표[근무일자],$Q2471)),TEXT(INDEX(상세표[근무일자],$Q2471),"yyyy-mm-dd"),INDEX(상세표[근무일자],$Q2471)&amp;""))</f>
        <v/>
      </c>
      <c r="F2471">
        <f>IF($Q2471="","",IF(ISNUMBER(INDEX(상세표[시작],$Q2471)),TEXT(INDEX(상세표[시작],$Q2471),"yyyy-mm-dd hh:mm"),INDEX(상세표[시작],$Q2471)&amp;""))</f>
        <v/>
      </c>
      <c r="G2471">
        <f>IF($Q2471="","",IF(ISNUMBER(INDEX(상세표[블록종료],$Q2471)),TEXT(INDEX(상세표[블록종료],$Q2471),"yyyy-mm-dd hh:mm"),INDEX(상세표[블록종료],$Q2471)&amp;""))</f>
        <v/>
      </c>
      <c r="H2471">
        <f>IF($Q2471="","",CHOOSE(WEEKDAY(INDEX(상세표[시작],$Q2471)),"일","월","화","수","목","금","토"))</f>
        <v/>
      </c>
      <c r="I2471" s="20">
        <f>IF($Q2471="","",INDEX(상세표[연속 시간],$Q2471))</f>
        <v/>
      </c>
      <c r="J2471">
        <f>IF($Q2471="","",INDEX(상세표[기록 수],$Q2471))</f>
        <v/>
      </c>
      <c r="K2471" s="20">
        <f>IF($Q2471="","",INDEX(상세표[블록 06~07시],$Q2471))</f>
        <v/>
      </c>
      <c r="L2471" s="20">
        <f>IF($Q2471="","",INDEX(상세표[블록 07~18시],$Q2471))</f>
        <v/>
      </c>
      <c r="M2471" s="20">
        <f>IF($Q2471="","",INDEX(상세표[블록 18~22시],$Q2471))</f>
        <v/>
      </c>
      <c r="N2471" s="20">
        <f>IF($Q2471="","",INDEX(상세표[블록 22~06시],$Q2471))</f>
        <v/>
      </c>
      <c r="O2471">
        <f>IF($Q2471="","",INDEX(상세표[주말·휴일 포함],$Q2471)&amp;"")</f>
        <v/>
      </c>
      <c r="P2471">
        <f>IF($Q2471="","",INDEX(상세표[월 넘김 포함],$Q2471)&amp;"")</f>
        <v/>
      </c>
      <c r="Q2471" s="4">
        <f>IFERROR(MATCH(2466,상세표[연속순번],0),"")</f>
        <v/>
      </c>
    </row>
    <row r="2472">
      <c r="A2472">
        <f>IF($Q2472="","",INDEX(상세표[부서],$Q2472)&amp;"")</f>
        <v/>
      </c>
      <c r="B2472">
        <f>IF($Q2472="","",INDEX(상세표[사번],$Q2472)&amp;"")</f>
        <v/>
      </c>
      <c r="C2472">
        <f>IF($Q2472="","",INDEX(상세표[성명],$Q2472)&amp;"")</f>
        <v/>
      </c>
      <c r="D2472">
        <f>IF($Q2472="","",INDEX(상세표[직위],$Q2472)&amp;"")</f>
        <v/>
      </c>
      <c r="E2472">
        <f>IF($Q2472="","",IF(ISNUMBER(INDEX(상세표[근무일자],$Q2472)),TEXT(INDEX(상세표[근무일자],$Q2472),"yyyy-mm-dd"),INDEX(상세표[근무일자],$Q2472)&amp;""))</f>
        <v/>
      </c>
      <c r="F2472">
        <f>IF($Q2472="","",IF(ISNUMBER(INDEX(상세표[시작],$Q2472)),TEXT(INDEX(상세표[시작],$Q2472),"yyyy-mm-dd hh:mm"),INDEX(상세표[시작],$Q2472)&amp;""))</f>
        <v/>
      </c>
      <c r="G2472">
        <f>IF($Q2472="","",IF(ISNUMBER(INDEX(상세표[블록종료],$Q2472)),TEXT(INDEX(상세표[블록종료],$Q2472),"yyyy-mm-dd hh:mm"),INDEX(상세표[블록종료],$Q2472)&amp;""))</f>
        <v/>
      </c>
      <c r="H2472">
        <f>IF($Q2472="","",CHOOSE(WEEKDAY(INDEX(상세표[시작],$Q2472)),"일","월","화","수","목","금","토"))</f>
        <v/>
      </c>
      <c r="I2472" s="20">
        <f>IF($Q2472="","",INDEX(상세표[연속 시간],$Q2472))</f>
        <v/>
      </c>
      <c r="J2472">
        <f>IF($Q2472="","",INDEX(상세표[기록 수],$Q2472))</f>
        <v/>
      </c>
      <c r="K2472" s="20">
        <f>IF($Q2472="","",INDEX(상세표[블록 06~07시],$Q2472))</f>
        <v/>
      </c>
      <c r="L2472" s="20">
        <f>IF($Q2472="","",INDEX(상세표[블록 07~18시],$Q2472))</f>
        <v/>
      </c>
      <c r="M2472" s="20">
        <f>IF($Q2472="","",INDEX(상세표[블록 18~22시],$Q2472))</f>
        <v/>
      </c>
      <c r="N2472" s="20">
        <f>IF($Q2472="","",INDEX(상세표[블록 22~06시],$Q2472))</f>
        <v/>
      </c>
      <c r="O2472">
        <f>IF($Q2472="","",INDEX(상세표[주말·휴일 포함],$Q2472)&amp;"")</f>
        <v/>
      </c>
      <c r="P2472">
        <f>IF($Q2472="","",INDEX(상세표[월 넘김 포함],$Q2472)&amp;"")</f>
        <v/>
      </c>
      <c r="Q2472" s="4">
        <f>IFERROR(MATCH(2467,상세표[연속순번],0),"")</f>
        <v/>
      </c>
    </row>
    <row r="2473">
      <c r="A2473">
        <f>IF($Q2473="","",INDEX(상세표[부서],$Q2473)&amp;"")</f>
        <v/>
      </c>
      <c r="B2473">
        <f>IF($Q2473="","",INDEX(상세표[사번],$Q2473)&amp;"")</f>
        <v/>
      </c>
      <c r="C2473">
        <f>IF($Q2473="","",INDEX(상세표[성명],$Q2473)&amp;"")</f>
        <v/>
      </c>
      <c r="D2473">
        <f>IF($Q2473="","",INDEX(상세표[직위],$Q2473)&amp;"")</f>
        <v/>
      </c>
      <c r="E2473">
        <f>IF($Q2473="","",IF(ISNUMBER(INDEX(상세표[근무일자],$Q2473)),TEXT(INDEX(상세표[근무일자],$Q2473),"yyyy-mm-dd"),INDEX(상세표[근무일자],$Q2473)&amp;""))</f>
        <v/>
      </c>
      <c r="F2473">
        <f>IF($Q2473="","",IF(ISNUMBER(INDEX(상세표[시작],$Q2473)),TEXT(INDEX(상세표[시작],$Q2473),"yyyy-mm-dd hh:mm"),INDEX(상세표[시작],$Q2473)&amp;""))</f>
        <v/>
      </c>
      <c r="G2473">
        <f>IF($Q2473="","",IF(ISNUMBER(INDEX(상세표[블록종료],$Q2473)),TEXT(INDEX(상세표[블록종료],$Q2473),"yyyy-mm-dd hh:mm"),INDEX(상세표[블록종료],$Q2473)&amp;""))</f>
        <v/>
      </c>
      <c r="H2473">
        <f>IF($Q2473="","",CHOOSE(WEEKDAY(INDEX(상세표[시작],$Q2473)),"일","월","화","수","목","금","토"))</f>
        <v/>
      </c>
      <c r="I2473" s="20">
        <f>IF($Q2473="","",INDEX(상세표[연속 시간],$Q2473))</f>
        <v/>
      </c>
      <c r="J2473">
        <f>IF($Q2473="","",INDEX(상세표[기록 수],$Q2473))</f>
        <v/>
      </c>
      <c r="K2473" s="20">
        <f>IF($Q2473="","",INDEX(상세표[블록 06~07시],$Q2473))</f>
        <v/>
      </c>
      <c r="L2473" s="20">
        <f>IF($Q2473="","",INDEX(상세표[블록 07~18시],$Q2473))</f>
        <v/>
      </c>
      <c r="M2473" s="20">
        <f>IF($Q2473="","",INDEX(상세표[블록 18~22시],$Q2473))</f>
        <v/>
      </c>
      <c r="N2473" s="20">
        <f>IF($Q2473="","",INDEX(상세표[블록 22~06시],$Q2473))</f>
        <v/>
      </c>
      <c r="O2473">
        <f>IF($Q2473="","",INDEX(상세표[주말·휴일 포함],$Q2473)&amp;"")</f>
        <v/>
      </c>
      <c r="P2473">
        <f>IF($Q2473="","",INDEX(상세표[월 넘김 포함],$Q2473)&amp;"")</f>
        <v/>
      </c>
      <c r="Q2473" s="4">
        <f>IFERROR(MATCH(2468,상세표[연속순번],0),"")</f>
        <v/>
      </c>
    </row>
    <row r="2474">
      <c r="A2474">
        <f>IF($Q2474="","",INDEX(상세표[부서],$Q2474)&amp;"")</f>
        <v/>
      </c>
      <c r="B2474">
        <f>IF($Q2474="","",INDEX(상세표[사번],$Q2474)&amp;"")</f>
        <v/>
      </c>
      <c r="C2474">
        <f>IF($Q2474="","",INDEX(상세표[성명],$Q2474)&amp;"")</f>
        <v/>
      </c>
      <c r="D2474">
        <f>IF($Q2474="","",INDEX(상세표[직위],$Q2474)&amp;"")</f>
        <v/>
      </c>
      <c r="E2474">
        <f>IF($Q2474="","",IF(ISNUMBER(INDEX(상세표[근무일자],$Q2474)),TEXT(INDEX(상세표[근무일자],$Q2474),"yyyy-mm-dd"),INDEX(상세표[근무일자],$Q2474)&amp;""))</f>
        <v/>
      </c>
      <c r="F2474">
        <f>IF($Q2474="","",IF(ISNUMBER(INDEX(상세표[시작],$Q2474)),TEXT(INDEX(상세표[시작],$Q2474),"yyyy-mm-dd hh:mm"),INDEX(상세표[시작],$Q2474)&amp;""))</f>
        <v/>
      </c>
      <c r="G2474">
        <f>IF($Q2474="","",IF(ISNUMBER(INDEX(상세표[블록종료],$Q2474)),TEXT(INDEX(상세표[블록종료],$Q2474),"yyyy-mm-dd hh:mm"),INDEX(상세표[블록종료],$Q2474)&amp;""))</f>
        <v/>
      </c>
      <c r="H2474">
        <f>IF($Q2474="","",CHOOSE(WEEKDAY(INDEX(상세표[시작],$Q2474)),"일","월","화","수","목","금","토"))</f>
        <v/>
      </c>
      <c r="I2474" s="20">
        <f>IF($Q2474="","",INDEX(상세표[연속 시간],$Q2474))</f>
        <v/>
      </c>
      <c r="J2474">
        <f>IF($Q2474="","",INDEX(상세표[기록 수],$Q2474))</f>
        <v/>
      </c>
      <c r="K2474" s="20">
        <f>IF($Q2474="","",INDEX(상세표[블록 06~07시],$Q2474))</f>
        <v/>
      </c>
      <c r="L2474" s="20">
        <f>IF($Q2474="","",INDEX(상세표[블록 07~18시],$Q2474))</f>
        <v/>
      </c>
      <c r="M2474" s="20">
        <f>IF($Q2474="","",INDEX(상세표[블록 18~22시],$Q2474))</f>
        <v/>
      </c>
      <c r="N2474" s="20">
        <f>IF($Q2474="","",INDEX(상세표[블록 22~06시],$Q2474))</f>
        <v/>
      </c>
      <c r="O2474">
        <f>IF($Q2474="","",INDEX(상세표[주말·휴일 포함],$Q2474)&amp;"")</f>
        <v/>
      </c>
      <c r="P2474">
        <f>IF($Q2474="","",INDEX(상세표[월 넘김 포함],$Q2474)&amp;"")</f>
        <v/>
      </c>
      <c r="Q2474" s="4">
        <f>IFERROR(MATCH(2469,상세표[연속순번],0),"")</f>
        <v/>
      </c>
    </row>
    <row r="2475">
      <c r="A2475">
        <f>IF($Q2475="","",INDEX(상세표[부서],$Q2475)&amp;"")</f>
        <v/>
      </c>
      <c r="B2475">
        <f>IF($Q2475="","",INDEX(상세표[사번],$Q2475)&amp;"")</f>
        <v/>
      </c>
      <c r="C2475">
        <f>IF($Q2475="","",INDEX(상세표[성명],$Q2475)&amp;"")</f>
        <v/>
      </c>
      <c r="D2475">
        <f>IF($Q2475="","",INDEX(상세표[직위],$Q2475)&amp;"")</f>
        <v/>
      </c>
      <c r="E2475">
        <f>IF($Q2475="","",IF(ISNUMBER(INDEX(상세표[근무일자],$Q2475)),TEXT(INDEX(상세표[근무일자],$Q2475),"yyyy-mm-dd"),INDEX(상세표[근무일자],$Q2475)&amp;""))</f>
        <v/>
      </c>
      <c r="F2475">
        <f>IF($Q2475="","",IF(ISNUMBER(INDEX(상세표[시작],$Q2475)),TEXT(INDEX(상세표[시작],$Q2475),"yyyy-mm-dd hh:mm"),INDEX(상세표[시작],$Q2475)&amp;""))</f>
        <v/>
      </c>
      <c r="G2475">
        <f>IF($Q2475="","",IF(ISNUMBER(INDEX(상세표[블록종료],$Q2475)),TEXT(INDEX(상세표[블록종료],$Q2475),"yyyy-mm-dd hh:mm"),INDEX(상세표[블록종료],$Q2475)&amp;""))</f>
        <v/>
      </c>
      <c r="H2475">
        <f>IF($Q2475="","",CHOOSE(WEEKDAY(INDEX(상세표[시작],$Q2475)),"일","월","화","수","목","금","토"))</f>
        <v/>
      </c>
      <c r="I2475" s="20">
        <f>IF($Q2475="","",INDEX(상세표[연속 시간],$Q2475))</f>
        <v/>
      </c>
      <c r="J2475">
        <f>IF($Q2475="","",INDEX(상세표[기록 수],$Q2475))</f>
        <v/>
      </c>
      <c r="K2475" s="20">
        <f>IF($Q2475="","",INDEX(상세표[블록 06~07시],$Q2475))</f>
        <v/>
      </c>
      <c r="L2475" s="20">
        <f>IF($Q2475="","",INDEX(상세표[블록 07~18시],$Q2475))</f>
        <v/>
      </c>
      <c r="M2475" s="20">
        <f>IF($Q2475="","",INDEX(상세표[블록 18~22시],$Q2475))</f>
        <v/>
      </c>
      <c r="N2475" s="20">
        <f>IF($Q2475="","",INDEX(상세표[블록 22~06시],$Q2475))</f>
        <v/>
      </c>
      <c r="O2475">
        <f>IF($Q2475="","",INDEX(상세표[주말·휴일 포함],$Q2475)&amp;"")</f>
        <v/>
      </c>
      <c r="P2475">
        <f>IF($Q2475="","",INDEX(상세표[월 넘김 포함],$Q2475)&amp;"")</f>
        <v/>
      </c>
      <c r="Q2475" s="4">
        <f>IFERROR(MATCH(2470,상세표[연속순번],0),"")</f>
        <v/>
      </c>
    </row>
    <row r="2476">
      <c r="A2476">
        <f>IF($Q2476="","",INDEX(상세표[부서],$Q2476)&amp;"")</f>
        <v/>
      </c>
      <c r="B2476">
        <f>IF($Q2476="","",INDEX(상세표[사번],$Q2476)&amp;"")</f>
        <v/>
      </c>
      <c r="C2476">
        <f>IF($Q2476="","",INDEX(상세표[성명],$Q2476)&amp;"")</f>
        <v/>
      </c>
      <c r="D2476">
        <f>IF($Q2476="","",INDEX(상세표[직위],$Q2476)&amp;"")</f>
        <v/>
      </c>
      <c r="E2476">
        <f>IF($Q2476="","",IF(ISNUMBER(INDEX(상세표[근무일자],$Q2476)),TEXT(INDEX(상세표[근무일자],$Q2476),"yyyy-mm-dd"),INDEX(상세표[근무일자],$Q2476)&amp;""))</f>
        <v/>
      </c>
      <c r="F2476">
        <f>IF($Q2476="","",IF(ISNUMBER(INDEX(상세표[시작],$Q2476)),TEXT(INDEX(상세표[시작],$Q2476),"yyyy-mm-dd hh:mm"),INDEX(상세표[시작],$Q2476)&amp;""))</f>
        <v/>
      </c>
      <c r="G2476">
        <f>IF($Q2476="","",IF(ISNUMBER(INDEX(상세표[블록종료],$Q2476)),TEXT(INDEX(상세표[블록종료],$Q2476),"yyyy-mm-dd hh:mm"),INDEX(상세표[블록종료],$Q2476)&amp;""))</f>
        <v/>
      </c>
      <c r="H2476">
        <f>IF($Q2476="","",CHOOSE(WEEKDAY(INDEX(상세표[시작],$Q2476)),"일","월","화","수","목","금","토"))</f>
        <v/>
      </c>
      <c r="I2476" s="20">
        <f>IF($Q2476="","",INDEX(상세표[연속 시간],$Q2476))</f>
        <v/>
      </c>
      <c r="J2476">
        <f>IF($Q2476="","",INDEX(상세표[기록 수],$Q2476))</f>
        <v/>
      </c>
      <c r="K2476" s="20">
        <f>IF($Q2476="","",INDEX(상세표[블록 06~07시],$Q2476))</f>
        <v/>
      </c>
      <c r="L2476" s="20">
        <f>IF($Q2476="","",INDEX(상세표[블록 07~18시],$Q2476))</f>
        <v/>
      </c>
      <c r="M2476" s="20">
        <f>IF($Q2476="","",INDEX(상세표[블록 18~22시],$Q2476))</f>
        <v/>
      </c>
      <c r="N2476" s="20">
        <f>IF($Q2476="","",INDEX(상세표[블록 22~06시],$Q2476))</f>
        <v/>
      </c>
      <c r="O2476">
        <f>IF($Q2476="","",INDEX(상세표[주말·휴일 포함],$Q2476)&amp;"")</f>
        <v/>
      </c>
      <c r="P2476">
        <f>IF($Q2476="","",INDEX(상세표[월 넘김 포함],$Q2476)&amp;"")</f>
        <v/>
      </c>
      <c r="Q2476" s="4">
        <f>IFERROR(MATCH(2471,상세표[연속순번],0),"")</f>
        <v/>
      </c>
    </row>
    <row r="2477">
      <c r="A2477">
        <f>IF($Q2477="","",INDEX(상세표[부서],$Q2477)&amp;"")</f>
        <v/>
      </c>
      <c r="B2477">
        <f>IF($Q2477="","",INDEX(상세표[사번],$Q2477)&amp;"")</f>
        <v/>
      </c>
      <c r="C2477">
        <f>IF($Q2477="","",INDEX(상세표[성명],$Q2477)&amp;"")</f>
        <v/>
      </c>
      <c r="D2477">
        <f>IF($Q2477="","",INDEX(상세표[직위],$Q2477)&amp;"")</f>
        <v/>
      </c>
      <c r="E2477">
        <f>IF($Q2477="","",IF(ISNUMBER(INDEX(상세표[근무일자],$Q2477)),TEXT(INDEX(상세표[근무일자],$Q2477),"yyyy-mm-dd"),INDEX(상세표[근무일자],$Q2477)&amp;""))</f>
        <v/>
      </c>
      <c r="F2477">
        <f>IF($Q2477="","",IF(ISNUMBER(INDEX(상세표[시작],$Q2477)),TEXT(INDEX(상세표[시작],$Q2477),"yyyy-mm-dd hh:mm"),INDEX(상세표[시작],$Q2477)&amp;""))</f>
        <v/>
      </c>
      <c r="G2477">
        <f>IF($Q2477="","",IF(ISNUMBER(INDEX(상세표[블록종료],$Q2477)),TEXT(INDEX(상세표[블록종료],$Q2477),"yyyy-mm-dd hh:mm"),INDEX(상세표[블록종료],$Q2477)&amp;""))</f>
        <v/>
      </c>
      <c r="H2477">
        <f>IF($Q2477="","",CHOOSE(WEEKDAY(INDEX(상세표[시작],$Q2477)),"일","월","화","수","목","금","토"))</f>
        <v/>
      </c>
      <c r="I2477" s="20">
        <f>IF($Q2477="","",INDEX(상세표[연속 시간],$Q2477))</f>
        <v/>
      </c>
      <c r="J2477">
        <f>IF($Q2477="","",INDEX(상세표[기록 수],$Q2477))</f>
        <v/>
      </c>
      <c r="K2477" s="20">
        <f>IF($Q2477="","",INDEX(상세표[블록 06~07시],$Q2477))</f>
        <v/>
      </c>
      <c r="L2477" s="20">
        <f>IF($Q2477="","",INDEX(상세표[블록 07~18시],$Q2477))</f>
        <v/>
      </c>
      <c r="M2477" s="20">
        <f>IF($Q2477="","",INDEX(상세표[블록 18~22시],$Q2477))</f>
        <v/>
      </c>
      <c r="N2477" s="20">
        <f>IF($Q2477="","",INDEX(상세표[블록 22~06시],$Q2477))</f>
        <v/>
      </c>
      <c r="O2477">
        <f>IF($Q2477="","",INDEX(상세표[주말·휴일 포함],$Q2477)&amp;"")</f>
        <v/>
      </c>
      <c r="P2477">
        <f>IF($Q2477="","",INDEX(상세표[월 넘김 포함],$Q2477)&amp;"")</f>
        <v/>
      </c>
      <c r="Q2477" s="4">
        <f>IFERROR(MATCH(2472,상세표[연속순번],0),"")</f>
        <v/>
      </c>
    </row>
    <row r="2478">
      <c r="A2478">
        <f>IF($Q2478="","",INDEX(상세표[부서],$Q2478)&amp;"")</f>
        <v/>
      </c>
      <c r="B2478">
        <f>IF($Q2478="","",INDEX(상세표[사번],$Q2478)&amp;"")</f>
        <v/>
      </c>
      <c r="C2478">
        <f>IF($Q2478="","",INDEX(상세표[성명],$Q2478)&amp;"")</f>
        <v/>
      </c>
      <c r="D2478">
        <f>IF($Q2478="","",INDEX(상세표[직위],$Q2478)&amp;"")</f>
        <v/>
      </c>
      <c r="E2478">
        <f>IF($Q2478="","",IF(ISNUMBER(INDEX(상세표[근무일자],$Q2478)),TEXT(INDEX(상세표[근무일자],$Q2478),"yyyy-mm-dd"),INDEX(상세표[근무일자],$Q2478)&amp;""))</f>
        <v/>
      </c>
      <c r="F2478">
        <f>IF($Q2478="","",IF(ISNUMBER(INDEX(상세표[시작],$Q2478)),TEXT(INDEX(상세표[시작],$Q2478),"yyyy-mm-dd hh:mm"),INDEX(상세표[시작],$Q2478)&amp;""))</f>
        <v/>
      </c>
      <c r="G2478">
        <f>IF($Q2478="","",IF(ISNUMBER(INDEX(상세표[블록종료],$Q2478)),TEXT(INDEX(상세표[블록종료],$Q2478),"yyyy-mm-dd hh:mm"),INDEX(상세표[블록종료],$Q2478)&amp;""))</f>
        <v/>
      </c>
      <c r="H2478">
        <f>IF($Q2478="","",CHOOSE(WEEKDAY(INDEX(상세표[시작],$Q2478)),"일","월","화","수","목","금","토"))</f>
        <v/>
      </c>
      <c r="I2478" s="20">
        <f>IF($Q2478="","",INDEX(상세표[연속 시간],$Q2478))</f>
        <v/>
      </c>
      <c r="J2478">
        <f>IF($Q2478="","",INDEX(상세표[기록 수],$Q2478))</f>
        <v/>
      </c>
      <c r="K2478" s="20">
        <f>IF($Q2478="","",INDEX(상세표[블록 06~07시],$Q2478))</f>
        <v/>
      </c>
      <c r="L2478" s="20">
        <f>IF($Q2478="","",INDEX(상세표[블록 07~18시],$Q2478))</f>
        <v/>
      </c>
      <c r="M2478" s="20">
        <f>IF($Q2478="","",INDEX(상세표[블록 18~22시],$Q2478))</f>
        <v/>
      </c>
      <c r="N2478" s="20">
        <f>IF($Q2478="","",INDEX(상세표[블록 22~06시],$Q2478))</f>
        <v/>
      </c>
      <c r="O2478">
        <f>IF($Q2478="","",INDEX(상세표[주말·휴일 포함],$Q2478)&amp;"")</f>
        <v/>
      </c>
      <c r="P2478">
        <f>IF($Q2478="","",INDEX(상세표[월 넘김 포함],$Q2478)&amp;"")</f>
        <v/>
      </c>
      <c r="Q2478" s="4">
        <f>IFERROR(MATCH(2473,상세표[연속순번],0),"")</f>
        <v/>
      </c>
    </row>
    <row r="2479">
      <c r="A2479">
        <f>IF($Q2479="","",INDEX(상세표[부서],$Q2479)&amp;"")</f>
        <v/>
      </c>
      <c r="B2479">
        <f>IF($Q2479="","",INDEX(상세표[사번],$Q2479)&amp;"")</f>
        <v/>
      </c>
      <c r="C2479">
        <f>IF($Q2479="","",INDEX(상세표[성명],$Q2479)&amp;"")</f>
        <v/>
      </c>
      <c r="D2479">
        <f>IF($Q2479="","",INDEX(상세표[직위],$Q2479)&amp;"")</f>
        <v/>
      </c>
      <c r="E2479">
        <f>IF($Q2479="","",IF(ISNUMBER(INDEX(상세표[근무일자],$Q2479)),TEXT(INDEX(상세표[근무일자],$Q2479),"yyyy-mm-dd"),INDEX(상세표[근무일자],$Q2479)&amp;""))</f>
        <v/>
      </c>
      <c r="F2479">
        <f>IF($Q2479="","",IF(ISNUMBER(INDEX(상세표[시작],$Q2479)),TEXT(INDEX(상세표[시작],$Q2479),"yyyy-mm-dd hh:mm"),INDEX(상세표[시작],$Q2479)&amp;""))</f>
        <v/>
      </c>
      <c r="G2479">
        <f>IF($Q2479="","",IF(ISNUMBER(INDEX(상세표[블록종료],$Q2479)),TEXT(INDEX(상세표[블록종료],$Q2479),"yyyy-mm-dd hh:mm"),INDEX(상세표[블록종료],$Q2479)&amp;""))</f>
        <v/>
      </c>
      <c r="H2479">
        <f>IF($Q2479="","",CHOOSE(WEEKDAY(INDEX(상세표[시작],$Q2479)),"일","월","화","수","목","금","토"))</f>
        <v/>
      </c>
      <c r="I2479" s="20">
        <f>IF($Q2479="","",INDEX(상세표[연속 시간],$Q2479))</f>
        <v/>
      </c>
      <c r="J2479">
        <f>IF($Q2479="","",INDEX(상세표[기록 수],$Q2479))</f>
        <v/>
      </c>
      <c r="K2479" s="20">
        <f>IF($Q2479="","",INDEX(상세표[블록 06~07시],$Q2479))</f>
        <v/>
      </c>
      <c r="L2479" s="20">
        <f>IF($Q2479="","",INDEX(상세표[블록 07~18시],$Q2479))</f>
        <v/>
      </c>
      <c r="M2479" s="20">
        <f>IF($Q2479="","",INDEX(상세표[블록 18~22시],$Q2479))</f>
        <v/>
      </c>
      <c r="N2479" s="20">
        <f>IF($Q2479="","",INDEX(상세표[블록 22~06시],$Q2479))</f>
        <v/>
      </c>
      <c r="O2479">
        <f>IF($Q2479="","",INDEX(상세표[주말·휴일 포함],$Q2479)&amp;"")</f>
        <v/>
      </c>
      <c r="P2479">
        <f>IF($Q2479="","",INDEX(상세표[월 넘김 포함],$Q2479)&amp;"")</f>
        <v/>
      </c>
      <c r="Q2479" s="4">
        <f>IFERROR(MATCH(2474,상세표[연속순번],0),"")</f>
        <v/>
      </c>
    </row>
    <row r="2480">
      <c r="A2480">
        <f>IF($Q2480="","",INDEX(상세표[부서],$Q2480)&amp;"")</f>
        <v/>
      </c>
      <c r="B2480">
        <f>IF($Q2480="","",INDEX(상세표[사번],$Q2480)&amp;"")</f>
        <v/>
      </c>
      <c r="C2480">
        <f>IF($Q2480="","",INDEX(상세표[성명],$Q2480)&amp;"")</f>
        <v/>
      </c>
      <c r="D2480">
        <f>IF($Q2480="","",INDEX(상세표[직위],$Q2480)&amp;"")</f>
        <v/>
      </c>
      <c r="E2480">
        <f>IF($Q2480="","",IF(ISNUMBER(INDEX(상세표[근무일자],$Q2480)),TEXT(INDEX(상세표[근무일자],$Q2480),"yyyy-mm-dd"),INDEX(상세표[근무일자],$Q2480)&amp;""))</f>
        <v/>
      </c>
      <c r="F2480">
        <f>IF($Q2480="","",IF(ISNUMBER(INDEX(상세표[시작],$Q2480)),TEXT(INDEX(상세표[시작],$Q2480),"yyyy-mm-dd hh:mm"),INDEX(상세표[시작],$Q2480)&amp;""))</f>
        <v/>
      </c>
      <c r="G2480">
        <f>IF($Q2480="","",IF(ISNUMBER(INDEX(상세표[블록종료],$Q2480)),TEXT(INDEX(상세표[블록종료],$Q2480),"yyyy-mm-dd hh:mm"),INDEX(상세표[블록종료],$Q2480)&amp;""))</f>
        <v/>
      </c>
      <c r="H2480">
        <f>IF($Q2480="","",CHOOSE(WEEKDAY(INDEX(상세표[시작],$Q2480)),"일","월","화","수","목","금","토"))</f>
        <v/>
      </c>
      <c r="I2480" s="20">
        <f>IF($Q2480="","",INDEX(상세표[연속 시간],$Q2480))</f>
        <v/>
      </c>
      <c r="J2480">
        <f>IF($Q2480="","",INDEX(상세표[기록 수],$Q2480))</f>
        <v/>
      </c>
      <c r="K2480" s="20">
        <f>IF($Q2480="","",INDEX(상세표[블록 06~07시],$Q2480))</f>
        <v/>
      </c>
      <c r="L2480" s="20">
        <f>IF($Q2480="","",INDEX(상세표[블록 07~18시],$Q2480))</f>
        <v/>
      </c>
      <c r="M2480" s="20">
        <f>IF($Q2480="","",INDEX(상세표[블록 18~22시],$Q2480))</f>
        <v/>
      </c>
      <c r="N2480" s="20">
        <f>IF($Q2480="","",INDEX(상세표[블록 22~06시],$Q2480))</f>
        <v/>
      </c>
      <c r="O2480">
        <f>IF($Q2480="","",INDEX(상세표[주말·휴일 포함],$Q2480)&amp;"")</f>
        <v/>
      </c>
      <c r="P2480">
        <f>IF($Q2480="","",INDEX(상세표[월 넘김 포함],$Q2480)&amp;"")</f>
        <v/>
      </c>
      <c r="Q2480" s="4">
        <f>IFERROR(MATCH(2475,상세표[연속순번],0),"")</f>
        <v/>
      </c>
    </row>
    <row r="2481">
      <c r="A2481">
        <f>IF($Q2481="","",INDEX(상세표[부서],$Q2481)&amp;"")</f>
        <v/>
      </c>
      <c r="B2481">
        <f>IF($Q2481="","",INDEX(상세표[사번],$Q2481)&amp;"")</f>
        <v/>
      </c>
      <c r="C2481">
        <f>IF($Q2481="","",INDEX(상세표[성명],$Q2481)&amp;"")</f>
        <v/>
      </c>
      <c r="D2481">
        <f>IF($Q2481="","",INDEX(상세표[직위],$Q2481)&amp;"")</f>
        <v/>
      </c>
      <c r="E2481">
        <f>IF($Q2481="","",IF(ISNUMBER(INDEX(상세표[근무일자],$Q2481)),TEXT(INDEX(상세표[근무일자],$Q2481),"yyyy-mm-dd"),INDEX(상세표[근무일자],$Q2481)&amp;""))</f>
        <v/>
      </c>
      <c r="F2481">
        <f>IF($Q2481="","",IF(ISNUMBER(INDEX(상세표[시작],$Q2481)),TEXT(INDEX(상세표[시작],$Q2481),"yyyy-mm-dd hh:mm"),INDEX(상세표[시작],$Q2481)&amp;""))</f>
        <v/>
      </c>
      <c r="G2481">
        <f>IF($Q2481="","",IF(ISNUMBER(INDEX(상세표[블록종료],$Q2481)),TEXT(INDEX(상세표[블록종료],$Q2481),"yyyy-mm-dd hh:mm"),INDEX(상세표[블록종료],$Q2481)&amp;""))</f>
        <v/>
      </c>
      <c r="H2481">
        <f>IF($Q2481="","",CHOOSE(WEEKDAY(INDEX(상세표[시작],$Q2481)),"일","월","화","수","목","금","토"))</f>
        <v/>
      </c>
      <c r="I2481" s="20">
        <f>IF($Q2481="","",INDEX(상세표[연속 시간],$Q2481))</f>
        <v/>
      </c>
      <c r="J2481">
        <f>IF($Q2481="","",INDEX(상세표[기록 수],$Q2481))</f>
        <v/>
      </c>
      <c r="K2481" s="20">
        <f>IF($Q2481="","",INDEX(상세표[블록 06~07시],$Q2481))</f>
        <v/>
      </c>
      <c r="L2481" s="20">
        <f>IF($Q2481="","",INDEX(상세표[블록 07~18시],$Q2481))</f>
        <v/>
      </c>
      <c r="M2481" s="20">
        <f>IF($Q2481="","",INDEX(상세표[블록 18~22시],$Q2481))</f>
        <v/>
      </c>
      <c r="N2481" s="20">
        <f>IF($Q2481="","",INDEX(상세표[블록 22~06시],$Q2481))</f>
        <v/>
      </c>
      <c r="O2481">
        <f>IF($Q2481="","",INDEX(상세표[주말·휴일 포함],$Q2481)&amp;"")</f>
        <v/>
      </c>
      <c r="P2481">
        <f>IF($Q2481="","",INDEX(상세표[월 넘김 포함],$Q2481)&amp;"")</f>
        <v/>
      </c>
      <c r="Q2481" s="4">
        <f>IFERROR(MATCH(2476,상세표[연속순번],0),"")</f>
        <v/>
      </c>
    </row>
    <row r="2482">
      <c r="A2482">
        <f>IF($Q2482="","",INDEX(상세표[부서],$Q2482)&amp;"")</f>
        <v/>
      </c>
      <c r="B2482">
        <f>IF($Q2482="","",INDEX(상세표[사번],$Q2482)&amp;"")</f>
        <v/>
      </c>
      <c r="C2482">
        <f>IF($Q2482="","",INDEX(상세표[성명],$Q2482)&amp;"")</f>
        <v/>
      </c>
      <c r="D2482">
        <f>IF($Q2482="","",INDEX(상세표[직위],$Q2482)&amp;"")</f>
        <v/>
      </c>
      <c r="E2482">
        <f>IF($Q2482="","",IF(ISNUMBER(INDEX(상세표[근무일자],$Q2482)),TEXT(INDEX(상세표[근무일자],$Q2482),"yyyy-mm-dd"),INDEX(상세표[근무일자],$Q2482)&amp;""))</f>
        <v/>
      </c>
      <c r="F2482">
        <f>IF($Q2482="","",IF(ISNUMBER(INDEX(상세표[시작],$Q2482)),TEXT(INDEX(상세표[시작],$Q2482),"yyyy-mm-dd hh:mm"),INDEX(상세표[시작],$Q2482)&amp;""))</f>
        <v/>
      </c>
      <c r="G2482">
        <f>IF($Q2482="","",IF(ISNUMBER(INDEX(상세표[블록종료],$Q2482)),TEXT(INDEX(상세표[블록종료],$Q2482),"yyyy-mm-dd hh:mm"),INDEX(상세표[블록종료],$Q2482)&amp;""))</f>
        <v/>
      </c>
      <c r="H2482">
        <f>IF($Q2482="","",CHOOSE(WEEKDAY(INDEX(상세표[시작],$Q2482)),"일","월","화","수","목","금","토"))</f>
        <v/>
      </c>
      <c r="I2482" s="20">
        <f>IF($Q2482="","",INDEX(상세표[연속 시간],$Q2482))</f>
        <v/>
      </c>
      <c r="J2482">
        <f>IF($Q2482="","",INDEX(상세표[기록 수],$Q2482))</f>
        <v/>
      </c>
      <c r="K2482" s="20">
        <f>IF($Q2482="","",INDEX(상세표[블록 06~07시],$Q2482))</f>
        <v/>
      </c>
      <c r="L2482" s="20">
        <f>IF($Q2482="","",INDEX(상세표[블록 07~18시],$Q2482))</f>
        <v/>
      </c>
      <c r="M2482" s="20">
        <f>IF($Q2482="","",INDEX(상세표[블록 18~22시],$Q2482))</f>
        <v/>
      </c>
      <c r="N2482" s="20">
        <f>IF($Q2482="","",INDEX(상세표[블록 22~06시],$Q2482))</f>
        <v/>
      </c>
      <c r="O2482">
        <f>IF($Q2482="","",INDEX(상세표[주말·휴일 포함],$Q2482)&amp;"")</f>
        <v/>
      </c>
      <c r="P2482">
        <f>IF($Q2482="","",INDEX(상세표[월 넘김 포함],$Q2482)&amp;"")</f>
        <v/>
      </c>
      <c r="Q2482" s="4">
        <f>IFERROR(MATCH(2477,상세표[연속순번],0),"")</f>
        <v/>
      </c>
    </row>
    <row r="2483">
      <c r="A2483">
        <f>IF($Q2483="","",INDEX(상세표[부서],$Q2483)&amp;"")</f>
        <v/>
      </c>
      <c r="B2483">
        <f>IF($Q2483="","",INDEX(상세표[사번],$Q2483)&amp;"")</f>
        <v/>
      </c>
      <c r="C2483">
        <f>IF($Q2483="","",INDEX(상세표[성명],$Q2483)&amp;"")</f>
        <v/>
      </c>
      <c r="D2483">
        <f>IF($Q2483="","",INDEX(상세표[직위],$Q2483)&amp;"")</f>
        <v/>
      </c>
      <c r="E2483">
        <f>IF($Q2483="","",IF(ISNUMBER(INDEX(상세표[근무일자],$Q2483)),TEXT(INDEX(상세표[근무일자],$Q2483),"yyyy-mm-dd"),INDEX(상세표[근무일자],$Q2483)&amp;""))</f>
        <v/>
      </c>
      <c r="F2483">
        <f>IF($Q2483="","",IF(ISNUMBER(INDEX(상세표[시작],$Q2483)),TEXT(INDEX(상세표[시작],$Q2483),"yyyy-mm-dd hh:mm"),INDEX(상세표[시작],$Q2483)&amp;""))</f>
        <v/>
      </c>
      <c r="G2483">
        <f>IF($Q2483="","",IF(ISNUMBER(INDEX(상세표[블록종료],$Q2483)),TEXT(INDEX(상세표[블록종료],$Q2483),"yyyy-mm-dd hh:mm"),INDEX(상세표[블록종료],$Q2483)&amp;""))</f>
        <v/>
      </c>
      <c r="H2483">
        <f>IF($Q2483="","",CHOOSE(WEEKDAY(INDEX(상세표[시작],$Q2483)),"일","월","화","수","목","금","토"))</f>
        <v/>
      </c>
      <c r="I2483" s="20">
        <f>IF($Q2483="","",INDEX(상세표[연속 시간],$Q2483))</f>
        <v/>
      </c>
      <c r="J2483">
        <f>IF($Q2483="","",INDEX(상세표[기록 수],$Q2483))</f>
        <v/>
      </c>
      <c r="K2483" s="20">
        <f>IF($Q2483="","",INDEX(상세표[블록 06~07시],$Q2483))</f>
        <v/>
      </c>
      <c r="L2483" s="20">
        <f>IF($Q2483="","",INDEX(상세표[블록 07~18시],$Q2483))</f>
        <v/>
      </c>
      <c r="M2483" s="20">
        <f>IF($Q2483="","",INDEX(상세표[블록 18~22시],$Q2483))</f>
        <v/>
      </c>
      <c r="N2483" s="20">
        <f>IF($Q2483="","",INDEX(상세표[블록 22~06시],$Q2483))</f>
        <v/>
      </c>
      <c r="O2483">
        <f>IF($Q2483="","",INDEX(상세표[주말·휴일 포함],$Q2483)&amp;"")</f>
        <v/>
      </c>
      <c r="P2483">
        <f>IF($Q2483="","",INDEX(상세표[월 넘김 포함],$Q2483)&amp;"")</f>
        <v/>
      </c>
      <c r="Q2483" s="4">
        <f>IFERROR(MATCH(2478,상세표[연속순번],0),"")</f>
        <v/>
      </c>
    </row>
    <row r="2484">
      <c r="A2484">
        <f>IF($Q2484="","",INDEX(상세표[부서],$Q2484)&amp;"")</f>
        <v/>
      </c>
      <c r="B2484">
        <f>IF($Q2484="","",INDEX(상세표[사번],$Q2484)&amp;"")</f>
        <v/>
      </c>
      <c r="C2484">
        <f>IF($Q2484="","",INDEX(상세표[성명],$Q2484)&amp;"")</f>
        <v/>
      </c>
      <c r="D2484">
        <f>IF($Q2484="","",INDEX(상세표[직위],$Q2484)&amp;"")</f>
        <v/>
      </c>
      <c r="E2484">
        <f>IF($Q2484="","",IF(ISNUMBER(INDEX(상세표[근무일자],$Q2484)),TEXT(INDEX(상세표[근무일자],$Q2484),"yyyy-mm-dd"),INDEX(상세표[근무일자],$Q2484)&amp;""))</f>
        <v/>
      </c>
      <c r="F2484">
        <f>IF($Q2484="","",IF(ISNUMBER(INDEX(상세표[시작],$Q2484)),TEXT(INDEX(상세표[시작],$Q2484),"yyyy-mm-dd hh:mm"),INDEX(상세표[시작],$Q2484)&amp;""))</f>
        <v/>
      </c>
      <c r="G2484">
        <f>IF($Q2484="","",IF(ISNUMBER(INDEX(상세표[블록종료],$Q2484)),TEXT(INDEX(상세표[블록종료],$Q2484),"yyyy-mm-dd hh:mm"),INDEX(상세표[블록종료],$Q2484)&amp;""))</f>
        <v/>
      </c>
      <c r="H2484">
        <f>IF($Q2484="","",CHOOSE(WEEKDAY(INDEX(상세표[시작],$Q2484)),"일","월","화","수","목","금","토"))</f>
        <v/>
      </c>
      <c r="I2484" s="20">
        <f>IF($Q2484="","",INDEX(상세표[연속 시간],$Q2484))</f>
        <v/>
      </c>
      <c r="J2484">
        <f>IF($Q2484="","",INDEX(상세표[기록 수],$Q2484))</f>
        <v/>
      </c>
      <c r="K2484" s="20">
        <f>IF($Q2484="","",INDEX(상세표[블록 06~07시],$Q2484))</f>
        <v/>
      </c>
      <c r="L2484" s="20">
        <f>IF($Q2484="","",INDEX(상세표[블록 07~18시],$Q2484))</f>
        <v/>
      </c>
      <c r="M2484" s="20">
        <f>IF($Q2484="","",INDEX(상세표[블록 18~22시],$Q2484))</f>
        <v/>
      </c>
      <c r="N2484" s="20">
        <f>IF($Q2484="","",INDEX(상세표[블록 22~06시],$Q2484))</f>
        <v/>
      </c>
      <c r="O2484">
        <f>IF($Q2484="","",INDEX(상세표[주말·휴일 포함],$Q2484)&amp;"")</f>
        <v/>
      </c>
      <c r="P2484">
        <f>IF($Q2484="","",INDEX(상세표[월 넘김 포함],$Q2484)&amp;"")</f>
        <v/>
      </c>
      <c r="Q2484" s="4">
        <f>IFERROR(MATCH(2479,상세표[연속순번],0),"")</f>
        <v/>
      </c>
    </row>
    <row r="2485">
      <c r="A2485">
        <f>IF($Q2485="","",INDEX(상세표[부서],$Q2485)&amp;"")</f>
        <v/>
      </c>
      <c r="B2485">
        <f>IF($Q2485="","",INDEX(상세표[사번],$Q2485)&amp;"")</f>
        <v/>
      </c>
      <c r="C2485">
        <f>IF($Q2485="","",INDEX(상세표[성명],$Q2485)&amp;"")</f>
        <v/>
      </c>
      <c r="D2485">
        <f>IF($Q2485="","",INDEX(상세표[직위],$Q2485)&amp;"")</f>
        <v/>
      </c>
      <c r="E2485">
        <f>IF($Q2485="","",IF(ISNUMBER(INDEX(상세표[근무일자],$Q2485)),TEXT(INDEX(상세표[근무일자],$Q2485),"yyyy-mm-dd"),INDEX(상세표[근무일자],$Q2485)&amp;""))</f>
        <v/>
      </c>
      <c r="F2485">
        <f>IF($Q2485="","",IF(ISNUMBER(INDEX(상세표[시작],$Q2485)),TEXT(INDEX(상세표[시작],$Q2485),"yyyy-mm-dd hh:mm"),INDEX(상세표[시작],$Q2485)&amp;""))</f>
        <v/>
      </c>
      <c r="G2485">
        <f>IF($Q2485="","",IF(ISNUMBER(INDEX(상세표[블록종료],$Q2485)),TEXT(INDEX(상세표[블록종료],$Q2485),"yyyy-mm-dd hh:mm"),INDEX(상세표[블록종료],$Q2485)&amp;""))</f>
        <v/>
      </c>
      <c r="H2485">
        <f>IF($Q2485="","",CHOOSE(WEEKDAY(INDEX(상세표[시작],$Q2485)),"일","월","화","수","목","금","토"))</f>
        <v/>
      </c>
      <c r="I2485" s="20">
        <f>IF($Q2485="","",INDEX(상세표[연속 시간],$Q2485))</f>
        <v/>
      </c>
      <c r="J2485">
        <f>IF($Q2485="","",INDEX(상세표[기록 수],$Q2485))</f>
        <v/>
      </c>
      <c r="K2485" s="20">
        <f>IF($Q2485="","",INDEX(상세표[블록 06~07시],$Q2485))</f>
        <v/>
      </c>
      <c r="L2485" s="20">
        <f>IF($Q2485="","",INDEX(상세표[블록 07~18시],$Q2485))</f>
        <v/>
      </c>
      <c r="M2485" s="20">
        <f>IF($Q2485="","",INDEX(상세표[블록 18~22시],$Q2485))</f>
        <v/>
      </c>
      <c r="N2485" s="20">
        <f>IF($Q2485="","",INDEX(상세표[블록 22~06시],$Q2485))</f>
        <v/>
      </c>
      <c r="O2485">
        <f>IF($Q2485="","",INDEX(상세표[주말·휴일 포함],$Q2485)&amp;"")</f>
        <v/>
      </c>
      <c r="P2485">
        <f>IF($Q2485="","",INDEX(상세표[월 넘김 포함],$Q2485)&amp;"")</f>
        <v/>
      </c>
      <c r="Q2485" s="4">
        <f>IFERROR(MATCH(2480,상세표[연속순번],0),"")</f>
        <v/>
      </c>
    </row>
    <row r="2486">
      <c r="A2486">
        <f>IF($Q2486="","",INDEX(상세표[부서],$Q2486)&amp;"")</f>
        <v/>
      </c>
      <c r="B2486">
        <f>IF($Q2486="","",INDEX(상세표[사번],$Q2486)&amp;"")</f>
        <v/>
      </c>
      <c r="C2486">
        <f>IF($Q2486="","",INDEX(상세표[성명],$Q2486)&amp;"")</f>
        <v/>
      </c>
      <c r="D2486">
        <f>IF($Q2486="","",INDEX(상세표[직위],$Q2486)&amp;"")</f>
        <v/>
      </c>
      <c r="E2486">
        <f>IF($Q2486="","",IF(ISNUMBER(INDEX(상세표[근무일자],$Q2486)),TEXT(INDEX(상세표[근무일자],$Q2486),"yyyy-mm-dd"),INDEX(상세표[근무일자],$Q2486)&amp;""))</f>
        <v/>
      </c>
      <c r="F2486">
        <f>IF($Q2486="","",IF(ISNUMBER(INDEX(상세표[시작],$Q2486)),TEXT(INDEX(상세표[시작],$Q2486),"yyyy-mm-dd hh:mm"),INDEX(상세표[시작],$Q2486)&amp;""))</f>
        <v/>
      </c>
      <c r="G2486">
        <f>IF($Q2486="","",IF(ISNUMBER(INDEX(상세표[블록종료],$Q2486)),TEXT(INDEX(상세표[블록종료],$Q2486),"yyyy-mm-dd hh:mm"),INDEX(상세표[블록종료],$Q2486)&amp;""))</f>
        <v/>
      </c>
      <c r="H2486">
        <f>IF($Q2486="","",CHOOSE(WEEKDAY(INDEX(상세표[시작],$Q2486)),"일","월","화","수","목","금","토"))</f>
        <v/>
      </c>
      <c r="I2486" s="20">
        <f>IF($Q2486="","",INDEX(상세표[연속 시간],$Q2486))</f>
        <v/>
      </c>
      <c r="J2486">
        <f>IF($Q2486="","",INDEX(상세표[기록 수],$Q2486))</f>
        <v/>
      </c>
      <c r="K2486" s="20">
        <f>IF($Q2486="","",INDEX(상세표[블록 06~07시],$Q2486))</f>
        <v/>
      </c>
      <c r="L2486" s="20">
        <f>IF($Q2486="","",INDEX(상세표[블록 07~18시],$Q2486))</f>
        <v/>
      </c>
      <c r="M2486" s="20">
        <f>IF($Q2486="","",INDEX(상세표[블록 18~22시],$Q2486))</f>
        <v/>
      </c>
      <c r="N2486" s="20">
        <f>IF($Q2486="","",INDEX(상세표[블록 22~06시],$Q2486))</f>
        <v/>
      </c>
      <c r="O2486">
        <f>IF($Q2486="","",INDEX(상세표[주말·휴일 포함],$Q2486)&amp;"")</f>
        <v/>
      </c>
      <c r="P2486">
        <f>IF($Q2486="","",INDEX(상세표[월 넘김 포함],$Q2486)&amp;"")</f>
        <v/>
      </c>
      <c r="Q2486" s="4">
        <f>IFERROR(MATCH(2481,상세표[연속순번],0),"")</f>
        <v/>
      </c>
    </row>
    <row r="2487">
      <c r="A2487">
        <f>IF($Q2487="","",INDEX(상세표[부서],$Q2487)&amp;"")</f>
        <v/>
      </c>
      <c r="B2487">
        <f>IF($Q2487="","",INDEX(상세표[사번],$Q2487)&amp;"")</f>
        <v/>
      </c>
      <c r="C2487">
        <f>IF($Q2487="","",INDEX(상세표[성명],$Q2487)&amp;"")</f>
        <v/>
      </c>
      <c r="D2487">
        <f>IF($Q2487="","",INDEX(상세표[직위],$Q2487)&amp;"")</f>
        <v/>
      </c>
      <c r="E2487">
        <f>IF($Q2487="","",IF(ISNUMBER(INDEX(상세표[근무일자],$Q2487)),TEXT(INDEX(상세표[근무일자],$Q2487),"yyyy-mm-dd"),INDEX(상세표[근무일자],$Q2487)&amp;""))</f>
        <v/>
      </c>
      <c r="F2487">
        <f>IF($Q2487="","",IF(ISNUMBER(INDEX(상세표[시작],$Q2487)),TEXT(INDEX(상세표[시작],$Q2487),"yyyy-mm-dd hh:mm"),INDEX(상세표[시작],$Q2487)&amp;""))</f>
        <v/>
      </c>
      <c r="G2487">
        <f>IF($Q2487="","",IF(ISNUMBER(INDEX(상세표[블록종료],$Q2487)),TEXT(INDEX(상세표[블록종료],$Q2487),"yyyy-mm-dd hh:mm"),INDEX(상세표[블록종료],$Q2487)&amp;""))</f>
        <v/>
      </c>
      <c r="H2487">
        <f>IF($Q2487="","",CHOOSE(WEEKDAY(INDEX(상세표[시작],$Q2487)),"일","월","화","수","목","금","토"))</f>
        <v/>
      </c>
      <c r="I2487" s="20">
        <f>IF($Q2487="","",INDEX(상세표[연속 시간],$Q2487))</f>
        <v/>
      </c>
      <c r="J2487">
        <f>IF($Q2487="","",INDEX(상세표[기록 수],$Q2487))</f>
        <v/>
      </c>
      <c r="K2487" s="20">
        <f>IF($Q2487="","",INDEX(상세표[블록 06~07시],$Q2487))</f>
        <v/>
      </c>
      <c r="L2487" s="20">
        <f>IF($Q2487="","",INDEX(상세표[블록 07~18시],$Q2487))</f>
        <v/>
      </c>
      <c r="M2487" s="20">
        <f>IF($Q2487="","",INDEX(상세표[블록 18~22시],$Q2487))</f>
        <v/>
      </c>
      <c r="N2487" s="20">
        <f>IF($Q2487="","",INDEX(상세표[블록 22~06시],$Q2487))</f>
        <v/>
      </c>
      <c r="O2487">
        <f>IF($Q2487="","",INDEX(상세표[주말·휴일 포함],$Q2487)&amp;"")</f>
        <v/>
      </c>
      <c r="P2487">
        <f>IF($Q2487="","",INDEX(상세표[월 넘김 포함],$Q2487)&amp;"")</f>
        <v/>
      </c>
      <c r="Q2487" s="4">
        <f>IFERROR(MATCH(2482,상세표[연속순번],0),"")</f>
        <v/>
      </c>
    </row>
    <row r="2488">
      <c r="A2488">
        <f>IF($Q2488="","",INDEX(상세표[부서],$Q2488)&amp;"")</f>
        <v/>
      </c>
      <c r="B2488">
        <f>IF($Q2488="","",INDEX(상세표[사번],$Q2488)&amp;"")</f>
        <v/>
      </c>
      <c r="C2488">
        <f>IF($Q2488="","",INDEX(상세표[성명],$Q2488)&amp;"")</f>
        <v/>
      </c>
      <c r="D2488">
        <f>IF($Q2488="","",INDEX(상세표[직위],$Q2488)&amp;"")</f>
        <v/>
      </c>
      <c r="E2488">
        <f>IF($Q2488="","",IF(ISNUMBER(INDEX(상세표[근무일자],$Q2488)),TEXT(INDEX(상세표[근무일자],$Q2488),"yyyy-mm-dd"),INDEX(상세표[근무일자],$Q2488)&amp;""))</f>
        <v/>
      </c>
      <c r="F2488">
        <f>IF($Q2488="","",IF(ISNUMBER(INDEX(상세표[시작],$Q2488)),TEXT(INDEX(상세표[시작],$Q2488),"yyyy-mm-dd hh:mm"),INDEX(상세표[시작],$Q2488)&amp;""))</f>
        <v/>
      </c>
      <c r="G2488">
        <f>IF($Q2488="","",IF(ISNUMBER(INDEX(상세표[블록종료],$Q2488)),TEXT(INDEX(상세표[블록종료],$Q2488),"yyyy-mm-dd hh:mm"),INDEX(상세표[블록종료],$Q2488)&amp;""))</f>
        <v/>
      </c>
      <c r="H2488">
        <f>IF($Q2488="","",CHOOSE(WEEKDAY(INDEX(상세표[시작],$Q2488)),"일","월","화","수","목","금","토"))</f>
        <v/>
      </c>
      <c r="I2488" s="20">
        <f>IF($Q2488="","",INDEX(상세표[연속 시간],$Q2488))</f>
        <v/>
      </c>
      <c r="J2488">
        <f>IF($Q2488="","",INDEX(상세표[기록 수],$Q2488))</f>
        <v/>
      </c>
      <c r="K2488" s="20">
        <f>IF($Q2488="","",INDEX(상세표[블록 06~07시],$Q2488))</f>
        <v/>
      </c>
      <c r="L2488" s="20">
        <f>IF($Q2488="","",INDEX(상세표[블록 07~18시],$Q2488))</f>
        <v/>
      </c>
      <c r="M2488" s="20">
        <f>IF($Q2488="","",INDEX(상세표[블록 18~22시],$Q2488))</f>
        <v/>
      </c>
      <c r="N2488" s="20">
        <f>IF($Q2488="","",INDEX(상세표[블록 22~06시],$Q2488))</f>
        <v/>
      </c>
      <c r="O2488">
        <f>IF($Q2488="","",INDEX(상세표[주말·휴일 포함],$Q2488)&amp;"")</f>
        <v/>
      </c>
      <c r="P2488">
        <f>IF($Q2488="","",INDEX(상세표[월 넘김 포함],$Q2488)&amp;"")</f>
        <v/>
      </c>
      <c r="Q2488" s="4">
        <f>IFERROR(MATCH(2483,상세표[연속순번],0),"")</f>
        <v/>
      </c>
    </row>
    <row r="2489">
      <c r="A2489">
        <f>IF($Q2489="","",INDEX(상세표[부서],$Q2489)&amp;"")</f>
        <v/>
      </c>
      <c r="B2489">
        <f>IF($Q2489="","",INDEX(상세표[사번],$Q2489)&amp;"")</f>
        <v/>
      </c>
      <c r="C2489">
        <f>IF($Q2489="","",INDEX(상세표[성명],$Q2489)&amp;"")</f>
        <v/>
      </c>
      <c r="D2489">
        <f>IF($Q2489="","",INDEX(상세표[직위],$Q2489)&amp;"")</f>
        <v/>
      </c>
      <c r="E2489">
        <f>IF($Q2489="","",IF(ISNUMBER(INDEX(상세표[근무일자],$Q2489)),TEXT(INDEX(상세표[근무일자],$Q2489),"yyyy-mm-dd"),INDEX(상세표[근무일자],$Q2489)&amp;""))</f>
        <v/>
      </c>
      <c r="F2489">
        <f>IF($Q2489="","",IF(ISNUMBER(INDEX(상세표[시작],$Q2489)),TEXT(INDEX(상세표[시작],$Q2489),"yyyy-mm-dd hh:mm"),INDEX(상세표[시작],$Q2489)&amp;""))</f>
        <v/>
      </c>
      <c r="G2489">
        <f>IF($Q2489="","",IF(ISNUMBER(INDEX(상세표[블록종료],$Q2489)),TEXT(INDEX(상세표[블록종료],$Q2489),"yyyy-mm-dd hh:mm"),INDEX(상세표[블록종료],$Q2489)&amp;""))</f>
        <v/>
      </c>
      <c r="H2489">
        <f>IF($Q2489="","",CHOOSE(WEEKDAY(INDEX(상세표[시작],$Q2489)),"일","월","화","수","목","금","토"))</f>
        <v/>
      </c>
      <c r="I2489" s="20">
        <f>IF($Q2489="","",INDEX(상세표[연속 시간],$Q2489))</f>
        <v/>
      </c>
      <c r="J2489">
        <f>IF($Q2489="","",INDEX(상세표[기록 수],$Q2489))</f>
        <v/>
      </c>
      <c r="K2489" s="20">
        <f>IF($Q2489="","",INDEX(상세표[블록 06~07시],$Q2489))</f>
        <v/>
      </c>
      <c r="L2489" s="20">
        <f>IF($Q2489="","",INDEX(상세표[블록 07~18시],$Q2489))</f>
        <v/>
      </c>
      <c r="M2489" s="20">
        <f>IF($Q2489="","",INDEX(상세표[블록 18~22시],$Q2489))</f>
        <v/>
      </c>
      <c r="N2489" s="20">
        <f>IF($Q2489="","",INDEX(상세표[블록 22~06시],$Q2489))</f>
        <v/>
      </c>
      <c r="O2489">
        <f>IF($Q2489="","",INDEX(상세표[주말·휴일 포함],$Q2489)&amp;"")</f>
        <v/>
      </c>
      <c r="P2489">
        <f>IF($Q2489="","",INDEX(상세표[월 넘김 포함],$Q2489)&amp;"")</f>
        <v/>
      </c>
      <c r="Q2489" s="4">
        <f>IFERROR(MATCH(2484,상세표[연속순번],0),"")</f>
        <v/>
      </c>
    </row>
    <row r="2490">
      <c r="A2490">
        <f>IF($Q2490="","",INDEX(상세표[부서],$Q2490)&amp;"")</f>
        <v/>
      </c>
      <c r="B2490">
        <f>IF($Q2490="","",INDEX(상세표[사번],$Q2490)&amp;"")</f>
        <v/>
      </c>
      <c r="C2490">
        <f>IF($Q2490="","",INDEX(상세표[성명],$Q2490)&amp;"")</f>
        <v/>
      </c>
      <c r="D2490">
        <f>IF($Q2490="","",INDEX(상세표[직위],$Q2490)&amp;"")</f>
        <v/>
      </c>
      <c r="E2490">
        <f>IF($Q2490="","",IF(ISNUMBER(INDEX(상세표[근무일자],$Q2490)),TEXT(INDEX(상세표[근무일자],$Q2490),"yyyy-mm-dd"),INDEX(상세표[근무일자],$Q2490)&amp;""))</f>
        <v/>
      </c>
      <c r="F2490">
        <f>IF($Q2490="","",IF(ISNUMBER(INDEX(상세표[시작],$Q2490)),TEXT(INDEX(상세표[시작],$Q2490),"yyyy-mm-dd hh:mm"),INDEX(상세표[시작],$Q2490)&amp;""))</f>
        <v/>
      </c>
      <c r="G2490">
        <f>IF($Q2490="","",IF(ISNUMBER(INDEX(상세표[블록종료],$Q2490)),TEXT(INDEX(상세표[블록종료],$Q2490),"yyyy-mm-dd hh:mm"),INDEX(상세표[블록종료],$Q2490)&amp;""))</f>
        <v/>
      </c>
      <c r="H2490">
        <f>IF($Q2490="","",CHOOSE(WEEKDAY(INDEX(상세표[시작],$Q2490)),"일","월","화","수","목","금","토"))</f>
        <v/>
      </c>
      <c r="I2490" s="20">
        <f>IF($Q2490="","",INDEX(상세표[연속 시간],$Q2490))</f>
        <v/>
      </c>
      <c r="J2490">
        <f>IF($Q2490="","",INDEX(상세표[기록 수],$Q2490))</f>
        <v/>
      </c>
      <c r="K2490" s="20">
        <f>IF($Q2490="","",INDEX(상세표[블록 06~07시],$Q2490))</f>
        <v/>
      </c>
      <c r="L2490" s="20">
        <f>IF($Q2490="","",INDEX(상세표[블록 07~18시],$Q2490))</f>
        <v/>
      </c>
      <c r="M2490" s="20">
        <f>IF($Q2490="","",INDEX(상세표[블록 18~22시],$Q2490))</f>
        <v/>
      </c>
      <c r="N2490" s="20">
        <f>IF($Q2490="","",INDEX(상세표[블록 22~06시],$Q2490))</f>
        <v/>
      </c>
      <c r="O2490">
        <f>IF($Q2490="","",INDEX(상세표[주말·휴일 포함],$Q2490)&amp;"")</f>
        <v/>
      </c>
      <c r="P2490">
        <f>IF($Q2490="","",INDEX(상세표[월 넘김 포함],$Q2490)&amp;"")</f>
        <v/>
      </c>
      <c r="Q2490" s="4">
        <f>IFERROR(MATCH(2485,상세표[연속순번],0),"")</f>
        <v/>
      </c>
    </row>
    <row r="2491">
      <c r="A2491">
        <f>IF($Q2491="","",INDEX(상세표[부서],$Q2491)&amp;"")</f>
        <v/>
      </c>
      <c r="B2491">
        <f>IF($Q2491="","",INDEX(상세표[사번],$Q2491)&amp;"")</f>
        <v/>
      </c>
      <c r="C2491">
        <f>IF($Q2491="","",INDEX(상세표[성명],$Q2491)&amp;"")</f>
        <v/>
      </c>
      <c r="D2491">
        <f>IF($Q2491="","",INDEX(상세표[직위],$Q2491)&amp;"")</f>
        <v/>
      </c>
      <c r="E2491">
        <f>IF($Q2491="","",IF(ISNUMBER(INDEX(상세표[근무일자],$Q2491)),TEXT(INDEX(상세표[근무일자],$Q2491),"yyyy-mm-dd"),INDEX(상세표[근무일자],$Q2491)&amp;""))</f>
        <v/>
      </c>
      <c r="F2491">
        <f>IF($Q2491="","",IF(ISNUMBER(INDEX(상세표[시작],$Q2491)),TEXT(INDEX(상세표[시작],$Q2491),"yyyy-mm-dd hh:mm"),INDEX(상세표[시작],$Q2491)&amp;""))</f>
        <v/>
      </c>
      <c r="G2491">
        <f>IF($Q2491="","",IF(ISNUMBER(INDEX(상세표[블록종료],$Q2491)),TEXT(INDEX(상세표[블록종료],$Q2491),"yyyy-mm-dd hh:mm"),INDEX(상세표[블록종료],$Q2491)&amp;""))</f>
        <v/>
      </c>
      <c r="H2491">
        <f>IF($Q2491="","",CHOOSE(WEEKDAY(INDEX(상세표[시작],$Q2491)),"일","월","화","수","목","금","토"))</f>
        <v/>
      </c>
      <c r="I2491" s="20">
        <f>IF($Q2491="","",INDEX(상세표[연속 시간],$Q2491))</f>
        <v/>
      </c>
      <c r="J2491">
        <f>IF($Q2491="","",INDEX(상세표[기록 수],$Q2491))</f>
        <v/>
      </c>
      <c r="K2491" s="20">
        <f>IF($Q2491="","",INDEX(상세표[블록 06~07시],$Q2491))</f>
        <v/>
      </c>
      <c r="L2491" s="20">
        <f>IF($Q2491="","",INDEX(상세표[블록 07~18시],$Q2491))</f>
        <v/>
      </c>
      <c r="M2491" s="20">
        <f>IF($Q2491="","",INDEX(상세표[블록 18~22시],$Q2491))</f>
        <v/>
      </c>
      <c r="N2491" s="20">
        <f>IF($Q2491="","",INDEX(상세표[블록 22~06시],$Q2491))</f>
        <v/>
      </c>
      <c r="O2491">
        <f>IF($Q2491="","",INDEX(상세표[주말·휴일 포함],$Q2491)&amp;"")</f>
        <v/>
      </c>
      <c r="P2491">
        <f>IF($Q2491="","",INDEX(상세표[월 넘김 포함],$Q2491)&amp;"")</f>
        <v/>
      </c>
      <c r="Q2491" s="4">
        <f>IFERROR(MATCH(2486,상세표[연속순번],0),"")</f>
        <v/>
      </c>
    </row>
    <row r="2492">
      <c r="A2492">
        <f>IF($Q2492="","",INDEX(상세표[부서],$Q2492)&amp;"")</f>
        <v/>
      </c>
      <c r="B2492">
        <f>IF($Q2492="","",INDEX(상세표[사번],$Q2492)&amp;"")</f>
        <v/>
      </c>
      <c r="C2492">
        <f>IF($Q2492="","",INDEX(상세표[성명],$Q2492)&amp;"")</f>
        <v/>
      </c>
      <c r="D2492">
        <f>IF($Q2492="","",INDEX(상세표[직위],$Q2492)&amp;"")</f>
        <v/>
      </c>
      <c r="E2492">
        <f>IF($Q2492="","",IF(ISNUMBER(INDEX(상세표[근무일자],$Q2492)),TEXT(INDEX(상세표[근무일자],$Q2492),"yyyy-mm-dd"),INDEX(상세표[근무일자],$Q2492)&amp;""))</f>
        <v/>
      </c>
      <c r="F2492">
        <f>IF($Q2492="","",IF(ISNUMBER(INDEX(상세표[시작],$Q2492)),TEXT(INDEX(상세표[시작],$Q2492),"yyyy-mm-dd hh:mm"),INDEX(상세표[시작],$Q2492)&amp;""))</f>
        <v/>
      </c>
      <c r="G2492">
        <f>IF($Q2492="","",IF(ISNUMBER(INDEX(상세표[블록종료],$Q2492)),TEXT(INDEX(상세표[블록종료],$Q2492),"yyyy-mm-dd hh:mm"),INDEX(상세표[블록종료],$Q2492)&amp;""))</f>
        <v/>
      </c>
      <c r="H2492">
        <f>IF($Q2492="","",CHOOSE(WEEKDAY(INDEX(상세표[시작],$Q2492)),"일","월","화","수","목","금","토"))</f>
        <v/>
      </c>
      <c r="I2492" s="20">
        <f>IF($Q2492="","",INDEX(상세표[연속 시간],$Q2492))</f>
        <v/>
      </c>
      <c r="J2492">
        <f>IF($Q2492="","",INDEX(상세표[기록 수],$Q2492))</f>
        <v/>
      </c>
      <c r="K2492" s="20">
        <f>IF($Q2492="","",INDEX(상세표[블록 06~07시],$Q2492))</f>
        <v/>
      </c>
      <c r="L2492" s="20">
        <f>IF($Q2492="","",INDEX(상세표[블록 07~18시],$Q2492))</f>
        <v/>
      </c>
      <c r="M2492" s="20">
        <f>IF($Q2492="","",INDEX(상세표[블록 18~22시],$Q2492))</f>
        <v/>
      </c>
      <c r="N2492" s="20">
        <f>IF($Q2492="","",INDEX(상세표[블록 22~06시],$Q2492))</f>
        <v/>
      </c>
      <c r="O2492">
        <f>IF($Q2492="","",INDEX(상세표[주말·휴일 포함],$Q2492)&amp;"")</f>
        <v/>
      </c>
      <c r="P2492">
        <f>IF($Q2492="","",INDEX(상세표[월 넘김 포함],$Q2492)&amp;"")</f>
        <v/>
      </c>
      <c r="Q2492" s="4">
        <f>IFERROR(MATCH(2487,상세표[연속순번],0),"")</f>
        <v/>
      </c>
    </row>
    <row r="2493">
      <c r="A2493">
        <f>IF($Q2493="","",INDEX(상세표[부서],$Q2493)&amp;"")</f>
        <v/>
      </c>
      <c r="B2493">
        <f>IF($Q2493="","",INDEX(상세표[사번],$Q2493)&amp;"")</f>
        <v/>
      </c>
      <c r="C2493">
        <f>IF($Q2493="","",INDEX(상세표[성명],$Q2493)&amp;"")</f>
        <v/>
      </c>
      <c r="D2493">
        <f>IF($Q2493="","",INDEX(상세표[직위],$Q2493)&amp;"")</f>
        <v/>
      </c>
      <c r="E2493">
        <f>IF($Q2493="","",IF(ISNUMBER(INDEX(상세표[근무일자],$Q2493)),TEXT(INDEX(상세표[근무일자],$Q2493),"yyyy-mm-dd"),INDEX(상세표[근무일자],$Q2493)&amp;""))</f>
        <v/>
      </c>
      <c r="F2493">
        <f>IF($Q2493="","",IF(ISNUMBER(INDEX(상세표[시작],$Q2493)),TEXT(INDEX(상세표[시작],$Q2493),"yyyy-mm-dd hh:mm"),INDEX(상세표[시작],$Q2493)&amp;""))</f>
        <v/>
      </c>
      <c r="G2493">
        <f>IF($Q2493="","",IF(ISNUMBER(INDEX(상세표[블록종료],$Q2493)),TEXT(INDEX(상세표[블록종료],$Q2493),"yyyy-mm-dd hh:mm"),INDEX(상세표[블록종료],$Q2493)&amp;""))</f>
        <v/>
      </c>
      <c r="H2493">
        <f>IF($Q2493="","",CHOOSE(WEEKDAY(INDEX(상세표[시작],$Q2493)),"일","월","화","수","목","금","토"))</f>
        <v/>
      </c>
      <c r="I2493" s="20">
        <f>IF($Q2493="","",INDEX(상세표[연속 시간],$Q2493))</f>
        <v/>
      </c>
      <c r="J2493">
        <f>IF($Q2493="","",INDEX(상세표[기록 수],$Q2493))</f>
        <v/>
      </c>
      <c r="K2493" s="20">
        <f>IF($Q2493="","",INDEX(상세표[블록 06~07시],$Q2493))</f>
        <v/>
      </c>
      <c r="L2493" s="20">
        <f>IF($Q2493="","",INDEX(상세표[블록 07~18시],$Q2493))</f>
        <v/>
      </c>
      <c r="M2493" s="20">
        <f>IF($Q2493="","",INDEX(상세표[블록 18~22시],$Q2493))</f>
        <v/>
      </c>
      <c r="N2493" s="20">
        <f>IF($Q2493="","",INDEX(상세표[블록 22~06시],$Q2493))</f>
        <v/>
      </c>
      <c r="O2493">
        <f>IF($Q2493="","",INDEX(상세표[주말·휴일 포함],$Q2493)&amp;"")</f>
        <v/>
      </c>
      <c r="P2493">
        <f>IF($Q2493="","",INDEX(상세표[월 넘김 포함],$Q2493)&amp;"")</f>
        <v/>
      </c>
      <c r="Q2493" s="4">
        <f>IFERROR(MATCH(2488,상세표[연속순번],0),"")</f>
        <v/>
      </c>
    </row>
    <row r="2494">
      <c r="A2494">
        <f>IF($Q2494="","",INDEX(상세표[부서],$Q2494)&amp;"")</f>
        <v/>
      </c>
      <c r="B2494">
        <f>IF($Q2494="","",INDEX(상세표[사번],$Q2494)&amp;"")</f>
        <v/>
      </c>
      <c r="C2494">
        <f>IF($Q2494="","",INDEX(상세표[성명],$Q2494)&amp;"")</f>
        <v/>
      </c>
      <c r="D2494">
        <f>IF($Q2494="","",INDEX(상세표[직위],$Q2494)&amp;"")</f>
        <v/>
      </c>
      <c r="E2494">
        <f>IF($Q2494="","",IF(ISNUMBER(INDEX(상세표[근무일자],$Q2494)),TEXT(INDEX(상세표[근무일자],$Q2494),"yyyy-mm-dd"),INDEX(상세표[근무일자],$Q2494)&amp;""))</f>
        <v/>
      </c>
      <c r="F2494">
        <f>IF($Q2494="","",IF(ISNUMBER(INDEX(상세표[시작],$Q2494)),TEXT(INDEX(상세표[시작],$Q2494),"yyyy-mm-dd hh:mm"),INDEX(상세표[시작],$Q2494)&amp;""))</f>
        <v/>
      </c>
      <c r="G2494">
        <f>IF($Q2494="","",IF(ISNUMBER(INDEX(상세표[블록종료],$Q2494)),TEXT(INDEX(상세표[블록종료],$Q2494),"yyyy-mm-dd hh:mm"),INDEX(상세표[블록종료],$Q2494)&amp;""))</f>
        <v/>
      </c>
      <c r="H2494">
        <f>IF($Q2494="","",CHOOSE(WEEKDAY(INDEX(상세표[시작],$Q2494)),"일","월","화","수","목","금","토"))</f>
        <v/>
      </c>
      <c r="I2494" s="20">
        <f>IF($Q2494="","",INDEX(상세표[연속 시간],$Q2494))</f>
        <v/>
      </c>
      <c r="J2494">
        <f>IF($Q2494="","",INDEX(상세표[기록 수],$Q2494))</f>
        <v/>
      </c>
      <c r="K2494" s="20">
        <f>IF($Q2494="","",INDEX(상세표[블록 06~07시],$Q2494))</f>
        <v/>
      </c>
      <c r="L2494" s="20">
        <f>IF($Q2494="","",INDEX(상세표[블록 07~18시],$Q2494))</f>
        <v/>
      </c>
      <c r="M2494" s="20">
        <f>IF($Q2494="","",INDEX(상세표[블록 18~22시],$Q2494))</f>
        <v/>
      </c>
      <c r="N2494" s="20">
        <f>IF($Q2494="","",INDEX(상세표[블록 22~06시],$Q2494))</f>
        <v/>
      </c>
      <c r="O2494">
        <f>IF($Q2494="","",INDEX(상세표[주말·휴일 포함],$Q2494)&amp;"")</f>
        <v/>
      </c>
      <c r="P2494">
        <f>IF($Q2494="","",INDEX(상세표[월 넘김 포함],$Q2494)&amp;"")</f>
        <v/>
      </c>
      <c r="Q2494" s="4">
        <f>IFERROR(MATCH(2489,상세표[연속순번],0),"")</f>
        <v/>
      </c>
    </row>
    <row r="2495">
      <c r="A2495">
        <f>IF($Q2495="","",INDEX(상세표[부서],$Q2495)&amp;"")</f>
        <v/>
      </c>
      <c r="B2495">
        <f>IF($Q2495="","",INDEX(상세표[사번],$Q2495)&amp;"")</f>
        <v/>
      </c>
      <c r="C2495">
        <f>IF($Q2495="","",INDEX(상세표[성명],$Q2495)&amp;"")</f>
        <v/>
      </c>
      <c r="D2495">
        <f>IF($Q2495="","",INDEX(상세표[직위],$Q2495)&amp;"")</f>
        <v/>
      </c>
      <c r="E2495">
        <f>IF($Q2495="","",IF(ISNUMBER(INDEX(상세표[근무일자],$Q2495)),TEXT(INDEX(상세표[근무일자],$Q2495),"yyyy-mm-dd"),INDEX(상세표[근무일자],$Q2495)&amp;""))</f>
        <v/>
      </c>
      <c r="F2495">
        <f>IF($Q2495="","",IF(ISNUMBER(INDEX(상세표[시작],$Q2495)),TEXT(INDEX(상세표[시작],$Q2495),"yyyy-mm-dd hh:mm"),INDEX(상세표[시작],$Q2495)&amp;""))</f>
        <v/>
      </c>
      <c r="G2495">
        <f>IF($Q2495="","",IF(ISNUMBER(INDEX(상세표[블록종료],$Q2495)),TEXT(INDEX(상세표[블록종료],$Q2495),"yyyy-mm-dd hh:mm"),INDEX(상세표[블록종료],$Q2495)&amp;""))</f>
        <v/>
      </c>
      <c r="H2495">
        <f>IF($Q2495="","",CHOOSE(WEEKDAY(INDEX(상세표[시작],$Q2495)),"일","월","화","수","목","금","토"))</f>
        <v/>
      </c>
      <c r="I2495" s="20">
        <f>IF($Q2495="","",INDEX(상세표[연속 시간],$Q2495))</f>
        <v/>
      </c>
      <c r="J2495">
        <f>IF($Q2495="","",INDEX(상세표[기록 수],$Q2495))</f>
        <v/>
      </c>
      <c r="K2495" s="20">
        <f>IF($Q2495="","",INDEX(상세표[블록 06~07시],$Q2495))</f>
        <v/>
      </c>
      <c r="L2495" s="20">
        <f>IF($Q2495="","",INDEX(상세표[블록 07~18시],$Q2495))</f>
        <v/>
      </c>
      <c r="M2495" s="20">
        <f>IF($Q2495="","",INDEX(상세표[블록 18~22시],$Q2495))</f>
        <v/>
      </c>
      <c r="N2495" s="20">
        <f>IF($Q2495="","",INDEX(상세표[블록 22~06시],$Q2495))</f>
        <v/>
      </c>
      <c r="O2495">
        <f>IF($Q2495="","",INDEX(상세표[주말·휴일 포함],$Q2495)&amp;"")</f>
        <v/>
      </c>
      <c r="P2495">
        <f>IF($Q2495="","",INDEX(상세표[월 넘김 포함],$Q2495)&amp;"")</f>
        <v/>
      </c>
      <c r="Q2495" s="4">
        <f>IFERROR(MATCH(2490,상세표[연속순번],0),"")</f>
        <v/>
      </c>
    </row>
    <row r="2496">
      <c r="A2496">
        <f>IF($Q2496="","",INDEX(상세표[부서],$Q2496)&amp;"")</f>
        <v/>
      </c>
      <c r="B2496">
        <f>IF($Q2496="","",INDEX(상세표[사번],$Q2496)&amp;"")</f>
        <v/>
      </c>
      <c r="C2496">
        <f>IF($Q2496="","",INDEX(상세표[성명],$Q2496)&amp;"")</f>
        <v/>
      </c>
      <c r="D2496">
        <f>IF($Q2496="","",INDEX(상세표[직위],$Q2496)&amp;"")</f>
        <v/>
      </c>
      <c r="E2496">
        <f>IF($Q2496="","",IF(ISNUMBER(INDEX(상세표[근무일자],$Q2496)),TEXT(INDEX(상세표[근무일자],$Q2496),"yyyy-mm-dd"),INDEX(상세표[근무일자],$Q2496)&amp;""))</f>
        <v/>
      </c>
      <c r="F2496">
        <f>IF($Q2496="","",IF(ISNUMBER(INDEX(상세표[시작],$Q2496)),TEXT(INDEX(상세표[시작],$Q2496),"yyyy-mm-dd hh:mm"),INDEX(상세표[시작],$Q2496)&amp;""))</f>
        <v/>
      </c>
      <c r="G2496">
        <f>IF($Q2496="","",IF(ISNUMBER(INDEX(상세표[블록종료],$Q2496)),TEXT(INDEX(상세표[블록종료],$Q2496),"yyyy-mm-dd hh:mm"),INDEX(상세표[블록종료],$Q2496)&amp;""))</f>
        <v/>
      </c>
      <c r="H2496">
        <f>IF($Q2496="","",CHOOSE(WEEKDAY(INDEX(상세표[시작],$Q2496)),"일","월","화","수","목","금","토"))</f>
        <v/>
      </c>
      <c r="I2496" s="20">
        <f>IF($Q2496="","",INDEX(상세표[연속 시간],$Q2496))</f>
        <v/>
      </c>
      <c r="J2496">
        <f>IF($Q2496="","",INDEX(상세표[기록 수],$Q2496))</f>
        <v/>
      </c>
      <c r="K2496" s="20">
        <f>IF($Q2496="","",INDEX(상세표[블록 06~07시],$Q2496))</f>
        <v/>
      </c>
      <c r="L2496" s="20">
        <f>IF($Q2496="","",INDEX(상세표[블록 07~18시],$Q2496))</f>
        <v/>
      </c>
      <c r="M2496" s="20">
        <f>IF($Q2496="","",INDEX(상세표[블록 18~22시],$Q2496))</f>
        <v/>
      </c>
      <c r="N2496" s="20">
        <f>IF($Q2496="","",INDEX(상세표[블록 22~06시],$Q2496))</f>
        <v/>
      </c>
      <c r="O2496">
        <f>IF($Q2496="","",INDEX(상세표[주말·휴일 포함],$Q2496)&amp;"")</f>
        <v/>
      </c>
      <c r="P2496">
        <f>IF($Q2496="","",INDEX(상세표[월 넘김 포함],$Q2496)&amp;"")</f>
        <v/>
      </c>
      <c r="Q2496" s="4">
        <f>IFERROR(MATCH(2491,상세표[연속순번],0),"")</f>
        <v/>
      </c>
    </row>
    <row r="2497">
      <c r="A2497">
        <f>IF($Q2497="","",INDEX(상세표[부서],$Q2497)&amp;"")</f>
        <v/>
      </c>
      <c r="B2497">
        <f>IF($Q2497="","",INDEX(상세표[사번],$Q2497)&amp;"")</f>
        <v/>
      </c>
      <c r="C2497">
        <f>IF($Q2497="","",INDEX(상세표[성명],$Q2497)&amp;"")</f>
        <v/>
      </c>
      <c r="D2497">
        <f>IF($Q2497="","",INDEX(상세표[직위],$Q2497)&amp;"")</f>
        <v/>
      </c>
      <c r="E2497">
        <f>IF($Q2497="","",IF(ISNUMBER(INDEX(상세표[근무일자],$Q2497)),TEXT(INDEX(상세표[근무일자],$Q2497),"yyyy-mm-dd"),INDEX(상세표[근무일자],$Q2497)&amp;""))</f>
        <v/>
      </c>
      <c r="F2497">
        <f>IF($Q2497="","",IF(ISNUMBER(INDEX(상세표[시작],$Q2497)),TEXT(INDEX(상세표[시작],$Q2497),"yyyy-mm-dd hh:mm"),INDEX(상세표[시작],$Q2497)&amp;""))</f>
        <v/>
      </c>
      <c r="G2497">
        <f>IF($Q2497="","",IF(ISNUMBER(INDEX(상세표[블록종료],$Q2497)),TEXT(INDEX(상세표[블록종료],$Q2497),"yyyy-mm-dd hh:mm"),INDEX(상세표[블록종료],$Q2497)&amp;""))</f>
        <v/>
      </c>
      <c r="H2497">
        <f>IF($Q2497="","",CHOOSE(WEEKDAY(INDEX(상세표[시작],$Q2497)),"일","월","화","수","목","금","토"))</f>
        <v/>
      </c>
      <c r="I2497" s="20">
        <f>IF($Q2497="","",INDEX(상세표[연속 시간],$Q2497))</f>
        <v/>
      </c>
      <c r="J2497">
        <f>IF($Q2497="","",INDEX(상세표[기록 수],$Q2497))</f>
        <v/>
      </c>
      <c r="K2497" s="20">
        <f>IF($Q2497="","",INDEX(상세표[블록 06~07시],$Q2497))</f>
        <v/>
      </c>
      <c r="L2497" s="20">
        <f>IF($Q2497="","",INDEX(상세표[블록 07~18시],$Q2497))</f>
        <v/>
      </c>
      <c r="M2497" s="20">
        <f>IF($Q2497="","",INDEX(상세표[블록 18~22시],$Q2497))</f>
        <v/>
      </c>
      <c r="N2497" s="20">
        <f>IF($Q2497="","",INDEX(상세표[블록 22~06시],$Q2497))</f>
        <v/>
      </c>
      <c r="O2497">
        <f>IF($Q2497="","",INDEX(상세표[주말·휴일 포함],$Q2497)&amp;"")</f>
        <v/>
      </c>
      <c r="P2497">
        <f>IF($Q2497="","",INDEX(상세표[월 넘김 포함],$Q2497)&amp;"")</f>
        <v/>
      </c>
      <c r="Q2497" s="4">
        <f>IFERROR(MATCH(2492,상세표[연속순번],0),"")</f>
        <v/>
      </c>
    </row>
    <row r="2498">
      <c r="A2498">
        <f>IF($Q2498="","",INDEX(상세표[부서],$Q2498)&amp;"")</f>
        <v/>
      </c>
      <c r="B2498">
        <f>IF($Q2498="","",INDEX(상세표[사번],$Q2498)&amp;"")</f>
        <v/>
      </c>
      <c r="C2498">
        <f>IF($Q2498="","",INDEX(상세표[성명],$Q2498)&amp;"")</f>
        <v/>
      </c>
      <c r="D2498">
        <f>IF($Q2498="","",INDEX(상세표[직위],$Q2498)&amp;"")</f>
        <v/>
      </c>
      <c r="E2498">
        <f>IF($Q2498="","",IF(ISNUMBER(INDEX(상세표[근무일자],$Q2498)),TEXT(INDEX(상세표[근무일자],$Q2498),"yyyy-mm-dd"),INDEX(상세표[근무일자],$Q2498)&amp;""))</f>
        <v/>
      </c>
      <c r="F2498">
        <f>IF($Q2498="","",IF(ISNUMBER(INDEX(상세표[시작],$Q2498)),TEXT(INDEX(상세표[시작],$Q2498),"yyyy-mm-dd hh:mm"),INDEX(상세표[시작],$Q2498)&amp;""))</f>
        <v/>
      </c>
      <c r="G2498">
        <f>IF($Q2498="","",IF(ISNUMBER(INDEX(상세표[블록종료],$Q2498)),TEXT(INDEX(상세표[블록종료],$Q2498),"yyyy-mm-dd hh:mm"),INDEX(상세표[블록종료],$Q2498)&amp;""))</f>
        <v/>
      </c>
      <c r="H2498">
        <f>IF($Q2498="","",CHOOSE(WEEKDAY(INDEX(상세표[시작],$Q2498)),"일","월","화","수","목","금","토"))</f>
        <v/>
      </c>
      <c r="I2498" s="20">
        <f>IF($Q2498="","",INDEX(상세표[연속 시간],$Q2498))</f>
        <v/>
      </c>
      <c r="J2498">
        <f>IF($Q2498="","",INDEX(상세표[기록 수],$Q2498))</f>
        <v/>
      </c>
      <c r="K2498" s="20">
        <f>IF($Q2498="","",INDEX(상세표[블록 06~07시],$Q2498))</f>
        <v/>
      </c>
      <c r="L2498" s="20">
        <f>IF($Q2498="","",INDEX(상세표[블록 07~18시],$Q2498))</f>
        <v/>
      </c>
      <c r="M2498" s="20">
        <f>IF($Q2498="","",INDEX(상세표[블록 18~22시],$Q2498))</f>
        <v/>
      </c>
      <c r="N2498" s="20">
        <f>IF($Q2498="","",INDEX(상세표[블록 22~06시],$Q2498))</f>
        <v/>
      </c>
      <c r="O2498">
        <f>IF($Q2498="","",INDEX(상세표[주말·휴일 포함],$Q2498)&amp;"")</f>
        <v/>
      </c>
      <c r="P2498">
        <f>IF($Q2498="","",INDEX(상세표[월 넘김 포함],$Q2498)&amp;"")</f>
        <v/>
      </c>
      <c r="Q2498" s="4">
        <f>IFERROR(MATCH(2493,상세표[연속순번],0),"")</f>
        <v/>
      </c>
    </row>
    <row r="2499">
      <c r="A2499">
        <f>IF($Q2499="","",INDEX(상세표[부서],$Q2499)&amp;"")</f>
        <v/>
      </c>
      <c r="B2499">
        <f>IF($Q2499="","",INDEX(상세표[사번],$Q2499)&amp;"")</f>
        <v/>
      </c>
      <c r="C2499">
        <f>IF($Q2499="","",INDEX(상세표[성명],$Q2499)&amp;"")</f>
        <v/>
      </c>
      <c r="D2499">
        <f>IF($Q2499="","",INDEX(상세표[직위],$Q2499)&amp;"")</f>
        <v/>
      </c>
      <c r="E2499">
        <f>IF($Q2499="","",IF(ISNUMBER(INDEX(상세표[근무일자],$Q2499)),TEXT(INDEX(상세표[근무일자],$Q2499),"yyyy-mm-dd"),INDEX(상세표[근무일자],$Q2499)&amp;""))</f>
        <v/>
      </c>
      <c r="F2499">
        <f>IF($Q2499="","",IF(ISNUMBER(INDEX(상세표[시작],$Q2499)),TEXT(INDEX(상세표[시작],$Q2499),"yyyy-mm-dd hh:mm"),INDEX(상세표[시작],$Q2499)&amp;""))</f>
        <v/>
      </c>
      <c r="G2499">
        <f>IF($Q2499="","",IF(ISNUMBER(INDEX(상세표[블록종료],$Q2499)),TEXT(INDEX(상세표[블록종료],$Q2499),"yyyy-mm-dd hh:mm"),INDEX(상세표[블록종료],$Q2499)&amp;""))</f>
        <v/>
      </c>
      <c r="H2499">
        <f>IF($Q2499="","",CHOOSE(WEEKDAY(INDEX(상세표[시작],$Q2499)),"일","월","화","수","목","금","토"))</f>
        <v/>
      </c>
      <c r="I2499" s="20">
        <f>IF($Q2499="","",INDEX(상세표[연속 시간],$Q2499))</f>
        <v/>
      </c>
      <c r="J2499">
        <f>IF($Q2499="","",INDEX(상세표[기록 수],$Q2499))</f>
        <v/>
      </c>
      <c r="K2499" s="20">
        <f>IF($Q2499="","",INDEX(상세표[블록 06~07시],$Q2499))</f>
        <v/>
      </c>
      <c r="L2499" s="20">
        <f>IF($Q2499="","",INDEX(상세표[블록 07~18시],$Q2499))</f>
        <v/>
      </c>
      <c r="M2499" s="20">
        <f>IF($Q2499="","",INDEX(상세표[블록 18~22시],$Q2499))</f>
        <v/>
      </c>
      <c r="N2499" s="20">
        <f>IF($Q2499="","",INDEX(상세표[블록 22~06시],$Q2499))</f>
        <v/>
      </c>
      <c r="O2499">
        <f>IF($Q2499="","",INDEX(상세표[주말·휴일 포함],$Q2499)&amp;"")</f>
        <v/>
      </c>
      <c r="P2499">
        <f>IF($Q2499="","",INDEX(상세표[월 넘김 포함],$Q2499)&amp;"")</f>
        <v/>
      </c>
      <c r="Q2499" s="4">
        <f>IFERROR(MATCH(2494,상세표[연속순번],0),"")</f>
        <v/>
      </c>
    </row>
    <row r="2500">
      <c r="A2500">
        <f>IF($Q2500="","",INDEX(상세표[부서],$Q2500)&amp;"")</f>
        <v/>
      </c>
      <c r="B2500">
        <f>IF($Q2500="","",INDEX(상세표[사번],$Q2500)&amp;"")</f>
        <v/>
      </c>
      <c r="C2500">
        <f>IF($Q2500="","",INDEX(상세표[성명],$Q2500)&amp;"")</f>
        <v/>
      </c>
      <c r="D2500">
        <f>IF($Q2500="","",INDEX(상세표[직위],$Q2500)&amp;"")</f>
        <v/>
      </c>
      <c r="E2500">
        <f>IF($Q2500="","",IF(ISNUMBER(INDEX(상세표[근무일자],$Q2500)),TEXT(INDEX(상세표[근무일자],$Q2500),"yyyy-mm-dd"),INDEX(상세표[근무일자],$Q2500)&amp;""))</f>
        <v/>
      </c>
      <c r="F2500">
        <f>IF($Q2500="","",IF(ISNUMBER(INDEX(상세표[시작],$Q2500)),TEXT(INDEX(상세표[시작],$Q2500),"yyyy-mm-dd hh:mm"),INDEX(상세표[시작],$Q2500)&amp;""))</f>
        <v/>
      </c>
      <c r="G2500">
        <f>IF($Q2500="","",IF(ISNUMBER(INDEX(상세표[블록종료],$Q2500)),TEXT(INDEX(상세표[블록종료],$Q2500),"yyyy-mm-dd hh:mm"),INDEX(상세표[블록종료],$Q2500)&amp;""))</f>
        <v/>
      </c>
      <c r="H2500">
        <f>IF($Q2500="","",CHOOSE(WEEKDAY(INDEX(상세표[시작],$Q2500)),"일","월","화","수","목","금","토"))</f>
        <v/>
      </c>
      <c r="I2500" s="20">
        <f>IF($Q2500="","",INDEX(상세표[연속 시간],$Q2500))</f>
        <v/>
      </c>
      <c r="J2500">
        <f>IF($Q2500="","",INDEX(상세표[기록 수],$Q2500))</f>
        <v/>
      </c>
      <c r="K2500" s="20">
        <f>IF($Q2500="","",INDEX(상세표[블록 06~07시],$Q2500))</f>
        <v/>
      </c>
      <c r="L2500" s="20">
        <f>IF($Q2500="","",INDEX(상세표[블록 07~18시],$Q2500))</f>
        <v/>
      </c>
      <c r="M2500" s="20">
        <f>IF($Q2500="","",INDEX(상세표[블록 18~22시],$Q2500))</f>
        <v/>
      </c>
      <c r="N2500" s="20">
        <f>IF($Q2500="","",INDEX(상세표[블록 22~06시],$Q2500))</f>
        <v/>
      </c>
      <c r="O2500">
        <f>IF($Q2500="","",INDEX(상세표[주말·휴일 포함],$Q2500)&amp;"")</f>
        <v/>
      </c>
      <c r="P2500">
        <f>IF($Q2500="","",INDEX(상세표[월 넘김 포함],$Q2500)&amp;"")</f>
        <v/>
      </c>
      <c r="Q2500" s="4">
        <f>IFERROR(MATCH(2495,상세표[연속순번],0),"")</f>
        <v/>
      </c>
    </row>
    <row r="2501">
      <c r="A2501">
        <f>IF($Q2501="","",INDEX(상세표[부서],$Q2501)&amp;"")</f>
        <v/>
      </c>
      <c r="B2501">
        <f>IF($Q2501="","",INDEX(상세표[사번],$Q2501)&amp;"")</f>
        <v/>
      </c>
      <c r="C2501">
        <f>IF($Q2501="","",INDEX(상세표[성명],$Q2501)&amp;"")</f>
        <v/>
      </c>
      <c r="D2501">
        <f>IF($Q2501="","",INDEX(상세표[직위],$Q2501)&amp;"")</f>
        <v/>
      </c>
      <c r="E2501">
        <f>IF($Q2501="","",IF(ISNUMBER(INDEX(상세표[근무일자],$Q2501)),TEXT(INDEX(상세표[근무일자],$Q2501),"yyyy-mm-dd"),INDEX(상세표[근무일자],$Q2501)&amp;""))</f>
        <v/>
      </c>
      <c r="F2501">
        <f>IF($Q2501="","",IF(ISNUMBER(INDEX(상세표[시작],$Q2501)),TEXT(INDEX(상세표[시작],$Q2501),"yyyy-mm-dd hh:mm"),INDEX(상세표[시작],$Q2501)&amp;""))</f>
        <v/>
      </c>
      <c r="G2501">
        <f>IF($Q2501="","",IF(ISNUMBER(INDEX(상세표[블록종료],$Q2501)),TEXT(INDEX(상세표[블록종료],$Q2501),"yyyy-mm-dd hh:mm"),INDEX(상세표[블록종료],$Q2501)&amp;""))</f>
        <v/>
      </c>
      <c r="H2501">
        <f>IF($Q2501="","",CHOOSE(WEEKDAY(INDEX(상세표[시작],$Q2501)),"일","월","화","수","목","금","토"))</f>
        <v/>
      </c>
      <c r="I2501" s="20">
        <f>IF($Q2501="","",INDEX(상세표[연속 시간],$Q2501))</f>
        <v/>
      </c>
      <c r="J2501">
        <f>IF($Q2501="","",INDEX(상세표[기록 수],$Q2501))</f>
        <v/>
      </c>
      <c r="K2501" s="20">
        <f>IF($Q2501="","",INDEX(상세표[블록 06~07시],$Q2501))</f>
        <v/>
      </c>
      <c r="L2501" s="20">
        <f>IF($Q2501="","",INDEX(상세표[블록 07~18시],$Q2501))</f>
        <v/>
      </c>
      <c r="M2501" s="20">
        <f>IF($Q2501="","",INDEX(상세표[블록 18~22시],$Q2501))</f>
        <v/>
      </c>
      <c r="N2501" s="20">
        <f>IF($Q2501="","",INDEX(상세표[블록 22~06시],$Q2501))</f>
        <v/>
      </c>
      <c r="O2501">
        <f>IF($Q2501="","",INDEX(상세표[주말·휴일 포함],$Q2501)&amp;"")</f>
        <v/>
      </c>
      <c r="P2501">
        <f>IF($Q2501="","",INDEX(상세표[월 넘김 포함],$Q2501)&amp;"")</f>
        <v/>
      </c>
      <c r="Q2501" s="4">
        <f>IFERROR(MATCH(2496,상세표[연속순번],0),"")</f>
        <v/>
      </c>
    </row>
    <row r="2502">
      <c r="A2502">
        <f>IF($Q2502="","",INDEX(상세표[부서],$Q2502)&amp;"")</f>
        <v/>
      </c>
      <c r="B2502">
        <f>IF($Q2502="","",INDEX(상세표[사번],$Q2502)&amp;"")</f>
        <v/>
      </c>
      <c r="C2502">
        <f>IF($Q2502="","",INDEX(상세표[성명],$Q2502)&amp;"")</f>
        <v/>
      </c>
      <c r="D2502">
        <f>IF($Q2502="","",INDEX(상세표[직위],$Q2502)&amp;"")</f>
        <v/>
      </c>
      <c r="E2502">
        <f>IF($Q2502="","",IF(ISNUMBER(INDEX(상세표[근무일자],$Q2502)),TEXT(INDEX(상세표[근무일자],$Q2502),"yyyy-mm-dd"),INDEX(상세표[근무일자],$Q2502)&amp;""))</f>
        <v/>
      </c>
      <c r="F2502">
        <f>IF($Q2502="","",IF(ISNUMBER(INDEX(상세표[시작],$Q2502)),TEXT(INDEX(상세표[시작],$Q2502),"yyyy-mm-dd hh:mm"),INDEX(상세표[시작],$Q2502)&amp;""))</f>
        <v/>
      </c>
      <c r="G2502">
        <f>IF($Q2502="","",IF(ISNUMBER(INDEX(상세표[블록종료],$Q2502)),TEXT(INDEX(상세표[블록종료],$Q2502),"yyyy-mm-dd hh:mm"),INDEX(상세표[블록종료],$Q2502)&amp;""))</f>
        <v/>
      </c>
      <c r="H2502">
        <f>IF($Q2502="","",CHOOSE(WEEKDAY(INDEX(상세표[시작],$Q2502)),"일","월","화","수","목","금","토"))</f>
        <v/>
      </c>
      <c r="I2502" s="20">
        <f>IF($Q2502="","",INDEX(상세표[연속 시간],$Q2502))</f>
        <v/>
      </c>
      <c r="J2502">
        <f>IF($Q2502="","",INDEX(상세표[기록 수],$Q2502))</f>
        <v/>
      </c>
      <c r="K2502" s="20">
        <f>IF($Q2502="","",INDEX(상세표[블록 06~07시],$Q2502))</f>
        <v/>
      </c>
      <c r="L2502" s="20">
        <f>IF($Q2502="","",INDEX(상세표[블록 07~18시],$Q2502))</f>
        <v/>
      </c>
      <c r="M2502" s="20">
        <f>IF($Q2502="","",INDEX(상세표[블록 18~22시],$Q2502))</f>
        <v/>
      </c>
      <c r="N2502" s="20">
        <f>IF($Q2502="","",INDEX(상세표[블록 22~06시],$Q2502))</f>
        <v/>
      </c>
      <c r="O2502">
        <f>IF($Q2502="","",INDEX(상세표[주말·휴일 포함],$Q2502)&amp;"")</f>
        <v/>
      </c>
      <c r="P2502">
        <f>IF($Q2502="","",INDEX(상세표[월 넘김 포함],$Q2502)&amp;"")</f>
        <v/>
      </c>
      <c r="Q2502" s="4">
        <f>IFERROR(MATCH(2497,상세표[연속순번],0),"")</f>
        <v/>
      </c>
    </row>
    <row r="2503">
      <c r="A2503">
        <f>IF($Q2503="","",INDEX(상세표[부서],$Q2503)&amp;"")</f>
        <v/>
      </c>
      <c r="B2503">
        <f>IF($Q2503="","",INDEX(상세표[사번],$Q2503)&amp;"")</f>
        <v/>
      </c>
      <c r="C2503">
        <f>IF($Q2503="","",INDEX(상세표[성명],$Q2503)&amp;"")</f>
        <v/>
      </c>
      <c r="D2503">
        <f>IF($Q2503="","",INDEX(상세표[직위],$Q2503)&amp;"")</f>
        <v/>
      </c>
      <c r="E2503">
        <f>IF($Q2503="","",IF(ISNUMBER(INDEX(상세표[근무일자],$Q2503)),TEXT(INDEX(상세표[근무일자],$Q2503),"yyyy-mm-dd"),INDEX(상세표[근무일자],$Q2503)&amp;""))</f>
        <v/>
      </c>
      <c r="F2503">
        <f>IF($Q2503="","",IF(ISNUMBER(INDEX(상세표[시작],$Q2503)),TEXT(INDEX(상세표[시작],$Q2503),"yyyy-mm-dd hh:mm"),INDEX(상세표[시작],$Q2503)&amp;""))</f>
        <v/>
      </c>
      <c r="G2503">
        <f>IF($Q2503="","",IF(ISNUMBER(INDEX(상세표[블록종료],$Q2503)),TEXT(INDEX(상세표[블록종료],$Q2503),"yyyy-mm-dd hh:mm"),INDEX(상세표[블록종료],$Q2503)&amp;""))</f>
        <v/>
      </c>
      <c r="H2503">
        <f>IF($Q2503="","",CHOOSE(WEEKDAY(INDEX(상세표[시작],$Q2503)),"일","월","화","수","목","금","토"))</f>
        <v/>
      </c>
      <c r="I2503" s="20">
        <f>IF($Q2503="","",INDEX(상세표[연속 시간],$Q2503))</f>
        <v/>
      </c>
      <c r="J2503">
        <f>IF($Q2503="","",INDEX(상세표[기록 수],$Q2503))</f>
        <v/>
      </c>
      <c r="K2503" s="20">
        <f>IF($Q2503="","",INDEX(상세표[블록 06~07시],$Q2503))</f>
        <v/>
      </c>
      <c r="L2503" s="20">
        <f>IF($Q2503="","",INDEX(상세표[블록 07~18시],$Q2503))</f>
        <v/>
      </c>
      <c r="M2503" s="20">
        <f>IF($Q2503="","",INDEX(상세표[블록 18~22시],$Q2503))</f>
        <v/>
      </c>
      <c r="N2503" s="20">
        <f>IF($Q2503="","",INDEX(상세표[블록 22~06시],$Q2503))</f>
        <v/>
      </c>
      <c r="O2503">
        <f>IF($Q2503="","",INDEX(상세표[주말·휴일 포함],$Q2503)&amp;"")</f>
        <v/>
      </c>
      <c r="P2503">
        <f>IF($Q2503="","",INDEX(상세표[월 넘김 포함],$Q2503)&amp;"")</f>
        <v/>
      </c>
      <c r="Q2503" s="4">
        <f>IFERROR(MATCH(2498,상세표[연속순번],0),"")</f>
        <v/>
      </c>
    </row>
    <row r="2504">
      <c r="A2504">
        <f>IF($Q2504="","",INDEX(상세표[부서],$Q2504)&amp;"")</f>
        <v/>
      </c>
      <c r="B2504">
        <f>IF($Q2504="","",INDEX(상세표[사번],$Q2504)&amp;"")</f>
        <v/>
      </c>
      <c r="C2504">
        <f>IF($Q2504="","",INDEX(상세표[성명],$Q2504)&amp;"")</f>
        <v/>
      </c>
      <c r="D2504">
        <f>IF($Q2504="","",INDEX(상세표[직위],$Q2504)&amp;"")</f>
        <v/>
      </c>
      <c r="E2504">
        <f>IF($Q2504="","",IF(ISNUMBER(INDEX(상세표[근무일자],$Q2504)),TEXT(INDEX(상세표[근무일자],$Q2504),"yyyy-mm-dd"),INDEX(상세표[근무일자],$Q2504)&amp;""))</f>
        <v/>
      </c>
      <c r="F2504">
        <f>IF($Q2504="","",IF(ISNUMBER(INDEX(상세표[시작],$Q2504)),TEXT(INDEX(상세표[시작],$Q2504),"yyyy-mm-dd hh:mm"),INDEX(상세표[시작],$Q2504)&amp;""))</f>
        <v/>
      </c>
      <c r="G2504">
        <f>IF($Q2504="","",IF(ISNUMBER(INDEX(상세표[블록종료],$Q2504)),TEXT(INDEX(상세표[블록종료],$Q2504),"yyyy-mm-dd hh:mm"),INDEX(상세표[블록종료],$Q2504)&amp;""))</f>
        <v/>
      </c>
      <c r="H2504">
        <f>IF($Q2504="","",CHOOSE(WEEKDAY(INDEX(상세표[시작],$Q2504)),"일","월","화","수","목","금","토"))</f>
        <v/>
      </c>
      <c r="I2504" s="20">
        <f>IF($Q2504="","",INDEX(상세표[연속 시간],$Q2504))</f>
        <v/>
      </c>
      <c r="J2504">
        <f>IF($Q2504="","",INDEX(상세표[기록 수],$Q2504))</f>
        <v/>
      </c>
      <c r="K2504" s="20">
        <f>IF($Q2504="","",INDEX(상세표[블록 06~07시],$Q2504))</f>
        <v/>
      </c>
      <c r="L2504" s="20">
        <f>IF($Q2504="","",INDEX(상세표[블록 07~18시],$Q2504))</f>
        <v/>
      </c>
      <c r="M2504" s="20">
        <f>IF($Q2504="","",INDEX(상세표[블록 18~22시],$Q2504))</f>
        <v/>
      </c>
      <c r="N2504" s="20">
        <f>IF($Q2504="","",INDEX(상세표[블록 22~06시],$Q2504))</f>
        <v/>
      </c>
      <c r="O2504">
        <f>IF($Q2504="","",INDEX(상세표[주말·휴일 포함],$Q2504)&amp;"")</f>
        <v/>
      </c>
      <c r="P2504">
        <f>IF($Q2504="","",INDEX(상세표[월 넘김 포함],$Q2504)&amp;"")</f>
        <v/>
      </c>
      <c r="Q2504" s="4">
        <f>IFERROR(MATCH(2499,상세표[연속순번],0),"")</f>
        <v/>
      </c>
    </row>
    <row r="2505">
      <c r="A2505">
        <f>IF($Q2505="","",INDEX(상세표[부서],$Q2505)&amp;"")</f>
        <v/>
      </c>
      <c r="B2505">
        <f>IF($Q2505="","",INDEX(상세표[사번],$Q2505)&amp;"")</f>
        <v/>
      </c>
      <c r="C2505">
        <f>IF($Q2505="","",INDEX(상세표[성명],$Q2505)&amp;"")</f>
        <v/>
      </c>
      <c r="D2505">
        <f>IF($Q2505="","",INDEX(상세표[직위],$Q2505)&amp;"")</f>
        <v/>
      </c>
      <c r="E2505">
        <f>IF($Q2505="","",IF(ISNUMBER(INDEX(상세표[근무일자],$Q2505)),TEXT(INDEX(상세표[근무일자],$Q2505),"yyyy-mm-dd"),INDEX(상세표[근무일자],$Q2505)&amp;""))</f>
        <v/>
      </c>
      <c r="F2505">
        <f>IF($Q2505="","",IF(ISNUMBER(INDEX(상세표[시작],$Q2505)),TEXT(INDEX(상세표[시작],$Q2505),"yyyy-mm-dd hh:mm"),INDEX(상세표[시작],$Q2505)&amp;""))</f>
        <v/>
      </c>
      <c r="G2505">
        <f>IF($Q2505="","",IF(ISNUMBER(INDEX(상세표[블록종료],$Q2505)),TEXT(INDEX(상세표[블록종료],$Q2505),"yyyy-mm-dd hh:mm"),INDEX(상세표[블록종료],$Q2505)&amp;""))</f>
        <v/>
      </c>
      <c r="H2505">
        <f>IF($Q2505="","",CHOOSE(WEEKDAY(INDEX(상세표[시작],$Q2505)),"일","월","화","수","목","금","토"))</f>
        <v/>
      </c>
      <c r="I2505" s="20">
        <f>IF($Q2505="","",INDEX(상세표[연속 시간],$Q2505))</f>
        <v/>
      </c>
      <c r="J2505">
        <f>IF($Q2505="","",INDEX(상세표[기록 수],$Q2505))</f>
        <v/>
      </c>
      <c r="K2505" s="20">
        <f>IF($Q2505="","",INDEX(상세표[블록 06~07시],$Q2505))</f>
        <v/>
      </c>
      <c r="L2505" s="20">
        <f>IF($Q2505="","",INDEX(상세표[블록 07~18시],$Q2505))</f>
        <v/>
      </c>
      <c r="M2505" s="20">
        <f>IF($Q2505="","",INDEX(상세표[블록 18~22시],$Q2505))</f>
        <v/>
      </c>
      <c r="N2505" s="20">
        <f>IF($Q2505="","",INDEX(상세표[블록 22~06시],$Q2505))</f>
        <v/>
      </c>
      <c r="O2505">
        <f>IF($Q2505="","",INDEX(상세표[주말·휴일 포함],$Q2505)&amp;"")</f>
        <v/>
      </c>
      <c r="P2505">
        <f>IF($Q2505="","",INDEX(상세표[월 넘김 포함],$Q2505)&amp;"")</f>
        <v/>
      </c>
      <c r="Q2505" s="4">
        <f>IFERROR(MATCH(2500,상세표[연속순번],0),"")</f>
        <v/>
      </c>
    </row>
    <row r="2506">
      <c r="A2506">
        <f>IF($Q2506="","",INDEX(상세표[부서],$Q2506)&amp;"")</f>
        <v/>
      </c>
      <c r="B2506">
        <f>IF($Q2506="","",INDEX(상세표[사번],$Q2506)&amp;"")</f>
        <v/>
      </c>
      <c r="C2506">
        <f>IF($Q2506="","",INDEX(상세표[성명],$Q2506)&amp;"")</f>
        <v/>
      </c>
      <c r="D2506">
        <f>IF($Q2506="","",INDEX(상세표[직위],$Q2506)&amp;"")</f>
        <v/>
      </c>
      <c r="E2506">
        <f>IF($Q2506="","",IF(ISNUMBER(INDEX(상세표[근무일자],$Q2506)),TEXT(INDEX(상세표[근무일자],$Q2506),"yyyy-mm-dd"),INDEX(상세표[근무일자],$Q2506)&amp;""))</f>
        <v/>
      </c>
      <c r="F2506">
        <f>IF($Q2506="","",IF(ISNUMBER(INDEX(상세표[시작],$Q2506)),TEXT(INDEX(상세표[시작],$Q2506),"yyyy-mm-dd hh:mm"),INDEX(상세표[시작],$Q2506)&amp;""))</f>
        <v/>
      </c>
      <c r="G2506">
        <f>IF($Q2506="","",IF(ISNUMBER(INDEX(상세표[블록종료],$Q2506)),TEXT(INDEX(상세표[블록종료],$Q2506),"yyyy-mm-dd hh:mm"),INDEX(상세표[블록종료],$Q2506)&amp;""))</f>
        <v/>
      </c>
      <c r="H2506">
        <f>IF($Q2506="","",CHOOSE(WEEKDAY(INDEX(상세표[시작],$Q2506)),"일","월","화","수","목","금","토"))</f>
        <v/>
      </c>
      <c r="I2506" s="20">
        <f>IF($Q2506="","",INDEX(상세표[연속 시간],$Q2506))</f>
        <v/>
      </c>
      <c r="J2506">
        <f>IF($Q2506="","",INDEX(상세표[기록 수],$Q2506))</f>
        <v/>
      </c>
      <c r="K2506" s="20">
        <f>IF($Q2506="","",INDEX(상세표[블록 06~07시],$Q2506))</f>
        <v/>
      </c>
      <c r="L2506" s="20">
        <f>IF($Q2506="","",INDEX(상세표[블록 07~18시],$Q2506))</f>
        <v/>
      </c>
      <c r="M2506" s="20">
        <f>IF($Q2506="","",INDEX(상세표[블록 18~22시],$Q2506))</f>
        <v/>
      </c>
      <c r="N2506" s="20">
        <f>IF($Q2506="","",INDEX(상세표[블록 22~06시],$Q2506))</f>
        <v/>
      </c>
      <c r="O2506">
        <f>IF($Q2506="","",INDEX(상세표[주말·휴일 포함],$Q2506)&amp;"")</f>
        <v/>
      </c>
      <c r="P2506">
        <f>IF($Q2506="","",INDEX(상세표[월 넘김 포함],$Q2506)&amp;"")</f>
        <v/>
      </c>
      <c r="Q2506" s="4">
        <f>IFERROR(MATCH(2501,상세표[연속순번],0),"")</f>
        <v/>
      </c>
    </row>
    <row r="2507">
      <c r="A2507">
        <f>IF($Q2507="","",INDEX(상세표[부서],$Q2507)&amp;"")</f>
        <v/>
      </c>
      <c r="B2507">
        <f>IF($Q2507="","",INDEX(상세표[사번],$Q2507)&amp;"")</f>
        <v/>
      </c>
      <c r="C2507">
        <f>IF($Q2507="","",INDEX(상세표[성명],$Q2507)&amp;"")</f>
        <v/>
      </c>
      <c r="D2507">
        <f>IF($Q2507="","",INDEX(상세표[직위],$Q2507)&amp;"")</f>
        <v/>
      </c>
      <c r="E2507">
        <f>IF($Q2507="","",IF(ISNUMBER(INDEX(상세표[근무일자],$Q2507)),TEXT(INDEX(상세표[근무일자],$Q2507),"yyyy-mm-dd"),INDEX(상세표[근무일자],$Q2507)&amp;""))</f>
        <v/>
      </c>
      <c r="F2507">
        <f>IF($Q2507="","",IF(ISNUMBER(INDEX(상세표[시작],$Q2507)),TEXT(INDEX(상세표[시작],$Q2507),"yyyy-mm-dd hh:mm"),INDEX(상세표[시작],$Q2507)&amp;""))</f>
        <v/>
      </c>
      <c r="G2507">
        <f>IF($Q2507="","",IF(ISNUMBER(INDEX(상세표[블록종료],$Q2507)),TEXT(INDEX(상세표[블록종료],$Q2507),"yyyy-mm-dd hh:mm"),INDEX(상세표[블록종료],$Q2507)&amp;""))</f>
        <v/>
      </c>
      <c r="H2507">
        <f>IF($Q2507="","",CHOOSE(WEEKDAY(INDEX(상세표[시작],$Q2507)),"일","월","화","수","목","금","토"))</f>
        <v/>
      </c>
      <c r="I2507" s="20">
        <f>IF($Q2507="","",INDEX(상세표[연속 시간],$Q2507))</f>
        <v/>
      </c>
      <c r="J2507">
        <f>IF($Q2507="","",INDEX(상세표[기록 수],$Q2507))</f>
        <v/>
      </c>
      <c r="K2507" s="20">
        <f>IF($Q2507="","",INDEX(상세표[블록 06~07시],$Q2507))</f>
        <v/>
      </c>
      <c r="L2507" s="20">
        <f>IF($Q2507="","",INDEX(상세표[블록 07~18시],$Q2507))</f>
        <v/>
      </c>
      <c r="M2507" s="20">
        <f>IF($Q2507="","",INDEX(상세표[블록 18~22시],$Q2507))</f>
        <v/>
      </c>
      <c r="N2507" s="20">
        <f>IF($Q2507="","",INDEX(상세표[블록 22~06시],$Q2507))</f>
        <v/>
      </c>
      <c r="O2507">
        <f>IF($Q2507="","",INDEX(상세표[주말·휴일 포함],$Q2507)&amp;"")</f>
        <v/>
      </c>
      <c r="P2507">
        <f>IF($Q2507="","",INDEX(상세표[월 넘김 포함],$Q2507)&amp;"")</f>
        <v/>
      </c>
      <c r="Q2507" s="4">
        <f>IFERROR(MATCH(2502,상세표[연속순번],0),"")</f>
        <v/>
      </c>
    </row>
    <row r="2508">
      <c r="A2508">
        <f>IF($Q2508="","",INDEX(상세표[부서],$Q2508)&amp;"")</f>
        <v/>
      </c>
      <c r="B2508">
        <f>IF($Q2508="","",INDEX(상세표[사번],$Q2508)&amp;"")</f>
        <v/>
      </c>
      <c r="C2508">
        <f>IF($Q2508="","",INDEX(상세표[성명],$Q2508)&amp;"")</f>
        <v/>
      </c>
      <c r="D2508">
        <f>IF($Q2508="","",INDEX(상세표[직위],$Q2508)&amp;"")</f>
        <v/>
      </c>
      <c r="E2508">
        <f>IF($Q2508="","",IF(ISNUMBER(INDEX(상세표[근무일자],$Q2508)),TEXT(INDEX(상세표[근무일자],$Q2508),"yyyy-mm-dd"),INDEX(상세표[근무일자],$Q2508)&amp;""))</f>
        <v/>
      </c>
      <c r="F2508">
        <f>IF($Q2508="","",IF(ISNUMBER(INDEX(상세표[시작],$Q2508)),TEXT(INDEX(상세표[시작],$Q2508),"yyyy-mm-dd hh:mm"),INDEX(상세표[시작],$Q2508)&amp;""))</f>
        <v/>
      </c>
      <c r="G2508">
        <f>IF($Q2508="","",IF(ISNUMBER(INDEX(상세표[블록종료],$Q2508)),TEXT(INDEX(상세표[블록종료],$Q2508),"yyyy-mm-dd hh:mm"),INDEX(상세표[블록종료],$Q2508)&amp;""))</f>
        <v/>
      </c>
      <c r="H2508">
        <f>IF($Q2508="","",CHOOSE(WEEKDAY(INDEX(상세표[시작],$Q2508)),"일","월","화","수","목","금","토"))</f>
        <v/>
      </c>
      <c r="I2508" s="20">
        <f>IF($Q2508="","",INDEX(상세표[연속 시간],$Q2508))</f>
        <v/>
      </c>
      <c r="J2508">
        <f>IF($Q2508="","",INDEX(상세표[기록 수],$Q2508))</f>
        <v/>
      </c>
      <c r="K2508" s="20">
        <f>IF($Q2508="","",INDEX(상세표[블록 06~07시],$Q2508))</f>
        <v/>
      </c>
      <c r="L2508" s="20">
        <f>IF($Q2508="","",INDEX(상세표[블록 07~18시],$Q2508))</f>
        <v/>
      </c>
      <c r="M2508" s="20">
        <f>IF($Q2508="","",INDEX(상세표[블록 18~22시],$Q2508))</f>
        <v/>
      </c>
      <c r="N2508" s="20">
        <f>IF($Q2508="","",INDEX(상세표[블록 22~06시],$Q2508))</f>
        <v/>
      </c>
      <c r="O2508">
        <f>IF($Q2508="","",INDEX(상세표[주말·휴일 포함],$Q2508)&amp;"")</f>
        <v/>
      </c>
      <c r="P2508">
        <f>IF($Q2508="","",INDEX(상세표[월 넘김 포함],$Q2508)&amp;"")</f>
        <v/>
      </c>
      <c r="Q2508" s="4">
        <f>IFERROR(MATCH(2503,상세표[연속순번],0),"")</f>
        <v/>
      </c>
    </row>
    <row r="2509">
      <c r="A2509">
        <f>IF($Q2509="","",INDEX(상세표[부서],$Q2509)&amp;"")</f>
        <v/>
      </c>
      <c r="B2509">
        <f>IF($Q2509="","",INDEX(상세표[사번],$Q2509)&amp;"")</f>
        <v/>
      </c>
      <c r="C2509">
        <f>IF($Q2509="","",INDEX(상세표[성명],$Q2509)&amp;"")</f>
        <v/>
      </c>
      <c r="D2509">
        <f>IF($Q2509="","",INDEX(상세표[직위],$Q2509)&amp;"")</f>
        <v/>
      </c>
      <c r="E2509">
        <f>IF($Q2509="","",IF(ISNUMBER(INDEX(상세표[근무일자],$Q2509)),TEXT(INDEX(상세표[근무일자],$Q2509),"yyyy-mm-dd"),INDEX(상세표[근무일자],$Q2509)&amp;""))</f>
        <v/>
      </c>
      <c r="F2509">
        <f>IF($Q2509="","",IF(ISNUMBER(INDEX(상세표[시작],$Q2509)),TEXT(INDEX(상세표[시작],$Q2509),"yyyy-mm-dd hh:mm"),INDEX(상세표[시작],$Q2509)&amp;""))</f>
        <v/>
      </c>
      <c r="G2509">
        <f>IF($Q2509="","",IF(ISNUMBER(INDEX(상세표[블록종료],$Q2509)),TEXT(INDEX(상세표[블록종료],$Q2509),"yyyy-mm-dd hh:mm"),INDEX(상세표[블록종료],$Q2509)&amp;""))</f>
        <v/>
      </c>
      <c r="H2509">
        <f>IF($Q2509="","",CHOOSE(WEEKDAY(INDEX(상세표[시작],$Q2509)),"일","월","화","수","목","금","토"))</f>
        <v/>
      </c>
      <c r="I2509" s="20">
        <f>IF($Q2509="","",INDEX(상세표[연속 시간],$Q2509))</f>
        <v/>
      </c>
      <c r="J2509">
        <f>IF($Q2509="","",INDEX(상세표[기록 수],$Q2509))</f>
        <v/>
      </c>
      <c r="K2509" s="20">
        <f>IF($Q2509="","",INDEX(상세표[블록 06~07시],$Q2509))</f>
        <v/>
      </c>
      <c r="L2509" s="20">
        <f>IF($Q2509="","",INDEX(상세표[블록 07~18시],$Q2509))</f>
        <v/>
      </c>
      <c r="M2509" s="20">
        <f>IF($Q2509="","",INDEX(상세표[블록 18~22시],$Q2509))</f>
        <v/>
      </c>
      <c r="N2509" s="20">
        <f>IF($Q2509="","",INDEX(상세표[블록 22~06시],$Q2509))</f>
        <v/>
      </c>
      <c r="O2509">
        <f>IF($Q2509="","",INDEX(상세표[주말·휴일 포함],$Q2509)&amp;"")</f>
        <v/>
      </c>
      <c r="P2509">
        <f>IF($Q2509="","",INDEX(상세표[월 넘김 포함],$Q2509)&amp;"")</f>
        <v/>
      </c>
      <c r="Q2509" s="4">
        <f>IFERROR(MATCH(2504,상세표[연속순번],0),"")</f>
        <v/>
      </c>
    </row>
    <row r="2510">
      <c r="A2510">
        <f>IF($Q2510="","",INDEX(상세표[부서],$Q2510)&amp;"")</f>
        <v/>
      </c>
      <c r="B2510">
        <f>IF($Q2510="","",INDEX(상세표[사번],$Q2510)&amp;"")</f>
        <v/>
      </c>
      <c r="C2510">
        <f>IF($Q2510="","",INDEX(상세표[성명],$Q2510)&amp;"")</f>
        <v/>
      </c>
      <c r="D2510">
        <f>IF($Q2510="","",INDEX(상세표[직위],$Q2510)&amp;"")</f>
        <v/>
      </c>
      <c r="E2510">
        <f>IF($Q2510="","",IF(ISNUMBER(INDEX(상세표[근무일자],$Q2510)),TEXT(INDEX(상세표[근무일자],$Q2510),"yyyy-mm-dd"),INDEX(상세표[근무일자],$Q2510)&amp;""))</f>
        <v/>
      </c>
      <c r="F2510">
        <f>IF($Q2510="","",IF(ISNUMBER(INDEX(상세표[시작],$Q2510)),TEXT(INDEX(상세표[시작],$Q2510),"yyyy-mm-dd hh:mm"),INDEX(상세표[시작],$Q2510)&amp;""))</f>
        <v/>
      </c>
      <c r="G2510">
        <f>IF($Q2510="","",IF(ISNUMBER(INDEX(상세표[블록종료],$Q2510)),TEXT(INDEX(상세표[블록종료],$Q2510),"yyyy-mm-dd hh:mm"),INDEX(상세표[블록종료],$Q2510)&amp;""))</f>
        <v/>
      </c>
      <c r="H2510">
        <f>IF($Q2510="","",CHOOSE(WEEKDAY(INDEX(상세표[시작],$Q2510)),"일","월","화","수","목","금","토"))</f>
        <v/>
      </c>
      <c r="I2510" s="20">
        <f>IF($Q2510="","",INDEX(상세표[연속 시간],$Q2510))</f>
        <v/>
      </c>
      <c r="J2510">
        <f>IF($Q2510="","",INDEX(상세표[기록 수],$Q2510))</f>
        <v/>
      </c>
      <c r="K2510" s="20">
        <f>IF($Q2510="","",INDEX(상세표[블록 06~07시],$Q2510))</f>
        <v/>
      </c>
      <c r="L2510" s="20">
        <f>IF($Q2510="","",INDEX(상세표[블록 07~18시],$Q2510))</f>
        <v/>
      </c>
      <c r="M2510" s="20">
        <f>IF($Q2510="","",INDEX(상세표[블록 18~22시],$Q2510))</f>
        <v/>
      </c>
      <c r="N2510" s="20">
        <f>IF($Q2510="","",INDEX(상세표[블록 22~06시],$Q2510))</f>
        <v/>
      </c>
      <c r="O2510">
        <f>IF($Q2510="","",INDEX(상세표[주말·휴일 포함],$Q2510)&amp;"")</f>
        <v/>
      </c>
      <c r="P2510">
        <f>IF($Q2510="","",INDEX(상세표[월 넘김 포함],$Q2510)&amp;"")</f>
        <v/>
      </c>
      <c r="Q2510" s="4">
        <f>IFERROR(MATCH(2505,상세표[연속순번],0),"")</f>
        <v/>
      </c>
    </row>
    <row r="2511">
      <c r="A2511">
        <f>IF($Q2511="","",INDEX(상세표[부서],$Q2511)&amp;"")</f>
        <v/>
      </c>
      <c r="B2511">
        <f>IF($Q2511="","",INDEX(상세표[사번],$Q2511)&amp;"")</f>
        <v/>
      </c>
      <c r="C2511">
        <f>IF($Q2511="","",INDEX(상세표[성명],$Q2511)&amp;"")</f>
        <v/>
      </c>
      <c r="D2511">
        <f>IF($Q2511="","",INDEX(상세표[직위],$Q2511)&amp;"")</f>
        <v/>
      </c>
      <c r="E2511">
        <f>IF($Q2511="","",IF(ISNUMBER(INDEX(상세표[근무일자],$Q2511)),TEXT(INDEX(상세표[근무일자],$Q2511),"yyyy-mm-dd"),INDEX(상세표[근무일자],$Q2511)&amp;""))</f>
        <v/>
      </c>
      <c r="F2511">
        <f>IF($Q2511="","",IF(ISNUMBER(INDEX(상세표[시작],$Q2511)),TEXT(INDEX(상세표[시작],$Q2511),"yyyy-mm-dd hh:mm"),INDEX(상세표[시작],$Q2511)&amp;""))</f>
        <v/>
      </c>
      <c r="G2511">
        <f>IF($Q2511="","",IF(ISNUMBER(INDEX(상세표[블록종료],$Q2511)),TEXT(INDEX(상세표[블록종료],$Q2511),"yyyy-mm-dd hh:mm"),INDEX(상세표[블록종료],$Q2511)&amp;""))</f>
        <v/>
      </c>
      <c r="H2511">
        <f>IF($Q2511="","",CHOOSE(WEEKDAY(INDEX(상세표[시작],$Q2511)),"일","월","화","수","목","금","토"))</f>
        <v/>
      </c>
      <c r="I2511" s="20">
        <f>IF($Q2511="","",INDEX(상세표[연속 시간],$Q2511))</f>
        <v/>
      </c>
      <c r="J2511">
        <f>IF($Q2511="","",INDEX(상세표[기록 수],$Q2511))</f>
        <v/>
      </c>
      <c r="K2511" s="20">
        <f>IF($Q2511="","",INDEX(상세표[블록 06~07시],$Q2511))</f>
        <v/>
      </c>
      <c r="L2511" s="20">
        <f>IF($Q2511="","",INDEX(상세표[블록 07~18시],$Q2511))</f>
        <v/>
      </c>
      <c r="M2511" s="20">
        <f>IF($Q2511="","",INDEX(상세표[블록 18~22시],$Q2511))</f>
        <v/>
      </c>
      <c r="N2511" s="20">
        <f>IF($Q2511="","",INDEX(상세표[블록 22~06시],$Q2511))</f>
        <v/>
      </c>
      <c r="O2511">
        <f>IF($Q2511="","",INDEX(상세표[주말·휴일 포함],$Q2511)&amp;"")</f>
        <v/>
      </c>
      <c r="P2511">
        <f>IF($Q2511="","",INDEX(상세표[월 넘김 포함],$Q2511)&amp;"")</f>
        <v/>
      </c>
      <c r="Q2511" s="4">
        <f>IFERROR(MATCH(2506,상세표[연속순번],0),"")</f>
        <v/>
      </c>
    </row>
    <row r="2512">
      <c r="A2512">
        <f>IF($Q2512="","",INDEX(상세표[부서],$Q2512)&amp;"")</f>
        <v/>
      </c>
      <c r="B2512">
        <f>IF($Q2512="","",INDEX(상세표[사번],$Q2512)&amp;"")</f>
        <v/>
      </c>
      <c r="C2512">
        <f>IF($Q2512="","",INDEX(상세표[성명],$Q2512)&amp;"")</f>
        <v/>
      </c>
      <c r="D2512">
        <f>IF($Q2512="","",INDEX(상세표[직위],$Q2512)&amp;"")</f>
        <v/>
      </c>
      <c r="E2512">
        <f>IF($Q2512="","",IF(ISNUMBER(INDEX(상세표[근무일자],$Q2512)),TEXT(INDEX(상세표[근무일자],$Q2512),"yyyy-mm-dd"),INDEX(상세표[근무일자],$Q2512)&amp;""))</f>
        <v/>
      </c>
      <c r="F2512">
        <f>IF($Q2512="","",IF(ISNUMBER(INDEX(상세표[시작],$Q2512)),TEXT(INDEX(상세표[시작],$Q2512),"yyyy-mm-dd hh:mm"),INDEX(상세표[시작],$Q2512)&amp;""))</f>
        <v/>
      </c>
      <c r="G2512">
        <f>IF($Q2512="","",IF(ISNUMBER(INDEX(상세표[블록종료],$Q2512)),TEXT(INDEX(상세표[블록종료],$Q2512),"yyyy-mm-dd hh:mm"),INDEX(상세표[블록종료],$Q2512)&amp;""))</f>
        <v/>
      </c>
      <c r="H2512">
        <f>IF($Q2512="","",CHOOSE(WEEKDAY(INDEX(상세표[시작],$Q2512)),"일","월","화","수","목","금","토"))</f>
        <v/>
      </c>
      <c r="I2512" s="20">
        <f>IF($Q2512="","",INDEX(상세표[연속 시간],$Q2512))</f>
        <v/>
      </c>
      <c r="J2512">
        <f>IF($Q2512="","",INDEX(상세표[기록 수],$Q2512))</f>
        <v/>
      </c>
      <c r="K2512" s="20">
        <f>IF($Q2512="","",INDEX(상세표[블록 06~07시],$Q2512))</f>
        <v/>
      </c>
      <c r="L2512" s="20">
        <f>IF($Q2512="","",INDEX(상세표[블록 07~18시],$Q2512))</f>
        <v/>
      </c>
      <c r="M2512" s="20">
        <f>IF($Q2512="","",INDEX(상세표[블록 18~22시],$Q2512))</f>
        <v/>
      </c>
      <c r="N2512" s="20">
        <f>IF($Q2512="","",INDEX(상세표[블록 22~06시],$Q2512))</f>
        <v/>
      </c>
      <c r="O2512">
        <f>IF($Q2512="","",INDEX(상세표[주말·휴일 포함],$Q2512)&amp;"")</f>
        <v/>
      </c>
      <c r="P2512">
        <f>IF($Q2512="","",INDEX(상세표[월 넘김 포함],$Q2512)&amp;"")</f>
        <v/>
      </c>
      <c r="Q2512" s="4">
        <f>IFERROR(MATCH(2507,상세표[연속순번],0),"")</f>
        <v/>
      </c>
    </row>
    <row r="2513">
      <c r="A2513">
        <f>IF($Q2513="","",INDEX(상세표[부서],$Q2513)&amp;"")</f>
        <v/>
      </c>
      <c r="B2513">
        <f>IF($Q2513="","",INDEX(상세표[사번],$Q2513)&amp;"")</f>
        <v/>
      </c>
      <c r="C2513">
        <f>IF($Q2513="","",INDEX(상세표[성명],$Q2513)&amp;"")</f>
        <v/>
      </c>
      <c r="D2513">
        <f>IF($Q2513="","",INDEX(상세표[직위],$Q2513)&amp;"")</f>
        <v/>
      </c>
      <c r="E2513">
        <f>IF($Q2513="","",IF(ISNUMBER(INDEX(상세표[근무일자],$Q2513)),TEXT(INDEX(상세표[근무일자],$Q2513),"yyyy-mm-dd"),INDEX(상세표[근무일자],$Q2513)&amp;""))</f>
        <v/>
      </c>
      <c r="F2513">
        <f>IF($Q2513="","",IF(ISNUMBER(INDEX(상세표[시작],$Q2513)),TEXT(INDEX(상세표[시작],$Q2513),"yyyy-mm-dd hh:mm"),INDEX(상세표[시작],$Q2513)&amp;""))</f>
        <v/>
      </c>
      <c r="G2513">
        <f>IF($Q2513="","",IF(ISNUMBER(INDEX(상세표[블록종료],$Q2513)),TEXT(INDEX(상세표[블록종료],$Q2513),"yyyy-mm-dd hh:mm"),INDEX(상세표[블록종료],$Q2513)&amp;""))</f>
        <v/>
      </c>
      <c r="H2513">
        <f>IF($Q2513="","",CHOOSE(WEEKDAY(INDEX(상세표[시작],$Q2513)),"일","월","화","수","목","금","토"))</f>
        <v/>
      </c>
      <c r="I2513" s="20">
        <f>IF($Q2513="","",INDEX(상세표[연속 시간],$Q2513))</f>
        <v/>
      </c>
      <c r="J2513">
        <f>IF($Q2513="","",INDEX(상세표[기록 수],$Q2513))</f>
        <v/>
      </c>
      <c r="K2513" s="20">
        <f>IF($Q2513="","",INDEX(상세표[블록 06~07시],$Q2513))</f>
        <v/>
      </c>
      <c r="L2513" s="20">
        <f>IF($Q2513="","",INDEX(상세표[블록 07~18시],$Q2513))</f>
        <v/>
      </c>
      <c r="M2513" s="20">
        <f>IF($Q2513="","",INDEX(상세표[블록 18~22시],$Q2513))</f>
        <v/>
      </c>
      <c r="N2513" s="20">
        <f>IF($Q2513="","",INDEX(상세표[블록 22~06시],$Q2513))</f>
        <v/>
      </c>
      <c r="O2513">
        <f>IF($Q2513="","",INDEX(상세표[주말·휴일 포함],$Q2513)&amp;"")</f>
        <v/>
      </c>
      <c r="P2513">
        <f>IF($Q2513="","",INDEX(상세표[월 넘김 포함],$Q2513)&amp;"")</f>
        <v/>
      </c>
      <c r="Q2513" s="4">
        <f>IFERROR(MATCH(2508,상세표[연속순번],0),"")</f>
        <v/>
      </c>
    </row>
    <row r="2514">
      <c r="A2514">
        <f>IF($Q2514="","",INDEX(상세표[부서],$Q2514)&amp;"")</f>
        <v/>
      </c>
      <c r="B2514">
        <f>IF($Q2514="","",INDEX(상세표[사번],$Q2514)&amp;"")</f>
        <v/>
      </c>
      <c r="C2514">
        <f>IF($Q2514="","",INDEX(상세표[성명],$Q2514)&amp;"")</f>
        <v/>
      </c>
      <c r="D2514">
        <f>IF($Q2514="","",INDEX(상세표[직위],$Q2514)&amp;"")</f>
        <v/>
      </c>
      <c r="E2514">
        <f>IF($Q2514="","",IF(ISNUMBER(INDEX(상세표[근무일자],$Q2514)),TEXT(INDEX(상세표[근무일자],$Q2514),"yyyy-mm-dd"),INDEX(상세표[근무일자],$Q2514)&amp;""))</f>
        <v/>
      </c>
      <c r="F2514">
        <f>IF($Q2514="","",IF(ISNUMBER(INDEX(상세표[시작],$Q2514)),TEXT(INDEX(상세표[시작],$Q2514),"yyyy-mm-dd hh:mm"),INDEX(상세표[시작],$Q2514)&amp;""))</f>
        <v/>
      </c>
      <c r="G2514">
        <f>IF($Q2514="","",IF(ISNUMBER(INDEX(상세표[블록종료],$Q2514)),TEXT(INDEX(상세표[블록종료],$Q2514),"yyyy-mm-dd hh:mm"),INDEX(상세표[블록종료],$Q2514)&amp;""))</f>
        <v/>
      </c>
      <c r="H2514">
        <f>IF($Q2514="","",CHOOSE(WEEKDAY(INDEX(상세표[시작],$Q2514)),"일","월","화","수","목","금","토"))</f>
        <v/>
      </c>
      <c r="I2514" s="20">
        <f>IF($Q2514="","",INDEX(상세표[연속 시간],$Q2514))</f>
        <v/>
      </c>
      <c r="J2514">
        <f>IF($Q2514="","",INDEX(상세표[기록 수],$Q2514))</f>
        <v/>
      </c>
      <c r="K2514" s="20">
        <f>IF($Q2514="","",INDEX(상세표[블록 06~07시],$Q2514))</f>
        <v/>
      </c>
      <c r="L2514" s="20">
        <f>IF($Q2514="","",INDEX(상세표[블록 07~18시],$Q2514))</f>
        <v/>
      </c>
      <c r="M2514" s="20">
        <f>IF($Q2514="","",INDEX(상세표[블록 18~22시],$Q2514))</f>
        <v/>
      </c>
      <c r="N2514" s="20">
        <f>IF($Q2514="","",INDEX(상세표[블록 22~06시],$Q2514))</f>
        <v/>
      </c>
      <c r="O2514">
        <f>IF($Q2514="","",INDEX(상세표[주말·휴일 포함],$Q2514)&amp;"")</f>
        <v/>
      </c>
      <c r="P2514">
        <f>IF($Q2514="","",INDEX(상세표[월 넘김 포함],$Q2514)&amp;"")</f>
        <v/>
      </c>
      <c r="Q2514" s="4">
        <f>IFERROR(MATCH(2509,상세표[연속순번],0),"")</f>
        <v/>
      </c>
    </row>
    <row r="2515">
      <c r="A2515">
        <f>IF($Q2515="","",INDEX(상세표[부서],$Q2515)&amp;"")</f>
        <v/>
      </c>
      <c r="B2515">
        <f>IF($Q2515="","",INDEX(상세표[사번],$Q2515)&amp;"")</f>
        <v/>
      </c>
      <c r="C2515">
        <f>IF($Q2515="","",INDEX(상세표[성명],$Q2515)&amp;"")</f>
        <v/>
      </c>
      <c r="D2515">
        <f>IF($Q2515="","",INDEX(상세표[직위],$Q2515)&amp;"")</f>
        <v/>
      </c>
      <c r="E2515">
        <f>IF($Q2515="","",IF(ISNUMBER(INDEX(상세표[근무일자],$Q2515)),TEXT(INDEX(상세표[근무일자],$Q2515),"yyyy-mm-dd"),INDEX(상세표[근무일자],$Q2515)&amp;""))</f>
        <v/>
      </c>
      <c r="F2515">
        <f>IF($Q2515="","",IF(ISNUMBER(INDEX(상세표[시작],$Q2515)),TEXT(INDEX(상세표[시작],$Q2515),"yyyy-mm-dd hh:mm"),INDEX(상세표[시작],$Q2515)&amp;""))</f>
        <v/>
      </c>
      <c r="G2515">
        <f>IF($Q2515="","",IF(ISNUMBER(INDEX(상세표[블록종료],$Q2515)),TEXT(INDEX(상세표[블록종료],$Q2515),"yyyy-mm-dd hh:mm"),INDEX(상세표[블록종료],$Q2515)&amp;""))</f>
        <v/>
      </c>
      <c r="H2515">
        <f>IF($Q2515="","",CHOOSE(WEEKDAY(INDEX(상세표[시작],$Q2515)),"일","월","화","수","목","금","토"))</f>
        <v/>
      </c>
      <c r="I2515" s="20">
        <f>IF($Q2515="","",INDEX(상세표[연속 시간],$Q2515))</f>
        <v/>
      </c>
      <c r="J2515">
        <f>IF($Q2515="","",INDEX(상세표[기록 수],$Q2515))</f>
        <v/>
      </c>
      <c r="K2515" s="20">
        <f>IF($Q2515="","",INDEX(상세표[블록 06~07시],$Q2515))</f>
        <v/>
      </c>
      <c r="L2515" s="20">
        <f>IF($Q2515="","",INDEX(상세표[블록 07~18시],$Q2515))</f>
        <v/>
      </c>
      <c r="M2515" s="20">
        <f>IF($Q2515="","",INDEX(상세표[블록 18~22시],$Q2515))</f>
        <v/>
      </c>
      <c r="N2515" s="20">
        <f>IF($Q2515="","",INDEX(상세표[블록 22~06시],$Q2515))</f>
        <v/>
      </c>
      <c r="O2515">
        <f>IF($Q2515="","",INDEX(상세표[주말·휴일 포함],$Q2515)&amp;"")</f>
        <v/>
      </c>
      <c r="P2515">
        <f>IF($Q2515="","",INDEX(상세표[월 넘김 포함],$Q2515)&amp;"")</f>
        <v/>
      </c>
      <c r="Q2515" s="4">
        <f>IFERROR(MATCH(2510,상세표[연속순번],0),"")</f>
        <v/>
      </c>
    </row>
    <row r="2516">
      <c r="A2516">
        <f>IF($Q2516="","",INDEX(상세표[부서],$Q2516)&amp;"")</f>
        <v/>
      </c>
      <c r="B2516">
        <f>IF($Q2516="","",INDEX(상세표[사번],$Q2516)&amp;"")</f>
        <v/>
      </c>
      <c r="C2516">
        <f>IF($Q2516="","",INDEX(상세표[성명],$Q2516)&amp;"")</f>
        <v/>
      </c>
      <c r="D2516">
        <f>IF($Q2516="","",INDEX(상세표[직위],$Q2516)&amp;"")</f>
        <v/>
      </c>
      <c r="E2516">
        <f>IF($Q2516="","",IF(ISNUMBER(INDEX(상세표[근무일자],$Q2516)),TEXT(INDEX(상세표[근무일자],$Q2516),"yyyy-mm-dd"),INDEX(상세표[근무일자],$Q2516)&amp;""))</f>
        <v/>
      </c>
      <c r="F2516">
        <f>IF($Q2516="","",IF(ISNUMBER(INDEX(상세표[시작],$Q2516)),TEXT(INDEX(상세표[시작],$Q2516),"yyyy-mm-dd hh:mm"),INDEX(상세표[시작],$Q2516)&amp;""))</f>
        <v/>
      </c>
      <c r="G2516">
        <f>IF($Q2516="","",IF(ISNUMBER(INDEX(상세표[블록종료],$Q2516)),TEXT(INDEX(상세표[블록종료],$Q2516),"yyyy-mm-dd hh:mm"),INDEX(상세표[블록종료],$Q2516)&amp;""))</f>
        <v/>
      </c>
      <c r="H2516">
        <f>IF($Q2516="","",CHOOSE(WEEKDAY(INDEX(상세표[시작],$Q2516)),"일","월","화","수","목","금","토"))</f>
        <v/>
      </c>
      <c r="I2516" s="20">
        <f>IF($Q2516="","",INDEX(상세표[연속 시간],$Q2516))</f>
        <v/>
      </c>
      <c r="J2516">
        <f>IF($Q2516="","",INDEX(상세표[기록 수],$Q2516))</f>
        <v/>
      </c>
      <c r="K2516" s="20">
        <f>IF($Q2516="","",INDEX(상세표[블록 06~07시],$Q2516))</f>
        <v/>
      </c>
      <c r="L2516" s="20">
        <f>IF($Q2516="","",INDEX(상세표[블록 07~18시],$Q2516))</f>
        <v/>
      </c>
      <c r="M2516" s="20">
        <f>IF($Q2516="","",INDEX(상세표[블록 18~22시],$Q2516))</f>
        <v/>
      </c>
      <c r="N2516" s="20">
        <f>IF($Q2516="","",INDEX(상세표[블록 22~06시],$Q2516))</f>
        <v/>
      </c>
      <c r="O2516">
        <f>IF($Q2516="","",INDEX(상세표[주말·휴일 포함],$Q2516)&amp;"")</f>
        <v/>
      </c>
      <c r="P2516">
        <f>IF($Q2516="","",INDEX(상세표[월 넘김 포함],$Q2516)&amp;"")</f>
        <v/>
      </c>
      <c r="Q2516" s="4">
        <f>IFERROR(MATCH(2511,상세표[연속순번],0),"")</f>
        <v/>
      </c>
    </row>
    <row r="2517">
      <c r="A2517">
        <f>IF($Q2517="","",INDEX(상세표[부서],$Q2517)&amp;"")</f>
        <v/>
      </c>
      <c r="B2517">
        <f>IF($Q2517="","",INDEX(상세표[사번],$Q2517)&amp;"")</f>
        <v/>
      </c>
      <c r="C2517">
        <f>IF($Q2517="","",INDEX(상세표[성명],$Q2517)&amp;"")</f>
        <v/>
      </c>
      <c r="D2517">
        <f>IF($Q2517="","",INDEX(상세표[직위],$Q2517)&amp;"")</f>
        <v/>
      </c>
      <c r="E2517">
        <f>IF($Q2517="","",IF(ISNUMBER(INDEX(상세표[근무일자],$Q2517)),TEXT(INDEX(상세표[근무일자],$Q2517),"yyyy-mm-dd"),INDEX(상세표[근무일자],$Q2517)&amp;""))</f>
        <v/>
      </c>
      <c r="F2517">
        <f>IF($Q2517="","",IF(ISNUMBER(INDEX(상세표[시작],$Q2517)),TEXT(INDEX(상세표[시작],$Q2517),"yyyy-mm-dd hh:mm"),INDEX(상세표[시작],$Q2517)&amp;""))</f>
        <v/>
      </c>
      <c r="G2517">
        <f>IF($Q2517="","",IF(ISNUMBER(INDEX(상세표[블록종료],$Q2517)),TEXT(INDEX(상세표[블록종료],$Q2517),"yyyy-mm-dd hh:mm"),INDEX(상세표[블록종료],$Q2517)&amp;""))</f>
        <v/>
      </c>
      <c r="H2517">
        <f>IF($Q2517="","",CHOOSE(WEEKDAY(INDEX(상세표[시작],$Q2517)),"일","월","화","수","목","금","토"))</f>
        <v/>
      </c>
      <c r="I2517" s="20">
        <f>IF($Q2517="","",INDEX(상세표[연속 시간],$Q2517))</f>
        <v/>
      </c>
      <c r="J2517">
        <f>IF($Q2517="","",INDEX(상세표[기록 수],$Q2517))</f>
        <v/>
      </c>
      <c r="K2517" s="20">
        <f>IF($Q2517="","",INDEX(상세표[블록 06~07시],$Q2517))</f>
        <v/>
      </c>
      <c r="L2517" s="20">
        <f>IF($Q2517="","",INDEX(상세표[블록 07~18시],$Q2517))</f>
        <v/>
      </c>
      <c r="M2517" s="20">
        <f>IF($Q2517="","",INDEX(상세표[블록 18~22시],$Q2517))</f>
        <v/>
      </c>
      <c r="N2517" s="20">
        <f>IF($Q2517="","",INDEX(상세표[블록 22~06시],$Q2517))</f>
        <v/>
      </c>
      <c r="O2517">
        <f>IF($Q2517="","",INDEX(상세표[주말·휴일 포함],$Q2517)&amp;"")</f>
        <v/>
      </c>
      <c r="P2517">
        <f>IF($Q2517="","",INDEX(상세표[월 넘김 포함],$Q2517)&amp;"")</f>
        <v/>
      </c>
      <c r="Q2517" s="4">
        <f>IFERROR(MATCH(2512,상세표[연속순번],0),"")</f>
        <v/>
      </c>
    </row>
    <row r="2518">
      <c r="A2518">
        <f>IF($Q2518="","",INDEX(상세표[부서],$Q2518)&amp;"")</f>
        <v/>
      </c>
      <c r="B2518">
        <f>IF($Q2518="","",INDEX(상세표[사번],$Q2518)&amp;"")</f>
        <v/>
      </c>
      <c r="C2518">
        <f>IF($Q2518="","",INDEX(상세표[성명],$Q2518)&amp;"")</f>
        <v/>
      </c>
      <c r="D2518">
        <f>IF($Q2518="","",INDEX(상세표[직위],$Q2518)&amp;"")</f>
        <v/>
      </c>
      <c r="E2518">
        <f>IF($Q2518="","",IF(ISNUMBER(INDEX(상세표[근무일자],$Q2518)),TEXT(INDEX(상세표[근무일자],$Q2518),"yyyy-mm-dd"),INDEX(상세표[근무일자],$Q2518)&amp;""))</f>
        <v/>
      </c>
      <c r="F2518">
        <f>IF($Q2518="","",IF(ISNUMBER(INDEX(상세표[시작],$Q2518)),TEXT(INDEX(상세표[시작],$Q2518),"yyyy-mm-dd hh:mm"),INDEX(상세표[시작],$Q2518)&amp;""))</f>
        <v/>
      </c>
      <c r="G2518">
        <f>IF($Q2518="","",IF(ISNUMBER(INDEX(상세표[블록종료],$Q2518)),TEXT(INDEX(상세표[블록종료],$Q2518),"yyyy-mm-dd hh:mm"),INDEX(상세표[블록종료],$Q2518)&amp;""))</f>
        <v/>
      </c>
      <c r="H2518">
        <f>IF($Q2518="","",CHOOSE(WEEKDAY(INDEX(상세표[시작],$Q2518)),"일","월","화","수","목","금","토"))</f>
        <v/>
      </c>
      <c r="I2518" s="20">
        <f>IF($Q2518="","",INDEX(상세표[연속 시간],$Q2518))</f>
        <v/>
      </c>
      <c r="J2518">
        <f>IF($Q2518="","",INDEX(상세표[기록 수],$Q2518))</f>
        <v/>
      </c>
      <c r="K2518" s="20">
        <f>IF($Q2518="","",INDEX(상세표[블록 06~07시],$Q2518))</f>
        <v/>
      </c>
      <c r="L2518" s="20">
        <f>IF($Q2518="","",INDEX(상세표[블록 07~18시],$Q2518))</f>
        <v/>
      </c>
      <c r="M2518" s="20">
        <f>IF($Q2518="","",INDEX(상세표[블록 18~22시],$Q2518))</f>
        <v/>
      </c>
      <c r="N2518" s="20">
        <f>IF($Q2518="","",INDEX(상세표[블록 22~06시],$Q2518))</f>
        <v/>
      </c>
      <c r="O2518">
        <f>IF($Q2518="","",INDEX(상세표[주말·휴일 포함],$Q2518)&amp;"")</f>
        <v/>
      </c>
      <c r="P2518">
        <f>IF($Q2518="","",INDEX(상세표[월 넘김 포함],$Q2518)&amp;"")</f>
        <v/>
      </c>
      <c r="Q2518" s="4">
        <f>IFERROR(MATCH(2513,상세표[연속순번],0),"")</f>
        <v/>
      </c>
    </row>
    <row r="2519">
      <c r="A2519">
        <f>IF($Q2519="","",INDEX(상세표[부서],$Q2519)&amp;"")</f>
        <v/>
      </c>
      <c r="B2519">
        <f>IF($Q2519="","",INDEX(상세표[사번],$Q2519)&amp;"")</f>
        <v/>
      </c>
      <c r="C2519">
        <f>IF($Q2519="","",INDEX(상세표[성명],$Q2519)&amp;"")</f>
        <v/>
      </c>
      <c r="D2519">
        <f>IF($Q2519="","",INDEX(상세표[직위],$Q2519)&amp;"")</f>
        <v/>
      </c>
      <c r="E2519">
        <f>IF($Q2519="","",IF(ISNUMBER(INDEX(상세표[근무일자],$Q2519)),TEXT(INDEX(상세표[근무일자],$Q2519),"yyyy-mm-dd"),INDEX(상세표[근무일자],$Q2519)&amp;""))</f>
        <v/>
      </c>
      <c r="F2519">
        <f>IF($Q2519="","",IF(ISNUMBER(INDEX(상세표[시작],$Q2519)),TEXT(INDEX(상세표[시작],$Q2519),"yyyy-mm-dd hh:mm"),INDEX(상세표[시작],$Q2519)&amp;""))</f>
        <v/>
      </c>
      <c r="G2519">
        <f>IF($Q2519="","",IF(ISNUMBER(INDEX(상세표[블록종료],$Q2519)),TEXT(INDEX(상세표[블록종료],$Q2519),"yyyy-mm-dd hh:mm"),INDEX(상세표[블록종료],$Q2519)&amp;""))</f>
        <v/>
      </c>
      <c r="H2519">
        <f>IF($Q2519="","",CHOOSE(WEEKDAY(INDEX(상세표[시작],$Q2519)),"일","월","화","수","목","금","토"))</f>
        <v/>
      </c>
      <c r="I2519" s="20">
        <f>IF($Q2519="","",INDEX(상세표[연속 시간],$Q2519))</f>
        <v/>
      </c>
      <c r="J2519">
        <f>IF($Q2519="","",INDEX(상세표[기록 수],$Q2519))</f>
        <v/>
      </c>
      <c r="K2519" s="20">
        <f>IF($Q2519="","",INDEX(상세표[블록 06~07시],$Q2519))</f>
        <v/>
      </c>
      <c r="L2519" s="20">
        <f>IF($Q2519="","",INDEX(상세표[블록 07~18시],$Q2519))</f>
        <v/>
      </c>
      <c r="M2519" s="20">
        <f>IF($Q2519="","",INDEX(상세표[블록 18~22시],$Q2519))</f>
        <v/>
      </c>
      <c r="N2519" s="20">
        <f>IF($Q2519="","",INDEX(상세표[블록 22~06시],$Q2519))</f>
        <v/>
      </c>
      <c r="O2519">
        <f>IF($Q2519="","",INDEX(상세표[주말·휴일 포함],$Q2519)&amp;"")</f>
        <v/>
      </c>
      <c r="P2519">
        <f>IF($Q2519="","",INDEX(상세표[월 넘김 포함],$Q2519)&amp;"")</f>
        <v/>
      </c>
      <c r="Q2519" s="4">
        <f>IFERROR(MATCH(2514,상세표[연속순번],0),"")</f>
        <v/>
      </c>
    </row>
    <row r="2520">
      <c r="A2520">
        <f>IF($Q2520="","",INDEX(상세표[부서],$Q2520)&amp;"")</f>
        <v/>
      </c>
      <c r="B2520">
        <f>IF($Q2520="","",INDEX(상세표[사번],$Q2520)&amp;"")</f>
        <v/>
      </c>
      <c r="C2520">
        <f>IF($Q2520="","",INDEX(상세표[성명],$Q2520)&amp;"")</f>
        <v/>
      </c>
      <c r="D2520">
        <f>IF($Q2520="","",INDEX(상세표[직위],$Q2520)&amp;"")</f>
        <v/>
      </c>
      <c r="E2520">
        <f>IF($Q2520="","",IF(ISNUMBER(INDEX(상세표[근무일자],$Q2520)),TEXT(INDEX(상세표[근무일자],$Q2520),"yyyy-mm-dd"),INDEX(상세표[근무일자],$Q2520)&amp;""))</f>
        <v/>
      </c>
      <c r="F2520">
        <f>IF($Q2520="","",IF(ISNUMBER(INDEX(상세표[시작],$Q2520)),TEXT(INDEX(상세표[시작],$Q2520),"yyyy-mm-dd hh:mm"),INDEX(상세표[시작],$Q2520)&amp;""))</f>
        <v/>
      </c>
      <c r="G2520">
        <f>IF($Q2520="","",IF(ISNUMBER(INDEX(상세표[블록종료],$Q2520)),TEXT(INDEX(상세표[블록종료],$Q2520),"yyyy-mm-dd hh:mm"),INDEX(상세표[블록종료],$Q2520)&amp;""))</f>
        <v/>
      </c>
      <c r="H2520">
        <f>IF($Q2520="","",CHOOSE(WEEKDAY(INDEX(상세표[시작],$Q2520)),"일","월","화","수","목","금","토"))</f>
        <v/>
      </c>
      <c r="I2520" s="20">
        <f>IF($Q2520="","",INDEX(상세표[연속 시간],$Q2520))</f>
        <v/>
      </c>
      <c r="J2520">
        <f>IF($Q2520="","",INDEX(상세표[기록 수],$Q2520))</f>
        <v/>
      </c>
      <c r="K2520" s="20">
        <f>IF($Q2520="","",INDEX(상세표[블록 06~07시],$Q2520))</f>
        <v/>
      </c>
      <c r="L2520" s="20">
        <f>IF($Q2520="","",INDEX(상세표[블록 07~18시],$Q2520))</f>
        <v/>
      </c>
      <c r="M2520" s="20">
        <f>IF($Q2520="","",INDEX(상세표[블록 18~22시],$Q2520))</f>
        <v/>
      </c>
      <c r="N2520" s="20">
        <f>IF($Q2520="","",INDEX(상세표[블록 22~06시],$Q2520))</f>
        <v/>
      </c>
      <c r="O2520">
        <f>IF($Q2520="","",INDEX(상세표[주말·휴일 포함],$Q2520)&amp;"")</f>
        <v/>
      </c>
      <c r="P2520">
        <f>IF($Q2520="","",INDEX(상세표[월 넘김 포함],$Q2520)&amp;"")</f>
        <v/>
      </c>
      <c r="Q2520" s="4">
        <f>IFERROR(MATCH(2515,상세표[연속순번],0),"")</f>
        <v/>
      </c>
    </row>
    <row r="2521">
      <c r="A2521">
        <f>IF($Q2521="","",INDEX(상세표[부서],$Q2521)&amp;"")</f>
        <v/>
      </c>
      <c r="B2521">
        <f>IF($Q2521="","",INDEX(상세표[사번],$Q2521)&amp;"")</f>
        <v/>
      </c>
      <c r="C2521">
        <f>IF($Q2521="","",INDEX(상세표[성명],$Q2521)&amp;"")</f>
        <v/>
      </c>
      <c r="D2521">
        <f>IF($Q2521="","",INDEX(상세표[직위],$Q2521)&amp;"")</f>
        <v/>
      </c>
      <c r="E2521">
        <f>IF($Q2521="","",IF(ISNUMBER(INDEX(상세표[근무일자],$Q2521)),TEXT(INDEX(상세표[근무일자],$Q2521),"yyyy-mm-dd"),INDEX(상세표[근무일자],$Q2521)&amp;""))</f>
        <v/>
      </c>
      <c r="F2521">
        <f>IF($Q2521="","",IF(ISNUMBER(INDEX(상세표[시작],$Q2521)),TEXT(INDEX(상세표[시작],$Q2521),"yyyy-mm-dd hh:mm"),INDEX(상세표[시작],$Q2521)&amp;""))</f>
        <v/>
      </c>
      <c r="G2521">
        <f>IF($Q2521="","",IF(ISNUMBER(INDEX(상세표[블록종료],$Q2521)),TEXT(INDEX(상세표[블록종료],$Q2521),"yyyy-mm-dd hh:mm"),INDEX(상세표[블록종료],$Q2521)&amp;""))</f>
        <v/>
      </c>
      <c r="H2521">
        <f>IF($Q2521="","",CHOOSE(WEEKDAY(INDEX(상세표[시작],$Q2521)),"일","월","화","수","목","금","토"))</f>
        <v/>
      </c>
      <c r="I2521" s="20">
        <f>IF($Q2521="","",INDEX(상세표[연속 시간],$Q2521))</f>
        <v/>
      </c>
      <c r="J2521">
        <f>IF($Q2521="","",INDEX(상세표[기록 수],$Q2521))</f>
        <v/>
      </c>
      <c r="K2521" s="20">
        <f>IF($Q2521="","",INDEX(상세표[블록 06~07시],$Q2521))</f>
        <v/>
      </c>
      <c r="L2521" s="20">
        <f>IF($Q2521="","",INDEX(상세표[블록 07~18시],$Q2521))</f>
        <v/>
      </c>
      <c r="M2521" s="20">
        <f>IF($Q2521="","",INDEX(상세표[블록 18~22시],$Q2521))</f>
        <v/>
      </c>
      <c r="N2521" s="20">
        <f>IF($Q2521="","",INDEX(상세표[블록 22~06시],$Q2521))</f>
        <v/>
      </c>
      <c r="O2521">
        <f>IF($Q2521="","",INDEX(상세표[주말·휴일 포함],$Q2521)&amp;"")</f>
        <v/>
      </c>
      <c r="P2521">
        <f>IF($Q2521="","",INDEX(상세표[월 넘김 포함],$Q2521)&amp;"")</f>
        <v/>
      </c>
      <c r="Q2521" s="4">
        <f>IFERROR(MATCH(2516,상세표[연속순번],0),"")</f>
        <v/>
      </c>
    </row>
    <row r="2522">
      <c r="A2522">
        <f>IF($Q2522="","",INDEX(상세표[부서],$Q2522)&amp;"")</f>
        <v/>
      </c>
      <c r="B2522">
        <f>IF($Q2522="","",INDEX(상세표[사번],$Q2522)&amp;"")</f>
        <v/>
      </c>
      <c r="C2522">
        <f>IF($Q2522="","",INDEX(상세표[성명],$Q2522)&amp;"")</f>
        <v/>
      </c>
      <c r="D2522">
        <f>IF($Q2522="","",INDEX(상세표[직위],$Q2522)&amp;"")</f>
        <v/>
      </c>
      <c r="E2522">
        <f>IF($Q2522="","",IF(ISNUMBER(INDEX(상세표[근무일자],$Q2522)),TEXT(INDEX(상세표[근무일자],$Q2522),"yyyy-mm-dd"),INDEX(상세표[근무일자],$Q2522)&amp;""))</f>
        <v/>
      </c>
      <c r="F2522">
        <f>IF($Q2522="","",IF(ISNUMBER(INDEX(상세표[시작],$Q2522)),TEXT(INDEX(상세표[시작],$Q2522),"yyyy-mm-dd hh:mm"),INDEX(상세표[시작],$Q2522)&amp;""))</f>
        <v/>
      </c>
      <c r="G2522">
        <f>IF($Q2522="","",IF(ISNUMBER(INDEX(상세표[블록종료],$Q2522)),TEXT(INDEX(상세표[블록종료],$Q2522),"yyyy-mm-dd hh:mm"),INDEX(상세표[블록종료],$Q2522)&amp;""))</f>
        <v/>
      </c>
      <c r="H2522">
        <f>IF($Q2522="","",CHOOSE(WEEKDAY(INDEX(상세표[시작],$Q2522)),"일","월","화","수","목","금","토"))</f>
        <v/>
      </c>
      <c r="I2522" s="20">
        <f>IF($Q2522="","",INDEX(상세표[연속 시간],$Q2522))</f>
        <v/>
      </c>
      <c r="J2522">
        <f>IF($Q2522="","",INDEX(상세표[기록 수],$Q2522))</f>
        <v/>
      </c>
      <c r="K2522" s="20">
        <f>IF($Q2522="","",INDEX(상세표[블록 06~07시],$Q2522))</f>
        <v/>
      </c>
      <c r="L2522" s="20">
        <f>IF($Q2522="","",INDEX(상세표[블록 07~18시],$Q2522))</f>
        <v/>
      </c>
      <c r="M2522" s="20">
        <f>IF($Q2522="","",INDEX(상세표[블록 18~22시],$Q2522))</f>
        <v/>
      </c>
      <c r="N2522" s="20">
        <f>IF($Q2522="","",INDEX(상세표[블록 22~06시],$Q2522))</f>
        <v/>
      </c>
      <c r="O2522">
        <f>IF($Q2522="","",INDEX(상세표[주말·휴일 포함],$Q2522)&amp;"")</f>
        <v/>
      </c>
      <c r="P2522">
        <f>IF($Q2522="","",INDEX(상세표[월 넘김 포함],$Q2522)&amp;"")</f>
        <v/>
      </c>
      <c r="Q2522" s="4">
        <f>IFERROR(MATCH(2517,상세표[연속순번],0),"")</f>
        <v/>
      </c>
    </row>
    <row r="2523">
      <c r="A2523">
        <f>IF($Q2523="","",INDEX(상세표[부서],$Q2523)&amp;"")</f>
        <v/>
      </c>
      <c r="B2523">
        <f>IF($Q2523="","",INDEX(상세표[사번],$Q2523)&amp;"")</f>
        <v/>
      </c>
      <c r="C2523">
        <f>IF($Q2523="","",INDEX(상세표[성명],$Q2523)&amp;"")</f>
        <v/>
      </c>
      <c r="D2523">
        <f>IF($Q2523="","",INDEX(상세표[직위],$Q2523)&amp;"")</f>
        <v/>
      </c>
      <c r="E2523">
        <f>IF($Q2523="","",IF(ISNUMBER(INDEX(상세표[근무일자],$Q2523)),TEXT(INDEX(상세표[근무일자],$Q2523),"yyyy-mm-dd"),INDEX(상세표[근무일자],$Q2523)&amp;""))</f>
        <v/>
      </c>
      <c r="F2523">
        <f>IF($Q2523="","",IF(ISNUMBER(INDEX(상세표[시작],$Q2523)),TEXT(INDEX(상세표[시작],$Q2523),"yyyy-mm-dd hh:mm"),INDEX(상세표[시작],$Q2523)&amp;""))</f>
        <v/>
      </c>
      <c r="G2523">
        <f>IF($Q2523="","",IF(ISNUMBER(INDEX(상세표[블록종료],$Q2523)),TEXT(INDEX(상세표[블록종료],$Q2523),"yyyy-mm-dd hh:mm"),INDEX(상세표[블록종료],$Q2523)&amp;""))</f>
        <v/>
      </c>
      <c r="H2523">
        <f>IF($Q2523="","",CHOOSE(WEEKDAY(INDEX(상세표[시작],$Q2523)),"일","월","화","수","목","금","토"))</f>
        <v/>
      </c>
      <c r="I2523" s="20">
        <f>IF($Q2523="","",INDEX(상세표[연속 시간],$Q2523))</f>
        <v/>
      </c>
      <c r="J2523">
        <f>IF($Q2523="","",INDEX(상세표[기록 수],$Q2523))</f>
        <v/>
      </c>
      <c r="K2523" s="20">
        <f>IF($Q2523="","",INDEX(상세표[블록 06~07시],$Q2523))</f>
        <v/>
      </c>
      <c r="L2523" s="20">
        <f>IF($Q2523="","",INDEX(상세표[블록 07~18시],$Q2523))</f>
        <v/>
      </c>
      <c r="M2523" s="20">
        <f>IF($Q2523="","",INDEX(상세표[블록 18~22시],$Q2523))</f>
        <v/>
      </c>
      <c r="N2523" s="20">
        <f>IF($Q2523="","",INDEX(상세표[블록 22~06시],$Q2523))</f>
        <v/>
      </c>
      <c r="O2523">
        <f>IF($Q2523="","",INDEX(상세표[주말·휴일 포함],$Q2523)&amp;"")</f>
        <v/>
      </c>
      <c r="P2523">
        <f>IF($Q2523="","",INDEX(상세표[월 넘김 포함],$Q2523)&amp;"")</f>
        <v/>
      </c>
      <c r="Q2523" s="4">
        <f>IFERROR(MATCH(2518,상세표[연속순번],0),"")</f>
        <v/>
      </c>
    </row>
    <row r="2524">
      <c r="A2524">
        <f>IF($Q2524="","",INDEX(상세표[부서],$Q2524)&amp;"")</f>
        <v/>
      </c>
      <c r="B2524">
        <f>IF($Q2524="","",INDEX(상세표[사번],$Q2524)&amp;"")</f>
        <v/>
      </c>
      <c r="C2524">
        <f>IF($Q2524="","",INDEX(상세표[성명],$Q2524)&amp;"")</f>
        <v/>
      </c>
      <c r="D2524">
        <f>IF($Q2524="","",INDEX(상세표[직위],$Q2524)&amp;"")</f>
        <v/>
      </c>
      <c r="E2524">
        <f>IF($Q2524="","",IF(ISNUMBER(INDEX(상세표[근무일자],$Q2524)),TEXT(INDEX(상세표[근무일자],$Q2524),"yyyy-mm-dd"),INDEX(상세표[근무일자],$Q2524)&amp;""))</f>
        <v/>
      </c>
      <c r="F2524">
        <f>IF($Q2524="","",IF(ISNUMBER(INDEX(상세표[시작],$Q2524)),TEXT(INDEX(상세표[시작],$Q2524),"yyyy-mm-dd hh:mm"),INDEX(상세표[시작],$Q2524)&amp;""))</f>
        <v/>
      </c>
      <c r="G2524">
        <f>IF($Q2524="","",IF(ISNUMBER(INDEX(상세표[블록종료],$Q2524)),TEXT(INDEX(상세표[블록종료],$Q2524),"yyyy-mm-dd hh:mm"),INDEX(상세표[블록종료],$Q2524)&amp;""))</f>
        <v/>
      </c>
      <c r="H2524">
        <f>IF($Q2524="","",CHOOSE(WEEKDAY(INDEX(상세표[시작],$Q2524)),"일","월","화","수","목","금","토"))</f>
        <v/>
      </c>
      <c r="I2524" s="20">
        <f>IF($Q2524="","",INDEX(상세표[연속 시간],$Q2524))</f>
        <v/>
      </c>
      <c r="J2524">
        <f>IF($Q2524="","",INDEX(상세표[기록 수],$Q2524))</f>
        <v/>
      </c>
      <c r="K2524" s="20">
        <f>IF($Q2524="","",INDEX(상세표[블록 06~07시],$Q2524))</f>
        <v/>
      </c>
      <c r="L2524" s="20">
        <f>IF($Q2524="","",INDEX(상세표[블록 07~18시],$Q2524))</f>
        <v/>
      </c>
      <c r="M2524" s="20">
        <f>IF($Q2524="","",INDEX(상세표[블록 18~22시],$Q2524))</f>
        <v/>
      </c>
      <c r="N2524" s="20">
        <f>IF($Q2524="","",INDEX(상세표[블록 22~06시],$Q2524))</f>
        <v/>
      </c>
      <c r="O2524">
        <f>IF($Q2524="","",INDEX(상세표[주말·휴일 포함],$Q2524)&amp;"")</f>
        <v/>
      </c>
      <c r="P2524">
        <f>IF($Q2524="","",INDEX(상세표[월 넘김 포함],$Q2524)&amp;"")</f>
        <v/>
      </c>
      <c r="Q2524" s="4">
        <f>IFERROR(MATCH(2519,상세표[연속순번],0),"")</f>
        <v/>
      </c>
    </row>
    <row r="2525">
      <c r="A2525">
        <f>IF($Q2525="","",INDEX(상세표[부서],$Q2525)&amp;"")</f>
        <v/>
      </c>
      <c r="B2525">
        <f>IF($Q2525="","",INDEX(상세표[사번],$Q2525)&amp;"")</f>
        <v/>
      </c>
      <c r="C2525">
        <f>IF($Q2525="","",INDEX(상세표[성명],$Q2525)&amp;"")</f>
        <v/>
      </c>
      <c r="D2525">
        <f>IF($Q2525="","",INDEX(상세표[직위],$Q2525)&amp;"")</f>
        <v/>
      </c>
      <c r="E2525">
        <f>IF($Q2525="","",IF(ISNUMBER(INDEX(상세표[근무일자],$Q2525)),TEXT(INDEX(상세표[근무일자],$Q2525),"yyyy-mm-dd"),INDEX(상세표[근무일자],$Q2525)&amp;""))</f>
        <v/>
      </c>
      <c r="F2525">
        <f>IF($Q2525="","",IF(ISNUMBER(INDEX(상세표[시작],$Q2525)),TEXT(INDEX(상세표[시작],$Q2525),"yyyy-mm-dd hh:mm"),INDEX(상세표[시작],$Q2525)&amp;""))</f>
        <v/>
      </c>
      <c r="G2525">
        <f>IF($Q2525="","",IF(ISNUMBER(INDEX(상세표[블록종료],$Q2525)),TEXT(INDEX(상세표[블록종료],$Q2525),"yyyy-mm-dd hh:mm"),INDEX(상세표[블록종료],$Q2525)&amp;""))</f>
        <v/>
      </c>
      <c r="H2525">
        <f>IF($Q2525="","",CHOOSE(WEEKDAY(INDEX(상세표[시작],$Q2525)),"일","월","화","수","목","금","토"))</f>
        <v/>
      </c>
      <c r="I2525" s="20">
        <f>IF($Q2525="","",INDEX(상세표[연속 시간],$Q2525))</f>
        <v/>
      </c>
      <c r="J2525">
        <f>IF($Q2525="","",INDEX(상세표[기록 수],$Q2525))</f>
        <v/>
      </c>
      <c r="K2525" s="20">
        <f>IF($Q2525="","",INDEX(상세표[블록 06~07시],$Q2525))</f>
        <v/>
      </c>
      <c r="L2525" s="20">
        <f>IF($Q2525="","",INDEX(상세표[블록 07~18시],$Q2525))</f>
        <v/>
      </c>
      <c r="M2525" s="20">
        <f>IF($Q2525="","",INDEX(상세표[블록 18~22시],$Q2525))</f>
        <v/>
      </c>
      <c r="N2525" s="20">
        <f>IF($Q2525="","",INDEX(상세표[블록 22~06시],$Q2525))</f>
        <v/>
      </c>
      <c r="O2525">
        <f>IF($Q2525="","",INDEX(상세표[주말·휴일 포함],$Q2525)&amp;"")</f>
        <v/>
      </c>
      <c r="P2525">
        <f>IF($Q2525="","",INDEX(상세표[월 넘김 포함],$Q2525)&amp;"")</f>
        <v/>
      </c>
      <c r="Q2525" s="4">
        <f>IFERROR(MATCH(2520,상세표[연속순번],0),"")</f>
        <v/>
      </c>
    </row>
    <row r="2526">
      <c r="A2526">
        <f>IF($Q2526="","",INDEX(상세표[부서],$Q2526)&amp;"")</f>
        <v/>
      </c>
      <c r="B2526">
        <f>IF($Q2526="","",INDEX(상세표[사번],$Q2526)&amp;"")</f>
        <v/>
      </c>
      <c r="C2526">
        <f>IF($Q2526="","",INDEX(상세표[성명],$Q2526)&amp;"")</f>
        <v/>
      </c>
      <c r="D2526">
        <f>IF($Q2526="","",INDEX(상세표[직위],$Q2526)&amp;"")</f>
        <v/>
      </c>
      <c r="E2526">
        <f>IF($Q2526="","",IF(ISNUMBER(INDEX(상세표[근무일자],$Q2526)),TEXT(INDEX(상세표[근무일자],$Q2526),"yyyy-mm-dd"),INDEX(상세표[근무일자],$Q2526)&amp;""))</f>
        <v/>
      </c>
      <c r="F2526">
        <f>IF($Q2526="","",IF(ISNUMBER(INDEX(상세표[시작],$Q2526)),TEXT(INDEX(상세표[시작],$Q2526),"yyyy-mm-dd hh:mm"),INDEX(상세표[시작],$Q2526)&amp;""))</f>
        <v/>
      </c>
      <c r="G2526">
        <f>IF($Q2526="","",IF(ISNUMBER(INDEX(상세표[블록종료],$Q2526)),TEXT(INDEX(상세표[블록종료],$Q2526),"yyyy-mm-dd hh:mm"),INDEX(상세표[블록종료],$Q2526)&amp;""))</f>
        <v/>
      </c>
      <c r="H2526">
        <f>IF($Q2526="","",CHOOSE(WEEKDAY(INDEX(상세표[시작],$Q2526)),"일","월","화","수","목","금","토"))</f>
        <v/>
      </c>
      <c r="I2526" s="20">
        <f>IF($Q2526="","",INDEX(상세표[연속 시간],$Q2526))</f>
        <v/>
      </c>
      <c r="J2526">
        <f>IF($Q2526="","",INDEX(상세표[기록 수],$Q2526))</f>
        <v/>
      </c>
      <c r="K2526" s="20">
        <f>IF($Q2526="","",INDEX(상세표[블록 06~07시],$Q2526))</f>
        <v/>
      </c>
      <c r="L2526" s="20">
        <f>IF($Q2526="","",INDEX(상세표[블록 07~18시],$Q2526))</f>
        <v/>
      </c>
      <c r="M2526" s="20">
        <f>IF($Q2526="","",INDEX(상세표[블록 18~22시],$Q2526))</f>
        <v/>
      </c>
      <c r="N2526" s="20">
        <f>IF($Q2526="","",INDEX(상세표[블록 22~06시],$Q2526))</f>
        <v/>
      </c>
      <c r="O2526">
        <f>IF($Q2526="","",INDEX(상세표[주말·휴일 포함],$Q2526)&amp;"")</f>
        <v/>
      </c>
      <c r="P2526">
        <f>IF($Q2526="","",INDEX(상세표[월 넘김 포함],$Q2526)&amp;"")</f>
        <v/>
      </c>
      <c r="Q2526" s="4">
        <f>IFERROR(MATCH(2521,상세표[연속순번],0),"")</f>
        <v/>
      </c>
    </row>
    <row r="2527">
      <c r="A2527">
        <f>IF($Q2527="","",INDEX(상세표[부서],$Q2527)&amp;"")</f>
        <v/>
      </c>
      <c r="B2527">
        <f>IF($Q2527="","",INDEX(상세표[사번],$Q2527)&amp;"")</f>
        <v/>
      </c>
      <c r="C2527">
        <f>IF($Q2527="","",INDEX(상세표[성명],$Q2527)&amp;"")</f>
        <v/>
      </c>
      <c r="D2527">
        <f>IF($Q2527="","",INDEX(상세표[직위],$Q2527)&amp;"")</f>
        <v/>
      </c>
      <c r="E2527">
        <f>IF($Q2527="","",IF(ISNUMBER(INDEX(상세표[근무일자],$Q2527)),TEXT(INDEX(상세표[근무일자],$Q2527),"yyyy-mm-dd"),INDEX(상세표[근무일자],$Q2527)&amp;""))</f>
        <v/>
      </c>
      <c r="F2527">
        <f>IF($Q2527="","",IF(ISNUMBER(INDEX(상세표[시작],$Q2527)),TEXT(INDEX(상세표[시작],$Q2527),"yyyy-mm-dd hh:mm"),INDEX(상세표[시작],$Q2527)&amp;""))</f>
        <v/>
      </c>
      <c r="G2527">
        <f>IF($Q2527="","",IF(ISNUMBER(INDEX(상세표[블록종료],$Q2527)),TEXT(INDEX(상세표[블록종료],$Q2527),"yyyy-mm-dd hh:mm"),INDEX(상세표[블록종료],$Q2527)&amp;""))</f>
        <v/>
      </c>
      <c r="H2527">
        <f>IF($Q2527="","",CHOOSE(WEEKDAY(INDEX(상세표[시작],$Q2527)),"일","월","화","수","목","금","토"))</f>
        <v/>
      </c>
      <c r="I2527" s="20">
        <f>IF($Q2527="","",INDEX(상세표[연속 시간],$Q2527))</f>
        <v/>
      </c>
      <c r="J2527">
        <f>IF($Q2527="","",INDEX(상세표[기록 수],$Q2527))</f>
        <v/>
      </c>
      <c r="K2527" s="20">
        <f>IF($Q2527="","",INDEX(상세표[블록 06~07시],$Q2527))</f>
        <v/>
      </c>
      <c r="L2527" s="20">
        <f>IF($Q2527="","",INDEX(상세표[블록 07~18시],$Q2527))</f>
        <v/>
      </c>
      <c r="M2527" s="20">
        <f>IF($Q2527="","",INDEX(상세표[블록 18~22시],$Q2527))</f>
        <v/>
      </c>
      <c r="N2527" s="20">
        <f>IF($Q2527="","",INDEX(상세표[블록 22~06시],$Q2527))</f>
        <v/>
      </c>
      <c r="O2527">
        <f>IF($Q2527="","",INDEX(상세표[주말·휴일 포함],$Q2527)&amp;"")</f>
        <v/>
      </c>
      <c r="P2527">
        <f>IF($Q2527="","",INDEX(상세표[월 넘김 포함],$Q2527)&amp;"")</f>
        <v/>
      </c>
      <c r="Q2527" s="4">
        <f>IFERROR(MATCH(2522,상세표[연속순번],0),"")</f>
        <v/>
      </c>
    </row>
    <row r="2528">
      <c r="A2528">
        <f>IF($Q2528="","",INDEX(상세표[부서],$Q2528)&amp;"")</f>
        <v/>
      </c>
      <c r="B2528">
        <f>IF($Q2528="","",INDEX(상세표[사번],$Q2528)&amp;"")</f>
        <v/>
      </c>
      <c r="C2528">
        <f>IF($Q2528="","",INDEX(상세표[성명],$Q2528)&amp;"")</f>
        <v/>
      </c>
      <c r="D2528">
        <f>IF($Q2528="","",INDEX(상세표[직위],$Q2528)&amp;"")</f>
        <v/>
      </c>
      <c r="E2528">
        <f>IF($Q2528="","",IF(ISNUMBER(INDEX(상세표[근무일자],$Q2528)),TEXT(INDEX(상세표[근무일자],$Q2528),"yyyy-mm-dd"),INDEX(상세표[근무일자],$Q2528)&amp;""))</f>
        <v/>
      </c>
      <c r="F2528">
        <f>IF($Q2528="","",IF(ISNUMBER(INDEX(상세표[시작],$Q2528)),TEXT(INDEX(상세표[시작],$Q2528),"yyyy-mm-dd hh:mm"),INDEX(상세표[시작],$Q2528)&amp;""))</f>
        <v/>
      </c>
      <c r="G2528">
        <f>IF($Q2528="","",IF(ISNUMBER(INDEX(상세표[블록종료],$Q2528)),TEXT(INDEX(상세표[블록종료],$Q2528),"yyyy-mm-dd hh:mm"),INDEX(상세표[블록종료],$Q2528)&amp;""))</f>
        <v/>
      </c>
      <c r="H2528">
        <f>IF($Q2528="","",CHOOSE(WEEKDAY(INDEX(상세표[시작],$Q2528)),"일","월","화","수","목","금","토"))</f>
        <v/>
      </c>
      <c r="I2528" s="20">
        <f>IF($Q2528="","",INDEX(상세표[연속 시간],$Q2528))</f>
        <v/>
      </c>
      <c r="J2528">
        <f>IF($Q2528="","",INDEX(상세표[기록 수],$Q2528))</f>
        <v/>
      </c>
      <c r="K2528" s="20">
        <f>IF($Q2528="","",INDEX(상세표[블록 06~07시],$Q2528))</f>
        <v/>
      </c>
      <c r="L2528" s="20">
        <f>IF($Q2528="","",INDEX(상세표[블록 07~18시],$Q2528))</f>
        <v/>
      </c>
      <c r="M2528" s="20">
        <f>IF($Q2528="","",INDEX(상세표[블록 18~22시],$Q2528))</f>
        <v/>
      </c>
      <c r="N2528" s="20">
        <f>IF($Q2528="","",INDEX(상세표[블록 22~06시],$Q2528))</f>
        <v/>
      </c>
      <c r="O2528">
        <f>IF($Q2528="","",INDEX(상세표[주말·휴일 포함],$Q2528)&amp;"")</f>
        <v/>
      </c>
      <c r="P2528">
        <f>IF($Q2528="","",INDEX(상세표[월 넘김 포함],$Q2528)&amp;"")</f>
        <v/>
      </c>
      <c r="Q2528" s="4">
        <f>IFERROR(MATCH(2523,상세표[연속순번],0),"")</f>
        <v/>
      </c>
    </row>
    <row r="2529">
      <c r="A2529">
        <f>IF($Q2529="","",INDEX(상세표[부서],$Q2529)&amp;"")</f>
        <v/>
      </c>
      <c r="B2529">
        <f>IF($Q2529="","",INDEX(상세표[사번],$Q2529)&amp;"")</f>
        <v/>
      </c>
      <c r="C2529">
        <f>IF($Q2529="","",INDEX(상세표[성명],$Q2529)&amp;"")</f>
        <v/>
      </c>
      <c r="D2529">
        <f>IF($Q2529="","",INDEX(상세표[직위],$Q2529)&amp;"")</f>
        <v/>
      </c>
      <c r="E2529">
        <f>IF($Q2529="","",IF(ISNUMBER(INDEX(상세표[근무일자],$Q2529)),TEXT(INDEX(상세표[근무일자],$Q2529),"yyyy-mm-dd"),INDEX(상세표[근무일자],$Q2529)&amp;""))</f>
        <v/>
      </c>
      <c r="F2529">
        <f>IF($Q2529="","",IF(ISNUMBER(INDEX(상세표[시작],$Q2529)),TEXT(INDEX(상세표[시작],$Q2529),"yyyy-mm-dd hh:mm"),INDEX(상세표[시작],$Q2529)&amp;""))</f>
        <v/>
      </c>
      <c r="G2529">
        <f>IF($Q2529="","",IF(ISNUMBER(INDEX(상세표[블록종료],$Q2529)),TEXT(INDEX(상세표[블록종료],$Q2529),"yyyy-mm-dd hh:mm"),INDEX(상세표[블록종료],$Q2529)&amp;""))</f>
        <v/>
      </c>
      <c r="H2529">
        <f>IF($Q2529="","",CHOOSE(WEEKDAY(INDEX(상세표[시작],$Q2529)),"일","월","화","수","목","금","토"))</f>
        <v/>
      </c>
      <c r="I2529" s="20">
        <f>IF($Q2529="","",INDEX(상세표[연속 시간],$Q2529))</f>
        <v/>
      </c>
      <c r="J2529">
        <f>IF($Q2529="","",INDEX(상세표[기록 수],$Q2529))</f>
        <v/>
      </c>
      <c r="K2529" s="20">
        <f>IF($Q2529="","",INDEX(상세표[블록 06~07시],$Q2529))</f>
        <v/>
      </c>
      <c r="L2529" s="20">
        <f>IF($Q2529="","",INDEX(상세표[블록 07~18시],$Q2529))</f>
        <v/>
      </c>
      <c r="M2529" s="20">
        <f>IF($Q2529="","",INDEX(상세표[블록 18~22시],$Q2529))</f>
        <v/>
      </c>
      <c r="N2529" s="20">
        <f>IF($Q2529="","",INDEX(상세표[블록 22~06시],$Q2529))</f>
        <v/>
      </c>
      <c r="O2529">
        <f>IF($Q2529="","",INDEX(상세표[주말·휴일 포함],$Q2529)&amp;"")</f>
        <v/>
      </c>
      <c r="P2529">
        <f>IF($Q2529="","",INDEX(상세표[월 넘김 포함],$Q2529)&amp;"")</f>
        <v/>
      </c>
      <c r="Q2529" s="4">
        <f>IFERROR(MATCH(2524,상세표[연속순번],0),"")</f>
        <v/>
      </c>
    </row>
    <row r="2530">
      <c r="A2530">
        <f>IF($Q2530="","",INDEX(상세표[부서],$Q2530)&amp;"")</f>
        <v/>
      </c>
      <c r="B2530">
        <f>IF($Q2530="","",INDEX(상세표[사번],$Q2530)&amp;"")</f>
        <v/>
      </c>
      <c r="C2530">
        <f>IF($Q2530="","",INDEX(상세표[성명],$Q2530)&amp;"")</f>
        <v/>
      </c>
      <c r="D2530">
        <f>IF($Q2530="","",INDEX(상세표[직위],$Q2530)&amp;"")</f>
        <v/>
      </c>
      <c r="E2530">
        <f>IF($Q2530="","",IF(ISNUMBER(INDEX(상세표[근무일자],$Q2530)),TEXT(INDEX(상세표[근무일자],$Q2530),"yyyy-mm-dd"),INDEX(상세표[근무일자],$Q2530)&amp;""))</f>
        <v/>
      </c>
      <c r="F2530">
        <f>IF($Q2530="","",IF(ISNUMBER(INDEX(상세표[시작],$Q2530)),TEXT(INDEX(상세표[시작],$Q2530),"yyyy-mm-dd hh:mm"),INDEX(상세표[시작],$Q2530)&amp;""))</f>
        <v/>
      </c>
      <c r="G2530">
        <f>IF($Q2530="","",IF(ISNUMBER(INDEX(상세표[블록종료],$Q2530)),TEXT(INDEX(상세표[블록종료],$Q2530),"yyyy-mm-dd hh:mm"),INDEX(상세표[블록종료],$Q2530)&amp;""))</f>
        <v/>
      </c>
      <c r="H2530">
        <f>IF($Q2530="","",CHOOSE(WEEKDAY(INDEX(상세표[시작],$Q2530)),"일","월","화","수","목","금","토"))</f>
        <v/>
      </c>
      <c r="I2530" s="20">
        <f>IF($Q2530="","",INDEX(상세표[연속 시간],$Q2530))</f>
        <v/>
      </c>
      <c r="J2530">
        <f>IF($Q2530="","",INDEX(상세표[기록 수],$Q2530))</f>
        <v/>
      </c>
      <c r="K2530" s="20">
        <f>IF($Q2530="","",INDEX(상세표[블록 06~07시],$Q2530))</f>
        <v/>
      </c>
      <c r="L2530" s="20">
        <f>IF($Q2530="","",INDEX(상세표[블록 07~18시],$Q2530))</f>
        <v/>
      </c>
      <c r="M2530" s="20">
        <f>IF($Q2530="","",INDEX(상세표[블록 18~22시],$Q2530))</f>
        <v/>
      </c>
      <c r="N2530" s="20">
        <f>IF($Q2530="","",INDEX(상세표[블록 22~06시],$Q2530))</f>
        <v/>
      </c>
      <c r="O2530">
        <f>IF($Q2530="","",INDEX(상세표[주말·휴일 포함],$Q2530)&amp;"")</f>
        <v/>
      </c>
      <c r="P2530">
        <f>IF($Q2530="","",INDEX(상세표[월 넘김 포함],$Q2530)&amp;"")</f>
        <v/>
      </c>
      <c r="Q2530" s="4">
        <f>IFERROR(MATCH(2525,상세표[연속순번],0),"")</f>
        <v/>
      </c>
    </row>
    <row r="2531">
      <c r="A2531">
        <f>IF($Q2531="","",INDEX(상세표[부서],$Q2531)&amp;"")</f>
        <v/>
      </c>
      <c r="B2531">
        <f>IF($Q2531="","",INDEX(상세표[사번],$Q2531)&amp;"")</f>
        <v/>
      </c>
      <c r="C2531">
        <f>IF($Q2531="","",INDEX(상세표[성명],$Q2531)&amp;"")</f>
        <v/>
      </c>
      <c r="D2531">
        <f>IF($Q2531="","",INDEX(상세표[직위],$Q2531)&amp;"")</f>
        <v/>
      </c>
      <c r="E2531">
        <f>IF($Q2531="","",IF(ISNUMBER(INDEX(상세표[근무일자],$Q2531)),TEXT(INDEX(상세표[근무일자],$Q2531),"yyyy-mm-dd"),INDEX(상세표[근무일자],$Q2531)&amp;""))</f>
        <v/>
      </c>
      <c r="F2531">
        <f>IF($Q2531="","",IF(ISNUMBER(INDEX(상세표[시작],$Q2531)),TEXT(INDEX(상세표[시작],$Q2531),"yyyy-mm-dd hh:mm"),INDEX(상세표[시작],$Q2531)&amp;""))</f>
        <v/>
      </c>
      <c r="G2531">
        <f>IF($Q2531="","",IF(ISNUMBER(INDEX(상세표[블록종료],$Q2531)),TEXT(INDEX(상세표[블록종료],$Q2531),"yyyy-mm-dd hh:mm"),INDEX(상세표[블록종료],$Q2531)&amp;""))</f>
        <v/>
      </c>
      <c r="H2531">
        <f>IF($Q2531="","",CHOOSE(WEEKDAY(INDEX(상세표[시작],$Q2531)),"일","월","화","수","목","금","토"))</f>
        <v/>
      </c>
      <c r="I2531" s="20">
        <f>IF($Q2531="","",INDEX(상세표[연속 시간],$Q2531))</f>
        <v/>
      </c>
      <c r="J2531">
        <f>IF($Q2531="","",INDEX(상세표[기록 수],$Q2531))</f>
        <v/>
      </c>
      <c r="K2531" s="20">
        <f>IF($Q2531="","",INDEX(상세표[블록 06~07시],$Q2531))</f>
        <v/>
      </c>
      <c r="L2531" s="20">
        <f>IF($Q2531="","",INDEX(상세표[블록 07~18시],$Q2531))</f>
        <v/>
      </c>
      <c r="M2531" s="20">
        <f>IF($Q2531="","",INDEX(상세표[블록 18~22시],$Q2531))</f>
        <v/>
      </c>
      <c r="N2531" s="20">
        <f>IF($Q2531="","",INDEX(상세표[블록 22~06시],$Q2531))</f>
        <v/>
      </c>
      <c r="O2531">
        <f>IF($Q2531="","",INDEX(상세표[주말·휴일 포함],$Q2531)&amp;"")</f>
        <v/>
      </c>
      <c r="P2531">
        <f>IF($Q2531="","",INDEX(상세표[월 넘김 포함],$Q2531)&amp;"")</f>
        <v/>
      </c>
      <c r="Q2531" s="4">
        <f>IFERROR(MATCH(2526,상세표[연속순번],0),"")</f>
        <v/>
      </c>
    </row>
    <row r="2532">
      <c r="A2532">
        <f>IF($Q2532="","",INDEX(상세표[부서],$Q2532)&amp;"")</f>
        <v/>
      </c>
      <c r="B2532">
        <f>IF($Q2532="","",INDEX(상세표[사번],$Q2532)&amp;"")</f>
        <v/>
      </c>
      <c r="C2532">
        <f>IF($Q2532="","",INDEX(상세표[성명],$Q2532)&amp;"")</f>
        <v/>
      </c>
      <c r="D2532">
        <f>IF($Q2532="","",INDEX(상세표[직위],$Q2532)&amp;"")</f>
        <v/>
      </c>
      <c r="E2532">
        <f>IF($Q2532="","",IF(ISNUMBER(INDEX(상세표[근무일자],$Q2532)),TEXT(INDEX(상세표[근무일자],$Q2532),"yyyy-mm-dd"),INDEX(상세표[근무일자],$Q2532)&amp;""))</f>
        <v/>
      </c>
      <c r="F2532">
        <f>IF($Q2532="","",IF(ISNUMBER(INDEX(상세표[시작],$Q2532)),TEXT(INDEX(상세표[시작],$Q2532),"yyyy-mm-dd hh:mm"),INDEX(상세표[시작],$Q2532)&amp;""))</f>
        <v/>
      </c>
      <c r="G2532">
        <f>IF($Q2532="","",IF(ISNUMBER(INDEX(상세표[블록종료],$Q2532)),TEXT(INDEX(상세표[블록종료],$Q2532),"yyyy-mm-dd hh:mm"),INDEX(상세표[블록종료],$Q2532)&amp;""))</f>
        <v/>
      </c>
      <c r="H2532">
        <f>IF($Q2532="","",CHOOSE(WEEKDAY(INDEX(상세표[시작],$Q2532)),"일","월","화","수","목","금","토"))</f>
        <v/>
      </c>
      <c r="I2532" s="20">
        <f>IF($Q2532="","",INDEX(상세표[연속 시간],$Q2532))</f>
        <v/>
      </c>
      <c r="J2532">
        <f>IF($Q2532="","",INDEX(상세표[기록 수],$Q2532))</f>
        <v/>
      </c>
      <c r="K2532" s="20">
        <f>IF($Q2532="","",INDEX(상세표[블록 06~07시],$Q2532))</f>
        <v/>
      </c>
      <c r="L2532" s="20">
        <f>IF($Q2532="","",INDEX(상세표[블록 07~18시],$Q2532))</f>
        <v/>
      </c>
      <c r="M2532" s="20">
        <f>IF($Q2532="","",INDEX(상세표[블록 18~22시],$Q2532))</f>
        <v/>
      </c>
      <c r="N2532" s="20">
        <f>IF($Q2532="","",INDEX(상세표[블록 22~06시],$Q2532))</f>
        <v/>
      </c>
      <c r="O2532">
        <f>IF($Q2532="","",INDEX(상세표[주말·휴일 포함],$Q2532)&amp;"")</f>
        <v/>
      </c>
      <c r="P2532">
        <f>IF($Q2532="","",INDEX(상세표[월 넘김 포함],$Q2532)&amp;"")</f>
        <v/>
      </c>
      <c r="Q2532" s="4">
        <f>IFERROR(MATCH(2527,상세표[연속순번],0),"")</f>
        <v/>
      </c>
    </row>
    <row r="2533">
      <c r="A2533">
        <f>IF($Q2533="","",INDEX(상세표[부서],$Q2533)&amp;"")</f>
        <v/>
      </c>
      <c r="B2533">
        <f>IF($Q2533="","",INDEX(상세표[사번],$Q2533)&amp;"")</f>
        <v/>
      </c>
      <c r="C2533">
        <f>IF($Q2533="","",INDEX(상세표[성명],$Q2533)&amp;"")</f>
        <v/>
      </c>
      <c r="D2533">
        <f>IF($Q2533="","",INDEX(상세표[직위],$Q2533)&amp;"")</f>
        <v/>
      </c>
      <c r="E2533">
        <f>IF($Q2533="","",IF(ISNUMBER(INDEX(상세표[근무일자],$Q2533)),TEXT(INDEX(상세표[근무일자],$Q2533),"yyyy-mm-dd"),INDEX(상세표[근무일자],$Q2533)&amp;""))</f>
        <v/>
      </c>
      <c r="F2533">
        <f>IF($Q2533="","",IF(ISNUMBER(INDEX(상세표[시작],$Q2533)),TEXT(INDEX(상세표[시작],$Q2533),"yyyy-mm-dd hh:mm"),INDEX(상세표[시작],$Q2533)&amp;""))</f>
        <v/>
      </c>
      <c r="G2533">
        <f>IF($Q2533="","",IF(ISNUMBER(INDEX(상세표[블록종료],$Q2533)),TEXT(INDEX(상세표[블록종료],$Q2533),"yyyy-mm-dd hh:mm"),INDEX(상세표[블록종료],$Q2533)&amp;""))</f>
        <v/>
      </c>
      <c r="H2533">
        <f>IF($Q2533="","",CHOOSE(WEEKDAY(INDEX(상세표[시작],$Q2533)),"일","월","화","수","목","금","토"))</f>
        <v/>
      </c>
      <c r="I2533" s="20">
        <f>IF($Q2533="","",INDEX(상세표[연속 시간],$Q2533))</f>
        <v/>
      </c>
      <c r="J2533">
        <f>IF($Q2533="","",INDEX(상세표[기록 수],$Q2533))</f>
        <v/>
      </c>
      <c r="K2533" s="20">
        <f>IF($Q2533="","",INDEX(상세표[블록 06~07시],$Q2533))</f>
        <v/>
      </c>
      <c r="L2533" s="20">
        <f>IF($Q2533="","",INDEX(상세표[블록 07~18시],$Q2533))</f>
        <v/>
      </c>
      <c r="M2533" s="20">
        <f>IF($Q2533="","",INDEX(상세표[블록 18~22시],$Q2533))</f>
        <v/>
      </c>
      <c r="N2533" s="20">
        <f>IF($Q2533="","",INDEX(상세표[블록 22~06시],$Q2533))</f>
        <v/>
      </c>
      <c r="O2533">
        <f>IF($Q2533="","",INDEX(상세표[주말·휴일 포함],$Q2533)&amp;"")</f>
        <v/>
      </c>
      <c r="P2533">
        <f>IF($Q2533="","",INDEX(상세표[월 넘김 포함],$Q2533)&amp;"")</f>
        <v/>
      </c>
      <c r="Q2533" s="4">
        <f>IFERROR(MATCH(2528,상세표[연속순번],0),"")</f>
        <v/>
      </c>
    </row>
    <row r="2534">
      <c r="A2534">
        <f>IF($Q2534="","",INDEX(상세표[부서],$Q2534)&amp;"")</f>
        <v/>
      </c>
      <c r="B2534">
        <f>IF($Q2534="","",INDEX(상세표[사번],$Q2534)&amp;"")</f>
        <v/>
      </c>
      <c r="C2534">
        <f>IF($Q2534="","",INDEX(상세표[성명],$Q2534)&amp;"")</f>
        <v/>
      </c>
      <c r="D2534">
        <f>IF($Q2534="","",INDEX(상세표[직위],$Q2534)&amp;"")</f>
        <v/>
      </c>
      <c r="E2534">
        <f>IF($Q2534="","",IF(ISNUMBER(INDEX(상세표[근무일자],$Q2534)),TEXT(INDEX(상세표[근무일자],$Q2534),"yyyy-mm-dd"),INDEX(상세표[근무일자],$Q2534)&amp;""))</f>
        <v/>
      </c>
      <c r="F2534">
        <f>IF($Q2534="","",IF(ISNUMBER(INDEX(상세표[시작],$Q2534)),TEXT(INDEX(상세표[시작],$Q2534),"yyyy-mm-dd hh:mm"),INDEX(상세표[시작],$Q2534)&amp;""))</f>
        <v/>
      </c>
      <c r="G2534">
        <f>IF($Q2534="","",IF(ISNUMBER(INDEX(상세표[블록종료],$Q2534)),TEXT(INDEX(상세표[블록종료],$Q2534),"yyyy-mm-dd hh:mm"),INDEX(상세표[블록종료],$Q2534)&amp;""))</f>
        <v/>
      </c>
      <c r="H2534">
        <f>IF($Q2534="","",CHOOSE(WEEKDAY(INDEX(상세표[시작],$Q2534)),"일","월","화","수","목","금","토"))</f>
        <v/>
      </c>
      <c r="I2534" s="20">
        <f>IF($Q2534="","",INDEX(상세표[연속 시간],$Q2534))</f>
        <v/>
      </c>
      <c r="J2534">
        <f>IF($Q2534="","",INDEX(상세표[기록 수],$Q2534))</f>
        <v/>
      </c>
      <c r="K2534" s="20">
        <f>IF($Q2534="","",INDEX(상세표[블록 06~07시],$Q2534))</f>
        <v/>
      </c>
      <c r="L2534" s="20">
        <f>IF($Q2534="","",INDEX(상세표[블록 07~18시],$Q2534))</f>
        <v/>
      </c>
      <c r="M2534" s="20">
        <f>IF($Q2534="","",INDEX(상세표[블록 18~22시],$Q2534))</f>
        <v/>
      </c>
      <c r="N2534" s="20">
        <f>IF($Q2534="","",INDEX(상세표[블록 22~06시],$Q2534))</f>
        <v/>
      </c>
      <c r="O2534">
        <f>IF($Q2534="","",INDEX(상세표[주말·휴일 포함],$Q2534)&amp;"")</f>
        <v/>
      </c>
      <c r="P2534">
        <f>IF($Q2534="","",INDEX(상세표[월 넘김 포함],$Q2534)&amp;"")</f>
        <v/>
      </c>
      <c r="Q2534" s="4">
        <f>IFERROR(MATCH(2529,상세표[연속순번],0),"")</f>
        <v/>
      </c>
    </row>
    <row r="2535">
      <c r="A2535">
        <f>IF($Q2535="","",INDEX(상세표[부서],$Q2535)&amp;"")</f>
        <v/>
      </c>
      <c r="B2535">
        <f>IF($Q2535="","",INDEX(상세표[사번],$Q2535)&amp;"")</f>
        <v/>
      </c>
      <c r="C2535">
        <f>IF($Q2535="","",INDEX(상세표[성명],$Q2535)&amp;"")</f>
        <v/>
      </c>
      <c r="D2535">
        <f>IF($Q2535="","",INDEX(상세표[직위],$Q2535)&amp;"")</f>
        <v/>
      </c>
      <c r="E2535">
        <f>IF($Q2535="","",IF(ISNUMBER(INDEX(상세표[근무일자],$Q2535)),TEXT(INDEX(상세표[근무일자],$Q2535),"yyyy-mm-dd"),INDEX(상세표[근무일자],$Q2535)&amp;""))</f>
        <v/>
      </c>
      <c r="F2535">
        <f>IF($Q2535="","",IF(ISNUMBER(INDEX(상세표[시작],$Q2535)),TEXT(INDEX(상세표[시작],$Q2535),"yyyy-mm-dd hh:mm"),INDEX(상세표[시작],$Q2535)&amp;""))</f>
        <v/>
      </c>
      <c r="G2535">
        <f>IF($Q2535="","",IF(ISNUMBER(INDEX(상세표[블록종료],$Q2535)),TEXT(INDEX(상세표[블록종료],$Q2535),"yyyy-mm-dd hh:mm"),INDEX(상세표[블록종료],$Q2535)&amp;""))</f>
        <v/>
      </c>
      <c r="H2535">
        <f>IF($Q2535="","",CHOOSE(WEEKDAY(INDEX(상세표[시작],$Q2535)),"일","월","화","수","목","금","토"))</f>
        <v/>
      </c>
      <c r="I2535" s="20">
        <f>IF($Q2535="","",INDEX(상세표[연속 시간],$Q2535))</f>
        <v/>
      </c>
      <c r="J2535">
        <f>IF($Q2535="","",INDEX(상세표[기록 수],$Q2535))</f>
        <v/>
      </c>
      <c r="K2535" s="20">
        <f>IF($Q2535="","",INDEX(상세표[블록 06~07시],$Q2535))</f>
        <v/>
      </c>
      <c r="L2535" s="20">
        <f>IF($Q2535="","",INDEX(상세표[블록 07~18시],$Q2535))</f>
        <v/>
      </c>
      <c r="M2535" s="20">
        <f>IF($Q2535="","",INDEX(상세표[블록 18~22시],$Q2535))</f>
        <v/>
      </c>
      <c r="N2535" s="20">
        <f>IF($Q2535="","",INDEX(상세표[블록 22~06시],$Q2535))</f>
        <v/>
      </c>
      <c r="O2535">
        <f>IF($Q2535="","",INDEX(상세표[주말·휴일 포함],$Q2535)&amp;"")</f>
        <v/>
      </c>
      <c r="P2535">
        <f>IF($Q2535="","",INDEX(상세표[월 넘김 포함],$Q2535)&amp;"")</f>
        <v/>
      </c>
      <c r="Q2535" s="4">
        <f>IFERROR(MATCH(2530,상세표[연속순번],0),"")</f>
        <v/>
      </c>
    </row>
    <row r="2536">
      <c r="A2536">
        <f>IF($Q2536="","",INDEX(상세표[부서],$Q2536)&amp;"")</f>
        <v/>
      </c>
      <c r="B2536">
        <f>IF($Q2536="","",INDEX(상세표[사번],$Q2536)&amp;"")</f>
        <v/>
      </c>
      <c r="C2536">
        <f>IF($Q2536="","",INDEX(상세표[성명],$Q2536)&amp;"")</f>
        <v/>
      </c>
      <c r="D2536">
        <f>IF($Q2536="","",INDEX(상세표[직위],$Q2536)&amp;"")</f>
        <v/>
      </c>
      <c r="E2536">
        <f>IF($Q2536="","",IF(ISNUMBER(INDEX(상세표[근무일자],$Q2536)),TEXT(INDEX(상세표[근무일자],$Q2536),"yyyy-mm-dd"),INDEX(상세표[근무일자],$Q2536)&amp;""))</f>
        <v/>
      </c>
      <c r="F2536">
        <f>IF($Q2536="","",IF(ISNUMBER(INDEX(상세표[시작],$Q2536)),TEXT(INDEX(상세표[시작],$Q2536),"yyyy-mm-dd hh:mm"),INDEX(상세표[시작],$Q2536)&amp;""))</f>
        <v/>
      </c>
      <c r="G2536">
        <f>IF($Q2536="","",IF(ISNUMBER(INDEX(상세표[블록종료],$Q2536)),TEXT(INDEX(상세표[블록종료],$Q2536),"yyyy-mm-dd hh:mm"),INDEX(상세표[블록종료],$Q2536)&amp;""))</f>
        <v/>
      </c>
      <c r="H2536">
        <f>IF($Q2536="","",CHOOSE(WEEKDAY(INDEX(상세표[시작],$Q2536)),"일","월","화","수","목","금","토"))</f>
        <v/>
      </c>
      <c r="I2536" s="20">
        <f>IF($Q2536="","",INDEX(상세표[연속 시간],$Q2536))</f>
        <v/>
      </c>
      <c r="J2536">
        <f>IF($Q2536="","",INDEX(상세표[기록 수],$Q2536))</f>
        <v/>
      </c>
      <c r="K2536" s="20">
        <f>IF($Q2536="","",INDEX(상세표[블록 06~07시],$Q2536))</f>
        <v/>
      </c>
      <c r="L2536" s="20">
        <f>IF($Q2536="","",INDEX(상세표[블록 07~18시],$Q2536))</f>
        <v/>
      </c>
      <c r="M2536" s="20">
        <f>IF($Q2536="","",INDEX(상세표[블록 18~22시],$Q2536))</f>
        <v/>
      </c>
      <c r="N2536" s="20">
        <f>IF($Q2536="","",INDEX(상세표[블록 22~06시],$Q2536))</f>
        <v/>
      </c>
      <c r="O2536">
        <f>IF($Q2536="","",INDEX(상세표[주말·휴일 포함],$Q2536)&amp;"")</f>
        <v/>
      </c>
      <c r="P2536">
        <f>IF($Q2536="","",INDEX(상세표[월 넘김 포함],$Q2536)&amp;"")</f>
        <v/>
      </c>
      <c r="Q2536" s="4">
        <f>IFERROR(MATCH(2531,상세표[연속순번],0),"")</f>
        <v/>
      </c>
    </row>
    <row r="2537">
      <c r="A2537">
        <f>IF($Q2537="","",INDEX(상세표[부서],$Q2537)&amp;"")</f>
        <v/>
      </c>
      <c r="B2537">
        <f>IF($Q2537="","",INDEX(상세표[사번],$Q2537)&amp;"")</f>
        <v/>
      </c>
      <c r="C2537">
        <f>IF($Q2537="","",INDEX(상세표[성명],$Q2537)&amp;"")</f>
        <v/>
      </c>
      <c r="D2537">
        <f>IF($Q2537="","",INDEX(상세표[직위],$Q2537)&amp;"")</f>
        <v/>
      </c>
      <c r="E2537">
        <f>IF($Q2537="","",IF(ISNUMBER(INDEX(상세표[근무일자],$Q2537)),TEXT(INDEX(상세표[근무일자],$Q2537),"yyyy-mm-dd"),INDEX(상세표[근무일자],$Q2537)&amp;""))</f>
        <v/>
      </c>
      <c r="F2537">
        <f>IF($Q2537="","",IF(ISNUMBER(INDEX(상세표[시작],$Q2537)),TEXT(INDEX(상세표[시작],$Q2537),"yyyy-mm-dd hh:mm"),INDEX(상세표[시작],$Q2537)&amp;""))</f>
        <v/>
      </c>
      <c r="G2537">
        <f>IF($Q2537="","",IF(ISNUMBER(INDEX(상세표[블록종료],$Q2537)),TEXT(INDEX(상세표[블록종료],$Q2537),"yyyy-mm-dd hh:mm"),INDEX(상세표[블록종료],$Q2537)&amp;""))</f>
        <v/>
      </c>
      <c r="H2537">
        <f>IF($Q2537="","",CHOOSE(WEEKDAY(INDEX(상세표[시작],$Q2537)),"일","월","화","수","목","금","토"))</f>
        <v/>
      </c>
      <c r="I2537" s="20">
        <f>IF($Q2537="","",INDEX(상세표[연속 시간],$Q2537))</f>
        <v/>
      </c>
      <c r="J2537">
        <f>IF($Q2537="","",INDEX(상세표[기록 수],$Q2537))</f>
        <v/>
      </c>
      <c r="K2537" s="20">
        <f>IF($Q2537="","",INDEX(상세표[블록 06~07시],$Q2537))</f>
        <v/>
      </c>
      <c r="L2537" s="20">
        <f>IF($Q2537="","",INDEX(상세표[블록 07~18시],$Q2537))</f>
        <v/>
      </c>
      <c r="M2537" s="20">
        <f>IF($Q2537="","",INDEX(상세표[블록 18~22시],$Q2537))</f>
        <v/>
      </c>
      <c r="N2537" s="20">
        <f>IF($Q2537="","",INDEX(상세표[블록 22~06시],$Q2537))</f>
        <v/>
      </c>
      <c r="O2537">
        <f>IF($Q2537="","",INDEX(상세표[주말·휴일 포함],$Q2537)&amp;"")</f>
        <v/>
      </c>
      <c r="P2537">
        <f>IF($Q2537="","",INDEX(상세표[월 넘김 포함],$Q2537)&amp;"")</f>
        <v/>
      </c>
      <c r="Q2537" s="4">
        <f>IFERROR(MATCH(2532,상세표[연속순번],0),"")</f>
        <v/>
      </c>
    </row>
    <row r="2538">
      <c r="A2538">
        <f>IF($Q2538="","",INDEX(상세표[부서],$Q2538)&amp;"")</f>
        <v/>
      </c>
      <c r="B2538">
        <f>IF($Q2538="","",INDEX(상세표[사번],$Q2538)&amp;"")</f>
        <v/>
      </c>
      <c r="C2538">
        <f>IF($Q2538="","",INDEX(상세표[성명],$Q2538)&amp;"")</f>
        <v/>
      </c>
      <c r="D2538">
        <f>IF($Q2538="","",INDEX(상세표[직위],$Q2538)&amp;"")</f>
        <v/>
      </c>
      <c r="E2538">
        <f>IF($Q2538="","",IF(ISNUMBER(INDEX(상세표[근무일자],$Q2538)),TEXT(INDEX(상세표[근무일자],$Q2538),"yyyy-mm-dd"),INDEX(상세표[근무일자],$Q2538)&amp;""))</f>
        <v/>
      </c>
      <c r="F2538">
        <f>IF($Q2538="","",IF(ISNUMBER(INDEX(상세표[시작],$Q2538)),TEXT(INDEX(상세표[시작],$Q2538),"yyyy-mm-dd hh:mm"),INDEX(상세표[시작],$Q2538)&amp;""))</f>
        <v/>
      </c>
      <c r="G2538">
        <f>IF($Q2538="","",IF(ISNUMBER(INDEX(상세표[블록종료],$Q2538)),TEXT(INDEX(상세표[블록종료],$Q2538),"yyyy-mm-dd hh:mm"),INDEX(상세표[블록종료],$Q2538)&amp;""))</f>
        <v/>
      </c>
      <c r="H2538">
        <f>IF($Q2538="","",CHOOSE(WEEKDAY(INDEX(상세표[시작],$Q2538)),"일","월","화","수","목","금","토"))</f>
        <v/>
      </c>
      <c r="I2538" s="20">
        <f>IF($Q2538="","",INDEX(상세표[연속 시간],$Q2538))</f>
        <v/>
      </c>
      <c r="J2538">
        <f>IF($Q2538="","",INDEX(상세표[기록 수],$Q2538))</f>
        <v/>
      </c>
      <c r="K2538" s="20">
        <f>IF($Q2538="","",INDEX(상세표[블록 06~07시],$Q2538))</f>
        <v/>
      </c>
      <c r="L2538" s="20">
        <f>IF($Q2538="","",INDEX(상세표[블록 07~18시],$Q2538))</f>
        <v/>
      </c>
      <c r="M2538" s="20">
        <f>IF($Q2538="","",INDEX(상세표[블록 18~22시],$Q2538))</f>
        <v/>
      </c>
      <c r="N2538" s="20">
        <f>IF($Q2538="","",INDEX(상세표[블록 22~06시],$Q2538))</f>
        <v/>
      </c>
      <c r="O2538">
        <f>IF($Q2538="","",INDEX(상세표[주말·휴일 포함],$Q2538)&amp;"")</f>
        <v/>
      </c>
      <c r="P2538">
        <f>IF($Q2538="","",INDEX(상세표[월 넘김 포함],$Q2538)&amp;"")</f>
        <v/>
      </c>
      <c r="Q2538" s="4">
        <f>IFERROR(MATCH(2533,상세표[연속순번],0),"")</f>
        <v/>
      </c>
    </row>
    <row r="2539">
      <c r="A2539">
        <f>IF($Q2539="","",INDEX(상세표[부서],$Q2539)&amp;"")</f>
        <v/>
      </c>
      <c r="B2539">
        <f>IF($Q2539="","",INDEX(상세표[사번],$Q2539)&amp;"")</f>
        <v/>
      </c>
      <c r="C2539">
        <f>IF($Q2539="","",INDEX(상세표[성명],$Q2539)&amp;"")</f>
        <v/>
      </c>
      <c r="D2539">
        <f>IF($Q2539="","",INDEX(상세표[직위],$Q2539)&amp;"")</f>
        <v/>
      </c>
      <c r="E2539">
        <f>IF($Q2539="","",IF(ISNUMBER(INDEX(상세표[근무일자],$Q2539)),TEXT(INDEX(상세표[근무일자],$Q2539),"yyyy-mm-dd"),INDEX(상세표[근무일자],$Q2539)&amp;""))</f>
        <v/>
      </c>
      <c r="F2539">
        <f>IF($Q2539="","",IF(ISNUMBER(INDEX(상세표[시작],$Q2539)),TEXT(INDEX(상세표[시작],$Q2539),"yyyy-mm-dd hh:mm"),INDEX(상세표[시작],$Q2539)&amp;""))</f>
        <v/>
      </c>
      <c r="G2539">
        <f>IF($Q2539="","",IF(ISNUMBER(INDEX(상세표[블록종료],$Q2539)),TEXT(INDEX(상세표[블록종료],$Q2539),"yyyy-mm-dd hh:mm"),INDEX(상세표[블록종료],$Q2539)&amp;""))</f>
        <v/>
      </c>
      <c r="H2539">
        <f>IF($Q2539="","",CHOOSE(WEEKDAY(INDEX(상세표[시작],$Q2539)),"일","월","화","수","목","금","토"))</f>
        <v/>
      </c>
      <c r="I2539" s="20">
        <f>IF($Q2539="","",INDEX(상세표[연속 시간],$Q2539))</f>
        <v/>
      </c>
      <c r="J2539">
        <f>IF($Q2539="","",INDEX(상세표[기록 수],$Q2539))</f>
        <v/>
      </c>
      <c r="K2539" s="20">
        <f>IF($Q2539="","",INDEX(상세표[블록 06~07시],$Q2539))</f>
        <v/>
      </c>
      <c r="L2539" s="20">
        <f>IF($Q2539="","",INDEX(상세표[블록 07~18시],$Q2539))</f>
        <v/>
      </c>
      <c r="M2539" s="20">
        <f>IF($Q2539="","",INDEX(상세표[블록 18~22시],$Q2539))</f>
        <v/>
      </c>
      <c r="N2539" s="20">
        <f>IF($Q2539="","",INDEX(상세표[블록 22~06시],$Q2539))</f>
        <v/>
      </c>
      <c r="O2539">
        <f>IF($Q2539="","",INDEX(상세표[주말·휴일 포함],$Q2539)&amp;"")</f>
        <v/>
      </c>
      <c r="P2539">
        <f>IF($Q2539="","",INDEX(상세표[월 넘김 포함],$Q2539)&amp;"")</f>
        <v/>
      </c>
      <c r="Q2539" s="4">
        <f>IFERROR(MATCH(2534,상세표[연속순번],0),"")</f>
        <v/>
      </c>
    </row>
    <row r="2540">
      <c r="A2540">
        <f>IF($Q2540="","",INDEX(상세표[부서],$Q2540)&amp;"")</f>
        <v/>
      </c>
      <c r="B2540">
        <f>IF($Q2540="","",INDEX(상세표[사번],$Q2540)&amp;"")</f>
        <v/>
      </c>
      <c r="C2540">
        <f>IF($Q2540="","",INDEX(상세표[성명],$Q2540)&amp;"")</f>
        <v/>
      </c>
      <c r="D2540">
        <f>IF($Q2540="","",INDEX(상세표[직위],$Q2540)&amp;"")</f>
        <v/>
      </c>
      <c r="E2540">
        <f>IF($Q2540="","",IF(ISNUMBER(INDEX(상세표[근무일자],$Q2540)),TEXT(INDEX(상세표[근무일자],$Q2540),"yyyy-mm-dd"),INDEX(상세표[근무일자],$Q2540)&amp;""))</f>
        <v/>
      </c>
      <c r="F2540">
        <f>IF($Q2540="","",IF(ISNUMBER(INDEX(상세표[시작],$Q2540)),TEXT(INDEX(상세표[시작],$Q2540),"yyyy-mm-dd hh:mm"),INDEX(상세표[시작],$Q2540)&amp;""))</f>
        <v/>
      </c>
      <c r="G2540">
        <f>IF($Q2540="","",IF(ISNUMBER(INDEX(상세표[블록종료],$Q2540)),TEXT(INDEX(상세표[블록종료],$Q2540),"yyyy-mm-dd hh:mm"),INDEX(상세표[블록종료],$Q2540)&amp;""))</f>
        <v/>
      </c>
      <c r="H2540">
        <f>IF($Q2540="","",CHOOSE(WEEKDAY(INDEX(상세표[시작],$Q2540)),"일","월","화","수","목","금","토"))</f>
        <v/>
      </c>
      <c r="I2540" s="20">
        <f>IF($Q2540="","",INDEX(상세표[연속 시간],$Q2540))</f>
        <v/>
      </c>
      <c r="J2540">
        <f>IF($Q2540="","",INDEX(상세표[기록 수],$Q2540))</f>
        <v/>
      </c>
      <c r="K2540" s="20">
        <f>IF($Q2540="","",INDEX(상세표[블록 06~07시],$Q2540))</f>
        <v/>
      </c>
      <c r="L2540" s="20">
        <f>IF($Q2540="","",INDEX(상세표[블록 07~18시],$Q2540))</f>
        <v/>
      </c>
      <c r="M2540" s="20">
        <f>IF($Q2540="","",INDEX(상세표[블록 18~22시],$Q2540))</f>
        <v/>
      </c>
      <c r="N2540" s="20">
        <f>IF($Q2540="","",INDEX(상세표[블록 22~06시],$Q2540))</f>
        <v/>
      </c>
      <c r="O2540">
        <f>IF($Q2540="","",INDEX(상세표[주말·휴일 포함],$Q2540)&amp;"")</f>
        <v/>
      </c>
      <c r="P2540">
        <f>IF($Q2540="","",INDEX(상세표[월 넘김 포함],$Q2540)&amp;"")</f>
        <v/>
      </c>
      <c r="Q2540" s="4">
        <f>IFERROR(MATCH(2535,상세표[연속순번],0),"")</f>
        <v/>
      </c>
    </row>
    <row r="2541">
      <c r="A2541">
        <f>IF($Q2541="","",INDEX(상세표[부서],$Q2541)&amp;"")</f>
        <v/>
      </c>
      <c r="B2541">
        <f>IF($Q2541="","",INDEX(상세표[사번],$Q2541)&amp;"")</f>
        <v/>
      </c>
      <c r="C2541">
        <f>IF($Q2541="","",INDEX(상세표[성명],$Q2541)&amp;"")</f>
        <v/>
      </c>
      <c r="D2541">
        <f>IF($Q2541="","",INDEX(상세표[직위],$Q2541)&amp;"")</f>
        <v/>
      </c>
      <c r="E2541">
        <f>IF($Q2541="","",IF(ISNUMBER(INDEX(상세표[근무일자],$Q2541)),TEXT(INDEX(상세표[근무일자],$Q2541),"yyyy-mm-dd"),INDEX(상세표[근무일자],$Q2541)&amp;""))</f>
        <v/>
      </c>
      <c r="F2541">
        <f>IF($Q2541="","",IF(ISNUMBER(INDEX(상세표[시작],$Q2541)),TEXT(INDEX(상세표[시작],$Q2541),"yyyy-mm-dd hh:mm"),INDEX(상세표[시작],$Q2541)&amp;""))</f>
        <v/>
      </c>
      <c r="G2541">
        <f>IF($Q2541="","",IF(ISNUMBER(INDEX(상세표[블록종료],$Q2541)),TEXT(INDEX(상세표[블록종료],$Q2541),"yyyy-mm-dd hh:mm"),INDEX(상세표[블록종료],$Q2541)&amp;""))</f>
        <v/>
      </c>
      <c r="H2541">
        <f>IF($Q2541="","",CHOOSE(WEEKDAY(INDEX(상세표[시작],$Q2541)),"일","월","화","수","목","금","토"))</f>
        <v/>
      </c>
      <c r="I2541" s="20">
        <f>IF($Q2541="","",INDEX(상세표[연속 시간],$Q2541))</f>
        <v/>
      </c>
      <c r="J2541">
        <f>IF($Q2541="","",INDEX(상세표[기록 수],$Q2541))</f>
        <v/>
      </c>
      <c r="K2541" s="20">
        <f>IF($Q2541="","",INDEX(상세표[블록 06~07시],$Q2541))</f>
        <v/>
      </c>
      <c r="L2541" s="20">
        <f>IF($Q2541="","",INDEX(상세표[블록 07~18시],$Q2541))</f>
        <v/>
      </c>
      <c r="M2541" s="20">
        <f>IF($Q2541="","",INDEX(상세표[블록 18~22시],$Q2541))</f>
        <v/>
      </c>
      <c r="N2541" s="20">
        <f>IF($Q2541="","",INDEX(상세표[블록 22~06시],$Q2541))</f>
        <v/>
      </c>
      <c r="O2541">
        <f>IF($Q2541="","",INDEX(상세표[주말·휴일 포함],$Q2541)&amp;"")</f>
        <v/>
      </c>
      <c r="P2541">
        <f>IF($Q2541="","",INDEX(상세표[월 넘김 포함],$Q2541)&amp;"")</f>
        <v/>
      </c>
      <c r="Q2541" s="4">
        <f>IFERROR(MATCH(2536,상세표[연속순번],0),"")</f>
        <v/>
      </c>
    </row>
    <row r="2542">
      <c r="A2542">
        <f>IF($Q2542="","",INDEX(상세표[부서],$Q2542)&amp;"")</f>
        <v/>
      </c>
      <c r="B2542">
        <f>IF($Q2542="","",INDEX(상세표[사번],$Q2542)&amp;"")</f>
        <v/>
      </c>
      <c r="C2542">
        <f>IF($Q2542="","",INDEX(상세표[성명],$Q2542)&amp;"")</f>
        <v/>
      </c>
      <c r="D2542">
        <f>IF($Q2542="","",INDEX(상세표[직위],$Q2542)&amp;"")</f>
        <v/>
      </c>
      <c r="E2542">
        <f>IF($Q2542="","",IF(ISNUMBER(INDEX(상세표[근무일자],$Q2542)),TEXT(INDEX(상세표[근무일자],$Q2542),"yyyy-mm-dd"),INDEX(상세표[근무일자],$Q2542)&amp;""))</f>
        <v/>
      </c>
      <c r="F2542">
        <f>IF($Q2542="","",IF(ISNUMBER(INDEX(상세표[시작],$Q2542)),TEXT(INDEX(상세표[시작],$Q2542),"yyyy-mm-dd hh:mm"),INDEX(상세표[시작],$Q2542)&amp;""))</f>
        <v/>
      </c>
      <c r="G2542">
        <f>IF($Q2542="","",IF(ISNUMBER(INDEX(상세표[블록종료],$Q2542)),TEXT(INDEX(상세표[블록종료],$Q2542),"yyyy-mm-dd hh:mm"),INDEX(상세표[블록종료],$Q2542)&amp;""))</f>
        <v/>
      </c>
      <c r="H2542">
        <f>IF($Q2542="","",CHOOSE(WEEKDAY(INDEX(상세표[시작],$Q2542)),"일","월","화","수","목","금","토"))</f>
        <v/>
      </c>
      <c r="I2542" s="20">
        <f>IF($Q2542="","",INDEX(상세표[연속 시간],$Q2542))</f>
        <v/>
      </c>
      <c r="J2542">
        <f>IF($Q2542="","",INDEX(상세표[기록 수],$Q2542))</f>
        <v/>
      </c>
      <c r="K2542" s="20">
        <f>IF($Q2542="","",INDEX(상세표[블록 06~07시],$Q2542))</f>
        <v/>
      </c>
      <c r="L2542" s="20">
        <f>IF($Q2542="","",INDEX(상세표[블록 07~18시],$Q2542))</f>
        <v/>
      </c>
      <c r="M2542" s="20">
        <f>IF($Q2542="","",INDEX(상세표[블록 18~22시],$Q2542))</f>
        <v/>
      </c>
      <c r="N2542" s="20">
        <f>IF($Q2542="","",INDEX(상세표[블록 22~06시],$Q2542))</f>
        <v/>
      </c>
      <c r="O2542">
        <f>IF($Q2542="","",INDEX(상세표[주말·휴일 포함],$Q2542)&amp;"")</f>
        <v/>
      </c>
      <c r="P2542">
        <f>IF($Q2542="","",INDEX(상세표[월 넘김 포함],$Q2542)&amp;"")</f>
        <v/>
      </c>
      <c r="Q2542" s="4">
        <f>IFERROR(MATCH(2537,상세표[연속순번],0),"")</f>
        <v/>
      </c>
    </row>
    <row r="2543">
      <c r="A2543">
        <f>IF($Q2543="","",INDEX(상세표[부서],$Q2543)&amp;"")</f>
        <v/>
      </c>
      <c r="B2543">
        <f>IF($Q2543="","",INDEX(상세표[사번],$Q2543)&amp;"")</f>
        <v/>
      </c>
      <c r="C2543">
        <f>IF($Q2543="","",INDEX(상세표[성명],$Q2543)&amp;"")</f>
        <v/>
      </c>
      <c r="D2543">
        <f>IF($Q2543="","",INDEX(상세표[직위],$Q2543)&amp;"")</f>
        <v/>
      </c>
      <c r="E2543">
        <f>IF($Q2543="","",IF(ISNUMBER(INDEX(상세표[근무일자],$Q2543)),TEXT(INDEX(상세표[근무일자],$Q2543),"yyyy-mm-dd"),INDEX(상세표[근무일자],$Q2543)&amp;""))</f>
        <v/>
      </c>
      <c r="F2543">
        <f>IF($Q2543="","",IF(ISNUMBER(INDEX(상세표[시작],$Q2543)),TEXT(INDEX(상세표[시작],$Q2543),"yyyy-mm-dd hh:mm"),INDEX(상세표[시작],$Q2543)&amp;""))</f>
        <v/>
      </c>
      <c r="G2543">
        <f>IF($Q2543="","",IF(ISNUMBER(INDEX(상세표[블록종료],$Q2543)),TEXT(INDEX(상세표[블록종료],$Q2543),"yyyy-mm-dd hh:mm"),INDEX(상세표[블록종료],$Q2543)&amp;""))</f>
        <v/>
      </c>
      <c r="H2543">
        <f>IF($Q2543="","",CHOOSE(WEEKDAY(INDEX(상세표[시작],$Q2543)),"일","월","화","수","목","금","토"))</f>
        <v/>
      </c>
      <c r="I2543" s="20">
        <f>IF($Q2543="","",INDEX(상세표[연속 시간],$Q2543))</f>
        <v/>
      </c>
      <c r="J2543">
        <f>IF($Q2543="","",INDEX(상세표[기록 수],$Q2543))</f>
        <v/>
      </c>
      <c r="K2543" s="20">
        <f>IF($Q2543="","",INDEX(상세표[블록 06~07시],$Q2543))</f>
        <v/>
      </c>
      <c r="L2543" s="20">
        <f>IF($Q2543="","",INDEX(상세표[블록 07~18시],$Q2543))</f>
        <v/>
      </c>
      <c r="M2543" s="20">
        <f>IF($Q2543="","",INDEX(상세표[블록 18~22시],$Q2543))</f>
        <v/>
      </c>
      <c r="N2543" s="20">
        <f>IF($Q2543="","",INDEX(상세표[블록 22~06시],$Q2543))</f>
        <v/>
      </c>
      <c r="O2543">
        <f>IF($Q2543="","",INDEX(상세표[주말·휴일 포함],$Q2543)&amp;"")</f>
        <v/>
      </c>
      <c r="P2543">
        <f>IF($Q2543="","",INDEX(상세표[월 넘김 포함],$Q2543)&amp;"")</f>
        <v/>
      </c>
      <c r="Q2543" s="4">
        <f>IFERROR(MATCH(2538,상세표[연속순번],0),"")</f>
        <v/>
      </c>
    </row>
    <row r="2544">
      <c r="A2544">
        <f>IF($Q2544="","",INDEX(상세표[부서],$Q2544)&amp;"")</f>
        <v/>
      </c>
      <c r="B2544">
        <f>IF($Q2544="","",INDEX(상세표[사번],$Q2544)&amp;"")</f>
        <v/>
      </c>
      <c r="C2544">
        <f>IF($Q2544="","",INDEX(상세표[성명],$Q2544)&amp;"")</f>
        <v/>
      </c>
      <c r="D2544">
        <f>IF($Q2544="","",INDEX(상세표[직위],$Q2544)&amp;"")</f>
        <v/>
      </c>
      <c r="E2544">
        <f>IF($Q2544="","",IF(ISNUMBER(INDEX(상세표[근무일자],$Q2544)),TEXT(INDEX(상세표[근무일자],$Q2544),"yyyy-mm-dd"),INDEX(상세표[근무일자],$Q2544)&amp;""))</f>
        <v/>
      </c>
      <c r="F2544">
        <f>IF($Q2544="","",IF(ISNUMBER(INDEX(상세표[시작],$Q2544)),TEXT(INDEX(상세표[시작],$Q2544),"yyyy-mm-dd hh:mm"),INDEX(상세표[시작],$Q2544)&amp;""))</f>
        <v/>
      </c>
      <c r="G2544">
        <f>IF($Q2544="","",IF(ISNUMBER(INDEX(상세표[블록종료],$Q2544)),TEXT(INDEX(상세표[블록종료],$Q2544),"yyyy-mm-dd hh:mm"),INDEX(상세표[블록종료],$Q2544)&amp;""))</f>
        <v/>
      </c>
      <c r="H2544">
        <f>IF($Q2544="","",CHOOSE(WEEKDAY(INDEX(상세표[시작],$Q2544)),"일","월","화","수","목","금","토"))</f>
        <v/>
      </c>
      <c r="I2544" s="20">
        <f>IF($Q2544="","",INDEX(상세표[연속 시간],$Q2544))</f>
        <v/>
      </c>
      <c r="J2544">
        <f>IF($Q2544="","",INDEX(상세표[기록 수],$Q2544))</f>
        <v/>
      </c>
      <c r="K2544" s="20">
        <f>IF($Q2544="","",INDEX(상세표[블록 06~07시],$Q2544))</f>
        <v/>
      </c>
      <c r="L2544" s="20">
        <f>IF($Q2544="","",INDEX(상세표[블록 07~18시],$Q2544))</f>
        <v/>
      </c>
      <c r="M2544" s="20">
        <f>IF($Q2544="","",INDEX(상세표[블록 18~22시],$Q2544))</f>
        <v/>
      </c>
      <c r="N2544" s="20">
        <f>IF($Q2544="","",INDEX(상세표[블록 22~06시],$Q2544))</f>
        <v/>
      </c>
      <c r="O2544">
        <f>IF($Q2544="","",INDEX(상세표[주말·휴일 포함],$Q2544)&amp;"")</f>
        <v/>
      </c>
      <c r="P2544">
        <f>IF($Q2544="","",INDEX(상세표[월 넘김 포함],$Q2544)&amp;"")</f>
        <v/>
      </c>
      <c r="Q2544" s="4">
        <f>IFERROR(MATCH(2539,상세표[연속순번],0),"")</f>
        <v/>
      </c>
    </row>
    <row r="2545">
      <c r="A2545">
        <f>IF($Q2545="","",INDEX(상세표[부서],$Q2545)&amp;"")</f>
        <v/>
      </c>
      <c r="B2545">
        <f>IF($Q2545="","",INDEX(상세표[사번],$Q2545)&amp;"")</f>
        <v/>
      </c>
      <c r="C2545">
        <f>IF($Q2545="","",INDEX(상세표[성명],$Q2545)&amp;"")</f>
        <v/>
      </c>
      <c r="D2545">
        <f>IF($Q2545="","",INDEX(상세표[직위],$Q2545)&amp;"")</f>
        <v/>
      </c>
      <c r="E2545">
        <f>IF($Q2545="","",IF(ISNUMBER(INDEX(상세표[근무일자],$Q2545)),TEXT(INDEX(상세표[근무일자],$Q2545),"yyyy-mm-dd"),INDEX(상세표[근무일자],$Q2545)&amp;""))</f>
        <v/>
      </c>
      <c r="F2545">
        <f>IF($Q2545="","",IF(ISNUMBER(INDEX(상세표[시작],$Q2545)),TEXT(INDEX(상세표[시작],$Q2545),"yyyy-mm-dd hh:mm"),INDEX(상세표[시작],$Q2545)&amp;""))</f>
        <v/>
      </c>
      <c r="G2545">
        <f>IF($Q2545="","",IF(ISNUMBER(INDEX(상세표[블록종료],$Q2545)),TEXT(INDEX(상세표[블록종료],$Q2545),"yyyy-mm-dd hh:mm"),INDEX(상세표[블록종료],$Q2545)&amp;""))</f>
        <v/>
      </c>
      <c r="H2545">
        <f>IF($Q2545="","",CHOOSE(WEEKDAY(INDEX(상세표[시작],$Q2545)),"일","월","화","수","목","금","토"))</f>
        <v/>
      </c>
      <c r="I2545" s="20">
        <f>IF($Q2545="","",INDEX(상세표[연속 시간],$Q2545))</f>
        <v/>
      </c>
      <c r="J2545">
        <f>IF($Q2545="","",INDEX(상세표[기록 수],$Q2545))</f>
        <v/>
      </c>
      <c r="K2545" s="20">
        <f>IF($Q2545="","",INDEX(상세표[블록 06~07시],$Q2545))</f>
        <v/>
      </c>
      <c r="L2545" s="20">
        <f>IF($Q2545="","",INDEX(상세표[블록 07~18시],$Q2545))</f>
        <v/>
      </c>
      <c r="M2545" s="20">
        <f>IF($Q2545="","",INDEX(상세표[블록 18~22시],$Q2545))</f>
        <v/>
      </c>
      <c r="N2545" s="20">
        <f>IF($Q2545="","",INDEX(상세표[블록 22~06시],$Q2545))</f>
        <v/>
      </c>
      <c r="O2545">
        <f>IF($Q2545="","",INDEX(상세표[주말·휴일 포함],$Q2545)&amp;"")</f>
        <v/>
      </c>
      <c r="P2545">
        <f>IF($Q2545="","",INDEX(상세표[월 넘김 포함],$Q2545)&amp;"")</f>
        <v/>
      </c>
      <c r="Q2545" s="4">
        <f>IFERROR(MATCH(2540,상세표[연속순번],0),"")</f>
        <v/>
      </c>
    </row>
    <row r="2546">
      <c r="A2546">
        <f>IF($Q2546="","",INDEX(상세표[부서],$Q2546)&amp;"")</f>
        <v/>
      </c>
      <c r="B2546">
        <f>IF($Q2546="","",INDEX(상세표[사번],$Q2546)&amp;"")</f>
        <v/>
      </c>
      <c r="C2546">
        <f>IF($Q2546="","",INDEX(상세표[성명],$Q2546)&amp;"")</f>
        <v/>
      </c>
      <c r="D2546">
        <f>IF($Q2546="","",INDEX(상세표[직위],$Q2546)&amp;"")</f>
        <v/>
      </c>
      <c r="E2546">
        <f>IF($Q2546="","",IF(ISNUMBER(INDEX(상세표[근무일자],$Q2546)),TEXT(INDEX(상세표[근무일자],$Q2546),"yyyy-mm-dd"),INDEX(상세표[근무일자],$Q2546)&amp;""))</f>
        <v/>
      </c>
      <c r="F2546">
        <f>IF($Q2546="","",IF(ISNUMBER(INDEX(상세표[시작],$Q2546)),TEXT(INDEX(상세표[시작],$Q2546),"yyyy-mm-dd hh:mm"),INDEX(상세표[시작],$Q2546)&amp;""))</f>
        <v/>
      </c>
      <c r="G2546">
        <f>IF($Q2546="","",IF(ISNUMBER(INDEX(상세표[블록종료],$Q2546)),TEXT(INDEX(상세표[블록종료],$Q2546),"yyyy-mm-dd hh:mm"),INDEX(상세표[블록종료],$Q2546)&amp;""))</f>
        <v/>
      </c>
      <c r="H2546">
        <f>IF($Q2546="","",CHOOSE(WEEKDAY(INDEX(상세표[시작],$Q2546)),"일","월","화","수","목","금","토"))</f>
        <v/>
      </c>
      <c r="I2546" s="20">
        <f>IF($Q2546="","",INDEX(상세표[연속 시간],$Q2546))</f>
        <v/>
      </c>
      <c r="J2546">
        <f>IF($Q2546="","",INDEX(상세표[기록 수],$Q2546))</f>
        <v/>
      </c>
      <c r="K2546" s="20">
        <f>IF($Q2546="","",INDEX(상세표[블록 06~07시],$Q2546))</f>
        <v/>
      </c>
      <c r="L2546" s="20">
        <f>IF($Q2546="","",INDEX(상세표[블록 07~18시],$Q2546))</f>
        <v/>
      </c>
      <c r="M2546" s="20">
        <f>IF($Q2546="","",INDEX(상세표[블록 18~22시],$Q2546))</f>
        <v/>
      </c>
      <c r="N2546" s="20">
        <f>IF($Q2546="","",INDEX(상세표[블록 22~06시],$Q2546))</f>
        <v/>
      </c>
      <c r="O2546">
        <f>IF($Q2546="","",INDEX(상세표[주말·휴일 포함],$Q2546)&amp;"")</f>
        <v/>
      </c>
      <c r="P2546">
        <f>IF($Q2546="","",INDEX(상세표[월 넘김 포함],$Q2546)&amp;"")</f>
        <v/>
      </c>
      <c r="Q2546" s="4">
        <f>IFERROR(MATCH(2541,상세표[연속순번],0),"")</f>
        <v/>
      </c>
    </row>
    <row r="2547">
      <c r="A2547">
        <f>IF($Q2547="","",INDEX(상세표[부서],$Q2547)&amp;"")</f>
        <v/>
      </c>
      <c r="B2547">
        <f>IF($Q2547="","",INDEX(상세표[사번],$Q2547)&amp;"")</f>
        <v/>
      </c>
      <c r="C2547">
        <f>IF($Q2547="","",INDEX(상세표[성명],$Q2547)&amp;"")</f>
        <v/>
      </c>
      <c r="D2547">
        <f>IF($Q2547="","",INDEX(상세표[직위],$Q2547)&amp;"")</f>
        <v/>
      </c>
      <c r="E2547">
        <f>IF($Q2547="","",IF(ISNUMBER(INDEX(상세표[근무일자],$Q2547)),TEXT(INDEX(상세표[근무일자],$Q2547),"yyyy-mm-dd"),INDEX(상세표[근무일자],$Q2547)&amp;""))</f>
        <v/>
      </c>
      <c r="F2547">
        <f>IF($Q2547="","",IF(ISNUMBER(INDEX(상세표[시작],$Q2547)),TEXT(INDEX(상세표[시작],$Q2547),"yyyy-mm-dd hh:mm"),INDEX(상세표[시작],$Q2547)&amp;""))</f>
        <v/>
      </c>
      <c r="G2547">
        <f>IF($Q2547="","",IF(ISNUMBER(INDEX(상세표[블록종료],$Q2547)),TEXT(INDEX(상세표[블록종료],$Q2547),"yyyy-mm-dd hh:mm"),INDEX(상세표[블록종료],$Q2547)&amp;""))</f>
        <v/>
      </c>
      <c r="H2547">
        <f>IF($Q2547="","",CHOOSE(WEEKDAY(INDEX(상세표[시작],$Q2547)),"일","월","화","수","목","금","토"))</f>
        <v/>
      </c>
      <c r="I2547" s="20">
        <f>IF($Q2547="","",INDEX(상세표[연속 시간],$Q2547))</f>
        <v/>
      </c>
      <c r="J2547">
        <f>IF($Q2547="","",INDEX(상세표[기록 수],$Q2547))</f>
        <v/>
      </c>
      <c r="K2547" s="20">
        <f>IF($Q2547="","",INDEX(상세표[블록 06~07시],$Q2547))</f>
        <v/>
      </c>
      <c r="L2547" s="20">
        <f>IF($Q2547="","",INDEX(상세표[블록 07~18시],$Q2547))</f>
        <v/>
      </c>
      <c r="M2547" s="20">
        <f>IF($Q2547="","",INDEX(상세표[블록 18~22시],$Q2547))</f>
        <v/>
      </c>
      <c r="N2547" s="20">
        <f>IF($Q2547="","",INDEX(상세표[블록 22~06시],$Q2547))</f>
        <v/>
      </c>
      <c r="O2547">
        <f>IF($Q2547="","",INDEX(상세표[주말·휴일 포함],$Q2547)&amp;"")</f>
        <v/>
      </c>
      <c r="P2547">
        <f>IF($Q2547="","",INDEX(상세표[월 넘김 포함],$Q2547)&amp;"")</f>
        <v/>
      </c>
      <c r="Q2547" s="4">
        <f>IFERROR(MATCH(2542,상세표[연속순번],0),"")</f>
        <v/>
      </c>
    </row>
    <row r="2548">
      <c r="A2548">
        <f>IF($Q2548="","",INDEX(상세표[부서],$Q2548)&amp;"")</f>
        <v/>
      </c>
      <c r="B2548">
        <f>IF($Q2548="","",INDEX(상세표[사번],$Q2548)&amp;"")</f>
        <v/>
      </c>
      <c r="C2548">
        <f>IF($Q2548="","",INDEX(상세표[성명],$Q2548)&amp;"")</f>
        <v/>
      </c>
      <c r="D2548">
        <f>IF($Q2548="","",INDEX(상세표[직위],$Q2548)&amp;"")</f>
        <v/>
      </c>
      <c r="E2548">
        <f>IF($Q2548="","",IF(ISNUMBER(INDEX(상세표[근무일자],$Q2548)),TEXT(INDEX(상세표[근무일자],$Q2548),"yyyy-mm-dd"),INDEX(상세표[근무일자],$Q2548)&amp;""))</f>
        <v/>
      </c>
      <c r="F2548">
        <f>IF($Q2548="","",IF(ISNUMBER(INDEX(상세표[시작],$Q2548)),TEXT(INDEX(상세표[시작],$Q2548),"yyyy-mm-dd hh:mm"),INDEX(상세표[시작],$Q2548)&amp;""))</f>
        <v/>
      </c>
      <c r="G2548">
        <f>IF($Q2548="","",IF(ISNUMBER(INDEX(상세표[블록종료],$Q2548)),TEXT(INDEX(상세표[블록종료],$Q2548),"yyyy-mm-dd hh:mm"),INDEX(상세표[블록종료],$Q2548)&amp;""))</f>
        <v/>
      </c>
      <c r="H2548">
        <f>IF($Q2548="","",CHOOSE(WEEKDAY(INDEX(상세표[시작],$Q2548)),"일","월","화","수","목","금","토"))</f>
        <v/>
      </c>
      <c r="I2548" s="20">
        <f>IF($Q2548="","",INDEX(상세표[연속 시간],$Q2548))</f>
        <v/>
      </c>
      <c r="J2548">
        <f>IF($Q2548="","",INDEX(상세표[기록 수],$Q2548))</f>
        <v/>
      </c>
      <c r="K2548" s="20">
        <f>IF($Q2548="","",INDEX(상세표[블록 06~07시],$Q2548))</f>
        <v/>
      </c>
      <c r="L2548" s="20">
        <f>IF($Q2548="","",INDEX(상세표[블록 07~18시],$Q2548))</f>
        <v/>
      </c>
      <c r="M2548" s="20">
        <f>IF($Q2548="","",INDEX(상세표[블록 18~22시],$Q2548))</f>
        <v/>
      </c>
      <c r="N2548" s="20">
        <f>IF($Q2548="","",INDEX(상세표[블록 22~06시],$Q2548))</f>
        <v/>
      </c>
      <c r="O2548">
        <f>IF($Q2548="","",INDEX(상세표[주말·휴일 포함],$Q2548)&amp;"")</f>
        <v/>
      </c>
      <c r="P2548">
        <f>IF($Q2548="","",INDEX(상세표[월 넘김 포함],$Q2548)&amp;"")</f>
        <v/>
      </c>
      <c r="Q2548" s="4">
        <f>IFERROR(MATCH(2543,상세표[연속순번],0),"")</f>
        <v/>
      </c>
    </row>
    <row r="2549">
      <c r="A2549">
        <f>IF($Q2549="","",INDEX(상세표[부서],$Q2549)&amp;"")</f>
        <v/>
      </c>
      <c r="B2549">
        <f>IF($Q2549="","",INDEX(상세표[사번],$Q2549)&amp;"")</f>
        <v/>
      </c>
      <c r="C2549">
        <f>IF($Q2549="","",INDEX(상세표[성명],$Q2549)&amp;"")</f>
        <v/>
      </c>
      <c r="D2549">
        <f>IF($Q2549="","",INDEX(상세표[직위],$Q2549)&amp;"")</f>
        <v/>
      </c>
      <c r="E2549">
        <f>IF($Q2549="","",IF(ISNUMBER(INDEX(상세표[근무일자],$Q2549)),TEXT(INDEX(상세표[근무일자],$Q2549),"yyyy-mm-dd"),INDEX(상세표[근무일자],$Q2549)&amp;""))</f>
        <v/>
      </c>
      <c r="F2549">
        <f>IF($Q2549="","",IF(ISNUMBER(INDEX(상세표[시작],$Q2549)),TEXT(INDEX(상세표[시작],$Q2549),"yyyy-mm-dd hh:mm"),INDEX(상세표[시작],$Q2549)&amp;""))</f>
        <v/>
      </c>
      <c r="G2549">
        <f>IF($Q2549="","",IF(ISNUMBER(INDEX(상세표[블록종료],$Q2549)),TEXT(INDEX(상세표[블록종료],$Q2549),"yyyy-mm-dd hh:mm"),INDEX(상세표[블록종료],$Q2549)&amp;""))</f>
        <v/>
      </c>
      <c r="H2549">
        <f>IF($Q2549="","",CHOOSE(WEEKDAY(INDEX(상세표[시작],$Q2549)),"일","월","화","수","목","금","토"))</f>
        <v/>
      </c>
      <c r="I2549" s="20">
        <f>IF($Q2549="","",INDEX(상세표[연속 시간],$Q2549))</f>
        <v/>
      </c>
      <c r="J2549">
        <f>IF($Q2549="","",INDEX(상세표[기록 수],$Q2549))</f>
        <v/>
      </c>
      <c r="K2549" s="20">
        <f>IF($Q2549="","",INDEX(상세표[블록 06~07시],$Q2549))</f>
        <v/>
      </c>
      <c r="L2549" s="20">
        <f>IF($Q2549="","",INDEX(상세표[블록 07~18시],$Q2549))</f>
        <v/>
      </c>
      <c r="M2549" s="20">
        <f>IF($Q2549="","",INDEX(상세표[블록 18~22시],$Q2549))</f>
        <v/>
      </c>
      <c r="N2549" s="20">
        <f>IF($Q2549="","",INDEX(상세표[블록 22~06시],$Q2549))</f>
        <v/>
      </c>
      <c r="O2549">
        <f>IF($Q2549="","",INDEX(상세표[주말·휴일 포함],$Q2549)&amp;"")</f>
        <v/>
      </c>
      <c r="P2549">
        <f>IF($Q2549="","",INDEX(상세표[월 넘김 포함],$Q2549)&amp;"")</f>
        <v/>
      </c>
      <c r="Q2549" s="4">
        <f>IFERROR(MATCH(2544,상세표[연속순번],0),"")</f>
        <v/>
      </c>
    </row>
    <row r="2550">
      <c r="A2550">
        <f>IF($Q2550="","",INDEX(상세표[부서],$Q2550)&amp;"")</f>
        <v/>
      </c>
      <c r="B2550">
        <f>IF($Q2550="","",INDEX(상세표[사번],$Q2550)&amp;"")</f>
        <v/>
      </c>
      <c r="C2550">
        <f>IF($Q2550="","",INDEX(상세표[성명],$Q2550)&amp;"")</f>
        <v/>
      </c>
      <c r="D2550">
        <f>IF($Q2550="","",INDEX(상세표[직위],$Q2550)&amp;"")</f>
        <v/>
      </c>
      <c r="E2550">
        <f>IF($Q2550="","",IF(ISNUMBER(INDEX(상세표[근무일자],$Q2550)),TEXT(INDEX(상세표[근무일자],$Q2550),"yyyy-mm-dd"),INDEX(상세표[근무일자],$Q2550)&amp;""))</f>
        <v/>
      </c>
      <c r="F2550">
        <f>IF($Q2550="","",IF(ISNUMBER(INDEX(상세표[시작],$Q2550)),TEXT(INDEX(상세표[시작],$Q2550),"yyyy-mm-dd hh:mm"),INDEX(상세표[시작],$Q2550)&amp;""))</f>
        <v/>
      </c>
      <c r="G2550">
        <f>IF($Q2550="","",IF(ISNUMBER(INDEX(상세표[블록종료],$Q2550)),TEXT(INDEX(상세표[블록종료],$Q2550),"yyyy-mm-dd hh:mm"),INDEX(상세표[블록종료],$Q2550)&amp;""))</f>
        <v/>
      </c>
      <c r="H2550">
        <f>IF($Q2550="","",CHOOSE(WEEKDAY(INDEX(상세표[시작],$Q2550)),"일","월","화","수","목","금","토"))</f>
        <v/>
      </c>
      <c r="I2550" s="20">
        <f>IF($Q2550="","",INDEX(상세표[연속 시간],$Q2550))</f>
        <v/>
      </c>
      <c r="J2550">
        <f>IF($Q2550="","",INDEX(상세표[기록 수],$Q2550))</f>
        <v/>
      </c>
      <c r="K2550" s="20">
        <f>IF($Q2550="","",INDEX(상세표[블록 06~07시],$Q2550))</f>
        <v/>
      </c>
      <c r="L2550" s="20">
        <f>IF($Q2550="","",INDEX(상세표[블록 07~18시],$Q2550))</f>
        <v/>
      </c>
      <c r="M2550" s="20">
        <f>IF($Q2550="","",INDEX(상세표[블록 18~22시],$Q2550))</f>
        <v/>
      </c>
      <c r="N2550" s="20">
        <f>IF($Q2550="","",INDEX(상세표[블록 22~06시],$Q2550))</f>
        <v/>
      </c>
      <c r="O2550">
        <f>IF($Q2550="","",INDEX(상세표[주말·휴일 포함],$Q2550)&amp;"")</f>
        <v/>
      </c>
      <c r="P2550">
        <f>IF($Q2550="","",INDEX(상세표[월 넘김 포함],$Q2550)&amp;"")</f>
        <v/>
      </c>
      <c r="Q2550" s="4">
        <f>IFERROR(MATCH(2545,상세표[연속순번],0),"")</f>
        <v/>
      </c>
    </row>
    <row r="2551">
      <c r="A2551">
        <f>IF($Q2551="","",INDEX(상세표[부서],$Q2551)&amp;"")</f>
        <v/>
      </c>
      <c r="B2551">
        <f>IF($Q2551="","",INDEX(상세표[사번],$Q2551)&amp;"")</f>
        <v/>
      </c>
      <c r="C2551">
        <f>IF($Q2551="","",INDEX(상세표[성명],$Q2551)&amp;"")</f>
        <v/>
      </c>
      <c r="D2551">
        <f>IF($Q2551="","",INDEX(상세표[직위],$Q2551)&amp;"")</f>
        <v/>
      </c>
      <c r="E2551">
        <f>IF($Q2551="","",IF(ISNUMBER(INDEX(상세표[근무일자],$Q2551)),TEXT(INDEX(상세표[근무일자],$Q2551),"yyyy-mm-dd"),INDEX(상세표[근무일자],$Q2551)&amp;""))</f>
        <v/>
      </c>
      <c r="F2551">
        <f>IF($Q2551="","",IF(ISNUMBER(INDEX(상세표[시작],$Q2551)),TEXT(INDEX(상세표[시작],$Q2551),"yyyy-mm-dd hh:mm"),INDEX(상세표[시작],$Q2551)&amp;""))</f>
        <v/>
      </c>
      <c r="G2551">
        <f>IF($Q2551="","",IF(ISNUMBER(INDEX(상세표[블록종료],$Q2551)),TEXT(INDEX(상세표[블록종료],$Q2551),"yyyy-mm-dd hh:mm"),INDEX(상세표[블록종료],$Q2551)&amp;""))</f>
        <v/>
      </c>
      <c r="H2551">
        <f>IF($Q2551="","",CHOOSE(WEEKDAY(INDEX(상세표[시작],$Q2551)),"일","월","화","수","목","금","토"))</f>
        <v/>
      </c>
      <c r="I2551" s="20">
        <f>IF($Q2551="","",INDEX(상세표[연속 시간],$Q2551))</f>
        <v/>
      </c>
      <c r="J2551">
        <f>IF($Q2551="","",INDEX(상세표[기록 수],$Q2551))</f>
        <v/>
      </c>
      <c r="K2551" s="20">
        <f>IF($Q2551="","",INDEX(상세표[블록 06~07시],$Q2551))</f>
        <v/>
      </c>
      <c r="L2551" s="20">
        <f>IF($Q2551="","",INDEX(상세표[블록 07~18시],$Q2551))</f>
        <v/>
      </c>
      <c r="M2551" s="20">
        <f>IF($Q2551="","",INDEX(상세표[블록 18~22시],$Q2551))</f>
        <v/>
      </c>
      <c r="N2551" s="20">
        <f>IF($Q2551="","",INDEX(상세표[블록 22~06시],$Q2551))</f>
        <v/>
      </c>
      <c r="O2551">
        <f>IF($Q2551="","",INDEX(상세표[주말·휴일 포함],$Q2551)&amp;"")</f>
        <v/>
      </c>
      <c r="P2551">
        <f>IF($Q2551="","",INDEX(상세표[월 넘김 포함],$Q2551)&amp;"")</f>
        <v/>
      </c>
      <c r="Q2551" s="4">
        <f>IFERROR(MATCH(2546,상세표[연속순번],0),"")</f>
        <v/>
      </c>
    </row>
    <row r="2552">
      <c r="A2552">
        <f>IF($Q2552="","",INDEX(상세표[부서],$Q2552)&amp;"")</f>
        <v/>
      </c>
      <c r="B2552">
        <f>IF($Q2552="","",INDEX(상세표[사번],$Q2552)&amp;"")</f>
        <v/>
      </c>
      <c r="C2552">
        <f>IF($Q2552="","",INDEX(상세표[성명],$Q2552)&amp;"")</f>
        <v/>
      </c>
      <c r="D2552">
        <f>IF($Q2552="","",INDEX(상세표[직위],$Q2552)&amp;"")</f>
        <v/>
      </c>
      <c r="E2552">
        <f>IF($Q2552="","",IF(ISNUMBER(INDEX(상세표[근무일자],$Q2552)),TEXT(INDEX(상세표[근무일자],$Q2552),"yyyy-mm-dd"),INDEX(상세표[근무일자],$Q2552)&amp;""))</f>
        <v/>
      </c>
      <c r="F2552">
        <f>IF($Q2552="","",IF(ISNUMBER(INDEX(상세표[시작],$Q2552)),TEXT(INDEX(상세표[시작],$Q2552),"yyyy-mm-dd hh:mm"),INDEX(상세표[시작],$Q2552)&amp;""))</f>
        <v/>
      </c>
      <c r="G2552">
        <f>IF($Q2552="","",IF(ISNUMBER(INDEX(상세표[블록종료],$Q2552)),TEXT(INDEX(상세표[블록종료],$Q2552),"yyyy-mm-dd hh:mm"),INDEX(상세표[블록종료],$Q2552)&amp;""))</f>
        <v/>
      </c>
      <c r="H2552">
        <f>IF($Q2552="","",CHOOSE(WEEKDAY(INDEX(상세표[시작],$Q2552)),"일","월","화","수","목","금","토"))</f>
        <v/>
      </c>
      <c r="I2552" s="20">
        <f>IF($Q2552="","",INDEX(상세표[연속 시간],$Q2552))</f>
        <v/>
      </c>
      <c r="J2552">
        <f>IF($Q2552="","",INDEX(상세표[기록 수],$Q2552))</f>
        <v/>
      </c>
      <c r="K2552" s="20">
        <f>IF($Q2552="","",INDEX(상세표[블록 06~07시],$Q2552))</f>
        <v/>
      </c>
      <c r="L2552" s="20">
        <f>IF($Q2552="","",INDEX(상세표[블록 07~18시],$Q2552))</f>
        <v/>
      </c>
      <c r="M2552" s="20">
        <f>IF($Q2552="","",INDEX(상세표[블록 18~22시],$Q2552))</f>
        <v/>
      </c>
      <c r="N2552" s="20">
        <f>IF($Q2552="","",INDEX(상세표[블록 22~06시],$Q2552))</f>
        <v/>
      </c>
      <c r="O2552">
        <f>IF($Q2552="","",INDEX(상세표[주말·휴일 포함],$Q2552)&amp;"")</f>
        <v/>
      </c>
      <c r="P2552">
        <f>IF($Q2552="","",INDEX(상세표[월 넘김 포함],$Q2552)&amp;"")</f>
        <v/>
      </c>
      <c r="Q2552" s="4">
        <f>IFERROR(MATCH(2547,상세표[연속순번],0),"")</f>
        <v/>
      </c>
    </row>
    <row r="2553">
      <c r="A2553">
        <f>IF($Q2553="","",INDEX(상세표[부서],$Q2553)&amp;"")</f>
        <v/>
      </c>
      <c r="B2553">
        <f>IF($Q2553="","",INDEX(상세표[사번],$Q2553)&amp;"")</f>
        <v/>
      </c>
      <c r="C2553">
        <f>IF($Q2553="","",INDEX(상세표[성명],$Q2553)&amp;"")</f>
        <v/>
      </c>
      <c r="D2553">
        <f>IF($Q2553="","",INDEX(상세표[직위],$Q2553)&amp;"")</f>
        <v/>
      </c>
      <c r="E2553">
        <f>IF($Q2553="","",IF(ISNUMBER(INDEX(상세표[근무일자],$Q2553)),TEXT(INDEX(상세표[근무일자],$Q2553),"yyyy-mm-dd"),INDEX(상세표[근무일자],$Q2553)&amp;""))</f>
        <v/>
      </c>
      <c r="F2553">
        <f>IF($Q2553="","",IF(ISNUMBER(INDEX(상세표[시작],$Q2553)),TEXT(INDEX(상세표[시작],$Q2553),"yyyy-mm-dd hh:mm"),INDEX(상세표[시작],$Q2553)&amp;""))</f>
        <v/>
      </c>
      <c r="G2553">
        <f>IF($Q2553="","",IF(ISNUMBER(INDEX(상세표[블록종료],$Q2553)),TEXT(INDEX(상세표[블록종료],$Q2553),"yyyy-mm-dd hh:mm"),INDEX(상세표[블록종료],$Q2553)&amp;""))</f>
        <v/>
      </c>
      <c r="H2553">
        <f>IF($Q2553="","",CHOOSE(WEEKDAY(INDEX(상세표[시작],$Q2553)),"일","월","화","수","목","금","토"))</f>
        <v/>
      </c>
      <c r="I2553" s="20">
        <f>IF($Q2553="","",INDEX(상세표[연속 시간],$Q2553))</f>
        <v/>
      </c>
      <c r="J2553">
        <f>IF($Q2553="","",INDEX(상세표[기록 수],$Q2553))</f>
        <v/>
      </c>
      <c r="K2553" s="20">
        <f>IF($Q2553="","",INDEX(상세표[블록 06~07시],$Q2553))</f>
        <v/>
      </c>
      <c r="L2553" s="20">
        <f>IF($Q2553="","",INDEX(상세표[블록 07~18시],$Q2553))</f>
        <v/>
      </c>
      <c r="M2553" s="20">
        <f>IF($Q2553="","",INDEX(상세표[블록 18~22시],$Q2553))</f>
        <v/>
      </c>
      <c r="N2553" s="20">
        <f>IF($Q2553="","",INDEX(상세표[블록 22~06시],$Q2553))</f>
        <v/>
      </c>
      <c r="O2553">
        <f>IF($Q2553="","",INDEX(상세표[주말·휴일 포함],$Q2553)&amp;"")</f>
        <v/>
      </c>
      <c r="P2553">
        <f>IF($Q2553="","",INDEX(상세표[월 넘김 포함],$Q2553)&amp;"")</f>
        <v/>
      </c>
      <c r="Q2553" s="4">
        <f>IFERROR(MATCH(2548,상세표[연속순번],0),"")</f>
        <v/>
      </c>
    </row>
    <row r="2554">
      <c r="A2554">
        <f>IF($Q2554="","",INDEX(상세표[부서],$Q2554)&amp;"")</f>
        <v/>
      </c>
      <c r="B2554">
        <f>IF($Q2554="","",INDEX(상세표[사번],$Q2554)&amp;"")</f>
        <v/>
      </c>
      <c r="C2554">
        <f>IF($Q2554="","",INDEX(상세표[성명],$Q2554)&amp;"")</f>
        <v/>
      </c>
      <c r="D2554">
        <f>IF($Q2554="","",INDEX(상세표[직위],$Q2554)&amp;"")</f>
        <v/>
      </c>
      <c r="E2554">
        <f>IF($Q2554="","",IF(ISNUMBER(INDEX(상세표[근무일자],$Q2554)),TEXT(INDEX(상세표[근무일자],$Q2554),"yyyy-mm-dd"),INDEX(상세표[근무일자],$Q2554)&amp;""))</f>
        <v/>
      </c>
      <c r="F2554">
        <f>IF($Q2554="","",IF(ISNUMBER(INDEX(상세표[시작],$Q2554)),TEXT(INDEX(상세표[시작],$Q2554),"yyyy-mm-dd hh:mm"),INDEX(상세표[시작],$Q2554)&amp;""))</f>
        <v/>
      </c>
      <c r="G2554">
        <f>IF($Q2554="","",IF(ISNUMBER(INDEX(상세표[블록종료],$Q2554)),TEXT(INDEX(상세표[블록종료],$Q2554),"yyyy-mm-dd hh:mm"),INDEX(상세표[블록종료],$Q2554)&amp;""))</f>
        <v/>
      </c>
      <c r="H2554">
        <f>IF($Q2554="","",CHOOSE(WEEKDAY(INDEX(상세표[시작],$Q2554)),"일","월","화","수","목","금","토"))</f>
        <v/>
      </c>
      <c r="I2554" s="20">
        <f>IF($Q2554="","",INDEX(상세표[연속 시간],$Q2554))</f>
        <v/>
      </c>
      <c r="J2554">
        <f>IF($Q2554="","",INDEX(상세표[기록 수],$Q2554))</f>
        <v/>
      </c>
      <c r="K2554" s="20">
        <f>IF($Q2554="","",INDEX(상세표[블록 06~07시],$Q2554))</f>
        <v/>
      </c>
      <c r="L2554" s="20">
        <f>IF($Q2554="","",INDEX(상세표[블록 07~18시],$Q2554))</f>
        <v/>
      </c>
      <c r="M2554" s="20">
        <f>IF($Q2554="","",INDEX(상세표[블록 18~22시],$Q2554))</f>
        <v/>
      </c>
      <c r="N2554" s="20">
        <f>IF($Q2554="","",INDEX(상세표[블록 22~06시],$Q2554))</f>
        <v/>
      </c>
      <c r="O2554">
        <f>IF($Q2554="","",INDEX(상세표[주말·휴일 포함],$Q2554)&amp;"")</f>
        <v/>
      </c>
      <c r="P2554">
        <f>IF($Q2554="","",INDEX(상세표[월 넘김 포함],$Q2554)&amp;"")</f>
        <v/>
      </c>
      <c r="Q2554" s="4">
        <f>IFERROR(MATCH(2549,상세표[연속순번],0),"")</f>
        <v/>
      </c>
    </row>
    <row r="2555">
      <c r="A2555">
        <f>IF($Q2555="","",INDEX(상세표[부서],$Q2555)&amp;"")</f>
        <v/>
      </c>
      <c r="B2555">
        <f>IF($Q2555="","",INDEX(상세표[사번],$Q2555)&amp;"")</f>
        <v/>
      </c>
      <c r="C2555">
        <f>IF($Q2555="","",INDEX(상세표[성명],$Q2555)&amp;"")</f>
        <v/>
      </c>
      <c r="D2555">
        <f>IF($Q2555="","",INDEX(상세표[직위],$Q2555)&amp;"")</f>
        <v/>
      </c>
      <c r="E2555">
        <f>IF($Q2555="","",IF(ISNUMBER(INDEX(상세표[근무일자],$Q2555)),TEXT(INDEX(상세표[근무일자],$Q2555),"yyyy-mm-dd"),INDEX(상세표[근무일자],$Q2555)&amp;""))</f>
        <v/>
      </c>
      <c r="F2555">
        <f>IF($Q2555="","",IF(ISNUMBER(INDEX(상세표[시작],$Q2555)),TEXT(INDEX(상세표[시작],$Q2555),"yyyy-mm-dd hh:mm"),INDEX(상세표[시작],$Q2555)&amp;""))</f>
        <v/>
      </c>
      <c r="G2555">
        <f>IF($Q2555="","",IF(ISNUMBER(INDEX(상세표[블록종료],$Q2555)),TEXT(INDEX(상세표[블록종료],$Q2555),"yyyy-mm-dd hh:mm"),INDEX(상세표[블록종료],$Q2555)&amp;""))</f>
        <v/>
      </c>
      <c r="H2555">
        <f>IF($Q2555="","",CHOOSE(WEEKDAY(INDEX(상세표[시작],$Q2555)),"일","월","화","수","목","금","토"))</f>
        <v/>
      </c>
      <c r="I2555" s="20">
        <f>IF($Q2555="","",INDEX(상세표[연속 시간],$Q2555))</f>
        <v/>
      </c>
      <c r="J2555">
        <f>IF($Q2555="","",INDEX(상세표[기록 수],$Q2555))</f>
        <v/>
      </c>
      <c r="K2555" s="20">
        <f>IF($Q2555="","",INDEX(상세표[블록 06~07시],$Q2555))</f>
        <v/>
      </c>
      <c r="L2555" s="20">
        <f>IF($Q2555="","",INDEX(상세표[블록 07~18시],$Q2555))</f>
        <v/>
      </c>
      <c r="M2555" s="20">
        <f>IF($Q2555="","",INDEX(상세표[블록 18~22시],$Q2555))</f>
        <v/>
      </c>
      <c r="N2555" s="20">
        <f>IF($Q2555="","",INDEX(상세표[블록 22~06시],$Q2555))</f>
        <v/>
      </c>
      <c r="O2555">
        <f>IF($Q2555="","",INDEX(상세표[주말·휴일 포함],$Q2555)&amp;"")</f>
        <v/>
      </c>
      <c r="P2555">
        <f>IF($Q2555="","",INDEX(상세표[월 넘김 포함],$Q2555)&amp;"")</f>
        <v/>
      </c>
      <c r="Q2555" s="4">
        <f>IFERROR(MATCH(2550,상세표[연속순번],0),"")</f>
        <v/>
      </c>
    </row>
    <row r="2556">
      <c r="A2556">
        <f>IF($Q2556="","",INDEX(상세표[부서],$Q2556)&amp;"")</f>
        <v/>
      </c>
      <c r="B2556">
        <f>IF($Q2556="","",INDEX(상세표[사번],$Q2556)&amp;"")</f>
        <v/>
      </c>
      <c r="C2556">
        <f>IF($Q2556="","",INDEX(상세표[성명],$Q2556)&amp;"")</f>
        <v/>
      </c>
      <c r="D2556">
        <f>IF($Q2556="","",INDEX(상세표[직위],$Q2556)&amp;"")</f>
        <v/>
      </c>
      <c r="E2556">
        <f>IF($Q2556="","",IF(ISNUMBER(INDEX(상세표[근무일자],$Q2556)),TEXT(INDEX(상세표[근무일자],$Q2556),"yyyy-mm-dd"),INDEX(상세표[근무일자],$Q2556)&amp;""))</f>
        <v/>
      </c>
      <c r="F2556">
        <f>IF($Q2556="","",IF(ISNUMBER(INDEX(상세표[시작],$Q2556)),TEXT(INDEX(상세표[시작],$Q2556),"yyyy-mm-dd hh:mm"),INDEX(상세표[시작],$Q2556)&amp;""))</f>
        <v/>
      </c>
      <c r="G2556">
        <f>IF($Q2556="","",IF(ISNUMBER(INDEX(상세표[블록종료],$Q2556)),TEXT(INDEX(상세표[블록종료],$Q2556),"yyyy-mm-dd hh:mm"),INDEX(상세표[블록종료],$Q2556)&amp;""))</f>
        <v/>
      </c>
      <c r="H2556">
        <f>IF($Q2556="","",CHOOSE(WEEKDAY(INDEX(상세표[시작],$Q2556)),"일","월","화","수","목","금","토"))</f>
        <v/>
      </c>
      <c r="I2556" s="20">
        <f>IF($Q2556="","",INDEX(상세표[연속 시간],$Q2556))</f>
        <v/>
      </c>
      <c r="J2556">
        <f>IF($Q2556="","",INDEX(상세표[기록 수],$Q2556))</f>
        <v/>
      </c>
      <c r="K2556" s="20">
        <f>IF($Q2556="","",INDEX(상세표[블록 06~07시],$Q2556))</f>
        <v/>
      </c>
      <c r="L2556" s="20">
        <f>IF($Q2556="","",INDEX(상세표[블록 07~18시],$Q2556))</f>
        <v/>
      </c>
      <c r="M2556" s="20">
        <f>IF($Q2556="","",INDEX(상세표[블록 18~22시],$Q2556))</f>
        <v/>
      </c>
      <c r="N2556" s="20">
        <f>IF($Q2556="","",INDEX(상세표[블록 22~06시],$Q2556))</f>
        <v/>
      </c>
      <c r="O2556">
        <f>IF($Q2556="","",INDEX(상세표[주말·휴일 포함],$Q2556)&amp;"")</f>
        <v/>
      </c>
      <c r="P2556">
        <f>IF($Q2556="","",INDEX(상세표[월 넘김 포함],$Q2556)&amp;"")</f>
        <v/>
      </c>
      <c r="Q2556" s="4">
        <f>IFERROR(MATCH(2551,상세표[연속순번],0),"")</f>
        <v/>
      </c>
    </row>
    <row r="2557">
      <c r="A2557">
        <f>IF($Q2557="","",INDEX(상세표[부서],$Q2557)&amp;"")</f>
        <v/>
      </c>
      <c r="B2557">
        <f>IF($Q2557="","",INDEX(상세표[사번],$Q2557)&amp;"")</f>
        <v/>
      </c>
      <c r="C2557">
        <f>IF($Q2557="","",INDEX(상세표[성명],$Q2557)&amp;"")</f>
        <v/>
      </c>
      <c r="D2557">
        <f>IF($Q2557="","",INDEX(상세표[직위],$Q2557)&amp;"")</f>
        <v/>
      </c>
      <c r="E2557">
        <f>IF($Q2557="","",IF(ISNUMBER(INDEX(상세표[근무일자],$Q2557)),TEXT(INDEX(상세표[근무일자],$Q2557),"yyyy-mm-dd"),INDEX(상세표[근무일자],$Q2557)&amp;""))</f>
        <v/>
      </c>
      <c r="F2557">
        <f>IF($Q2557="","",IF(ISNUMBER(INDEX(상세표[시작],$Q2557)),TEXT(INDEX(상세표[시작],$Q2557),"yyyy-mm-dd hh:mm"),INDEX(상세표[시작],$Q2557)&amp;""))</f>
        <v/>
      </c>
      <c r="G2557">
        <f>IF($Q2557="","",IF(ISNUMBER(INDEX(상세표[블록종료],$Q2557)),TEXT(INDEX(상세표[블록종료],$Q2557),"yyyy-mm-dd hh:mm"),INDEX(상세표[블록종료],$Q2557)&amp;""))</f>
        <v/>
      </c>
      <c r="H2557">
        <f>IF($Q2557="","",CHOOSE(WEEKDAY(INDEX(상세표[시작],$Q2557)),"일","월","화","수","목","금","토"))</f>
        <v/>
      </c>
      <c r="I2557" s="20">
        <f>IF($Q2557="","",INDEX(상세표[연속 시간],$Q2557))</f>
        <v/>
      </c>
      <c r="J2557">
        <f>IF($Q2557="","",INDEX(상세표[기록 수],$Q2557))</f>
        <v/>
      </c>
      <c r="K2557" s="20">
        <f>IF($Q2557="","",INDEX(상세표[블록 06~07시],$Q2557))</f>
        <v/>
      </c>
      <c r="L2557" s="20">
        <f>IF($Q2557="","",INDEX(상세표[블록 07~18시],$Q2557))</f>
        <v/>
      </c>
      <c r="M2557" s="20">
        <f>IF($Q2557="","",INDEX(상세표[블록 18~22시],$Q2557))</f>
        <v/>
      </c>
      <c r="N2557" s="20">
        <f>IF($Q2557="","",INDEX(상세표[블록 22~06시],$Q2557))</f>
        <v/>
      </c>
      <c r="O2557">
        <f>IF($Q2557="","",INDEX(상세표[주말·휴일 포함],$Q2557)&amp;"")</f>
        <v/>
      </c>
      <c r="P2557">
        <f>IF($Q2557="","",INDEX(상세표[월 넘김 포함],$Q2557)&amp;"")</f>
        <v/>
      </c>
      <c r="Q2557" s="4">
        <f>IFERROR(MATCH(2552,상세표[연속순번],0),"")</f>
        <v/>
      </c>
    </row>
    <row r="2558">
      <c r="A2558">
        <f>IF($Q2558="","",INDEX(상세표[부서],$Q2558)&amp;"")</f>
        <v/>
      </c>
      <c r="B2558">
        <f>IF($Q2558="","",INDEX(상세표[사번],$Q2558)&amp;"")</f>
        <v/>
      </c>
      <c r="C2558">
        <f>IF($Q2558="","",INDEX(상세표[성명],$Q2558)&amp;"")</f>
        <v/>
      </c>
      <c r="D2558">
        <f>IF($Q2558="","",INDEX(상세표[직위],$Q2558)&amp;"")</f>
        <v/>
      </c>
      <c r="E2558">
        <f>IF($Q2558="","",IF(ISNUMBER(INDEX(상세표[근무일자],$Q2558)),TEXT(INDEX(상세표[근무일자],$Q2558),"yyyy-mm-dd"),INDEX(상세표[근무일자],$Q2558)&amp;""))</f>
        <v/>
      </c>
      <c r="F2558">
        <f>IF($Q2558="","",IF(ISNUMBER(INDEX(상세표[시작],$Q2558)),TEXT(INDEX(상세표[시작],$Q2558),"yyyy-mm-dd hh:mm"),INDEX(상세표[시작],$Q2558)&amp;""))</f>
        <v/>
      </c>
      <c r="G2558">
        <f>IF($Q2558="","",IF(ISNUMBER(INDEX(상세표[블록종료],$Q2558)),TEXT(INDEX(상세표[블록종료],$Q2558),"yyyy-mm-dd hh:mm"),INDEX(상세표[블록종료],$Q2558)&amp;""))</f>
        <v/>
      </c>
      <c r="H2558">
        <f>IF($Q2558="","",CHOOSE(WEEKDAY(INDEX(상세표[시작],$Q2558)),"일","월","화","수","목","금","토"))</f>
        <v/>
      </c>
      <c r="I2558" s="20">
        <f>IF($Q2558="","",INDEX(상세표[연속 시간],$Q2558))</f>
        <v/>
      </c>
      <c r="J2558">
        <f>IF($Q2558="","",INDEX(상세표[기록 수],$Q2558))</f>
        <v/>
      </c>
      <c r="K2558" s="20">
        <f>IF($Q2558="","",INDEX(상세표[블록 06~07시],$Q2558))</f>
        <v/>
      </c>
      <c r="L2558" s="20">
        <f>IF($Q2558="","",INDEX(상세표[블록 07~18시],$Q2558))</f>
        <v/>
      </c>
      <c r="M2558" s="20">
        <f>IF($Q2558="","",INDEX(상세표[블록 18~22시],$Q2558))</f>
        <v/>
      </c>
      <c r="N2558" s="20">
        <f>IF($Q2558="","",INDEX(상세표[블록 22~06시],$Q2558))</f>
        <v/>
      </c>
      <c r="O2558">
        <f>IF($Q2558="","",INDEX(상세표[주말·휴일 포함],$Q2558)&amp;"")</f>
        <v/>
      </c>
      <c r="P2558">
        <f>IF($Q2558="","",INDEX(상세표[월 넘김 포함],$Q2558)&amp;"")</f>
        <v/>
      </c>
      <c r="Q2558" s="4">
        <f>IFERROR(MATCH(2553,상세표[연속순번],0),"")</f>
        <v/>
      </c>
    </row>
    <row r="2559">
      <c r="A2559">
        <f>IF($Q2559="","",INDEX(상세표[부서],$Q2559)&amp;"")</f>
        <v/>
      </c>
      <c r="B2559">
        <f>IF($Q2559="","",INDEX(상세표[사번],$Q2559)&amp;"")</f>
        <v/>
      </c>
      <c r="C2559">
        <f>IF($Q2559="","",INDEX(상세표[성명],$Q2559)&amp;"")</f>
        <v/>
      </c>
      <c r="D2559">
        <f>IF($Q2559="","",INDEX(상세표[직위],$Q2559)&amp;"")</f>
        <v/>
      </c>
      <c r="E2559">
        <f>IF($Q2559="","",IF(ISNUMBER(INDEX(상세표[근무일자],$Q2559)),TEXT(INDEX(상세표[근무일자],$Q2559),"yyyy-mm-dd"),INDEX(상세표[근무일자],$Q2559)&amp;""))</f>
        <v/>
      </c>
      <c r="F2559">
        <f>IF($Q2559="","",IF(ISNUMBER(INDEX(상세표[시작],$Q2559)),TEXT(INDEX(상세표[시작],$Q2559),"yyyy-mm-dd hh:mm"),INDEX(상세표[시작],$Q2559)&amp;""))</f>
        <v/>
      </c>
      <c r="G2559">
        <f>IF($Q2559="","",IF(ISNUMBER(INDEX(상세표[블록종료],$Q2559)),TEXT(INDEX(상세표[블록종료],$Q2559),"yyyy-mm-dd hh:mm"),INDEX(상세표[블록종료],$Q2559)&amp;""))</f>
        <v/>
      </c>
      <c r="H2559">
        <f>IF($Q2559="","",CHOOSE(WEEKDAY(INDEX(상세표[시작],$Q2559)),"일","월","화","수","목","금","토"))</f>
        <v/>
      </c>
      <c r="I2559" s="20">
        <f>IF($Q2559="","",INDEX(상세표[연속 시간],$Q2559))</f>
        <v/>
      </c>
      <c r="J2559">
        <f>IF($Q2559="","",INDEX(상세표[기록 수],$Q2559))</f>
        <v/>
      </c>
      <c r="K2559" s="20">
        <f>IF($Q2559="","",INDEX(상세표[블록 06~07시],$Q2559))</f>
        <v/>
      </c>
      <c r="L2559" s="20">
        <f>IF($Q2559="","",INDEX(상세표[블록 07~18시],$Q2559))</f>
        <v/>
      </c>
      <c r="M2559" s="20">
        <f>IF($Q2559="","",INDEX(상세표[블록 18~22시],$Q2559))</f>
        <v/>
      </c>
      <c r="N2559" s="20">
        <f>IF($Q2559="","",INDEX(상세표[블록 22~06시],$Q2559))</f>
        <v/>
      </c>
      <c r="O2559">
        <f>IF($Q2559="","",INDEX(상세표[주말·휴일 포함],$Q2559)&amp;"")</f>
        <v/>
      </c>
      <c r="P2559">
        <f>IF($Q2559="","",INDEX(상세표[월 넘김 포함],$Q2559)&amp;"")</f>
        <v/>
      </c>
      <c r="Q2559" s="4">
        <f>IFERROR(MATCH(2554,상세표[연속순번],0),"")</f>
        <v/>
      </c>
    </row>
    <row r="2560">
      <c r="A2560">
        <f>IF($Q2560="","",INDEX(상세표[부서],$Q2560)&amp;"")</f>
        <v/>
      </c>
      <c r="B2560">
        <f>IF($Q2560="","",INDEX(상세표[사번],$Q2560)&amp;"")</f>
        <v/>
      </c>
      <c r="C2560">
        <f>IF($Q2560="","",INDEX(상세표[성명],$Q2560)&amp;"")</f>
        <v/>
      </c>
      <c r="D2560">
        <f>IF($Q2560="","",INDEX(상세표[직위],$Q2560)&amp;"")</f>
        <v/>
      </c>
      <c r="E2560">
        <f>IF($Q2560="","",IF(ISNUMBER(INDEX(상세표[근무일자],$Q2560)),TEXT(INDEX(상세표[근무일자],$Q2560),"yyyy-mm-dd"),INDEX(상세표[근무일자],$Q2560)&amp;""))</f>
        <v/>
      </c>
      <c r="F2560">
        <f>IF($Q2560="","",IF(ISNUMBER(INDEX(상세표[시작],$Q2560)),TEXT(INDEX(상세표[시작],$Q2560),"yyyy-mm-dd hh:mm"),INDEX(상세표[시작],$Q2560)&amp;""))</f>
        <v/>
      </c>
      <c r="G2560">
        <f>IF($Q2560="","",IF(ISNUMBER(INDEX(상세표[블록종료],$Q2560)),TEXT(INDEX(상세표[블록종료],$Q2560),"yyyy-mm-dd hh:mm"),INDEX(상세표[블록종료],$Q2560)&amp;""))</f>
        <v/>
      </c>
      <c r="H2560">
        <f>IF($Q2560="","",CHOOSE(WEEKDAY(INDEX(상세표[시작],$Q2560)),"일","월","화","수","목","금","토"))</f>
        <v/>
      </c>
      <c r="I2560" s="20">
        <f>IF($Q2560="","",INDEX(상세표[연속 시간],$Q2560))</f>
        <v/>
      </c>
      <c r="J2560">
        <f>IF($Q2560="","",INDEX(상세표[기록 수],$Q2560))</f>
        <v/>
      </c>
      <c r="K2560" s="20">
        <f>IF($Q2560="","",INDEX(상세표[블록 06~07시],$Q2560))</f>
        <v/>
      </c>
      <c r="L2560" s="20">
        <f>IF($Q2560="","",INDEX(상세표[블록 07~18시],$Q2560))</f>
        <v/>
      </c>
      <c r="M2560" s="20">
        <f>IF($Q2560="","",INDEX(상세표[블록 18~22시],$Q2560))</f>
        <v/>
      </c>
      <c r="N2560" s="20">
        <f>IF($Q2560="","",INDEX(상세표[블록 22~06시],$Q2560))</f>
        <v/>
      </c>
      <c r="O2560">
        <f>IF($Q2560="","",INDEX(상세표[주말·휴일 포함],$Q2560)&amp;"")</f>
        <v/>
      </c>
      <c r="P2560">
        <f>IF($Q2560="","",INDEX(상세표[월 넘김 포함],$Q2560)&amp;"")</f>
        <v/>
      </c>
      <c r="Q2560" s="4">
        <f>IFERROR(MATCH(2555,상세표[연속순번],0),"")</f>
        <v/>
      </c>
    </row>
    <row r="2561">
      <c r="A2561">
        <f>IF($Q2561="","",INDEX(상세표[부서],$Q2561)&amp;"")</f>
        <v/>
      </c>
      <c r="B2561">
        <f>IF($Q2561="","",INDEX(상세표[사번],$Q2561)&amp;"")</f>
        <v/>
      </c>
      <c r="C2561">
        <f>IF($Q2561="","",INDEX(상세표[성명],$Q2561)&amp;"")</f>
        <v/>
      </c>
      <c r="D2561">
        <f>IF($Q2561="","",INDEX(상세표[직위],$Q2561)&amp;"")</f>
        <v/>
      </c>
      <c r="E2561">
        <f>IF($Q2561="","",IF(ISNUMBER(INDEX(상세표[근무일자],$Q2561)),TEXT(INDEX(상세표[근무일자],$Q2561),"yyyy-mm-dd"),INDEX(상세표[근무일자],$Q2561)&amp;""))</f>
        <v/>
      </c>
      <c r="F2561">
        <f>IF($Q2561="","",IF(ISNUMBER(INDEX(상세표[시작],$Q2561)),TEXT(INDEX(상세표[시작],$Q2561),"yyyy-mm-dd hh:mm"),INDEX(상세표[시작],$Q2561)&amp;""))</f>
        <v/>
      </c>
      <c r="G2561">
        <f>IF($Q2561="","",IF(ISNUMBER(INDEX(상세표[블록종료],$Q2561)),TEXT(INDEX(상세표[블록종료],$Q2561),"yyyy-mm-dd hh:mm"),INDEX(상세표[블록종료],$Q2561)&amp;""))</f>
        <v/>
      </c>
      <c r="H2561">
        <f>IF($Q2561="","",CHOOSE(WEEKDAY(INDEX(상세표[시작],$Q2561)),"일","월","화","수","목","금","토"))</f>
        <v/>
      </c>
      <c r="I2561" s="20">
        <f>IF($Q2561="","",INDEX(상세표[연속 시간],$Q2561))</f>
        <v/>
      </c>
      <c r="J2561">
        <f>IF($Q2561="","",INDEX(상세표[기록 수],$Q2561))</f>
        <v/>
      </c>
      <c r="K2561" s="20">
        <f>IF($Q2561="","",INDEX(상세표[블록 06~07시],$Q2561))</f>
        <v/>
      </c>
      <c r="L2561" s="20">
        <f>IF($Q2561="","",INDEX(상세표[블록 07~18시],$Q2561))</f>
        <v/>
      </c>
      <c r="M2561" s="20">
        <f>IF($Q2561="","",INDEX(상세표[블록 18~22시],$Q2561))</f>
        <v/>
      </c>
      <c r="N2561" s="20">
        <f>IF($Q2561="","",INDEX(상세표[블록 22~06시],$Q2561))</f>
        <v/>
      </c>
      <c r="O2561">
        <f>IF($Q2561="","",INDEX(상세표[주말·휴일 포함],$Q2561)&amp;"")</f>
        <v/>
      </c>
      <c r="P2561">
        <f>IF($Q2561="","",INDEX(상세표[월 넘김 포함],$Q2561)&amp;"")</f>
        <v/>
      </c>
      <c r="Q2561" s="4">
        <f>IFERROR(MATCH(2556,상세표[연속순번],0),"")</f>
        <v/>
      </c>
    </row>
    <row r="2562">
      <c r="A2562">
        <f>IF($Q2562="","",INDEX(상세표[부서],$Q2562)&amp;"")</f>
        <v/>
      </c>
      <c r="B2562">
        <f>IF($Q2562="","",INDEX(상세표[사번],$Q2562)&amp;"")</f>
        <v/>
      </c>
      <c r="C2562">
        <f>IF($Q2562="","",INDEX(상세표[성명],$Q2562)&amp;"")</f>
        <v/>
      </c>
      <c r="D2562">
        <f>IF($Q2562="","",INDEX(상세표[직위],$Q2562)&amp;"")</f>
        <v/>
      </c>
      <c r="E2562">
        <f>IF($Q2562="","",IF(ISNUMBER(INDEX(상세표[근무일자],$Q2562)),TEXT(INDEX(상세표[근무일자],$Q2562),"yyyy-mm-dd"),INDEX(상세표[근무일자],$Q2562)&amp;""))</f>
        <v/>
      </c>
      <c r="F2562">
        <f>IF($Q2562="","",IF(ISNUMBER(INDEX(상세표[시작],$Q2562)),TEXT(INDEX(상세표[시작],$Q2562),"yyyy-mm-dd hh:mm"),INDEX(상세표[시작],$Q2562)&amp;""))</f>
        <v/>
      </c>
      <c r="G2562">
        <f>IF($Q2562="","",IF(ISNUMBER(INDEX(상세표[블록종료],$Q2562)),TEXT(INDEX(상세표[블록종료],$Q2562),"yyyy-mm-dd hh:mm"),INDEX(상세표[블록종료],$Q2562)&amp;""))</f>
        <v/>
      </c>
      <c r="H2562">
        <f>IF($Q2562="","",CHOOSE(WEEKDAY(INDEX(상세표[시작],$Q2562)),"일","월","화","수","목","금","토"))</f>
        <v/>
      </c>
      <c r="I2562" s="20">
        <f>IF($Q2562="","",INDEX(상세표[연속 시간],$Q2562))</f>
        <v/>
      </c>
      <c r="J2562">
        <f>IF($Q2562="","",INDEX(상세표[기록 수],$Q2562))</f>
        <v/>
      </c>
      <c r="K2562" s="20">
        <f>IF($Q2562="","",INDEX(상세표[블록 06~07시],$Q2562))</f>
        <v/>
      </c>
      <c r="L2562" s="20">
        <f>IF($Q2562="","",INDEX(상세표[블록 07~18시],$Q2562))</f>
        <v/>
      </c>
      <c r="M2562" s="20">
        <f>IF($Q2562="","",INDEX(상세표[블록 18~22시],$Q2562))</f>
        <v/>
      </c>
      <c r="N2562" s="20">
        <f>IF($Q2562="","",INDEX(상세표[블록 22~06시],$Q2562))</f>
        <v/>
      </c>
      <c r="O2562">
        <f>IF($Q2562="","",INDEX(상세표[주말·휴일 포함],$Q2562)&amp;"")</f>
        <v/>
      </c>
      <c r="P2562">
        <f>IF($Q2562="","",INDEX(상세표[월 넘김 포함],$Q2562)&amp;"")</f>
        <v/>
      </c>
      <c r="Q2562" s="4">
        <f>IFERROR(MATCH(2557,상세표[연속순번],0),"")</f>
        <v/>
      </c>
    </row>
    <row r="2563">
      <c r="A2563">
        <f>IF($Q2563="","",INDEX(상세표[부서],$Q2563)&amp;"")</f>
        <v/>
      </c>
      <c r="B2563">
        <f>IF($Q2563="","",INDEX(상세표[사번],$Q2563)&amp;"")</f>
        <v/>
      </c>
      <c r="C2563">
        <f>IF($Q2563="","",INDEX(상세표[성명],$Q2563)&amp;"")</f>
        <v/>
      </c>
      <c r="D2563">
        <f>IF($Q2563="","",INDEX(상세표[직위],$Q2563)&amp;"")</f>
        <v/>
      </c>
      <c r="E2563">
        <f>IF($Q2563="","",IF(ISNUMBER(INDEX(상세표[근무일자],$Q2563)),TEXT(INDEX(상세표[근무일자],$Q2563),"yyyy-mm-dd"),INDEX(상세표[근무일자],$Q2563)&amp;""))</f>
        <v/>
      </c>
      <c r="F2563">
        <f>IF($Q2563="","",IF(ISNUMBER(INDEX(상세표[시작],$Q2563)),TEXT(INDEX(상세표[시작],$Q2563),"yyyy-mm-dd hh:mm"),INDEX(상세표[시작],$Q2563)&amp;""))</f>
        <v/>
      </c>
      <c r="G2563">
        <f>IF($Q2563="","",IF(ISNUMBER(INDEX(상세표[블록종료],$Q2563)),TEXT(INDEX(상세표[블록종료],$Q2563),"yyyy-mm-dd hh:mm"),INDEX(상세표[블록종료],$Q2563)&amp;""))</f>
        <v/>
      </c>
      <c r="H2563">
        <f>IF($Q2563="","",CHOOSE(WEEKDAY(INDEX(상세표[시작],$Q2563)),"일","월","화","수","목","금","토"))</f>
        <v/>
      </c>
      <c r="I2563" s="20">
        <f>IF($Q2563="","",INDEX(상세표[연속 시간],$Q2563))</f>
        <v/>
      </c>
      <c r="J2563">
        <f>IF($Q2563="","",INDEX(상세표[기록 수],$Q2563))</f>
        <v/>
      </c>
      <c r="K2563" s="20">
        <f>IF($Q2563="","",INDEX(상세표[블록 06~07시],$Q2563))</f>
        <v/>
      </c>
      <c r="L2563" s="20">
        <f>IF($Q2563="","",INDEX(상세표[블록 07~18시],$Q2563))</f>
        <v/>
      </c>
      <c r="M2563" s="20">
        <f>IF($Q2563="","",INDEX(상세표[블록 18~22시],$Q2563))</f>
        <v/>
      </c>
      <c r="N2563" s="20">
        <f>IF($Q2563="","",INDEX(상세표[블록 22~06시],$Q2563))</f>
        <v/>
      </c>
      <c r="O2563">
        <f>IF($Q2563="","",INDEX(상세표[주말·휴일 포함],$Q2563)&amp;"")</f>
        <v/>
      </c>
      <c r="P2563">
        <f>IF($Q2563="","",INDEX(상세표[월 넘김 포함],$Q2563)&amp;"")</f>
        <v/>
      </c>
      <c r="Q2563" s="4">
        <f>IFERROR(MATCH(2558,상세표[연속순번],0),"")</f>
        <v/>
      </c>
    </row>
    <row r="2564">
      <c r="A2564">
        <f>IF($Q2564="","",INDEX(상세표[부서],$Q2564)&amp;"")</f>
        <v/>
      </c>
      <c r="B2564">
        <f>IF($Q2564="","",INDEX(상세표[사번],$Q2564)&amp;"")</f>
        <v/>
      </c>
      <c r="C2564">
        <f>IF($Q2564="","",INDEX(상세표[성명],$Q2564)&amp;"")</f>
        <v/>
      </c>
      <c r="D2564">
        <f>IF($Q2564="","",INDEX(상세표[직위],$Q2564)&amp;"")</f>
        <v/>
      </c>
      <c r="E2564">
        <f>IF($Q2564="","",IF(ISNUMBER(INDEX(상세표[근무일자],$Q2564)),TEXT(INDEX(상세표[근무일자],$Q2564),"yyyy-mm-dd"),INDEX(상세표[근무일자],$Q2564)&amp;""))</f>
        <v/>
      </c>
      <c r="F2564">
        <f>IF($Q2564="","",IF(ISNUMBER(INDEX(상세표[시작],$Q2564)),TEXT(INDEX(상세표[시작],$Q2564),"yyyy-mm-dd hh:mm"),INDEX(상세표[시작],$Q2564)&amp;""))</f>
        <v/>
      </c>
      <c r="G2564">
        <f>IF($Q2564="","",IF(ISNUMBER(INDEX(상세표[블록종료],$Q2564)),TEXT(INDEX(상세표[블록종료],$Q2564),"yyyy-mm-dd hh:mm"),INDEX(상세표[블록종료],$Q2564)&amp;""))</f>
        <v/>
      </c>
      <c r="H2564">
        <f>IF($Q2564="","",CHOOSE(WEEKDAY(INDEX(상세표[시작],$Q2564)),"일","월","화","수","목","금","토"))</f>
        <v/>
      </c>
      <c r="I2564" s="20">
        <f>IF($Q2564="","",INDEX(상세표[연속 시간],$Q2564))</f>
        <v/>
      </c>
      <c r="J2564">
        <f>IF($Q2564="","",INDEX(상세표[기록 수],$Q2564))</f>
        <v/>
      </c>
      <c r="K2564" s="20">
        <f>IF($Q2564="","",INDEX(상세표[블록 06~07시],$Q2564))</f>
        <v/>
      </c>
      <c r="L2564" s="20">
        <f>IF($Q2564="","",INDEX(상세표[블록 07~18시],$Q2564))</f>
        <v/>
      </c>
      <c r="M2564" s="20">
        <f>IF($Q2564="","",INDEX(상세표[블록 18~22시],$Q2564))</f>
        <v/>
      </c>
      <c r="N2564" s="20">
        <f>IF($Q2564="","",INDEX(상세표[블록 22~06시],$Q2564))</f>
        <v/>
      </c>
      <c r="O2564">
        <f>IF($Q2564="","",INDEX(상세표[주말·휴일 포함],$Q2564)&amp;"")</f>
        <v/>
      </c>
      <c r="P2564">
        <f>IF($Q2564="","",INDEX(상세표[월 넘김 포함],$Q2564)&amp;"")</f>
        <v/>
      </c>
      <c r="Q2564" s="4">
        <f>IFERROR(MATCH(2559,상세표[연속순번],0),"")</f>
        <v/>
      </c>
    </row>
    <row r="2565">
      <c r="A2565">
        <f>IF($Q2565="","",INDEX(상세표[부서],$Q2565)&amp;"")</f>
        <v/>
      </c>
      <c r="B2565">
        <f>IF($Q2565="","",INDEX(상세표[사번],$Q2565)&amp;"")</f>
        <v/>
      </c>
      <c r="C2565">
        <f>IF($Q2565="","",INDEX(상세표[성명],$Q2565)&amp;"")</f>
        <v/>
      </c>
      <c r="D2565">
        <f>IF($Q2565="","",INDEX(상세표[직위],$Q2565)&amp;"")</f>
        <v/>
      </c>
      <c r="E2565">
        <f>IF($Q2565="","",IF(ISNUMBER(INDEX(상세표[근무일자],$Q2565)),TEXT(INDEX(상세표[근무일자],$Q2565),"yyyy-mm-dd"),INDEX(상세표[근무일자],$Q2565)&amp;""))</f>
        <v/>
      </c>
      <c r="F2565">
        <f>IF($Q2565="","",IF(ISNUMBER(INDEX(상세표[시작],$Q2565)),TEXT(INDEX(상세표[시작],$Q2565),"yyyy-mm-dd hh:mm"),INDEX(상세표[시작],$Q2565)&amp;""))</f>
        <v/>
      </c>
      <c r="G2565">
        <f>IF($Q2565="","",IF(ISNUMBER(INDEX(상세표[블록종료],$Q2565)),TEXT(INDEX(상세표[블록종료],$Q2565),"yyyy-mm-dd hh:mm"),INDEX(상세표[블록종료],$Q2565)&amp;""))</f>
        <v/>
      </c>
      <c r="H2565">
        <f>IF($Q2565="","",CHOOSE(WEEKDAY(INDEX(상세표[시작],$Q2565)),"일","월","화","수","목","금","토"))</f>
        <v/>
      </c>
      <c r="I2565" s="20">
        <f>IF($Q2565="","",INDEX(상세표[연속 시간],$Q2565))</f>
        <v/>
      </c>
      <c r="J2565">
        <f>IF($Q2565="","",INDEX(상세표[기록 수],$Q2565))</f>
        <v/>
      </c>
      <c r="K2565" s="20">
        <f>IF($Q2565="","",INDEX(상세표[블록 06~07시],$Q2565))</f>
        <v/>
      </c>
      <c r="L2565" s="20">
        <f>IF($Q2565="","",INDEX(상세표[블록 07~18시],$Q2565))</f>
        <v/>
      </c>
      <c r="M2565" s="20">
        <f>IF($Q2565="","",INDEX(상세표[블록 18~22시],$Q2565))</f>
        <v/>
      </c>
      <c r="N2565" s="20">
        <f>IF($Q2565="","",INDEX(상세표[블록 22~06시],$Q2565))</f>
        <v/>
      </c>
      <c r="O2565">
        <f>IF($Q2565="","",INDEX(상세표[주말·휴일 포함],$Q2565)&amp;"")</f>
        <v/>
      </c>
      <c r="P2565">
        <f>IF($Q2565="","",INDEX(상세표[월 넘김 포함],$Q2565)&amp;"")</f>
        <v/>
      </c>
      <c r="Q2565" s="4">
        <f>IFERROR(MATCH(2560,상세표[연속순번],0),"")</f>
        <v/>
      </c>
    </row>
    <row r="2566">
      <c r="A2566">
        <f>IF($Q2566="","",INDEX(상세표[부서],$Q2566)&amp;"")</f>
        <v/>
      </c>
      <c r="B2566">
        <f>IF($Q2566="","",INDEX(상세표[사번],$Q2566)&amp;"")</f>
        <v/>
      </c>
      <c r="C2566">
        <f>IF($Q2566="","",INDEX(상세표[성명],$Q2566)&amp;"")</f>
        <v/>
      </c>
      <c r="D2566">
        <f>IF($Q2566="","",INDEX(상세표[직위],$Q2566)&amp;"")</f>
        <v/>
      </c>
      <c r="E2566">
        <f>IF($Q2566="","",IF(ISNUMBER(INDEX(상세표[근무일자],$Q2566)),TEXT(INDEX(상세표[근무일자],$Q2566),"yyyy-mm-dd"),INDEX(상세표[근무일자],$Q2566)&amp;""))</f>
        <v/>
      </c>
      <c r="F2566">
        <f>IF($Q2566="","",IF(ISNUMBER(INDEX(상세표[시작],$Q2566)),TEXT(INDEX(상세표[시작],$Q2566),"yyyy-mm-dd hh:mm"),INDEX(상세표[시작],$Q2566)&amp;""))</f>
        <v/>
      </c>
      <c r="G2566">
        <f>IF($Q2566="","",IF(ISNUMBER(INDEX(상세표[블록종료],$Q2566)),TEXT(INDEX(상세표[블록종료],$Q2566),"yyyy-mm-dd hh:mm"),INDEX(상세표[블록종료],$Q2566)&amp;""))</f>
        <v/>
      </c>
      <c r="H2566">
        <f>IF($Q2566="","",CHOOSE(WEEKDAY(INDEX(상세표[시작],$Q2566)),"일","월","화","수","목","금","토"))</f>
        <v/>
      </c>
      <c r="I2566" s="20">
        <f>IF($Q2566="","",INDEX(상세표[연속 시간],$Q2566))</f>
        <v/>
      </c>
      <c r="J2566">
        <f>IF($Q2566="","",INDEX(상세표[기록 수],$Q2566))</f>
        <v/>
      </c>
      <c r="K2566" s="20">
        <f>IF($Q2566="","",INDEX(상세표[블록 06~07시],$Q2566))</f>
        <v/>
      </c>
      <c r="L2566" s="20">
        <f>IF($Q2566="","",INDEX(상세표[블록 07~18시],$Q2566))</f>
        <v/>
      </c>
      <c r="M2566" s="20">
        <f>IF($Q2566="","",INDEX(상세표[블록 18~22시],$Q2566))</f>
        <v/>
      </c>
      <c r="N2566" s="20">
        <f>IF($Q2566="","",INDEX(상세표[블록 22~06시],$Q2566))</f>
        <v/>
      </c>
      <c r="O2566">
        <f>IF($Q2566="","",INDEX(상세표[주말·휴일 포함],$Q2566)&amp;"")</f>
        <v/>
      </c>
      <c r="P2566">
        <f>IF($Q2566="","",INDEX(상세표[월 넘김 포함],$Q2566)&amp;"")</f>
        <v/>
      </c>
      <c r="Q2566" s="4">
        <f>IFERROR(MATCH(2561,상세표[연속순번],0),"")</f>
        <v/>
      </c>
    </row>
    <row r="2567">
      <c r="A2567">
        <f>IF($Q2567="","",INDEX(상세표[부서],$Q2567)&amp;"")</f>
        <v/>
      </c>
      <c r="B2567">
        <f>IF($Q2567="","",INDEX(상세표[사번],$Q2567)&amp;"")</f>
        <v/>
      </c>
      <c r="C2567">
        <f>IF($Q2567="","",INDEX(상세표[성명],$Q2567)&amp;"")</f>
        <v/>
      </c>
      <c r="D2567">
        <f>IF($Q2567="","",INDEX(상세표[직위],$Q2567)&amp;"")</f>
        <v/>
      </c>
      <c r="E2567">
        <f>IF($Q2567="","",IF(ISNUMBER(INDEX(상세표[근무일자],$Q2567)),TEXT(INDEX(상세표[근무일자],$Q2567),"yyyy-mm-dd"),INDEX(상세표[근무일자],$Q2567)&amp;""))</f>
        <v/>
      </c>
      <c r="F2567">
        <f>IF($Q2567="","",IF(ISNUMBER(INDEX(상세표[시작],$Q2567)),TEXT(INDEX(상세표[시작],$Q2567),"yyyy-mm-dd hh:mm"),INDEX(상세표[시작],$Q2567)&amp;""))</f>
        <v/>
      </c>
      <c r="G2567">
        <f>IF($Q2567="","",IF(ISNUMBER(INDEX(상세표[블록종료],$Q2567)),TEXT(INDEX(상세표[블록종료],$Q2567),"yyyy-mm-dd hh:mm"),INDEX(상세표[블록종료],$Q2567)&amp;""))</f>
        <v/>
      </c>
      <c r="H2567">
        <f>IF($Q2567="","",CHOOSE(WEEKDAY(INDEX(상세표[시작],$Q2567)),"일","월","화","수","목","금","토"))</f>
        <v/>
      </c>
      <c r="I2567" s="20">
        <f>IF($Q2567="","",INDEX(상세표[연속 시간],$Q2567))</f>
        <v/>
      </c>
      <c r="J2567">
        <f>IF($Q2567="","",INDEX(상세표[기록 수],$Q2567))</f>
        <v/>
      </c>
      <c r="K2567" s="20">
        <f>IF($Q2567="","",INDEX(상세표[블록 06~07시],$Q2567))</f>
        <v/>
      </c>
      <c r="L2567" s="20">
        <f>IF($Q2567="","",INDEX(상세표[블록 07~18시],$Q2567))</f>
        <v/>
      </c>
      <c r="M2567" s="20">
        <f>IF($Q2567="","",INDEX(상세표[블록 18~22시],$Q2567))</f>
        <v/>
      </c>
      <c r="N2567" s="20">
        <f>IF($Q2567="","",INDEX(상세표[블록 22~06시],$Q2567))</f>
        <v/>
      </c>
      <c r="O2567">
        <f>IF($Q2567="","",INDEX(상세표[주말·휴일 포함],$Q2567)&amp;"")</f>
        <v/>
      </c>
      <c r="P2567">
        <f>IF($Q2567="","",INDEX(상세표[월 넘김 포함],$Q2567)&amp;"")</f>
        <v/>
      </c>
      <c r="Q2567" s="4">
        <f>IFERROR(MATCH(2562,상세표[연속순번],0),"")</f>
        <v/>
      </c>
    </row>
    <row r="2568">
      <c r="A2568">
        <f>IF($Q2568="","",INDEX(상세표[부서],$Q2568)&amp;"")</f>
        <v/>
      </c>
      <c r="B2568">
        <f>IF($Q2568="","",INDEX(상세표[사번],$Q2568)&amp;"")</f>
        <v/>
      </c>
      <c r="C2568">
        <f>IF($Q2568="","",INDEX(상세표[성명],$Q2568)&amp;"")</f>
        <v/>
      </c>
      <c r="D2568">
        <f>IF($Q2568="","",INDEX(상세표[직위],$Q2568)&amp;"")</f>
        <v/>
      </c>
      <c r="E2568">
        <f>IF($Q2568="","",IF(ISNUMBER(INDEX(상세표[근무일자],$Q2568)),TEXT(INDEX(상세표[근무일자],$Q2568),"yyyy-mm-dd"),INDEX(상세표[근무일자],$Q2568)&amp;""))</f>
        <v/>
      </c>
      <c r="F2568">
        <f>IF($Q2568="","",IF(ISNUMBER(INDEX(상세표[시작],$Q2568)),TEXT(INDEX(상세표[시작],$Q2568),"yyyy-mm-dd hh:mm"),INDEX(상세표[시작],$Q2568)&amp;""))</f>
        <v/>
      </c>
      <c r="G2568">
        <f>IF($Q2568="","",IF(ISNUMBER(INDEX(상세표[블록종료],$Q2568)),TEXT(INDEX(상세표[블록종료],$Q2568),"yyyy-mm-dd hh:mm"),INDEX(상세표[블록종료],$Q2568)&amp;""))</f>
        <v/>
      </c>
      <c r="H2568">
        <f>IF($Q2568="","",CHOOSE(WEEKDAY(INDEX(상세표[시작],$Q2568)),"일","월","화","수","목","금","토"))</f>
        <v/>
      </c>
      <c r="I2568" s="20">
        <f>IF($Q2568="","",INDEX(상세표[연속 시간],$Q2568))</f>
        <v/>
      </c>
      <c r="J2568">
        <f>IF($Q2568="","",INDEX(상세표[기록 수],$Q2568))</f>
        <v/>
      </c>
      <c r="K2568" s="20">
        <f>IF($Q2568="","",INDEX(상세표[블록 06~07시],$Q2568))</f>
        <v/>
      </c>
      <c r="L2568" s="20">
        <f>IF($Q2568="","",INDEX(상세표[블록 07~18시],$Q2568))</f>
        <v/>
      </c>
      <c r="M2568" s="20">
        <f>IF($Q2568="","",INDEX(상세표[블록 18~22시],$Q2568))</f>
        <v/>
      </c>
      <c r="N2568" s="20">
        <f>IF($Q2568="","",INDEX(상세표[블록 22~06시],$Q2568))</f>
        <v/>
      </c>
      <c r="O2568">
        <f>IF($Q2568="","",INDEX(상세표[주말·휴일 포함],$Q2568)&amp;"")</f>
        <v/>
      </c>
      <c r="P2568">
        <f>IF($Q2568="","",INDEX(상세표[월 넘김 포함],$Q2568)&amp;"")</f>
        <v/>
      </c>
      <c r="Q2568" s="4">
        <f>IFERROR(MATCH(2563,상세표[연속순번],0),"")</f>
        <v/>
      </c>
    </row>
    <row r="2569">
      <c r="A2569">
        <f>IF($Q2569="","",INDEX(상세표[부서],$Q2569)&amp;"")</f>
        <v/>
      </c>
      <c r="B2569">
        <f>IF($Q2569="","",INDEX(상세표[사번],$Q2569)&amp;"")</f>
        <v/>
      </c>
      <c r="C2569">
        <f>IF($Q2569="","",INDEX(상세표[성명],$Q2569)&amp;"")</f>
        <v/>
      </c>
      <c r="D2569">
        <f>IF($Q2569="","",INDEX(상세표[직위],$Q2569)&amp;"")</f>
        <v/>
      </c>
      <c r="E2569">
        <f>IF($Q2569="","",IF(ISNUMBER(INDEX(상세표[근무일자],$Q2569)),TEXT(INDEX(상세표[근무일자],$Q2569),"yyyy-mm-dd"),INDEX(상세표[근무일자],$Q2569)&amp;""))</f>
        <v/>
      </c>
      <c r="F2569">
        <f>IF($Q2569="","",IF(ISNUMBER(INDEX(상세표[시작],$Q2569)),TEXT(INDEX(상세표[시작],$Q2569),"yyyy-mm-dd hh:mm"),INDEX(상세표[시작],$Q2569)&amp;""))</f>
        <v/>
      </c>
      <c r="G2569">
        <f>IF($Q2569="","",IF(ISNUMBER(INDEX(상세표[블록종료],$Q2569)),TEXT(INDEX(상세표[블록종료],$Q2569),"yyyy-mm-dd hh:mm"),INDEX(상세표[블록종료],$Q2569)&amp;""))</f>
        <v/>
      </c>
      <c r="H2569">
        <f>IF($Q2569="","",CHOOSE(WEEKDAY(INDEX(상세표[시작],$Q2569)),"일","월","화","수","목","금","토"))</f>
        <v/>
      </c>
      <c r="I2569" s="20">
        <f>IF($Q2569="","",INDEX(상세표[연속 시간],$Q2569))</f>
        <v/>
      </c>
      <c r="J2569">
        <f>IF($Q2569="","",INDEX(상세표[기록 수],$Q2569))</f>
        <v/>
      </c>
      <c r="K2569" s="20">
        <f>IF($Q2569="","",INDEX(상세표[블록 06~07시],$Q2569))</f>
        <v/>
      </c>
      <c r="L2569" s="20">
        <f>IF($Q2569="","",INDEX(상세표[블록 07~18시],$Q2569))</f>
        <v/>
      </c>
      <c r="M2569" s="20">
        <f>IF($Q2569="","",INDEX(상세표[블록 18~22시],$Q2569))</f>
        <v/>
      </c>
      <c r="N2569" s="20">
        <f>IF($Q2569="","",INDEX(상세표[블록 22~06시],$Q2569))</f>
        <v/>
      </c>
      <c r="O2569">
        <f>IF($Q2569="","",INDEX(상세표[주말·휴일 포함],$Q2569)&amp;"")</f>
        <v/>
      </c>
      <c r="P2569">
        <f>IF($Q2569="","",INDEX(상세표[월 넘김 포함],$Q2569)&amp;"")</f>
        <v/>
      </c>
      <c r="Q2569" s="4">
        <f>IFERROR(MATCH(2564,상세표[연속순번],0),"")</f>
        <v/>
      </c>
    </row>
    <row r="2570">
      <c r="A2570">
        <f>IF($Q2570="","",INDEX(상세표[부서],$Q2570)&amp;"")</f>
        <v/>
      </c>
      <c r="B2570">
        <f>IF($Q2570="","",INDEX(상세표[사번],$Q2570)&amp;"")</f>
        <v/>
      </c>
      <c r="C2570">
        <f>IF($Q2570="","",INDEX(상세표[성명],$Q2570)&amp;"")</f>
        <v/>
      </c>
      <c r="D2570">
        <f>IF($Q2570="","",INDEX(상세표[직위],$Q2570)&amp;"")</f>
        <v/>
      </c>
      <c r="E2570">
        <f>IF($Q2570="","",IF(ISNUMBER(INDEX(상세표[근무일자],$Q2570)),TEXT(INDEX(상세표[근무일자],$Q2570),"yyyy-mm-dd"),INDEX(상세표[근무일자],$Q2570)&amp;""))</f>
        <v/>
      </c>
      <c r="F2570">
        <f>IF($Q2570="","",IF(ISNUMBER(INDEX(상세표[시작],$Q2570)),TEXT(INDEX(상세표[시작],$Q2570),"yyyy-mm-dd hh:mm"),INDEX(상세표[시작],$Q2570)&amp;""))</f>
        <v/>
      </c>
      <c r="G2570">
        <f>IF($Q2570="","",IF(ISNUMBER(INDEX(상세표[블록종료],$Q2570)),TEXT(INDEX(상세표[블록종료],$Q2570),"yyyy-mm-dd hh:mm"),INDEX(상세표[블록종료],$Q2570)&amp;""))</f>
        <v/>
      </c>
      <c r="H2570">
        <f>IF($Q2570="","",CHOOSE(WEEKDAY(INDEX(상세표[시작],$Q2570)),"일","월","화","수","목","금","토"))</f>
        <v/>
      </c>
      <c r="I2570" s="20">
        <f>IF($Q2570="","",INDEX(상세표[연속 시간],$Q2570))</f>
        <v/>
      </c>
      <c r="J2570">
        <f>IF($Q2570="","",INDEX(상세표[기록 수],$Q2570))</f>
        <v/>
      </c>
      <c r="K2570" s="20">
        <f>IF($Q2570="","",INDEX(상세표[블록 06~07시],$Q2570))</f>
        <v/>
      </c>
      <c r="L2570" s="20">
        <f>IF($Q2570="","",INDEX(상세표[블록 07~18시],$Q2570))</f>
        <v/>
      </c>
      <c r="M2570" s="20">
        <f>IF($Q2570="","",INDEX(상세표[블록 18~22시],$Q2570))</f>
        <v/>
      </c>
      <c r="N2570" s="20">
        <f>IF($Q2570="","",INDEX(상세표[블록 22~06시],$Q2570))</f>
        <v/>
      </c>
      <c r="O2570">
        <f>IF($Q2570="","",INDEX(상세표[주말·휴일 포함],$Q2570)&amp;"")</f>
        <v/>
      </c>
      <c r="P2570">
        <f>IF($Q2570="","",INDEX(상세표[월 넘김 포함],$Q2570)&amp;"")</f>
        <v/>
      </c>
      <c r="Q2570" s="4">
        <f>IFERROR(MATCH(2565,상세표[연속순번],0),"")</f>
        <v/>
      </c>
    </row>
    <row r="2571">
      <c r="A2571">
        <f>IF($Q2571="","",INDEX(상세표[부서],$Q2571)&amp;"")</f>
        <v/>
      </c>
      <c r="B2571">
        <f>IF($Q2571="","",INDEX(상세표[사번],$Q2571)&amp;"")</f>
        <v/>
      </c>
      <c r="C2571">
        <f>IF($Q2571="","",INDEX(상세표[성명],$Q2571)&amp;"")</f>
        <v/>
      </c>
      <c r="D2571">
        <f>IF($Q2571="","",INDEX(상세표[직위],$Q2571)&amp;"")</f>
        <v/>
      </c>
      <c r="E2571">
        <f>IF($Q2571="","",IF(ISNUMBER(INDEX(상세표[근무일자],$Q2571)),TEXT(INDEX(상세표[근무일자],$Q2571),"yyyy-mm-dd"),INDEX(상세표[근무일자],$Q2571)&amp;""))</f>
        <v/>
      </c>
      <c r="F2571">
        <f>IF($Q2571="","",IF(ISNUMBER(INDEX(상세표[시작],$Q2571)),TEXT(INDEX(상세표[시작],$Q2571),"yyyy-mm-dd hh:mm"),INDEX(상세표[시작],$Q2571)&amp;""))</f>
        <v/>
      </c>
      <c r="G2571">
        <f>IF($Q2571="","",IF(ISNUMBER(INDEX(상세표[블록종료],$Q2571)),TEXT(INDEX(상세표[블록종료],$Q2571),"yyyy-mm-dd hh:mm"),INDEX(상세표[블록종료],$Q2571)&amp;""))</f>
        <v/>
      </c>
      <c r="H2571">
        <f>IF($Q2571="","",CHOOSE(WEEKDAY(INDEX(상세표[시작],$Q2571)),"일","월","화","수","목","금","토"))</f>
        <v/>
      </c>
      <c r="I2571" s="20">
        <f>IF($Q2571="","",INDEX(상세표[연속 시간],$Q2571))</f>
        <v/>
      </c>
      <c r="J2571">
        <f>IF($Q2571="","",INDEX(상세표[기록 수],$Q2571))</f>
        <v/>
      </c>
      <c r="K2571" s="20">
        <f>IF($Q2571="","",INDEX(상세표[블록 06~07시],$Q2571))</f>
        <v/>
      </c>
      <c r="L2571" s="20">
        <f>IF($Q2571="","",INDEX(상세표[블록 07~18시],$Q2571))</f>
        <v/>
      </c>
      <c r="M2571" s="20">
        <f>IF($Q2571="","",INDEX(상세표[블록 18~22시],$Q2571))</f>
        <v/>
      </c>
      <c r="N2571" s="20">
        <f>IF($Q2571="","",INDEX(상세표[블록 22~06시],$Q2571))</f>
        <v/>
      </c>
      <c r="O2571">
        <f>IF($Q2571="","",INDEX(상세표[주말·휴일 포함],$Q2571)&amp;"")</f>
        <v/>
      </c>
      <c r="P2571">
        <f>IF($Q2571="","",INDEX(상세표[월 넘김 포함],$Q2571)&amp;"")</f>
        <v/>
      </c>
      <c r="Q2571" s="4">
        <f>IFERROR(MATCH(2566,상세표[연속순번],0),"")</f>
        <v/>
      </c>
    </row>
    <row r="2572">
      <c r="A2572">
        <f>IF($Q2572="","",INDEX(상세표[부서],$Q2572)&amp;"")</f>
        <v/>
      </c>
      <c r="B2572">
        <f>IF($Q2572="","",INDEX(상세표[사번],$Q2572)&amp;"")</f>
        <v/>
      </c>
      <c r="C2572">
        <f>IF($Q2572="","",INDEX(상세표[성명],$Q2572)&amp;"")</f>
        <v/>
      </c>
      <c r="D2572">
        <f>IF($Q2572="","",INDEX(상세표[직위],$Q2572)&amp;"")</f>
        <v/>
      </c>
      <c r="E2572">
        <f>IF($Q2572="","",IF(ISNUMBER(INDEX(상세표[근무일자],$Q2572)),TEXT(INDEX(상세표[근무일자],$Q2572),"yyyy-mm-dd"),INDEX(상세표[근무일자],$Q2572)&amp;""))</f>
        <v/>
      </c>
      <c r="F2572">
        <f>IF($Q2572="","",IF(ISNUMBER(INDEX(상세표[시작],$Q2572)),TEXT(INDEX(상세표[시작],$Q2572),"yyyy-mm-dd hh:mm"),INDEX(상세표[시작],$Q2572)&amp;""))</f>
        <v/>
      </c>
      <c r="G2572">
        <f>IF($Q2572="","",IF(ISNUMBER(INDEX(상세표[블록종료],$Q2572)),TEXT(INDEX(상세표[블록종료],$Q2572),"yyyy-mm-dd hh:mm"),INDEX(상세표[블록종료],$Q2572)&amp;""))</f>
        <v/>
      </c>
      <c r="H2572">
        <f>IF($Q2572="","",CHOOSE(WEEKDAY(INDEX(상세표[시작],$Q2572)),"일","월","화","수","목","금","토"))</f>
        <v/>
      </c>
      <c r="I2572" s="20">
        <f>IF($Q2572="","",INDEX(상세표[연속 시간],$Q2572))</f>
        <v/>
      </c>
      <c r="J2572">
        <f>IF($Q2572="","",INDEX(상세표[기록 수],$Q2572))</f>
        <v/>
      </c>
      <c r="K2572" s="20">
        <f>IF($Q2572="","",INDEX(상세표[블록 06~07시],$Q2572))</f>
        <v/>
      </c>
      <c r="L2572" s="20">
        <f>IF($Q2572="","",INDEX(상세표[블록 07~18시],$Q2572))</f>
        <v/>
      </c>
      <c r="M2572" s="20">
        <f>IF($Q2572="","",INDEX(상세표[블록 18~22시],$Q2572))</f>
        <v/>
      </c>
      <c r="N2572" s="20">
        <f>IF($Q2572="","",INDEX(상세표[블록 22~06시],$Q2572))</f>
        <v/>
      </c>
      <c r="O2572">
        <f>IF($Q2572="","",INDEX(상세표[주말·휴일 포함],$Q2572)&amp;"")</f>
        <v/>
      </c>
      <c r="P2572">
        <f>IF($Q2572="","",INDEX(상세표[월 넘김 포함],$Q2572)&amp;"")</f>
        <v/>
      </c>
      <c r="Q2572" s="4">
        <f>IFERROR(MATCH(2567,상세표[연속순번],0),"")</f>
        <v/>
      </c>
    </row>
    <row r="2573">
      <c r="A2573">
        <f>IF($Q2573="","",INDEX(상세표[부서],$Q2573)&amp;"")</f>
        <v/>
      </c>
      <c r="B2573">
        <f>IF($Q2573="","",INDEX(상세표[사번],$Q2573)&amp;"")</f>
        <v/>
      </c>
      <c r="C2573">
        <f>IF($Q2573="","",INDEX(상세표[성명],$Q2573)&amp;"")</f>
        <v/>
      </c>
      <c r="D2573">
        <f>IF($Q2573="","",INDEX(상세표[직위],$Q2573)&amp;"")</f>
        <v/>
      </c>
      <c r="E2573">
        <f>IF($Q2573="","",IF(ISNUMBER(INDEX(상세표[근무일자],$Q2573)),TEXT(INDEX(상세표[근무일자],$Q2573),"yyyy-mm-dd"),INDEX(상세표[근무일자],$Q2573)&amp;""))</f>
        <v/>
      </c>
      <c r="F2573">
        <f>IF($Q2573="","",IF(ISNUMBER(INDEX(상세표[시작],$Q2573)),TEXT(INDEX(상세표[시작],$Q2573),"yyyy-mm-dd hh:mm"),INDEX(상세표[시작],$Q2573)&amp;""))</f>
        <v/>
      </c>
      <c r="G2573">
        <f>IF($Q2573="","",IF(ISNUMBER(INDEX(상세표[블록종료],$Q2573)),TEXT(INDEX(상세표[블록종료],$Q2573),"yyyy-mm-dd hh:mm"),INDEX(상세표[블록종료],$Q2573)&amp;""))</f>
        <v/>
      </c>
      <c r="H2573">
        <f>IF($Q2573="","",CHOOSE(WEEKDAY(INDEX(상세표[시작],$Q2573)),"일","월","화","수","목","금","토"))</f>
        <v/>
      </c>
      <c r="I2573" s="20">
        <f>IF($Q2573="","",INDEX(상세표[연속 시간],$Q2573))</f>
        <v/>
      </c>
      <c r="J2573">
        <f>IF($Q2573="","",INDEX(상세표[기록 수],$Q2573))</f>
        <v/>
      </c>
      <c r="K2573" s="20">
        <f>IF($Q2573="","",INDEX(상세표[블록 06~07시],$Q2573))</f>
        <v/>
      </c>
      <c r="L2573" s="20">
        <f>IF($Q2573="","",INDEX(상세표[블록 07~18시],$Q2573))</f>
        <v/>
      </c>
      <c r="M2573" s="20">
        <f>IF($Q2573="","",INDEX(상세표[블록 18~22시],$Q2573))</f>
        <v/>
      </c>
      <c r="N2573" s="20">
        <f>IF($Q2573="","",INDEX(상세표[블록 22~06시],$Q2573))</f>
        <v/>
      </c>
      <c r="O2573">
        <f>IF($Q2573="","",INDEX(상세표[주말·휴일 포함],$Q2573)&amp;"")</f>
        <v/>
      </c>
      <c r="P2573">
        <f>IF($Q2573="","",INDEX(상세표[월 넘김 포함],$Q2573)&amp;"")</f>
        <v/>
      </c>
      <c r="Q2573" s="4">
        <f>IFERROR(MATCH(2568,상세표[연속순번],0),"")</f>
        <v/>
      </c>
    </row>
    <row r="2574">
      <c r="A2574">
        <f>IF($Q2574="","",INDEX(상세표[부서],$Q2574)&amp;"")</f>
        <v/>
      </c>
      <c r="B2574">
        <f>IF($Q2574="","",INDEX(상세표[사번],$Q2574)&amp;"")</f>
        <v/>
      </c>
      <c r="C2574">
        <f>IF($Q2574="","",INDEX(상세표[성명],$Q2574)&amp;"")</f>
        <v/>
      </c>
      <c r="D2574">
        <f>IF($Q2574="","",INDEX(상세표[직위],$Q2574)&amp;"")</f>
        <v/>
      </c>
      <c r="E2574">
        <f>IF($Q2574="","",IF(ISNUMBER(INDEX(상세표[근무일자],$Q2574)),TEXT(INDEX(상세표[근무일자],$Q2574),"yyyy-mm-dd"),INDEX(상세표[근무일자],$Q2574)&amp;""))</f>
        <v/>
      </c>
      <c r="F2574">
        <f>IF($Q2574="","",IF(ISNUMBER(INDEX(상세표[시작],$Q2574)),TEXT(INDEX(상세표[시작],$Q2574),"yyyy-mm-dd hh:mm"),INDEX(상세표[시작],$Q2574)&amp;""))</f>
        <v/>
      </c>
      <c r="G2574">
        <f>IF($Q2574="","",IF(ISNUMBER(INDEX(상세표[블록종료],$Q2574)),TEXT(INDEX(상세표[블록종료],$Q2574),"yyyy-mm-dd hh:mm"),INDEX(상세표[블록종료],$Q2574)&amp;""))</f>
        <v/>
      </c>
      <c r="H2574">
        <f>IF($Q2574="","",CHOOSE(WEEKDAY(INDEX(상세표[시작],$Q2574)),"일","월","화","수","목","금","토"))</f>
        <v/>
      </c>
      <c r="I2574" s="20">
        <f>IF($Q2574="","",INDEX(상세표[연속 시간],$Q2574))</f>
        <v/>
      </c>
      <c r="J2574">
        <f>IF($Q2574="","",INDEX(상세표[기록 수],$Q2574))</f>
        <v/>
      </c>
      <c r="K2574" s="20">
        <f>IF($Q2574="","",INDEX(상세표[블록 06~07시],$Q2574))</f>
        <v/>
      </c>
      <c r="L2574" s="20">
        <f>IF($Q2574="","",INDEX(상세표[블록 07~18시],$Q2574))</f>
        <v/>
      </c>
      <c r="M2574" s="20">
        <f>IF($Q2574="","",INDEX(상세표[블록 18~22시],$Q2574))</f>
        <v/>
      </c>
      <c r="N2574" s="20">
        <f>IF($Q2574="","",INDEX(상세표[블록 22~06시],$Q2574))</f>
        <v/>
      </c>
      <c r="O2574">
        <f>IF($Q2574="","",INDEX(상세표[주말·휴일 포함],$Q2574)&amp;"")</f>
        <v/>
      </c>
      <c r="P2574">
        <f>IF($Q2574="","",INDEX(상세표[월 넘김 포함],$Q2574)&amp;"")</f>
        <v/>
      </c>
      <c r="Q2574" s="4">
        <f>IFERROR(MATCH(2569,상세표[연속순번],0),"")</f>
        <v/>
      </c>
    </row>
    <row r="2575">
      <c r="A2575">
        <f>IF($Q2575="","",INDEX(상세표[부서],$Q2575)&amp;"")</f>
        <v/>
      </c>
      <c r="B2575">
        <f>IF($Q2575="","",INDEX(상세표[사번],$Q2575)&amp;"")</f>
        <v/>
      </c>
      <c r="C2575">
        <f>IF($Q2575="","",INDEX(상세표[성명],$Q2575)&amp;"")</f>
        <v/>
      </c>
      <c r="D2575">
        <f>IF($Q2575="","",INDEX(상세표[직위],$Q2575)&amp;"")</f>
        <v/>
      </c>
      <c r="E2575">
        <f>IF($Q2575="","",IF(ISNUMBER(INDEX(상세표[근무일자],$Q2575)),TEXT(INDEX(상세표[근무일자],$Q2575),"yyyy-mm-dd"),INDEX(상세표[근무일자],$Q2575)&amp;""))</f>
        <v/>
      </c>
      <c r="F2575">
        <f>IF($Q2575="","",IF(ISNUMBER(INDEX(상세표[시작],$Q2575)),TEXT(INDEX(상세표[시작],$Q2575),"yyyy-mm-dd hh:mm"),INDEX(상세표[시작],$Q2575)&amp;""))</f>
        <v/>
      </c>
      <c r="G2575">
        <f>IF($Q2575="","",IF(ISNUMBER(INDEX(상세표[블록종료],$Q2575)),TEXT(INDEX(상세표[블록종료],$Q2575),"yyyy-mm-dd hh:mm"),INDEX(상세표[블록종료],$Q2575)&amp;""))</f>
        <v/>
      </c>
      <c r="H2575">
        <f>IF($Q2575="","",CHOOSE(WEEKDAY(INDEX(상세표[시작],$Q2575)),"일","월","화","수","목","금","토"))</f>
        <v/>
      </c>
      <c r="I2575" s="20">
        <f>IF($Q2575="","",INDEX(상세표[연속 시간],$Q2575))</f>
        <v/>
      </c>
      <c r="J2575">
        <f>IF($Q2575="","",INDEX(상세표[기록 수],$Q2575))</f>
        <v/>
      </c>
      <c r="K2575" s="20">
        <f>IF($Q2575="","",INDEX(상세표[블록 06~07시],$Q2575))</f>
        <v/>
      </c>
      <c r="L2575" s="20">
        <f>IF($Q2575="","",INDEX(상세표[블록 07~18시],$Q2575))</f>
        <v/>
      </c>
      <c r="M2575" s="20">
        <f>IF($Q2575="","",INDEX(상세표[블록 18~22시],$Q2575))</f>
        <v/>
      </c>
      <c r="N2575" s="20">
        <f>IF($Q2575="","",INDEX(상세표[블록 22~06시],$Q2575))</f>
        <v/>
      </c>
      <c r="O2575">
        <f>IF($Q2575="","",INDEX(상세표[주말·휴일 포함],$Q2575)&amp;"")</f>
        <v/>
      </c>
      <c r="P2575">
        <f>IF($Q2575="","",INDEX(상세표[월 넘김 포함],$Q2575)&amp;"")</f>
        <v/>
      </c>
      <c r="Q2575" s="4">
        <f>IFERROR(MATCH(2570,상세표[연속순번],0),"")</f>
        <v/>
      </c>
    </row>
    <row r="2576">
      <c r="A2576">
        <f>IF($Q2576="","",INDEX(상세표[부서],$Q2576)&amp;"")</f>
        <v/>
      </c>
      <c r="B2576">
        <f>IF($Q2576="","",INDEX(상세표[사번],$Q2576)&amp;"")</f>
        <v/>
      </c>
      <c r="C2576">
        <f>IF($Q2576="","",INDEX(상세표[성명],$Q2576)&amp;"")</f>
        <v/>
      </c>
      <c r="D2576">
        <f>IF($Q2576="","",INDEX(상세표[직위],$Q2576)&amp;"")</f>
        <v/>
      </c>
      <c r="E2576">
        <f>IF($Q2576="","",IF(ISNUMBER(INDEX(상세표[근무일자],$Q2576)),TEXT(INDEX(상세표[근무일자],$Q2576),"yyyy-mm-dd"),INDEX(상세표[근무일자],$Q2576)&amp;""))</f>
        <v/>
      </c>
      <c r="F2576">
        <f>IF($Q2576="","",IF(ISNUMBER(INDEX(상세표[시작],$Q2576)),TEXT(INDEX(상세표[시작],$Q2576),"yyyy-mm-dd hh:mm"),INDEX(상세표[시작],$Q2576)&amp;""))</f>
        <v/>
      </c>
      <c r="G2576">
        <f>IF($Q2576="","",IF(ISNUMBER(INDEX(상세표[블록종료],$Q2576)),TEXT(INDEX(상세표[블록종료],$Q2576),"yyyy-mm-dd hh:mm"),INDEX(상세표[블록종료],$Q2576)&amp;""))</f>
        <v/>
      </c>
      <c r="H2576">
        <f>IF($Q2576="","",CHOOSE(WEEKDAY(INDEX(상세표[시작],$Q2576)),"일","월","화","수","목","금","토"))</f>
        <v/>
      </c>
      <c r="I2576" s="20">
        <f>IF($Q2576="","",INDEX(상세표[연속 시간],$Q2576))</f>
        <v/>
      </c>
      <c r="J2576">
        <f>IF($Q2576="","",INDEX(상세표[기록 수],$Q2576))</f>
        <v/>
      </c>
      <c r="K2576" s="20">
        <f>IF($Q2576="","",INDEX(상세표[블록 06~07시],$Q2576))</f>
        <v/>
      </c>
      <c r="L2576" s="20">
        <f>IF($Q2576="","",INDEX(상세표[블록 07~18시],$Q2576))</f>
        <v/>
      </c>
      <c r="M2576" s="20">
        <f>IF($Q2576="","",INDEX(상세표[블록 18~22시],$Q2576))</f>
        <v/>
      </c>
      <c r="N2576" s="20">
        <f>IF($Q2576="","",INDEX(상세표[블록 22~06시],$Q2576))</f>
        <v/>
      </c>
      <c r="O2576">
        <f>IF($Q2576="","",INDEX(상세표[주말·휴일 포함],$Q2576)&amp;"")</f>
        <v/>
      </c>
      <c r="P2576">
        <f>IF($Q2576="","",INDEX(상세표[월 넘김 포함],$Q2576)&amp;"")</f>
        <v/>
      </c>
      <c r="Q2576" s="4">
        <f>IFERROR(MATCH(2571,상세표[연속순번],0),"")</f>
        <v/>
      </c>
    </row>
    <row r="2577">
      <c r="A2577">
        <f>IF($Q2577="","",INDEX(상세표[부서],$Q2577)&amp;"")</f>
        <v/>
      </c>
      <c r="B2577">
        <f>IF($Q2577="","",INDEX(상세표[사번],$Q2577)&amp;"")</f>
        <v/>
      </c>
      <c r="C2577">
        <f>IF($Q2577="","",INDEX(상세표[성명],$Q2577)&amp;"")</f>
        <v/>
      </c>
      <c r="D2577">
        <f>IF($Q2577="","",INDEX(상세표[직위],$Q2577)&amp;"")</f>
        <v/>
      </c>
      <c r="E2577">
        <f>IF($Q2577="","",IF(ISNUMBER(INDEX(상세표[근무일자],$Q2577)),TEXT(INDEX(상세표[근무일자],$Q2577),"yyyy-mm-dd"),INDEX(상세표[근무일자],$Q2577)&amp;""))</f>
        <v/>
      </c>
      <c r="F2577">
        <f>IF($Q2577="","",IF(ISNUMBER(INDEX(상세표[시작],$Q2577)),TEXT(INDEX(상세표[시작],$Q2577),"yyyy-mm-dd hh:mm"),INDEX(상세표[시작],$Q2577)&amp;""))</f>
        <v/>
      </c>
      <c r="G2577">
        <f>IF($Q2577="","",IF(ISNUMBER(INDEX(상세표[블록종료],$Q2577)),TEXT(INDEX(상세표[블록종료],$Q2577),"yyyy-mm-dd hh:mm"),INDEX(상세표[블록종료],$Q2577)&amp;""))</f>
        <v/>
      </c>
      <c r="H2577">
        <f>IF($Q2577="","",CHOOSE(WEEKDAY(INDEX(상세표[시작],$Q2577)),"일","월","화","수","목","금","토"))</f>
        <v/>
      </c>
      <c r="I2577" s="20">
        <f>IF($Q2577="","",INDEX(상세표[연속 시간],$Q2577))</f>
        <v/>
      </c>
      <c r="J2577">
        <f>IF($Q2577="","",INDEX(상세표[기록 수],$Q2577))</f>
        <v/>
      </c>
      <c r="K2577" s="20">
        <f>IF($Q2577="","",INDEX(상세표[블록 06~07시],$Q2577))</f>
        <v/>
      </c>
      <c r="L2577" s="20">
        <f>IF($Q2577="","",INDEX(상세표[블록 07~18시],$Q2577))</f>
        <v/>
      </c>
      <c r="M2577" s="20">
        <f>IF($Q2577="","",INDEX(상세표[블록 18~22시],$Q2577))</f>
        <v/>
      </c>
      <c r="N2577" s="20">
        <f>IF($Q2577="","",INDEX(상세표[블록 22~06시],$Q2577))</f>
        <v/>
      </c>
      <c r="O2577">
        <f>IF($Q2577="","",INDEX(상세표[주말·휴일 포함],$Q2577)&amp;"")</f>
        <v/>
      </c>
      <c r="P2577">
        <f>IF($Q2577="","",INDEX(상세표[월 넘김 포함],$Q2577)&amp;"")</f>
        <v/>
      </c>
      <c r="Q2577" s="4">
        <f>IFERROR(MATCH(2572,상세표[연속순번],0),"")</f>
        <v/>
      </c>
    </row>
    <row r="2578">
      <c r="A2578">
        <f>IF($Q2578="","",INDEX(상세표[부서],$Q2578)&amp;"")</f>
        <v/>
      </c>
      <c r="B2578">
        <f>IF($Q2578="","",INDEX(상세표[사번],$Q2578)&amp;"")</f>
        <v/>
      </c>
      <c r="C2578">
        <f>IF($Q2578="","",INDEX(상세표[성명],$Q2578)&amp;"")</f>
        <v/>
      </c>
      <c r="D2578">
        <f>IF($Q2578="","",INDEX(상세표[직위],$Q2578)&amp;"")</f>
        <v/>
      </c>
      <c r="E2578">
        <f>IF($Q2578="","",IF(ISNUMBER(INDEX(상세표[근무일자],$Q2578)),TEXT(INDEX(상세표[근무일자],$Q2578),"yyyy-mm-dd"),INDEX(상세표[근무일자],$Q2578)&amp;""))</f>
        <v/>
      </c>
      <c r="F2578">
        <f>IF($Q2578="","",IF(ISNUMBER(INDEX(상세표[시작],$Q2578)),TEXT(INDEX(상세표[시작],$Q2578),"yyyy-mm-dd hh:mm"),INDEX(상세표[시작],$Q2578)&amp;""))</f>
        <v/>
      </c>
      <c r="G2578">
        <f>IF($Q2578="","",IF(ISNUMBER(INDEX(상세표[블록종료],$Q2578)),TEXT(INDEX(상세표[블록종료],$Q2578),"yyyy-mm-dd hh:mm"),INDEX(상세표[블록종료],$Q2578)&amp;""))</f>
        <v/>
      </c>
      <c r="H2578">
        <f>IF($Q2578="","",CHOOSE(WEEKDAY(INDEX(상세표[시작],$Q2578)),"일","월","화","수","목","금","토"))</f>
        <v/>
      </c>
      <c r="I2578" s="20">
        <f>IF($Q2578="","",INDEX(상세표[연속 시간],$Q2578))</f>
        <v/>
      </c>
      <c r="J2578">
        <f>IF($Q2578="","",INDEX(상세표[기록 수],$Q2578))</f>
        <v/>
      </c>
      <c r="K2578" s="20">
        <f>IF($Q2578="","",INDEX(상세표[블록 06~07시],$Q2578))</f>
        <v/>
      </c>
      <c r="L2578" s="20">
        <f>IF($Q2578="","",INDEX(상세표[블록 07~18시],$Q2578))</f>
        <v/>
      </c>
      <c r="M2578" s="20">
        <f>IF($Q2578="","",INDEX(상세표[블록 18~22시],$Q2578))</f>
        <v/>
      </c>
      <c r="N2578" s="20">
        <f>IF($Q2578="","",INDEX(상세표[블록 22~06시],$Q2578))</f>
        <v/>
      </c>
      <c r="O2578">
        <f>IF($Q2578="","",INDEX(상세표[주말·휴일 포함],$Q2578)&amp;"")</f>
        <v/>
      </c>
      <c r="P2578">
        <f>IF($Q2578="","",INDEX(상세표[월 넘김 포함],$Q2578)&amp;"")</f>
        <v/>
      </c>
      <c r="Q2578" s="4">
        <f>IFERROR(MATCH(2573,상세표[연속순번],0),"")</f>
        <v/>
      </c>
    </row>
    <row r="2579">
      <c r="A2579">
        <f>IF($Q2579="","",INDEX(상세표[부서],$Q2579)&amp;"")</f>
        <v/>
      </c>
      <c r="B2579">
        <f>IF($Q2579="","",INDEX(상세표[사번],$Q2579)&amp;"")</f>
        <v/>
      </c>
      <c r="C2579">
        <f>IF($Q2579="","",INDEX(상세표[성명],$Q2579)&amp;"")</f>
        <v/>
      </c>
      <c r="D2579">
        <f>IF($Q2579="","",INDEX(상세표[직위],$Q2579)&amp;"")</f>
        <v/>
      </c>
      <c r="E2579">
        <f>IF($Q2579="","",IF(ISNUMBER(INDEX(상세표[근무일자],$Q2579)),TEXT(INDEX(상세표[근무일자],$Q2579),"yyyy-mm-dd"),INDEX(상세표[근무일자],$Q2579)&amp;""))</f>
        <v/>
      </c>
      <c r="F2579">
        <f>IF($Q2579="","",IF(ISNUMBER(INDEX(상세표[시작],$Q2579)),TEXT(INDEX(상세표[시작],$Q2579),"yyyy-mm-dd hh:mm"),INDEX(상세표[시작],$Q2579)&amp;""))</f>
        <v/>
      </c>
      <c r="G2579">
        <f>IF($Q2579="","",IF(ISNUMBER(INDEX(상세표[블록종료],$Q2579)),TEXT(INDEX(상세표[블록종료],$Q2579),"yyyy-mm-dd hh:mm"),INDEX(상세표[블록종료],$Q2579)&amp;""))</f>
        <v/>
      </c>
      <c r="H2579">
        <f>IF($Q2579="","",CHOOSE(WEEKDAY(INDEX(상세표[시작],$Q2579)),"일","월","화","수","목","금","토"))</f>
        <v/>
      </c>
      <c r="I2579" s="20">
        <f>IF($Q2579="","",INDEX(상세표[연속 시간],$Q2579))</f>
        <v/>
      </c>
      <c r="J2579">
        <f>IF($Q2579="","",INDEX(상세표[기록 수],$Q2579))</f>
        <v/>
      </c>
      <c r="K2579" s="20">
        <f>IF($Q2579="","",INDEX(상세표[블록 06~07시],$Q2579))</f>
        <v/>
      </c>
      <c r="L2579" s="20">
        <f>IF($Q2579="","",INDEX(상세표[블록 07~18시],$Q2579))</f>
        <v/>
      </c>
      <c r="M2579" s="20">
        <f>IF($Q2579="","",INDEX(상세표[블록 18~22시],$Q2579))</f>
        <v/>
      </c>
      <c r="N2579" s="20">
        <f>IF($Q2579="","",INDEX(상세표[블록 22~06시],$Q2579))</f>
        <v/>
      </c>
      <c r="O2579">
        <f>IF($Q2579="","",INDEX(상세표[주말·휴일 포함],$Q2579)&amp;"")</f>
        <v/>
      </c>
      <c r="P2579">
        <f>IF($Q2579="","",INDEX(상세표[월 넘김 포함],$Q2579)&amp;"")</f>
        <v/>
      </c>
      <c r="Q2579" s="4">
        <f>IFERROR(MATCH(2574,상세표[연속순번],0),"")</f>
        <v/>
      </c>
    </row>
    <row r="2580">
      <c r="A2580">
        <f>IF($Q2580="","",INDEX(상세표[부서],$Q2580)&amp;"")</f>
        <v/>
      </c>
      <c r="B2580">
        <f>IF($Q2580="","",INDEX(상세표[사번],$Q2580)&amp;"")</f>
        <v/>
      </c>
      <c r="C2580">
        <f>IF($Q2580="","",INDEX(상세표[성명],$Q2580)&amp;"")</f>
        <v/>
      </c>
      <c r="D2580">
        <f>IF($Q2580="","",INDEX(상세표[직위],$Q2580)&amp;"")</f>
        <v/>
      </c>
      <c r="E2580">
        <f>IF($Q2580="","",IF(ISNUMBER(INDEX(상세표[근무일자],$Q2580)),TEXT(INDEX(상세표[근무일자],$Q2580),"yyyy-mm-dd"),INDEX(상세표[근무일자],$Q2580)&amp;""))</f>
        <v/>
      </c>
      <c r="F2580">
        <f>IF($Q2580="","",IF(ISNUMBER(INDEX(상세표[시작],$Q2580)),TEXT(INDEX(상세표[시작],$Q2580),"yyyy-mm-dd hh:mm"),INDEX(상세표[시작],$Q2580)&amp;""))</f>
        <v/>
      </c>
      <c r="G2580">
        <f>IF($Q2580="","",IF(ISNUMBER(INDEX(상세표[블록종료],$Q2580)),TEXT(INDEX(상세표[블록종료],$Q2580),"yyyy-mm-dd hh:mm"),INDEX(상세표[블록종료],$Q2580)&amp;""))</f>
        <v/>
      </c>
      <c r="H2580">
        <f>IF($Q2580="","",CHOOSE(WEEKDAY(INDEX(상세표[시작],$Q2580)),"일","월","화","수","목","금","토"))</f>
        <v/>
      </c>
      <c r="I2580" s="20">
        <f>IF($Q2580="","",INDEX(상세표[연속 시간],$Q2580))</f>
        <v/>
      </c>
      <c r="J2580">
        <f>IF($Q2580="","",INDEX(상세표[기록 수],$Q2580))</f>
        <v/>
      </c>
      <c r="K2580" s="20">
        <f>IF($Q2580="","",INDEX(상세표[블록 06~07시],$Q2580))</f>
        <v/>
      </c>
      <c r="L2580" s="20">
        <f>IF($Q2580="","",INDEX(상세표[블록 07~18시],$Q2580))</f>
        <v/>
      </c>
      <c r="M2580" s="20">
        <f>IF($Q2580="","",INDEX(상세표[블록 18~22시],$Q2580))</f>
        <v/>
      </c>
      <c r="N2580" s="20">
        <f>IF($Q2580="","",INDEX(상세표[블록 22~06시],$Q2580))</f>
        <v/>
      </c>
      <c r="O2580">
        <f>IF($Q2580="","",INDEX(상세표[주말·휴일 포함],$Q2580)&amp;"")</f>
        <v/>
      </c>
      <c r="P2580">
        <f>IF($Q2580="","",INDEX(상세표[월 넘김 포함],$Q2580)&amp;"")</f>
        <v/>
      </c>
      <c r="Q2580" s="4">
        <f>IFERROR(MATCH(2575,상세표[연속순번],0),"")</f>
        <v/>
      </c>
    </row>
    <row r="2581">
      <c r="A2581">
        <f>IF($Q2581="","",INDEX(상세표[부서],$Q2581)&amp;"")</f>
        <v/>
      </c>
      <c r="B2581">
        <f>IF($Q2581="","",INDEX(상세표[사번],$Q2581)&amp;"")</f>
        <v/>
      </c>
      <c r="C2581">
        <f>IF($Q2581="","",INDEX(상세표[성명],$Q2581)&amp;"")</f>
        <v/>
      </c>
      <c r="D2581">
        <f>IF($Q2581="","",INDEX(상세표[직위],$Q2581)&amp;"")</f>
        <v/>
      </c>
      <c r="E2581">
        <f>IF($Q2581="","",IF(ISNUMBER(INDEX(상세표[근무일자],$Q2581)),TEXT(INDEX(상세표[근무일자],$Q2581),"yyyy-mm-dd"),INDEX(상세표[근무일자],$Q2581)&amp;""))</f>
        <v/>
      </c>
      <c r="F2581">
        <f>IF($Q2581="","",IF(ISNUMBER(INDEX(상세표[시작],$Q2581)),TEXT(INDEX(상세표[시작],$Q2581),"yyyy-mm-dd hh:mm"),INDEX(상세표[시작],$Q2581)&amp;""))</f>
        <v/>
      </c>
      <c r="G2581">
        <f>IF($Q2581="","",IF(ISNUMBER(INDEX(상세표[블록종료],$Q2581)),TEXT(INDEX(상세표[블록종료],$Q2581),"yyyy-mm-dd hh:mm"),INDEX(상세표[블록종료],$Q2581)&amp;""))</f>
        <v/>
      </c>
      <c r="H2581">
        <f>IF($Q2581="","",CHOOSE(WEEKDAY(INDEX(상세표[시작],$Q2581)),"일","월","화","수","목","금","토"))</f>
        <v/>
      </c>
      <c r="I2581" s="20">
        <f>IF($Q2581="","",INDEX(상세표[연속 시간],$Q2581))</f>
        <v/>
      </c>
      <c r="J2581">
        <f>IF($Q2581="","",INDEX(상세표[기록 수],$Q2581))</f>
        <v/>
      </c>
      <c r="K2581" s="20">
        <f>IF($Q2581="","",INDEX(상세표[블록 06~07시],$Q2581))</f>
        <v/>
      </c>
      <c r="L2581" s="20">
        <f>IF($Q2581="","",INDEX(상세표[블록 07~18시],$Q2581))</f>
        <v/>
      </c>
      <c r="M2581" s="20">
        <f>IF($Q2581="","",INDEX(상세표[블록 18~22시],$Q2581))</f>
        <v/>
      </c>
      <c r="N2581" s="20">
        <f>IF($Q2581="","",INDEX(상세표[블록 22~06시],$Q2581))</f>
        <v/>
      </c>
      <c r="O2581">
        <f>IF($Q2581="","",INDEX(상세표[주말·휴일 포함],$Q2581)&amp;"")</f>
        <v/>
      </c>
      <c r="P2581">
        <f>IF($Q2581="","",INDEX(상세표[월 넘김 포함],$Q2581)&amp;"")</f>
        <v/>
      </c>
      <c r="Q2581" s="4">
        <f>IFERROR(MATCH(2576,상세표[연속순번],0),"")</f>
        <v/>
      </c>
    </row>
    <row r="2582">
      <c r="A2582">
        <f>IF($Q2582="","",INDEX(상세표[부서],$Q2582)&amp;"")</f>
        <v/>
      </c>
      <c r="B2582">
        <f>IF($Q2582="","",INDEX(상세표[사번],$Q2582)&amp;"")</f>
        <v/>
      </c>
      <c r="C2582">
        <f>IF($Q2582="","",INDEX(상세표[성명],$Q2582)&amp;"")</f>
        <v/>
      </c>
      <c r="D2582">
        <f>IF($Q2582="","",INDEX(상세표[직위],$Q2582)&amp;"")</f>
        <v/>
      </c>
      <c r="E2582">
        <f>IF($Q2582="","",IF(ISNUMBER(INDEX(상세표[근무일자],$Q2582)),TEXT(INDEX(상세표[근무일자],$Q2582),"yyyy-mm-dd"),INDEX(상세표[근무일자],$Q2582)&amp;""))</f>
        <v/>
      </c>
      <c r="F2582">
        <f>IF($Q2582="","",IF(ISNUMBER(INDEX(상세표[시작],$Q2582)),TEXT(INDEX(상세표[시작],$Q2582),"yyyy-mm-dd hh:mm"),INDEX(상세표[시작],$Q2582)&amp;""))</f>
        <v/>
      </c>
      <c r="G2582">
        <f>IF($Q2582="","",IF(ISNUMBER(INDEX(상세표[블록종료],$Q2582)),TEXT(INDEX(상세표[블록종료],$Q2582),"yyyy-mm-dd hh:mm"),INDEX(상세표[블록종료],$Q2582)&amp;""))</f>
        <v/>
      </c>
      <c r="H2582">
        <f>IF($Q2582="","",CHOOSE(WEEKDAY(INDEX(상세표[시작],$Q2582)),"일","월","화","수","목","금","토"))</f>
        <v/>
      </c>
      <c r="I2582" s="20">
        <f>IF($Q2582="","",INDEX(상세표[연속 시간],$Q2582))</f>
        <v/>
      </c>
      <c r="J2582">
        <f>IF($Q2582="","",INDEX(상세표[기록 수],$Q2582))</f>
        <v/>
      </c>
      <c r="K2582" s="20">
        <f>IF($Q2582="","",INDEX(상세표[블록 06~07시],$Q2582))</f>
        <v/>
      </c>
      <c r="L2582" s="20">
        <f>IF($Q2582="","",INDEX(상세표[블록 07~18시],$Q2582))</f>
        <v/>
      </c>
      <c r="M2582" s="20">
        <f>IF($Q2582="","",INDEX(상세표[블록 18~22시],$Q2582))</f>
        <v/>
      </c>
      <c r="N2582" s="20">
        <f>IF($Q2582="","",INDEX(상세표[블록 22~06시],$Q2582))</f>
        <v/>
      </c>
      <c r="O2582">
        <f>IF($Q2582="","",INDEX(상세표[주말·휴일 포함],$Q2582)&amp;"")</f>
        <v/>
      </c>
      <c r="P2582">
        <f>IF($Q2582="","",INDEX(상세표[월 넘김 포함],$Q2582)&amp;"")</f>
        <v/>
      </c>
      <c r="Q2582" s="4">
        <f>IFERROR(MATCH(2577,상세표[연속순번],0),"")</f>
        <v/>
      </c>
    </row>
    <row r="2583">
      <c r="A2583">
        <f>IF($Q2583="","",INDEX(상세표[부서],$Q2583)&amp;"")</f>
        <v/>
      </c>
      <c r="B2583">
        <f>IF($Q2583="","",INDEX(상세표[사번],$Q2583)&amp;"")</f>
        <v/>
      </c>
      <c r="C2583">
        <f>IF($Q2583="","",INDEX(상세표[성명],$Q2583)&amp;"")</f>
        <v/>
      </c>
      <c r="D2583">
        <f>IF($Q2583="","",INDEX(상세표[직위],$Q2583)&amp;"")</f>
        <v/>
      </c>
      <c r="E2583">
        <f>IF($Q2583="","",IF(ISNUMBER(INDEX(상세표[근무일자],$Q2583)),TEXT(INDEX(상세표[근무일자],$Q2583),"yyyy-mm-dd"),INDEX(상세표[근무일자],$Q2583)&amp;""))</f>
        <v/>
      </c>
      <c r="F2583">
        <f>IF($Q2583="","",IF(ISNUMBER(INDEX(상세표[시작],$Q2583)),TEXT(INDEX(상세표[시작],$Q2583),"yyyy-mm-dd hh:mm"),INDEX(상세표[시작],$Q2583)&amp;""))</f>
        <v/>
      </c>
      <c r="G2583">
        <f>IF($Q2583="","",IF(ISNUMBER(INDEX(상세표[블록종료],$Q2583)),TEXT(INDEX(상세표[블록종료],$Q2583),"yyyy-mm-dd hh:mm"),INDEX(상세표[블록종료],$Q2583)&amp;""))</f>
        <v/>
      </c>
      <c r="H2583">
        <f>IF($Q2583="","",CHOOSE(WEEKDAY(INDEX(상세표[시작],$Q2583)),"일","월","화","수","목","금","토"))</f>
        <v/>
      </c>
      <c r="I2583" s="20">
        <f>IF($Q2583="","",INDEX(상세표[연속 시간],$Q2583))</f>
        <v/>
      </c>
      <c r="J2583">
        <f>IF($Q2583="","",INDEX(상세표[기록 수],$Q2583))</f>
        <v/>
      </c>
      <c r="K2583" s="20">
        <f>IF($Q2583="","",INDEX(상세표[블록 06~07시],$Q2583))</f>
        <v/>
      </c>
      <c r="L2583" s="20">
        <f>IF($Q2583="","",INDEX(상세표[블록 07~18시],$Q2583))</f>
        <v/>
      </c>
      <c r="M2583" s="20">
        <f>IF($Q2583="","",INDEX(상세표[블록 18~22시],$Q2583))</f>
        <v/>
      </c>
      <c r="N2583" s="20">
        <f>IF($Q2583="","",INDEX(상세표[블록 22~06시],$Q2583))</f>
        <v/>
      </c>
      <c r="O2583">
        <f>IF($Q2583="","",INDEX(상세표[주말·휴일 포함],$Q2583)&amp;"")</f>
        <v/>
      </c>
      <c r="P2583">
        <f>IF($Q2583="","",INDEX(상세표[월 넘김 포함],$Q2583)&amp;"")</f>
        <v/>
      </c>
      <c r="Q2583" s="4">
        <f>IFERROR(MATCH(2578,상세표[연속순번],0),"")</f>
        <v/>
      </c>
    </row>
    <row r="2584">
      <c r="A2584">
        <f>IF($Q2584="","",INDEX(상세표[부서],$Q2584)&amp;"")</f>
        <v/>
      </c>
      <c r="B2584">
        <f>IF($Q2584="","",INDEX(상세표[사번],$Q2584)&amp;"")</f>
        <v/>
      </c>
      <c r="C2584">
        <f>IF($Q2584="","",INDEX(상세표[성명],$Q2584)&amp;"")</f>
        <v/>
      </c>
      <c r="D2584">
        <f>IF($Q2584="","",INDEX(상세표[직위],$Q2584)&amp;"")</f>
        <v/>
      </c>
      <c r="E2584">
        <f>IF($Q2584="","",IF(ISNUMBER(INDEX(상세표[근무일자],$Q2584)),TEXT(INDEX(상세표[근무일자],$Q2584),"yyyy-mm-dd"),INDEX(상세표[근무일자],$Q2584)&amp;""))</f>
        <v/>
      </c>
      <c r="F2584">
        <f>IF($Q2584="","",IF(ISNUMBER(INDEX(상세표[시작],$Q2584)),TEXT(INDEX(상세표[시작],$Q2584),"yyyy-mm-dd hh:mm"),INDEX(상세표[시작],$Q2584)&amp;""))</f>
        <v/>
      </c>
      <c r="G2584">
        <f>IF($Q2584="","",IF(ISNUMBER(INDEX(상세표[블록종료],$Q2584)),TEXT(INDEX(상세표[블록종료],$Q2584),"yyyy-mm-dd hh:mm"),INDEX(상세표[블록종료],$Q2584)&amp;""))</f>
        <v/>
      </c>
      <c r="H2584">
        <f>IF($Q2584="","",CHOOSE(WEEKDAY(INDEX(상세표[시작],$Q2584)),"일","월","화","수","목","금","토"))</f>
        <v/>
      </c>
      <c r="I2584" s="20">
        <f>IF($Q2584="","",INDEX(상세표[연속 시간],$Q2584))</f>
        <v/>
      </c>
      <c r="J2584">
        <f>IF($Q2584="","",INDEX(상세표[기록 수],$Q2584))</f>
        <v/>
      </c>
      <c r="K2584" s="20">
        <f>IF($Q2584="","",INDEX(상세표[블록 06~07시],$Q2584))</f>
        <v/>
      </c>
      <c r="L2584" s="20">
        <f>IF($Q2584="","",INDEX(상세표[블록 07~18시],$Q2584))</f>
        <v/>
      </c>
      <c r="M2584" s="20">
        <f>IF($Q2584="","",INDEX(상세표[블록 18~22시],$Q2584))</f>
        <v/>
      </c>
      <c r="N2584" s="20">
        <f>IF($Q2584="","",INDEX(상세표[블록 22~06시],$Q2584))</f>
        <v/>
      </c>
      <c r="O2584">
        <f>IF($Q2584="","",INDEX(상세표[주말·휴일 포함],$Q2584)&amp;"")</f>
        <v/>
      </c>
      <c r="P2584">
        <f>IF($Q2584="","",INDEX(상세표[월 넘김 포함],$Q2584)&amp;"")</f>
        <v/>
      </c>
      <c r="Q2584" s="4">
        <f>IFERROR(MATCH(2579,상세표[연속순번],0),"")</f>
        <v/>
      </c>
    </row>
    <row r="2585">
      <c r="A2585">
        <f>IF($Q2585="","",INDEX(상세표[부서],$Q2585)&amp;"")</f>
        <v/>
      </c>
      <c r="B2585">
        <f>IF($Q2585="","",INDEX(상세표[사번],$Q2585)&amp;"")</f>
        <v/>
      </c>
      <c r="C2585">
        <f>IF($Q2585="","",INDEX(상세표[성명],$Q2585)&amp;"")</f>
        <v/>
      </c>
      <c r="D2585">
        <f>IF($Q2585="","",INDEX(상세표[직위],$Q2585)&amp;"")</f>
        <v/>
      </c>
      <c r="E2585">
        <f>IF($Q2585="","",IF(ISNUMBER(INDEX(상세표[근무일자],$Q2585)),TEXT(INDEX(상세표[근무일자],$Q2585),"yyyy-mm-dd"),INDEX(상세표[근무일자],$Q2585)&amp;""))</f>
        <v/>
      </c>
      <c r="F2585">
        <f>IF($Q2585="","",IF(ISNUMBER(INDEX(상세표[시작],$Q2585)),TEXT(INDEX(상세표[시작],$Q2585),"yyyy-mm-dd hh:mm"),INDEX(상세표[시작],$Q2585)&amp;""))</f>
        <v/>
      </c>
      <c r="G2585">
        <f>IF($Q2585="","",IF(ISNUMBER(INDEX(상세표[블록종료],$Q2585)),TEXT(INDEX(상세표[블록종료],$Q2585),"yyyy-mm-dd hh:mm"),INDEX(상세표[블록종료],$Q2585)&amp;""))</f>
        <v/>
      </c>
      <c r="H2585">
        <f>IF($Q2585="","",CHOOSE(WEEKDAY(INDEX(상세표[시작],$Q2585)),"일","월","화","수","목","금","토"))</f>
        <v/>
      </c>
      <c r="I2585" s="20">
        <f>IF($Q2585="","",INDEX(상세표[연속 시간],$Q2585))</f>
        <v/>
      </c>
      <c r="J2585">
        <f>IF($Q2585="","",INDEX(상세표[기록 수],$Q2585))</f>
        <v/>
      </c>
      <c r="K2585" s="20">
        <f>IF($Q2585="","",INDEX(상세표[블록 06~07시],$Q2585))</f>
        <v/>
      </c>
      <c r="L2585" s="20">
        <f>IF($Q2585="","",INDEX(상세표[블록 07~18시],$Q2585))</f>
        <v/>
      </c>
      <c r="M2585" s="20">
        <f>IF($Q2585="","",INDEX(상세표[블록 18~22시],$Q2585))</f>
        <v/>
      </c>
      <c r="N2585" s="20">
        <f>IF($Q2585="","",INDEX(상세표[블록 22~06시],$Q2585))</f>
        <v/>
      </c>
      <c r="O2585">
        <f>IF($Q2585="","",INDEX(상세표[주말·휴일 포함],$Q2585)&amp;"")</f>
        <v/>
      </c>
      <c r="P2585">
        <f>IF($Q2585="","",INDEX(상세표[월 넘김 포함],$Q2585)&amp;"")</f>
        <v/>
      </c>
      <c r="Q2585" s="4">
        <f>IFERROR(MATCH(2580,상세표[연속순번],0),"")</f>
        <v/>
      </c>
    </row>
    <row r="2586">
      <c r="A2586">
        <f>IF($Q2586="","",INDEX(상세표[부서],$Q2586)&amp;"")</f>
        <v/>
      </c>
      <c r="B2586">
        <f>IF($Q2586="","",INDEX(상세표[사번],$Q2586)&amp;"")</f>
        <v/>
      </c>
      <c r="C2586">
        <f>IF($Q2586="","",INDEX(상세표[성명],$Q2586)&amp;"")</f>
        <v/>
      </c>
      <c r="D2586">
        <f>IF($Q2586="","",INDEX(상세표[직위],$Q2586)&amp;"")</f>
        <v/>
      </c>
      <c r="E2586">
        <f>IF($Q2586="","",IF(ISNUMBER(INDEX(상세표[근무일자],$Q2586)),TEXT(INDEX(상세표[근무일자],$Q2586),"yyyy-mm-dd"),INDEX(상세표[근무일자],$Q2586)&amp;""))</f>
        <v/>
      </c>
      <c r="F2586">
        <f>IF($Q2586="","",IF(ISNUMBER(INDEX(상세표[시작],$Q2586)),TEXT(INDEX(상세표[시작],$Q2586),"yyyy-mm-dd hh:mm"),INDEX(상세표[시작],$Q2586)&amp;""))</f>
        <v/>
      </c>
      <c r="G2586">
        <f>IF($Q2586="","",IF(ISNUMBER(INDEX(상세표[블록종료],$Q2586)),TEXT(INDEX(상세표[블록종료],$Q2586),"yyyy-mm-dd hh:mm"),INDEX(상세표[블록종료],$Q2586)&amp;""))</f>
        <v/>
      </c>
      <c r="H2586">
        <f>IF($Q2586="","",CHOOSE(WEEKDAY(INDEX(상세표[시작],$Q2586)),"일","월","화","수","목","금","토"))</f>
        <v/>
      </c>
      <c r="I2586" s="20">
        <f>IF($Q2586="","",INDEX(상세표[연속 시간],$Q2586))</f>
        <v/>
      </c>
      <c r="J2586">
        <f>IF($Q2586="","",INDEX(상세표[기록 수],$Q2586))</f>
        <v/>
      </c>
      <c r="K2586" s="20">
        <f>IF($Q2586="","",INDEX(상세표[블록 06~07시],$Q2586))</f>
        <v/>
      </c>
      <c r="L2586" s="20">
        <f>IF($Q2586="","",INDEX(상세표[블록 07~18시],$Q2586))</f>
        <v/>
      </c>
      <c r="M2586" s="20">
        <f>IF($Q2586="","",INDEX(상세표[블록 18~22시],$Q2586))</f>
        <v/>
      </c>
      <c r="N2586" s="20">
        <f>IF($Q2586="","",INDEX(상세표[블록 22~06시],$Q2586))</f>
        <v/>
      </c>
      <c r="O2586">
        <f>IF($Q2586="","",INDEX(상세표[주말·휴일 포함],$Q2586)&amp;"")</f>
        <v/>
      </c>
      <c r="P2586">
        <f>IF($Q2586="","",INDEX(상세표[월 넘김 포함],$Q2586)&amp;"")</f>
        <v/>
      </c>
      <c r="Q2586" s="4">
        <f>IFERROR(MATCH(2581,상세표[연속순번],0),"")</f>
        <v/>
      </c>
    </row>
    <row r="2587">
      <c r="A2587">
        <f>IF($Q2587="","",INDEX(상세표[부서],$Q2587)&amp;"")</f>
        <v/>
      </c>
      <c r="B2587">
        <f>IF($Q2587="","",INDEX(상세표[사번],$Q2587)&amp;"")</f>
        <v/>
      </c>
      <c r="C2587">
        <f>IF($Q2587="","",INDEX(상세표[성명],$Q2587)&amp;"")</f>
        <v/>
      </c>
      <c r="D2587">
        <f>IF($Q2587="","",INDEX(상세표[직위],$Q2587)&amp;"")</f>
        <v/>
      </c>
      <c r="E2587">
        <f>IF($Q2587="","",IF(ISNUMBER(INDEX(상세표[근무일자],$Q2587)),TEXT(INDEX(상세표[근무일자],$Q2587),"yyyy-mm-dd"),INDEX(상세표[근무일자],$Q2587)&amp;""))</f>
        <v/>
      </c>
      <c r="F2587">
        <f>IF($Q2587="","",IF(ISNUMBER(INDEX(상세표[시작],$Q2587)),TEXT(INDEX(상세표[시작],$Q2587),"yyyy-mm-dd hh:mm"),INDEX(상세표[시작],$Q2587)&amp;""))</f>
        <v/>
      </c>
      <c r="G2587">
        <f>IF($Q2587="","",IF(ISNUMBER(INDEX(상세표[블록종료],$Q2587)),TEXT(INDEX(상세표[블록종료],$Q2587),"yyyy-mm-dd hh:mm"),INDEX(상세표[블록종료],$Q2587)&amp;""))</f>
        <v/>
      </c>
      <c r="H2587">
        <f>IF($Q2587="","",CHOOSE(WEEKDAY(INDEX(상세표[시작],$Q2587)),"일","월","화","수","목","금","토"))</f>
        <v/>
      </c>
      <c r="I2587" s="20">
        <f>IF($Q2587="","",INDEX(상세표[연속 시간],$Q2587))</f>
        <v/>
      </c>
      <c r="J2587">
        <f>IF($Q2587="","",INDEX(상세표[기록 수],$Q2587))</f>
        <v/>
      </c>
      <c r="K2587" s="20">
        <f>IF($Q2587="","",INDEX(상세표[블록 06~07시],$Q2587))</f>
        <v/>
      </c>
      <c r="L2587" s="20">
        <f>IF($Q2587="","",INDEX(상세표[블록 07~18시],$Q2587))</f>
        <v/>
      </c>
      <c r="M2587" s="20">
        <f>IF($Q2587="","",INDEX(상세표[블록 18~22시],$Q2587))</f>
        <v/>
      </c>
      <c r="N2587" s="20">
        <f>IF($Q2587="","",INDEX(상세표[블록 22~06시],$Q2587))</f>
        <v/>
      </c>
      <c r="O2587">
        <f>IF($Q2587="","",INDEX(상세표[주말·휴일 포함],$Q2587)&amp;"")</f>
        <v/>
      </c>
      <c r="P2587">
        <f>IF($Q2587="","",INDEX(상세표[월 넘김 포함],$Q2587)&amp;"")</f>
        <v/>
      </c>
      <c r="Q2587" s="4">
        <f>IFERROR(MATCH(2582,상세표[연속순번],0),"")</f>
        <v/>
      </c>
    </row>
    <row r="2588">
      <c r="A2588">
        <f>IF($Q2588="","",INDEX(상세표[부서],$Q2588)&amp;"")</f>
        <v/>
      </c>
      <c r="B2588">
        <f>IF($Q2588="","",INDEX(상세표[사번],$Q2588)&amp;"")</f>
        <v/>
      </c>
      <c r="C2588">
        <f>IF($Q2588="","",INDEX(상세표[성명],$Q2588)&amp;"")</f>
        <v/>
      </c>
      <c r="D2588">
        <f>IF($Q2588="","",INDEX(상세표[직위],$Q2588)&amp;"")</f>
        <v/>
      </c>
      <c r="E2588">
        <f>IF($Q2588="","",IF(ISNUMBER(INDEX(상세표[근무일자],$Q2588)),TEXT(INDEX(상세표[근무일자],$Q2588),"yyyy-mm-dd"),INDEX(상세표[근무일자],$Q2588)&amp;""))</f>
        <v/>
      </c>
      <c r="F2588">
        <f>IF($Q2588="","",IF(ISNUMBER(INDEX(상세표[시작],$Q2588)),TEXT(INDEX(상세표[시작],$Q2588),"yyyy-mm-dd hh:mm"),INDEX(상세표[시작],$Q2588)&amp;""))</f>
        <v/>
      </c>
      <c r="G2588">
        <f>IF($Q2588="","",IF(ISNUMBER(INDEX(상세표[블록종료],$Q2588)),TEXT(INDEX(상세표[블록종료],$Q2588),"yyyy-mm-dd hh:mm"),INDEX(상세표[블록종료],$Q2588)&amp;""))</f>
        <v/>
      </c>
      <c r="H2588">
        <f>IF($Q2588="","",CHOOSE(WEEKDAY(INDEX(상세표[시작],$Q2588)),"일","월","화","수","목","금","토"))</f>
        <v/>
      </c>
      <c r="I2588" s="20">
        <f>IF($Q2588="","",INDEX(상세표[연속 시간],$Q2588))</f>
        <v/>
      </c>
      <c r="J2588">
        <f>IF($Q2588="","",INDEX(상세표[기록 수],$Q2588))</f>
        <v/>
      </c>
      <c r="K2588" s="20">
        <f>IF($Q2588="","",INDEX(상세표[블록 06~07시],$Q2588))</f>
        <v/>
      </c>
      <c r="L2588" s="20">
        <f>IF($Q2588="","",INDEX(상세표[블록 07~18시],$Q2588))</f>
        <v/>
      </c>
      <c r="M2588" s="20">
        <f>IF($Q2588="","",INDEX(상세표[블록 18~22시],$Q2588))</f>
        <v/>
      </c>
      <c r="N2588" s="20">
        <f>IF($Q2588="","",INDEX(상세표[블록 22~06시],$Q2588))</f>
        <v/>
      </c>
      <c r="O2588">
        <f>IF($Q2588="","",INDEX(상세표[주말·휴일 포함],$Q2588)&amp;"")</f>
        <v/>
      </c>
      <c r="P2588">
        <f>IF($Q2588="","",INDEX(상세표[월 넘김 포함],$Q2588)&amp;"")</f>
        <v/>
      </c>
      <c r="Q2588" s="4">
        <f>IFERROR(MATCH(2583,상세표[연속순번],0),"")</f>
        <v/>
      </c>
    </row>
    <row r="2589">
      <c r="A2589">
        <f>IF($Q2589="","",INDEX(상세표[부서],$Q2589)&amp;"")</f>
        <v/>
      </c>
      <c r="B2589">
        <f>IF($Q2589="","",INDEX(상세표[사번],$Q2589)&amp;"")</f>
        <v/>
      </c>
      <c r="C2589">
        <f>IF($Q2589="","",INDEX(상세표[성명],$Q2589)&amp;"")</f>
        <v/>
      </c>
      <c r="D2589">
        <f>IF($Q2589="","",INDEX(상세표[직위],$Q2589)&amp;"")</f>
        <v/>
      </c>
      <c r="E2589">
        <f>IF($Q2589="","",IF(ISNUMBER(INDEX(상세표[근무일자],$Q2589)),TEXT(INDEX(상세표[근무일자],$Q2589),"yyyy-mm-dd"),INDEX(상세표[근무일자],$Q2589)&amp;""))</f>
        <v/>
      </c>
      <c r="F2589">
        <f>IF($Q2589="","",IF(ISNUMBER(INDEX(상세표[시작],$Q2589)),TEXT(INDEX(상세표[시작],$Q2589),"yyyy-mm-dd hh:mm"),INDEX(상세표[시작],$Q2589)&amp;""))</f>
        <v/>
      </c>
      <c r="G2589">
        <f>IF($Q2589="","",IF(ISNUMBER(INDEX(상세표[블록종료],$Q2589)),TEXT(INDEX(상세표[블록종료],$Q2589),"yyyy-mm-dd hh:mm"),INDEX(상세표[블록종료],$Q2589)&amp;""))</f>
        <v/>
      </c>
      <c r="H2589">
        <f>IF($Q2589="","",CHOOSE(WEEKDAY(INDEX(상세표[시작],$Q2589)),"일","월","화","수","목","금","토"))</f>
        <v/>
      </c>
      <c r="I2589" s="20">
        <f>IF($Q2589="","",INDEX(상세표[연속 시간],$Q2589))</f>
        <v/>
      </c>
      <c r="J2589">
        <f>IF($Q2589="","",INDEX(상세표[기록 수],$Q2589))</f>
        <v/>
      </c>
      <c r="K2589" s="20">
        <f>IF($Q2589="","",INDEX(상세표[블록 06~07시],$Q2589))</f>
        <v/>
      </c>
      <c r="L2589" s="20">
        <f>IF($Q2589="","",INDEX(상세표[블록 07~18시],$Q2589))</f>
        <v/>
      </c>
      <c r="M2589" s="20">
        <f>IF($Q2589="","",INDEX(상세표[블록 18~22시],$Q2589))</f>
        <v/>
      </c>
      <c r="N2589" s="20">
        <f>IF($Q2589="","",INDEX(상세표[블록 22~06시],$Q2589))</f>
        <v/>
      </c>
      <c r="O2589">
        <f>IF($Q2589="","",INDEX(상세표[주말·휴일 포함],$Q2589)&amp;"")</f>
        <v/>
      </c>
      <c r="P2589">
        <f>IF($Q2589="","",INDEX(상세표[월 넘김 포함],$Q2589)&amp;"")</f>
        <v/>
      </c>
      <c r="Q2589" s="4">
        <f>IFERROR(MATCH(2584,상세표[연속순번],0),"")</f>
        <v/>
      </c>
    </row>
    <row r="2590">
      <c r="A2590">
        <f>IF($Q2590="","",INDEX(상세표[부서],$Q2590)&amp;"")</f>
        <v/>
      </c>
      <c r="B2590">
        <f>IF($Q2590="","",INDEX(상세표[사번],$Q2590)&amp;"")</f>
        <v/>
      </c>
      <c r="C2590">
        <f>IF($Q2590="","",INDEX(상세표[성명],$Q2590)&amp;"")</f>
        <v/>
      </c>
      <c r="D2590">
        <f>IF($Q2590="","",INDEX(상세표[직위],$Q2590)&amp;"")</f>
        <v/>
      </c>
      <c r="E2590">
        <f>IF($Q2590="","",IF(ISNUMBER(INDEX(상세표[근무일자],$Q2590)),TEXT(INDEX(상세표[근무일자],$Q2590),"yyyy-mm-dd"),INDEX(상세표[근무일자],$Q2590)&amp;""))</f>
        <v/>
      </c>
      <c r="F2590">
        <f>IF($Q2590="","",IF(ISNUMBER(INDEX(상세표[시작],$Q2590)),TEXT(INDEX(상세표[시작],$Q2590),"yyyy-mm-dd hh:mm"),INDEX(상세표[시작],$Q2590)&amp;""))</f>
        <v/>
      </c>
      <c r="G2590">
        <f>IF($Q2590="","",IF(ISNUMBER(INDEX(상세표[블록종료],$Q2590)),TEXT(INDEX(상세표[블록종료],$Q2590),"yyyy-mm-dd hh:mm"),INDEX(상세표[블록종료],$Q2590)&amp;""))</f>
        <v/>
      </c>
      <c r="H2590">
        <f>IF($Q2590="","",CHOOSE(WEEKDAY(INDEX(상세표[시작],$Q2590)),"일","월","화","수","목","금","토"))</f>
        <v/>
      </c>
      <c r="I2590" s="20">
        <f>IF($Q2590="","",INDEX(상세표[연속 시간],$Q2590))</f>
        <v/>
      </c>
      <c r="J2590">
        <f>IF($Q2590="","",INDEX(상세표[기록 수],$Q2590))</f>
        <v/>
      </c>
      <c r="K2590" s="20">
        <f>IF($Q2590="","",INDEX(상세표[블록 06~07시],$Q2590))</f>
        <v/>
      </c>
      <c r="L2590" s="20">
        <f>IF($Q2590="","",INDEX(상세표[블록 07~18시],$Q2590))</f>
        <v/>
      </c>
      <c r="M2590" s="20">
        <f>IF($Q2590="","",INDEX(상세표[블록 18~22시],$Q2590))</f>
        <v/>
      </c>
      <c r="N2590" s="20">
        <f>IF($Q2590="","",INDEX(상세표[블록 22~06시],$Q2590))</f>
        <v/>
      </c>
      <c r="O2590">
        <f>IF($Q2590="","",INDEX(상세표[주말·휴일 포함],$Q2590)&amp;"")</f>
        <v/>
      </c>
      <c r="P2590">
        <f>IF($Q2590="","",INDEX(상세표[월 넘김 포함],$Q2590)&amp;"")</f>
        <v/>
      </c>
      <c r="Q2590" s="4">
        <f>IFERROR(MATCH(2585,상세표[연속순번],0),"")</f>
        <v/>
      </c>
    </row>
    <row r="2591">
      <c r="A2591">
        <f>IF($Q2591="","",INDEX(상세표[부서],$Q2591)&amp;"")</f>
        <v/>
      </c>
      <c r="B2591">
        <f>IF($Q2591="","",INDEX(상세표[사번],$Q2591)&amp;"")</f>
        <v/>
      </c>
      <c r="C2591">
        <f>IF($Q2591="","",INDEX(상세표[성명],$Q2591)&amp;"")</f>
        <v/>
      </c>
      <c r="D2591">
        <f>IF($Q2591="","",INDEX(상세표[직위],$Q2591)&amp;"")</f>
        <v/>
      </c>
      <c r="E2591">
        <f>IF($Q2591="","",IF(ISNUMBER(INDEX(상세표[근무일자],$Q2591)),TEXT(INDEX(상세표[근무일자],$Q2591),"yyyy-mm-dd"),INDEX(상세표[근무일자],$Q2591)&amp;""))</f>
        <v/>
      </c>
      <c r="F2591">
        <f>IF($Q2591="","",IF(ISNUMBER(INDEX(상세표[시작],$Q2591)),TEXT(INDEX(상세표[시작],$Q2591),"yyyy-mm-dd hh:mm"),INDEX(상세표[시작],$Q2591)&amp;""))</f>
        <v/>
      </c>
      <c r="G2591">
        <f>IF($Q2591="","",IF(ISNUMBER(INDEX(상세표[블록종료],$Q2591)),TEXT(INDEX(상세표[블록종료],$Q2591),"yyyy-mm-dd hh:mm"),INDEX(상세표[블록종료],$Q2591)&amp;""))</f>
        <v/>
      </c>
      <c r="H2591">
        <f>IF($Q2591="","",CHOOSE(WEEKDAY(INDEX(상세표[시작],$Q2591)),"일","월","화","수","목","금","토"))</f>
        <v/>
      </c>
      <c r="I2591" s="20">
        <f>IF($Q2591="","",INDEX(상세표[연속 시간],$Q2591))</f>
        <v/>
      </c>
      <c r="J2591">
        <f>IF($Q2591="","",INDEX(상세표[기록 수],$Q2591))</f>
        <v/>
      </c>
      <c r="K2591" s="20">
        <f>IF($Q2591="","",INDEX(상세표[블록 06~07시],$Q2591))</f>
        <v/>
      </c>
      <c r="L2591" s="20">
        <f>IF($Q2591="","",INDEX(상세표[블록 07~18시],$Q2591))</f>
        <v/>
      </c>
      <c r="M2591" s="20">
        <f>IF($Q2591="","",INDEX(상세표[블록 18~22시],$Q2591))</f>
        <v/>
      </c>
      <c r="N2591" s="20">
        <f>IF($Q2591="","",INDEX(상세표[블록 22~06시],$Q2591))</f>
        <v/>
      </c>
      <c r="O2591">
        <f>IF($Q2591="","",INDEX(상세표[주말·휴일 포함],$Q2591)&amp;"")</f>
        <v/>
      </c>
      <c r="P2591">
        <f>IF($Q2591="","",INDEX(상세표[월 넘김 포함],$Q2591)&amp;"")</f>
        <v/>
      </c>
      <c r="Q2591" s="4">
        <f>IFERROR(MATCH(2586,상세표[연속순번],0),"")</f>
        <v/>
      </c>
    </row>
    <row r="2592">
      <c r="A2592">
        <f>IF($Q2592="","",INDEX(상세표[부서],$Q2592)&amp;"")</f>
        <v/>
      </c>
      <c r="B2592">
        <f>IF($Q2592="","",INDEX(상세표[사번],$Q2592)&amp;"")</f>
        <v/>
      </c>
      <c r="C2592">
        <f>IF($Q2592="","",INDEX(상세표[성명],$Q2592)&amp;"")</f>
        <v/>
      </c>
      <c r="D2592">
        <f>IF($Q2592="","",INDEX(상세표[직위],$Q2592)&amp;"")</f>
        <v/>
      </c>
      <c r="E2592">
        <f>IF($Q2592="","",IF(ISNUMBER(INDEX(상세표[근무일자],$Q2592)),TEXT(INDEX(상세표[근무일자],$Q2592),"yyyy-mm-dd"),INDEX(상세표[근무일자],$Q2592)&amp;""))</f>
        <v/>
      </c>
      <c r="F2592">
        <f>IF($Q2592="","",IF(ISNUMBER(INDEX(상세표[시작],$Q2592)),TEXT(INDEX(상세표[시작],$Q2592),"yyyy-mm-dd hh:mm"),INDEX(상세표[시작],$Q2592)&amp;""))</f>
        <v/>
      </c>
      <c r="G2592">
        <f>IF($Q2592="","",IF(ISNUMBER(INDEX(상세표[블록종료],$Q2592)),TEXT(INDEX(상세표[블록종료],$Q2592),"yyyy-mm-dd hh:mm"),INDEX(상세표[블록종료],$Q2592)&amp;""))</f>
        <v/>
      </c>
      <c r="H2592">
        <f>IF($Q2592="","",CHOOSE(WEEKDAY(INDEX(상세표[시작],$Q2592)),"일","월","화","수","목","금","토"))</f>
        <v/>
      </c>
      <c r="I2592" s="20">
        <f>IF($Q2592="","",INDEX(상세표[연속 시간],$Q2592))</f>
        <v/>
      </c>
      <c r="J2592">
        <f>IF($Q2592="","",INDEX(상세표[기록 수],$Q2592))</f>
        <v/>
      </c>
      <c r="K2592" s="20">
        <f>IF($Q2592="","",INDEX(상세표[블록 06~07시],$Q2592))</f>
        <v/>
      </c>
      <c r="L2592" s="20">
        <f>IF($Q2592="","",INDEX(상세표[블록 07~18시],$Q2592))</f>
        <v/>
      </c>
      <c r="M2592" s="20">
        <f>IF($Q2592="","",INDEX(상세표[블록 18~22시],$Q2592))</f>
        <v/>
      </c>
      <c r="N2592" s="20">
        <f>IF($Q2592="","",INDEX(상세표[블록 22~06시],$Q2592))</f>
        <v/>
      </c>
      <c r="O2592">
        <f>IF($Q2592="","",INDEX(상세표[주말·휴일 포함],$Q2592)&amp;"")</f>
        <v/>
      </c>
      <c r="P2592">
        <f>IF($Q2592="","",INDEX(상세표[월 넘김 포함],$Q2592)&amp;"")</f>
        <v/>
      </c>
      <c r="Q2592" s="4">
        <f>IFERROR(MATCH(2587,상세표[연속순번],0),"")</f>
        <v/>
      </c>
    </row>
    <row r="2593">
      <c r="A2593">
        <f>IF($Q2593="","",INDEX(상세표[부서],$Q2593)&amp;"")</f>
        <v/>
      </c>
      <c r="B2593">
        <f>IF($Q2593="","",INDEX(상세표[사번],$Q2593)&amp;"")</f>
        <v/>
      </c>
      <c r="C2593">
        <f>IF($Q2593="","",INDEX(상세표[성명],$Q2593)&amp;"")</f>
        <v/>
      </c>
      <c r="D2593">
        <f>IF($Q2593="","",INDEX(상세표[직위],$Q2593)&amp;"")</f>
        <v/>
      </c>
      <c r="E2593">
        <f>IF($Q2593="","",IF(ISNUMBER(INDEX(상세표[근무일자],$Q2593)),TEXT(INDEX(상세표[근무일자],$Q2593),"yyyy-mm-dd"),INDEX(상세표[근무일자],$Q2593)&amp;""))</f>
        <v/>
      </c>
      <c r="F2593">
        <f>IF($Q2593="","",IF(ISNUMBER(INDEX(상세표[시작],$Q2593)),TEXT(INDEX(상세표[시작],$Q2593),"yyyy-mm-dd hh:mm"),INDEX(상세표[시작],$Q2593)&amp;""))</f>
        <v/>
      </c>
      <c r="G2593">
        <f>IF($Q2593="","",IF(ISNUMBER(INDEX(상세표[블록종료],$Q2593)),TEXT(INDEX(상세표[블록종료],$Q2593),"yyyy-mm-dd hh:mm"),INDEX(상세표[블록종료],$Q2593)&amp;""))</f>
        <v/>
      </c>
      <c r="H2593">
        <f>IF($Q2593="","",CHOOSE(WEEKDAY(INDEX(상세표[시작],$Q2593)),"일","월","화","수","목","금","토"))</f>
        <v/>
      </c>
      <c r="I2593" s="20">
        <f>IF($Q2593="","",INDEX(상세표[연속 시간],$Q2593))</f>
        <v/>
      </c>
      <c r="J2593">
        <f>IF($Q2593="","",INDEX(상세표[기록 수],$Q2593))</f>
        <v/>
      </c>
      <c r="K2593" s="20">
        <f>IF($Q2593="","",INDEX(상세표[블록 06~07시],$Q2593))</f>
        <v/>
      </c>
      <c r="L2593" s="20">
        <f>IF($Q2593="","",INDEX(상세표[블록 07~18시],$Q2593))</f>
        <v/>
      </c>
      <c r="M2593" s="20">
        <f>IF($Q2593="","",INDEX(상세표[블록 18~22시],$Q2593))</f>
        <v/>
      </c>
      <c r="N2593" s="20">
        <f>IF($Q2593="","",INDEX(상세표[블록 22~06시],$Q2593))</f>
        <v/>
      </c>
      <c r="O2593">
        <f>IF($Q2593="","",INDEX(상세표[주말·휴일 포함],$Q2593)&amp;"")</f>
        <v/>
      </c>
      <c r="P2593">
        <f>IF($Q2593="","",INDEX(상세표[월 넘김 포함],$Q2593)&amp;"")</f>
        <v/>
      </c>
      <c r="Q2593" s="4">
        <f>IFERROR(MATCH(2588,상세표[연속순번],0),"")</f>
        <v/>
      </c>
    </row>
    <row r="2594">
      <c r="A2594">
        <f>IF($Q2594="","",INDEX(상세표[부서],$Q2594)&amp;"")</f>
        <v/>
      </c>
      <c r="B2594">
        <f>IF($Q2594="","",INDEX(상세표[사번],$Q2594)&amp;"")</f>
        <v/>
      </c>
      <c r="C2594">
        <f>IF($Q2594="","",INDEX(상세표[성명],$Q2594)&amp;"")</f>
        <v/>
      </c>
      <c r="D2594">
        <f>IF($Q2594="","",INDEX(상세표[직위],$Q2594)&amp;"")</f>
        <v/>
      </c>
      <c r="E2594">
        <f>IF($Q2594="","",IF(ISNUMBER(INDEX(상세표[근무일자],$Q2594)),TEXT(INDEX(상세표[근무일자],$Q2594),"yyyy-mm-dd"),INDEX(상세표[근무일자],$Q2594)&amp;""))</f>
        <v/>
      </c>
      <c r="F2594">
        <f>IF($Q2594="","",IF(ISNUMBER(INDEX(상세표[시작],$Q2594)),TEXT(INDEX(상세표[시작],$Q2594),"yyyy-mm-dd hh:mm"),INDEX(상세표[시작],$Q2594)&amp;""))</f>
        <v/>
      </c>
      <c r="G2594">
        <f>IF($Q2594="","",IF(ISNUMBER(INDEX(상세표[블록종료],$Q2594)),TEXT(INDEX(상세표[블록종료],$Q2594),"yyyy-mm-dd hh:mm"),INDEX(상세표[블록종료],$Q2594)&amp;""))</f>
        <v/>
      </c>
      <c r="H2594">
        <f>IF($Q2594="","",CHOOSE(WEEKDAY(INDEX(상세표[시작],$Q2594)),"일","월","화","수","목","금","토"))</f>
        <v/>
      </c>
      <c r="I2594" s="20">
        <f>IF($Q2594="","",INDEX(상세표[연속 시간],$Q2594))</f>
        <v/>
      </c>
      <c r="J2594">
        <f>IF($Q2594="","",INDEX(상세표[기록 수],$Q2594))</f>
        <v/>
      </c>
      <c r="K2594" s="20">
        <f>IF($Q2594="","",INDEX(상세표[블록 06~07시],$Q2594))</f>
        <v/>
      </c>
      <c r="L2594" s="20">
        <f>IF($Q2594="","",INDEX(상세표[블록 07~18시],$Q2594))</f>
        <v/>
      </c>
      <c r="M2594" s="20">
        <f>IF($Q2594="","",INDEX(상세표[블록 18~22시],$Q2594))</f>
        <v/>
      </c>
      <c r="N2594" s="20">
        <f>IF($Q2594="","",INDEX(상세표[블록 22~06시],$Q2594))</f>
        <v/>
      </c>
      <c r="O2594">
        <f>IF($Q2594="","",INDEX(상세표[주말·휴일 포함],$Q2594)&amp;"")</f>
        <v/>
      </c>
      <c r="P2594">
        <f>IF($Q2594="","",INDEX(상세표[월 넘김 포함],$Q2594)&amp;"")</f>
        <v/>
      </c>
      <c r="Q2594" s="4">
        <f>IFERROR(MATCH(2589,상세표[연속순번],0),"")</f>
        <v/>
      </c>
    </row>
    <row r="2595">
      <c r="A2595">
        <f>IF($Q2595="","",INDEX(상세표[부서],$Q2595)&amp;"")</f>
        <v/>
      </c>
      <c r="B2595">
        <f>IF($Q2595="","",INDEX(상세표[사번],$Q2595)&amp;"")</f>
        <v/>
      </c>
      <c r="C2595">
        <f>IF($Q2595="","",INDEX(상세표[성명],$Q2595)&amp;"")</f>
        <v/>
      </c>
      <c r="D2595">
        <f>IF($Q2595="","",INDEX(상세표[직위],$Q2595)&amp;"")</f>
        <v/>
      </c>
      <c r="E2595">
        <f>IF($Q2595="","",IF(ISNUMBER(INDEX(상세표[근무일자],$Q2595)),TEXT(INDEX(상세표[근무일자],$Q2595),"yyyy-mm-dd"),INDEX(상세표[근무일자],$Q2595)&amp;""))</f>
        <v/>
      </c>
      <c r="F2595">
        <f>IF($Q2595="","",IF(ISNUMBER(INDEX(상세표[시작],$Q2595)),TEXT(INDEX(상세표[시작],$Q2595),"yyyy-mm-dd hh:mm"),INDEX(상세표[시작],$Q2595)&amp;""))</f>
        <v/>
      </c>
      <c r="G2595">
        <f>IF($Q2595="","",IF(ISNUMBER(INDEX(상세표[블록종료],$Q2595)),TEXT(INDEX(상세표[블록종료],$Q2595),"yyyy-mm-dd hh:mm"),INDEX(상세표[블록종료],$Q2595)&amp;""))</f>
        <v/>
      </c>
      <c r="H2595">
        <f>IF($Q2595="","",CHOOSE(WEEKDAY(INDEX(상세표[시작],$Q2595)),"일","월","화","수","목","금","토"))</f>
        <v/>
      </c>
      <c r="I2595" s="20">
        <f>IF($Q2595="","",INDEX(상세표[연속 시간],$Q2595))</f>
        <v/>
      </c>
      <c r="J2595">
        <f>IF($Q2595="","",INDEX(상세표[기록 수],$Q2595))</f>
        <v/>
      </c>
      <c r="K2595" s="20">
        <f>IF($Q2595="","",INDEX(상세표[블록 06~07시],$Q2595))</f>
        <v/>
      </c>
      <c r="L2595" s="20">
        <f>IF($Q2595="","",INDEX(상세표[블록 07~18시],$Q2595))</f>
        <v/>
      </c>
      <c r="M2595" s="20">
        <f>IF($Q2595="","",INDEX(상세표[블록 18~22시],$Q2595))</f>
        <v/>
      </c>
      <c r="N2595" s="20">
        <f>IF($Q2595="","",INDEX(상세표[블록 22~06시],$Q2595))</f>
        <v/>
      </c>
      <c r="O2595">
        <f>IF($Q2595="","",INDEX(상세표[주말·휴일 포함],$Q2595)&amp;"")</f>
        <v/>
      </c>
      <c r="P2595">
        <f>IF($Q2595="","",INDEX(상세표[월 넘김 포함],$Q2595)&amp;"")</f>
        <v/>
      </c>
      <c r="Q2595" s="4">
        <f>IFERROR(MATCH(2590,상세표[연속순번],0),"")</f>
        <v/>
      </c>
    </row>
    <row r="2596">
      <c r="A2596">
        <f>IF($Q2596="","",INDEX(상세표[부서],$Q2596)&amp;"")</f>
        <v/>
      </c>
      <c r="B2596">
        <f>IF($Q2596="","",INDEX(상세표[사번],$Q2596)&amp;"")</f>
        <v/>
      </c>
      <c r="C2596">
        <f>IF($Q2596="","",INDEX(상세표[성명],$Q2596)&amp;"")</f>
        <v/>
      </c>
      <c r="D2596">
        <f>IF($Q2596="","",INDEX(상세표[직위],$Q2596)&amp;"")</f>
        <v/>
      </c>
      <c r="E2596">
        <f>IF($Q2596="","",IF(ISNUMBER(INDEX(상세표[근무일자],$Q2596)),TEXT(INDEX(상세표[근무일자],$Q2596),"yyyy-mm-dd"),INDEX(상세표[근무일자],$Q2596)&amp;""))</f>
        <v/>
      </c>
      <c r="F2596">
        <f>IF($Q2596="","",IF(ISNUMBER(INDEX(상세표[시작],$Q2596)),TEXT(INDEX(상세표[시작],$Q2596),"yyyy-mm-dd hh:mm"),INDEX(상세표[시작],$Q2596)&amp;""))</f>
        <v/>
      </c>
      <c r="G2596">
        <f>IF($Q2596="","",IF(ISNUMBER(INDEX(상세표[블록종료],$Q2596)),TEXT(INDEX(상세표[블록종료],$Q2596),"yyyy-mm-dd hh:mm"),INDEX(상세표[블록종료],$Q2596)&amp;""))</f>
        <v/>
      </c>
      <c r="H2596">
        <f>IF($Q2596="","",CHOOSE(WEEKDAY(INDEX(상세표[시작],$Q2596)),"일","월","화","수","목","금","토"))</f>
        <v/>
      </c>
      <c r="I2596" s="20">
        <f>IF($Q2596="","",INDEX(상세표[연속 시간],$Q2596))</f>
        <v/>
      </c>
      <c r="J2596">
        <f>IF($Q2596="","",INDEX(상세표[기록 수],$Q2596))</f>
        <v/>
      </c>
      <c r="K2596" s="20">
        <f>IF($Q2596="","",INDEX(상세표[블록 06~07시],$Q2596))</f>
        <v/>
      </c>
      <c r="L2596" s="20">
        <f>IF($Q2596="","",INDEX(상세표[블록 07~18시],$Q2596))</f>
        <v/>
      </c>
      <c r="M2596" s="20">
        <f>IF($Q2596="","",INDEX(상세표[블록 18~22시],$Q2596))</f>
        <v/>
      </c>
      <c r="N2596" s="20">
        <f>IF($Q2596="","",INDEX(상세표[블록 22~06시],$Q2596))</f>
        <v/>
      </c>
      <c r="O2596">
        <f>IF($Q2596="","",INDEX(상세표[주말·휴일 포함],$Q2596)&amp;"")</f>
        <v/>
      </c>
      <c r="P2596">
        <f>IF($Q2596="","",INDEX(상세표[월 넘김 포함],$Q2596)&amp;"")</f>
        <v/>
      </c>
      <c r="Q2596" s="4">
        <f>IFERROR(MATCH(2591,상세표[연속순번],0),"")</f>
        <v/>
      </c>
    </row>
    <row r="2597">
      <c r="A2597">
        <f>IF($Q2597="","",INDEX(상세표[부서],$Q2597)&amp;"")</f>
        <v/>
      </c>
      <c r="B2597">
        <f>IF($Q2597="","",INDEX(상세표[사번],$Q2597)&amp;"")</f>
        <v/>
      </c>
      <c r="C2597">
        <f>IF($Q2597="","",INDEX(상세표[성명],$Q2597)&amp;"")</f>
        <v/>
      </c>
      <c r="D2597">
        <f>IF($Q2597="","",INDEX(상세표[직위],$Q2597)&amp;"")</f>
        <v/>
      </c>
      <c r="E2597">
        <f>IF($Q2597="","",IF(ISNUMBER(INDEX(상세표[근무일자],$Q2597)),TEXT(INDEX(상세표[근무일자],$Q2597),"yyyy-mm-dd"),INDEX(상세표[근무일자],$Q2597)&amp;""))</f>
        <v/>
      </c>
      <c r="F2597">
        <f>IF($Q2597="","",IF(ISNUMBER(INDEX(상세표[시작],$Q2597)),TEXT(INDEX(상세표[시작],$Q2597),"yyyy-mm-dd hh:mm"),INDEX(상세표[시작],$Q2597)&amp;""))</f>
        <v/>
      </c>
      <c r="G2597">
        <f>IF($Q2597="","",IF(ISNUMBER(INDEX(상세표[블록종료],$Q2597)),TEXT(INDEX(상세표[블록종료],$Q2597),"yyyy-mm-dd hh:mm"),INDEX(상세표[블록종료],$Q2597)&amp;""))</f>
        <v/>
      </c>
      <c r="H2597">
        <f>IF($Q2597="","",CHOOSE(WEEKDAY(INDEX(상세표[시작],$Q2597)),"일","월","화","수","목","금","토"))</f>
        <v/>
      </c>
      <c r="I2597" s="20">
        <f>IF($Q2597="","",INDEX(상세표[연속 시간],$Q2597))</f>
        <v/>
      </c>
      <c r="J2597">
        <f>IF($Q2597="","",INDEX(상세표[기록 수],$Q2597))</f>
        <v/>
      </c>
      <c r="K2597" s="20">
        <f>IF($Q2597="","",INDEX(상세표[블록 06~07시],$Q2597))</f>
        <v/>
      </c>
      <c r="L2597" s="20">
        <f>IF($Q2597="","",INDEX(상세표[블록 07~18시],$Q2597))</f>
        <v/>
      </c>
      <c r="M2597" s="20">
        <f>IF($Q2597="","",INDEX(상세표[블록 18~22시],$Q2597))</f>
        <v/>
      </c>
      <c r="N2597" s="20">
        <f>IF($Q2597="","",INDEX(상세표[블록 22~06시],$Q2597))</f>
        <v/>
      </c>
      <c r="O2597">
        <f>IF($Q2597="","",INDEX(상세표[주말·휴일 포함],$Q2597)&amp;"")</f>
        <v/>
      </c>
      <c r="P2597">
        <f>IF($Q2597="","",INDEX(상세표[월 넘김 포함],$Q2597)&amp;"")</f>
        <v/>
      </c>
      <c r="Q2597" s="4">
        <f>IFERROR(MATCH(2592,상세표[연속순번],0),"")</f>
        <v/>
      </c>
    </row>
    <row r="2598">
      <c r="A2598">
        <f>IF($Q2598="","",INDEX(상세표[부서],$Q2598)&amp;"")</f>
        <v/>
      </c>
      <c r="B2598">
        <f>IF($Q2598="","",INDEX(상세표[사번],$Q2598)&amp;"")</f>
        <v/>
      </c>
      <c r="C2598">
        <f>IF($Q2598="","",INDEX(상세표[성명],$Q2598)&amp;"")</f>
        <v/>
      </c>
      <c r="D2598">
        <f>IF($Q2598="","",INDEX(상세표[직위],$Q2598)&amp;"")</f>
        <v/>
      </c>
      <c r="E2598">
        <f>IF($Q2598="","",IF(ISNUMBER(INDEX(상세표[근무일자],$Q2598)),TEXT(INDEX(상세표[근무일자],$Q2598),"yyyy-mm-dd"),INDEX(상세표[근무일자],$Q2598)&amp;""))</f>
        <v/>
      </c>
      <c r="F2598">
        <f>IF($Q2598="","",IF(ISNUMBER(INDEX(상세표[시작],$Q2598)),TEXT(INDEX(상세표[시작],$Q2598),"yyyy-mm-dd hh:mm"),INDEX(상세표[시작],$Q2598)&amp;""))</f>
        <v/>
      </c>
      <c r="G2598">
        <f>IF($Q2598="","",IF(ISNUMBER(INDEX(상세표[블록종료],$Q2598)),TEXT(INDEX(상세표[블록종료],$Q2598),"yyyy-mm-dd hh:mm"),INDEX(상세표[블록종료],$Q2598)&amp;""))</f>
        <v/>
      </c>
      <c r="H2598">
        <f>IF($Q2598="","",CHOOSE(WEEKDAY(INDEX(상세표[시작],$Q2598)),"일","월","화","수","목","금","토"))</f>
        <v/>
      </c>
      <c r="I2598" s="20">
        <f>IF($Q2598="","",INDEX(상세표[연속 시간],$Q2598))</f>
        <v/>
      </c>
      <c r="J2598">
        <f>IF($Q2598="","",INDEX(상세표[기록 수],$Q2598))</f>
        <v/>
      </c>
      <c r="K2598" s="20">
        <f>IF($Q2598="","",INDEX(상세표[블록 06~07시],$Q2598))</f>
        <v/>
      </c>
      <c r="L2598" s="20">
        <f>IF($Q2598="","",INDEX(상세표[블록 07~18시],$Q2598))</f>
        <v/>
      </c>
      <c r="M2598" s="20">
        <f>IF($Q2598="","",INDEX(상세표[블록 18~22시],$Q2598))</f>
        <v/>
      </c>
      <c r="N2598" s="20">
        <f>IF($Q2598="","",INDEX(상세표[블록 22~06시],$Q2598))</f>
        <v/>
      </c>
      <c r="O2598">
        <f>IF($Q2598="","",INDEX(상세표[주말·휴일 포함],$Q2598)&amp;"")</f>
        <v/>
      </c>
      <c r="P2598">
        <f>IF($Q2598="","",INDEX(상세표[월 넘김 포함],$Q2598)&amp;"")</f>
        <v/>
      </c>
      <c r="Q2598" s="4">
        <f>IFERROR(MATCH(2593,상세표[연속순번],0),"")</f>
        <v/>
      </c>
    </row>
    <row r="2599">
      <c r="A2599">
        <f>IF($Q2599="","",INDEX(상세표[부서],$Q2599)&amp;"")</f>
        <v/>
      </c>
      <c r="B2599">
        <f>IF($Q2599="","",INDEX(상세표[사번],$Q2599)&amp;"")</f>
        <v/>
      </c>
      <c r="C2599">
        <f>IF($Q2599="","",INDEX(상세표[성명],$Q2599)&amp;"")</f>
        <v/>
      </c>
      <c r="D2599">
        <f>IF($Q2599="","",INDEX(상세표[직위],$Q2599)&amp;"")</f>
        <v/>
      </c>
      <c r="E2599">
        <f>IF($Q2599="","",IF(ISNUMBER(INDEX(상세표[근무일자],$Q2599)),TEXT(INDEX(상세표[근무일자],$Q2599),"yyyy-mm-dd"),INDEX(상세표[근무일자],$Q2599)&amp;""))</f>
        <v/>
      </c>
      <c r="F2599">
        <f>IF($Q2599="","",IF(ISNUMBER(INDEX(상세표[시작],$Q2599)),TEXT(INDEX(상세표[시작],$Q2599),"yyyy-mm-dd hh:mm"),INDEX(상세표[시작],$Q2599)&amp;""))</f>
        <v/>
      </c>
      <c r="G2599">
        <f>IF($Q2599="","",IF(ISNUMBER(INDEX(상세표[블록종료],$Q2599)),TEXT(INDEX(상세표[블록종료],$Q2599),"yyyy-mm-dd hh:mm"),INDEX(상세표[블록종료],$Q2599)&amp;""))</f>
        <v/>
      </c>
      <c r="H2599">
        <f>IF($Q2599="","",CHOOSE(WEEKDAY(INDEX(상세표[시작],$Q2599)),"일","월","화","수","목","금","토"))</f>
        <v/>
      </c>
      <c r="I2599" s="20">
        <f>IF($Q2599="","",INDEX(상세표[연속 시간],$Q2599))</f>
        <v/>
      </c>
      <c r="J2599">
        <f>IF($Q2599="","",INDEX(상세표[기록 수],$Q2599))</f>
        <v/>
      </c>
      <c r="K2599" s="20">
        <f>IF($Q2599="","",INDEX(상세표[블록 06~07시],$Q2599))</f>
        <v/>
      </c>
      <c r="L2599" s="20">
        <f>IF($Q2599="","",INDEX(상세표[블록 07~18시],$Q2599))</f>
        <v/>
      </c>
      <c r="M2599" s="20">
        <f>IF($Q2599="","",INDEX(상세표[블록 18~22시],$Q2599))</f>
        <v/>
      </c>
      <c r="N2599" s="20">
        <f>IF($Q2599="","",INDEX(상세표[블록 22~06시],$Q2599))</f>
        <v/>
      </c>
      <c r="O2599">
        <f>IF($Q2599="","",INDEX(상세표[주말·휴일 포함],$Q2599)&amp;"")</f>
        <v/>
      </c>
      <c r="P2599">
        <f>IF($Q2599="","",INDEX(상세표[월 넘김 포함],$Q2599)&amp;"")</f>
        <v/>
      </c>
      <c r="Q2599" s="4">
        <f>IFERROR(MATCH(2594,상세표[연속순번],0),"")</f>
        <v/>
      </c>
    </row>
    <row r="2600">
      <c r="A2600">
        <f>IF($Q2600="","",INDEX(상세표[부서],$Q2600)&amp;"")</f>
        <v/>
      </c>
      <c r="B2600">
        <f>IF($Q2600="","",INDEX(상세표[사번],$Q2600)&amp;"")</f>
        <v/>
      </c>
      <c r="C2600">
        <f>IF($Q2600="","",INDEX(상세표[성명],$Q2600)&amp;"")</f>
        <v/>
      </c>
      <c r="D2600">
        <f>IF($Q2600="","",INDEX(상세표[직위],$Q2600)&amp;"")</f>
        <v/>
      </c>
      <c r="E2600">
        <f>IF($Q2600="","",IF(ISNUMBER(INDEX(상세표[근무일자],$Q2600)),TEXT(INDEX(상세표[근무일자],$Q2600),"yyyy-mm-dd"),INDEX(상세표[근무일자],$Q2600)&amp;""))</f>
        <v/>
      </c>
      <c r="F2600">
        <f>IF($Q2600="","",IF(ISNUMBER(INDEX(상세표[시작],$Q2600)),TEXT(INDEX(상세표[시작],$Q2600),"yyyy-mm-dd hh:mm"),INDEX(상세표[시작],$Q2600)&amp;""))</f>
        <v/>
      </c>
      <c r="G2600">
        <f>IF($Q2600="","",IF(ISNUMBER(INDEX(상세표[블록종료],$Q2600)),TEXT(INDEX(상세표[블록종료],$Q2600),"yyyy-mm-dd hh:mm"),INDEX(상세표[블록종료],$Q2600)&amp;""))</f>
        <v/>
      </c>
      <c r="H2600">
        <f>IF($Q2600="","",CHOOSE(WEEKDAY(INDEX(상세표[시작],$Q2600)),"일","월","화","수","목","금","토"))</f>
        <v/>
      </c>
      <c r="I2600" s="20">
        <f>IF($Q2600="","",INDEX(상세표[연속 시간],$Q2600))</f>
        <v/>
      </c>
      <c r="J2600">
        <f>IF($Q2600="","",INDEX(상세표[기록 수],$Q2600))</f>
        <v/>
      </c>
      <c r="K2600" s="20">
        <f>IF($Q2600="","",INDEX(상세표[블록 06~07시],$Q2600))</f>
        <v/>
      </c>
      <c r="L2600" s="20">
        <f>IF($Q2600="","",INDEX(상세표[블록 07~18시],$Q2600))</f>
        <v/>
      </c>
      <c r="M2600" s="20">
        <f>IF($Q2600="","",INDEX(상세표[블록 18~22시],$Q2600))</f>
        <v/>
      </c>
      <c r="N2600" s="20">
        <f>IF($Q2600="","",INDEX(상세표[블록 22~06시],$Q2600))</f>
        <v/>
      </c>
      <c r="O2600">
        <f>IF($Q2600="","",INDEX(상세표[주말·휴일 포함],$Q2600)&amp;"")</f>
        <v/>
      </c>
      <c r="P2600">
        <f>IF($Q2600="","",INDEX(상세표[월 넘김 포함],$Q2600)&amp;"")</f>
        <v/>
      </c>
      <c r="Q2600" s="4">
        <f>IFERROR(MATCH(2595,상세표[연속순번],0),"")</f>
        <v/>
      </c>
    </row>
    <row r="2601">
      <c r="A2601">
        <f>IF($Q2601="","",INDEX(상세표[부서],$Q2601)&amp;"")</f>
        <v/>
      </c>
      <c r="B2601">
        <f>IF($Q2601="","",INDEX(상세표[사번],$Q2601)&amp;"")</f>
        <v/>
      </c>
      <c r="C2601">
        <f>IF($Q2601="","",INDEX(상세표[성명],$Q2601)&amp;"")</f>
        <v/>
      </c>
      <c r="D2601">
        <f>IF($Q2601="","",INDEX(상세표[직위],$Q2601)&amp;"")</f>
        <v/>
      </c>
      <c r="E2601">
        <f>IF($Q2601="","",IF(ISNUMBER(INDEX(상세표[근무일자],$Q2601)),TEXT(INDEX(상세표[근무일자],$Q2601),"yyyy-mm-dd"),INDEX(상세표[근무일자],$Q2601)&amp;""))</f>
        <v/>
      </c>
      <c r="F2601">
        <f>IF($Q2601="","",IF(ISNUMBER(INDEX(상세표[시작],$Q2601)),TEXT(INDEX(상세표[시작],$Q2601),"yyyy-mm-dd hh:mm"),INDEX(상세표[시작],$Q2601)&amp;""))</f>
        <v/>
      </c>
      <c r="G2601">
        <f>IF($Q2601="","",IF(ISNUMBER(INDEX(상세표[블록종료],$Q2601)),TEXT(INDEX(상세표[블록종료],$Q2601),"yyyy-mm-dd hh:mm"),INDEX(상세표[블록종료],$Q2601)&amp;""))</f>
        <v/>
      </c>
      <c r="H2601">
        <f>IF($Q2601="","",CHOOSE(WEEKDAY(INDEX(상세표[시작],$Q2601)),"일","월","화","수","목","금","토"))</f>
        <v/>
      </c>
      <c r="I2601" s="20">
        <f>IF($Q2601="","",INDEX(상세표[연속 시간],$Q2601))</f>
        <v/>
      </c>
      <c r="J2601">
        <f>IF($Q2601="","",INDEX(상세표[기록 수],$Q2601))</f>
        <v/>
      </c>
      <c r="K2601" s="20">
        <f>IF($Q2601="","",INDEX(상세표[블록 06~07시],$Q2601))</f>
        <v/>
      </c>
      <c r="L2601" s="20">
        <f>IF($Q2601="","",INDEX(상세표[블록 07~18시],$Q2601))</f>
        <v/>
      </c>
      <c r="M2601" s="20">
        <f>IF($Q2601="","",INDEX(상세표[블록 18~22시],$Q2601))</f>
        <v/>
      </c>
      <c r="N2601" s="20">
        <f>IF($Q2601="","",INDEX(상세표[블록 22~06시],$Q2601))</f>
        <v/>
      </c>
      <c r="O2601">
        <f>IF($Q2601="","",INDEX(상세표[주말·휴일 포함],$Q2601)&amp;"")</f>
        <v/>
      </c>
      <c r="P2601">
        <f>IF($Q2601="","",INDEX(상세표[월 넘김 포함],$Q2601)&amp;"")</f>
        <v/>
      </c>
      <c r="Q2601" s="4">
        <f>IFERROR(MATCH(2596,상세표[연속순번],0),"")</f>
        <v/>
      </c>
    </row>
    <row r="2602">
      <c r="A2602">
        <f>IF($Q2602="","",INDEX(상세표[부서],$Q2602)&amp;"")</f>
        <v/>
      </c>
      <c r="B2602">
        <f>IF($Q2602="","",INDEX(상세표[사번],$Q2602)&amp;"")</f>
        <v/>
      </c>
      <c r="C2602">
        <f>IF($Q2602="","",INDEX(상세표[성명],$Q2602)&amp;"")</f>
        <v/>
      </c>
      <c r="D2602">
        <f>IF($Q2602="","",INDEX(상세표[직위],$Q2602)&amp;"")</f>
        <v/>
      </c>
      <c r="E2602">
        <f>IF($Q2602="","",IF(ISNUMBER(INDEX(상세표[근무일자],$Q2602)),TEXT(INDEX(상세표[근무일자],$Q2602),"yyyy-mm-dd"),INDEX(상세표[근무일자],$Q2602)&amp;""))</f>
        <v/>
      </c>
      <c r="F2602">
        <f>IF($Q2602="","",IF(ISNUMBER(INDEX(상세표[시작],$Q2602)),TEXT(INDEX(상세표[시작],$Q2602),"yyyy-mm-dd hh:mm"),INDEX(상세표[시작],$Q2602)&amp;""))</f>
        <v/>
      </c>
      <c r="G2602">
        <f>IF($Q2602="","",IF(ISNUMBER(INDEX(상세표[블록종료],$Q2602)),TEXT(INDEX(상세표[블록종료],$Q2602),"yyyy-mm-dd hh:mm"),INDEX(상세표[블록종료],$Q2602)&amp;""))</f>
        <v/>
      </c>
      <c r="H2602">
        <f>IF($Q2602="","",CHOOSE(WEEKDAY(INDEX(상세표[시작],$Q2602)),"일","월","화","수","목","금","토"))</f>
        <v/>
      </c>
      <c r="I2602" s="20">
        <f>IF($Q2602="","",INDEX(상세표[연속 시간],$Q2602))</f>
        <v/>
      </c>
      <c r="J2602">
        <f>IF($Q2602="","",INDEX(상세표[기록 수],$Q2602))</f>
        <v/>
      </c>
      <c r="K2602" s="20">
        <f>IF($Q2602="","",INDEX(상세표[블록 06~07시],$Q2602))</f>
        <v/>
      </c>
      <c r="L2602" s="20">
        <f>IF($Q2602="","",INDEX(상세표[블록 07~18시],$Q2602))</f>
        <v/>
      </c>
      <c r="M2602" s="20">
        <f>IF($Q2602="","",INDEX(상세표[블록 18~22시],$Q2602))</f>
        <v/>
      </c>
      <c r="N2602" s="20">
        <f>IF($Q2602="","",INDEX(상세표[블록 22~06시],$Q2602))</f>
        <v/>
      </c>
      <c r="O2602">
        <f>IF($Q2602="","",INDEX(상세표[주말·휴일 포함],$Q2602)&amp;"")</f>
        <v/>
      </c>
      <c r="P2602">
        <f>IF($Q2602="","",INDEX(상세표[월 넘김 포함],$Q2602)&amp;"")</f>
        <v/>
      </c>
      <c r="Q2602" s="4">
        <f>IFERROR(MATCH(2597,상세표[연속순번],0),"")</f>
        <v/>
      </c>
    </row>
    <row r="2603">
      <c r="A2603">
        <f>IF($Q2603="","",INDEX(상세표[부서],$Q2603)&amp;"")</f>
        <v/>
      </c>
      <c r="B2603">
        <f>IF($Q2603="","",INDEX(상세표[사번],$Q2603)&amp;"")</f>
        <v/>
      </c>
      <c r="C2603">
        <f>IF($Q2603="","",INDEX(상세표[성명],$Q2603)&amp;"")</f>
        <v/>
      </c>
      <c r="D2603">
        <f>IF($Q2603="","",INDEX(상세표[직위],$Q2603)&amp;"")</f>
        <v/>
      </c>
      <c r="E2603">
        <f>IF($Q2603="","",IF(ISNUMBER(INDEX(상세표[근무일자],$Q2603)),TEXT(INDEX(상세표[근무일자],$Q2603),"yyyy-mm-dd"),INDEX(상세표[근무일자],$Q2603)&amp;""))</f>
        <v/>
      </c>
      <c r="F2603">
        <f>IF($Q2603="","",IF(ISNUMBER(INDEX(상세표[시작],$Q2603)),TEXT(INDEX(상세표[시작],$Q2603),"yyyy-mm-dd hh:mm"),INDEX(상세표[시작],$Q2603)&amp;""))</f>
        <v/>
      </c>
      <c r="G2603">
        <f>IF($Q2603="","",IF(ISNUMBER(INDEX(상세표[블록종료],$Q2603)),TEXT(INDEX(상세표[블록종료],$Q2603),"yyyy-mm-dd hh:mm"),INDEX(상세표[블록종료],$Q2603)&amp;""))</f>
        <v/>
      </c>
      <c r="H2603">
        <f>IF($Q2603="","",CHOOSE(WEEKDAY(INDEX(상세표[시작],$Q2603)),"일","월","화","수","목","금","토"))</f>
        <v/>
      </c>
      <c r="I2603" s="20">
        <f>IF($Q2603="","",INDEX(상세표[연속 시간],$Q2603))</f>
        <v/>
      </c>
      <c r="J2603">
        <f>IF($Q2603="","",INDEX(상세표[기록 수],$Q2603))</f>
        <v/>
      </c>
      <c r="K2603" s="20">
        <f>IF($Q2603="","",INDEX(상세표[블록 06~07시],$Q2603))</f>
        <v/>
      </c>
      <c r="L2603" s="20">
        <f>IF($Q2603="","",INDEX(상세표[블록 07~18시],$Q2603))</f>
        <v/>
      </c>
      <c r="M2603" s="20">
        <f>IF($Q2603="","",INDEX(상세표[블록 18~22시],$Q2603))</f>
        <v/>
      </c>
      <c r="N2603" s="20">
        <f>IF($Q2603="","",INDEX(상세표[블록 22~06시],$Q2603))</f>
        <v/>
      </c>
      <c r="O2603">
        <f>IF($Q2603="","",INDEX(상세표[주말·휴일 포함],$Q2603)&amp;"")</f>
        <v/>
      </c>
      <c r="P2603">
        <f>IF($Q2603="","",INDEX(상세표[월 넘김 포함],$Q2603)&amp;"")</f>
        <v/>
      </c>
      <c r="Q2603" s="4">
        <f>IFERROR(MATCH(2598,상세표[연속순번],0),"")</f>
        <v/>
      </c>
    </row>
    <row r="2604">
      <c r="A2604">
        <f>IF($Q2604="","",INDEX(상세표[부서],$Q2604)&amp;"")</f>
        <v/>
      </c>
      <c r="B2604">
        <f>IF($Q2604="","",INDEX(상세표[사번],$Q2604)&amp;"")</f>
        <v/>
      </c>
      <c r="C2604">
        <f>IF($Q2604="","",INDEX(상세표[성명],$Q2604)&amp;"")</f>
        <v/>
      </c>
      <c r="D2604">
        <f>IF($Q2604="","",INDEX(상세표[직위],$Q2604)&amp;"")</f>
        <v/>
      </c>
      <c r="E2604">
        <f>IF($Q2604="","",IF(ISNUMBER(INDEX(상세표[근무일자],$Q2604)),TEXT(INDEX(상세표[근무일자],$Q2604),"yyyy-mm-dd"),INDEX(상세표[근무일자],$Q2604)&amp;""))</f>
        <v/>
      </c>
      <c r="F2604">
        <f>IF($Q2604="","",IF(ISNUMBER(INDEX(상세표[시작],$Q2604)),TEXT(INDEX(상세표[시작],$Q2604),"yyyy-mm-dd hh:mm"),INDEX(상세표[시작],$Q2604)&amp;""))</f>
        <v/>
      </c>
      <c r="G2604">
        <f>IF($Q2604="","",IF(ISNUMBER(INDEX(상세표[블록종료],$Q2604)),TEXT(INDEX(상세표[블록종료],$Q2604),"yyyy-mm-dd hh:mm"),INDEX(상세표[블록종료],$Q2604)&amp;""))</f>
        <v/>
      </c>
      <c r="H2604">
        <f>IF($Q2604="","",CHOOSE(WEEKDAY(INDEX(상세표[시작],$Q2604)),"일","월","화","수","목","금","토"))</f>
        <v/>
      </c>
      <c r="I2604" s="20">
        <f>IF($Q2604="","",INDEX(상세표[연속 시간],$Q2604))</f>
        <v/>
      </c>
      <c r="J2604">
        <f>IF($Q2604="","",INDEX(상세표[기록 수],$Q2604))</f>
        <v/>
      </c>
      <c r="K2604" s="20">
        <f>IF($Q2604="","",INDEX(상세표[블록 06~07시],$Q2604))</f>
        <v/>
      </c>
      <c r="L2604" s="20">
        <f>IF($Q2604="","",INDEX(상세표[블록 07~18시],$Q2604))</f>
        <v/>
      </c>
      <c r="M2604" s="20">
        <f>IF($Q2604="","",INDEX(상세표[블록 18~22시],$Q2604))</f>
        <v/>
      </c>
      <c r="N2604" s="20">
        <f>IF($Q2604="","",INDEX(상세표[블록 22~06시],$Q2604))</f>
        <v/>
      </c>
      <c r="O2604">
        <f>IF($Q2604="","",INDEX(상세표[주말·휴일 포함],$Q2604)&amp;"")</f>
        <v/>
      </c>
      <c r="P2604">
        <f>IF($Q2604="","",INDEX(상세표[월 넘김 포함],$Q2604)&amp;"")</f>
        <v/>
      </c>
      <c r="Q2604" s="4">
        <f>IFERROR(MATCH(2599,상세표[연속순번],0),"")</f>
        <v/>
      </c>
    </row>
    <row r="2605">
      <c r="A2605">
        <f>IF($Q2605="","",INDEX(상세표[부서],$Q2605)&amp;"")</f>
        <v/>
      </c>
      <c r="B2605">
        <f>IF($Q2605="","",INDEX(상세표[사번],$Q2605)&amp;"")</f>
        <v/>
      </c>
      <c r="C2605">
        <f>IF($Q2605="","",INDEX(상세표[성명],$Q2605)&amp;"")</f>
        <v/>
      </c>
      <c r="D2605">
        <f>IF($Q2605="","",INDEX(상세표[직위],$Q2605)&amp;"")</f>
        <v/>
      </c>
      <c r="E2605">
        <f>IF($Q2605="","",IF(ISNUMBER(INDEX(상세표[근무일자],$Q2605)),TEXT(INDEX(상세표[근무일자],$Q2605),"yyyy-mm-dd"),INDEX(상세표[근무일자],$Q2605)&amp;""))</f>
        <v/>
      </c>
      <c r="F2605">
        <f>IF($Q2605="","",IF(ISNUMBER(INDEX(상세표[시작],$Q2605)),TEXT(INDEX(상세표[시작],$Q2605),"yyyy-mm-dd hh:mm"),INDEX(상세표[시작],$Q2605)&amp;""))</f>
        <v/>
      </c>
      <c r="G2605">
        <f>IF($Q2605="","",IF(ISNUMBER(INDEX(상세표[블록종료],$Q2605)),TEXT(INDEX(상세표[블록종료],$Q2605),"yyyy-mm-dd hh:mm"),INDEX(상세표[블록종료],$Q2605)&amp;""))</f>
        <v/>
      </c>
      <c r="H2605">
        <f>IF($Q2605="","",CHOOSE(WEEKDAY(INDEX(상세표[시작],$Q2605)),"일","월","화","수","목","금","토"))</f>
        <v/>
      </c>
      <c r="I2605" s="20">
        <f>IF($Q2605="","",INDEX(상세표[연속 시간],$Q2605))</f>
        <v/>
      </c>
      <c r="J2605">
        <f>IF($Q2605="","",INDEX(상세표[기록 수],$Q2605))</f>
        <v/>
      </c>
      <c r="K2605" s="20">
        <f>IF($Q2605="","",INDEX(상세표[블록 06~07시],$Q2605))</f>
        <v/>
      </c>
      <c r="L2605" s="20">
        <f>IF($Q2605="","",INDEX(상세표[블록 07~18시],$Q2605))</f>
        <v/>
      </c>
      <c r="M2605" s="20">
        <f>IF($Q2605="","",INDEX(상세표[블록 18~22시],$Q2605))</f>
        <v/>
      </c>
      <c r="N2605" s="20">
        <f>IF($Q2605="","",INDEX(상세표[블록 22~06시],$Q2605))</f>
        <v/>
      </c>
      <c r="O2605">
        <f>IF($Q2605="","",INDEX(상세표[주말·휴일 포함],$Q2605)&amp;"")</f>
        <v/>
      </c>
      <c r="P2605">
        <f>IF($Q2605="","",INDEX(상세표[월 넘김 포함],$Q2605)&amp;"")</f>
        <v/>
      </c>
      <c r="Q2605" s="4">
        <f>IFERROR(MATCH(2600,상세표[연속순번],0),"")</f>
        <v/>
      </c>
    </row>
    <row r="2606">
      <c r="A2606">
        <f>IF($Q2606="","",INDEX(상세표[부서],$Q2606)&amp;"")</f>
        <v/>
      </c>
      <c r="B2606">
        <f>IF($Q2606="","",INDEX(상세표[사번],$Q2606)&amp;"")</f>
        <v/>
      </c>
      <c r="C2606">
        <f>IF($Q2606="","",INDEX(상세표[성명],$Q2606)&amp;"")</f>
        <v/>
      </c>
      <c r="D2606">
        <f>IF($Q2606="","",INDEX(상세표[직위],$Q2606)&amp;"")</f>
        <v/>
      </c>
      <c r="E2606">
        <f>IF($Q2606="","",IF(ISNUMBER(INDEX(상세표[근무일자],$Q2606)),TEXT(INDEX(상세표[근무일자],$Q2606),"yyyy-mm-dd"),INDEX(상세표[근무일자],$Q2606)&amp;""))</f>
        <v/>
      </c>
      <c r="F2606">
        <f>IF($Q2606="","",IF(ISNUMBER(INDEX(상세표[시작],$Q2606)),TEXT(INDEX(상세표[시작],$Q2606),"yyyy-mm-dd hh:mm"),INDEX(상세표[시작],$Q2606)&amp;""))</f>
        <v/>
      </c>
      <c r="G2606">
        <f>IF($Q2606="","",IF(ISNUMBER(INDEX(상세표[블록종료],$Q2606)),TEXT(INDEX(상세표[블록종료],$Q2606),"yyyy-mm-dd hh:mm"),INDEX(상세표[블록종료],$Q2606)&amp;""))</f>
        <v/>
      </c>
      <c r="H2606">
        <f>IF($Q2606="","",CHOOSE(WEEKDAY(INDEX(상세표[시작],$Q2606)),"일","월","화","수","목","금","토"))</f>
        <v/>
      </c>
      <c r="I2606" s="20">
        <f>IF($Q2606="","",INDEX(상세표[연속 시간],$Q2606))</f>
        <v/>
      </c>
      <c r="J2606">
        <f>IF($Q2606="","",INDEX(상세표[기록 수],$Q2606))</f>
        <v/>
      </c>
      <c r="K2606" s="20">
        <f>IF($Q2606="","",INDEX(상세표[블록 06~07시],$Q2606))</f>
        <v/>
      </c>
      <c r="L2606" s="20">
        <f>IF($Q2606="","",INDEX(상세표[블록 07~18시],$Q2606))</f>
        <v/>
      </c>
      <c r="M2606" s="20">
        <f>IF($Q2606="","",INDEX(상세표[블록 18~22시],$Q2606))</f>
        <v/>
      </c>
      <c r="N2606" s="20">
        <f>IF($Q2606="","",INDEX(상세표[블록 22~06시],$Q2606))</f>
        <v/>
      </c>
      <c r="O2606">
        <f>IF($Q2606="","",INDEX(상세표[주말·휴일 포함],$Q2606)&amp;"")</f>
        <v/>
      </c>
      <c r="P2606">
        <f>IF($Q2606="","",INDEX(상세표[월 넘김 포함],$Q2606)&amp;"")</f>
        <v/>
      </c>
      <c r="Q2606" s="4">
        <f>IFERROR(MATCH(2601,상세표[연속순번],0),"")</f>
        <v/>
      </c>
    </row>
    <row r="2607">
      <c r="A2607">
        <f>IF($Q2607="","",INDEX(상세표[부서],$Q2607)&amp;"")</f>
        <v/>
      </c>
      <c r="B2607">
        <f>IF($Q2607="","",INDEX(상세표[사번],$Q2607)&amp;"")</f>
        <v/>
      </c>
      <c r="C2607">
        <f>IF($Q2607="","",INDEX(상세표[성명],$Q2607)&amp;"")</f>
        <v/>
      </c>
      <c r="D2607">
        <f>IF($Q2607="","",INDEX(상세표[직위],$Q2607)&amp;"")</f>
        <v/>
      </c>
      <c r="E2607">
        <f>IF($Q2607="","",IF(ISNUMBER(INDEX(상세표[근무일자],$Q2607)),TEXT(INDEX(상세표[근무일자],$Q2607),"yyyy-mm-dd"),INDEX(상세표[근무일자],$Q2607)&amp;""))</f>
        <v/>
      </c>
      <c r="F2607">
        <f>IF($Q2607="","",IF(ISNUMBER(INDEX(상세표[시작],$Q2607)),TEXT(INDEX(상세표[시작],$Q2607),"yyyy-mm-dd hh:mm"),INDEX(상세표[시작],$Q2607)&amp;""))</f>
        <v/>
      </c>
      <c r="G2607">
        <f>IF($Q2607="","",IF(ISNUMBER(INDEX(상세표[블록종료],$Q2607)),TEXT(INDEX(상세표[블록종료],$Q2607),"yyyy-mm-dd hh:mm"),INDEX(상세표[블록종료],$Q2607)&amp;""))</f>
        <v/>
      </c>
      <c r="H2607">
        <f>IF($Q2607="","",CHOOSE(WEEKDAY(INDEX(상세표[시작],$Q2607)),"일","월","화","수","목","금","토"))</f>
        <v/>
      </c>
      <c r="I2607" s="20">
        <f>IF($Q2607="","",INDEX(상세표[연속 시간],$Q2607))</f>
        <v/>
      </c>
      <c r="J2607">
        <f>IF($Q2607="","",INDEX(상세표[기록 수],$Q2607))</f>
        <v/>
      </c>
      <c r="K2607" s="20">
        <f>IF($Q2607="","",INDEX(상세표[블록 06~07시],$Q2607))</f>
        <v/>
      </c>
      <c r="L2607" s="20">
        <f>IF($Q2607="","",INDEX(상세표[블록 07~18시],$Q2607))</f>
        <v/>
      </c>
      <c r="M2607" s="20">
        <f>IF($Q2607="","",INDEX(상세표[블록 18~22시],$Q2607))</f>
        <v/>
      </c>
      <c r="N2607" s="20">
        <f>IF($Q2607="","",INDEX(상세표[블록 22~06시],$Q2607))</f>
        <v/>
      </c>
      <c r="O2607">
        <f>IF($Q2607="","",INDEX(상세표[주말·휴일 포함],$Q2607)&amp;"")</f>
        <v/>
      </c>
      <c r="P2607">
        <f>IF($Q2607="","",INDEX(상세표[월 넘김 포함],$Q2607)&amp;"")</f>
        <v/>
      </c>
      <c r="Q2607" s="4">
        <f>IFERROR(MATCH(2602,상세표[연속순번],0),"")</f>
        <v/>
      </c>
    </row>
    <row r="2608">
      <c r="A2608">
        <f>IF($Q2608="","",INDEX(상세표[부서],$Q2608)&amp;"")</f>
        <v/>
      </c>
      <c r="B2608">
        <f>IF($Q2608="","",INDEX(상세표[사번],$Q2608)&amp;"")</f>
        <v/>
      </c>
      <c r="C2608">
        <f>IF($Q2608="","",INDEX(상세표[성명],$Q2608)&amp;"")</f>
        <v/>
      </c>
      <c r="D2608">
        <f>IF($Q2608="","",INDEX(상세표[직위],$Q2608)&amp;"")</f>
        <v/>
      </c>
      <c r="E2608">
        <f>IF($Q2608="","",IF(ISNUMBER(INDEX(상세표[근무일자],$Q2608)),TEXT(INDEX(상세표[근무일자],$Q2608),"yyyy-mm-dd"),INDEX(상세표[근무일자],$Q2608)&amp;""))</f>
        <v/>
      </c>
      <c r="F2608">
        <f>IF($Q2608="","",IF(ISNUMBER(INDEX(상세표[시작],$Q2608)),TEXT(INDEX(상세표[시작],$Q2608),"yyyy-mm-dd hh:mm"),INDEX(상세표[시작],$Q2608)&amp;""))</f>
        <v/>
      </c>
      <c r="G2608">
        <f>IF($Q2608="","",IF(ISNUMBER(INDEX(상세표[블록종료],$Q2608)),TEXT(INDEX(상세표[블록종료],$Q2608),"yyyy-mm-dd hh:mm"),INDEX(상세표[블록종료],$Q2608)&amp;""))</f>
        <v/>
      </c>
      <c r="H2608">
        <f>IF($Q2608="","",CHOOSE(WEEKDAY(INDEX(상세표[시작],$Q2608)),"일","월","화","수","목","금","토"))</f>
        <v/>
      </c>
      <c r="I2608" s="20">
        <f>IF($Q2608="","",INDEX(상세표[연속 시간],$Q2608))</f>
        <v/>
      </c>
      <c r="J2608">
        <f>IF($Q2608="","",INDEX(상세표[기록 수],$Q2608))</f>
        <v/>
      </c>
      <c r="K2608" s="20">
        <f>IF($Q2608="","",INDEX(상세표[블록 06~07시],$Q2608))</f>
        <v/>
      </c>
      <c r="L2608" s="20">
        <f>IF($Q2608="","",INDEX(상세표[블록 07~18시],$Q2608))</f>
        <v/>
      </c>
      <c r="M2608" s="20">
        <f>IF($Q2608="","",INDEX(상세표[블록 18~22시],$Q2608))</f>
        <v/>
      </c>
      <c r="N2608" s="20">
        <f>IF($Q2608="","",INDEX(상세표[블록 22~06시],$Q2608))</f>
        <v/>
      </c>
      <c r="O2608">
        <f>IF($Q2608="","",INDEX(상세표[주말·휴일 포함],$Q2608)&amp;"")</f>
        <v/>
      </c>
      <c r="P2608">
        <f>IF($Q2608="","",INDEX(상세표[월 넘김 포함],$Q2608)&amp;"")</f>
        <v/>
      </c>
      <c r="Q2608" s="4">
        <f>IFERROR(MATCH(2603,상세표[연속순번],0),"")</f>
        <v/>
      </c>
    </row>
    <row r="2609">
      <c r="A2609">
        <f>IF($Q2609="","",INDEX(상세표[부서],$Q2609)&amp;"")</f>
        <v/>
      </c>
      <c r="B2609">
        <f>IF($Q2609="","",INDEX(상세표[사번],$Q2609)&amp;"")</f>
        <v/>
      </c>
      <c r="C2609">
        <f>IF($Q2609="","",INDEX(상세표[성명],$Q2609)&amp;"")</f>
        <v/>
      </c>
      <c r="D2609">
        <f>IF($Q2609="","",INDEX(상세표[직위],$Q2609)&amp;"")</f>
        <v/>
      </c>
      <c r="E2609">
        <f>IF($Q2609="","",IF(ISNUMBER(INDEX(상세표[근무일자],$Q2609)),TEXT(INDEX(상세표[근무일자],$Q2609),"yyyy-mm-dd"),INDEX(상세표[근무일자],$Q2609)&amp;""))</f>
        <v/>
      </c>
      <c r="F2609">
        <f>IF($Q2609="","",IF(ISNUMBER(INDEX(상세표[시작],$Q2609)),TEXT(INDEX(상세표[시작],$Q2609),"yyyy-mm-dd hh:mm"),INDEX(상세표[시작],$Q2609)&amp;""))</f>
        <v/>
      </c>
      <c r="G2609">
        <f>IF($Q2609="","",IF(ISNUMBER(INDEX(상세표[블록종료],$Q2609)),TEXT(INDEX(상세표[블록종료],$Q2609),"yyyy-mm-dd hh:mm"),INDEX(상세표[블록종료],$Q2609)&amp;""))</f>
        <v/>
      </c>
      <c r="H2609">
        <f>IF($Q2609="","",CHOOSE(WEEKDAY(INDEX(상세표[시작],$Q2609)),"일","월","화","수","목","금","토"))</f>
        <v/>
      </c>
      <c r="I2609" s="20">
        <f>IF($Q2609="","",INDEX(상세표[연속 시간],$Q2609))</f>
        <v/>
      </c>
      <c r="J2609">
        <f>IF($Q2609="","",INDEX(상세표[기록 수],$Q2609))</f>
        <v/>
      </c>
      <c r="K2609" s="20">
        <f>IF($Q2609="","",INDEX(상세표[블록 06~07시],$Q2609))</f>
        <v/>
      </c>
      <c r="L2609" s="20">
        <f>IF($Q2609="","",INDEX(상세표[블록 07~18시],$Q2609))</f>
        <v/>
      </c>
      <c r="M2609" s="20">
        <f>IF($Q2609="","",INDEX(상세표[블록 18~22시],$Q2609))</f>
        <v/>
      </c>
      <c r="N2609" s="20">
        <f>IF($Q2609="","",INDEX(상세표[블록 22~06시],$Q2609))</f>
        <v/>
      </c>
      <c r="O2609">
        <f>IF($Q2609="","",INDEX(상세표[주말·휴일 포함],$Q2609)&amp;"")</f>
        <v/>
      </c>
      <c r="P2609">
        <f>IF($Q2609="","",INDEX(상세표[월 넘김 포함],$Q2609)&amp;"")</f>
        <v/>
      </c>
      <c r="Q2609" s="4">
        <f>IFERROR(MATCH(2604,상세표[연속순번],0),"")</f>
        <v/>
      </c>
    </row>
    <row r="2610">
      <c r="A2610">
        <f>IF($Q2610="","",INDEX(상세표[부서],$Q2610)&amp;"")</f>
        <v/>
      </c>
      <c r="B2610">
        <f>IF($Q2610="","",INDEX(상세표[사번],$Q2610)&amp;"")</f>
        <v/>
      </c>
      <c r="C2610">
        <f>IF($Q2610="","",INDEX(상세표[성명],$Q2610)&amp;"")</f>
        <v/>
      </c>
      <c r="D2610">
        <f>IF($Q2610="","",INDEX(상세표[직위],$Q2610)&amp;"")</f>
        <v/>
      </c>
      <c r="E2610">
        <f>IF($Q2610="","",IF(ISNUMBER(INDEX(상세표[근무일자],$Q2610)),TEXT(INDEX(상세표[근무일자],$Q2610),"yyyy-mm-dd"),INDEX(상세표[근무일자],$Q2610)&amp;""))</f>
        <v/>
      </c>
      <c r="F2610">
        <f>IF($Q2610="","",IF(ISNUMBER(INDEX(상세표[시작],$Q2610)),TEXT(INDEX(상세표[시작],$Q2610),"yyyy-mm-dd hh:mm"),INDEX(상세표[시작],$Q2610)&amp;""))</f>
        <v/>
      </c>
      <c r="G2610">
        <f>IF($Q2610="","",IF(ISNUMBER(INDEX(상세표[블록종료],$Q2610)),TEXT(INDEX(상세표[블록종료],$Q2610),"yyyy-mm-dd hh:mm"),INDEX(상세표[블록종료],$Q2610)&amp;""))</f>
        <v/>
      </c>
      <c r="H2610">
        <f>IF($Q2610="","",CHOOSE(WEEKDAY(INDEX(상세표[시작],$Q2610)),"일","월","화","수","목","금","토"))</f>
        <v/>
      </c>
      <c r="I2610" s="20">
        <f>IF($Q2610="","",INDEX(상세표[연속 시간],$Q2610))</f>
        <v/>
      </c>
      <c r="J2610">
        <f>IF($Q2610="","",INDEX(상세표[기록 수],$Q2610))</f>
        <v/>
      </c>
      <c r="K2610" s="20">
        <f>IF($Q2610="","",INDEX(상세표[블록 06~07시],$Q2610))</f>
        <v/>
      </c>
      <c r="L2610" s="20">
        <f>IF($Q2610="","",INDEX(상세표[블록 07~18시],$Q2610))</f>
        <v/>
      </c>
      <c r="M2610" s="20">
        <f>IF($Q2610="","",INDEX(상세표[블록 18~22시],$Q2610))</f>
        <v/>
      </c>
      <c r="N2610" s="20">
        <f>IF($Q2610="","",INDEX(상세표[블록 22~06시],$Q2610))</f>
        <v/>
      </c>
      <c r="O2610">
        <f>IF($Q2610="","",INDEX(상세표[주말·휴일 포함],$Q2610)&amp;"")</f>
        <v/>
      </c>
      <c r="P2610">
        <f>IF($Q2610="","",INDEX(상세표[월 넘김 포함],$Q2610)&amp;"")</f>
        <v/>
      </c>
      <c r="Q2610" s="4">
        <f>IFERROR(MATCH(2605,상세표[연속순번],0),"")</f>
        <v/>
      </c>
    </row>
    <row r="2611">
      <c r="A2611">
        <f>IF($Q2611="","",INDEX(상세표[부서],$Q2611)&amp;"")</f>
        <v/>
      </c>
      <c r="B2611">
        <f>IF($Q2611="","",INDEX(상세표[사번],$Q2611)&amp;"")</f>
        <v/>
      </c>
      <c r="C2611">
        <f>IF($Q2611="","",INDEX(상세표[성명],$Q2611)&amp;"")</f>
        <v/>
      </c>
      <c r="D2611">
        <f>IF($Q2611="","",INDEX(상세표[직위],$Q2611)&amp;"")</f>
        <v/>
      </c>
      <c r="E2611">
        <f>IF($Q2611="","",IF(ISNUMBER(INDEX(상세표[근무일자],$Q2611)),TEXT(INDEX(상세표[근무일자],$Q2611),"yyyy-mm-dd"),INDEX(상세표[근무일자],$Q2611)&amp;""))</f>
        <v/>
      </c>
      <c r="F2611">
        <f>IF($Q2611="","",IF(ISNUMBER(INDEX(상세표[시작],$Q2611)),TEXT(INDEX(상세표[시작],$Q2611),"yyyy-mm-dd hh:mm"),INDEX(상세표[시작],$Q2611)&amp;""))</f>
        <v/>
      </c>
      <c r="G2611">
        <f>IF($Q2611="","",IF(ISNUMBER(INDEX(상세표[블록종료],$Q2611)),TEXT(INDEX(상세표[블록종료],$Q2611),"yyyy-mm-dd hh:mm"),INDEX(상세표[블록종료],$Q2611)&amp;""))</f>
        <v/>
      </c>
      <c r="H2611">
        <f>IF($Q2611="","",CHOOSE(WEEKDAY(INDEX(상세표[시작],$Q2611)),"일","월","화","수","목","금","토"))</f>
        <v/>
      </c>
      <c r="I2611" s="20">
        <f>IF($Q2611="","",INDEX(상세표[연속 시간],$Q2611))</f>
        <v/>
      </c>
      <c r="J2611">
        <f>IF($Q2611="","",INDEX(상세표[기록 수],$Q2611))</f>
        <v/>
      </c>
      <c r="K2611" s="20">
        <f>IF($Q2611="","",INDEX(상세표[블록 06~07시],$Q2611))</f>
        <v/>
      </c>
      <c r="L2611" s="20">
        <f>IF($Q2611="","",INDEX(상세표[블록 07~18시],$Q2611))</f>
        <v/>
      </c>
      <c r="M2611" s="20">
        <f>IF($Q2611="","",INDEX(상세표[블록 18~22시],$Q2611))</f>
        <v/>
      </c>
      <c r="N2611" s="20">
        <f>IF($Q2611="","",INDEX(상세표[블록 22~06시],$Q2611))</f>
        <v/>
      </c>
      <c r="O2611">
        <f>IF($Q2611="","",INDEX(상세표[주말·휴일 포함],$Q2611)&amp;"")</f>
        <v/>
      </c>
      <c r="P2611">
        <f>IF($Q2611="","",INDEX(상세표[월 넘김 포함],$Q2611)&amp;"")</f>
        <v/>
      </c>
      <c r="Q2611" s="4">
        <f>IFERROR(MATCH(2606,상세표[연속순번],0),"")</f>
        <v/>
      </c>
    </row>
    <row r="2612">
      <c r="A2612">
        <f>IF($Q2612="","",INDEX(상세표[부서],$Q2612)&amp;"")</f>
        <v/>
      </c>
      <c r="B2612">
        <f>IF($Q2612="","",INDEX(상세표[사번],$Q2612)&amp;"")</f>
        <v/>
      </c>
      <c r="C2612">
        <f>IF($Q2612="","",INDEX(상세표[성명],$Q2612)&amp;"")</f>
        <v/>
      </c>
      <c r="D2612">
        <f>IF($Q2612="","",INDEX(상세표[직위],$Q2612)&amp;"")</f>
        <v/>
      </c>
      <c r="E2612">
        <f>IF($Q2612="","",IF(ISNUMBER(INDEX(상세표[근무일자],$Q2612)),TEXT(INDEX(상세표[근무일자],$Q2612),"yyyy-mm-dd"),INDEX(상세표[근무일자],$Q2612)&amp;""))</f>
        <v/>
      </c>
      <c r="F2612">
        <f>IF($Q2612="","",IF(ISNUMBER(INDEX(상세표[시작],$Q2612)),TEXT(INDEX(상세표[시작],$Q2612),"yyyy-mm-dd hh:mm"),INDEX(상세표[시작],$Q2612)&amp;""))</f>
        <v/>
      </c>
      <c r="G2612">
        <f>IF($Q2612="","",IF(ISNUMBER(INDEX(상세표[블록종료],$Q2612)),TEXT(INDEX(상세표[블록종료],$Q2612),"yyyy-mm-dd hh:mm"),INDEX(상세표[블록종료],$Q2612)&amp;""))</f>
        <v/>
      </c>
      <c r="H2612">
        <f>IF($Q2612="","",CHOOSE(WEEKDAY(INDEX(상세표[시작],$Q2612)),"일","월","화","수","목","금","토"))</f>
        <v/>
      </c>
      <c r="I2612" s="20">
        <f>IF($Q2612="","",INDEX(상세표[연속 시간],$Q2612))</f>
        <v/>
      </c>
      <c r="J2612">
        <f>IF($Q2612="","",INDEX(상세표[기록 수],$Q2612))</f>
        <v/>
      </c>
      <c r="K2612" s="20">
        <f>IF($Q2612="","",INDEX(상세표[블록 06~07시],$Q2612))</f>
        <v/>
      </c>
      <c r="L2612" s="20">
        <f>IF($Q2612="","",INDEX(상세표[블록 07~18시],$Q2612))</f>
        <v/>
      </c>
      <c r="M2612" s="20">
        <f>IF($Q2612="","",INDEX(상세표[블록 18~22시],$Q2612))</f>
        <v/>
      </c>
      <c r="N2612" s="20">
        <f>IF($Q2612="","",INDEX(상세표[블록 22~06시],$Q2612))</f>
        <v/>
      </c>
      <c r="O2612">
        <f>IF($Q2612="","",INDEX(상세표[주말·휴일 포함],$Q2612)&amp;"")</f>
        <v/>
      </c>
      <c r="P2612">
        <f>IF($Q2612="","",INDEX(상세표[월 넘김 포함],$Q2612)&amp;"")</f>
        <v/>
      </c>
      <c r="Q2612" s="4">
        <f>IFERROR(MATCH(2607,상세표[연속순번],0),"")</f>
        <v/>
      </c>
    </row>
    <row r="2613">
      <c r="A2613">
        <f>IF($Q2613="","",INDEX(상세표[부서],$Q2613)&amp;"")</f>
        <v/>
      </c>
      <c r="B2613">
        <f>IF($Q2613="","",INDEX(상세표[사번],$Q2613)&amp;"")</f>
        <v/>
      </c>
      <c r="C2613">
        <f>IF($Q2613="","",INDEX(상세표[성명],$Q2613)&amp;"")</f>
        <v/>
      </c>
      <c r="D2613">
        <f>IF($Q2613="","",INDEX(상세표[직위],$Q2613)&amp;"")</f>
        <v/>
      </c>
      <c r="E2613">
        <f>IF($Q2613="","",IF(ISNUMBER(INDEX(상세표[근무일자],$Q2613)),TEXT(INDEX(상세표[근무일자],$Q2613),"yyyy-mm-dd"),INDEX(상세표[근무일자],$Q2613)&amp;""))</f>
        <v/>
      </c>
      <c r="F2613">
        <f>IF($Q2613="","",IF(ISNUMBER(INDEX(상세표[시작],$Q2613)),TEXT(INDEX(상세표[시작],$Q2613),"yyyy-mm-dd hh:mm"),INDEX(상세표[시작],$Q2613)&amp;""))</f>
        <v/>
      </c>
      <c r="G2613">
        <f>IF($Q2613="","",IF(ISNUMBER(INDEX(상세표[블록종료],$Q2613)),TEXT(INDEX(상세표[블록종료],$Q2613),"yyyy-mm-dd hh:mm"),INDEX(상세표[블록종료],$Q2613)&amp;""))</f>
        <v/>
      </c>
      <c r="H2613">
        <f>IF($Q2613="","",CHOOSE(WEEKDAY(INDEX(상세표[시작],$Q2613)),"일","월","화","수","목","금","토"))</f>
        <v/>
      </c>
      <c r="I2613" s="20">
        <f>IF($Q2613="","",INDEX(상세표[연속 시간],$Q2613))</f>
        <v/>
      </c>
      <c r="J2613">
        <f>IF($Q2613="","",INDEX(상세표[기록 수],$Q2613))</f>
        <v/>
      </c>
      <c r="K2613" s="20">
        <f>IF($Q2613="","",INDEX(상세표[블록 06~07시],$Q2613))</f>
        <v/>
      </c>
      <c r="L2613" s="20">
        <f>IF($Q2613="","",INDEX(상세표[블록 07~18시],$Q2613))</f>
        <v/>
      </c>
      <c r="M2613" s="20">
        <f>IF($Q2613="","",INDEX(상세표[블록 18~22시],$Q2613))</f>
        <v/>
      </c>
      <c r="N2613" s="20">
        <f>IF($Q2613="","",INDEX(상세표[블록 22~06시],$Q2613))</f>
        <v/>
      </c>
      <c r="O2613">
        <f>IF($Q2613="","",INDEX(상세표[주말·휴일 포함],$Q2613)&amp;"")</f>
        <v/>
      </c>
      <c r="P2613">
        <f>IF($Q2613="","",INDEX(상세표[월 넘김 포함],$Q2613)&amp;"")</f>
        <v/>
      </c>
      <c r="Q2613" s="4">
        <f>IFERROR(MATCH(2608,상세표[연속순번],0),"")</f>
        <v/>
      </c>
    </row>
    <row r="2614">
      <c r="A2614">
        <f>IF($Q2614="","",INDEX(상세표[부서],$Q2614)&amp;"")</f>
        <v/>
      </c>
      <c r="B2614">
        <f>IF($Q2614="","",INDEX(상세표[사번],$Q2614)&amp;"")</f>
        <v/>
      </c>
      <c r="C2614">
        <f>IF($Q2614="","",INDEX(상세표[성명],$Q2614)&amp;"")</f>
        <v/>
      </c>
      <c r="D2614">
        <f>IF($Q2614="","",INDEX(상세표[직위],$Q2614)&amp;"")</f>
        <v/>
      </c>
      <c r="E2614">
        <f>IF($Q2614="","",IF(ISNUMBER(INDEX(상세표[근무일자],$Q2614)),TEXT(INDEX(상세표[근무일자],$Q2614),"yyyy-mm-dd"),INDEX(상세표[근무일자],$Q2614)&amp;""))</f>
        <v/>
      </c>
      <c r="F2614">
        <f>IF($Q2614="","",IF(ISNUMBER(INDEX(상세표[시작],$Q2614)),TEXT(INDEX(상세표[시작],$Q2614),"yyyy-mm-dd hh:mm"),INDEX(상세표[시작],$Q2614)&amp;""))</f>
        <v/>
      </c>
      <c r="G2614">
        <f>IF($Q2614="","",IF(ISNUMBER(INDEX(상세표[블록종료],$Q2614)),TEXT(INDEX(상세표[블록종료],$Q2614),"yyyy-mm-dd hh:mm"),INDEX(상세표[블록종료],$Q2614)&amp;""))</f>
        <v/>
      </c>
      <c r="H2614">
        <f>IF($Q2614="","",CHOOSE(WEEKDAY(INDEX(상세표[시작],$Q2614)),"일","월","화","수","목","금","토"))</f>
        <v/>
      </c>
      <c r="I2614" s="20">
        <f>IF($Q2614="","",INDEX(상세표[연속 시간],$Q2614))</f>
        <v/>
      </c>
      <c r="J2614">
        <f>IF($Q2614="","",INDEX(상세표[기록 수],$Q2614))</f>
        <v/>
      </c>
      <c r="K2614" s="20">
        <f>IF($Q2614="","",INDEX(상세표[블록 06~07시],$Q2614))</f>
        <v/>
      </c>
      <c r="L2614" s="20">
        <f>IF($Q2614="","",INDEX(상세표[블록 07~18시],$Q2614))</f>
        <v/>
      </c>
      <c r="M2614" s="20">
        <f>IF($Q2614="","",INDEX(상세표[블록 18~22시],$Q2614))</f>
        <v/>
      </c>
      <c r="N2614" s="20">
        <f>IF($Q2614="","",INDEX(상세표[블록 22~06시],$Q2614))</f>
        <v/>
      </c>
      <c r="O2614">
        <f>IF($Q2614="","",INDEX(상세표[주말·휴일 포함],$Q2614)&amp;"")</f>
        <v/>
      </c>
      <c r="P2614">
        <f>IF($Q2614="","",INDEX(상세표[월 넘김 포함],$Q2614)&amp;"")</f>
        <v/>
      </c>
      <c r="Q2614" s="4">
        <f>IFERROR(MATCH(2609,상세표[연속순번],0),"")</f>
        <v/>
      </c>
    </row>
    <row r="2615">
      <c r="A2615">
        <f>IF($Q2615="","",INDEX(상세표[부서],$Q2615)&amp;"")</f>
        <v/>
      </c>
      <c r="B2615">
        <f>IF($Q2615="","",INDEX(상세표[사번],$Q2615)&amp;"")</f>
        <v/>
      </c>
      <c r="C2615">
        <f>IF($Q2615="","",INDEX(상세표[성명],$Q2615)&amp;"")</f>
        <v/>
      </c>
      <c r="D2615">
        <f>IF($Q2615="","",INDEX(상세표[직위],$Q2615)&amp;"")</f>
        <v/>
      </c>
      <c r="E2615">
        <f>IF($Q2615="","",IF(ISNUMBER(INDEX(상세표[근무일자],$Q2615)),TEXT(INDEX(상세표[근무일자],$Q2615),"yyyy-mm-dd"),INDEX(상세표[근무일자],$Q2615)&amp;""))</f>
        <v/>
      </c>
      <c r="F2615">
        <f>IF($Q2615="","",IF(ISNUMBER(INDEX(상세표[시작],$Q2615)),TEXT(INDEX(상세표[시작],$Q2615),"yyyy-mm-dd hh:mm"),INDEX(상세표[시작],$Q2615)&amp;""))</f>
        <v/>
      </c>
      <c r="G2615">
        <f>IF($Q2615="","",IF(ISNUMBER(INDEX(상세표[블록종료],$Q2615)),TEXT(INDEX(상세표[블록종료],$Q2615),"yyyy-mm-dd hh:mm"),INDEX(상세표[블록종료],$Q2615)&amp;""))</f>
        <v/>
      </c>
      <c r="H2615">
        <f>IF($Q2615="","",CHOOSE(WEEKDAY(INDEX(상세표[시작],$Q2615)),"일","월","화","수","목","금","토"))</f>
        <v/>
      </c>
      <c r="I2615" s="20">
        <f>IF($Q2615="","",INDEX(상세표[연속 시간],$Q2615))</f>
        <v/>
      </c>
      <c r="J2615">
        <f>IF($Q2615="","",INDEX(상세표[기록 수],$Q2615))</f>
        <v/>
      </c>
      <c r="K2615" s="20">
        <f>IF($Q2615="","",INDEX(상세표[블록 06~07시],$Q2615))</f>
        <v/>
      </c>
      <c r="L2615" s="20">
        <f>IF($Q2615="","",INDEX(상세표[블록 07~18시],$Q2615))</f>
        <v/>
      </c>
      <c r="M2615" s="20">
        <f>IF($Q2615="","",INDEX(상세표[블록 18~22시],$Q2615))</f>
        <v/>
      </c>
      <c r="N2615" s="20">
        <f>IF($Q2615="","",INDEX(상세표[블록 22~06시],$Q2615))</f>
        <v/>
      </c>
      <c r="O2615">
        <f>IF($Q2615="","",INDEX(상세표[주말·휴일 포함],$Q2615)&amp;"")</f>
        <v/>
      </c>
      <c r="P2615">
        <f>IF($Q2615="","",INDEX(상세표[월 넘김 포함],$Q2615)&amp;"")</f>
        <v/>
      </c>
      <c r="Q2615" s="4">
        <f>IFERROR(MATCH(2610,상세표[연속순번],0),"")</f>
        <v/>
      </c>
    </row>
    <row r="2616">
      <c r="A2616">
        <f>IF($Q2616="","",INDEX(상세표[부서],$Q2616)&amp;"")</f>
        <v/>
      </c>
      <c r="B2616">
        <f>IF($Q2616="","",INDEX(상세표[사번],$Q2616)&amp;"")</f>
        <v/>
      </c>
      <c r="C2616">
        <f>IF($Q2616="","",INDEX(상세표[성명],$Q2616)&amp;"")</f>
        <v/>
      </c>
      <c r="D2616">
        <f>IF($Q2616="","",INDEX(상세표[직위],$Q2616)&amp;"")</f>
        <v/>
      </c>
      <c r="E2616">
        <f>IF($Q2616="","",IF(ISNUMBER(INDEX(상세표[근무일자],$Q2616)),TEXT(INDEX(상세표[근무일자],$Q2616),"yyyy-mm-dd"),INDEX(상세표[근무일자],$Q2616)&amp;""))</f>
        <v/>
      </c>
      <c r="F2616">
        <f>IF($Q2616="","",IF(ISNUMBER(INDEX(상세표[시작],$Q2616)),TEXT(INDEX(상세표[시작],$Q2616),"yyyy-mm-dd hh:mm"),INDEX(상세표[시작],$Q2616)&amp;""))</f>
        <v/>
      </c>
      <c r="G2616">
        <f>IF($Q2616="","",IF(ISNUMBER(INDEX(상세표[블록종료],$Q2616)),TEXT(INDEX(상세표[블록종료],$Q2616),"yyyy-mm-dd hh:mm"),INDEX(상세표[블록종료],$Q2616)&amp;""))</f>
        <v/>
      </c>
      <c r="H2616">
        <f>IF($Q2616="","",CHOOSE(WEEKDAY(INDEX(상세표[시작],$Q2616)),"일","월","화","수","목","금","토"))</f>
        <v/>
      </c>
      <c r="I2616" s="20">
        <f>IF($Q2616="","",INDEX(상세표[연속 시간],$Q2616))</f>
        <v/>
      </c>
      <c r="J2616">
        <f>IF($Q2616="","",INDEX(상세표[기록 수],$Q2616))</f>
        <v/>
      </c>
      <c r="K2616" s="20">
        <f>IF($Q2616="","",INDEX(상세표[블록 06~07시],$Q2616))</f>
        <v/>
      </c>
      <c r="L2616" s="20">
        <f>IF($Q2616="","",INDEX(상세표[블록 07~18시],$Q2616))</f>
        <v/>
      </c>
      <c r="M2616" s="20">
        <f>IF($Q2616="","",INDEX(상세표[블록 18~22시],$Q2616))</f>
        <v/>
      </c>
      <c r="N2616" s="20">
        <f>IF($Q2616="","",INDEX(상세표[블록 22~06시],$Q2616))</f>
        <v/>
      </c>
      <c r="O2616">
        <f>IF($Q2616="","",INDEX(상세표[주말·휴일 포함],$Q2616)&amp;"")</f>
        <v/>
      </c>
      <c r="P2616">
        <f>IF($Q2616="","",INDEX(상세표[월 넘김 포함],$Q2616)&amp;"")</f>
        <v/>
      </c>
      <c r="Q2616" s="4">
        <f>IFERROR(MATCH(2611,상세표[연속순번],0),"")</f>
        <v/>
      </c>
    </row>
    <row r="2617">
      <c r="A2617">
        <f>IF($Q2617="","",INDEX(상세표[부서],$Q2617)&amp;"")</f>
        <v/>
      </c>
      <c r="B2617">
        <f>IF($Q2617="","",INDEX(상세표[사번],$Q2617)&amp;"")</f>
        <v/>
      </c>
      <c r="C2617">
        <f>IF($Q2617="","",INDEX(상세표[성명],$Q2617)&amp;"")</f>
        <v/>
      </c>
      <c r="D2617">
        <f>IF($Q2617="","",INDEX(상세표[직위],$Q2617)&amp;"")</f>
        <v/>
      </c>
      <c r="E2617">
        <f>IF($Q2617="","",IF(ISNUMBER(INDEX(상세표[근무일자],$Q2617)),TEXT(INDEX(상세표[근무일자],$Q2617),"yyyy-mm-dd"),INDEX(상세표[근무일자],$Q2617)&amp;""))</f>
        <v/>
      </c>
      <c r="F2617">
        <f>IF($Q2617="","",IF(ISNUMBER(INDEX(상세표[시작],$Q2617)),TEXT(INDEX(상세표[시작],$Q2617),"yyyy-mm-dd hh:mm"),INDEX(상세표[시작],$Q2617)&amp;""))</f>
        <v/>
      </c>
      <c r="G2617">
        <f>IF($Q2617="","",IF(ISNUMBER(INDEX(상세표[블록종료],$Q2617)),TEXT(INDEX(상세표[블록종료],$Q2617),"yyyy-mm-dd hh:mm"),INDEX(상세표[블록종료],$Q2617)&amp;""))</f>
        <v/>
      </c>
      <c r="H2617">
        <f>IF($Q2617="","",CHOOSE(WEEKDAY(INDEX(상세표[시작],$Q2617)),"일","월","화","수","목","금","토"))</f>
        <v/>
      </c>
      <c r="I2617" s="20">
        <f>IF($Q2617="","",INDEX(상세표[연속 시간],$Q2617))</f>
        <v/>
      </c>
      <c r="J2617">
        <f>IF($Q2617="","",INDEX(상세표[기록 수],$Q2617))</f>
        <v/>
      </c>
      <c r="K2617" s="20">
        <f>IF($Q2617="","",INDEX(상세표[블록 06~07시],$Q2617))</f>
        <v/>
      </c>
      <c r="L2617" s="20">
        <f>IF($Q2617="","",INDEX(상세표[블록 07~18시],$Q2617))</f>
        <v/>
      </c>
      <c r="M2617" s="20">
        <f>IF($Q2617="","",INDEX(상세표[블록 18~22시],$Q2617))</f>
        <v/>
      </c>
      <c r="N2617" s="20">
        <f>IF($Q2617="","",INDEX(상세표[블록 22~06시],$Q2617))</f>
        <v/>
      </c>
      <c r="O2617">
        <f>IF($Q2617="","",INDEX(상세표[주말·휴일 포함],$Q2617)&amp;"")</f>
        <v/>
      </c>
      <c r="P2617">
        <f>IF($Q2617="","",INDEX(상세표[월 넘김 포함],$Q2617)&amp;"")</f>
        <v/>
      </c>
      <c r="Q2617" s="4">
        <f>IFERROR(MATCH(2612,상세표[연속순번],0),"")</f>
        <v/>
      </c>
    </row>
    <row r="2618">
      <c r="A2618">
        <f>IF($Q2618="","",INDEX(상세표[부서],$Q2618)&amp;"")</f>
        <v/>
      </c>
      <c r="B2618">
        <f>IF($Q2618="","",INDEX(상세표[사번],$Q2618)&amp;"")</f>
        <v/>
      </c>
      <c r="C2618">
        <f>IF($Q2618="","",INDEX(상세표[성명],$Q2618)&amp;"")</f>
        <v/>
      </c>
      <c r="D2618">
        <f>IF($Q2618="","",INDEX(상세표[직위],$Q2618)&amp;"")</f>
        <v/>
      </c>
      <c r="E2618">
        <f>IF($Q2618="","",IF(ISNUMBER(INDEX(상세표[근무일자],$Q2618)),TEXT(INDEX(상세표[근무일자],$Q2618),"yyyy-mm-dd"),INDEX(상세표[근무일자],$Q2618)&amp;""))</f>
        <v/>
      </c>
      <c r="F2618">
        <f>IF($Q2618="","",IF(ISNUMBER(INDEX(상세표[시작],$Q2618)),TEXT(INDEX(상세표[시작],$Q2618),"yyyy-mm-dd hh:mm"),INDEX(상세표[시작],$Q2618)&amp;""))</f>
        <v/>
      </c>
      <c r="G2618">
        <f>IF($Q2618="","",IF(ISNUMBER(INDEX(상세표[블록종료],$Q2618)),TEXT(INDEX(상세표[블록종료],$Q2618),"yyyy-mm-dd hh:mm"),INDEX(상세표[블록종료],$Q2618)&amp;""))</f>
        <v/>
      </c>
      <c r="H2618">
        <f>IF($Q2618="","",CHOOSE(WEEKDAY(INDEX(상세표[시작],$Q2618)),"일","월","화","수","목","금","토"))</f>
        <v/>
      </c>
      <c r="I2618" s="20">
        <f>IF($Q2618="","",INDEX(상세표[연속 시간],$Q2618))</f>
        <v/>
      </c>
      <c r="J2618">
        <f>IF($Q2618="","",INDEX(상세표[기록 수],$Q2618))</f>
        <v/>
      </c>
      <c r="K2618" s="20">
        <f>IF($Q2618="","",INDEX(상세표[블록 06~07시],$Q2618))</f>
        <v/>
      </c>
      <c r="L2618" s="20">
        <f>IF($Q2618="","",INDEX(상세표[블록 07~18시],$Q2618))</f>
        <v/>
      </c>
      <c r="M2618" s="20">
        <f>IF($Q2618="","",INDEX(상세표[블록 18~22시],$Q2618))</f>
        <v/>
      </c>
      <c r="N2618" s="20">
        <f>IF($Q2618="","",INDEX(상세표[블록 22~06시],$Q2618))</f>
        <v/>
      </c>
      <c r="O2618">
        <f>IF($Q2618="","",INDEX(상세표[주말·휴일 포함],$Q2618)&amp;"")</f>
        <v/>
      </c>
      <c r="P2618">
        <f>IF($Q2618="","",INDEX(상세표[월 넘김 포함],$Q2618)&amp;"")</f>
        <v/>
      </c>
      <c r="Q2618" s="4">
        <f>IFERROR(MATCH(2613,상세표[연속순번],0),"")</f>
        <v/>
      </c>
    </row>
    <row r="2619">
      <c r="A2619">
        <f>IF($Q2619="","",INDEX(상세표[부서],$Q2619)&amp;"")</f>
        <v/>
      </c>
      <c r="B2619">
        <f>IF($Q2619="","",INDEX(상세표[사번],$Q2619)&amp;"")</f>
        <v/>
      </c>
      <c r="C2619">
        <f>IF($Q2619="","",INDEX(상세표[성명],$Q2619)&amp;"")</f>
        <v/>
      </c>
      <c r="D2619">
        <f>IF($Q2619="","",INDEX(상세표[직위],$Q2619)&amp;"")</f>
        <v/>
      </c>
      <c r="E2619">
        <f>IF($Q2619="","",IF(ISNUMBER(INDEX(상세표[근무일자],$Q2619)),TEXT(INDEX(상세표[근무일자],$Q2619),"yyyy-mm-dd"),INDEX(상세표[근무일자],$Q2619)&amp;""))</f>
        <v/>
      </c>
      <c r="F2619">
        <f>IF($Q2619="","",IF(ISNUMBER(INDEX(상세표[시작],$Q2619)),TEXT(INDEX(상세표[시작],$Q2619),"yyyy-mm-dd hh:mm"),INDEX(상세표[시작],$Q2619)&amp;""))</f>
        <v/>
      </c>
      <c r="G2619">
        <f>IF($Q2619="","",IF(ISNUMBER(INDEX(상세표[블록종료],$Q2619)),TEXT(INDEX(상세표[블록종료],$Q2619),"yyyy-mm-dd hh:mm"),INDEX(상세표[블록종료],$Q2619)&amp;""))</f>
        <v/>
      </c>
      <c r="H2619">
        <f>IF($Q2619="","",CHOOSE(WEEKDAY(INDEX(상세표[시작],$Q2619)),"일","월","화","수","목","금","토"))</f>
        <v/>
      </c>
      <c r="I2619" s="20">
        <f>IF($Q2619="","",INDEX(상세표[연속 시간],$Q2619))</f>
        <v/>
      </c>
      <c r="J2619">
        <f>IF($Q2619="","",INDEX(상세표[기록 수],$Q2619))</f>
        <v/>
      </c>
      <c r="K2619" s="20">
        <f>IF($Q2619="","",INDEX(상세표[블록 06~07시],$Q2619))</f>
        <v/>
      </c>
      <c r="L2619" s="20">
        <f>IF($Q2619="","",INDEX(상세표[블록 07~18시],$Q2619))</f>
        <v/>
      </c>
      <c r="M2619" s="20">
        <f>IF($Q2619="","",INDEX(상세표[블록 18~22시],$Q2619))</f>
        <v/>
      </c>
      <c r="N2619" s="20">
        <f>IF($Q2619="","",INDEX(상세표[블록 22~06시],$Q2619))</f>
        <v/>
      </c>
      <c r="O2619">
        <f>IF($Q2619="","",INDEX(상세표[주말·휴일 포함],$Q2619)&amp;"")</f>
        <v/>
      </c>
      <c r="P2619">
        <f>IF($Q2619="","",INDEX(상세표[월 넘김 포함],$Q2619)&amp;"")</f>
        <v/>
      </c>
      <c r="Q2619" s="4">
        <f>IFERROR(MATCH(2614,상세표[연속순번],0),"")</f>
        <v/>
      </c>
    </row>
    <row r="2620">
      <c r="A2620">
        <f>IF($Q2620="","",INDEX(상세표[부서],$Q2620)&amp;"")</f>
        <v/>
      </c>
      <c r="B2620">
        <f>IF($Q2620="","",INDEX(상세표[사번],$Q2620)&amp;"")</f>
        <v/>
      </c>
      <c r="C2620">
        <f>IF($Q2620="","",INDEX(상세표[성명],$Q2620)&amp;"")</f>
        <v/>
      </c>
      <c r="D2620">
        <f>IF($Q2620="","",INDEX(상세표[직위],$Q2620)&amp;"")</f>
        <v/>
      </c>
      <c r="E2620">
        <f>IF($Q2620="","",IF(ISNUMBER(INDEX(상세표[근무일자],$Q2620)),TEXT(INDEX(상세표[근무일자],$Q2620),"yyyy-mm-dd"),INDEX(상세표[근무일자],$Q2620)&amp;""))</f>
        <v/>
      </c>
      <c r="F2620">
        <f>IF($Q2620="","",IF(ISNUMBER(INDEX(상세표[시작],$Q2620)),TEXT(INDEX(상세표[시작],$Q2620),"yyyy-mm-dd hh:mm"),INDEX(상세표[시작],$Q2620)&amp;""))</f>
        <v/>
      </c>
      <c r="G2620">
        <f>IF($Q2620="","",IF(ISNUMBER(INDEX(상세표[블록종료],$Q2620)),TEXT(INDEX(상세표[블록종료],$Q2620),"yyyy-mm-dd hh:mm"),INDEX(상세표[블록종료],$Q2620)&amp;""))</f>
        <v/>
      </c>
      <c r="H2620">
        <f>IF($Q2620="","",CHOOSE(WEEKDAY(INDEX(상세표[시작],$Q2620)),"일","월","화","수","목","금","토"))</f>
        <v/>
      </c>
      <c r="I2620" s="20">
        <f>IF($Q2620="","",INDEX(상세표[연속 시간],$Q2620))</f>
        <v/>
      </c>
      <c r="J2620">
        <f>IF($Q2620="","",INDEX(상세표[기록 수],$Q2620))</f>
        <v/>
      </c>
      <c r="K2620" s="20">
        <f>IF($Q2620="","",INDEX(상세표[블록 06~07시],$Q2620))</f>
        <v/>
      </c>
      <c r="L2620" s="20">
        <f>IF($Q2620="","",INDEX(상세표[블록 07~18시],$Q2620))</f>
        <v/>
      </c>
      <c r="M2620" s="20">
        <f>IF($Q2620="","",INDEX(상세표[블록 18~22시],$Q2620))</f>
        <v/>
      </c>
      <c r="N2620" s="20">
        <f>IF($Q2620="","",INDEX(상세표[블록 22~06시],$Q2620))</f>
        <v/>
      </c>
      <c r="O2620">
        <f>IF($Q2620="","",INDEX(상세표[주말·휴일 포함],$Q2620)&amp;"")</f>
        <v/>
      </c>
      <c r="P2620">
        <f>IF($Q2620="","",INDEX(상세표[월 넘김 포함],$Q2620)&amp;"")</f>
        <v/>
      </c>
      <c r="Q2620" s="4">
        <f>IFERROR(MATCH(2615,상세표[연속순번],0),"")</f>
        <v/>
      </c>
    </row>
    <row r="2621">
      <c r="A2621">
        <f>IF($Q2621="","",INDEX(상세표[부서],$Q2621)&amp;"")</f>
        <v/>
      </c>
      <c r="B2621">
        <f>IF($Q2621="","",INDEX(상세표[사번],$Q2621)&amp;"")</f>
        <v/>
      </c>
      <c r="C2621">
        <f>IF($Q2621="","",INDEX(상세표[성명],$Q2621)&amp;"")</f>
        <v/>
      </c>
      <c r="D2621">
        <f>IF($Q2621="","",INDEX(상세표[직위],$Q2621)&amp;"")</f>
        <v/>
      </c>
      <c r="E2621">
        <f>IF($Q2621="","",IF(ISNUMBER(INDEX(상세표[근무일자],$Q2621)),TEXT(INDEX(상세표[근무일자],$Q2621),"yyyy-mm-dd"),INDEX(상세표[근무일자],$Q2621)&amp;""))</f>
        <v/>
      </c>
      <c r="F2621">
        <f>IF($Q2621="","",IF(ISNUMBER(INDEX(상세표[시작],$Q2621)),TEXT(INDEX(상세표[시작],$Q2621),"yyyy-mm-dd hh:mm"),INDEX(상세표[시작],$Q2621)&amp;""))</f>
        <v/>
      </c>
      <c r="G2621">
        <f>IF($Q2621="","",IF(ISNUMBER(INDEX(상세표[블록종료],$Q2621)),TEXT(INDEX(상세표[블록종료],$Q2621),"yyyy-mm-dd hh:mm"),INDEX(상세표[블록종료],$Q2621)&amp;""))</f>
        <v/>
      </c>
      <c r="H2621">
        <f>IF($Q2621="","",CHOOSE(WEEKDAY(INDEX(상세표[시작],$Q2621)),"일","월","화","수","목","금","토"))</f>
        <v/>
      </c>
      <c r="I2621" s="20">
        <f>IF($Q2621="","",INDEX(상세표[연속 시간],$Q2621))</f>
        <v/>
      </c>
      <c r="J2621">
        <f>IF($Q2621="","",INDEX(상세표[기록 수],$Q2621))</f>
        <v/>
      </c>
      <c r="K2621" s="20">
        <f>IF($Q2621="","",INDEX(상세표[블록 06~07시],$Q2621))</f>
        <v/>
      </c>
      <c r="L2621" s="20">
        <f>IF($Q2621="","",INDEX(상세표[블록 07~18시],$Q2621))</f>
        <v/>
      </c>
      <c r="M2621" s="20">
        <f>IF($Q2621="","",INDEX(상세표[블록 18~22시],$Q2621))</f>
        <v/>
      </c>
      <c r="N2621" s="20">
        <f>IF($Q2621="","",INDEX(상세표[블록 22~06시],$Q2621))</f>
        <v/>
      </c>
      <c r="O2621">
        <f>IF($Q2621="","",INDEX(상세표[주말·휴일 포함],$Q2621)&amp;"")</f>
        <v/>
      </c>
      <c r="P2621">
        <f>IF($Q2621="","",INDEX(상세표[월 넘김 포함],$Q2621)&amp;"")</f>
        <v/>
      </c>
      <c r="Q2621" s="4">
        <f>IFERROR(MATCH(2616,상세표[연속순번],0),"")</f>
        <v/>
      </c>
    </row>
    <row r="2622">
      <c r="A2622">
        <f>IF($Q2622="","",INDEX(상세표[부서],$Q2622)&amp;"")</f>
        <v/>
      </c>
      <c r="B2622">
        <f>IF($Q2622="","",INDEX(상세표[사번],$Q2622)&amp;"")</f>
        <v/>
      </c>
      <c r="C2622">
        <f>IF($Q2622="","",INDEX(상세표[성명],$Q2622)&amp;"")</f>
        <v/>
      </c>
      <c r="D2622">
        <f>IF($Q2622="","",INDEX(상세표[직위],$Q2622)&amp;"")</f>
        <v/>
      </c>
      <c r="E2622">
        <f>IF($Q2622="","",IF(ISNUMBER(INDEX(상세표[근무일자],$Q2622)),TEXT(INDEX(상세표[근무일자],$Q2622),"yyyy-mm-dd"),INDEX(상세표[근무일자],$Q2622)&amp;""))</f>
        <v/>
      </c>
      <c r="F2622">
        <f>IF($Q2622="","",IF(ISNUMBER(INDEX(상세표[시작],$Q2622)),TEXT(INDEX(상세표[시작],$Q2622),"yyyy-mm-dd hh:mm"),INDEX(상세표[시작],$Q2622)&amp;""))</f>
        <v/>
      </c>
      <c r="G2622">
        <f>IF($Q2622="","",IF(ISNUMBER(INDEX(상세표[블록종료],$Q2622)),TEXT(INDEX(상세표[블록종료],$Q2622),"yyyy-mm-dd hh:mm"),INDEX(상세표[블록종료],$Q2622)&amp;""))</f>
        <v/>
      </c>
      <c r="H2622">
        <f>IF($Q2622="","",CHOOSE(WEEKDAY(INDEX(상세표[시작],$Q2622)),"일","월","화","수","목","금","토"))</f>
        <v/>
      </c>
      <c r="I2622" s="20">
        <f>IF($Q2622="","",INDEX(상세표[연속 시간],$Q2622))</f>
        <v/>
      </c>
      <c r="J2622">
        <f>IF($Q2622="","",INDEX(상세표[기록 수],$Q2622))</f>
        <v/>
      </c>
      <c r="K2622" s="20">
        <f>IF($Q2622="","",INDEX(상세표[블록 06~07시],$Q2622))</f>
        <v/>
      </c>
      <c r="L2622" s="20">
        <f>IF($Q2622="","",INDEX(상세표[블록 07~18시],$Q2622))</f>
        <v/>
      </c>
      <c r="M2622" s="20">
        <f>IF($Q2622="","",INDEX(상세표[블록 18~22시],$Q2622))</f>
        <v/>
      </c>
      <c r="N2622" s="20">
        <f>IF($Q2622="","",INDEX(상세표[블록 22~06시],$Q2622))</f>
        <v/>
      </c>
      <c r="O2622">
        <f>IF($Q2622="","",INDEX(상세표[주말·휴일 포함],$Q2622)&amp;"")</f>
        <v/>
      </c>
      <c r="P2622">
        <f>IF($Q2622="","",INDEX(상세표[월 넘김 포함],$Q2622)&amp;"")</f>
        <v/>
      </c>
      <c r="Q2622" s="4">
        <f>IFERROR(MATCH(2617,상세표[연속순번],0),"")</f>
        <v/>
      </c>
    </row>
    <row r="2623">
      <c r="A2623">
        <f>IF($Q2623="","",INDEX(상세표[부서],$Q2623)&amp;"")</f>
        <v/>
      </c>
      <c r="B2623">
        <f>IF($Q2623="","",INDEX(상세표[사번],$Q2623)&amp;"")</f>
        <v/>
      </c>
      <c r="C2623">
        <f>IF($Q2623="","",INDEX(상세표[성명],$Q2623)&amp;"")</f>
        <v/>
      </c>
      <c r="D2623">
        <f>IF($Q2623="","",INDEX(상세표[직위],$Q2623)&amp;"")</f>
        <v/>
      </c>
      <c r="E2623">
        <f>IF($Q2623="","",IF(ISNUMBER(INDEX(상세표[근무일자],$Q2623)),TEXT(INDEX(상세표[근무일자],$Q2623),"yyyy-mm-dd"),INDEX(상세표[근무일자],$Q2623)&amp;""))</f>
        <v/>
      </c>
      <c r="F2623">
        <f>IF($Q2623="","",IF(ISNUMBER(INDEX(상세표[시작],$Q2623)),TEXT(INDEX(상세표[시작],$Q2623),"yyyy-mm-dd hh:mm"),INDEX(상세표[시작],$Q2623)&amp;""))</f>
        <v/>
      </c>
      <c r="G2623">
        <f>IF($Q2623="","",IF(ISNUMBER(INDEX(상세표[블록종료],$Q2623)),TEXT(INDEX(상세표[블록종료],$Q2623),"yyyy-mm-dd hh:mm"),INDEX(상세표[블록종료],$Q2623)&amp;""))</f>
        <v/>
      </c>
      <c r="H2623">
        <f>IF($Q2623="","",CHOOSE(WEEKDAY(INDEX(상세표[시작],$Q2623)),"일","월","화","수","목","금","토"))</f>
        <v/>
      </c>
      <c r="I2623" s="20">
        <f>IF($Q2623="","",INDEX(상세표[연속 시간],$Q2623))</f>
        <v/>
      </c>
      <c r="J2623">
        <f>IF($Q2623="","",INDEX(상세표[기록 수],$Q2623))</f>
        <v/>
      </c>
      <c r="K2623" s="20">
        <f>IF($Q2623="","",INDEX(상세표[블록 06~07시],$Q2623))</f>
        <v/>
      </c>
      <c r="L2623" s="20">
        <f>IF($Q2623="","",INDEX(상세표[블록 07~18시],$Q2623))</f>
        <v/>
      </c>
      <c r="M2623" s="20">
        <f>IF($Q2623="","",INDEX(상세표[블록 18~22시],$Q2623))</f>
        <v/>
      </c>
      <c r="N2623" s="20">
        <f>IF($Q2623="","",INDEX(상세표[블록 22~06시],$Q2623))</f>
        <v/>
      </c>
      <c r="O2623">
        <f>IF($Q2623="","",INDEX(상세표[주말·휴일 포함],$Q2623)&amp;"")</f>
        <v/>
      </c>
      <c r="P2623">
        <f>IF($Q2623="","",INDEX(상세표[월 넘김 포함],$Q2623)&amp;"")</f>
        <v/>
      </c>
      <c r="Q2623" s="4">
        <f>IFERROR(MATCH(2618,상세표[연속순번],0),"")</f>
        <v/>
      </c>
    </row>
    <row r="2624">
      <c r="A2624">
        <f>IF($Q2624="","",INDEX(상세표[부서],$Q2624)&amp;"")</f>
        <v/>
      </c>
      <c r="B2624">
        <f>IF($Q2624="","",INDEX(상세표[사번],$Q2624)&amp;"")</f>
        <v/>
      </c>
      <c r="C2624">
        <f>IF($Q2624="","",INDEX(상세표[성명],$Q2624)&amp;"")</f>
        <v/>
      </c>
      <c r="D2624">
        <f>IF($Q2624="","",INDEX(상세표[직위],$Q2624)&amp;"")</f>
        <v/>
      </c>
      <c r="E2624">
        <f>IF($Q2624="","",IF(ISNUMBER(INDEX(상세표[근무일자],$Q2624)),TEXT(INDEX(상세표[근무일자],$Q2624),"yyyy-mm-dd"),INDEX(상세표[근무일자],$Q2624)&amp;""))</f>
        <v/>
      </c>
      <c r="F2624">
        <f>IF($Q2624="","",IF(ISNUMBER(INDEX(상세표[시작],$Q2624)),TEXT(INDEX(상세표[시작],$Q2624),"yyyy-mm-dd hh:mm"),INDEX(상세표[시작],$Q2624)&amp;""))</f>
        <v/>
      </c>
      <c r="G2624">
        <f>IF($Q2624="","",IF(ISNUMBER(INDEX(상세표[블록종료],$Q2624)),TEXT(INDEX(상세표[블록종료],$Q2624),"yyyy-mm-dd hh:mm"),INDEX(상세표[블록종료],$Q2624)&amp;""))</f>
        <v/>
      </c>
      <c r="H2624">
        <f>IF($Q2624="","",CHOOSE(WEEKDAY(INDEX(상세표[시작],$Q2624)),"일","월","화","수","목","금","토"))</f>
        <v/>
      </c>
      <c r="I2624" s="20">
        <f>IF($Q2624="","",INDEX(상세표[연속 시간],$Q2624))</f>
        <v/>
      </c>
      <c r="J2624">
        <f>IF($Q2624="","",INDEX(상세표[기록 수],$Q2624))</f>
        <v/>
      </c>
      <c r="K2624" s="20">
        <f>IF($Q2624="","",INDEX(상세표[블록 06~07시],$Q2624))</f>
        <v/>
      </c>
      <c r="L2624" s="20">
        <f>IF($Q2624="","",INDEX(상세표[블록 07~18시],$Q2624))</f>
        <v/>
      </c>
      <c r="M2624" s="20">
        <f>IF($Q2624="","",INDEX(상세표[블록 18~22시],$Q2624))</f>
        <v/>
      </c>
      <c r="N2624" s="20">
        <f>IF($Q2624="","",INDEX(상세표[블록 22~06시],$Q2624))</f>
        <v/>
      </c>
      <c r="O2624">
        <f>IF($Q2624="","",INDEX(상세표[주말·휴일 포함],$Q2624)&amp;"")</f>
        <v/>
      </c>
      <c r="P2624">
        <f>IF($Q2624="","",INDEX(상세표[월 넘김 포함],$Q2624)&amp;"")</f>
        <v/>
      </c>
      <c r="Q2624" s="4">
        <f>IFERROR(MATCH(2619,상세표[연속순번],0),"")</f>
        <v/>
      </c>
    </row>
    <row r="2625">
      <c r="A2625">
        <f>IF($Q2625="","",INDEX(상세표[부서],$Q2625)&amp;"")</f>
        <v/>
      </c>
      <c r="B2625">
        <f>IF($Q2625="","",INDEX(상세표[사번],$Q2625)&amp;"")</f>
        <v/>
      </c>
      <c r="C2625">
        <f>IF($Q2625="","",INDEX(상세표[성명],$Q2625)&amp;"")</f>
        <v/>
      </c>
      <c r="D2625">
        <f>IF($Q2625="","",INDEX(상세표[직위],$Q2625)&amp;"")</f>
        <v/>
      </c>
      <c r="E2625">
        <f>IF($Q2625="","",IF(ISNUMBER(INDEX(상세표[근무일자],$Q2625)),TEXT(INDEX(상세표[근무일자],$Q2625),"yyyy-mm-dd"),INDEX(상세표[근무일자],$Q2625)&amp;""))</f>
        <v/>
      </c>
      <c r="F2625">
        <f>IF($Q2625="","",IF(ISNUMBER(INDEX(상세표[시작],$Q2625)),TEXT(INDEX(상세표[시작],$Q2625),"yyyy-mm-dd hh:mm"),INDEX(상세표[시작],$Q2625)&amp;""))</f>
        <v/>
      </c>
      <c r="G2625">
        <f>IF($Q2625="","",IF(ISNUMBER(INDEX(상세표[블록종료],$Q2625)),TEXT(INDEX(상세표[블록종료],$Q2625),"yyyy-mm-dd hh:mm"),INDEX(상세표[블록종료],$Q2625)&amp;""))</f>
        <v/>
      </c>
      <c r="H2625">
        <f>IF($Q2625="","",CHOOSE(WEEKDAY(INDEX(상세표[시작],$Q2625)),"일","월","화","수","목","금","토"))</f>
        <v/>
      </c>
      <c r="I2625" s="20">
        <f>IF($Q2625="","",INDEX(상세표[연속 시간],$Q2625))</f>
        <v/>
      </c>
      <c r="J2625">
        <f>IF($Q2625="","",INDEX(상세표[기록 수],$Q2625))</f>
        <v/>
      </c>
      <c r="K2625" s="20">
        <f>IF($Q2625="","",INDEX(상세표[블록 06~07시],$Q2625))</f>
        <v/>
      </c>
      <c r="L2625" s="20">
        <f>IF($Q2625="","",INDEX(상세표[블록 07~18시],$Q2625))</f>
        <v/>
      </c>
      <c r="M2625" s="20">
        <f>IF($Q2625="","",INDEX(상세표[블록 18~22시],$Q2625))</f>
        <v/>
      </c>
      <c r="N2625" s="20">
        <f>IF($Q2625="","",INDEX(상세표[블록 22~06시],$Q2625))</f>
        <v/>
      </c>
      <c r="O2625">
        <f>IF($Q2625="","",INDEX(상세표[주말·휴일 포함],$Q2625)&amp;"")</f>
        <v/>
      </c>
      <c r="P2625">
        <f>IF($Q2625="","",INDEX(상세표[월 넘김 포함],$Q2625)&amp;"")</f>
        <v/>
      </c>
      <c r="Q2625" s="4">
        <f>IFERROR(MATCH(2620,상세표[연속순번],0),"")</f>
        <v/>
      </c>
    </row>
    <row r="2626">
      <c r="A2626">
        <f>IF($Q2626="","",INDEX(상세표[부서],$Q2626)&amp;"")</f>
        <v/>
      </c>
      <c r="B2626">
        <f>IF($Q2626="","",INDEX(상세표[사번],$Q2626)&amp;"")</f>
        <v/>
      </c>
      <c r="C2626">
        <f>IF($Q2626="","",INDEX(상세표[성명],$Q2626)&amp;"")</f>
        <v/>
      </c>
      <c r="D2626">
        <f>IF($Q2626="","",INDEX(상세표[직위],$Q2626)&amp;"")</f>
        <v/>
      </c>
      <c r="E2626">
        <f>IF($Q2626="","",IF(ISNUMBER(INDEX(상세표[근무일자],$Q2626)),TEXT(INDEX(상세표[근무일자],$Q2626),"yyyy-mm-dd"),INDEX(상세표[근무일자],$Q2626)&amp;""))</f>
        <v/>
      </c>
      <c r="F2626">
        <f>IF($Q2626="","",IF(ISNUMBER(INDEX(상세표[시작],$Q2626)),TEXT(INDEX(상세표[시작],$Q2626),"yyyy-mm-dd hh:mm"),INDEX(상세표[시작],$Q2626)&amp;""))</f>
        <v/>
      </c>
      <c r="G2626">
        <f>IF($Q2626="","",IF(ISNUMBER(INDEX(상세표[블록종료],$Q2626)),TEXT(INDEX(상세표[블록종료],$Q2626),"yyyy-mm-dd hh:mm"),INDEX(상세표[블록종료],$Q2626)&amp;""))</f>
        <v/>
      </c>
      <c r="H2626">
        <f>IF($Q2626="","",CHOOSE(WEEKDAY(INDEX(상세표[시작],$Q2626)),"일","월","화","수","목","금","토"))</f>
        <v/>
      </c>
      <c r="I2626" s="20">
        <f>IF($Q2626="","",INDEX(상세표[연속 시간],$Q2626))</f>
        <v/>
      </c>
      <c r="J2626">
        <f>IF($Q2626="","",INDEX(상세표[기록 수],$Q2626))</f>
        <v/>
      </c>
      <c r="K2626" s="20">
        <f>IF($Q2626="","",INDEX(상세표[블록 06~07시],$Q2626))</f>
        <v/>
      </c>
      <c r="L2626" s="20">
        <f>IF($Q2626="","",INDEX(상세표[블록 07~18시],$Q2626))</f>
        <v/>
      </c>
      <c r="M2626" s="20">
        <f>IF($Q2626="","",INDEX(상세표[블록 18~22시],$Q2626))</f>
        <v/>
      </c>
      <c r="N2626" s="20">
        <f>IF($Q2626="","",INDEX(상세표[블록 22~06시],$Q2626))</f>
        <v/>
      </c>
      <c r="O2626">
        <f>IF($Q2626="","",INDEX(상세표[주말·휴일 포함],$Q2626)&amp;"")</f>
        <v/>
      </c>
      <c r="P2626">
        <f>IF($Q2626="","",INDEX(상세표[월 넘김 포함],$Q2626)&amp;"")</f>
        <v/>
      </c>
      <c r="Q2626" s="4">
        <f>IFERROR(MATCH(2621,상세표[연속순번],0),"")</f>
        <v/>
      </c>
    </row>
    <row r="2627">
      <c r="A2627">
        <f>IF($Q2627="","",INDEX(상세표[부서],$Q2627)&amp;"")</f>
        <v/>
      </c>
      <c r="B2627">
        <f>IF($Q2627="","",INDEX(상세표[사번],$Q2627)&amp;"")</f>
        <v/>
      </c>
      <c r="C2627">
        <f>IF($Q2627="","",INDEX(상세표[성명],$Q2627)&amp;"")</f>
        <v/>
      </c>
      <c r="D2627">
        <f>IF($Q2627="","",INDEX(상세표[직위],$Q2627)&amp;"")</f>
        <v/>
      </c>
      <c r="E2627">
        <f>IF($Q2627="","",IF(ISNUMBER(INDEX(상세표[근무일자],$Q2627)),TEXT(INDEX(상세표[근무일자],$Q2627),"yyyy-mm-dd"),INDEX(상세표[근무일자],$Q2627)&amp;""))</f>
        <v/>
      </c>
      <c r="F2627">
        <f>IF($Q2627="","",IF(ISNUMBER(INDEX(상세표[시작],$Q2627)),TEXT(INDEX(상세표[시작],$Q2627),"yyyy-mm-dd hh:mm"),INDEX(상세표[시작],$Q2627)&amp;""))</f>
        <v/>
      </c>
      <c r="G2627">
        <f>IF($Q2627="","",IF(ISNUMBER(INDEX(상세표[블록종료],$Q2627)),TEXT(INDEX(상세표[블록종료],$Q2627),"yyyy-mm-dd hh:mm"),INDEX(상세표[블록종료],$Q2627)&amp;""))</f>
        <v/>
      </c>
      <c r="H2627">
        <f>IF($Q2627="","",CHOOSE(WEEKDAY(INDEX(상세표[시작],$Q2627)),"일","월","화","수","목","금","토"))</f>
        <v/>
      </c>
      <c r="I2627" s="20">
        <f>IF($Q2627="","",INDEX(상세표[연속 시간],$Q2627))</f>
        <v/>
      </c>
      <c r="J2627">
        <f>IF($Q2627="","",INDEX(상세표[기록 수],$Q2627))</f>
        <v/>
      </c>
      <c r="K2627" s="20">
        <f>IF($Q2627="","",INDEX(상세표[블록 06~07시],$Q2627))</f>
        <v/>
      </c>
      <c r="L2627" s="20">
        <f>IF($Q2627="","",INDEX(상세표[블록 07~18시],$Q2627))</f>
        <v/>
      </c>
      <c r="M2627" s="20">
        <f>IF($Q2627="","",INDEX(상세표[블록 18~22시],$Q2627))</f>
        <v/>
      </c>
      <c r="N2627" s="20">
        <f>IF($Q2627="","",INDEX(상세표[블록 22~06시],$Q2627))</f>
        <v/>
      </c>
      <c r="O2627">
        <f>IF($Q2627="","",INDEX(상세표[주말·휴일 포함],$Q2627)&amp;"")</f>
        <v/>
      </c>
      <c r="P2627">
        <f>IF($Q2627="","",INDEX(상세표[월 넘김 포함],$Q2627)&amp;"")</f>
        <v/>
      </c>
      <c r="Q2627" s="4">
        <f>IFERROR(MATCH(2622,상세표[연속순번],0),"")</f>
        <v/>
      </c>
    </row>
    <row r="2628">
      <c r="A2628">
        <f>IF($Q2628="","",INDEX(상세표[부서],$Q2628)&amp;"")</f>
        <v/>
      </c>
      <c r="B2628">
        <f>IF($Q2628="","",INDEX(상세표[사번],$Q2628)&amp;"")</f>
        <v/>
      </c>
      <c r="C2628">
        <f>IF($Q2628="","",INDEX(상세표[성명],$Q2628)&amp;"")</f>
        <v/>
      </c>
      <c r="D2628">
        <f>IF($Q2628="","",INDEX(상세표[직위],$Q2628)&amp;"")</f>
        <v/>
      </c>
      <c r="E2628">
        <f>IF($Q2628="","",IF(ISNUMBER(INDEX(상세표[근무일자],$Q2628)),TEXT(INDEX(상세표[근무일자],$Q2628),"yyyy-mm-dd"),INDEX(상세표[근무일자],$Q2628)&amp;""))</f>
        <v/>
      </c>
      <c r="F2628">
        <f>IF($Q2628="","",IF(ISNUMBER(INDEX(상세표[시작],$Q2628)),TEXT(INDEX(상세표[시작],$Q2628),"yyyy-mm-dd hh:mm"),INDEX(상세표[시작],$Q2628)&amp;""))</f>
        <v/>
      </c>
      <c r="G2628">
        <f>IF($Q2628="","",IF(ISNUMBER(INDEX(상세표[블록종료],$Q2628)),TEXT(INDEX(상세표[블록종료],$Q2628),"yyyy-mm-dd hh:mm"),INDEX(상세표[블록종료],$Q2628)&amp;""))</f>
        <v/>
      </c>
      <c r="H2628">
        <f>IF($Q2628="","",CHOOSE(WEEKDAY(INDEX(상세표[시작],$Q2628)),"일","월","화","수","목","금","토"))</f>
        <v/>
      </c>
      <c r="I2628" s="20">
        <f>IF($Q2628="","",INDEX(상세표[연속 시간],$Q2628))</f>
        <v/>
      </c>
      <c r="J2628">
        <f>IF($Q2628="","",INDEX(상세표[기록 수],$Q2628))</f>
        <v/>
      </c>
      <c r="K2628" s="20">
        <f>IF($Q2628="","",INDEX(상세표[블록 06~07시],$Q2628))</f>
        <v/>
      </c>
      <c r="L2628" s="20">
        <f>IF($Q2628="","",INDEX(상세표[블록 07~18시],$Q2628))</f>
        <v/>
      </c>
      <c r="M2628" s="20">
        <f>IF($Q2628="","",INDEX(상세표[블록 18~22시],$Q2628))</f>
        <v/>
      </c>
      <c r="N2628" s="20">
        <f>IF($Q2628="","",INDEX(상세표[블록 22~06시],$Q2628))</f>
        <v/>
      </c>
      <c r="O2628">
        <f>IF($Q2628="","",INDEX(상세표[주말·휴일 포함],$Q2628)&amp;"")</f>
        <v/>
      </c>
      <c r="P2628">
        <f>IF($Q2628="","",INDEX(상세표[월 넘김 포함],$Q2628)&amp;"")</f>
        <v/>
      </c>
      <c r="Q2628" s="4">
        <f>IFERROR(MATCH(2623,상세표[연속순번],0),"")</f>
        <v/>
      </c>
    </row>
    <row r="2629">
      <c r="A2629">
        <f>IF($Q2629="","",INDEX(상세표[부서],$Q2629)&amp;"")</f>
        <v/>
      </c>
      <c r="B2629">
        <f>IF($Q2629="","",INDEX(상세표[사번],$Q2629)&amp;"")</f>
        <v/>
      </c>
      <c r="C2629">
        <f>IF($Q2629="","",INDEX(상세표[성명],$Q2629)&amp;"")</f>
        <v/>
      </c>
      <c r="D2629">
        <f>IF($Q2629="","",INDEX(상세표[직위],$Q2629)&amp;"")</f>
        <v/>
      </c>
      <c r="E2629">
        <f>IF($Q2629="","",IF(ISNUMBER(INDEX(상세표[근무일자],$Q2629)),TEXT(INDEX(상세표[근무일자],$Q2629),"yyyy-mm-dd"),INDEX(상세표[근무일자],$Q2629)&amp;""))</f>
        <v/>
      </c>
      <c r="F2629">
        <f>IF($Q2629="","",IF(ISNUMBER(INDEX(상세표[시작],$Q2629)),TEXT(INDEX(상세표[시작],$Q2629),"yyyy-mm-dd hh:mm"),INDEX(상세표[시작],$Q2629)&amp;""))</f>
        <v/>
      </c>
      <c r="G2629">
        <f>IF($Q2629="","",IF(ISNUMBER(INDEX(상세표[블록종료],$Q2629)),TEXT(INDEX(상세표[블록종료],$Q2629),"yyyy-mm-dd hh:mm"),INDEX(상세표[블록종료],$Q2629)&amp;""))</f>
        <v/>
      </c>
      <c r="H2629">
        <f>IF($Q2629="","",CHOOSE(WEEKDAY(INDEX(상세표[시작],$Q2629)),"일","월","화","수","목","금","토"))</f>
        <v/>
      </c>
      <c r="I2629" s="20">
        <f>IF($Q2629="","",INDEX(상세표[연속 시간],$Q2629))</f>
        <v/>
      </c>
      <c r="J2629">
        <f>IF($Q2629="","",INDEX(상세표[기록 수],$Q2629))</f>
        <v/>
      </c>
      <c r="K2629" s="20">
        <f>IF($Q2629="","",INDEX(상세표[블록 06~07시],$Q2629))</f>
        <v/>
      </c>
      <c r="L2629" s="20">
        <f>IF($Q2629="","",INDEX(상세표[블록 07~18시],$Q2629))</f>
        <v/>
      </c>
      <c r="M2629" s="20">
        <f>IF($Q2629="","",INDEX(상세표[블록 18~22시],$Q2629))</f>
        <v/>
      </c>
      <c r="N2629" s="20">
        <f>IF($Q2629="","",INDEX(상세표[블록 22~06시],$Q2629))</f>
        <v/>
      </c>
      <c r="O2629">
        <f>IF($Q2629="","",INDEX(상세표[주말·휴일 포함],$Q2629)&amp;"")</f>
        <v/>
      </c>
      <c r="P2629">
        <f>IF($Q2629="","",INDEX(상세표[월 넘김 포함],$Q2629)&amp;"")</f>
        <v/>
      </c>
      <c r="Q2629" s="4">
        <f>IFERROR(MATCH(2624,상세표[연속순번],0),"")</f>
        <v/>
      </c>
    </row>
    <row r="2630">
      <c r="A2630">
        <f>IF($Q2630="","",INDEX(상세표[부서],$Q2630)&amp;"")</f>
        <v/>
      </c>
      <c r="B2630">
        <f>IF($Q2630="","",INDEX(상세표[사번],$Q2630)&amp;"")</f>
        <v/>
      </c>
      <c r="C2630">
        <f>IF($Q2630="","",INDEX(상세표[성명],$Q2630)&amp;"")</f>
        <v/>
      </c>
      <c r="D2630">
        <f>IF($Q2630="","",INDEX(상세표[직위],$Q2630)&amp;"")</f>
        <v/>
      </c>
      <c r="E2630">
        <f>IF($Q2630="","",IF(ISNUMBER(INDEX(상세표[근무일자],$Q2630)),TEXT(INDEX(상세표[근무일자],$Q2630),"yyyy-mm-dd"),INDEX(상세표[근무일자],$Q2630)&amp;""))</f>
        <v/>
      </c>
      <c r="F2630">
        <f>IF($Q2630="","",IF(ISNUMBER(INDEX(상세표[시작],$Q2630)),TEXT(INDEX(상세표[시작],$Q2630),"yyyy-mm-dd hh:mm"),INDEX(상세표[시작],$Q2630)&amp;""))</f>
        <v/>
      </c>
      <c r="G2630">
        <f>IF($Q2630="","",IF(ISNUMBER(INDEX(상세표[블록종료],$Q2630)),TEXT(INDEX(상세표[블록종료],$Q2630),"yyyy-mm-dd hh:mm"),INDEX(상세표[블록종료],$Q2630)&amp;""))</f>
        <v/>
      </c>
      <c r="H2630">
        <f>IF($Q2630="","",CHOOSE(WEEKDAY(INDEX(상세표[시작],$Q2630)),"일","월","화","수","목","금","토"))</f>
        <v/>
      </c>
      <c r="I2630" s="20">
        <f>IF($Q2630="","",INDEX(상세표[연속 시간],$Q2630))</f>
        <v/>
      </c>
      <c r="J2630">
        <f>IF($Q2630="","",INDEX(상세표[기록 수],$Q2630))</f>
        <v/>
      </c>
      <c r="K2630" s="20">
        <f>IF($Q2630="","",INDEX(상세표[블록 06~07시],$Q2630))</f>
        <v/>
      </c>
      <c r="L2630" s="20">
        <f>IF($Q2630="","",INDEX(상세표[블록 07~18시],$Q2630))</f>
        <v/>
      </c>
      <c r="M2630" s="20">
        <f>IF($Q2630="","",INDEX(상세표[블록 18~22시],$Q2630))</f>
        <v/>
      </c>
      <c r="N2630" s="20">
        <f>IF($Q2630="","",INDEX(상세표[블록 22~06시],$Q2630))</f>
        <v/>
      </c>
      <c r="O2630">
        <f>IF($Q2630="","",INDEX(상세표[주말·휴일 포함],$Q2630)&amp;"")</f>
        <v/>
      </c>
      <c r="P2630">
        <f>IF($Q2630="","",INDEX(상세표[월 넘김 포함],$Q2630)&amp;"")</f>
        <v/>
      </c>
      <c r="Q2630" s="4">
        <f>IFERROR(MATCH(2625,상세표[연속순번],0),"")</f>
        <v/>
      </c>
    </row>
    <row r="2631">
      <c r="A2631">
        <f>IF($Q2631="","",INDEX(상세표[부서],$Q2631)&amp;"")</f>
        <v/>
      </c>
      <c r="B2631">
        <f>IF($Q2631="","",INDEX(상세표[사번],$Q2631)&amp;"")</f>
        <v/>
      </c>
      <c r="C2631">
        <f>IF($Q2631="","",INDEX(상세표[성명],$Q2631)&amp;"")</f>
        <v/>
      </c>
      <c r="D2631">
        <f>IF($Q2631="","",INDEX(상세표[직위],$Q2631)&amp;"")</f>
        <v/>
      </c>
      <c r="E2631">
        <f>IF($Q2631="","",IF(ISNUMBER(INDEX(상세표[근무일자],$Q2631)),TEXT(INDEX(상세표[근무일자],$Q2631),"yyyy-mm-dd"),INDEX(상세표[근무일자],$Q2631)&amp;""))</f>
        <v/>
      </c>
      <c r="F2631">
        <f>IF($Q2631="","",IF(ISNUMBER(INDEX(상세표[시작],$Q2631)),TEXT(INDEX(상세표[시작],$Q2631),"yyyy-mm-dd hh:mm"),INDEX(상세표[시작],$Q2631)&amp;""))</f>
        <v/>
      </c>
      <c r="G2631">
        <f>IF($Q2631="","",IF(ISNUMBER(INDEX(상세표[블록종료],$Q2631)),TEXT(INDEX(상세표[블록종료],$Q2631),"yyyy-mm-dd hh:mm"),INDEX(상세표[블록종료],$Q2631)&amp;""))</f>
        <v/>
      </c>
      <c r="H2631">
        <f>IF($Q2631="","",CHOOSE(WEEKDAY(INDEX(상세표[시작],$Q2631)),"일","월","화","수","목","금","토"))</f>
        <v/>
      </c>
      <c r="I2631" s="20">
        <f>IF($Q2631="","",INDEX(상세표[연속 시간],$Q2631))</f>
        <v/>
      </c>
      <c r="J2631">
        <f>IF($Q2631="","",INDEX(상세표[기록 수],$Q2631))</f>
        <v/>
      </c>
      <c r="K2631" s="20">
        <f>IF($Q2631="","",INDEX(상세표[블록 06~07시],$Q2631))</f>
        <v/>
      </c>
      <c r="L2631" s="20">
        <f>IF($Q2631="","",INDEX(상세표[블록 07~18시],$Q2631))</f>
        <v/>
      </c>
      <c r="M2631" s="20">
        <f>IF($Q2631="","",INDEX(상세표[블록 18~22시],$Q2631))</f>
        <v/>
      </c>
      <c r="N2631" s="20">
        <f>IF($Q2631="","",INDEX(상세표[블록 22~06시],$Q2631))</f>
        <v/>
      </c>
      <c r="O2631">
        <f>IF($Q2631="","",INDEX(상세표[주말·휴일 포함],$Q2631)&amp;"")</f>
        <v/>
      </c>
      <c r="P2631">
        <f>IF($Q2631="","",INDEX(상세표[월 넘김 포함],$Q2631)&amp;"")</f>
        <v/>
      </c>
      <c r="Q2631" s="4">
        <f>IFERROR(MATCH(2626,상세표[연속순번],0),"")</f>
        <v/>
      </c>
    </row>
    <row r="2632">
      <c r="A2632">
        <f>IF($Q2632="","",INDEX(상세표[부서],$Q2632)&amp;"")</f>
        <v/>
      </c>
      <c r="B2632">
        <f>IF($Q2632="","",INDEX(상세표[사번],$Q2632)&amp;"")</f>
        <v/>
      </c>
      <c r="C2632">
        <f>IF($Q2632="","",INDEX(상세표[성명],$Q2632)&amp;"")</f>
        <v/>
      </c>
      <c r="D2632">
        <f>IF($Q2632="","",INDEX(상세표[직위],$Q2632)&amp;"")</f>
        <v/>
      </c>
      <c r="E2632">
        <f>IF($Q2632="","",IF(ISNUMBER(INDEX(상세표[근무일자],$Q2632)),TEXT(INDEX(상세표[근무일자],$Q2632),"yyyy-mm-dd"),INDEX(상세표[근무일자],$Q2632)&amp;""))</f>
        <v/>
      </c>
      <c r="F2632">
        <f>IF($Q2632="","",IF(ISNUMBER(INDEX(상세표[시작],$Q2632)),TEXT(INDEX(상세표[시작],$Q2632),"yyyy-mm-dd hh:mm"),INDEX(상세표[시작],$Q2632)&amp;""))</f>
        <v/>
      </c>
      <c r="G2632">
        <f>IF($Q2632="","",IF(ISNUMBER(INDEX(상세표[블록종료],$Q2632)),TEXT(INDEX(상세표[블록종료],$Q2632),"yyyy-mm-dd hh:mm"),INDEX(상세표[블록종료],$Q2632)&amp;""))</f>
        <v/>
      </c>
      <c r="H2632">
        <f>IF($Q2632="","",CHOOSE(WEEKDAY(INDEX(상세표[시작],$Q2632)),"일","월","화","수","목","금","토"))</f>
        <v/>
      </c>
      <c r="I2632" s="20">
        <f>IF($Q2632="","",INDEX(상세표[연속 시간],$Q2632))</f>
        <v/>
      </c>
      <c r="J2632">
        <f>IF($Q2632="","",INDEX(상세표[기록 수],$Q2632))</f>
        <v/>
      </c>
      <c r="K2632" s="20">
        <f>IF($Q2632="","",INDEX(상세표[블록 06~07시],$Q2632))</f>
        <v/>
      </c>
      <c r="L2632" s="20">
        <f>IF($Q2632="","",INDEX(상세표[블록 07~18시],$Q2632))</f>
        <v/>
      </c>
      <c r="M2632" s="20">
        <f>IF($Q2632="","",INDEX(상세표[블록 18~22시],$Q2632))</f>
        <v/>
      </c>
      <c r="N2632" s="20">
        <f>IF($Q2632="","",INDEX(상세표[블록 22~06시],$Q2632))</f>
        <v/>
      </c>
      <c r="O2632">
        <f>IF($Q2632="","",INDEX(상세표[주말·휴일 포함],$Q2632)&amp;"")</f>
        <v/>
      </c>
      <c r="P2632">
        <f>IF($Q2632="","",INDEX(상세표[월 넘김 포함],$Q2632)&amp;"")</f>
        <v/>
      </c>
      <c r="Q2632" s="4">
        <f>IFERROR(MATCH(2627,상세표[연속순번],0),"")</f>
        <v/>
      </c>
    </row>
    <row r="2633">
      <c r="A2633">
        <f>IF($Q2633="","",INDEX(상세표[부서],$Q2633)&amp;"")</f>
        <v/>
      </c>
      <c r="B2633">
        <f>IF($Q2633="","",INDEX(상세표[사번],$Q2633)&amp;"")</f>
        <v/>
      </c>
      <c r="C2633">
        <f>IF($Q2633="","",INDEX(상세표[성명],$Q2633)&amp;"")</f>
        <v/>
      </c>
      <c r="D2633">
        <f>IF($Q2633="","",INDEX(상세표[직위],$Q2633)&amp;"")</f>
        <v/>
      </c>
      <c r="E2633">
        <f>IF($Q2633="","",IF(ISNUMBER(INDEX(상세표[근무일자],$Q2633)),TEXT(INDEX(상세표[근무일자],$Q2633),"yyyy-mm-dd"),INDEX(상세표[근무일자],$Q2633)&amp;""))</f>
        <v/>
      </c>
      <c r="F2633">
        <f>IF($Q2633="","",IF(ISNUMBER(INDEX(상세표[시작],$Q2633)),TEXT(INDEX(상세표[시작],$Q2633),"yyyy-mm-dd hh:mm"),INDEX(상세표[시작],$Q2633)&amp;""))</f>
        <v/>
      </c>
      <c r="G2633">
        <f>IF($Q2633="","",IF(ISNUMBER(INDEX(상세표[블록종료],$Q2633)),TEXT(INDEX(상세표[블록종료],$Q2633),"yyyy-mm-dd hh:mm"),INDEX(상세표[블록종료],$Q2633)&amp;""))</f>
        <v/>
      </c>
      <c r="H2633">
        <f>IF($Q2633="","",CHOOSE(WEEKDAY(INDEX(상세표[시작],$Q2633)),"일","월","화","수","목","금","토"))</f>
        <v/>
      </c>
      <c r="I2633" s="20">
        <f>IF($Q2633="","",INDEX(상세표[연속 시간],$Q2633))</f>
        <v/>
      </c>
      <c r="J2633">
        <f>IF($Q2633="","",INDEX(상세표[기록 수],$Q2633))</f>
        <v/>
      </c>
      <c r="K2633" s="20">
        <f>IF($Q2633="","",INDEX(상세표[블록 06~07시],$Q2633))</f>
        <v/>
      </c>
      <c r="L2633" s="20">
        <f>IF($Q2633="","",INDEX(상세표[블록 07~18시],$Q2633))</f>
        <v/>
      </c>
      <c r="M2633" s="20">
        <f>IF($Q2633="","",INDEX(상세표[블록 18~22시],$Q2633))</f>
        <v/>
      </c>
      <c r="N2633" s="20">
        <f>IF($Q2633="","",INDEX(상세표[블록 22~06시],$Q2633))</f>
        <v/>
      </c>
      <c r="O2633">
        <f>IF($Q2633="","",INDEX(상세표[주말·휴일 포함],$Q2633)&amp;"")</f>
        <v/>
      </c>
      <c r="P2633">
        <f>IF($Q2633="","",INDEX(상세표[월 넘김 포함],$Q2633)&amp;"")</f>
        <v/>
      </c>
      <c r="Q2633" s="4">
        <f>IFERROR(MATCH(2628,상세표[연속순번],0),"")</f>
        <v/>
      </c>
    </row>
    <row r="2634">
      <c r="A2634">
        <f>IF($Q2634="","",INDEX(상세표[부서],$Q2634)&amp;"")</f>
        <v/>
      </c>
      <c r="B2634">
        <f>IF($Q2634="","",INDEX(상세표[사번],$Q2634)&amp;"")</f>
        <v/>
      </c>
      <c r="C2634">
        <f>IF($Q2634="","",INDEX(상세표[성명],$Q2634)&amp;"")</f>
        <v/>
      </c>
      <c r="D2634">
        <f>IF($Q2634="","",INDEX(상세표[직위],$Q2634)&amp;"")</f>
        <v/>
      </c>
      <c r="E2634">
        <f>IF($Q2634="","",IF(ISNUMBER(INDEX(상세표[근무일자],$Q2634)),TEXT(INDEX(상세표[근무일자],$Q2634),"yyyy-mm-dd"),INDEX(상세표[근무일자],$Q2634)&amp;""))</f>
        <v/>
      </c>
      <c r="F2634">
        <f>IF($Q2634="","",IF(ISNUMBER(INDEX(상세표[시작],$Q2634)),TEXT(INDEX(상세표[시작],$Q2634),"yyyy-mm-dd hh:mm"),INDEX(상세표[시작],$Q2634)&amp;""))</f>
        <v/>
      </c>
      <c r="G2634">
        <f>IF($Q2634="","",IF(ISNUMBER(INDEX(상세표[블록종료],$Q2634)),TEXT(INDEX(상세표[블록종료],$Q2634),"yyyy-mm-dd hh:mm"),INDEX(상세표[블록종료],$Q2634)&amp;""))</f>
        <v/>
      </c>
      <c r="H2634">
        <f>IF($Q2634="","",CHOOSE(WEEKDAY(INDEX(상세표[시작],$Q2634)),"일","월","화","수","목","금","토"))</f>
        <v/>
      </c>
      <c r="I2634" s="20">
        <f>IF($Q2634="","",INDEX(상세표[연속 시간],$Q2634))</f>
        <v/>
      </c>
      <c r="J2634">
        <f>IF($Q2634="","",INDEX(상세표[기록 수],$Q2634))</f>
        <v/>
      </c>
      <c r="K2634" s="20">
        <f>IF($Q2634="","",INDEX(상세표[블록 06~07시],$Q2634))</f>
        <v/>
      </c>
      <c r="L2634" s="20">
        <f>IF($Q2634="","",INDEX(상세표[블록 07~18시],$Q2634))</f>
        <v/>
      </c>
      <c r="M2634" s="20">
        <f>IF($Q2634="","",INDEX(상세표[블록 18~22시],$Q2634))</f>
        <v/>
      </c>
      <c r="N2634" s="20">
        <f>IF($Q2634="","",INDEX(상세표[블록 22~06시],$Q2634))</f>
        <v/>
      </c>
      <c r="O2634">
        <f>IF($Q2634="","",INDEX(상세표[주말·휴일 포함],$Q2634)&amp;"")</f>
        <v/>
      </c>
      <c r="P2634">
        <f>IF($Q2634="","",INDEX(상세표[월 넘김 포함],$Q2634)&amp;"")</f>
        <v/>
      </c>
      <c r="Q2634" s="4">
        <f>IFERROR(MATCH(2629,상세표[연속순번],0),"")</f>
        <v/>
      </c>
    </row>
    <row r="2635">
      <c r="A2635">
        <f>IF($Q2635="","",INDEX(상세표[부서],$Q2635)&amp;"")</f>
        <v/>
      </c>
      <c r="B2635">
        <f>IF($Q2635="","",INDEX(상세표[사번],$Q2635)&amp;"")</f>
        <v/>
      </c>
      <c r="C2635">
        <f>IF($Q2635="","",INDEX(상세표[성명],$Q2635)&amp;"")</f>
        <v/>
      </c>
      <c r="D2635">
        <f>IF($Q2635="","",INDEX(상세표[직위],$Q2635)&amp;"")</f>
        <v/>
      </c>
      <c r="E2635">
        <f>IF($Q2635="","",IF(ISNUMBER(INDEX(상세표[근무일자],$Q2635)),TEXT(INDEX(상세표[근무일자],$Q2635),"yyyy-mm-dd"),INDEX(상세표[근무일자],$Q2635)&amp;""))</f>
        <v/>
      </c>
      <c r="F2635">
        <f>IF($Q2635="","",IF(ISNUMBER(INDEX(상세표[시작],$Q2635)),TEXT(INDEX(상세표[시작],$Q2635),"yyyy-mm-dd hh:mm"),INDEX(상세표[시작],$Q2635)&amp;""))</f>
        <v/>
      </c>
      <c r="G2635">
        <f>IF($Q2635="","",IF(ISNUMBER(INDEX(상세표[블록종료],$Q2635)),TEXT(INDEX(상세표[블록종료],$Q2635),"yyyy-mm-dd hh:mm"),INDEX(상세표[블록종료],$Q2635)&amp;""))</f>
        <v/>
      </c>
      <c r="H2635">
        <f>IF($Q2635="","",CHOOSE(WEEKDAY(INDEX(상세표[시작],$Q2635)),"일","월","화","수","목","금","토"))</f>
        <v/>
      </c>
      <c r="I2635" s="20">
        <f>IF($Q2635="","",INDEX(상세표[연속 시간],$Q2635))</f>
        <v/>
      </c>
      <c r="J2635">
        <f>IF($Q2635="","",INDEX(상세표[기록 수],$Q2635))</f>
        <v/>
      </c>
      <c r="K2635" s="20">
        <f>IF($Q2635="","",INDEX(상세표[블록 06~07시],$Q2635))</f>
        <v/>
      </c>
      <c r="L2635" s="20">
        <f>IF($Q2635="","",INDEX(상세표[블록 07~18시],$Q2635))</f>
        <v/>
      </c>
      <c r="M2635" s="20">
        <f>IF($Q2635="","",INDEX(상세표[블록 18~22시],$Q2635))</f>
        <v/>
      </c>
      <c r="N2635" s="20">
        <f>IF($Q2635="","",INDEX(상세표[블록 22~06시],$Q2635))</f>
        <v/>
      </c>
      <c r="O2635">
        <f>IF($Q2635="","",INDEX(상세표[주말·휴일 포함],$Q2635)&amp;"")</f>
        <v/>
      </c>
      <c r="P2635">
        <f>IF($Q2635="","",INDEX(상세표[월 넘김 포함],$Q2635)&amp;"")</f>
        <v/>
      </c>
      <c r="Q2635" s="4">
        <f>IFERROR(MATCH(2630,상세표[연속순번],0),"")</f>
        <v/>
      </c>
    </row>
    <row r="2636">
      <c r="A2636">
        <f>IF($Q2636="","",INDEX(상세표[부서],$Q2636)&amp;"")</f>
        <v/>
      </c>
      <c r="B2636">
        <f>IF($Q2636="","",INDEX(상세표[사번],$Q2636)&amp;"")</f>
        <v/>
      </c>
      <c r="C2636">
        <f>IF($Q2636="","",INDEX(상세표[성명],$Q2636)&amp;"")</f>
        <v/>
      </c>
      <c r="D2636">
        <f>IF($Q2636="","",INDEX(상세표[직위],$Q2636)&amp;"")</f>
        <v/>
      </c>
      <c r="E2636">
        <f>IF($Q2636="","",IF(ISNUMBER(INDEX(상세표[근무일자],$Q2636)),TEXT(INDEX(상세표[근무일자],$Q2636),"yyyy-mm-dd"),INDEX(상세표[근무일자],$Q2636)&amp;""))</f>
        <v/>
      </c>
      <c r="F2636">
        <f>IF($Q2636="","",IF(ISNUMBER(INDEX(상세표[시작],$Q2636)),TEXT(INDEX(상세표[시작],$Q2636),"yyyy-mm-dd hh:mm"),INDEX(상세표[시작],$Q2636)&amp;""))</f>
        <v/>
      </c>
      <c r="G2636">
        <f>IF($Q2636="","",IF(ISNUMBER(INDEX(상세표[블록종료],$Q2636)),TEXT(INDEX(상세표[블록종료],$Q2636),"yyyy-mm-dd hh:mm"),INDEX(상세표[블록종료],$Q2636)&amp;""))</f>
        <v/>
      </c>
      <c r="H2636">
        <f>IF($Q2636="","",CHOOSE(WEEKDAY(INDEX(상세표[시작],$Q2636)),"일","월","화","수","목","금","토"))</f>
        <v/>
      </c>
      <c r="I2636" s="20">
        <f>IF($Q2636="","",INDEX(상세표[연속 시간],$Q2636))</f>
        <v/>
      </c>
      <c r="J2636">
        <f>IF($Q2636="","",INDEX(상세표[기록 수],$Q2636))</f>
        <v/>
      </c>
      <c r="K2636" s="20">
        <f>IF($Q2636="","",INDEX(상세표[블록 06~07시],$Q2636))</f>
        <v/>
      </c>
      <c r="L2636" s="20">
        <f>IF($Q2636="","",INDEX(상세표[블록 07~18시],$Q2636))</f>
        <v/>
      </c>
      <c r="M2636" s="20">
        <f>IF($Q2636="","",INDEX(상세표[블록 18~22시],$Q2636))</f>
        <v/>
      </c>
      <c r="N2636" s="20">
        <f>IF($Q2636="","",INDEX(상세표[블록 22~06시],$Q2636))</f>
        <v/>
      </c>
      <c r="O2636">
        <f>IF($Q2636="","",INDEX(상세표[주말·휴일 포함],$Q2636)&amp;"")</f>
        <v/>
      </c>
      <c r="P2636">
        <f>IF($Q2636="","",INDEX(상세표[월 넘김 포함],$Q2636)&amp;"")</f>
        <v/>
      </c>
      <c r="Q2636" s="4">
        <f>IFERROR(MATCH(2631,상세표[연속순번],0),"")</f>
        <v/>
      </c>
    </row>
    <row r="2637">
      <c r="A2637">
        <f>IF($Q2637="","",INDEX(상세표[부서],$Q2637)&amp;"")</f>
        <v/>
      </c>
      <c r="B2637">
        <f>IF($Q2637="","",INDEX(상세표[사번],$Q2637)&amp;"")</f>
        <v/>
      </c>
      <c r="C2637">
        <f>IF($Q2637="","",INDEX(상세표[성명],$Q2637)&amp;"")</f>
        <v/>
      </c>
      <c r="D2637">
        <f>IF($Q2637="","",INDEX(상세표[직위],$Q2637)&amp;"")</f>
        <v/>
      </c>
      <c r="E2637">
        <f>IF($Q2637="","",IF(ISNUMBER(INDEX(상세표[근무일자],$Q2637)),TEXT(INDEX(상세표[근무일자],$Q2637),"yyyy-mm-dd"),INDEX(상세표[근무일자],$Q2637)&amp;""))</f>
        <v/>
      </c>
      <c r="F2637">
        <f>IF($Q2637="","",IF(ISNUMBER(INDEX(상세표[시작],$Q2637)),TEXT(INDEX(상세표[시작],$Q2637),"yyyy-mm-dd hh:mm"),INDEX(상세표[시작],$Q2637)&amp;""))</f>
        <v/>
      </c>
      <c r="G2637">
        <f>IF($Q2637="","",IF(ISNUMBER(INDEX(상세표[블록종료],$Q2637)),TEXT(INDEX(상세표[블록종료],$Q2637),"yyyy-mm-dd hh:mm"),INDEX(상세표[블록종료],$Q2637)&amp;""))</f>
        <v/>
      </c>
      <c r="H2637">
        <f>IF($Q2637="","",CHOOSE(WEEKDAY(INDEX(상세표[시작],$Q2637)),"일","월","화","수","목","금","토"))</f>
        <v/>
      </c>
      <c r="I2637" s="20">
        <f>IF($Q2637="","",INDEX(상세표[연속 시간],$Q2637))</f>
        <v/>
      </c>
      <c r="J2637">
        <f>IF($Q2637="","",INDEX(상세표[기록 수],$Q2637))</f>
        <v/>
      </c>
      <c r="K2637" s="20">
        <f>IF($Q2637="","",INDEX(상세표[블록 06~07시],$Q2637))</f>
        <v/>
      </c>
      <c r="L2637" s="20">
        <f>IF($Q2637="","",INDEX(상세표[블록 07~18시],$Q2637))</f>
        <v/>
      </c>
      <c r="M2637" s="20">
        <f>IF($Q2637="","",INDEX(상세표[블록 18~22시],$Q2637))</f>
        <v/>
      </c>
      <c r="N2637" s="20">
        <f>IF($Q2637="","",INDEX(상세표[블록 22~06시],$Q2637))</f>
        <v/>
      </c>
      <c r="O2637">
        <f>IF($Q2637="","",INDEX(상세표[주말·휴일 포함],$Q2637)&amp;"")</f>
        <v/>
      </c>
      <c r="P2637">
        <f>IF($Q2637="","",INDEX(상세표[월 넘김 포함],$Q2637)&amp;"")</f>
        <v/>
      </c>
      <c r="Q2637" s="4">
        <f>IFERROR(MATCH(2632,상세표[연속순번],0),"")</f>
        <v/>
      </c>
    </row>
    <row r="2638">
      <c r="A2638">
        <f>IF($Q2638="","",INDEX(상세표[부서],$Q2638)&amp;"")</f>
        <v/>
      </c>
      <c r="B2638">
        <f>IF($Q2638="","",INDEX(상세표[사번],$Q2638)&amp;"")</f>
        <v/>
      </c>
      <c r="C2638">
        <f>IF($Q2638="","",INDEX(상세표[성명],$Q2638)&amp;"")</f>
        <v/>
      </c>
      <c r="D2638">
        <f>IF($Q2638="","",INDEX(상세표[직위],$Q2638)&amp;"")</f>
        <v/>
      </c>
      <c r="E2638">
        <f>IF($Q2638="","",IF(ISNUMBER(INDEX(상세표[근무일자],$Q2638)),TEXT(INDEX(상세표[근무일자],$Q2638),"yyyy-mm-dd"),INDEX(상세표[근무일자],$Q2638)&amp;""))</f>
        <v/>
      </c>
      <c r="F2638">
        <f>IF($Q2638="","",IF(ISNUMBER(INDEX(상세표[시작],$Q2638)),TEXT(INDEX(상세표[시작],$Q2638),"yyyy-mm-dd hh:mm"),INDEX(상세표[시작],$Q2638)&amp;""))</f>
        <v/>
      </c>
      <c r="G2638">
        <f>IF($Q2638="","",IF(ISNUMBER(INDEX(상세표[블록종료],$Q2638)),TEXT(INDEX(상세표[블록종료],$Q2638),"yyyy-mm-dd hh:mm"),INDEX(상세표[블록종료],$Q2638)&amp;""))</f>
        <v/>
      </c>
      <c r="H2638">
        <f>IF($Q2638="","",CHOOSE(WEEKDAY(INDEX(상세표[시작],$Q2638)),"일","월","화","수","목","금","토"))</f>
        <v/>
      </c>
      <c r="I2638" s="20">
        <f>IF($Q2638="","",INDEX(상세표[연속 시간],$Q2638))</f>
        <v/>
      </c>
      <c r="J2638">
        <f>IF($Q2638="","",INDEX(상세표[기록 수],$Q2638))</f>
        <v/>
      </c>
      <c r="K2638" s="20">
        <f>IF($Q2638="","",INDEX(상세표[블록 06~07시],$Q2638))</f>
        <v/>
      </c>
      <c r="L2638" s="20">
        <f>IF($Q2638="","",INDEX(상세표[블록 07~18시],$Q2638))</f>
        <v/>
      </c>
      <c r="M2638" s="20">
        <f>IF($Q2638="","",INDEX(상세표[블록 18~22시],$Q2638))</f>
        <v/>
      </c>
      <c r="N2638" s="20">
        <f>IF($Q2638="","",INDEX(상세표[블록 22~06시],$Q2638))</f>
        <v/>
      </c>
      <c r="O2638">
        <f>IF($Q2638="","",INDEX(상세표[주말·휴일 포함],$Q2638)&amp;"")</f>
        <v/>
      </c>
      <c r="P2638">
        <f>IF($Q2638="","",INDEX(상세표[월 넘김 포함],$Q2638)&amp;"")</f>
        <v/>
      </c>
      <c r="Q2638" s="4">
        <f>IFERROR(MATCH(2633,상세표[연속순번],0),"")</f>
        <v/>
      </c>
    </row>
    <row r="2639">
      <c r="A2639">
        <f>IF($Q2639="","",INDEX(상세표[부서],$Q2639)&amp;"")</f>
        <v/>
      </c>
      <c r="B2639">
        <f>IF($Q2639="","",INDEX(상세표[사번],$Q2639)&amp;"")</f>
        <v/>
      </c>
      <c r="C2639">
        <f>IF($Q2639="","",INDEX(상세표[성명],$Q2639)&amp;"")</f>
        <v/>
      </c>
      <c r="D2639">
        <f>IF($Q2639="","",INDEX(상세표[직위],$Q2639)&amp;"")</f>
        <v/>
      </c>
      <c r="E2639">
        <f>IF($Q2639="","",IF(ISNUMBER(INDEX(상세표[근무일자],$Q2639)),TEXT(INDEX(상세표[근무일자],$Q2639),"yyyy-mm-dd"),INDEX(상세표[근무일자],$Q2639)&amp;""))</f>
        <v/>
      </c>
      <c r="F2639">
        <f>IF($Q2639="","",IF(ISNUMBER(INDEX(상세표[시작],$Q2639)),TEXT(INDEX(상세표[시작],$Q2639),"yyyy-mm-dd hh:mm"),INDEX(상세표[시작],$Q2639)&amp;""))</f>
        <v/>
      </c>
      <c r="G2639">
        <f>IF($Q2639="","",IF(ISNUMBER(INDEX(상세표[블록종료],$Q2639)),TEXT(INDEX(상세표[블록종료],$Q2639),"yyyy-mm-dd hh:mm"),INDEX(상세표[블록종료],$Q2639)&amp;""))</f>
        <v/>
      </c>
      <c r="H2639">
        <f>IF($Q2639="","",CHOOSE(WEEKDAY(INDEX(상세표[시작],$Q2639)),"일","월","화","수","목","금","토"))</f>
        <v/>
      </c>
      <c r="I2639" s="20">
        <f>IF($Q2639="","",INDEX(상세표[연속 시간],$Q2639))</f>
        <v/>
      </c>
      <c r="J2639">
        <f>IF($Q2639="","",INDEX(상세표[기록 수],$Q2639))</f>
        <v/>
      </c>
      <c r="K2639" s="20">
        <f>IF($Q2639="","",INDEX(상세표[블록 06~07시],$Q2639))</f>
        <v/>
      </c>
      <c r="L2639" s="20">
        <f>IF($Q2639="","",INDEX(상세표[블록 07~18시],$Q2639))</f>
        <v/>
      </c>
      <c r="M2639" s="20">
        <f>IF($Q2639="","",INDEX(상세표[블록 18~22시],$Q2639))</f>
        <v/>
      </c>
      <c r="N2639" s="20">
        <f>IF($Q2639="","",INDEX(상세표[블록 22~06시],$Q2639))</f>
        <v/>
      </c>
      <c r="O2639">
        <f>IF($Q2639="","",INDEX(상세표[주말·휴일 포함],$Q2639)&amp;"")</f>
        <v/>
      </c>
      <c r="P2639">
        <f>IF($Q2639="","",INDEX(상세표[월 넘김 포함],$Q2639)&amp;"")</f>
        <v/>
      </c>
      <c r="Q2639" s="4">
        <f>IFERROR(MATCH(2634,상세표[연속순번],0),"")</f>
        <v/>
      </c>
    </row>
    <row r="2640">
      <c r="A2640">
        <f>IF($Q2640="","",INDEX(상세표[부서],$Q2640)&amp;"")</f>
        <v/>
      </c>
      <c r="B2640">
        <f>IF($Q2640="","",INDEX(상세표[사번],$Q2640)&amp;"")</f>
        <v/>
      </c>
      <c r="C2640">
        <f>IF($Q2640="","",INDEX(상세표[성명],$Q2640)&amp;"")</f>
        <v/>
      </c>
      <c r="D2640">
        <f>IF($Q2640="","",INDEX(상세표[직위],$Q2640)&amp;"")</f>
        <v/>
      </c>
      <c r="E2640">
        <f>IF($Q2640="","",IF(ISNUMBER(INDEX(상세표[근무일자],$Q2640)),TEXT(INDEX(상세표[근무일자],$Q2640),"yyyy-mm-dd"),INDEX(상세표[근무일자],$Q2640)&amp;""))</f>
        <v/>
      </c>
      <c r="F2640">
        <f>IF($Q2640="","",IF(ISNUMBER(INDEX(상세표[시작],$Q2640)),TEXT(INDEX(상세표[시작],$Q2640),"yyyy-mm-dd hh:mm"),INDEX(상세표[시작],$Q2640)&amp;""))</f>
        <v/>
      </c>
      <c r="G2640">
        <f>IF($Q2640="","",IF(ISNUMBER(INDEX(상세표[블록종료],$Q2640)),TEXT(INDEX(상세표[블록종료],$Q2640),"yyyy-mm-dd hh:mm"),INDEX(상세표[블록종료],$Q2640)&amp;""))</f>
        <v/>
      </c>
      <c r="H2640">
        <f>IF($Q2640="","",CHOOSE(WEEKDAY(INDEX(상세표[시작],$Q2640)),"일","월","화","수","목","금","토"))</f>
        <v/>
      </c>
      <c r="I2640" s="20">
        <f>IF($Q2640="","",INDEX(상세표[연속 시간],$Q2640))</f>
        <v/>
      </c>
      <c r="J2640">
        <f>IF($Q2640="","",INDEX(상세표[기록 수],$Q2640))</f>
        <v/>
      </c>
      <c r="K2640" s="20">
        <f>IF($Q2640="","",INDEX(상세표[블록 06~07시],$Q2640))</f>
        <v/>
      </c>
      <c r="L2640" s="20">
        <f>IF($Q2640="","",INDEX(상세표[블록 07~18시],$Q2640))</f>
        <v/>
      </c>
      <c r="M2640" s="20">
        <f>IF($Q2640="","",INDEX(상세표[블록 18~22시],$Q2640))</f>
        <v/>
      </c>
      <c r="N2640" s="20">
        <f>IF($Q2640="","",INDEX(상세표[블록 22~06시],$Q2640))</f>
        <v/>
      </c>
      <c r="O2640">
        <f>IF($Q2640="","",INDEX(상세표[주말·휴일 포함],$Q2640)&amp;"")</f>
        <v/>
      </c>
      <c r="P2640">
        <f>IF($Q2640="","",INDEX(상세표[월 넘김 포함],$Q2640)&amp;"")</f>
        <v/>
      </c>
      <c r="Q2640" s="4">
        <f>IFERROR(MATCH(2635,상세표[연속순번],0),"")</f>
        <v/>
      </c>
    </row>
    <row r="2641">
      <c r="A2641">
        <f>IF($Q2641="","",INDEX(상세표[부서],$Q2641)&amp;"")</f>
        <v/>
      </c>
      <c r="B2641">
        <f>IF($Q2641="","",INDEX(상세표[사번],$Q2641)&amp;"")</f>
        <v/>
      </c>
      <c r="C2641">
        <f>IF($Q2641="","",INDEX(상세표[성명],$Q2641)&amp;"")</f>
        <v/>
      </c>
      <c r="D2641">
        <f>IF($Q2641="","",INDEX(상세표[직위],$Q2641)&amp;"")</f>
        <v/>
      </c>
      <c r="E2641">
        <f>IF($Q2641="","",IF(ISNUMBER(INDEX(상세표[근무일자],$Q2641)),TEXT(INDEX(상세표[근무일자],$Q2641),"yyyy-mm-dd"),INDEX(상세표[근무일자],$Q2641)&amp;""))</f>
        <v/>
      </c>
      <c r="F2641">
        <f>IF($Q2641="","",IF(ISNUMBER(INDEX(상세표[시작],$Q2641)),TEXT(INDEX(상세표[시작],$Q2641),"yyyy-mm-dd hh:mm"),INDEX(상세표[시작],$Q2641)&amp;""))</f>
        <v/>
      </c>
      <c r="G2641">
        <f>IF($Q2641="","",IF(ISNUMBER(INDEX(상세표[블록종료],$Q2641)),TEXT(INDEX(상세표[블록종료],$Q2641),"yyyy-mm-dd hh:mm"),INDEX(상세표[블록종료],$Q2641)&amp;""))</f>
        <v/>
      </c>
      <c r="H2641">
        <f>IF($Q2641="","",CHOOSE(WEEKDAY(INDEX(상세표[시작],$Q2641)),"일","월","화","수","목","금","토"))</f>
        <v/>
      </c>
      <c r="I2641" s="20">
        <f>IF($Q2641="","",INDEX(상세표[연속 시간],$Q2641))</f>
        <v/>
      </c>
      <c r="J2641">
        <f>IF($Q2641="","",INDEX(상세표[기록 수],$Q2641))</f>
        <v/>
      </c>
      <c r="K2641" s="20">
        <f>IF($Q2641="","",INDEX(상세표[블록 06~07시],$Q2641))</f>
        <v/>
      </c>
      <c r="L2641" s="20">
        <f>IF($Q2641="","",INDEX(상세표[블록 07~18시],$Q2641))</f>
        <v/>
      </c>
      <c r="M2641" s="20">
        <f>IF($Q2641="","",INDEX(상세표[블록 18~22시],$Q2641))</f>
        <v/>
      </c>
      <c r="N2641" s="20">
        <f>IF($Q2641="","",INDEX(상세표[블록 22~06시],$Q2641))</f>
        <v/>
      </c>
      <c r="O2641">
        <f>IF($Q2641="","",INDEX(상세표[주말·휴일 포함],$Q2641)&amp;"")</f>
        <v/>
      </c>
      <c r="P2641">
        <f>IF($Q2641="","",INDEX(상세표[월 넘김 포함],$Q2641)&amp;"")</f>
        <v/>
      </c>
      <c r="Q2641" s="4">
        <f>IFERROR(MATCH(2636,상세표[연속순번],0),"")</f>
        <v/>
      </c>
    </row>
    <row r="2642">
      <c r="A2642">
        <f>IF($Q2642="","",INDEX(상세표[부서],$Q2642)&amp;"")</f>
        <v/>
      </c>
      <c r="B2642">
        <f>IF($Q2642="","",INDEX(상세표[사번],$Q2642)&amp;"")</f>
        <v/>
      </c>
      <c r="C2642">
        <f>IF($Q2642="","",INDEX(상세표[성명],$Q2642)&amp;"")</f>
        <v/>
      </c>
      <c r="D2642">
        <f>IF($Q2642="","",INDEX(상세표[직위],$Q2642)&amp;"")</f>
        <v/>
      </c>
      <c r="E2642">
        <f>IF($Q2642="","",IF(ISNUMBER(INDEX(상세표[근무일자],$Q2642)),TEXT(INDEX(상세표[근무일자],$Q2642),"yyyy-mm-dd"),INDEX(상세표[근무일자],$Q2642)&amp;""))</f>
        <v/>
      </c>
      <c r="F2642">
        <f>IF($Q2642="","",IF(ISNUMBER(INDEX(상세표[시작],$Q2642)),TEXT(INDEX(상세표[시작],$Q2642),"yyyy-mm-dd hh:mm"),INDEX(상세표[시작],$Q2642)&amp;""))</f>
        <v/>
      </c>
      <c r="G2642">
        <f>IF($Q2642="","",IF(ISNUMBER(INDEX(상세표[블록종료],$Q2642)),TEXT(INDEX(상세표[블록종료],$Q2642),"yyyy-mm-dd hh:mm"),INDEX(상세표[블록종료],$Q2642)&amp;""))</f>
        <v/>
      </c>
      <c r="H2642">
        <f>IF($Q2642="","",CHOOSE(WEEKDAY(INDEX(상세표[시작],$Q2642)),"일","월","화","수","목","금","토"))</f>
        <v/>
      </c>
      <c r="I2642" s="20">
        <f>IF($Q2642="","",INDEX(상세표[연속 시간],$Q2642))</f>
        <v/>
      </c>
      <c r="J2642">
        <f>IF($Q2642="","",INDEX(상세표[기록 수],$Q2642))</f>
        <v/>
      </c>
      <c r="K2642" s="20">
        <f>IF($Q2642="","",INDEX(상세표[블록 06~07시],$Q2642))</f>
        <v/>
      </c>
      <c r="L2642" s="20">
        <f>IF($Q2642="","",INDEX(상세표[블록 07~18시],$Q2642))</f>
        <v/>
      </c>
      <c r="M2642" s="20">
        <f>IF($Q2642="","",INDEX(상세표[블록 18~22시],$Q2642))</f>
        <v/>
      </c>
      <c r="N2642" s="20">
        <f>IF($Q2642="","",INDEX(상세표[블록 22~06시],$Q2642))</f>
        <v/>
      </c>
      <c r="O2642">
        <f>IF($Q2642="","",INDEX(상세표[주말·휴일 포함],$Q2642)&amp;"")</f>
        <v/>
      </c>
      <c r="P2642">
        <f>IF($Q2642="","",INDEX(상세표[월 넘김 포함],$Q2642)&amp;"")</f>
        <v/>
      </c>
      <c r="Q2642" s="4">
        <f>IFERROR(MATCH(2637,상세표[연속순번],0),"")</f>
        <v/>
      </c>
    </row>
    <row r="2643">
      <c r="A2643">
        <f>IF($Q2643="","",INDEX(상세표[부서],$Q2643)&amp;"")</f>
        <v/>
      </c>
      <c r="B2643">
        <f>IF($Q2643="","",INDEX(상세표[사번],$Q2643)&amp;"")</f>
        <v/>
      </c>
      <c r="C2643">
        <f>IF($Q2643="","",INDEX(상세표[성명],$Q2643)&amp;"")</f>
        <v/>
      </c>
      <c r="D2643">
        <f>IF($Q2643="","",INDEX(상세표[직위],$Q2643)&amp;"")</f>
        <v/>
      </c>
      <c r="E2643">
        <f>IF($Q2643="","",IF(ISNUMBER(INDEX(상세표[근무일자],$Q2643)),TEXT(INDEX(상세표[근무일자],$Q2643),"yyyy-mm-dd"),INDEX(상세표[근무일자],$Q2643)&amp;""))</f>
        <v/>
      </c>
      <c r="F2643">
        <f>IF($Q2643="","",IF(ISNUMBER(INDEX(상세표[시작],$Q2643)),TEXT(INDEX(상세표[시작],$Q2643),"yyyy-mm-dd hh:mm"),INDEX(상세표[시작],$Q2643)&amp;""))</f>
        <v/>
      </c>
      <c r="G2643">
        <f>IF($Q2643="","",IF(ISNUMBER(INDEX(상세표[블록종료],$Q2643)),TEXT(INDEX(상세표[블록종료],$Q2643),"yyyy-mm-dd hh:mm"),INDEX(상세표[블록종료],$Q2643)&amp;""))</f>
        <v/>
      </c>
      <c r="H2643">
        <f>IF($Q2643="","",CHOOSE(WEEKDAY(INDEX(상세표[시작],$Q2643)),"일","월","화","수","목","금","토"))</f>
        <v/>
      </c>
      <c r="I2643" s="20">
        <f>IF($Q2643="","",INDEX(상세표[연속 시간],$Q2643))</f>
        <v/>
      </c>
      <c r="J2643">
        <f>IF($Q2643="","",INDEX(상세표[기록 수],$Q2643))</f>
        <v/>
      </c>
      <c r="K2643" s="20">
        <f>IF($Q2643="","",INDEX(상세표[블록 06~07시],$Q2643))</f>
        <v/>
      </c>
      <c r="L2643" s="20">
        <f>IF($Q2643="","",INDEX(상세표[블록 07~18시],$Q2643))</f>
        <v/>
      </c>
      <c r="M2643" s="20">
        <f>IF($Q2643="","",INDEX(상세표[블록 18~22시],$Q2643))</f>
        <v/>
      </c>
      <c r="N2643" s="20">
        <f>IF($Q2643="","",INDEX(상세표[블록 22~06시],$Q2643))</f>
        <v/>
      </c>
      <c r="O2643">
        <f>IF($Q2643="","",INDEX(상세표[주말·휴일 포함],$Q2643)&amp;"")</f>
        <v/>
      </c>
      <c r="P2643">
        <f>IF($Q2643="","",INDEX(상세표[월 넘김 포함],$Q2643)&amp;"")</f>
        <v/>
      </c>
      <c r="Q2643" s="4">
        <f>IFERROR(MATCH(2638,상세표[연속순번],0),"")</f>
        <v/>
      </c>
    </row>
    <row r="2644">
      <c r="A2644">
        <f>IF($Q2644="","",INDEX(상세표[부서],$Q2644)&amp;"")</f>
        <v/>
      </c>
      <c r="B2644">
        <f>IF($Q2644="","",INDEX(상세표[사번],$Q2644)&amp;"")</f>
        <v/>
      </c>
      <c r="C2644">
        <f>IF($Q2644="","",INDEX(상세표[성명],$Q2644)&amp;"")</f>
        <v/>
      </c>
      <c r="D2644">
        <f>IF($Q2644="","",INDEX(상세표[직위],$Q2644)&amp;"")</f>
        <v/>
      </c>
      <c r="E2644">
        <f>IF($Q2644="","",IF(ISNUMBER(INDEX(상세표[근무일자],$Q2644)),TEXT(INDEX(상세표[근무일자],$Q2644),"yyyy-mm-dd"),INDEX(상세표[근무일자],$Q2644)&amp;""))</f>
        <v/>
      </c>
      <c r="F2644">
        <f>IF($Q2644="","",IF(ISNUMBER(INDEX(상세표[시작],$Q2644)),TEXT(INDEX(상세표[시작],$Q2644),"yyyy-mm-dd hh:mm"),INDEX(상세표[시작],$Q2644)&amp;""))</f>
        <v/>
      </c>
      <c r="G2644">
        <f>IF($Q2644="","",IF(ISNUMBER(INDEX(상세표[블록종료],$Q2644)),TEXT(INDEX(상세표[블록종료],$Q2644),"yyyy-mm-dd hh:mm"),INDEX(상세표[블록종료],$Q2644)&amp;""))</f>
        <v/>
      </c>
      <c r="H2644">
        <f>IF($Q2644="","",CHOOSE(WEEKDAY(INDEX(상세표[시작],$Q2644)),"일","월","화","수","목","금","토"))</f>
        <v/>
      </c>
      <c r="I2644" s="20">
        <f>IF($Q2644="","",INDEX(상세표[연속 시간],$Q2644))</f>
        <v/>
      </c>
      <c r="J2644">
        <f>IF($Q2644="","",INDEX(상세표[기록 수],$Q2644))</f>
        <v/>
      </c>
      <c r="K2644" s="20">
        <f>IF($Q2644="","",INDEX(상세표[블록 06~07시],$Q2644))</f>
        <v/>
      </c>
      <c r="L2644" s="20">
        <f>IF($Q2644="","",INDEX(상세표[블록 07~18시],$Q2644))</f>
        <v/>
      </c>
      <c r="M2644" s="20">
        <f>IF($Q2644="","",INDEX(상세표[블록 18~22시],$Q2644))</f>
        <v/>
      </c>
      <c r="N2644" s="20">
        <f>IF($Q2644="","",INDEX(상세표[블록 22~06시],$Q2644))</f>
        <v/>
      </c>
      <c r="O2644">
        <f>IF($Q2644="","",INDEX(상세표[주말·휴일 포함],$Q2644)&amp;"")</f>
        <v/>
      </c>
      <c r="P2644">
        <f>IF($Q2644="","",INDEX(상세표[월 넘김 포함],$Q2644)&amp;"")</f>
        <v/>
      </c>
      <c r="Q2644" s="4">
        <f>IFERROR(MATCH(2639,상세표[연속순번],0),"")</f>
        <v/>
      </c>
    </row>
    <row r="2645">
      <c r="A2645">
        <f>IF($Q2645="","",INDEX(상세표[부서],$Q2645)&amp;"")</f>
        <v/>
      </c>
      <c r="B2645">
        <f>IF($Q2645="","",INDEX(상세표[사번],$Q2645)&amp;"")</f>
        <v/>
      </c>
      <c r="C2645">
        <f>IF($Q2645="","",INDEX(상세표[성명],$Q2645)&amp;"")</f>
        <v/>
      </c>
      <c r="D2645">
        <f>IF($Q2645="","",INDEX(상세표[직위],$Q2645)&amp;"")</f>
        <v/>
      </c>
      <c r="E2645">
        <f>IF($Q2645="","",IF(ISNUMBER(INDEX(상세표[근무일자],$Q2645)),TEXT(INDEX(상세표[근무일자],$Q2645),"yyyy-mm-dd"),INDEX(상세표[근무일자],$Q2645)&amp;""))</f>
        <v/>
      </c>
      <c r="F2645">
        <f>IF($Q2645="","",IF(ISNUMBER(INDEX(상세표[시작],$Q2645)),TEXT(INDEX(상세표[시작],$Q2645),"yyyy-mm-dd hh:mm"),INDEX(상세표[시작],$Q2645)&amp;""))</f>
        <v/>
      </c>
      <c r="G2645">
        <f>IF($Q2645="","",IF(ISNUMBER(INDEX(상세표[블록종료],$Q2645)),TEXT(INDEX(상세표[블록종료],$Q2645),"yyyy-mm-dd hh:mm"),INDEX(상세표[블록종료],$Q2645)&amp;""))</f>
        <v/>
      </c>
      <c r="H2645">
        <f>IF($Q2645="","",CHOOSE(WEEKDAY(INDEX(상세표[시작],$Q2645)),"일","월","화","수","목","금","토"))</f>
        <v/>
      </c>
      <c r="I2645" s="20">
        <f>IF($Q2645="","",INDEX(상세표[연속 시간],$Q2645))</f>
        <v/>
      </c>
      <c r="J2645">
        <f>IF($Q2645="","",INDEX(상세표[기록 수],$Q2645))</f>
        <v/>
      </c>
      <c r="K2645" s="20">
        <f>IF($Q2645="","",INDEX(상세표[블록 06~07시],$Q2645))</f>
        <v/>
      </c>
      <c r="L2645" s="20">
        <f>IF($Q2645="","",INDEX(상세표[블록 07~18시],$Q2645))</f>
        <v/>
      </c>
      <c r="M2645" s="20">
        <f>IF($Q2645="","",INDEX(상세표[블록 18~22시],$Q2645))</f>
        <v/>
      </c>
      <c r="N2645" s="20">
        <f>IF($Q2645="","",INDEX(상세표[블록 22~06시],$Q2645))</f>
        <v/>
      </c>
      <c r="O2645">
        <f>IF($Q2645="","",INDEX(상세표[주말·휴일 포함],$Q2645)&amp;"")</f>
        <v/>
      </c>
      <c r="P2645">
        <f>IF($Q2645="","",INDEX(상세표[월 넘김 포함],$Q2645)&amp;"")</f>
        <v/>
      </c>
      <c r="Q2645" s="4">
        <f>IFERROR(MATCH(2640,상세표[연속순번],0),"")</f>
        <v/>
      </c>
    </row>
    <row r="2646">
      <c r="A2646">
        <f>IF($Q2646="","",INDEX(상세표[부서],$Q2646)&amp;"")</f>
        <v/>
      </c>
      <c r="B2646">
        <f>IF($Q2646="","",INDEX(상세표[사번],$Q2646)&amp;"")</f>
        <v/>
      </c>
      <c r="C2646">
        <f>IF($Q2646="","",INDEX(상세표[성명],$Q2646)&amp;"")</f>
        <v/>
      </c>
      <c r="D2646">
        <f>IF($Q2646="","",INDEX(상세표[직위],$Q2646)&amp;"")</f>
        <v/>
      </c>
      <c r="E2646">
        <f>IF($Q2646="","",IF(ISNUMBER(INDEX(상세표[근무일자],$Q2646)),TEXT(INDEX(상세표[근무일자],$Q2646),"yyyy-mm-dd"),INDEX(상세표[근무일자],$Q2646)&amp;""))</f>
        <v/>
      </c>
      <c r="F2646">
        <f>IF($Q2646="","",IF(ISNUMBER(INDEX(상세표[시작],$Q2646)),TEXT(INDEX(상세표[시작],$Q2646),"yyyy-mm-dd hh:mm"),INDEX(상세표[시작],$Q2646)&amp;""))</f>
        <v/>
      </c>
      <c r="G2646">
        <f>IF($Q2646="","",IF(ISNUMBER(INDEX(상세표[블록종료],$Q2646)),TEXT(INDEX(상세표[블록종료],$Q2646),"yyyy-mm-dd hh:mm"),INDEX(상세표[블록종료],$Q2646)&amp;""))</f>
        <v/>
      </c>
      <c r="H2646">
        <f>IF($Q2646="","",CHOOSE(WEEKDAY(INDEX(상세표[시작],$Q2646)),"일","월","화","수","목","금","토"))</f>
        <v/>
      </c>
      <c r="I2646" s="20">
        <f>IF($Q2646="","",INDEX(상세표[연속 시간],$Q2646))</f>
        <v/>
      </c>
      <c r="J2646">
        <f>IF($Q2646="","",INDEX(상세표[기록 수],$Q2646))</f>
        <v/>
      </c>
      <c r="K2646" s="20">
        <f>IF($Q2646="","",INDEX(상세표[블록 06~07시],$Q2646))</f>
        <v/>
      </c>
      <c r="L2646" s="20">
        <f>IF($Q2646="","",INDEX(상세표[블록 07~18시],$Q2646))</f>
        <v/>
      </c>
      <c r="M2646" s="20">
        <f>IF($Q2646="","",INDEX(상세표[블록 18~22시],$Q2646))</f>
        <v/>
      </c>
      <c r="N2646" s="20">
        <f>IF($Q2646="","",INDEX(상세표[블록 22~06시],$Q2646))</f>
        <v/>
      </c>
      <c r="O2646">
        <f>IF($Q2646="","",INDEX(상세표[주말·휴일 포함],$Q2646)&amp;"")</f>
        <v/>
      </c>
      <c r="P2646">
        <f>IF($Q2646="","",INDEX(상세표[월 넘김 포함],$Q2646)&amp;"")</f>
        <v/>
      </c>
      <c r="Q2646" s="4">
        <f>IFERROR(MATCH(2641,상세표[연속순번],0),"")</f>
        <v/>
      </c>
    </row>
    <row r="2647">
      <c r="A2647">
        <f>IF($Q2647="","",INDEX(상세표[부서],$Q2647)&amp;"")</f>
        <v/>
      </c>
      <c r="B2647">
        <f>IF($Q2647="","",INDEX(상세표[사번],$Q2647)&amp;"")</f>
        <v/>
      </c>
      <c r="C2647">
        <f>IF($Q2647="","",INDEX(상세표[성명],$Q2647)&amp;"")</f>
        <v/>
      </c>
      <c r="D2647">
        <f>IF($Q2647="","",INDEX(상세표[직위],$Q2647)&amp;"")</f>
        <v/>
      </c>
      <c r="E2647">
        <f>IF($Q2647="","",IF(ISNUMBER(INDEX(상세표[근무일자],$Q2647)),TEXT(INDEX(상세표[근무일자],$Q2647),"yyyy-mm-dd"),INDEX(상세표[근무일자],$Q2647)&amp;""))</f>
        <v/>
      </c>
      <c r="F2647">
        <f>IF($Q2647="","",IF(ISNUMBER(INDEX(상세표[시작],$Q2647)),TEXT(INDEX(상세표[시작],$Q2647),"yyyy-mm-dd hh:mm"),INDEX(상세표[시작],$Q2647)&amp;""))</f>
        <v/>
      </c>
      <c r="G2647">
        <f>IF($Q2647="","",IF(ISNUMBER(INDEX(상세표[블록종료],$Q2647)),TEXT(INDEX(상세표[블록종료],$Q2647),"yyyy-mm-dd hh:mm"),INDEX(상세표[블록종료],$Q2647)&amp;""))</f>
        <v/>
      </c>
      <c r="H2647">
        <f>IF($Q2647="","",CHOOSE(WEEKDAY(INDEX(상세표[시작],$Q2647)),"일","월","화","수","목","금","토"))</f>
        <v/>
      </c>
      <c r="I2647" s="20">
        <f>IF($Q2647="","",INDEX(상세표[연속 시간],$Q2647))</f>
        <v/>
      </c>
      <c r="J2647">
        <f>IF($Q2647="","",INDEX(상세표[기록 수],$Q2647))</f>
        <v/>
      </c>
      <c r="K2647" s="20">
        <f>IF($Q2647="","",INDEX(상세표[블록 06~07시],$Q2647))</f>
        <v/>
      </c>
      <c r="L2647" s="20">
        <f>IF($Q2647="","",INDEX(상세표[블록 07~18시],$Q2647))</f>
        <v/>
      </c>
      <c r="M2647" s="20">
        <f>IF($Q2647="","",INDEX(상세표[블록 18~22시],$Q2647))</f>
        <v/>
      </c>
      <c r="N2647" s="20">
        <f>IF($Q2647="","",INDEX(상세표[블록 22~06시],$Q2647))</f>
        <v/>
      </c>
      <c r="O2647">
        <f>IF($Q2647="","",INDEX(상세표[주말·휴일 포함],$Q2647)&amp;"")</f>
        <v/>
      </c>
      <c r="P2647">
        <f>IF($Q2647="","",INDEX(상세표[월 넘김 포함],$Q2647)&amp;"")</f>
        <v/>
      </c>
      <c r="Q2647" s="4">
        <f>IFERROR(MATCH(2642,상세표[연속순번],0),"")</f>
        <v/>
      </c>
    </row>
    <row r="2648">
      <c r="A2648">
        <f>IF($Q2648="","",INDEX(상세표[부서],$Q2648)&amp;"")</f>
        <v/>
      </c>
      <c r="B2648">
        <f>IF($Q2648="","",INDEX(상세표[사번],$Q2648)&amp;"")</f>
        <v/>
      </c>
      <c r="C2648">
        <f>IF($Q2648="","",INDEX(상세표[성명],$Q2648)&amp;"")</f>
        <v/>
      </c>
      <c r="D2648">
        <f>IF($Q2648="","",INDEX(상세표[직위],$Q2648)&amp;"")</f>
        <v/>
      </c>
      <c r="E2648">
        <f>IF($Q2648="","",IF(ISNUMBER(INDEX(상세표[근무일자],$Q2648)),TEXT(INDEX(상세표[근무일자],$Q2648),"yyyy-mm-dd"),INDEX(상세표[근무일자],$Q2648)&amp;""))</f>
        <v/>
      </c>
      <c r="F2648">
        <f>IF($Q2648="","",IF(ISNUMBER(INDEX(상세표[시작],$Q2648)),TEXT(INDEX(상세표[시작],$Q2648),"yyyy-mm-dd hh:mm"),INDEX(상세표[시작],$Q2648)&amp;""))</f>
        <v/>
      </c>
      <c r="G2648">
        <f>IF($Q2648="","",IF(ISNUMBER(INDEX(상세표[블록종료],$Q2648)),TEXT(INDEX(상세표[블록종료],$Q2648),"yyyy-mm-dd hh:mm"),INDEX(상세표[블록종료],$Q2648)&amp;""))</f>
        <v/>
      </c>
      <c r="H2648">
        <f>IF($Q2648="","",CHOOSE(WEEKDAY(INDEX(상세표[시작],$Q2648)),"일","월","화","수","목","금","토"))</f>
        <v/>
      </c>
      <c r="I2648" s="20">
        <f>IF($Q2648="","",INDEX(상세표[연속 시간],$Q2648))</f>
        <v/>
      </c>
      <c r="J2648">
        <f>IF($Q2648="","",INDEX(상세표[기록 수],$Q2648))</f>
        <v/>
      </c>
      <c r="K2648" s="20">
        <f>IF($Q2648="","",INDEX(상세표[블록 06~07시],$Q2648))</f>
        <v/>
      </c>
      <c r="L2648" s="20">
        <f>IF($Q2648="","",INDEX(상세표[블록 07~18시],$Q2648))</f>
        <v/>
      </c>
      <c r="M2648" s="20">
        <f>IF($Q2648="","",INDEX(상세표[블록 18~22시],$Q2648))</f>
        <v/>
      </c>
      <c r="N2648" s="20">
        <f>IF($Q2648="","",INDEX(상세표[블록 22~06시],$Q2648))</f>
        <v/>
      </c>
      <c r="O2648">
        <f>IF($Q2648="","",INDEX(상세표[주말·휴일 포함],$Q2648)&amp;"")</f>
        <v/>
      </c>
      <c r="P2648">
        <f>IF($Q2648="","",INDEX(상세표[월 넘김 포함],$Q2648)&amp;"")</f>
        <v/>
      </c>
      <c r="Q2648" s="4">
        <f>IFERROR(MATCH(2643,상세표[연속순번],0),"")</f>
        <v/>
      </c>
    </row>
    <row r="2649">
      <c r="A2649">
        <f>IF($Q2649="","",INDEX(상세표[부서],$Q2649)&amp;"")</f>
        <v/>
      </c>
      <c r="B2649">
        <f>IF($Q2649="","",INDEX(상세표[사번],$Q2649)&amp;"")</f>
        <v/>
      </c>
      <c r="C2649">
        <f>IF($Q2649="","",INDEX(상세표[성명],$Q2649)&amp;"")</f>
        <v/>
      </c>
      <c r="D2649">
        <f>IF($Q2649="","",INDEX(상세표[직위],$Q2649)&amp;"")</f>
        <v/>
      </c>
      <c r="E2649">
        <f>IF($Q2649="","",IF(ISNUMBER(INDEX(상세표[근무일자],$Q2649)),TEXT(INDEX(상세표[근무일자],$Q2649),"yyyy-mm-dd"),INDEX(상세표[근무일자],$Q2649)&amp;""))</f>
        <v/>
      </c>
      <c r="F2649">
        <f>IF($Q2649="","",IF(ISNUMBER(INDEX(상세표[시작],$Q2649)),TEXT(INDEX(상세표[시작],$Q2649),"yyyy-mm-dd hh:mm"),INDEX(상세표[시작],$Q2649)&amp;""))</f>
        <v/>
      </c>
      <c r="G2649">
        <f>IF($Q2649="","",IF(ISNUMBER(INDEX(상세표[블록종료],$Q2649)),TEXT(INDEX(상세표[블록종료],$Q2649),"yyyy-mm-dd hh:mm"),INDEX(상세표[블록종료],$Q2649)&amp;""))</f>
        <v/>
      </c>
      <c r="H2649">
        <f>IF($Q2649="","",CHOOSE(WEEKDAY(INDEX(상세표[시작],$Q2649)),"일","월","화","수","목","금","토"))</f>
        <v/>
      </c>
      <c r="I2649" s="20">
        <f>IF($Q2649="","",INDEX(상세표[연속 시간],$Q2649))</f>
        <v/>
      </c>
      <c r="J2649">
        <f>IF($Q2649="","",INDEX(상세표[기록 수],$Q2649))</f>
        <v/>
      </c>
      <c r="K2649" s="20">
        <f>IF($Q2649="","",INDEX(상세표[블록 06~07시],$Q2649))</f>
        <v/>
      </c>
      <c r="L2649" s="20">
        <f>IF($Q2649="","",INDEX(상세표[블록 07~18시],$Q2649))</f>
        <v/>
      </c>
      <c r="M2649" s="20">
        <f>IF($Q2649="","",INDEX(상세표[블록 18~22시],$Q2649))</f>
        <v/>
      </c>
      <c r="N2649" s="20">
        <f>IF($Q2649="","",INDEX(상세표[블록 22~06시],$Q2649))</f>
        <v/>
      </c>
      <c r="O2649">
        <f>IF($Q2649="","",INDEX(상세표[주말·휴일 포함],$Q2649)&amp;"")</f>
        <v/>
      </c>
      <c r="P2649">
        <f>IF($Q2649="","",INDEX(상세표[월 넘김 포함],$Q2649)&amp;"")</f>
        <v/>
      </c>
      <c r="Q2649" s="4">
        <f>IFERROR(MATCH(2644,상세표[연속순번],0),"")</f>
        <v/>
      </c>
    </row>
    <row r="2650">
      <c r="A2650">
        <f>IF($Q2650="","",INDEX(상세표[부서],$Q2650)&amp;"")</f>
        <v/>
      </c>
      <c r="B2650">
        <f>IF($Q2650="","",INDEX(상세표[사번],$Q2650)&amp;"")</f>
        <v/>
      </c>
      <c r="C2650">
        <f>IF($Q2650="","",INDEX(상세표[성명],$Q2650)&amp;"")</f>
        <v/>
      </c>
      <c r="D2650">
        <f>IF($Q2650="","",INDEX(상세표[직위],$Q2650)&amp;"")</f>
        <v/>
      </c>
      <c r="E2650">
        <f>IF($Q2650="","",IF(ISNUMBER(INDEX(상세표[근무일자],$Q2650)),TEXT(INDEX(상세표[근무일자],$Q2650),"yyyy-mm-dd"),INDEX(상세표[근무일자],$Q2650)&amp;""))</f>
        <v/>
      </c>
      <c r="F2650">
        <f>IF($Q2650="","",IF(ISNUMBER(INDEX(상세표[시작],$Q2650)),TEXT(INDEX(상세표[시작],$Q2650),"yyyy-mm-dd hh:mm"),INDEX(상세표[시작],$Q2650)&amp;""))</f>
        <v/>
      </c>
      <c r="G2650">
        <f>IF($Q2650="","",IF(ISNUMBER(INDEX(상세표[블록종료],$Q2650)),TEXT(INDEX(상세표[블록종료],$Q2650),"yyyy-mm-dd hh:mm"),INDEX(상세표[블록종료],$Q2650)&amp;""))</f>
        <v/>
      </c>
      <c r="H2650">
        <f>IF($Q2650="","",CHOOSE(WEEKDAY(INDEX(상세표[시작],$Q2650)),"일","월","화","수","목","금","토"))</f>
        <v/>
      </c>
      <c r="I2650" s="20">
        <f>IF($Q2650="","",INDEX(상세표[연속 시간],$Q2650))</f>
        <v/>
      </c>
      <c r="J2650">
        <f>IF($Q2650="","",INDEX(상세표[기록 수],$Q2650))</f>
        <v/>
      </c>
      <c r="K2650" s="20">
        <f>IF($Q2650="","",INDEX(상세표[블록 06~07시],$Q2650))</f>
        <v/>
      </c>
      <c r="L2650" s="20">
        <f>IF($Q2650="","",INDEX(상세표[블록 07~18시],$Q2650))</f>
        <v/>
      </c>
      <c r="M2650" s="20">
        <f>IF($Q2650="","",INDEX(상세표[블록 18~22시],$Q2650))</f>
        <v/>
      </c>
      <c r="N2650" s="20">
        <f>IF($Q2650="","",INDEX(상세표[블록 22~06시],$Q2650))</f>
        <v/>
      </c>
      <c r="O2650">
        <f>IF($Q2650="","",INDEX(상세표[주말·휴일 포함],$Q2650)&amp;"")</f>
        <v/>
      </c>
      <c r="P2650">
        <f>IF($Q2650="","",INDEX(상세표[월 넘김 포함],$Q2650)&amp;"")</f>
        <v/>
      </c>
      <c r="Q2650" s="4">
        <f>IFERROR(MATCH(2645,상세표[연속순번],0),"")</f>
        <v/>
      </c>
    </row>
    <row r="2651">
      <c r="A2651">
        <f>IF($Q2651="","",INDEX(상세표[부서],$Q2651)&amp;"")</f>
        <v/>
      </c>
      <c r="B2651">
        <f>IF($Q2651="","",INDEX(상세표[사번],$Q2651)&amp;"")</f>
        <v/>
      </c>
      <c r="C2651">
        <f>IF($Q2651="","",INDEX(상세표[성명],$Q2651)&amp;"")</f>
        <v/>
      </c>
      <c r="D2651">
        <f>IF($Q2651="","",INDEX(상세표[직위],$Q2651)&amp;"")</f>
        <v/>
      </c>
      <c r="E2651">
        <f>IF($Q2651="","",IF(ISNUMBER(INDEX(상세표[근무일자],$Q2651)),TEXT(INDEX(상세표[근무일자],$Q2651),"yyyy-mm-dd"),INDEX(상세표[근무일자],$Q2651)&amp;""))</f>
        <v/>
      </c>
      <c r="F2651">
        <f>IF($Q2651="","",IF(ISNUMBER(INDEX(상세표[시작],$Q2651)),TEXT(INDEX(상세표[시작],$Q2651),"yyyy-mm-dd hh:mm"),INDEX(상세표[시작],$Q2651)&amp;""))</f>
        <v/>
      </c>
      <c r="G2651">
        <f>IF($Q2651="","",IF(ISNUMBER(INDEX(상세표[블록종료],$Q2651)),TEXT(INDEX(상세표[블록종료],$Q2651),"yyyy-mm-dd hh:mm"),INDEX(상세표[블록종료],$Q2651)&amp;""))</f>
        <v/>
      </c>
      <c r="H2651">
        <f>IF($Q2651="","",CHOOSE(WEEKDAY(INDEX(상세표[시작],$Q2651)),"일","월","화","수","목","금","토"))</f>
        <v/>
      </c>
      <c r="I2651" s="20">
        <f>IF($Q2651="","",INDEX(상세표[연속 시간],$Q2651))</f>
        <v/>
      </c>
      <c r="J2651">
        <f>IF($Q2651="","",INDEX(상세표[기록 수],$Q2651))</f>
        <v/>
      </c>
      <c r="K2651" s="20">
        <f>IF($Q2651="","",INDEX(상세표[블록 06~07시],$Q2651))</f>
        <v/>
      </c>
      <c r="L2651" s="20">
        <f>IF($Q2651="","",INDEX(상세표[블록 07~18시],$Q2651))</f>
        <v/>
      </c>
      <c r="M2651" s="20">
        <f>IF($Q2651="","",INDEX(상세표[블록 18~22시],$Q2651))</f>
        <v/>
      </c>
      <c r="N2651" s="20">
        <f>IF($Q2651="","",INDEX(상세표[블록 22~06시],$Q2651))</f>
        <v/>
      </c>
      <c r="O2651">
        <f>IF($Q2651="","",INDEX(상세표[주말·휴일 포함],$Q2651)&amp;"")</f>
        <v/>
      </c>
      <c r="P2651">
        <f>IF($Q2651="","",INDEX(상세표[월 넘김 포함],$Q2651)&amp;"")</f>
        <v/>
      </c>
      <c r="Q2651" s="4">
        <f>IFERROR(MATCH(2646,상세표[연속순번],0),"")</f>
        <v/>
      </c>
    </row>
    <row r="2652">
      <c r="A2652">
        <f>IF($Q2652="","",INDEX(상세표[부서],$Q2652)&amp;"")</f>
        <v/>
      </c>
      <c r="B2652">
        <f>IF($Q2652="","",INDEX(상세표[사번],$Q2652)&amp;"")</f>
        <v/>
      </c>
      <c r="C2652">
        <f>IF($Q2652="","",INDEX(상세표[성명],$Q2652)&amp;"")</f>
        <v/>
      </c>
      <c r="D2652">
        <f>IF($Q2652="","",INDEX(상세표[직위],$Q2652)&amp;"")</f>
        <v/>
      </c>
      <c r="E2652">
        <f>IF($Q2652="","",IF(ISNUMBER(INDEX(상세표[근무일자],$Q2652)),TEXT(INDEX(상세표[근무일자],$Q2652),"yyyy-mm-dd"),INDEX(상세표[근무일자],$Q2652)&amp;""))</f>
        <v/>
      </c>
      <c r="F2652">
        <f>IF($Q2652="","",IF(ISNUMBER(INDEX(상세표[시작],$Q2652)),TEXT(INDEX(상세표[시작],$Q2652),"yyyy-mm-dd hh:mm"),INDEX(상세표[시작],$Q2652)&amp;""))</f>
        <v/>
      </c>
      <c r="G2652">
        <f>IF($Q2652="","",IF(ISNUMBER(INDEX(상세표[블록종료],$Q2652)),TEXT(INDEX(상세표[블록종료],$Q2652),"yyyy-mm-dd hh:mm"),INDEX(상세표[블록종료],$Q2652)&amp;""))</f>
        <v/>
      </c>
      <c r="H2652">
        <f>IF($Q2652="","",CHOOSE(WEEKDAY(INDEX(상세표[시작],$Q2652)),"일","월","화","수","목","금","토"))</f>
        <v/>
      </c>
      <c r="I2652" s="20">
        <f>IF($Q2652="","",INDEX(상세표[연속 시간],$Q2652))</f>
        <v/>
      </c>
      <c r="J2652">
        <f>IF($Q2652="","",INDEX(상세표[기록 수],$Q2652))</f>
        <v/>
      </c>
      <c r="K2652" s="20">
        <f>IF($Q2652="","",INDEX(상세표[블록 06~07시],$Q2652))</f>
        <v/>
      </c>
      <c r="L2652" s="20">
        <f>IF($Q2652="","",INDEX(상세표[블록 07~18시],$Q2652))</f>
        <v/>
      </c>
      <c r="M2652" s="20">
        <f>IF($Q2652="","",INDEX(상세표[블록 18~22시],$Q2652))</f>
        <v/>
      </c>
      <c r="N2652" s="20">
        <f>IF($Q2652="","",INDEX(상세표[블록 22~06시],$Q2652))</f>
        <v/>
      </c>
      <c r="O2652">
        <f>IF($Q2652="","",INDEX(상세표[주말·휴일 포함],$Q2652)&amp;"")</f>
        <v/>
      </c>
      <c r="P2652">
        <f>IF($Q2652="","",INDEX(상세표[월 넘김 포함],$Q2652)&amp;"")</f>
        <v/>
      </c>
      <c r="Q2652" s="4">
        <f>IFERROR(MATCH(2647,상세표[연속순번],0),"")</f>
        <v/>
      </c>
    </row>
    <row r="2653">
      <c r="A2653">
        <f>IF($Q2653="","",INDEX(상세표[부서],$Q2653)&amp;"")</f>
        <v/>
      </c>
      <c r="B2653">
        <f>IF($Q2653="","",INDEX(상세표[사번],$Q2653)&amp;"")</f>
        <v/>
      </c>
      <c r="C2653">
        <f>IF($Q2653="","",INDEX(상세표[성명],$Q2653)&amp;"")</f>
        <v/>
      </c>
      <c r="D2653">
        <f>IF($Q2653="","",INDEX(상세표[직위],$Q2653)&amp;"")</f>
        <v/>
      </c>
      <c r="E2653">
        <f>IF($Q2653="","",IF(ISNUMBER(INDEX(상세표[근무일자],$Q2653)),TEXT(INDEX(상세표[근무일자],$Q2653),"yyyy-mm-dd"),INDEX(상세표[근무일자],$Q2653)&amp;""))</f>
        <v/>
      </c>
      <c r="F2653">
        <f>IF($Q2653="","",IF(ISNUMBER(INDEX(상세표[시작],$Q2653)),TEXT(INDEX(상세표[시작],$Q2653),"yyyy-mm-dd hh:mm"),INDEX(상세표[시작],$Q2653)&amp;""))</f>
        <v/>
      </c>
      <c r="G2653">
        <f>IF($Q2653="","",IF(ISNUMBER(INDEX(상세표[블록종료],$Q2653)),TEXT(INDEX(상세표[블록종료],$Q2653),"yyyy-mm-dd hh:mm"),INDEX(상세표[블록종료],$Q2653)&amp;""))</f>
        <v/>
      </c>
      <c r="H2653">
        <f>IF($Q2653="","",CHOOSE(WEEKDAY(INDEX(상세표[시작],$Q2653)),"일","월","화","수","목","금","토"))</f>
        <v/>
      </c>
      <c r="I2653" s="20">
        <f>IF($Q2653="","",INDEX(상세표[연속 시간],$Q2653))</f>
        <v/>
      </c>
      <c r="J2653">
        <f>IF($Q2653="","",INDEX(상세표[기록 수],$Q2653))</f>
        <v/>
      </c>
      <c r="K2653" s="20">
        <f>IF($Q2653="","",INDEX(상세표[블록 06~07시],$Q2653))</f>
        <v/>
      </c>
      <c r="L2653" s="20">
        <f>IF($Q2653="","",INDEX(상세표[블록 07~18시],$Q2653))</f>
        <v/>
      </c>
      <c r="M2653" s="20">
        <f>IF($Q2653="","",INDEX(상세표[블록 18~22시],$Q2653))</f>
        <v/>
      </c>
      <c r="N2653" s="20">
        <f>IF($Q2653="","",INDEX(상세표[블록 22~06시],$Q2653))</f>
        <v/>
      </c>
      <c r="O2653">
        <f>IF($Q2653="","",INDEX(상세표[주말·휴일 포함],$Q2653)&amp;"")</f>
        <v/>
      </c>
      <c r="P2653">
        <f>IF($Q2653="","",INDEX(상세표[월 넘김 포함],$Q2653)&amp;"")</f>
        <v/>
      </c>
      <c r="Q2653" s="4">
        <f>IFERROR(MATCH(2648,상세표[연속순번],0),"")</f>
        <v/>
      </c>
    </row>
    <row r="2654">
      <c r="A2654">
        <f>IF($Q2654="","",INDEX(상세표[부서],$Q2654)&amp;"")</f>
        <v/>
      </c>
      <c r="B2654">
        <f>IF($Q2654="","",INDEX(상세표[사번],$Q2654)&amp;"")</f>
        <v/>
      </c>
      <c r="C2654">
        <f>IF($Q2654="","",INDEX(상세표[성명],$Q2654)&amp;"")</f>
        <v/>
      </c>
      <c r="D2654">
        <f>IF($Q2654="","",INDEX(상세표[직위],$Q2654)&amp;"")</f>
        <v/>
      </c>
      <c r="E2654">
        <f>IF($Q2654="","",IF(ISNUMBER(INDEX(상세표[근무일자],$Q2654)),TEXT(INDEX(상세표[근무일자],$Q2654),"yyyy-mm-dd"),INDEX(상세표[근무일자],$Q2654)&amp;""))</f>
        <v/>
      </c>
      <c r="F2654">
        <f>IF($Q2654="","",IF(ISNUMBER(INDEX(상세표[시작],$Q2654)),TEXT(INDEX(상세표[시작],$Q2654),"yyyy-mm-dd hh:mm"),INDEX(상세표[시작],$Q2654)&amp;""))</f>
        <v/>
      </c>
      <c r="G2654">
        <f>IF($Q2654="","",IF(ISNUMBER(INDEX(상세표[블록종료],$Q2654)),TEXT(INDEX(상세표[블록종료],$Q2654),"yyyy-mm-dd hh:mm"),INDEX(상세표[블록종료],$Q2654)&amp;""))</f>
        <v/>
      </c>
      <c r="H2654">
        <f>IF($Q2654="","",CHOOSE(WEEKDAY(INDEX(상세표[시작],$Q2654)),"일","월","화","수","목","금","토"))</f>
        <v/>
      </c>
      <c r="I2654" s="20">
        <f>IF($Q2654="","",INDEX(상세표[연속 시간],$Q2654))</f>
        <v/>
      </c>
      <c r="J2654">
        <f>IF($Q2654="","",INDEX(상세표[기록 수],$Q2654))</f>
        <v/>
      </c>
      <c r="K2654" s="20">
        <f>IF($Q2654="","",INDEX(상세표[블록 06~07시],$Q2654))</f>
        <v/>
      </c>
      <c r="L2654" s="20">
        <f>IF($Q2654="","",INDEX(상세표[블록 07~18시],$Q2654))</f>
        <v/>
      </c>
      <c r="M2654" s="20">
        <f>IF($Q2654="","",INDEX(상세표[블록 18~22시],$Q2654))</f>
        <v/>
      </c>
      <c r="N2654" s="20">
        <f>IF($Q2654="","",INDEX(상세표[블록 22~06시],$Q2654))</f>
        <v/>
      </c>
      <c r="O2654">
        <f>IF($Q2654="","",INDEX(상세표[주말·휴일 포함],$Q2654)&amp;"")</f>
        <v/>
      </c>
      <c r="P2654">
        <f>IF($Q2654="","",INDEX(상세표[월 넘김 포함],$Q2654)&amp;"")</f>
        <v/>
      </c>
      <c r="Q2654" s="4">
        <f>IFERROR(MATCH(2649,상세표[연속순번],0),"")</f>
        <v/>
      </c>
    </row>
    <row r="2655">
      <c r="A2655">
        <f>IF($Q2655="","",INDEX(상세표[부서],$Q2655)&amp;"")</f>
        <v/>
      </c>
      <c r="B2655">
        <f>IF($Q2655="","",INDEX(상세표[사번],$Q2655)&amp;"")</f>
        <v/>
      </c>
      <c r="C2655">
        <f>IF($Q2655="","",INDEX(상세표[성명],$Q2655)&amp;"")</f>
        <v/>
      </c>
      <c r="D2655">
        <f>IF($Q2655="","",INDEX(상세표[직위],$Q2655)&amp;"")</f>
        <v/>
      </c>
      <c r="E2655">
        <f>IF($Q2655="","",IF(ISNUMBER(INDEX(상세표[근무일자],$Q2655)),TEXT(INDEX(상세표[근무일자],$Q2655),"yyyy-mm-dd"),INDEX(상세표[근무일자],$Q2655)&amp;""))</f>
        <v/>
      </c>
      <c r="F2655">
        <f>IF($Q2655="","",IF(ISNUMBER(INDEX(상세표[시작],$Q2655)),TEXT(INDEX(상세표[시작],$Q2655),"yyyy-mm-dd hh:mm"),INDEX(상세표[시작],$Q2655)&amp;""))</f>
        <v/>
      </c>
      <c r="G2655">
        <f>IF($Q2655="","",IF(ISNUMBER(INDEX(상세표[블록종료],$Q2655)),TEXT(INDEX(상세표[블록종료],$Q2655),"yyyy-mm-dd hh:mm"),INDEX(상세표[블록종료],$Q2655)&amp;""))</f>
        <v/>
      </c>
      <c r="H2655">
        <f>IF($Q2655="","",CHOOSE(WEEKDAY(INDEX(상세표[시작],$Q2655)),"일","월","화","수","목","금","토"))</f>
        <v/>
      </c>
      <c r="I2655" s="20">
        <f>IF($Q2655="","",INDEX(상세표[연속 시간],$Q2655))</f>
        <v/>
      </c>
      <c r="J2655">
        <f>IF($Q2655="","",INDEX(상세표[기록 수],$Q2655))</f>
        <v/>
      </c>
      <c r="K2655" s="20">
        <f>IF($Q2655="","",INDEX(상세표[블록 06~07시],$Q2655))</f>
        <v/>
      </c>
      <c r="L2655" s="20">
        <f>IF($Q2655="","",INDEX(상세표[블록 07~18시],$Q2655))</f>
        <v/>
      </c>
      <c r="M2655" s="20">
        <f>IF($Q2655="","",INDEX(상세표[블록 18~22시],$Q2655))</f>
        <v/>
      </c>
      <c r="N2655" s="20">
        <f>IF($Q2655="","",INDEX(상세표[블록 22~06시],$Q2655))</f>
        <v/>
      </c>
      <c r="O2655">
        <f>IF($Q2655="","",INDEX(상세표[주말·휴일 포함],$Q2655)&amp;"")</f>
        <v/>
      </c>
      <c r="P2655">
        <f>IF($Q2655="","",INDEX(상세표[월 넘김 포함],$Q2655)&amp;"")</f>
        <v/>
      </c>
      <c r="Q2655" s="4">
        <f>IFERROR(MATCH(2650,상세표[연속순번],0),"")</f>
        <v/>
      </c>
    </row>
    <row r="2656">
      <c r="A2656">
        <f>IF($Q2656="","",INDEX(상세표[부서],$Q2656)&amp;"")</f>
        <v/>
      </c>
      <c r="B2656">
        <f>IF($Q2656="","",INDEX(상세표[사번],$Q2656)&amp;"")</f>
        <v/>
      </c>
      <c r="C2656">
        <f>IF($Q2656="","",INDEX(상세표[성명],$Q2656)&amp;"")</f>
        <v/>
      </c>
      <c r="D2656">
        <f>IF($Q2656="","",INDEX(상세표[직위],$Q2656)&amp;"")</f>
        <v/>
      </c>
      <c r="E2656">
        <f>IF($Q2656="","",IF(ISNUMBER(INDEX(상세표[근무일자],$Q2656)),TEXT(INDEX(상세표[근무일자],$Q2656),"yyyy-mm-dd"),INDEX(상세표[근무일자],$Q2656)&amp;""))</f>
        <v/>
      </c>
      <c r="F2656">
        <f>IF($Q2656="","",IF(ISNUMBER(INDEX(상세표[시작],$Q2656)),TEXT(INDEX(상세표[시작],$Q2656),"yyyy-mm-dd hh:mm"),INDEX(상세표[시작],$Q2656)&amp;""))</f>
        <v/>
      </c>
      <c r="G2656">
        <f>IF($Q2656="","",IF(ISNUMBER(INDEX(상세표[블록종료],$Q2656)),TEXT(INDEX(상세표[블록종료],$Q2656),"yyyy-mm-dd hh:mm"),INDEX(상세표[블록종료],$Q2656)&amp;""))</f>
        <v/>
      </c>
      <c r="H2656">
        <f>IF($Q2656="","",CHOOSE(WEEKDAY(INDEX(상세표[시작],$Q2656)),"일","월","화","수","목","금","토"))</f>
        <v/>
      </c>
      <c r="I2656" s="20">
        <f>IF($Q2656="","",INDEX(상세표[연속 시간],$Q2656))</f>
        <v/>
      </c>
      <c r="J2656">
        <f>IF($Q2656="","",INDEX(상세표[기록 수],$Q2656))</f>
        <v/>
      </c>
      <c r="K2656" s="20">
        <f>IF($Q2656="","",INDEX(상세표[블록 06~07시],$Q2656))</f>
        <v/>
      </c>
      <c r="L2656" s="20">
        <f>IF($Q2656="","",INDEX(상세표[블록 07~18시],$Q2656))</f>
        <v/>
      </c>
      <c r="M2656" s="20">
        <f>IF($Q2656="","",INDEX(상세표[블록 18~22시],$Q2656))</f>
        <v/>
      </c>
      <c r="N2656" s="20">
        <f>IF($Q2656="","",INDEX(상세표[블록 22~06시],$Q2656))</f>
        <v/>
      </c>
      <c r="O2656">
        <f>IF($Q2656="","",INDEX(상세표[주말·휴일 포함],$Q2656)&amp;"")</f>
        <v/>
      </c>
      <c r="P2656">
        <f>IF($Q2656="","",INDEX(상세표[월 넘김 포함],$Q2656)&amp;"")</f>
        <v/>
      </c>
      <c r="Q2656" s="4">
        <f>IFERROR(MATCH(2651,상세표[연속순번],0),"")</f>
        <v/>
      </c>
    </row>
    <row r="2657">
      <c r="A2657">
        <f>IF($Q2657="","",INDEX(상세표[부서],$Q2657)&amp;"")</f>
        <v/>
      </c>
      <c r="B2657">
        <f>IF($Q2657="","",INDEX(상세표[사번],$Q2657)&amp;"")</f>
        <v/>
      </c>
      <c r="C2657">
        <f>IF($Q2657="","",INDEX(상세표[성명],$Q2657)&amp;"")</f>
        <v/>
      </c>
      <c r="D2657">
        <f>IF($Q2657="","",INDEX(상세표[직위],$Q2657)&amp;"")</f>
        <v/>
      </c>
      <c r="E2657">
        <f>IF($Q2657="","",IF(ISNUMBER(INDEX(상세표[근무일자],$Q2657)),TEXT(INDEX(상세표[근무일자],$Q2657),"yyyy-mm-dd"),INDEX(상세표[근무일자],$Q2657)&amp;""))</f>
        <v/>
      </c>
      <c r="F2657">
        <f>IF($Q2657="","",IF(ISNUMBER(INDEX(상세표[시작],$Q2657)),TEXT(INDEX(상세표[시작],$Q2657),"yyyy-mm-dd hh:mm"),INDEX(상세표[시작],$Q2657)&amp;""))</f>
        <v/>
      </c>
      <c r="G2657">
        <f>IF($Q2657="","",IF(ISNUMBER(INDEX(상세표[블록종료],$Q2657)),TEXT(INDEX(상세표[블록종료],$Q2657),"yyyy-mm-dd hh:mm"),INDEX(상세표[블록종료],$Q2657)&amp;""))</f>
        <v/>
      </c>
      <c r="H2657">
        <f>IF($Q2657="","",CHOOSE(WEEKDAY(INDEX(상세표[시작],$Q2657)),"일","월","화","수","목","금","토"))</f>
        <v/>
      </c>
      <c r="I2657" s="20">
        <f>IF($Q2657="","",INDEX(상세표[연속 시간],$Q2657))</f>
        <v/>
      </c>
      <c r="J2657">
        <f>IF($Q2657="","",INDEX(상세표[기록 수],$Q2657))</f>
        <v/>
      </c>
      <c r="K2657" s="20">
        <f>IF($Q2657="","",INDEX(상세표[블록 06~07시],$Q2657))</f>
        <v/>
      </c>
      <c r="L2657" s="20">
        <f>IF($Q2657="","",INDEX(상세표[블록 07~18시],$Q2657))</f>
        <v/>
      </c>
      <c r="M2657" s="20">
        <f>IF($Q2657="","",INDEX(상세표[블록 18~22시],$Q2657))</f>
        <v/>
      </c>
      <c r="N2657" s="20">
        <f>IF($Q2657="","",INDEX(상세표[블록 22~06시],$Q2657))</f>
        <v/>
      </c>
      <c r="O2657">
        <f>IF($Q2657="","",INDEX(상세표[주말·휴일 포함],$Q2657)&amp;"")</f>
        <v/>
      </c>
      <c r="P2657">
        <f>IF($Q2657="","",INDEX(상세표[월 넘김 포함],$Q2657)&amp;"")</f>
        <v/>
      </c>
      <c r="Q2657" s="4">
        <f>IFERROR(MATCH(2652,상세표[연속순번],0),"")</f>
        <v/>
      </c>
    </row>
    <row r="2658">
      <c r="A2658">
        <f>IF($Q2658="","",INDEX(상세표[부서],$Q2658)&amp;"")</f>
        <v/>
      </c>
      <c r="B2658">
        <f>IF($Q2658="","",INDEX(상세표[사번],$Q2658)&amp;"")</f>
        <v/>
      </c>
      <c r="C2658">
        <f>IF($Q2658="","",INDEX(상세표[성명],$Q2658)&amp;"")</f>
        <v/>
      </c>
      <c r="D2658">
        <f>IF($Q2658="","",INDEX(상세표[직위],$Q2658)&amp;"")</f>
        <v/>
      </c>
      <c r="E2658">
        <f>IF($Q2658="","",IF(ISNUMBER(INDEX(상세표[근무일자],$Q2658)),TEXT(INDEX(상세표[근무일자],$Q2658),"yyyy-mm-dd"),INDEX(상세표[근무일자],$Q2658)&amp;""))</f>
        <v/>
      </c>
      <c r="F2658">
        <f>IF($Q2658="","",IF(ISNUMBER(INDEX(상세표[시작],$Q2658)),TEXT(INDEX(상세표[시작],$Q2658),"yyyy-mm-dd hh:mm"),INDEX(상세표[시작],$Q2658)&amp;""))</f>
        <v/>
      </c>
      <c r="G2658">
        <f>IF($Q2658="","",IF(ISNUMBER(INDEX(상세표[블록종료],$Q2658)),TEXT(INDEX(상세표[블록종료],$Q2658),"yyyy-mm-dd hh:mm"),INDEX(상세표[블록종료],$Q2658)&amp;""))</f>
        <v/>
      </c>
      <c r="H2658">
        <f>IF($Q2658="","",CHOOSE(WEEKDAY(INDEX(상세표[시작],$Q2658)),"일","월","화","수","목","금","토"))</f>
        <v/>
      </c>
      <c r="I2658" s="20">
        <f>IF($Q2658="","",INDEX(상세표[연속 시간],$Q2658))</f>
        <v/>
      </c>
      <c r="J2658">
        <f>IF($Q2658="","",INDEX(상세표[기록 수],$Q2658))</f>
        <v/>
      </c>
      <c r="K2658" s="20">
        <f>IF($Q2658="","",INDEX(상세표[블록 06~07시],$Q2658))</f>
        <v/>
      </c>
      <c r="L2658" s="20">
        <f>IF($Q2658="","",INDEX(상세표[블록 07~18시],$Q2658))</f>
        <v/>
      </c>
      <c r="M2658" s="20">
        <f>IF($Q2658="","",INDEX(상세표[블록 18~22시],$Q2658))</f>
        <v/>
      </c>
      <c r="N2658" s="20">
        <f>IF($Q2658="","",INDEX(상세표[블록 22~06시],$Q2658))</f>
        <v/>
      </c>
      <c r="O2658">
        <f>IF($Q2658="","",INDEX(상세표[주말·휴일 포함],$Q2658)&amp;"")</f>
        <v/>
      </c>
      <c r="P2658">
        <f>IF($Q2658="","",INDEX(상세표[월 넘김 포함],$Q2658)&amp;"")</f>
        <v/>
      </c>
      <c r="Q2658" s="4">
        <f>IFERROR(MATCH(2653,상세표[연속순번],0),"")</f>
        <v/>
      </c>
    </row>
    <row r="2659">
      <c r="A2659">
        <f>IF($Q2659="","",INDEX(상세표[부서],$Q2659)&amp;"")</f>
        <v/>
      </c>
      <c r="B2659">
        <f>IF($Q2659="","",INDEX(상세표[사번],$Q2659)&amp;"")</f>
        <v/>
      </c>
      <c r="C2659">
        <f>IF($Q2659="","",INDEX(상세표[성명],$Q2659)&amp;"")</f>
        <v/>
      </c>
      <c r="D2659">
        <f>IF($Q2659="","",INDEX(상세표[직위],$Q2659)&amp;"")</f>
        <v/>
      </c>
      <c r="E2659">
        <f>IF($Q2659="","",IF(ISNUMBER(INDEX(상세표[근무일자],$Q2659)),TEXT(INDEX(상세표[근무일자],$Q2659),"yyyy-mm-dd"),INDEX(상세표[근무일자],$Q2659)&amp;""))</f>
        <v/>
      </c>
      <c r="F2659">
        <f>IF($Q2659="","",IF(ISNUMBER(INDEX(상세표[시작],$Q2659)),TEXT(INDEX(상세표[시작],$Q2659),"yyyy-mm-dd hh:mm"),INDEX(상세표[시작],$Q2659)&amp;""))</f>
        <v/>
      </c>
      <c r="G2659">
        <f>IF($Q2659="","",IF(ISNUMBER(INDEX(상세표[블록종료],$Q2659)),TEXT(INDEX(상세표[블록종료],$Q2659),"yyyy-mm-dd hh:mm"),INDEX(상세표[블록종료],$Q2659)&amp;""))</f>
        <v/>
      </c>
      <c r="H2659">
        <f>IF($Q2659="","",CHOOSE(WEEKDAY(INDEX(상세표[시작],$Q2659)),"일","월","화","수","목","금","토"))</f>
        <v/>
      </c>
      <c r="I2659" s="20">
        <f>IF($Q2659="","",INDEX(상세표[연속 시간],$Q2659))</f>
        <v/>
      </c>
      <c r="J2659">
        <f>IF($Q2659="","",INDEX(상세표[기록 수],$Q2659))</f>
        <v/>
      </c>
      <c r="K2659" s="20">
        <f>IF($Q2659="","",INDEX(상세표[블록 06~07시],$Q2659))</f>
        <v/>
      </c>
      <c r="L2659" s="20">
        <f>IF($Q2659="","",INDEX(상세표[블록 07~18시],$Q2659))</f>
        <v/>
      </c>
      <c r="M2659" s="20">
        <f>IF($Q2659="","",INDEX(상세표[블록 18~22시],$Q2659))</f>
        <v/>
      </c>
      <c r="N2659" s="20">
        <f>IF($Q2659="","",INDEX(상세표[블록 22~06시],$Q2659))</f>
        <v/>
      </c>
      <c r="O2659">
        <f>IF($Q2659="","",INDEX(상세표[주말·휴일 포함],$Q2659)&amp;"")</f>
        <v/>
      </c>
      <c r="P2659">
        <f>IF($Q2659="","",INDEX(상세표[월 넘김 포함],$Q2659)&amp;"")</f>
        <v/>
      </c>
      <c r="Q2659" s="4">
        <f>IFERROR(MATCH(2654,상세표[연속순번],0),"")</f>
        <v/>
      </c>
    </row>
    <row r="2660">
      <c r="A2660">
        <f>IF($Q2660="","",INDEX(상세표[부서],$Q2660)&amp;"")</f>
        <v/>
      </c>
      <c r="B2660">
        <f>IF($Q2660="","",INDEX(상세표[사번],$Q2660)&amp;"")</f>
        <v/>
      </c>
      <c r="C2660">
        <f>IF($Q2660="","",INDEX(상세표[성명],$Q2660)&amp;"")</f>
        <v/>
      </c>
      <c r="D2660">
        <f>IF($Q2660="","",INDEX(상세표[직위],$Q2660)&amp;"")</f>
        <v/>
      </c>
      <c r="E2660">
        <f>IF($Q2660="","",IF(ISNUMBER(INDEX(상세표[근무일자],$Q2660)),TEXT(INDEX(상세표[근무일자],$Q2660),"yyyy-mm-dd"),INDEX(상세표[근무일자],$Q2660)&amp;""))</f>
        <v/>
      </c>
      <c r="F2660">
        <f>IF($Q2660="","",IF(ISNUMBER(INDEX(상세표[시작],$Q2660)),TEXT(INDEX(상세표[시작],$Q2660),"yyyy-mm-dd hh:mm"),INDEX(상세표[시작],$Q2660)&amp;""))</f>
        <v/>
      </c>
      <c r="G2660">
        <f>IF($Q2660="","",IF(ISNUMBER(INDEX(상세표[블록종료],$Q2660)),TEXT(INDEX(상세표[블록종료],$Q2660),"yyyy-mm-dd hh:mm"),INDEX(상세표[블록종료],$Q2660)&amp;""))</f>
        <v/>
      </c>
      <c r="H2660">
        <f>IF($Q2660="","",CHOOSE(WEEKDAY(INDEX(상세표[시작],$Q2660)),"일","월","화","수","목","금","토"))</f>
        <v/>
      </c>
      <c r="I2660" s="20">
        <f>IF($Q2660="","",INDEX(상세표[연속 시간],$Q2660))</f>
        <v/>
      </c>
      <c r="J2660">
        <f>IF($Q2660="","",INDEX(상세표[기록 수],$Q2660))</f>
        <v/>
      </c>
      <c r="K2660" s="20">
        <f>IF($Q2660="","",INDEX(상세표[블록 06~07시],$Q2660))</f>
        <v/>
      </c>
      <c r="L2660" s="20">
        <f>IF($Q2660="","",INDEX(상세표[블록 07~18시],$Q2660))</f>
        <v/>
      </c>
      <c r="M2660" s="20">
        <f>IF($Q2660="","",INDEX(상세표[블록 18~22시],$Q2660))</f>
        <v/>
      </c>
      <c r="N2660" s="20">
        <f>IF($Q2660="","",INDEX(상세표[블록 22~06시],$Q2660))</f>
        <v/>
      </c>
      <c r="O2660">
        <f>IF($Q2660="","",INDEX(상세표[주말·휴일 포함],$Q2660)&amp;"")</f>
        <v/>
      </c>
      <c r="P2660">
        <f>IF($Q2660="","",INDEX(상세표[월 넘김 포함],$Q2660)&amp;"")</f>
        <v/>
      </c>
      <c r="Q2660" s="4">
        <f>IFERROR(MATCH(2655,상세표[연속순번],0),"")</f>
        <v/>
      </c>
    </row>
    <row r="2661">
      <c r="A2661">
        <f>IF($Q2661="","",INDEX(상세표[부서],$Q2661)&amp;"")</f>
        <v/>
      </c>
      <c r="B2661">
        <f>IF($Q2661="","",INDEX(상세표[사번],$Q2661)&amp;"")</f>
        <v/>
      </c>
      <c r="C2661">
        <f>IF($Q2661="","",INDEX(상세표[성명],$Q2661)&amp;"")</f>
        <v/>
      </c>
      <c r="D2661">
        <f>IF($Q2661="","",INDEX(상세표[직위],$Q2661)&amp;"")</f>
        <v/>
      </c>
      <c r="E2661">
        <f>IF($Q2661="","",IF(ISNUMBER(INDEX(상세표[근무일자],$Q2661)),TEXT(INDEX(상세표[근무일자],$Q2661),"yyyy-mm-dd"),INDEX(상세표[근무일자],$Q2661)&amp;""))</f>
        <v/>
      </c>
      <c r="F2661">
        <f>IF($Q2661="","",IF(ISNUMBER(INDEX(상세표[시작],$Q2661)),TEXT(INDEX(상세표[시작],$Q2661),"yyyy-mm-dd hh:mm"),INDEX(상세표[시작],$Q2661)&amp;""))</f>
        <v/>
      </c>
      <c r="G2661">
        <f>IF($Q2661="","",IF(ISNUMBER(INDEX(상세표[블록종료],$Q2661)),TEXT(INDEX(상세표[블록종료],$Q2661),"yyyy-mm-dd hh:mm"),INDEX(상세표[블록종료],$Q2661)&amp;""))</f>
        <v/>
      </c>
      <c r="H2661">
        <f>IF($Q2661="","",CHOOSE(WEEKDAY(INDEX(상세표[시작],$Q2661)),"일","월","화","수","목","금","토"))</f>
        <v/>
      </c>
      <c r="I2661" s="20">
        <f>IF($Q2661="","",INDEX(상세표[연속 시간],$Q2661))</f>
        <v/>
      </c>
      <c r="J2661">
        <f>IF($Q2661="","",INDEX(상세표[기록 수],$Q2661))</f>
        <v/>
      </c>
      <c r="K2661" s="20">
        <f>IF($Q2661="","",INDEX(상세표[블록 06~07시],$Q2661))</f>
        <v/>
      </c>
      <c r="L2661" s="20">
        <f>IF($Q2661="","",INDEX(상세표[블록 07~18시],$Q2661))</f>
        <v/>
      </c>
      <c r="M2661" s="20">
        <f>IF($Q2661="","",INDEX(상세표[블록 18~22시],$Q2661))</f>
        <v/>
      </c>
      <c r="N2661" s="20">
        <f>IF($Q2661="","",INDEX(상세표[블록 22~06시],$Q2661))</f>
        <v/>
      </c>
      <c r="O2661">
        <f>IF($Q2661="","",INDEX(상세표[주말·휴일 포함],$Q2661)&amp;"")</f>
        <v/>
      </c>
      <c r="P2661">
        <f>IF($Q2661="","",INDEX(상세표[월 넘김 포함],$Q2661)&amp;"")</f>
        <v/>
      </c>
      <c r="Q2661" s="4">
        <f>IFERROR(MATCH(2656,상세표[연속순번],0),"")</f>
        <v/>
      </c>
    </row>
    <row r="2662">
      <c r="A2662">
        <f>IF($Q2662="","",INDEX(상세표[부서],$Q2662)&amp;"")</f>
        <v/>
      </c>
      <c r="B2662">
        <f>IF($Q2662="","",INDEX(상세표[사번],$Q2662)&amp;"")</f>
        <v/>
      </c>
      <c r="C2662">
        <f>IF($Q2662="","",INDEX(상세표[성명],$Q2662)&amp;"")</f>
        <v/>
      </c>
      <c r="D2662">
        <f>IF($Q2662="","",INDEX(상세표[직위],$Q2662)&amp;"")</f>
        <v/>
      </c>
      <c r="E2662">
        <f>IF($Q2662="","",IF(ISNUMBER(INDEX(상세표[근무일자],$Q2662)),TEXT(INDEX(상세표[근무일자],$Q2662),"yyyy-mm-dd"),INDEX(상세표[근무일자],$Q2662)&amp;""))</f>
        <v/>
      </c>
      <c r="F2662">
        <f>IF($Q2662="","",IF(ISNUMBER(INDEX(상세표[시작],$Q2662)),TEXT(INDEX(상세표[시작],$Q2662),"yyyy-mm-dd hh:mm"),INDEX(상세표[시작],$Q2662)&amp;""))</f>
        <v/>
      </c>
      <c r="G2662">
        <f>IF($Q2662="","",IF(ISNUMBER(INDEX(상세표[블록종료],$Q2662)),TEXT(INDEX(상세표[블록종료],$Q2662),"yyyy-mm-dd hh:mm"),INDEX(상세표[블록종료],$Q2662)&amp;""))</f>
        <v/>
      </c>
      <c r="H2662">
        <f>IF($Q2662="","",CHOOSE(WEEKDAY(INDEX(상세표[시작],$Q2662)),"일","월","화","수","목","금","토"))</f>
        <v/>
      </c>
      <c r="I2662" s="20">
        <f>IF($Q2662="","",INDEX(상세표[연속 시간],$Q2662))</f>
        <v/>
      </c>
      <c r="J2662">
        <f>IF($Q2662="","",INDEX(상세표[기록 수],$Q2662))</f>
        <v/>
      </c>
      <c r="K2662" s="20">
        <f>IF($Q2662="","",INDEX(상세표[블록 06~07시],$Q2662))</f>
        <v/>
      </c>
      <c r="L2662" s="20">
        <f>IF($Q2662="","",INDEX(상세표[블록 07~18시],$Q2662))</f>
        <v/>
      </c>
      <c r="M2662" s="20">
        <f>IF($Q2662="","",INDEX(상세표[블록 18~22시],$Q2662))</f>
        <v/>
      </c>
      <c r="N2662" s="20">
        <f>IF($Q2662="","",INDEX(상세표[블록 22~06시],$Q2662))</f>
        <v/>
      </c>
      <c r="O2662">
        <f>IF($Q2662="","",INDEX(상세표[주말·휴일 포함],$Q2662)&amp;"")</f>
        <v/>
      </c>
      <c r="P2662">
        <f>IF($Q2662="","",INDEX(상세표[월 넘김 포함],$Q2662)&amp;"")</f>
        <v/>
      </c>
      <c r="Q2662" s="4">
        <f>IFERROR(MATCH(2657,상세표[연속순번],0),"")</f>
        <v/>
      </c>
    </row>
    <row r="2663">
      <c r="A2663">
        <f>IF($Q2663="","",INDEX(상세표[부서],$Q2663)&amp;"")</f>
        <v/>
      </c>
      <c r="B2663">
        <f>IF($Q2663="","",INDEX(상세표[사번],$Q2663)&amp;"")</f>
        <v/>
      </c>
      <c r="C2663">
        <f>IF($Q2663="","",INDEX(상세표[성명],$Q2663)&amp;"")</f>
        <v/>
      </c>
      <c r="D2663">
        <f>IF($Q2663="","",INDEX(상세표[직위],$Q2663)&amp;"")</f>
        <v/>
      </c>
      <c r="E2663">
        <f>IF($Q2663="","",IF(ISNUMBER(INDEX(상세표[근무일자],$Q2663)),TEXT(INDEX(상세표[근무일자],$Q2663),"yyyy-mm-dd"),INDEX(상세표[근무일자],$Q2663)&amp;""))</f>
        <v/>
      </c>
      <c r="F2663">
        <f>IF($Q2663="","",IF(ISNUMBER(INDEX(상세표[시작],$Q2663)),TEXT(INDEX(상세표[시작],$Q2663),"yyyy-mm-dd hh:mm"),INDEX(상세표[시작],$Q2663)&amp;""))</f>
        <v/>
      </c>
      <c r="G2663">
        <f>IF($Q2663="","",IF(ISNUMBER(INDEX(상세표[블록종료],$Q2663)),TEXT(INDEX(상세표[블록종료],$Q2663),"yyyy-mm-dd hh:mm"),INDEX(상세표[블록종료],$Q2663)&amp;""))</f>
        <v/>
      </c>
      <c r="H2663">
        <f>IF($Q2663="","",CHOOSE(WEEKDAY(INDEX(상세표[시작],$Q2663)),"일","월","화","수","목","금","토"))</f>
        <v/>
      </c>
      <c r="I2663" s="20">
        <f>IF($Q2663="","",INDEX(상세표[연속 시간],$Q2663))</f>
        <v/>
      </c>
      <c r="J2663">
        <f>IF($Q2663="","",INDEX(상세표[기록 수],$Q2663))</f>
        <v/>
      </c>
      <c r="K2663" s="20">
        <f>IF($Q2663="","",INDEX(상세표[블록 06~07시],$Q2663))</f>
        <v/>
      </c>
      <c r="L2663" s="20">
        <f>IF($Q2663="","",INDEX(상세표[블록 07~18시],$Q2663))</f>
        <v/>
      </c>
      <c r="M2663" s="20">
        <f>IF($Q2663="","",INDEX(상세표[블록 18~22시],$Q2663))</f>
        <v/>
      </c>
      <c r="N2663" s="20">
        <f>IF($Q2663="","",INDEX(상세표[블록 22~06시],$Q2663))</f>
        <v/>
      </c>
      <c r="O2663">
        <f>IF($Q2663="","",INDEX(상세표[주말·휴일 포함],$Q2663)&amp;"")</f>
        <v/>
      </c>
      <c r="P2663">
        <f>IF($Q2663="","",INDEX(상세표[월 넘김 포함],$Q2663)&amp;"")</f>
        <v/>
      </c>
      <c r="Q2663" s="4">
        <f>IFERROR(MATCH(2658,상세표[연속순번],0),"")</f>
        <v/>
      </c>
    </row>
    <row r="2664">
      <c r="A2664">
        <f>IF($Q2664="","",INDEX(상세표[부서],$Q2664)&amp;"")</f>
        <v/>
      </c>
      <c r="B2664">
        <f>IF($Q2664="","",INDEX(상세표[사번],$Q2664)&amp;"")</f>
        <v/>
      </c>
      <c r="C2664">
        <f>IF($Q2664="","",INDEX(상세표[성명],$Q2664)&amp;"")</f>
        <v/>
      </c>
      <c r="D2664">
        <f>IF($Q2664="","",INDEX(상세표[직위],$Q2664)&amp;"")</f>
        <v/>
      </c>
      <c r="E2664">
        <f>IF($Q2664="","",IF(ISNUMBER(INDEX(상세표[근무일자],$Q2664)),TEXT(INDEX(상세표[근무일자],$Q2664),"yyyy-mm-dd"),INDEX(상세표[근무일자],$Q2664)&amp;""))</f>
        <v/>
      </c>
      <c r="F2664">
        <f>IF($Q2664="","",IF(ISNUMBER(INDEX(상세표[시작],$Q2664)),TEXT(INDEX(상세표[시작],$Q2664),"yyyy-mm-dd hh:mm"),INDEX(상세표[시작],$Q2664)&amp;""))</f>
        <v/>
      </c>
      <c r="G2664">
        <f>IF($Q2664="","",IF(ISNUMBER(INDEX(상세표[블록종료],$Q2664)),TEXT(INDEX(상세표[블록종료],$Q2664),"yyyy-mm-dd hh:mm"),INDEX(상세표[블록종료],$Q2664)&amp;""))</f>
        <v/>
      </c>
      <c r="H2664">
        <f>IF($Q2664="","",CHOOSE(WEEKDAY(INDEX(상세표[시작],$Q2664)),"일","월","화","수","목","금","토"))</f>
        <v/>
      </c>
      <c r="I2664" s="20">
        <f>IF($Q2664="","",INDEX(상세표[연속 시간],$Q2664))</f>
        <v/>
      </c>
      <c r="J2664">
        <f>IF($Q2664="","",INDEX(상세표[기록 수],$Q2664))</f>
        <v/>
      </c>
      <c r="K2664" s="20">
        <f>IF($Q2664="","",INDEX(상세표[블록 06~07시],$Q2664))</f>
        <v/>
      </c>
      <c r="L2664" s="20">
        <f>IF($Q2664="","",INDEX(상세표[블록 07~18시],$Q2664))</f>
        <v/>
      </c>
      <c r="M2664" s="20">
        <f>IF($Q2664="","",INDEX(상세표[블록 18~22시],$Q2664))</f>
        <v/>
      </c>
      <c r="N2664" s="20">
        <f>IF($Q2664="","",INDEX(상세표[블록 22~06시],$Q2664))</f>
        <v/>
      </c>
      <c r="O2664">
        <f>IF($Q2664="","",INDEX(상세표[주말·휴일 포함],$Q2664)&amp;"")</f>
        <v/>
      </c>
      <c r="P2664">
        <f>IF($Q2664="","",INDEX(상세표[월 넘김 포함],$Q2664)&amp;"")</f>
        <v/>
      </c>
      <c r="Q2664" s="4">
        <f>IFERROR(MATCH(2659,상세표[연속순번],0),"")</f>
        <v/>
      </c>
    </row>
    <row r="2665">
      <c r="A2665">
        <f>IF($Q2665="","",INDEX(상세표[부서],$Q2665)&amp;"")</f>
        <v/>
      </c>
      <c r="B2665">
        <f>IF($Q2665="","",INDEX(상세표[사번],$Q2665)&amp;"")</f>
        <v/>
      </c>
      <c r="C2665">
        <f>IF($Q2665="","",INDEX(상세표[성명],$Q2665)&amp;"")</f>
        <v/>
      </c>
      <c r="D2665">
        <f>IF($Q2665="","",INDEX(상세표[직위],$Q2665)&amp;"")</f>
        <v/>
      </c>
      <c r="E2665">
        <f>IF($Q2665="","",IF(ISNUMBER(INDEX(상세표[근무일자],$Q2665)),TEXT(INDEX(상세표[근무일자],$Q2665),"yyyy-mm-dd"),INDEX(상세표[근무일자],$Q2665)&amp;""))</f>
        <v/>
      </c>
      <c r="F2665">
        <f>IF($Q2665="","",IF(ISNUMBER(INDEX(상세표[시작],$Q2665)),TEXT(INDEX(상세표[시작],$Q2665),"yyyy-mm-dd hh:mm"),INDEX(상세표[시작],$Q2665)&amp;""))</f>
        <v/>
      </c>
      <c r="G2665">
        <f>IF($Q2665="","",IF(ISNUMBER(INDEX(상세표[블록종료],$Q2665)),TEXT(INDEX(상세표[블록종료],$Q2665),"yyyy-mm-dd hh:mm"),INDEX(상세표[블록종료],$Q2665)&amp;""))</f>
        <v/>
      </c>
      <c r="H2665">
        <f>IF($Q2665="","",CHOOSE(WEEKDAY(INDEX(상세표[시작],$Q2665)),"일","월","화","수","목","금","토"))</f>
        <v/>
      </c>
      <c r="I2665" s="20">
        <f>IF($Q2665="","",INDEX(상세표[연속 시간],$Q2665))</f>
        <v/>
      </c>
      <c r="J2665">
        <f>IF($Q2665="","",INDEX(상세표[기록 수],$Q2665))</f>
        <v/>
      </c>
      <c r="K2665" s="20">
        <f>IF($Q2665="","",INDEX(상세표[블록 06~07시],$Q2665))</f>
        <v/>
      </c>
      <c r="L2665" s="20">
        <f>IF($Q2665="","",INDEX(상세표[블록 07~18시],$Q2665))</f>
        <v/>
      </c>
      <c r="M2665" s="20">
        <f>IF($Q2665="","",INDEX(상세표[블록 18~22시],$Q2665))</f>
        <v/>
      </c>
      <c r="N2665" s="20">
        <f>IF($Q2665="","",INDEX(상세표[블록 22~06시],$Q2665))</f>
        <v/>
      </c>
      <c r="O2665">
        <f>IF($Q2665="","",INDEX(상세표[주말·휴일 포함],$Q2665)&amp;"")</f>
        <v/>
      </c>
      <c r="P2665">
        <f>IF($Q2665="","",INDEX(상세표[월 넘김 포함],$Q2665)&amp;"")</f>
        <v/>
      </c>
      <c r="Q2665" s="4">
        <f>IFERROR(MATCH(2660,상세표[연속순번],0),"")</f>
        <v/>
      </c>
    </row>
    <row r="2666">
      <c r="A2666">
        <f>IF($Q2666="","",INDEX(상세표[부서],$Q2666)&amp;"")</f>
        <v/>
      </c>
      <c r="B2666">
        <f>IF($Q2666="","",INDEX(상세표[사번],$Q2666)&amp;"")</f>
        <v/>
      </c>
      <c r="C2666">
        <f>IF($Q2666="","",INDEX(상세표[성명],$Q2666)&amp;"")</f>
        <v/>
      </c>
      <c r="D2666">
        <f>IF($Q2666="","",INDEX(상세표[직위],$Q2666)&amp;"")</f>
        <v/>
      </c>
      <c r="E2666">
        <f>IF($Q2666="","",IF(ISNUMBER(INDEX(상세표[근무일자],$Q2666)),TEXT(INDEX(상세표[근무일자],$Q2666),"yyyy-mm-dd"),INDEX(상세표[근무일자],$Q2666)&amp;""))</f>
        <v/>
      </c>
      <c r="F2666">
        <f>IF($Q2666="","",IF(ISNUMBER(INDEX(상세표[시작],$Q2666)),TEXT(INDEX(상세표[시작],$Q2666),"yyyy-mm-dd hh:mm"),INDEX(상세표[시작],$Q2666)&amp;""))</f>
        <v/>
      </c>
      <c r="G2666">
        <f>IF($Q2666="","",IF(ISNUMBER(INDEX(상세표[블록종료],$Q2666)),TEXT(INDEX(상세표[블록종료],$Q2666),"yyyy-mm-dd hh:mm"),INDEX(상세표[블록종료],$Q2666)&amp;""))</f>
        <v/>
      </c>
      <c r="H2666">
        <f>IF($Q2666="","",CHOOSE(WEEKDAY(INDEX(상세표[시작],$Q2666)),"일","월","화","수","목","금","토"))</f>
        <v/>
      </c>
      <c r="I2666" s="20">
        <f>IF($Q2666="","",INDEX(상세표[연속 시간],$Q2666))</f>
        <v/>
      </c>
      <c r="J2666">
        <f>IF($Q2666="","",INDEX(상세표[기록 수],$Q2666))</f>
        <v/>
      </c>
      <c r="K2666" s="20">
        <f>IF($Q2666="","",INDEX(상세표[블록 06~07시],$Q2666))</f>
        <v/>
      </c>
      <c r="L2666" s="20">
        <f>IF($Q2666="","",INDEX(상세표[블록 07~18시],$Q2666))</f>
        <v/>
      </c>
      <c r="M2666" s="20">
        <f>IF($Q2666="","",INDEX(상세표[블록 18~22시],$Q2666))</f>
        <v/>
      </c>
      <c r="N2666" s="20">
        <f>IF($Q2666="","",INDEX(상세표[블록 22~06시],$Q2666))</f>
        <v/>
      </c>
      <c r="O2666">
        <f>IF($Q2666="","",INDEX(상세표[주말·휴일 포함],$Q2666)&amp;"")</f>
        <v/>
      </c>
      <c r="P2666">
        <f>IF($Q2666="","",INDEX(상세표[월 넘김 포함],$Q2666)&amp;"")</f>
        <v/>
      </c>
      <c r="Q2666" s="4">
        <f>IFERROR(MATCH(2661,상세표[연속순번],0),"")</f>
        <v/>
      </c>
    </row>
    <row r="2667">
      <c r="A2667">
        <f>IF($Q2667="","",INDEX(상세표[부서],$Q2667)&amp;"")</f>
        <v/>
      </c>
      <c r="B2667">
        <f>IF($Q2667="","",INDEX(상세표[사번],$Q2667)&amp;"")</f>
        <v/>
      </c>
      <c r="C2667">
        <f>IF($Q2667="","",INDEX(상세표[성명],$Q2667)&amp;"")</f>
        <v/>
      </c>
      <c r="D2667">
        <f>IF($Q2667="","",INDEX(상세표[직위],$Q2667)&amp;"")</f>
        <v/>
      </c>
      <c r="E2667">
        <f>IF($Q2667="","",IF(ISNUMBER(INDEX(상세표[근무일자],$Q2667)),TEXT(INDEX(상세표[근무일자],$Q2667),"yyyy-mm-dd"),INDEX(상세표[근무일자],$Q2667)&amp;""))</f>
        <v/>
      </c>
      <c r="F2667">
        <f>IF($Q2667="","",IF(ISNUMBER(INDEX(상세표[시작],$Q2667)),TEXT(INDEX(상세표[시작],$Q2667),"yyyy-mm-dd hh:mm"),INDEX(상세표[시작],$Q2667)&amp;""))</f>
        <v/>
      </c>
      <c r="G2667">
        <f>IF($Q2667="","",IF(ISNUMBER(INDEX(상세표[블록종료],$Q2667)),TEXT(INDEX(상세표[블록종료],$Q2667),"yyyy-mm-dd hh:mm"),INDEX(상세표[블록종료],$Q2667)&amp;""))</f>
        <v/>
      </c>
      <c r="H2667">
        <f>IF($Q2667="","",CHOOSE(WEEKDAY(INDEX(상세표[시작],$Q2667)),"일","월","화","수","목","금","토"))</f>
        <v/>
      </c>
      <c r="I2667" s="20">
        <f>IF($Q2667="","",INDEX(상세표[연속 시간],$Q2667))</f>
        <v/>
      </c>
      <c r="J2667">
        <f>IF($Q2667="","",INDEX(상세표[기록 수],$Q2667))</f>
        <v/>
      </c>
      <c r="K2667" s="20">
        <f>IF($Q2667="","",INDEX(상세표[블록 06~07시],$Q2667))</f>
        <v/>
      </c>
      <c r="L2667" s="20">
        <f>IF($Q2667="","",INDEX(상세표[블록 07~18시],$Q2667))</f>
        <v/>
      </c>
      <c r="M2667" s="20">
        <f>IF($Q2667="","",INDEX(상세표[블록 18~22시],$Q2667))</f>
        <v/>
      </c>
      <c r="N2667" s="20">
        <f>IF($Q2667="","",INDEX(상세표[블록 22~06시],$Q2667))</f>
        <v/>
      </c>
      <c r="O2667">
        <f>IF($Q2667="","",INDEX(상세표[주말·휴일 포함],$Q2667)&amp;"")</f>
        <v/>
      </c>
      <c r="P2667">
        <f>IF($Q2667="","",INDEX(상세표[월 넘김 포함],$Q2667)&amp;"")</f>
        <v/>
      </c>
      <c r="Q2667" s="4">
        <f>IFERROR(MATCH(2662,상세표[연속순번],0),"")</f>
        <v/>
      </c>
    </row>
    <row r="2668">
      <c r="A2668">
        <f>IF($Q2668="","",INDEX(상세표[부서],$Q2668)&amp;"")</f>
        <v/>
      </c>
      <c r="B2668">
        <f>IF($Q2668="","",INDEX(상세표[사번],$Q2668)&amp;"")</f>
        <v/>
      </c>
      <c r="C2668">
        <f>IF($Q2668="","",INDEX(상세표[성명],$Q2668)&amp;"")</f>
        <v/>
      </c>
      <c r="D2668">
        <f>IF($Q2668="","",INDEX(상세표[직위],$Q2668)&amp;"")</f>
        <v/>
      </c>
      <c r="E2668">
        <f>IF($Q2668="","",IF(ISNUMBER(INDEX(상세표[근무일자],$Q2668)),TEXT(INDEX(상세표[근무일자],$Q2668),"yyyy-mm-dd"),INDEX(상세표[근무일자],$Q2668)&amp;""))</f>
        <v/>
      </c>
      <c r="F2668">
        <f>IF($Q2668="","",IF(ISNUMBER(INDEX(상세표[시작],$Q2668)),TEXT(INDEX(상세표[시작],$Q2668),"yyyy-mm-dd hh:mm"),INDEX(상세표[시작],$Q2668)&amp;""))</f>
        <v/>
      </c>
      <c r="G2668">
        <f>IF($Q2668="","",IF(ISNUMBER(INDEX(상세표[블록종료],$Q2668)),TEXT(INDEX(상세표[블록종료],$Q2668),"yyyy-mm-dd hh:mm"),INDEX(상세표[블록종료],$Q2668)&amp;""))</f>
        <v/>
      </c>
      <c r="H2668">
        <f>IF($Q2668="","",CHOOSE(WEEKDAY(INDEX(상세표[시작],$Q2668)),"일","월","화","수","목","금","토"))</f>
        <v/>
      </c>
      <c r="I2668" s="20">
        <f>IF($Q2668="","",INDEX(상세표[연속 시간],$Q2668))</f>
        <v/>
      </c>
      <c r="J2668">
        <f>IF($Q2668="","",INDEX(상세표[기록 수],$Q2668))</f>
        <v/>
      </c>
      <c r="K2668" s="20">
        <f>IF($Q2668="","",INDEX(상세표[블록 06~07시],$Q2668))</f>
        <v/>
      </c>
      <c r="L2668" s="20">
        <f>IF($Q2668="","",INDEX(상세표[블록 07~18시],$Q2668))</f>
        <v/>
      </c>
      <c r="M2668" s="20">
        <f>IF($Q2668="","",INDEX(상세표[블록 18~22시],$Q2668))</f>
        <v/>
      </c>
      <c r="N2668" s="20">
        <f>IF($Q2668="","",INDEX(상세표[블록 22~06시],$Q2668))</f>
        <v/>
      </c>
      <c r="O2668">
        <f>IF($Q2668="","",INDEX(상세표[주말·휴일 포함],$Q2668)&amp;"")</f>
        <v/>
      </c>
      <c r="P2668">
        <f>IF($Q2668="","",INDEX(상세표[월 넘김 포함],$Q2668)&amp;"")</f>
        <v/>
      </c>
      <c r="Q2668" s="4">
        <f>IFERROR(MATCH(2663,상세표[연속순번],0),"")</f>
        <v/>
      </c>
    </row>
    <row r="2669">
      <c r="A2669">
        <f>IF($Q2669="","",INDEX(상세표[부서],$Q2669)&amp;"")</f>
        <v/>
      </c>
      <c r="B2669">
        <f>IF($Q2669="","",INDEX(상세표[사번],$Q2669)&amp;"")</f>
        <v/>
      </c>
      <c r="C2669">
        <f>IF($Q2669="","",INDEX(상세표[성명],$Q2669)&amp;"")</f>
        <v/>
      </c>
      <c r="D2669">
        <f>IF($Q2669="","",INDEX(상세표[직위],$Q2669)&amp;"")</f>
        <v/>
      </c>
      <c r="E2669">
        <f>IF($Q2669="","",IF(ISNUMBER(INDEX(상세표[근무일자],$Q2669)),TEXT(INDEX(상세표[근무일자],$Q2669),"yyyy-mm-dd"),INDEX(상세표[근무일자],$Q2669)&amp;""))</f>
        <v/>
      </c>
      <c r="F2669">
        <f>IF($Q2669="","",IF(ISNUMBER(INDEX(상세표[시작],$Q2669)),TEXT(INDEX(상세표[시작],$Q2669),"yyyy-mm-dd hh:mm"),INDEX(상세표[시작],$Q2669)&amp;""))</f>
        <v/>
      </c>
      <c r="G2669">
        <f>IF($Q2669="","",IF(ISNUMBER(INDEX(상세표[블록종료],$Q2669)),TEXT(INDEX(상세표[블록종료],$Q2669),"yyyy-mm-dd hh:mm"),INDEX(상세표[블록종료],$Q2669)&amp;""))</f>
        <v/>
      </c>
      <c r="H2669">
        <f>IF($Q2669="","",CHOOSE(WEEKDAY(INDEX(상세표[시작],$Q2669)),"일","월","화","수","목","금","토"))</f>
        <v/>
      </c>
      <c r="I2669" s="20">
        <f>IF($Q2669="","",INDEX(상세표[연속 시간],$Q2669))</f>
        <v/>
      </c>
      <c r="J2669">
        <f>IF($Q2669="","",INDEX(상세표[기록 수],$Q2669))</f>
        <v/>
      </c>
      <c r="K2669" s="20">
        <f>IF($Q2669="","",INDEX(상세표[블록 06~07시],$Q2669))</f>
        <v/>
      </c>
      <c r="L2669" s="20">
        <f>IF($Q2669="","",INDEX(상세표[블록 07~18시],$Q2669))</f>
        <v/>
      </c>
      <c r="M2669" s="20">
        <f>IF($Q2669="","",INDEX(상세표[블록 18~22시],$Q2669))</f>
        <v/>
      </c>
      <c r="N2669" s="20">
        <f>IF($Q2669="","",INDEX(상세표[블록 22~06시],$Q2669))</f>
        <v/>
      </c>
      <c r="O2669">
        <f>IF($Q2669="","",INDEX(상세표[주말·휴일 포함],$Q2669)&amp;"")</f>
        <v/>
      </c>
      <c r="P2669">
        <f>IF($Q2669="","",INDEX(상세표[월 넘김 포함],$Q2669)&amp;"")</f>
        <v/>
      </c>
      <c r="Q2669" s="4">
        <f>IFERROR(MATCH(2664,상세표[연속순번],0),"")</f>
        <v/>
      </c>
    </row>
    <row r="2670">
      <c r="A2670">
        <f>IF($Q2670="","",INDEX(상세표[부서],$Q2670)&amp;"")</f>
        <v/>
      </c>
      <c r="B2670">
        <f>IF($Q2670="","",INDEX(상세표[사번],$Q2670)&amp;"")</f>
        <v/>
      </c>
      <c r="C2670">
        <f>IF($Q2670="","",INDEX(상세표[성명],$Q2670)&amp;"")</f>
        <v/>
      </c>
      <c r="D2670">
        <f>IF($Q2670="","",INDEX(상세표[직위],$Q2670)&amp;"")</f>
        <v/>
      </c>
      <c r="E2670">
        <f>IF($Q2670="","",IF(ISNUMBER(INDEX(상세표[근무일자],$Q2670)),TEXT(INDEX(상세표[근무일자],$Q2670),"yyyy-mm-dd"),INDEX(상세표[근무일자],$Q2670)&amp;""))</f>
        <v/>
      </c>
      <c r="F2670">
        <f>IF($Q2670="","",IF(ISNUMBER(INDEX(상세표[시작],$Q2670)),TEXT(INDEX(상세표[시작],$Q2670),"yyyy-mm-dd hh:mm"),INDEX(상세표[시작],$Q2670)&amp;""))</f>
        <v/>
      </c>
      <c r="G2670">
        <f>IF($Q2670="","",IF(ISNUMBER(INDEX(상세표[블록종료],$Q2670)),TEXT(INDEX(상세표[블록종료],$Q2670),"yyyy-mm-dd hh:mm"),INDEX(상세표[블록종료],$Q2670)&amp;""))</f>
        <v/>
      </c>
      <c r="H2670">
        <f>IF($Q2670="","",CHOOSE(WEEKDAY(INDEX(상세표[시작],$Q2670)),"일","월","화","수","목","금","토"))</f>
        <v/>
      </c>
      <c r="I2670" s="20">
        <f>IF($Q2670="","",INDEX(상세표[연속 시간],$Q2670))</f>
        <v/>
      </c>
      <c r="J2670">
        <f>IF($Q2670="","",INDEX(상세표[기록 수],$Q2670))</f>
        <v/>
      </c>
      <c r="K2670" s="20">
        <f>IF($Q2670="","",INDEX(상세표[블록 06~07시],$Q2670))</f>
        <v/>
      </c>
      <c r="L2670" s="20">
        <f>IF($Q2670="","",INDEX(상세표[블록 07~18시],$Q2670))</f>
        <v/>
      </c>
      <c r="M2670" s="20">
        <f>IF($Q2670="","",INDEX(상세표[블록 18~22시],$Q2670))</f>
        <v/>
      </c>
      <c r="N2670" s="20">
        <f>IF($Q2670="","",INDEX(상세표[블록 22~06시],$Q2670))</f>
        <v/>
      </c>
      <c r="O2670">
        <f>IF($Q2670="","",INDEX(상세표[주말·휴일 포함],$Q2670)&amp;"")</f>
        <v/>
      </c>
      <c r="P2670">
        <f>IF($Q2670="","",INDEX(상세표[월 넘김 포함],$Q2670)&amp;"")</f>
        <v/>
      </c>
      <c r="Q2670" s="4">
        <f>IFERROR(MATCH(2665,상세표[연속순번],0),"")</f>
        <v/>
      </c>
    </row>
    <row r="2671">
      <c r="A2671">
        <f>IF($Q2671="","",INDEX(상세표[부서],$Q2671)&amp;"")</f>
        <v/>
      </c>
      <c r="B2671">
        <f>IF($Q2671="","",INDEX(상세표[사번],$Q2671)&amp;"")</f>
        <v/>
      </c>
      <c r="C2671">
        <f>IF($Q2671="","",INDEX(상세표[성명],$Q2671)&amp;"")</f>
        <v/>
      </c>
      <c r="D2671">
        <f>IF($Q2671="","",INDEX(상세표[직위],$Q2671)&amp;"")</f>
        <v/>
      </c>
      <c r="E2671">
        <f>IF($Q2671="","",IF(ISNUMBER(INDEX(상세표[근무일자],$Q2671)),TEXT(INDEX(상세표[근무일자],$Q2671),"yyyy-mm-dd"),INDEX(상세표[근무일자],$Q2671)&amp;""))</f>
        <v/>
      </c>
      <c r="F2671">
        <f>IF($Q2671="","",IF(ISNUMBER(INDEX(상세표[시작],$Q2671)),TEXT(INDEX(상세표[시작],$Q2671),"yyyy-mm-dd hh:mm"),INDEX(상세표[시작],$Q2671)&amp;""))</f>
        <v/>
      </c>
      <c r="G2671">
        <f>IF($Q2671="","",IF(ISNUMBER(INDEX(상세표[블록종료],$Q2671)),TEXT(INDEX(상세표[블록종료],$Q2671),"yyyy-mm-dd hh:mm"),INDEX(상세표[블록종료],$Q2671)&amp;""))</f>
        <v/>
      </c>
      <c r="H2671">
        <f>IF($Q2671="","",CHOOSE(WEEKDAY(INDEX(상세표[시작],$Q2671)),"일","월","화","수","목","금","토"))</f>
        <v/>
      </c>
      <c r="I2671" s="20">
        <f>IF($Q2671="","",INDEX(상세표[연속 시간],$Q2671))</f>
        <v/>
      </c>
      <c r="J2671">
        <f>IF($Q2671="","",INDEX(상세표[기록 수],$Q2671))</f>
        <v/>
      </c>
      <c r="K2671" s="20">
        <f>IF($Q2671="","",INDEX(상세표[블록 06~07시],$Q2671))</f>
        <v/>
      </c>
      <c r="L2671" s="20">
        <f>IF($Q2671="","",INDEX(상세표[블록 07~18시],$Q2671))</f>
        <v/>
      </c>
      <c r="M2671" s="20">
        <f>IF($Q2671="","",INDEX(상세표[블록 18~22시],$Q2671))</f>
        <v/>
      </c>
      <c r="N2671" s="20">
        <f>IF($Q2671="","",INDEX(상세표[블록 22~06시],$Q2671))</f>
        <v/>
      </c>
      <c r="O2671">
        <f>IF($Q2671="","",INDEX(상세표[주말·휴일 포함],$Q2671)&amp;"")</f>
        <v/>
      </c>
      <c r="P2671">
        <f>IF($Q2671="","",INDEX(상세표[월 넘김 포함],$Q2671)&amp;"")</f>
        <v/>
      </c>
      <c r="Q2671" s="4">
        <f>IFERROR(MATCH(2666,상세표[연속순번],0),"")</f>
        <v/>
      </c>
    </row>
    <row r="2672">
      <c r="A2672">
        <f>IF($Q2672="","",INDEX(상세표[부서],$Q2672)&amp;"")</f>
        <v/>
      </c>
      <c r="B2672">
        <f>IF($Q2672="","",INDEX(상세표[사번],$Q2672)&amp;"")</f>
        <v/>
      </c>
      <c r="C2672">
        <f>IF($Q2672="","",INDEX(상세표[성명],$Q2672)&amp;"")</f>
        <v/>
      </c>
      <c r="D2672">
        <f>IF($Q2672="","",INDEX(상세표[직위],$Q2672)&amp;"")</f>
        <v/>
      </c>
      <c r="E2672">
        <f>IF($Q2672="","",IF(ISNUMBER(INDEX(상세표[근무일자],$Q2672)),TEXT(INDEX(상세표[근무일자],$Q2672),"yyyy-mm-dd"),INDEX(상세표[근무일자],$Q2672)&amp;""))</f>
        <v/>
      </c>
      <c r="F2672">
        <f>IF($Q2672="","",IF(ISNUMBER(INDEX(상세표[시작],$Q2672)),TEXT(INDEX(상세표[시작],$Q2672),"yyyy-mm-dd hh:mm"),INDEX(상세표[시작],$Q2672)&amp;""))</f>
        <v/>
      </c>
      <c r="G2672">
        <f>IF($Q2672="","",IF(ISNUMBER(INDEX(상세표[블록종료],$Q2672)),TEXT(INDEX(상세표[블록종료],$Q2672),"yyyy-mm-dd hh:mm"),INDEX(상세표[블록종료],$Q2672)&amp;""))</f>
        <v/>
      </c>
      <c r="H2672">
        <f>IF($Q2672="","",CHOOSE(WEEKDAY(INDEX(상세표[시작],$Q2672)),"일","월","화","수","목","금","토"))</f>
        <v/>
      </c>
      <c r="I2672" s="20">
        <f>IF($Q2672="","",INDEX(상세표[연속 시간],$Q2672))</f>
        <v/>
      </c>
      <c r="J2672">
        <f>IF($Q2672="","",INDEX(상세표[기록 수],$Q2672))</f>
        <v/>
      </c>
      <c r="K2672" s="20">
        <f>IF($Q2672="","",INDEX(상세표[블록 06~07시],$Q2672))</f>
        <v/>
      </c>
      <c r="L2672" s="20">
        <f>IF($Q2672="","",INDEX(상세표[블록 07~18시],$Q2672))</f>
        <v/>
      </c>
      <c r="M2672" s="20">
        <f>IF($Q2672="","",INDEX(상세표[블록 18~22시],$Q2672))</f>
        <v/>
      </c>
      <c r="N2672" s="20">
        <f>IF($Q2672="","",INDEX(상세표[블록 22~06시],$Q2672))</f>
        <v/>
      </c>
      <c r="O2672">
        <f>IF($Q2672="","",INDEX(상세표[주말·휴일 포함],$Q2672)&amp;"")</f>
        <v/>
      </c>
      <c r="P2672">
        <f>IF($Q2672="","",INDEX(상세표[월 넘김 포함],$Q2672)&amp;"")</f>
        <v/>
      </c>
      <c r="Q2672" s="4">
        <f>IFERROR(MATCH(2667,상세표[연속순번],0),"")</f>
        <v/>
      </c>
    </row>
    <row r="2673">
      <c r="A2673">
        <f>IF($Q2673="","",INDEX(상세표[부서],$Q2673)&amp;"")</f>
        <v/>
      </c>
      <c r="B2673">
        <f>IF($Q2673="","",INDEX(상세표[사번],$Q2673)&amp;"")</f>
        <v/>
      </c>
      <c r="C2673">
        <f>IF($Q2673="","",INDEX(상세표[성명],$Q2673)&amp;"")</f>
        <v/>
      </c>
      <c r="D2673">
        <f>IF($Q2673="","",INDEX(상세표[직위],$Q2673)&amp;"")</f>
        <v/>
      </c>
      <c r="E2673">
        <f>IF($Q2673="","",IF(ISNUMBER(INDEX(상세표[근무일자],$Q2673)),TEXT(INDEX(상세표[근무일자],$Q2673),"yyyy-mm-dd"),INDEX(상세표[근무일자],$Q2673)&amp;""))</f>
        <v/>
      </c>
      <c r="F2673">
        <f>IF($Q2673="","",IF(ISNUMBER(INDEX(상세표[시작],$Q2673)),TEXT(INDEX(상세표[시작],$Q2673),"yyyy-mm-dd hh:mm"),INDEX(상세표[시작],$Q2673)&amp;""))</f>
        <v/>
      </c>
      <c r="G2673">
        <f>IF($Q2673="","",IF(ISNUMBER(INDEX(상세표[블록종료],$Q2673)),TEXT(INDEX(상세표[블록종료],$Q2673),"yyyy-mm-dd hh:mm"),INDEX(상세표[블록종료],$Q2673)&amp;""))</f>
        <v/>
      </c>
      <c r="H2673">
        <f>IF($Q2673="","",CHOOSE(WEEKDAY(INDEX(상세표[시작],$Q2673)),"일","월","화","수","목","금","토"))</f>
        <v/>
      </c>
      <c r="I2673" s="20">
        <f>IF($Q2673="","",INDEX(상세표[연속 시간],$Q2673))</f>
        <v/>
      </c>
      <c r="J2673">
        <f>IF($Q2673="","",INDEX(상세표[기록 수],$Q2673))</f>
        <v/>
      </c>
      <c r="K2673" s="20">
        <f>IF($Q2673="","",INDEX(상세표[블록 06~07시],$Q2673))</f>
        <v/>
      </c>
      <c r="L2673" s="20">
        <f>IF($Q2673="","",INDEX(상세표[블록 07~18시],$Q2673))</f>
        <v/>
      </c>
      <c r="M2673" s="20">
        <f>IF($Q2673="","",INDEX(상세표[블록 18~22시],$Q2673))</f>
        <v/>
      </c>
      <c r="N2673" s="20">
        <f>IF($Q2673="","",INDEX(상세표[블록 22~06시],$Q2673))</f>
        <v/>
      </c>
      <c r="O2673">
        <f>IF($Q2673="","",INDEX(상세표[주말·휴일 포함],$Q2673)&amp;"")</f>
        <v/>
      </c>
      <c r="P2673">
        <f>IF($Q2673="","",INDEX(상세표[월 넘김 포함],$Q2673)&amp;"")</f>
        <v/>
      </c>
      <c r="Q2673" s="4">
        <f>IFERROR(MATCH(2668,상세표[연속순번],0),"")</f>
        <v/>
      </c>
    </row>
    <row r="2674">
      <c r="A2674">
        <f>IF($Q2674="","",INDEX(상세표[부서],$Q2674)&amp;"")</f>
        <v/>
      </c>
      <c r="B2674">
        <f>IF($Q2674="","",INDEX(상세표[사번],$Q2674)&amp;"")</f>
        <v/>
      </c>
      <c r="C2674">
        <f>IF($Q2674="","",INDEX(상세표[성명],$Q2674)&amp;"")</f>
        <v/>
      </c>
      <c r="D2674">
        <f>IF($Q2674="","",INDEX(상세표[직위],$Q2674)&amp;"")</f>
        <v/>
      </c>
      <c r="E2674">
        <f>IF($Q2674="","",IF(ISNUMBER(INDEX(상세표[근무일자],$Q2674)),TEXT(INDEX(상세표[근무일자],$Q2674),"yyyy-mm-dd"),INDEX(상세표[근무일자],$Q2674)&amp;""))</f>
        <v/>
      </c>
      <c r="F2674">
        <f>IF($Q2674="","",IF(ISNUMBER(INDEX(상세표[시작],$Q2674)),TEXT(INDEX(상세표[시작],$Q2674),"yyyy-mm-dd hh:mm"),INDEX(상세표[시작],$Q2674)&amp;""))</f>
        <v/>
      </c>
      <c r="G2674">
        <f>IF($Q2674="","",IF(ISNUMBER(INDEX(상세표[블록종료],$Q2674)),TEXT(INDEX(상세표[블록종료],$Q2674),"yyyy-mm-dd hh:mm"),INDEX(상세표[블록종료],$Q2674)&amp;""))</f>
        <v/>
      </c>
      <c r="H2674">
        <f>IF($Q2674="","",CHOOSE(WEEKDAY(INDEX(상세표[시작],$Q2674)),"일","월","화","수","목","금","토"))</f>
        <v/>
      </c>
      <c r="I2674" s="20">
        <f>IF($Q2674="","",INDEX(상세표[연속 시간],$Q2674))</f>
        <v/>
      </c>
      <c r="J2674">
        <f>IF($Q2674="","",INDEX(상세표[기록 수],$Q2674))</f>
        <v/>
      </c>
      <c r="K2674" s="20">
        <f>IF($Q2674="","",INDEX(상세표[블록 06~07시],$Q2674))</f>
        <v/>
      </c>
      <c r="L2674" s="20">
        <f>IF($Q2674="","",INDEX(상세표[블록 07~18시],$Q2674))</f>
        <v/>
      </c>
      <c r="M2674" s="20">
        <f>IF($Q2674="","",INDEX(상세표[블록 18~22시],$Q2674))</f>
        <v/>
      </c>
      <c r="N2674" s="20">
        <f>IF($Q2674="","",INDEX(상세표[블록 22~06시],$Q2674))</f>
        <v/>
      </c>
      <c r="O2674">
        <f>IF($Q2674="","",INDEX(상세표[주말·휴일 포함],$Q2674)&amp;"")</f>
        <v/>
      </c>
      <c r="P2674">
        <f>IF($Q2674="","",INDEX(상세표[월 넘김 포함],$Q2674)&amp;"")</f>
        <v/>
      </c>
      <c r="Q2674" s="4">
        <f>IFERROR(MATCH(2669,상세표[연속순번],0),"")</f>
        <v/>
      </c>
    </row>
    <row r="2675">
      <c r="A2675">
        <f>IF($Q2675="","",INDEX(상세표[부서],$Q2675)&amp;"")</f>
        <v/>
      </c>
      <c r="B2675">
        <f>IF($Q2675="","",INDEX(상세표[사번],$Q2675)&amp;"")</f>
        <v/>
      </c>
      <c r="C2675">
        <f>IF($Q2675="","",INDEX(상세표[성명],$Q2675)&amp;"")</f>
        <v/>
      </c>
      <c r="D2675">
        <f>IF($Q2675="","",INDEX(상세표[직위],$Q2675)&amp;"")</f>
        <v/>
      </c>
      <c r="E2675">
        <f>IF($Q2675="","",IF(ISNUMBER(INDEX(상세표[근무일자],$Q2675)),TEXT(INDEX(상세표[근무일자],$Q2675),"yyyy-mm-dd"),INDEX(상세표[근무일자],$Q2675)&amp;""))</f>
        <v/>
      </c>
      <c r="F2675">
        <f>IF($Q2675="","",IF(ISNUMBER(INDEX(상세표[시작],$Q2675)),TEXT(INDEX(상세표[시작],$Q2675),"yyyy-mm-dd hh:mm"),INDEX(상세표[시작],$Q2675)&amp;""))</f>
        <v/>
      </c>
      <c r="G2675">
        <f>IF($Q2675="","",IF(ISNUMBER(INDEX(상세표[블록종료],$Q2675)),TEXT(INDEX(상세표[블록종료],$Q2675),"yyyy-mm-dd hh:mm"),INDEX(상세표[블록종료],$Q2675)&amp;""))</f>
        <v/>
      </c>
      <c r="H2675">
        <f>IF($Q2675="","",CHOOSE(WEEKDAY(INDEX(상세표[시작],$Q2675)),"일","월","화","수","목","금","토"))</f>
        <v/>
      </c>
      <c r="I2675" s="20">
        <f>IF($Q2675="","",INDEX(상세표[연속 시간],$Q2675))</f>
        <v/>
      </c>
      <c r="J2675">
        <f>IF($Q2675="","",INDEX(상세표[기록 수],$Q2675))</f>
        <v/>
      </c>
      <c r="K2675" s="20">
        <f>IF($Q2675="","",INDEX(상세표[블록 06~07시],$Q2675))</f>
        <v/>
      </c>
      <c r="L2675" s="20">
        <f>IF($Q2675="","",INDEX(상세표[블록 07~18시],$Q2675))</f>
        <v/>
      </c>
      <c r="M2675" s="20">
        <f>IF($Q2675="","",INDEX(상세표[블록 18~22시],$Q2675))</f>
        <v/>
      </c>
      <c r="N2675" s="20">
        <f>IF($Q2675="","",INDEX(상세표[블록 22~06시],$Q2675))</f>
        <v/>
      </c>
      <c r="O2675">
        <f>IF($Q2675="","",INDEX(상세표[주말·휴일 포함],$Q2675)&amp;"")</f>
        <v/>
      </c>
      <c r="P2675">
        <f>IF($Q2675="","",INDEX(상세표[월 넘김 포함],$Q2675)&amp;"")</f>
        <v/>
      </c>
      <c r="Q2675" s="4">
        <f>IFERROR(MATCH(2670,상세표[연속순번],0),"")</f>
        <v/>
      </c>
    </row>
    <row r="2676">
      <c r="A2676">
        <f>IF($Q2676="","",INDEX(상세표[부서],$Q2676)&amp;"")</f>
        <v/>
      </c>
      <c r="B2676">
        <f>IF($Q2676="","",INDEX(상세표[사번],$Q2676)&amp;"")</f>
        <v/>
      </c>
      <c r="C2676">
        <f>IF($Q2676="","",INDEX(상세표[성명],$Q2676)&amp;"")</f>
        <v/>
      </c>
      <c r="D2676">
        <f>IF($Q2676="","",INDEX(상세표[직위],$Q2676)&amp;"")</f>
        <v/>
      </c>
      <c r="E2676">
        <f>IF($Q2676="","",IF(ISNUMBER(INDEX(상세표[근무일자],$Q2676)),TEXT(INDEX(상세표[근무일자],$Q2676),"yyyy-mm-dd"),INDEX(상세표[근무일자],$Q2676)&amp;""))</f>
        <v/>
      </c>
      <c r="F2676">
        <f>IF($Q2676="","",IF(ISNUMBER(INDEX(상세표[시작],$Q2676)),TEXT(INDEX(상세표[시작],$Q2676),"yyyy-mm-dd hh:mm"),INDEX(상세표[시작],$Q2676)&amp;""))</f>
        <v/>
      </c>
      <c r="G2676">
        <f>IF($Q2676="","",IF(ISNUMBER(INDEX(상세표[블록종료],$Q2676)),TEXT(INDEX(상세표[블록종료],$Q2676),"yyyy-mm-dd hh:mm"),INDEX(상세표[블록종료],$Q2676)&amp;""))</f>
        <v/>
      </c>
      <c r="H2676">
        <f>IF($Q2676="","",CHOOSE(WEEKDAY(INDEX(상세표[시작],$Q2676)),"일","월","화","수","목","금","토"))</f>
        <v/>
      </c>
      <c r="I2676" s="20">
        <f>IF($Q2676="","",INDEX(상세표[연속 시간],$Q2676))</f>
        <v/>
      </c>
      <c r="J2676">
        <f>IF($Q2676="","",INDEX(상세표[기록 수],$Q2676))</f>
        <v/>
      </c>
      <c r="K2676" s="20">
        <f>IF($Q2676="","",INDEX(상세표[블록 06~07시],$Q2676))</f>
        <v/>
      </c>
      <c r="L2676" s="20">
        <f>IF($Q2676="","",INDEX(상세표[블록 07~18시],$Q2676))</f>
        <v/>
      </c>
      <c r="M2676" s="20">
        <f>IF($Q2676="","",INDEX(상세표[블록 18~22시],$Q2676))</f>
        <v/>
      </c>
      <c r="N2676" s="20">
        <f>IF($Q2676="","",INDEX(상세표[블록 22~06시],$Q2676))</f>
        <v/>
      </c>
      <c r="O2676">
        <f>IF($Q2676="","",INDEX(상세표[주말·휴일 포함],$Q2676)&amp;"")</f>
        <v/>
      </c>
      <c r="P2676">
        <f>IF($Q2676="","",INDEX(상세표[월 넘김 포함],$Q2676)&amp;"")</f>
        <v/>
      </c>
      <c r="Q2676" s="4">
        <f>IFERROR(MATCH(2671,상세표[연속순번],0),"")</f>
        <v/>
      </c>
    </row>
    <row r="2677">
      <c r="A2677">
        <f>IF($Q2677="","",INDEX(상세표[부서],$Q2677)&amp;"")</f>
        <v/>
      </c>
      <c r="B2677">
        <f>IF($Q2677="","",INDEX(상세표[사번],$Q2677)&amp;"")</f>
        <v/>
      </c>
      <c r="C2677">
        <f>IF($Q2677="","",INDEX(상세표[성명],$Q2677)&amp;"")</f>
        <v/>
      </c>
      <c r="D2677">
        <f>IF($Q2677="","",INDEX(상세표[직위],$Q2677)&amp;"")</f>
        <v/>
      </c>
      <c r="E2677">
        <f>IF($Q2677="","",IF(ISNUMBER(INDEX(상세표[근무일자],$Q2677)),TEXT(INDEX(상세표[근무일자],$Q2677),"yyyy-mm-dd"),INDEX(상세표[근무일자],$Q2677)&amp;""))</f>
        <v/>
      </c>
      <c r="F2677">
        <f>IF($Q2677="","",IF(ISNUMBER(INDEX(상세표[시작],$Q2677)),TEXT(INDEX(상세표[시작],$Q2677),"yyyy-mm-dd hh:mm"),INDEX(상세표[시작],$Q2677)&amp;""))</f>
        <v/>
      </c>
      <c r="G2677">
        <f>IF($Q2677="","",IF(ISNUMBER(INDEX(상세표[블록종료],$Q2677)),TEXT(INDEX(상세표[블록종료],$Q2677),"yyyy-mm-dd hh:mm"),INDEX(상세표[블록종료],$Q2677)&amp;""))</f>
        <v/>
      </c>
      <c r="H2677">
        <f>IF($Q2677="","",CHOOSE(WEEKDAY(INDEX(상세표[시작],$Q2677)),"일","월","화","수","목","금","토"))</f>
        <v/>
      </c>
      <c r="I2677" s="20">
        <f>IF($Q2677="","",INDEX(상세표[연속 시간],$Q2677))</f>
        <v/>
      </c>
      <c r="J2677">
        <f>IF($Q2677="","",INDEX(상세표[기록 수],$Q2677))</f>
        <v/>
      </c>
      <c r="K2677" s="20">
        <f>IF($Q2677="","",INDEX(상세표[블록 06~07시],$Q2677))</f>
        <v/>
      </c>
      <c r="L2677" s="20">
        <f>IF($Q2677="","",INDEX(상세표[블록 07~18시],$Q2677))</f>
        <v/>
      </c>
      <c r="M2677" s="20">
        <f>IF($Q2677="","",INDEX(상세표[블록 18~22시],$Q2677))</f>
        <v/>
      </c>
      <c r="N2677" s="20">
        <f>IF($Q2677="","",INDEX(상세표[블록 22~06시],$Q2677))</f>
        <v/>
      </c>
      <c r="O2677">
        <f>IF($Q2677="","",INDEX(상세표[주말·휴일 포함],$Q2677)&amp;"")</f>
        <v/>
      </c>
      <c r="P2677">
        <f>IF($Q2677="","",INDEX(상세표[월 넘김 포함],$Q2677)&amp;"")</f>
        <v/>
      </c>
      <c r="Q2677" s="4">
        <f>IFERROR(MATCH(2672,상세표[연속순번],0),"")</f>
        <v/>
      </c>
    </row>
    <row r="2678">
      <c r="A2678">
        <f>IF($Q2678="","",INDEX(상세표[부서],$Q2678)&amp;"")</f>
        <v/>
      </c>
      <c r="B2678">
        <f>IF($Q2678="","",INDEX(상세표[사번],$Q2678)&amp;"")</f>
        <v/>
      </c>
      <c r="C2678">
        <f>IF($Q2678="","",INDEX(상세표[성명],$Q2678)&amp;"")</f>
        <v/>
      </c>
      <c r="D2678">
        <f>IF($Q2678="","",INDEX(상세표[직위],$Q2678)&amp;"")</f>
        <v/>
      </c>
      <c r="E2678">
        <f>IF($Q2678="","",IF(ISNUMBER(INDEX(상세표[근무일자],$Q2678)),TEXT(INDEX(상세표[근무일자],$Q2678),"yyyy-mm-dd"),INDEX(상세표[근무일자],$Q2678)&amp;""))</f>
        <v/>
      </c>
      <c r="F2678">
        <f>IF($Q2678="","",IF(ISNUMBER(INDEX(상세표[시작],$Q2678)),TEXT(INDEX(상세표[시작],$Q2678),"yyyy-mm-dd hh:mm"),INDEX(상세표[시작],$Q2678)&amp;""))</f>
        <v/>
      </c>
      <c r="G2678">
        <f>IF($Q2678="","",IF(ISNUMBER(INDEX(상세표[블록종료],$Q2678)),TEXT(INDEX(상세표[블록종료],$Q2678),"yyyy-mm-dd hh:mm"),INDEX(상세표[블록종료],$Q2678)&amp;""))</f>
        <v/>
      </c>
      <c r="H2678">
        <f>IF($Q2678="","",CHOOSE(WEEKDAY(INDEX(상세표[시작],$Q2678)),"일","월","화","수","목","금","토"))</f>
        <v/>
      </c>
      <c r="I2678" s="20">
        <f>IF($Q2678="","",INDEX(상세표[연속 시간],$Q2678))</f>
        <v/>
      </c>
      <c r="J2678">
        <f>IF($Q2678="","",INDEX(상세표[기록 수],$Q2678))</f>
        <v/>
      </c>
      <c r="K2678" s="20">
        <f>IF($Q2678="","",INDEX(상세표[블록 06~07시],$Q2678))</f>
        <v/>
      </c>
      <c r="L2678" s="20">
        <f>IF($Q2678="","",INDEX(상세표[블록 07~18시],$Q2678))</f>
        <v/>
      </c>
      <c r="M2678" s="20">
        <f>IF($Q2678="","",INDEX(상세표[블록 18~22시],$Q2678))</f>
        <v/>
      </c>
      <c r="N2678" s="20">
        <f>IF($Q2678="","",INDEX(상세표[블록 22~06시],$Q2678))</f>
        <v/>
      </c>
      <c r="O2678">
        <f>IF($Q2678="","",INDEX(상세표[주말·휴일 포함],$Q2678)&amp;"")</f>
        <v/>
      </c>
      <c r="P2678">
        <f>IF($Q2678="","",INDEX(상세표[월 넘김 포함],$Q2678)&amp;"")</f>
        <v/>
      </c>
      <c r="Q2678" s="4">
        <f>IFERROR(MATCH(2673,상세표[연속순번],0),"")</f>
        <v/>
      </c>
    </row>
    <row r="2679">
      <c r="A2679">
        <f>IF($Q2679="","",INDEX(상세표[부서],$Q2679)&amp;"")</f>
        <v/>
      </c>
      <c r="B2679">
        <f>IF($Q2679="","",INDEX(상세표[사번],$Q2679)&amp;"")</f>
        <v/>
      </c>
      <c r="C2679">
        <f>IF($Q2679="","",INDEX(상세표[성명],$Q2679)&amp;"")</f>
        <v/>
      </c>
      <c r="D2679">
        <f>IF($Q2679="","",INDEX(상세표[직위],$Q2679)&amp;"")</f>
        <v/>
      </c>
      <c r="E2679">
        <f>IF($Q2679="","",IF(ISNUMBER(INDEX(상세표[근무일자],$Q2679)),TEXT(INDEX(상세표[근무일자],$Q2679),"yyyy-mm-dd"),INDEX(상세표[근무일자],$Q2679)&amp;""))</f>
        <v/>
      </c>
      <c r="F2679">
        <f>IF($Q2679="","",IF(ISNUMBER(INDEX(상세표[시작],$Q2679)),TEXT(INDEX(상세표[시작],$Q2679),"yyyy-mm-dd hh:mm"),INDEX(상세표[시작],$Q2679)&amp;""))</f>
        <v/>
      </c>
      <c r="G2679">
        <f>IF($Q2679="","",IF(ISNUMBER(INDEX(상세표[블록종료],$Q2679)),TEXT(INDEX(상세표[블록종료],$Q2679),"yyyy-mm-dd hh:mm"),INDEX(상세표[블록종료],$Q2679)&amp;""))</f>
        <v/>
      </c>
      <c r="H2679">
        <f>IF($Q2679="","",CHOOSE(WEEKDAY(INDEX(상세표[시작],$Q2679)),"일","월","화","수","목","금","토"))</f>
        <v/>
      </c>
      <c r="I2679" s="20">
        <f>IF($Q2679="","",INDEX(상세표[연속 시간],$Q2679))</f>
        <v/>
      </c>
      <c r="J2679">
        <f>IF($Q2679="","",INDEX(상세표[기록 수],$Q2679))</f>
        <v/>
      </c>
      <c r="K2679" s="20">
        <f>IF($Q2679="","",INDEX(상세표[블록 06~07시],$Q2679))</f>
        <v/>
      </c>
      <c r="L2679" s="20">
        <f>IF($Q2679="","",INDEX(상세표[블록 07~18시],$Q2679))</f>
        <v/>
      </c>
      <c r="M2679" s="20">
        <f>IF($Q2679="","",INDEX(상세표[블록 18~22시],$Q2679))</f>
        <v/>
      </c>
      <c r="N2679" s="20">
        <f>IF($Q2679="","",INDEX(상세표[블록 22~06시],$Q2679))</f>
        <v/>
      </c>
      <c r="O2679">
        <f>IF($Q2679="","",INDEX(상세표[주말·휴일 포함],$Q2679)&amp;"")</f>
        <v/>
      </c>
      <c r="P2679">
        <f>IF($Q2679="","",INDEX(상세표[월 넘김 포함],$Q2679)&amp;"")</f>
        <v/>
      </c>
      <c r="Q2679" s="4">
        <f>IFERROR(MATCH(2674,상세표[연속순번],0),"")</f>
        <v/>
      </c>
    </row>
    <row r="2680">
      <c r="A2680">
        <f>IF($Q2680="","",INDEX(상세표[부서],$Q2680)&amp;"")</f>
        <v/>
      </c>
      <c r="B2680">
        <f>IF($Q2680="","",INDEX(상세표[사번],$Q2680)&amp;"")</f>
        <v/>
      </c>
      <c r="C2680">
        <f>IF($Q2680="","",INDEX(상세표[성명],$Q2680)&amp;"")</f>
        <v/>
      </c>
      <c r="D2680">
        <f>IF($Q2680="","",INDEX(상세표[직위],$Q2680)&amp;"")</f>
        <v/>
      </c>
      <c r="E2680">
        <f>IF($Q2680="","",IF(ISNUMBER(INDEX(상세표[근무일자],$Q2680)),TEXT(INDEX(상세표[근무일자],$Q2680),"yyyy-mm-dd"),INDEX(상세표[근무일자],$Q2680)&amp;""))</f>
        <v/>
      </c>
      <c r="F2680">
        <f>IF($Q2680="","",IF(ISNUMBER(INDEX(상세표[시작],$Q2680)),TEXT(INDEX(상세표[시작],$Q2680),"yyyy-mm-dd hh:mm"),INDEX(상세표[시작],$Q2680)&amp;""))</f>
        <v/>
      </c>
      <c r="G2680">
        <f>IF($Q2680="","",IF(ISNUMBER(INDEX(상세표[블록종료],$Q2680)),TEXT(INDEX(상세표[블록종료],$Q2680),"yyyy-mm-dd hh:mm"),INDEX(상세표[블록종료],$Q2680)&amp;""))</f>
        <v/>
      </c>
      <c r="H2680">
        <f>IF($Q2680="","",CHOOSE(WEEKDAY(INDEX(상세표[시작],$Q2680)),"일","월","화","수","목","금","토"))</f>
        <v/>
      </c>
      <c r="I2680" s="20">
        <f>IF($Q2680="","",INDEX(상세표[연속 시간],$Q2680))</f>
        <v/>
      </c>
      <c r="J2680">
        <f>IF($Q2680="","",INDEX(상세표[기록 수],$Q2680))</f>
        <v/>
      </c>
      <c r="K2680" s="20">
        <f>IF($Q2680="","",INDEX(상세표[블록 06~07시],$Q2680))</f>
        <v/>
      </c>
      <c r="L2680" s="20">
        <f>IF($Q2680="","",INDEX(상세표[블록 07~18시],$Q2680))</f>
        <v/>
      </c>
      <c r="M2680" s="20">
        <f>IF($Q2680="","",INDEX(상세표[블록 18~22시],$Q2680))</f>
        <v/>
      </c>
      <c r="N2680" s="20">
        <f>IF($Q2680="","",INDEX(상세표[블록 22~06시],$Q2680))</f>
        <v/>
      </c>
      <c r="O2680">
        <f>IF($Q2680="","",INDEX(상세표[주말·휴일 포함],$Q2680)&amp;"")</f>
        <v/>
      </c>
      <c r="P2680">
        <f>IF($Q2680="","",INDEX(상세표[월 넘김 포함],$Q2680)&amp;"")</f>
        <v/>
      </c>
      <c r="Q2680" s="4">
        <f>IFERROR(MATCH(2675,상세표[연속순번],0),"")</f>
        <v/>
      </c>
    </row>
    <row r="2681">
      <c r="A2681">
        <f>IF($Q2681="","",INDEX(상세표[부서],$Q2681)&amp;"")</f>
        <v/>
      </c>
      <c r="B2681">
        <f>IF($Q2681="","",INDEX(상세표[사번],$Q2681)&amp;"")</f>
        <v/>
      </c>
      <c r="C2681">
        <f>IF($Q2681="","",INDEX(상세표[성명],$Q2681)&amp;"")</f>
        <v/>
      </c>
      <c r="D2681">
        <f>IF($Q2681="","",INDEX(상세표[직위],$Q2681)&amp;"")</f>
        <v/>
      </c>
      <c r="E2681">
        <f>IF($Q2681="","",IF(ISNUMBER(INDEX(상세표[근무일자],$Q2681)),TEXT(INDEX(상세표[근무일자],$Q2681),"yyyy-mm-dd"),INDEX(상세표[근무일자],$Q2681)&amp;""))</f>
        <v/>
      </c>
      <c r="F2681">
        <f>IF($Q2681="","",IF(ISNUMBER(INDEX(상세표[시작],$Q2681)),TEXT(INDEX(상세표[시작],$Q2681),"yyyy-mm-dd hh:mm"),INDEX(상세표[시작],$Q2681)&amp;""))</f>
        <v/>
      </c>
      <c r="G2681">
        <f>IF($Q2681="","",IF(ISNUMBER(INDEX(상세표[블록종료],$Q2681)),TEXT(INDEX(상세표[블록종료],$Q2681),"yyyy-mm-dd hh:mm"),INDEX(상세표[블록종료],$Q2681)&amp;""))</f>
        <v/>
      </c>
      <c r="H2681">
        <f>IF($Q2681="","",CHOOSE(WEEKDAY(INDEX(상세표[시작],$Q2681)),"일","월","화","수","목","금","토"))</f>
        <v/>
      </c>
      <c r="I2681" s="20">
        <f>IF($Q2681="","",INDEX(상세표[연속 시간],$Q2681))</f>
        <v/>
      </c>
      <c r="J2681">
        <f>IF($Q2681="","",INDEX(상세표[기록 수],$Q2681))</f>
        <v/>
      </c>
      <c r="K2681" s="20">
        <f>IF($Q2681="","",INDEX(상세표[블록 06~07시],$Q2681))</f>
        <v/>
      </c>
      <c r="L2681" s="20">
        <f>IF($Q2681="","",INDEX(상세표[블록 07~18시],$Q2681))</f>
        <v/>
      </c>
      <c r="M2681" s="20">
        <f>IF($Q2681="","",INDEX(상세표[블록 18~22시],$Q2681))</f>
        <v/>
      </c>
      <c r="N2681" s="20">
        <f>IF($Q2681="","",INDEX(상세표[블록 22~06시],$Q2681))</f>
        <v/>
      </c>
      <c r="O2681">
        <f>IF($Q2681="","",INDEX(상세표[주말·휴일 포함],$Q2681)&amp;"")</f>
        <v/>
      </c>
      <c r="P2681">
        <f>IF($Q2681="","",INDEX(상세표[월 넘김 포함],$Q2681)&amp;"")</f>
        <v/>
      </c>
      <c r="Q2681" s="4">
        <f>IFERROR(MATCH(2676,상세표[연속순번],0),"")</f>
        <v/>
      </c>
    </row>
    <row r="2682">
      <c r="A2682">
        <f>IF($Q2682="","",INDEX(상세표[부서],$Q2682)&amp;"")</f>
        <v/>
      </c>
      <c r="B2682">
        <f>IF($Q2682="","",INDEX(상세표[사번],$Q2682)&amp;"")</f>
        <v/>
      </c>
      <c r="C2682">
        <f>IF($Q2682="","",INDEX(상세표[성명],$Q2682)&amp;"")</f>
        <v/>
      </c>
      <c r="D2682">
        <f>IF($Q2682="","",INDEX(상세표[직위],$Q2682)&amp;"")</f>
        <v/>
      </c>
      <c r="E2682">
        <f>IF($Q2682="","",IF(ISNUMBER(INDEX(상세표[근무일자],$Q2682)),TEXT(INDEX(상세표[근무일자],$Q2682),"yyyy-mm-dd"),INDEX(상세표[근무일자],$Q2682)&amp;""))</f>
        <v/>
      </c>
      <c r="F2682">
        <f>IF($Q2682="","",IF(ISNUMBER(INDEX(상세표[시작],$Q2682)),TEXT(INDEX(상세표[시작],$Q2682),"yyyy-mm-dd hh:mm"),INDEX(상세표[시작],$Q2682)&amp;""))</f>
        <v/>
      </c>
      <c r="G2682">
        <f>IF($Q2682="","",IF(ISNUMBER(INDEX(상세표[블록종료],$Q2682)),TEXT(INDEX(상세표[블록종료],$Q2682),"yyyy-mm-dd hh:mm"),INDEX(상세표[블록종료],$Q2682)&amp;""))</f>
        <v/>
      </c>
      <c r="H2682">
        <f>IF($Q2682="","",CHOOSE(WEEKDAY(INDEX(상세표[시작],$Q2682)),"일","월","화","수","목","금","토"))</f>
        <v/>
      </c>
      <c r="I2682" s="20">
        <f>IF($Q2682="","",INDEX(상세표[연속 시간],$Q2682))</f>
        <v/>
      </c>
      <c r="J2682">
        <f>IF($Q2682="","",INDEX(상세표[기록 수],$Q2682))</f>
        <v/>
      </c>
      <c r="K2682" s="20">
        <f>IF($Q2682="","",INDEX(상세표[블록 06~07시],$Q2682))</f>
        <v/>
      </c>
      <c r="L2682" s="20">
        <f>IF($Q2682="","",INDEX(상세표[블록 07~18시],$Q2682))</f>
        <v/>
      </c>
      <c r="M2682" s="20">
        <f>IF($Q2682="","",INDEX(상세표[블록 18~22시],$Q2682))</f>
        <v/>
      </c>
      <c r="N2682" s="20">
        <f>IF($Q2682="","",INDEX(상세표[블록 22~06시],$Q2682))</f>
        <v/>
      </c>
      <c r="O2682">
        <f>IF($Q2682="","",INDEX(상세표[주말·휴일 포함],$Q2682)&amp;"")</f>
        <v/>
      </c>
      <c r="P2682">
        <f>IF($Q2682="","",INDEX(상세표[월 넘김 포함],$Q2682)&amp;"")</f>
        <v/>
      </c>
      <c r="Q2682" s="4">
        <f>IFERROR(MATCH(2677,상세표[연속순번],0),"")</f>
        <v/>
      </c>
    </row>
    <row r="2683">
      <c r="A2683">
        <f>IF($Q2683="","",INDEX(상세표[부서],$Q2683)&amp;"")</f>
        <v/>
      </c>
      <c r="B2683">
        <f>IF($Q2683="","",INDEX(상세표[사번],$Q2683)&amp;"")</f>
        <v/>
      </c>
      <c r="C2683">
        <f>IF($Q2683="","",INDEX(상세표[성명],$Q2683)&amp;"")</f>
        <v/>
      </c>
      <c r="D2683">
        <f>IF($Q2683="","",INDEX(상세표[직위],$Q2683)&amp;"")</f>
        <v/>
      </c>
      <c r="E2683">
        <f>IF($Q2683="","",IF(ISNUMBER(INDEX(상세표[근무일자],$Q2683)),TEXT(INDEX(상세표[근무일자],$Q2683),"yyyy-mm-dd"),INDEX(상세표[근무일자],$Q2683)&amp;""))</f>
        <v/>
      </c>
      <c r="F2683">
        <f>IF($Q2683="","",IF(ISNUMBER(INDEX(상세표[시작],$Q2683)),TEXT(INDEX(상세표[시작],$Q2683),"yyyy-mm-dd hh:mm"),INDEX(상세표[시작],$Q2683)&amp;""))</f>
        <v/>
      </c>
      <c r="G2683">
        <f>IF($Q2683="","",IF(ISNUMBER(INDEX(상세표[블록종료],$Q2683)),TEXT(INDEX(상세표[블록종료],$Q2683),"yyyy-mm-dd hh:mm"),INDEX(상세표[블록종료],$Q2683)&amp;""))</f>
        <v/>
      </c>
      <c r="H2683">
        <f>IF($Q2683="","",CHOOSE(WEEKDAY(INDEX(상세표[시작],$Q2683)),"일","월","화","수","목","금","토"))</f>
        <v/>
      </c>
      <c r="I2683" s="20">
        <f>IF($Q2683="","",INDEX(상세표[연속 시간],$Q2683))</f>
        <v/>
      </c>
      <c r="J2683">
        <f>IF($Q2683="","",INDEX(상세표[기록 수],$Q2683))</f>
        <v/>
      </c>
      <c r="K2683" s="20">
        <f>IF($Q2683="","",INDEX(상세표[블록 06~07시],$Q2683))</f>
        <v/>
      </c>
      <c r="L2683" s="20">
        <f>IF($Q2683="","",INDEX(상세표[블록 07~18시],$Q2683))</f>
        <v/>
      </c>
      <c r="M2683" s="20">
        <f>IF($Q2683="","",INDEX(상세표[블록 18~22시],$Q2683))</f>
        <v/>
      </c>
      <c r="N2683" s="20">
        <f>IF($Q2683="","",INDEX(상세표[블록 22~06시],$Q2683))</f>
        <v/>
      </c>
      <c r="O2683">
        <f>IF($Q2683="","",INDEX(상세표[주말·휴일 포함],$Q2683)&amp;"")</f>
        <v/>
      </c>
      <c r="P2683">
        <f>IF($Q2683="","",INDEX(상세표[월 넘김 포함],$Q2683)&amp;"")</f>
        <v/>
      </c>
      <c r="Q2683" s="4">
        <f>IFERROR(MATCH(2678,상세표[연속순번],0),"")</f>
        <v/>
      </c>
    </row>
    <row r="2684">
      <c r="A2684">
        <f>IF($Q2684="","",INDEX(상세표[부서],$Q2684)&amp;"")</f>
        <v/>
      </c>
      <c r="B2684">
        <f>IF($Q2684="","",INDEX(상세표[사번],$Q2684)&amp;"")</f>
        <v/>
      </c>
      <c r="C2684">
        <f>IF($Q2684="","",INDEX(상세표[성명],$Q2684)&amp;"")</f>
        <v/>
      </c>
      <c r="D2684">
        <f>IF($Q2684="","",INDEX(상세표[직위],$Q2684)&amp;"")</f>
        <v/>
      </c>
      <c r="E2684">
        <f>IF($Q2684="","",IF(ISNUMBER(INDEX(상세표[근무일자],$Q2684)),TEXT(INDEX(상세표[근무일자],$Q2684),"yyyy-mm-dd"),INDEX(상세표[근무일자],$Q2684)&amp;""))</f>
        <v/>
      </c>
      <c r="F2684">
        <f>IF($Q2684="","",IF(ISNUMBER(INDEX(상세표[시작],$Q2684)),TEXT(INDEX(상세표[시작],$Q2684),"yyyy-mm-dd hh:mm"),INDEX(상세표[시작],$Q2684)&amp;""))</f>
        <v/>
      </c>
      <c r="G2684">
        <f>IF($Q2684="","",IF(ISNUMBER(INDEX(상세표[블록종료],$Q2684)),TEXT(INDEX(상세표[블록종료],$Q2684),"yyyy-mm-dd hh:mm"),INDEX(상세표[블록종료],$Q2684)&amp;""))</f>
        <v/>
      </c>
      <c r="H2684">
        <f>IF($Q2684="","",CHOOSE(WEEKDAY(INDEX(상세표[시작],$Q2684)),"일","월","화","수","목","금","토"))</f>
        <v/>
      </c>
      <c r="I2684" s="20">
        <f>IF($Q2684="","",INDEX(상세표[연속 시간],$Q2684))</f>
        <v/>
      </c>
      <c r="J2684">
        <f>IF($Q2684="","",INDEX(상세표[기록 수],$Q2684))</f>
        <v/>
      </c>
      <c r="K2684" s="20">
        <f>IF($Q2684="","",INDEX(상세표[블록 06~07시],$Q2684))</f>
        <v/>
      </c>
      <c r="L2684" s="20">
        <f>IF($Q2684="","",INDEX(상세표[블록 07~18시],$Q2684))</f>
        <v/>
      </c>
      <c r="M2684" s="20">
        <f>IF($Q2684="","",INDEX(상세표[블록 18~22시],$Q2684))</f>
        <v/>
      </c>
      <c r="N2684" s="20">
        <f>IF($Q2684="","",INDEX(상세표[블록 22~06시],$Q2684))</f>
        <v/>
      </c>
      <c r="O2684">
        <f>IF($Q2684="","",INDEX(상세표[주말·휴일 포함],$Q2684)&amp;"")</f>
        <v/>
      </c>
      <c r="P2684">
        <f>IF($Q2684="","",INDEX(상세표[월 넘김 포함],$Q2684)&amp;"")</f>
        <v/>
      </c>
      <c r="Q2684" s="4">
        <f>IFERROR(MATCH(2679,상세표[연속순번],0),"")</f>
        <v/>
      </c>
    </row>
    <row r="2685">
      <c r="A2685">
        <f>IF($Q2685="","",INDEX(상세표[부서],$Q2685)&amp;"")</f>
        <v/>
      </c>
      <c r="B2685">
        <f>IF($Q2685="","",INDEX(상세표[사번],$Q2685)&amp;"")</f>
        <v/>
      </c>
      <c r="C2685">
        <f>IF($Q2685="","",INDEX(상세표[성명],$Q2685)&amp;"")</f>
        <v/>
      </c>
      <c r="D2685">
        <f>IF($Q2685="","",INDEX(상세표[직위],$Q2685)&amp;"")</f>
        <v/>
      </c>
      <c r="E2685">
        <f>IF($Q2685="","",IF(ISNUMBER(INDEX(상세표[근무일자],$Q2685)),TEXT(INDEX(상세표[근무일자],$Q2685),"yyyy-mm-dd"),INDEX(상세표[근무일자],$Q2685)&amp;""))</f>
        <v/>
      </c>
      <c r="F2685">
        <f>IF($Q2685="","",IF(ISNUMBER(INDEX(상세표[시작],$Q2685)),TEXT(INDEX(상세표[시작],$Q2685),"yyyy-mm-dd hh:mm"),INDEX(상세표[시작],$Q2685)&amp;""))</f>
        <v/>
      </c>
      <c r="G2685">
        <f>IF($Q2685="","",IF(ISNUMBER(INDEX(상세표[블록종료],$Q2685)),TEXT(INDEX(상세표[블록종료],$Q2685),"yyyy-mm-dd hh:mm"),INDEX(상세표[블록종료],$Q2685)&amp;""))</f>
        <v/>
      </c>
      <c r="H2685">
        <f>IF($Q2685="","",CHOOSE(WEEKDAY(INDEX(상세표[시작],$Q2685)),"일","월","화","수","목","금","토"))</f>
        <v/>
      </c>
      <c r="I2685" s="20">
        <f>IF($Q2685="","",INDEX(상세표[연속 시간],$Q2685))</f>
        <v/>
      </c>
      <c r="J2685">
        <f>IF($Q2685="","",INDEX(상세표[기록 수],$Q2685))</f>
        <v/>
      </c>
      <c r="K2685" s="20">
        <f>IF($Q2685="","",INDEX(상세표[블록 06~07시],$Q2685))</f>
        <v/>
      </c>
      <c r="L2685" s="20">
        <f>IF($Q2685="","",INDEX(상세표[블록 07~18시],$Q2685))</f>
        <v/>
      </c>
      <c r="M2685" s="20">
        <f>IF($Q2685="","",INDEX(상세표[블록 18~22시],$Q2685))</f>
        <v/>
      </c>
      <c r="N2685" s="20">
        <f>IF($Q2685="","",INDEX(상세표[블록 22~06시],$Q2685))</f>
        <v/>
      </c>
      <c r="O2685">
        <f>IF($Q2685="","",INDEX(상세표[주말·휴일 포함],$Q2685)&amp;"")</f>
        <v/>
      </c>
      <c r="P2685">
        <f>IF($Q2685="","",INDEX(상세표[월 넘김 포함],$Q2685)&amp;"")</f>
        <v/>
      </c>
      <c r="Q2685" s="4">
        <f>IFERROR(MATCH(2680,상세표[연속순번],0),"")</f>
        <v/>
      </c>
    </row>
    <row r="2686">
      <c r="A2686">
        <f>IF($Q2686="","",INDEX(상세표[부서],$Q2686)&amp;"")</f>
        <v/>
      </c>
      <c r="B2686">
        <f>IF($Q2686="","",INDEX(상세표[사번],$Q2686)&amp;"")</f>
        <v/>
      </c>
      <c r="C2686">
        <f>IF($Q2686="","",INDEX(상세표[성명],$Q2686)&amp;"")</f>
        <v/>
      </c>
      <c r="D2686">
        <f>IF($Q2686="","",INDEX(상세표[직위],$Q2686)&amp;"")</f>
        <v/>
      </c>
      <c r="E2686">
        <f>IF($Q2686="","",IF(ISNUMBER(INDEX(상세표[근무일자],$Q2686)),TEXT(INDEX(상세표[근무일자],$Q2686),"yyyy-mm-dd"),INDEX(상세표[근무일자],$Q2686)&amp;""))</f>
        <v/>
      </c>
      <c r="F2686">
        <f>IF($Q2686="","",IF(ISNUMBER(INDEX(상세표[시작],$Q2686)),TEXT(INDEX(상세표[시작],$Q2686),"yyyy-mm-dd hh:mm"),INDEX(상세표[시작],$Q2686)&amp;""))</f>
        <v/>
      </c>
      <c r="G2686">
        <f>IF($Q2686="","",IF(ISNUMBER(INDEX(상세표[블록종료],$Q2686)),TEXT(INDEX(상세표[블록종료],$Q2686),"yyyy-mm-dd hh:mm"),INDEX(상세표[블록종료],$Q2686)&amp;""))</f>
        <v/>
      </c>
      <c r="H2686">
        <f>IF($Q2686="","",CHOOSE(WEEKDAY(INDEX(상세표[시작],$Q2686)),"일","월","화","수","목","금","토"))</f>
        <v/>
      </c>
      <c r="I2686" s="20">
        <f>IF($Q2686="","",INDEX(상세표[연속 시간],$Q2686))</f>
        <v/>
      </c>
      <c r="J2686">
        <f>IF($Q2686="","",INDEX(상세표[기록 수],$Q2686))</f>
        <v/>
      </c>
      <c r="K2686" s="20">
        <f>IF($Q2686="","",INDEX(상세표[블록 06~07시],$Q2686))</f>
        <v/>
      </c>
      <c r="L2686" s="20">
        <f>IF($Q2686="","",INDEX(상세표[블록 07~18시],$Q2686))</f>
        <v/>
      </c>
      <c r="M2686" s="20">
        <f>IF($Q2686="","",INDEX(상세표[블록 18~22시],$Q2686))</f>
        <v/>
      </c>
      <c r="N2686" s="20">
        <f>IF($Q2686="","",INDEX(상세표[블록 22~06시],$Q2686))</f>
        <v/>
      </c>
      <c r="O2686">
        <f>IF($Q2686="","",INDEX(상세표[주말·휴일 포함],$Q2686)&amp;"")</f>
        <v/>
      </c>
      <c r="P2686">
        <f>IF($Q2686="","",INDEX(상세표[월 넘김 포함],$Q2686)&amp;"")</f>
        <v/>
      </c>
      <c r="Q2686" s="4">
        <f>IFERROR(MATCH(2681,상세표[연속순번],0),"")</f>
        <v/>
      </c>
    </row>
    <row r="2687">
      <c r="A2687">
        <f>IF($Q2687="","",INDEX(상세표[부서],$Q2687)&amp;"")</f>
        <v/>
      </c>
      <c r="B2687">
        <f>IF($Q2687="","",INDEX(상세표[사번],$Q2687)&amp;"")</f>
        <v/>
      </c>
      <c r="C2687">
        <f>IF($Q2687="","",INDEX(상세표[성명],$Q2687)&amp;"")</f>
        <v/>
      </c>
      <c r="D2687">
        <f>IF($Q2687="","",INDEX(상세표[직위],$Q2687)&amp;"")</f>
        <v/>
      </c>
      <c r="E2687">
        <f>IF($Q2687="","",IF(ISNUMBER(INDEX(상세표[근무일자],$Q2687)),TEXT(INDEX(상세표[근무일자],$Q2687),"yyyy-mm-dd"),INDEX(상세표[근무일자],$Q2687)&amp;""))</f>
        <v/>
      </c>
      <c r="F2687">
        <f>IF($Q2687="","",IF(ISNUMBER(INDEX(상세표[시작],$Q2687)),TEXT(INDEX(상세표[시작],$Q2687),"yyyy-mm-dd hh:mm"),INDEX(상세표[시작],$Q2687)&amp;""))</f>
        <v/>
      </c>
      <c r="G2687">
        <f>IF($Q2687="","",IF(ISNUMBER(INDEX(상세표[블록종료],$Q2687)),TEXT(INDEX(상세표[블록종료],$Q2687),"yyyy-mm-dd hh:mm"),INDEX(상세표[블록종료],$Q2687)&amp;""))</f>
        <v/>
      </c>
      <c r="H2687">
        <f>IF($Q2687="","",CHOOSE(WEEKDAY(INDEX(상세표[시작],$Q2687)),"일","월","화","수","목","금","토"))</f>
        <v/>
      </c>
      <c r="I2687" s="20">
        <f>IF($Q2687="","",INDEX(상세표[연속 시간],$Q2687))</f>
        <v/>
      </c>
      <c r="J2687">
        <f>IF($Q2687="","",INDEX(상세표[기록 수],$Q2687))</f>
        <v/>
      </c>
      <c r="K2687" s="20">
        <f>IF($Q2687="","",INDEX(상세표[블록 06~07시],$Q2687))</f>
        <v/>
      </c>
      <c r="L2687" s="20">
        <f>IF($Q2687="","",INDEX(상세표[블록 07~18시],$Q2687))</f>
        <v/>
      </c>
      <c r="M2687" s="20">
        <f>IF($Q2687="","",INDEX(상세표[블록 18~22시],$Q2687))</f>
        <v/>
      </c>
      <c r="N2687" s="20">
        <f>IF($Q2687="","",INDEX(상세표[블록 22~06시],$Q2687))</f>
        <v/>
      </c>
      <c r="O2687">
        <f>IF($Q2687="","",INDEX(상세표[주말·휴일 포함],$Q2687)&amp;"")</f>
        <v/>
      </c>
      <c r="P2687">
        <f>IF($Q2687="","",INDEX(상세표[월 넘김 포함],$Q2687)&amp;"")</f>
        <v/>
      </c>
      <c r="Q2687" s="4">
        <f>IFERROR(MATCH(2682,상세표[연속순번],0),"")</f>
        <v/>
      </c>
    </row>
    <row r="2688">
      <c r="A2688">
        <f>IF($Q2688="","",INDEX(상세표[부서],$Q2688)&amp;"")</f>
        <v/>
      </c>
      <c r="B2688">
        <f>IF($Q2688="","",INDEX(상세표[사번],$Q2688)&amp;"")</f>
        <v/>
      </c>
      <c r="C2688">
        <f>IF($Q2688="","",INDEX(상세표[성명],$Q2688)&amp;"")</f>
        <v/>
      </c>
      <c r="D2688">
        <f>IF($Q2688="","",INDEX(상세표[직위],$Q2688)&amp;"")</f>
        <v/>
      </c>
      <c r="E2688">
        <f>IF($Q2688="","",IF(ISNUMBER(INDEX(상세표[근무일자],$Q2688)),TEXT(INDEX(상세표[근무일자],$Q2688),"yyyy-mm-dd"),INDEX(상세표[근무일자],$Q2688)&amp;""))</f>
        <v/>
      </c>
      <c r="F2688">
        <f>IF($Q2688="","",IF(ISNUMBER(INDEX(상세표[시작],$Q2688)),TEXT(INDEX(상세표[시작],$Q2688),"yyyy-mm-dd hh:mm"),INDEX(상세표[시작],$Q2688)&amp;""))</f>
        <v/>
      </c>
      <c r="G2688">
        <f>IF($Q2688="","",IF(ISNUMBER(INDEX(상세표[블록종료],$Q2688)),TEXT(INDEX(상세표[블록종료],$Q2688),"yyyy-mm-dd hh:mm"),INDEX(상세표[블록종료],$Q2688)&amp;""))</f>
        <v/>
      </c>
      <c r="H2688">
        <f>IF($Q2688="","",CHOOSE(WEEKDAY(INDEX(상세표[시작],$Q2688)),"일","월","화","수","목","금","토"))</f>
        <v/>
      </c>
      <c r="I2688" s="20">
        <f>IF($Q2688="","",INDEX(상세표[연속 시간],$Q2688))</f>
        <v/>
      </c>
      <c r="J2688">
        <f>IF($Q2688="","",INDEX(상세표[기록 수],$Q2688))</f>
        <v/>
      </c>
      <c r="K2688" s="20">
        <f>IF($Q2688="","",INDEX(상세표[블록 06~07시],$Q2688))</f>
        <v/>
      </c>
      <c r="L2688" s="20">
        <f>IF($Q2688="","",INDEX(상세표[블록 07~18시],$Q2688))</f>
        <v/>
      </c>
      <c r="M2688" s="20">
        <f>IF($Q2688="","",INDEX(상세표[블록 18~22시],$Q2688))</f>
        <v/>
      </c>
      <c r="N2688" s="20">
        <f>IF($Q2688="","",INDEX(상세표[블록 22~06시],$Q2688))</f>
        <v/>
      </c>
      <c r="O2688">
        <f>IF($Q2688="","",INDEX(상세표[주말·휴일 포함],$Q2688)&amp;"")</f>
        <v/>
      </c>
      <c r="P2688">
        <f>IF($Q2688="","",INDEX(상세표[월 넘김 포함],$Q2688)&amp;"")</f>
        <v/>
      </c>
      <c r="Q2688" s="4">
        <f>IFERROR(MATCH(2683,상세표[연속순번],0),"")</f>
        <v/>
      </c>
    </row>
    <row r="2689">
      <c r="A2689">
        <f>IF($Q2689="","",INDEX(상세표[부서],$Q2689)&amp;"")</f>
        <v/>
      </c>
      <c r="B2689">
        <f>IF($Q2689="","",INDEX(상세표[사번],$Q2689)&amp;"")</f>
        <v/>
      </c>
      <c r="C2689">
        <f>IF($Q2689="","",INDEX(상세표[성명],$Q2689)&amp;"")</f>
        <v/>
      </c>
      <c r="D2689">
        <f>IF($Q2689="","",INDEX(상세표[직위],$Q2689)&amp;"")</f>
        <v/>
      </c>
      <c r="E2689">
        <f>IF($Q2689="","",IF(ISNUMBER(INDEX(상세표[근무일자],$Q2689)),TEXT(INDEX(상세표[근무일자],$Q2689),"yyyy-mm-dd"),INDEX(상세표[근무일자],$Q2689)&amp;""))</f>
        <v/>
      </c>
      <c r="F2689">
        <f>IF($Q2689="","",IF(ISNUMBER(INDEX(상세표[시작],$Q2689)),TEXT(INDEX(상세표[시작],$Q2689),"yyyy-mm-dd hh:mm"),INDEX(상세표[시작],$Q2689)&amp;""))</f>
        <v/>
      </c>
      <c r="G2689">
        <f>IF($Q2689="","",IF(ISNUMBER(INDEX(상세표[블록종료],$Q2689)),TEXT(INDEX(상세표[블록종료],$Q2689),"yyyy-mm-dd hh:mm"),INDEX(상세표[블록종료],$Q2689)&amp;""))</f>
        <v/>
      </c>
      <c r="H2689">
        <f>IF($Q2689="","",CHOOSE(WEEKDAY(INDEX(상세표[시작],$Q2689)),"일","월","화","수","목","금","토"))</f>
        <v/>
      </c>
      <c r="I2689" s="20">
        <f>IF($Q2689="","",INDEX(상세표[연속 시간],$Q2689))</f>
        <v/>
      </c>
      <c r="J2689">
        <f>IF($Q2689="","",INDEX(상세표[기록 수],$Q2689))</f>
        <v/>
      </c>
      <c r="K2689" s="20">
        <f>IF($Q2689="","",INDEX(상세표[블록 06~07시],$Q2689))</f>
        <v/>
      </c>
      <c r="L2689" s="20">
        <f>IF($Q2689="","",INDEX(상세표[블록 07~18시],$Q2689))</f>
        <v/>
      </c>
      <c r="M2689" s="20">
        <f>IF($Q2689="","",INDEX(상세표[블록 18~22시],$Q2689))</f>
        <v/>
      </c>
      <c r="N2689" s="20">
        <f>IF($Q2689="","",INDEX(상세표[블록 22~06시],$Q2689))</f>
        <v/>
      </c>
      <c r="O2689">
        <f>IF($Q2689="","",INDEX(상세표[주말·휴일 포함],$Q2689)&amp;"")</f>
        <v/>
      </c>
      <c r="P2689">
        <f>IF($Q2689="","",INDEX(상세표[월 넘김 포함],$Q2689)&amp;"")</f>
        <v/>
      </c>
      <c r="Q2689" s="4">
        <f>IFERROR(MATCH(2684,상세표[연속순번],0),"")</f>
        <v/>
      </c>
    </row>
    <row r="2690">
      <c r="A2690">
        <f>IF($Q2690="","",INDEX(상세표[부서],$Q2690)&amp;"")</f>
        <v/>
      </c>
      <c r="B2690">
        <f>IF($Q2690="","",INDEX(상세표[사번],$Q2690)&amp;"")</f>
        <v/>
      </c>
      <c r="C2690">
        <f>IF($Q2690="","",INDEX(상세표[성명],$Q2690)&amp;"")</f>
        <v/>
      </c>
      <c r="D2690">
        <f>IF($Q2690="","",INDEX(상세표[직위],$Q2690)&amp;"")</f>
        <v/>
      </c>
      <c r="E2690">
        <f>IF($Q2690="","",IF(ISNUMBER(INDEX(상세표[근무일자],$Q2690)),TEXT(INDEX(상세표[근무일자],$Q2690),"yyyy-mm-dd"),INDEX(상세표[근무일자],$Q2690)&amp;""))</f>
        <v/>
      </c>
      <c r="F2690">
        <f>IF($Q2690="","",IF(ISNUMBER(INDEX(상세표[시작],$Q2690)),TEXT(INDEX(상세표[시작],$Q2690),"yyyy-mm-dd hh:mm"),INDEX(상세표[시작],$Q2690)&amp;""))</f>
        <v/>
      </c>
      <c r="G2690">
        <f>IF($Q2690="","",IF(ISNUMBER(INDEX(상세표[블록종료],$Q2690)),TEXT(INDEX(상세표[블록종료],$Q2690),"yyyy-mm-dd hh:mm"),INDEX(상세표[블록종료],$Q2690)&amp;""))</f>
        <v/>
      </c>
      <c r="H2690">
        <f>IF($Q2690="","",CHOOSE(WEEKDAY(INDEX(상세표[시작],$Q2690)),"일","월","화","수","목","금","토"))</f>
        <v/>
      </c>
      <c r="I2690" s="20">
        <f>IF($Q2690="","",INDEX(상세표[연속 시간],$Q2690))</f>
        <v/>
      </c>
      <c r="J2690">
        <f>IF($Q2690="","",INDEX(상세표[기록 수],$Q2690))</f>
        <v/>
      </c>
      <c r="K2690" s="20">
        <f>IF($Q2690="","",INDEX(상세표[블록 06~07시],$Q2690))</f>
        <v/>
      </c>
      <c r="L2690" s="20">
        <f>IF($Q2690="","",INDEX(상세표[블록 07~18시],$Q2690))</f>
        <v/>
      </c>
      <c r="M2690" s="20">
        <f>IF($Q2690="","",INDEX(상세표[블록 18~22시],$Q2690))</f>
        <v/>
      </c>
      <c r="N2690" s="20">
        <f>IF($Q2690="","",INDEX(상세표[블록 22~06시],$Q2690))</f>
        <v/>
      </c>
      <c r="O2690">
        <f>IF($Q2690="","",INDEX(상세표[주말·휴일 포함],$Q2690)&amp;"")</f>
        <v/>
      </c>
      <c r="P2690">
        <f>IF($Q2690="","",INDEX(상세표[월 넘김 포함],$Q2690)&amp;"")</f>
        <v/>
      </c>
      <c r="Q2690" s="4">
        <f>IFERROR(MATCH(2685,상세표[연속순번],0),"")</f>
        <v/>
      </c>
    </row>
    <row r="2691">
      <c r="A2691">
        <f>IF($Q2691="","",INDEX(상세표[부서],$Q2691)&amp;"")</f>
        <v/>
      </c>
      <c r="B2691">
        <f>IF($Q2691="","",INDEX(상세표[사번],$Q2691)&amp;"")</f>
        <v/>
      </c>
      <c r="C2691">
        <f>IF($Q2691="","",INDEX(상세표[성명],$Q2691)&amp;"")</f>
        <v/>
      </c>
      <c r="D2691">
        <f>IF($Q2691="","",INDEX(상세표[직위],$Q2691)&amp;"")</f>
        <v/>
      </c>
      <c r="E2691">
        <f>IF($Q2691="","",IF(ISNUMBER(INDEX(상세표[근무일자],$Q2691)),TEXT(INDEX(상세표[근무일자],$Q2691),"yyyy-mm-dd"),INDEX(상세표[근무일자],$Q2691)&amp;""))</f>
        <v/>
      </c>
      <c r="F2691">
        <f>IF($Q2691="","",IF(ISNUMBER(INDEX(상세표[시작],$Q2691)),TEXT(INDEX(상세표[시작],$Q2691),"yyyy-mm-dd hh:mm"),INDEX(상세표[시작],$Q2691)&amp;""))</f>
        <v/>
      </c>
      <c r="G2691">
        <f>IF($Q2691="","",IF(ISNUMBER(INDEX(상세표[블록종료],$Q2691)),TEXT(INDEX(상세표[블록종료],$Q2691),"yyyy-mm-dd hh:mm"),INDEX(상세표[블록종료],$Q2691)&amp;""))</f>
        <v/>
      </c>
      <c r="H2691">
        <f>IF($Q2691="","",CHOOSE(WEEKDAY(INDEX(상세표[시작],$Q2691)),"일","월","화","수","목","금","토"))</f>
        <v/>
      </c>
      <c r="I2691" s="20">
        <f>IF($Q2691="","",INDEX(상세표[연속 시간],$Q2691))</f>
        <v/>
      </c>
      <c r="J2691">
        <f>IF($Q2691="","",INDEX(상세표[기록 수],$Q2691))</f>
        <v/>
      </c>
      <c r="K2691" s="20">
        <f>IF($Q2691="","",INDEX(상세표[블록 06~07시],$Q2691))</f>
        <v/>
      </c>
      <c r="L2691" s="20">
        <f>IF($Q2691="","",INDEX(상세표[블록 07~18시],$Q2691))</f>
        <v/>
      </c>
      <c r="M2691" s="20">
        <f>IF($Q2691="","",INDEX(상세표[블록 18~22시],$Q2691))</f>
        <v/>
      </c>
      <c r="N2691" s="20">
        <f>IF($Q2691="","",INDEX(상세표[블록 22~06시],$Q2691))</f>
        <v/>
      </c>
      <c r="O2691">
        <f>IF($Q2691="","",INDEX(상세표[주말·휴일 포함],$Q2691)&amp;"")</f>
        <v/>
      </c>
      <c r="P2691">
        <f>IF($Q2691="","",INDEX(상세표[월 넘김 포함],$Q2691)&amp;"")</f>
        <v/>
      </c>
      <c r="Q2691" s="4">
        <f>IFERROR(MATCH(2686,상세표[연속순번],0),"")</f>
        <v/>
      </c>
    </row>
    <row r="2692">
      <c r="A2692">
        <f>IF($Q2692="","",INDEX(상세표[부서],$Q2692)&amp;"")</f>
        <v/>
      </c>
      <c r="B2692">
        <f>IF($Q2692="","",INDEX(상세표[사번],$Q2692)&amp;"")</f>
        <v/>
      </c>
      <c r="C2692">
        <f>IF($Q2692="","",INDEX(상세표[성명],$Q2692)&amp;"")</f>
        <v/>
      </c>
      <c r="D2692">
        <f>IF($Q2692="","",INDEX(상세표[직위],$Q2692)&amp;"")</f>
        <v/>
      </c>
      <c r="E2692">
        <f>IF($Q2692="","",IF(ISNUMBER(INDEX(상세표[근무일자],$Q2692)),TEXT(INDEX(상세표[근무일자],$Q2692),"yyyy-mm-dd"),INDEX(상세표[근무일자],$Q2692)&amp;""))</f>
        <v/>
      </c>
      <c r="F2692">
        <f>IF($Q2692="","",IF(ISNUMBER(INDEX(상세표[시작],$Q2692)),TEXT(INDEX(상세표[시작],$Q2692),"yyyy-mm-dd hh:mm"),INDEX(상세표[시작],$Q2692)&amp;""))</f>
        <v/>
      </c>
      <c r="G2692">
        <f>IF($Q2692="","",IF(ISNUMBER(INDEX(상세표[블록종료],$Q2692)),TEXT(INDEX(상세표[블록종료],$Q2692),"yyyy-mm-dd hh:mm"),INDEX(상세표[블록종료],$Q2692)&amp;""))</f>
        <v/>
      </c>
      <c r="H2692">
        <f>IF($Q2692="","",CHOOSE(WEEKDAY(INDEX(상세표[시작],$Q2692)),"일","월","화","수","목","금","토"))</f>
        <v/>
      </c>
      <c r="I2692" s="20">
        <f>IF($Q2692="","",INDEX(상세표[연속 시간],$Q2692))</f>
        <v/>
      </c>
      <c r="J2692">
        <f>IF($Q2692="","",INDEX(상세표[기록 수],$Q2692))</f>
        <v/>
      </c>
      <c r="K2692" s="20">
        <f>IF($Q2692="","",INDEX(상세표[블록 06~07시],$Q2692))</f>
        <v/>
      </c>
      <c r="L2692" s="20">
        <f>IF($Q2692="","",INDEX(상세표[블록 07~18시],$Q2692))</f>
        <v/>
      </c>
      <c r="M2692" s="20">
        <f>IF($Q2692="","",INDEX(상세표[블록 18~22시],$Q2692))</f>
        <v/>
      </c>
      <c r="N2692" s="20">
        <f>IF($Q2692="","",INDEX(상세표[블록 22~06시],$Q2692))</f>
        <v/>
      </c>
      <c r="O2692">
        <f>IF($Q2692="","",INDEX(상세표[주말·휴일 포함],$Q2692)&amp;"")</f>
        <v/>
      </c>
      <c r="P2692">
        <f>IF($Q2692="","",INDEX(상세표[월 넘김 포함],$Q2692)&amp;"")</f>
        <v/>
      </c>
      <c r="Q2692" s="4">
        <f>IFERROR(MATCH(2687,상세표[연속순번],0),"")</f>
        <v/>
      </c>
    </row>
    <row r="2693">
      <c r="A2693">
        <f>IF($Q2693="","",INDEX(상세표[부서],$Q2693)&amp;"")</f>
        <v/>
      </c>
      <c r="B2693">
        <f>IF($Q2693="","",INDEX(상세표[사번],$Q2693)&amp;"")</f>
        <v/>
      </c>
      <c r="C2693">
        <f>IF($Q2693="","",INDEX(상세표[성명],$Q2693)&amp;"")</f>
        <v/>
      </c>
      <c r="D2693">
        <f>IF($Q2693="","",INDEX(상세표[직위],$Q2693)&amp;"")</f>
        <v/>
      </c>
      <c r="E2693">
        <f>IF($Q2693="","",IF(ISNUMBER(INDEX(상세표[근무일자],$Q2693)),TEXT(INDEX(상세표[근무일자],$Q2693),"yyyy-mm-dd"),INDEX(상세표[근무일자],$Q2693)&amp;""))</f>
        <v/>
      </c>
      <c r="F2693">
        <f>IF($Q2693="","",IF(ISNUMBER(INDEX(상세표[시작],$Q2693)),TEXT(INDEX(상세표[시작],$Q2693),"yyyy-mm-dd hh:mm"),INDEX(상세표[시작],$Q2693)&amp;""))</f>
        <v/>
      </c>
      <c r="G2693">
        <f>IF($Q2693="","",IF(ISNUMBER(INDEX(상세표[블록종료],$Q2693)),TEXT(INDEX(상세표[블록종료],$Q2693),"yyyy-mm-dd hh:mm"),INDEX(상세표[블록종료],$Q2693)&amp;""))</f>
        <v/>
      </c>
      <c r="H2693">
        <f>IF($Q2693="","",CHOOSE(WEEKDAY(INDEX(상세표[시작],$Q2693)),"일","월","화","수","목","금","토"))</f>
        <v/>
      </c>
      <c r="I2693" s="20">
        <f>IF($Q2693="","",INDEX(상세표[연속 시간],$Q2693))</f>
        <v/>
      </c>
      <c r="J2693">
        <f>IF($Q2693="","",INDEX(상세표[기록 수],$Q2693))</f>
        <v/>
      </c>
      <c r="K2693" s="20">
        <f>IF($Q2693="","",INDEX(상세표[블록 06~07시],$Q2693))</f>
        <v/>
      </c>
      <c r="L2693" s="20">
        <f>IF($Q2693="","",INDEX(상세표[블록 07~18시],$Q2693))</f>
        <v/>
      </c>
      <c r="M2693" s="20">
        <f>IF($Q2693="","",INDEX(상세표[블록 18~22시],$Q2693))</f>
        <v/>
      </c>
      <c r="N2693" s="20">
        <f>IF($Q2693="","",INDEX(상세표[블록 22~06시],$Q2693))</f>
        <v/>
      </c>
      <c r="O2693">
        <f>IF($Q2693="","",INDEX(상세표[주말·휴일 포함],$Q2693)&amp;"")</f>
        <v/>
      </c>
      <c r="P2693">
        <f>IF($Q2693="","",INDEX(상세표[월 넘김 포함],$Q2693)&amp;"")</f>
        <v/>
      </c>
      <c r="Q2693" s="4">
        <f>IFERROR(MATCH(2688,상세표[연속순번],0),"")</f>
        <v/>
      </c>
    </row>
    <row r="2694">
      <c r="A2694">
        <f>IF($Q2694="","",INDEX(상세표[부서],$Q2694)&amp;"")</f>
        <v/>
      </c>
      <c r="B2694">
        <f>IF($Q2694="","",INDEX(상세표[사번],$Q2694)&amp;"")</f>
        <v/>
      </c>
      <c r="C2694">
        <f>IF($Q2694="","",INDEX(상세표[성명],$Q2694)&amp;"")</f>
        <v/>
      </c>
      <c r="D2694">
        <f>IF($Q2694="","",INDEX(상세표[직위],$Q2694)&amp;"")</f>
        <v/>
      </c>
      <c r="E2694">
        <f>IF($Q2694="","",IF(ISNUMBER(INDEX(상세표[근무일자],$Q2694)),TEXT(INDEX(상세표[근무일자],$Q2694),"yyyy-mm-dd"),INDEX(상세표[근무일자],$Q2694)&amp;""))</f>
        <v/>
      </c>
      <c r="F2694">
        <f>IF($Q2694="","",IF(ISNUMBER(INDEX(상세표[시작],$Q2694)),TEXT(INDEX(상세표[시작],$Q2694),"yyyy-mm-dd hh:mm"),INDEX(상세표[시작],$Q2694)&amp;""))</f>
        <v/>
      </c>
      <c r="G2694">
        <f>IF($Q2694="","",IF(ISNUMBER(INDEX(상세표[블록종료],$Q2694)),TEXT(INDEX(상세표[블록종료],$Q2694),"yyyy-mm-dd hh:mm"),INDEX(상세표[블록종료],$Q2694)&amp;""))</f>
        <v/>
      </c>
      <c r="H2694">
        <f>IF($Q2694="","",CHOOSE(WEEKDAY(INDEX(상세표[시작],$Q2694)),"일","월","화","수","목","금","토"))</f>
        <v/>
      </c>
      <c r="I2694" s="20">
        <f>IF($Q2694="","",INDEX(상세표[연속 시간],$Q2694))</f>
        <v/>
      </c>
      <c r="J2694">
        <f>IF($Q2694="","",INDEX(상세표[기록 수],$Q2694))</f>
        <v/>
      </c>
      <c r="K2694" s="20">
        <f>IF($Q2694="","",INDEX(상세표[블록 06~07시],$Q2694))</f>
        <v/>
      </c>
      <c r="L2694" s="20">
        <f>IF($Q2694="","",INDEX(상세표[블록 07~18시],$Q2694))</f>
        <v/>
      </c>
      <c r="M2694" s="20">
        <f>IF($Q2694="","",INDEX(상세표[블록 18~22시],$Q2694))</f>
        <v/>
      </c>
      <c r="N2694" s="20">
        <f>IF($Q2694="","",INDEX(상세표[블록 22~06시],$Q2694))</f>
        <v/>
      </c>
      <c r="O2694">
        <f>IF($Q2694="","",INDEX(상세표[주말·휴일 포함],$Q2694)&amp;"")</f>
        <v/>
      </c>
      <c r="P2694">
        <f>IF($Q2694="","",INDEX(상세표[월 넘김 포함],$Q2694)&amp;"")</f>
        <v/>
      </c>
      <c r="Q2694" s="4">
        <f>IFERROR(MATCH(2689,상세표[연속순번],0),"")</f>
        <v/>
      </c>
    </row>
    <row r="2695">
      <c r="A2695">
        <f>IF($Q2695="","",INDEX(상세표[부서],$Q2695)&amp;"")</f>
        <v/>
      </c>
      <c r="B2695">
        <f>IF($Q2695="","",INDEX(상세표[사번],$Q2695)&amp;"")</f>
        <v/>
      </c>
      <c r="C2695">
        <f>IF($Q2695="","",INDEX(상세표[성명],$Q2695)&amp;"")</f>
        <v/>
      </c>
      <c r="D2695">
        <f>IF($Q2695="","",INDEX(상세표[직위],$Q2695)&amp;"")</f>
        <v/>
      </c>
      <c r="E2695">
        <f>IF($Q2695="","",IF(ISNUMBER(INDEX(상세표[근무일자],$Q2695)),TEXT(INDEX(상세표[근무일자],$Q2695),"yyyy-mm-dd"),INDEX(상세표[근무일자],$Q2695)&amp;""))</f>
        <v/>
      </c>
      <c r="F2695">
        <f>IF($Q2695="","",IF(ISNUMBER(INDEX(상세표[시작],$Q2695)),TEXT(INDEX(상세표[시작],$Q2695),"yyyy-mm-dd hh:mm"),INDEX(상세표[시작],$Q2695)&amp;""))</f>
        <v/>
      </c>
      <c r="G2695">
        <f>IF($Q2695="","",IF(ISNUMBER(INDEX(상세표[블록종료],$Q2695)),TEXT(INDEX(상세표[블록종료],$Q2695),"yyyy-mm-dd hh:mm"),INDEX(상세표[블록종료],$Q2695)&amp;""))</f>
        <v/>
      </c>
      <c r="H2695">
        <f>IF($Q2695="","",CHOOSE(WEEKDAY(INDEX(상세표[시작],$Q2695)),"일","월","화","수","목","금","토"))</f>
        <v/>
      </c>
      <c r="I2695" s="20">
        <f>IF($Q2695="","",INDEX(상세표[연속 시간],$Q2695))</f>
        <v/>
      </c>
      <c r="J2695">
        <f>IF($Q2695="","",INDEX(상세표[기록 수],$Q2695))</f>
        <v/>
      </c>
      <c r="K2695" s="20">
        <f>IF($Q2695="","",INDEX(상세표[블록 06~07시],$Q2695))</f>
        <v/>
      </c>
      <c r="L2695" s="20">
        <f>IF($Q2695="","",INDEX(상세표[블록 07~18시],$Q2695))</f>
        <v/>
      </c>
      <c r="M2695" s="20">
        <f>IF($Q2695="","",INDEX(상세표[블록 18~22시],$Q2695))</f>
        <v/>
      </c>
      <c r="N2695" s="20">
        <f>IF($Q2695="","",INDEX(상세표[블록 22~06시],$Q2695))</f>
        <v/>
      </c>
      <c r="O2695">
        <f>IF($Q2695="","",INDEX(상세표[주말·휴일 포함],$Q2695)&amp;"")</f>
        <v/>
      </c>
      <c r="P2695">
        <f>IF($Q2695="","",INDEX(상세표[월 넘김 포함],$Q2695)&amp;"")</f>
        <v/>
      </c>
      <c r="Q2695" s="4">
        <f>IFERROR(MATCH(2690,상세표[연속순번],0),"")</f>
        <v/>
      </c>
    </row>
    <row r="2696">
      <c r="A2696">
        <f>IF($Q2696="","",INDEX(상세표[부서],$Q2696)&amp;"")</f>
        <v/>
      </c>
      <c r="B2696">
        <f>IF($Q2696="","",INDEX(상세표[사번],$Q2696)&amp;"")</f>
        <v/>
      </c>
      <c r="C2696">
        <f>IF($Q2696="","",INDEX(상세표[성명],$Q2696)&amp;"")</f>
        <v/>
      </c>
      <c r="D2696">
        <f>IF($Q2696="","",INDEX(상세표[직위],$Q2696)&amp;"")</f>
        <v/>
      </c>
      <c r="E2696">
        <f>IF($Q2696="","",IF(ISNUMBER(INDEX(상세표[근무일자],$Q2696)),TEXT(INDEX(상세표[근무일자],$Q2696),"yyyy-mm-dd"),INDEX(상세표[근무일자],$Q2696)&amp;""))</f>
        <v/>
      </c>
      <c r="F2696">
        <f>IF($Q2696="","",IF(ISNUMBER(INDEX(상세표[시작],$Q2696)),TEXT(INDEX(상세표[시작],$Q2696),"yyyy-mm-dd hh:mm"),INDEX(상세표[시작],$Q2696)&amp;""))</f>
        <v/>
      </c>
      <c r="G2696">
        <f>IF($Q2696="","",IF(ISNUMBER(INDEX(상세표[블록종료],$Q2696)),TEXT(INDEX(상세표[블록종료],$Q2696),"yyyy-mm-dd hh:mm"),INDEX(상세표[블록종료],$Q2696)&amp;""))</f>
        <v/>
      </c>
      <c r="H2696">
        <f>IF($Q2696="","",CHOOSE(WEEKDAY(INDEX(상세표[시작],$Q2696)),"일","월","화","수","목","금","토"))</f>
        <v/>
      </c>
      <c r="I2696" s="20">
        <f>IF($Q2696="","",INDEX(상세표[연속 시간],$Q2696))</f>
        <v/>
      </c>
      <c r="J2696">
        <f>IF($Q2696="","",INDEX(상세표[기록 수],$Q2696))</f>
        <v/>
      </c>
      <c r="K2696" s="20">
        <f>IF($Q2696="","",INDEX(상세표[블록 06~07시],$Q2696))</f>
        <v/>
      </c>
      <c r="L2696" s="20">
        <f>IF($Q2696="","",INDEX(상세표[블록 07~18시],$Q2696))</f>
        <v/>
      </c>
      <c r="M2696" s="20">
        <f>IF($Q2696="","",INDEX(상세표[블록 18~22시],$Q2696))</f>
        <v/>
      </c>
      <c r="N2696" s="20">
        <f>IF($Q2696="","",INDEX(상세표[블록 22~06시],$Q2696))</f>
        <v/>
      </c>
      <c r="O2696">
        <f>IF($Q2696="","",INDEX(상세표[주말·휴일 포함],$Q2696)&amp;"")</f>
        <v/>
      </c>
      <c r="P2696">
        <f>IF($Q2696="","",INDEX(상세표[월 넘김 포함],$Q2696)&amp;"")</f>
        <v/>
      </c>
      <c r="Q2696" s="4">
        <f>IFERROR(MATCH(2691,상세표[연속순번],0),"")</f>
        <v/>
      </c>
    </row>
    <row r="2697">
      <c r="A2697">
        <f>IF($Q2697="","",INDEX(상세표[부서],$Q2697)&amp;"")</f>
        <v/>
      </c>
      <c r="B2697">
        <f>IF($Q2697="","",INDEX(상세표[사번],$Q2697)&amp;"")</f>
        <v/>
      </c>
      <c r="C2697">
        <f>IF($Q2697="","",INDEX(상세표[성명],$Q2697)&amp;"")</f>
        <v/>
      </c>
      <c r="D2697">
        <f>IF($Q2697="","",INDEX(상세표[직위],$Q2697)&amp;"")</f>
        <v/>
      </c>
      <c r="E2697">
        <f>IF($Q2697="","",IF(ISNUMBER(INDEX(상세표[근무일자],$Q2697)),TEXT(INDEX(상세표[근무일자],$Q2697),"yyyy-mm-dd"),INDEX(상세표[근무일자],$Q2697)&amp;""))</f>
        <v/>
      </c>
      <c r="F2697">
        <f>IF($Q2697="","",IF(ISNUMBER(INDEX(상세표[시작],$Q2697)),TEXT(INDEX(상세표[시작],$Q2697),"yyyy-mm-dd hh:mm"),INDEX(상세표[시작],$Q2697)&amp;""))</f>
        <v/>
      </c>
      <c r="G2697">
        <f>IF($Q2697="","",IF(ISNUMBER(INDEX(상세표[블록종료],$Q2697)),TEXT(INDEX(상세표[블록종료],$Q2697),"yyyy-mm-dd hh:mm"),INDEX(상세표[블록종료],$Q2697)&amp;""))</f>
        <v/>
      </c>
      <c r="H2697">
        <f>IF($Q2697="","",CHOOSE(WEEKDAY(INDEX(상세표[시작],$Q2697)),"일","월","화","수","목","금","토"))</f>
        <v/>
      </c>
      <c r="I2697" s="20">
        <f>IF($Q2697="","",INDEX(상세표[연속 시간],$Q2697))</f>
        <v/>
      </c>
      <c r="J2697">
        <f>IF($Q2697="","",INDEX(상세표[기록 수],$Q2697))</f>
        <v/>
      </c>
      <c r="K2697" s="20">
        <f>IF($Q2697="","",INDEX(상세표[블록 06~07시],$Q2697))</f>
        <v/>
      </c>
      <c r="L2697" s="20">
        <f>IF($Q2697="","",INDEX(상세표[블록 07~18시],$Q2697))</f>
        <v/>
      </c>
      <c r="M2697" s="20">
        <f>IF($Q2697="","",INDEX(상세표[블록 18~22시],$Q2697))</f>
        <v/>
      </c>
      <c r="N2697" s="20">
        <f>IF($Q2697="","",INDEX(상세표[블록 22~06시],$Q2697))</f>
        <v/>
      </c>
      <c r="O2697">
        <f>IF($Q2697="","",INDEX(상세표[주말·휴일 포함],$Q2697)&amp;"")</f>
        <v/>
      </c>
      <c r="P2697">
        <f>IF($Q2697="","",INDEX(상세표[월 넘김 포함],$Q2697)&amp;"")</f>
        <v/>
      </c>
      <c r="Q2697" s="4">
        <f>IFERROR(MATCH(2692,상세표[연속순번],0),"")</f>
        <v/>
      </c>
    </row>
    <row r="2698">
      <c r="A2698">
        <f>IF($Q2698="","",INDEX(상세표[부서],$Q2698)&amp;"")</f>
        <v/>
      </c>
      <c r="B2698">
        <f>IF($Q2698="","",INDEX(상세표[사번],$Q2698)&amp;"")</f>
        <v/>
      </c>
      <c r="C2698">
        <f>IF($Q2698="","",INDEX(상세표[성명],$Q2698)&amp;"")</f>
        <v/>
      </c>
      <c r="D2698">
        <f>IF($Q2698="","",INDEX(상세표[직위],$Q2698)&amp;"")</f>
        <v/>
      </c>
      <c r="E2698">
        <f>IF($Q2698="","",IF(ISNUMBER(INDEX(상세표[근무일자],$Q2698)),TEXT(INDEX(상세표[근무일자],$Q2698),"yyyy-mm-dd"),INDEX(상세표[근무일자],$Q2698)&amp;""))</f>
        <v/>
      </c>
      <c r="F2698">
        <f>IF($Q2698="","",IF(ISNUMBER(INDEX(상세표[시작],$Q2698)),TEXT(INDEX(상세표[시작],$Q2698),"yyyy-mm-dd hh:mm"),INDEX(상세표[시작],$Q2698)&amp;""))</f>
        <v/>
      </c>
      <c r="G2698">
        <f>IF($Q2698="","",IF(ISNUMBER(INDEX(상세표[블록종료],$Q2698)),TEXT(INDEX(상세표[블록종료],$Q2698),"yyyy-mm-dd hh:mm"),INDEX(상세표[블록종료],$Q2698)&amp;""))</f>
        <v/>
      </c>
      <c r="H2698">
        <f>IF($Q2698="","",CHOOSE(WEEKDAY(INDEX(상세표[시작],$Q2698)),"일","월","화","수","목","금","토"))</f>
        <v/>
      </c>
      <c r="I2698" s="20">
        <f>IF($Q2698="","",INDEX(상세표[연속 시간],$Q2698))</f>
        <v/>
      </c>
      <c r="J2698">
        <f>IF($Q2698="","",INDEX(상세표[기록 수],$Q2698))</f>
        <v/>
      </c>
      <c r="K2698" s="20">
        <f>IF($Q2698="","",INDEX(상세표[블록 06~07시],$Q2698))</f>
        <v/>
      </c>
      <c r="L2698" s="20">
        <f>IF($Q2698="","",INDEX(상세표[블록 07~18시],$Q2698))</f>
        <v/>
      </c>
      <c r="M2698" s="20">
        <f>IF($Q2698="","",INDEX(상세표[블록 18~22시],$Q2698))</f>
        <v/>
      </c>
      <c r="N2698" s="20">
        <f>IF($Q2698="","",INDEX(상세표[블록 22~06시],$Q2698))</f>
        <v/>
      </c>
      <c r="O2698">
        <f>IF($Q2698="","",INDEX(상세표[주말·휴일 포함],$Q2698)&amp;"")</f>
        <v/>
      </c>
      <c r="P2698">
        <f>IF($Q2698="","",INDEX(상세표[월 넘김 포함],$Q2698)&amp;"")</f>
        <v/>
      </c>
      <c r="Q2698" s="4">
        <f>IFERROR(MATCH(2693,상세표[연속순번],0),"")</f>
        <v/>
      </c>
    </row>
    <row r="2699">
      <c r="A2699">
        <f>IF($Q2699="","",INDEX(상세표[부서],$Q2699)&amp;"")</f>
        <v/>
      </c>
      <c r="B2699">
        <f>IF($Q2699="","",INDEX(상세표[사번],$Q2699)&amp;"")</f>
        <v/>
      </c>
      <c r="C2699">
        <f>IF($Q2699="","",INDEX(상세표[성명],$Q2699)&amp;"")</f>
        <v/>
      </c>
      <c r="D2699">
        <f>IF($Q2699="","",INDEX(상세표[직위],$Q2699)&amp;"")</f>
        <v/>
      </c>
      <c r="E2699">
        <f>IF($Q2699="","",IF(ISNUMBER(INDEX(상세표[근무일자],$Q2699)),TEXT(INDEX(상세표[근무일자],$Q2699),"yyyy-mm-dd"),INDEX(상세표[근무일자],$Q2699)&amp;""))</f>
        <v/>
      </c>
      <c r="F2699">
        <f>IF($Q2699="","",IF(ISNUMBER(INDEX(상세표[시작],$Q2699)),TEXT(INDEX(상세표[시작],$Q2699),"yyyy-mm-dd hh:mm"),INDEX(상세표[시작],$Q2699)&amp;""))</f>
        <v/>
      </c>
      <c r="G2699">
        <f>IF($Q2699="","",IF(ISNUMBER(INDEX(상세표[블록종료],$Q2699)),TEXT(INDEX(상세표[블록종료],$Q2699),"yyyy-mm-dd hh:mm"),INDEX(상세표[블록종료],$Q2699)&amp;""))</f>
        <v/>
      </c>
      <c r="H2699">
        <f>IF($Q2699="","",CHOOSE(WEEKDAY(INDEX(상세표[시작],$Q2699)),"일","월","화","수","목","금","토"))</f>
        <v/>
      </c>
      <c r="I2699" s="20">
        <f>IF($Q2699="","",INDEX(상세표[연속 시간],$Q2699))</f>
        <v/>
      </c>
      <c r="J2699">
        <f>IF($Q2699="","",INDEX(상세표[기록 수],$Q2699))</f>
        <v/>
      </c>
      <c r="K2699" s="20">
        <f>IF($Q2699="","",INDEX(상세표[블록 06~07시],$Q2699))</f>
        <v/>
      </c>
      <c r="L2699" s="20">
        <f>IF($Q2699="","",INDEX(상세표[블록 07~18시],$Q2699))</f>
        <v/>
      </c>
      <c r="M2699" s="20">
        <f>IF($Q2699="","",INDEX(상세표[블록 18~22시],$Q2699))</f>
        <v/>
      </c>
      <c r="N2699" s="20">
        <f>IF($Q2699="","",INDEX(상세표[블록 22~06시],$Q2699))</f>
        <v/>
      </c>
      <c r="O2699">
        <f>IF($Q2699="","",INDEX(상세표[주말·휴일 포함],$Q2699)&amp;"")</f>
        <v/>
      </c>
      <c r="P2699">
        <f>IF($Q2699="","",INDEX(상세표[월 넘김 포함],$Q2699)&amp;"")</f>
        <v/>
      </c>
      <c r="Q2699" s="4">
        <f>IFERROR(MATCH(2694,상세표[연속순번],0),"")</f>
        <v/>
      </c>
    </row>
    <row r="2700">
      <c r="A2700">
        <f>IF($Q2700="","",INDEX(상세표[부서],$Q2700)&amp;"")</f>
        <v/>
      </c>
      <c r="B2700">
        <f>IF($Q2700="","",INDEX(상세표[사번],$Q2700)&amp;"")</f>
        <v/>
      </c>
      <c r="C2700">
        <f>IF($Q2700="","",INDEX(상세표[성명],$Q2700)&amp;"")</f>
        <v/>
      </c>
      <c r="D2700">
        <f>IF($Q2700="","",INDEX(상세표[직위],$Q2700)&amp;"")</f>
        <v/>
      </c>
      <c r="E2700">
        <f>IF($Q2700="","",IF(ISNUMBER(INDEX(상세표[근무일자],$Q2700)),TEXT(INDEX(상세표[근무일자],$Q2700),"yyyy-mm-dd"),INDEX(상세표[근무일자],$Q2700)&amp;""))</f>
        <v/>
      </c>
      <c r="F2700">
        <f>IF($Q2700="","",IF(ISNUMBER(INDEX(상세표[시작],$Q2700)),TEXT(INDEX(상세표[시작],$Q2700),"yyyy-mm-dd hh:mm"),INDEX(상세표[시작],$Q2700)&amp;""))</f>
        <v/>
      </c>
      <c r="G2700">
        <f>IF($Q2700="","",IF(ISNUMBER(INDEX(상세표[블록종료],$Q2700)),TEXT(INDEX(상세표[블록종료],$Q2700),"yyyy-mm-dd hh:mm"),INDEX(상세표[블록종료],$Q2700)&amp;""))</f>
        <v/>
      </c>
      <c r="H2700">
        <f>IF($Q2700="","",CHOOSE(WEEKDAY(INDEX(상세표[시작],$Q2700)),"일","월","화","수","목","금","토"))</f>
        <v/>
      </c>
      <c r="I2700" s="20">
        <f>IF($Q2700="","",INDEX(상세표[연속 시간],$Q2700))</f>
        <v/>
      </c>
      <c r="J2700">
        <f>IF($Q2700="","",INDEX(상세표[기록 수],$Q2700))</f>
        <v/>
      </c>
      <c r="K2700" s="20">
        <f>IF($Q2700="","",INDEX(상세표[블록 06~07시],$Q2700))</f>
        <v/>
      </c>
      <c r="L2700" s="20">
        <f>IF($Q2700="","",INDEX(상세표[블록 07~18시],$Q2700))</f>
        <v/>
      </c>
      <c r="M2700" s="20">
        <f>IF($Q2700="","",INDEX(상세표[블록 18~22시],$Q2700))</f>
        <v/>
      </c>
      <c r="N2700" s="20">
        <f>IF($Q2700="","",INDEX(상세표[블록 22~06시],$Q2700))</f>
        <v/>
      </c>
      <c r="O2700">
        <f>IF($Q2700="","",INDEX(상세표[주말·휴일 포함],$Q2700)&amp;"")</f>
        <v/>
      </c>
      <c r="P2700">
        <f>IF($Q2700="","",INDEX(상세표[월 넘김 포함],$Q2700)&amp;"")</f>
        <v/>
      </c>
      <c r="Q2700" s="4">
        <f>IFERROR(MATCH(2695,상세표[연속순번],0),"")</f>
        <v/>
      </c>
    </row>
    <row r="2701">
      <c r="A2701">
        <f>IF($Q2701="","",INDEX(상세표[부서],$Q2701)&amp;"")</f>
        <v/>
      </c>
      <c r="B2701">
        <f>IF($Q2701="","",INDEX(상세표[사번],$Q2701)&amp;"")</f>
        <v/>
      </c>
      <c r="C2701">
        <f>IF($Q2701="","",INDEX(상세표[성명],$Q2701)&amp;"")</f>
        <v/>
      </c>
      <c r="D2701">
        <f>IF($Q2701="","",INDEX(상세표[직위],$Q2701)&amp;"")</f>
        <v/>
      </c>
      <c r="E2701">
        <f>IF($Q2701="","",IF(ISNUMBER(INDEX(상세표[근무일자],$Q2701)),TEXT(INDEX(상세표[근무일자],$Q2701),"yyyy-mm-dd"),INDEX(상세표[근무일자],$Q2701)&amp;""))</f>
        <v/>
      </c>
      <c r="F2701">
        <f>IF($Q2701="","",IF(ISNUMBER(INDEX(상세표[시작],$Q2701)),TEXT(INDEX(상세표[시작],$Q2701),"yyyy-mm-dd hh:mm"),INDEX(상세표[시작],$Q2701)&amp;""))</f>
        <v/>
      </c>
      <c r="G2701">
        <f>IF($Q2701="","",IF(ISNUMBER(INDEX(상세표[블록종료],$Q2701)),TEXT(INDEX(상세표[블록종료],$Q2701),"yyyy-mm-dd hh:mm"),INDEX(상세표[블록종료],$Q2701)&amp;""))</f>
        <v/>
      </c>
      <c r="H2701">
        <f>IF($Q2701="","",CHOOSE(WEEKDAY(INDEX(상세표[시작],$Q2701)),"일","월","화","수","목","금","토"))</f>
        <v/>
      </c>
      <c r="I2701" s="20">
        <f>IF($Q2701="","",INDEX(상세표[연속 시간],$Q2701))</f>
        <v/>
      </c>
      <c r="J2701">
        <f>IF($Q2701="","",INDEX(상세표[기록 수],$Q2701))</f>
        <v/>
      </c>
      <c r="K2701" s="20">
        <f>IF($Q2701="","",INDEX(상세표[블록 06~07시],$Q2701))</f>
        <v/>
      </c>
      <c r="L2701" s="20">
        <f>IF($Q2701="","",INDEX(상세표[블록 07~18시],$Q2701))</f>
        <v/>
      </c>
      <c r="M2701" s="20">
        <f>IF($Q2701="","",INDEX(상세표[블록 18~22시],$Q2701))</f>
        <v/>
      </c>
      <c r="N2701" s="20">
        <f>IF($Q2701="","",INDEX(상세표[블록 22~06시],$Q2701))</f>
        <v/>
      </c>
      <c r="O2701">
        <f>IF($Q2701="","",INDEX(상세표[주말·휴일 포함],$Q2701)&amp;"")</f>
        <v/>
      </c>
      <c r="P2701">
        <f>IF($Q2701="","",INDEX(상세표[월 넘김 포함],$Q2701)&amp;"")</f>
        <v/>
      </c>
      <c r="Q2701" s="4">
        <f>IFERROR(MATCH(2696,상세표[연속순번],0),"")</f>
        <v/>
      </c>
    </row>
    <row r="2702">
      <c r="A2702">
        <f>IF($Q2702="","",INDEX(상세표[부서],$Q2702)&amp;"")</f>
        <v/>
      </c>
      <c r="B2702">
        <f>IF($Q2702="","",INDEX(상세표[사번],$Q2702)&amp;"")</f>
        <v/>
      </c>
      <c r="C2702">
        <f>IF($Q2702="","",INDEX(상세표[성명],$Q2702)&amp;"")</f>
        <v/>
      </c>
      <c r="D2702">
        <f>IF($Q2702="","",INDEX(상세표[직위],$Q2702)&amp;"")</f>
        <v/>
      </c>
      <c r="E2702">
        <f>IF($Q2702="","",IF(ISNUMBER(INDEX(상세표[근무일자],$Q2702)),TEXT(INDEX(상세표[근무일자],$Q2702),"yyyy-mm-dd"),INDEX(상세표[근무일자],$Q2702)&amp;""))</f>
        <v/>
      </c>
      <c r="F2702">
        <f>IF($Q2702="","",IF(ISNUMBER(INDEX(상세표[시작],$Q2702)),TEXT(INDEX(상세표[시작],$Q2702),"yyyy-mm-dd hh:mm"),INDEX(상세표[시작],$Q2702)&amp;""))</f>
        <v/>
      </c>
      <c r="G2702">
        <f>IF($Q2702="","",IF(ISNUMBER(INDEX(상세표[블록종료],$Q2702)),TEXT(INDEX(상세표[블록종료],$Q2702),"yyyy-mm-dd hh:mm"),INDEX(상세표[블록종료],$Q2702)&amp;""))</f>
        <v/>
      </c>
      <c r="H2702">
        <f>IF($Q2702="","",CHOOSE(WEEKDAY(INDEX(상세표[시작],$Q2702)),"일","월","화","수","목","금","토"))</f>
        <v/>
      </c>
      <c r="I2702" s="20">
        <f>IF($Q2702="","",INDEX(상세표[연속 시간],$Q2702))</f>
        <v/>
      </c>
      <c r="J2702">
        <f>IF($Q2702="","",INDEX(상세표[기록 수],$Q2702))</f>
        <v/>
      </c>
      <c r="K2702" s="20">
        <f>IF($Q2702="","",INDEX(상세표[블록 06~07시],$Q2702))</f>
        <v/>
      </c>
      <c r="L2702" s="20">
        <f>IF($Q2702="","",INDEX(상세표[블록 07~18시],$Q2702))</f>
        <v/>
      </c>
      <c r="M2702" s="20">
        <f>IF($Q2702="","",INDEX(상세표[블록 18~22시],$Q2702))</f>
        <v/>
      </c>
      <c r="N2702" s="20">
        <f>IF($Q2702="","",INDEX(상세표[블록 22~06시],$Q2702))</f>
        <v/>
      </c>
      <c r="O2702">
        <f>IF($Q2702="","",INDEX(상세표[주말·휴일 포함],$Q2702)&amp;"")</f>
        <v/>
      </c>
      <c r="P2702">
        <f>IF($Q2702="","",INDEX(상세표[월 넘김 포함],$Q2702)&amp;"")</f>
        <v/>
      </c>
      <c r="Q2702" s="4">
        <f>IFERROR(MATCH(2697,상세표[연속순번],0),"")</f>
        <v/>
      </c>
    </row>
    <row r="2703">
      <c r="A2703">
        <f>IF($Q2703="","",INDEX(상세표[부서],$Q2703)&amp;"")</f>
        <v/>
      </c>
      <c r="B2703">
        <f>IF($Q2703="","",INDEX(상세표[사번],$Q2703)&amp;"")</f>
        <v/>
      </c>
      <c r="C2703">
        <f>IF($Q2703="","",INDEX(상세표[성명],$Q2703)&amp;"")</f>
        <v/>
      </c>
      <c r="D2703">
        <f>IF($Q2703="","",INDEX(상세표[직위],$Q2703)&amp;"")</f>
        <v/>
      </c>
      <c r="E2703">
        <f>IF($Q2703="","",IF(ISNUMBER(INDEX(상세표[근무일자],$Q2703)),TEXT(INDEX(상세표[근무일자],$Q2703),"yyyy-mm-dd"),INDEX(상세표[근무일자],$Q2703)&amp;""))</f>
        <v/>
      </c>
      <c r="F2703">
        <f>IF($Q2703="","",IF(ISNUMBER(INDEX(상세표[시작],$Q2703)),TEXT(INDEX(상세표[시작],$Q2703),"yyyy-mm-dd hh:mm"),INDEX(상세표[시작],$Q2703)&amp;""))</f>
        <v/>
      </c>
      <c r="G2703">
        <f>IF($Q2703="","",IF(ISNUMBER(INDEX(상세표[블록종료],$Q2703)),TEXT(INDEX(상세표[블록종료],$Q2703),"yyyy-mm-dd hh:mm"),INDEX(상세표[블록종료],$Q2703)&amp;""))</f>
        <v/>
      </c>
      <c r="H2703">
        <f>IF($Q2703="","",CHOOSE(WEEKDAY(INDEX(상세표[시작],$Q2703)),"일","월","화","수","목","금","토"))</f>
        <v/>
      </c>
      <c r="I2703" s="20">
        <f>IF($Q2703="","",INDEX(상세표[연속 시간],$Q2703))</f>
        <v/>
      </c>
      <c r="J2703">
        <f>IF($Q2703="","",INDEX(상세표[기록 수],$Q2703))</f>
        <v/>
      </c>
      <c r="K2703" s="20">
        <f>IF($Q2703="","",INDEX(상세표[블록 06~07시],$Q2703))</f>
        <v/>
      </c>
      <c r="L2703" s="20">
        <f>IF($Q2703="","",INDEX(상세표[블록 07~18시],$Q2703))</f>
        <v/>
      </c>
      <c r="M2703" s="20">
        <f>IF($Q2703="","",INDEX(상세표[블록 18~22시],$Q2703))</f>
        <v/>
      </c>
      <c r="N2703" s="20">
        <f>IF($Q2703="","",INDEX(상세표[블록 22~06시],$Q2703))</f>
        <v/>
      </c>
      <c r="O2703">
        <f>IF($Q2703="","",INDEX(상세표[주말·휴일 포함],$Q2703)&amp;"")</f>
        <v/>
      </c>
      <c r="P2703">
        <f>IF($Q2703="","",INDEX(상세표[월 넘김 포함],$Q2703)&amp;"")</f>
        <v/>
      </c>
      <c r="Q2703" s="4">
        <f>IFERROR(MATCH(2698,상세표[연속순번],0),"")</f>
        <v/>
      </c>
    </row>
    <row r="2704">
      <c r="A2704">
        <f>IF($Q2704="","",INDEX(상세표[부서],$Q2704)&amp;"")</f>
        <v/>
      </c>
      <c r="B2704">
        <f>IF($Q2704="","",INDEX(상세표[사번],$Q2704)&amp;"")</f>
        <v/>
      </c>
      <c r="C2704">
        <f>IF($Q2704="","",INDEX(상세표[성명],$Q2704)&amp;"")</f>
        <v/>
      </c>
      <c r="D2704">
        <f>IF($Q2704="","",INDEX(상세표[직위],$Q2704)&amp;"")</f>
        <v/>
      </c>
      <c r="E2704">
        <f>IF($Q2704="","",IF(ISNUMBER(INDEX(상세표[근무일자],$Q2704)),TEXT(INDEX(상세표[근무일자],$Q2704),"yyyy-mm-dd"),INDEX(상세표[근무일자],$Q2704)&amp;""))</f>
        <v/>
      </c>
      <c r="F2704">
        <f>IF($Q2704="","",IF(ISNUMBER(INDEX(상세표[시작],$Q2704)),TEXT(INDEX(상세표[시작],$Q2704),"yyyy-mm-dd hh:mm"),INDEX(상세표[시작],$Q2704)&amp;""))</f>
        <v/>
      </c>
      <c r="G2704">
        <f>IF($Q2704="","",IF(ISNUMBER(INDEX(상세표[블록종료],$Q2704)),TEXT(INDEX(상세표[블록종료],$Q2704),"yyyy-mm-dd hh:mm"),INDEX(상세표[블록종료],$Q2704)&amp;""))</f>
        <v/>
      </c>
      <c r="H2704">
        <f>IF($Q2704="","",CHOOSE(WEEKDAY(INDEX(상세표[시작],$Q2704)),"일","월","화","수","목","금","토"))</f>
        <v/>
      </c>
      <c r="I2704" s="20">
        <f>IF($Q2704="","",INDEX(상세표[연속 시간],$Q2704))</f>
        <v/>
      </c>
      <c r="J2704">
        <f>IF($Q2704="","",INDEX(상세표[기록 수],$Q2704))</f>
        <v/>
      </c>
      <c r="K2704" s="20">
        <f>IF($Q2704="","",INDEX(상세표[블록 06~07시],$Q2704))</f>
        <v/>
      </c>
      <c r="L2704" s="20">
        <f>IF($Q2704="","",INDEX(상세표[블록 07~18시],$Q2704))</f>
        <v/>
      </c>
      <c r="M2704" s="20">
        <f>IF($Q2704="","",INDEX(상세표[블록 18~22시],$Q2704))</f>
        <v/>
      </c>
      <c r="N2704" s="20">
        <f>IF($Q2704="","",INDEX(상세표[블록 22~06시],$Q2704))</f>
        <v/>
      </c>
      <c r="O2704">
        <f>IF($Q2704="","",INDEX(상세표[주말·휴일 포함],$Q2704)&amp;"")</f>
        <v/>
      </c>
      <c r="P2704">
        <f>IF($Q2704="","",INDEX(상세표[월 넘김 포함],$Q2704)&amp;"")</f>
        <v/>
      </c>
      <c r="Q2704" s="4">
        <f>IFERROR(MATCH(2699,상세표[연속순번],0),"")</f>
        <v/>
      </c>
    </row>
    <row r="2705">
      <c r="A2705">
        <f>IF($Q2705="","",INDEX(상세표[부서],$Q2705)&amp;"")</f>
        <v/>
      </c>
      <c r="B2705">
        <f>IF($Q2705="","",INDEX(상세표[사번],$Q2705)&amp;"")</f>
        <v/>
      </c>
      <c r="C2705">
        <f>IF($Q2705="","",INDEX(상세표[성명],$Q2705)&amp;"")</f>
        <v/>
      </c>
      <c r="D2705">
        <f>IF($Q2705="","",INDEX(상세표[직위],$Q2705)&amp;"")</f>
        <v/>
      </c>
      <c r="E2705">
        <f>IF($Q2705="","",IF(ISNUMBER(INDEX(상세표[근무일자],$Q2705)),TEXT(INDEX(상세표[근무일자],$Q2705),"yyyy-mm-dd"),INDEX(상세표[근무일자],$Q2705)&amp;""))</f>
        <v/>
      </c>
      <c r="F2705">
        <f>IF($Q2705="","",IF(ISNUMBER(INDEX(상세표[시작],$Q2705)),TEXT(INDEX(상세표[시작],$Q2705),"yyyy-mm-dd hh:mm"),INDEX(상세표[시작],$Q2705)&amp;""))</f>
        <v/>
      </c>
      <c r="G2705">
        <f>IF($Q2705="","",IF(ISNUMBER(INDEX(상세표[블록종료],$Q2705)),TEXT(INDEX(상세표[블록종료],$Q2705),"yyyy-mm-dd hh:mm"),INDEX(상세표[블록종료],$Q2705)&amp;""))</f>
        <v/>
      </c>
      <c r="H2705">
        <f>IF($Q2705="","",CHOOSE(WEEKDAY(INDEX(상세표[시작],$Q2705)),"일","월","화","수","목","금","토"))</f>
        <v/>
      </c>
      <c r="I2705" s="20">
        <f>IF($Q2705="","",INDEX(상세표[연속 시간],$Q2705))</f>
        <v/>
      </c>
      <c r="J2705">
        <f>IF($Q2705="","",INDEX(상세표[기록 수],$Q2705))</f>
        <v/>
      </c>
      <c r="K2705" s="20">
        <f>IF($Q2705="","",INDEX(상세표[블록 06~07시],$Q2705))</f>
        <v/>
      </c>
      <c r="L2705" s="20">
        <f>IF($Q2705="","",INDEX(상세표[블록 07~18시],$Q2705))</f>
        <v/>
      </c>
      <c r="M2705" s="20">
        <f>IF($Q2705="","",INDEX(상세표[블록 18~22시],$Q2705))</f>
        <v/>
      </c>
      <c r="N2705" s="20">
        <f>IF($Q2705="","",INDEX(상세표[블록 22~06시],$Q2705))</f>
        <v/>
      </c>
      <c r="O2705">
        <f>IF($Q2705="","",INDEX(상세표[주말·휴일 포함],$Q2705)&amp;"")</f>
        <v/>
      </c>
      <c r="P2705">
        <f>IF($Q2705="","",INDEX(상세표[월 넘김 포함],$Q2705)&amp;"")</f>
        <v/>
      </c>
      <c r="Q2705" s="4">
        <f>IFERROR(MATCH(2700,상세표[연속순번],0),"")</f>
        <v/>
      </c>
    </row>
    <row r="2706">
      <c r="A2706">
        <f>IF($Q2706="","",INDEX(상세표[부서],$Q2706)&amp;"")</f>
        <v/>
      </c>
      <c r="B2706">
        <f>IF($Q2706="","",INDEX(상세표[사번],$Q2706)&amp;"")</f>
        <v/>
      </c>
      <c r="C2706">
        <f>IF($Q2706="","",INDEX(상세표[성명],$Q2706)&amp;"")</f>
        <v/>
      </c>
      <c r="D2706">
        <f>IF($Q2706="","",INDEX(상세표[직위],$Q2706)&amp;"")</f>
        <v/>
      </c>
      <c r="E2706">
        <f>IF($Q2706="","",IF(ISNUMBER(INDEX(상세표[근무일자],$Q2706)),TEXT(INDEX(상세표[근무일자],$Q2706),"yyyy-mm-dd"),INDEX(상세표[근무일자],$Q2706)&amp;""))</f>
        <v/>
      </c>
      <c r="F2706">
        <f>IF($Q2706="","",IF(ISNUMBER(INDEX(상세표[시작],$Q2706)),TEXT(INDEX(상세표[시작],$Q2706),"yyyy-mm-dd hh:mm"),INDEX(상세표[시작],$Q2706)&amp;""))</f>
        <v/>
      </c>
      <c r="G2706">
        <f>IF($Q2706="","",IF(ISNUMBER(INDEX(상세표[블록종료],$Q2706)),TEXT(INDEX(상세표[블록종료],$Q2706),"yyyy-mm-dd hh:mm"),INDEX(상세표[블록종료],$Q2706)&amp;""))</f>
        <v/>
      </c>
      <c r="H2706">
        <f>IF($Q2706="","",CHOOSE(WEEKDAY(INDEX(상세표[시작],$Q2706)),"일","월","화","수","목","금","토"))</f>
        <v/>
      </c>
      <c r="I2706" s="20">
        <f>IF($Q2706="","",INDEX(상세표[연속 시간],$Q2706))</f>
        <v/>
      </c>
      <c r="J2706">
        <f>IF($Q2706="","",INDEX(상세표[기록 수],$Q2706))</f>
        <v/>
      </c>
      <c r="K2706" s="20">
        <f>IF($Q2706="","",INDEX(상세표[블록 06~07시],$Q2706))</f>
        <v/>
      </c>
      <c r="L2706" s="20">
        <f>IF($Q2706="","",INDEX(상세표[블록 07~18시],$Q2706))</f>
        <v/>
      </c>
      <c r="M2706" s="20">
        <f>IF($Q2706="","",INDEX(상세표[블록 18~22시],$Q2706))</f>
        <v/>
      </c>
      <c r="N2706" s="20">
        <f>IF($Q2706="","",INDEX(상세표[블록 22~06시],$Q2706))</f>
        <v/>
      </c>
      <c r="O2706">
        <f>IF($Q2706="","",INDEX(상세표[주말·휴일 포함],$Q2706)&amp;"")</f>
        <v/>
      </c>
      <c r="P2706">
        <f>IF($Q2706="","",INDEX(상세표[월 넘김 포함],$Q2706)&amp;"")</f>
        <v/>
      </c>
      <c r="Q2706" s="4">
        <f>IFERROR(MATCH(2701,상세표[연속순번],0),"")</f>
        <v/>
      </c>
    </row>
    <row r="2707">
      <c r="A2707">
        <f>IF($Q2707="","",INDEX(상세표[부서],$Q2707)&amp;"")</f>
        <v/>
      </c>
      <c r="B2707">
        <f>IF($Q2707="","",INDEX(상세표[사번],$Q2707)&amp;"")</f>
        <v/>
      </c>
      <c r="C2707">
        <f>IF($Q2707="","",INDEX(상세표[성명],$Q2707)&amp;"")</f>
        <v/>
      </c>
      <c r="D2707">
        <f>IF($Q2707="","",INDEX(상세표[직위],$Q2707)&amp;"")</f>
        <v/>
      </c>
      <c r="E2707">
        <f>IF($Q2707="","",IF(ISNUMBER(INDEX(상세표[근무일자],$Q2707)),TEXT(INDEX(상세표[근무일자],$Q2707),"yyyy-mm-dd"),INDEX(상세표[근무일자],$Q2707)&amp;""))</f>
        <v/>
      </c>
      <c r="F2707">
        <f>IF($Q2707="","",IF(ISNUMBER(INDEX(상세표[시작],$Q2707)),TEXT(INDEX(상세표[시작],$Q2707),"yyyy-mm-dd hh:mm"),INDEX(상세표[시작],$Q2707)&amp;""))</f>
        <v/>
      </c>
      <c r="G2707">
        <f>IF($Q2707="","",IF(ISNUMBER(INDEX(상세표[블록종료],$Q2707)),TEXT(INDEX(상세표[블록종료],$Q2707),"yyyy-mm-dd hh:mm"),INDEX(상세표[블록종료],$Q2707)&amp;""))</f>
        <v/>
      </c>
      <c r="H2707">
        <f>IF($Q2707="","",CHOOSE(WEEKDAY(INDEX(상세표[시작],$Q2707)),"일","월","화","수","목","금","토"))</f>
        <v/>
      </c>
      <c r="I2707" s="20">
        <f>IF($Q2707="","",INDEX(상세표[연속 시간],$Q2707))</f>
        <v/>
      </c>
      <c r="J2707">
        <f>IF($Q2707="","",INDEX(상세표[기록 수],$Q2707))</f>
        <v/>
      </c>
      <c r="K2707" s="20">
        <f>IF($Q2707="","",INDEX(상세표[블록 06~07시],$Q2707))</f>
        <v/>
      </c>
      <c r="L2707" s="20">
        <f>IF($Q2707="","",INDEX(상세표[블록 07~18시],$Q2707))</f>
        <v/>
      </c>
      <c r="M2707" s="20">
        <f>IF($Q2707="","",INDEX(상세표[블록 18~22시],$Q2707))</f>
        <v/>
      </c>
      <c r="N2707" s="20">
        <f>IF($Q2707="","",INDEX(상세표[블록 22~06시],$Q2707))</f>
        <v/>
      </c>
      <c r="O2707">
        <f>IF($Q2707="","",INDEX(상세표[주말·휴일 포함],$Q2707)&amp;"")</f>
        <v/>
      </c>
      <c r="P2707">
        <f>IF($Q2707="","",INDEX(상세표[월 넘김 포함],$Q2707)&amp;"")</f>
        <v/>
      </c>
      <c r="Q2707" s="4">
        <f>IFERROR(MATCH(2702,상세표[연속순번],0),"")</f>
        <v/>
      </c>
    </row>
    <row r="2708">
      <c r="A2708">
        <f>IF($Q2708="","",INDEX(상세표[부서],$Q2708)&amp;"")</f>
        <v/>
      </c>
      <c r="B2708">
        <f>IF($Q2708="","",INDEX(상세표[사번],$Q2708)&amp;"")</f>
        <v/>
      </c>
      <c r="C2708">
        <f>IF($Q2708="","",INDEX(상세표[성명],$Q2708)&amp;"")</f>
        <v/>
      </c>
      <c r="D2708">
        <f>IF($Q2708="","",INDEX(상세표[직위],$Q2708)&amp;"")</f>
        <v/>
      </c>
      <c r="E2708">
        <f>IF($Q2708="","",IF(ISNUMBER(INDEX(상세표[근무일자],$Q2708)),TEXT(INDEX(상세표[근무일자],$Q2708),"yyyy-mm-dd"),INDEX(상세표[근무일자],$Q2708)&amp;""))</f>
        <v/>
      </c>
      <c r="F2708">
        <f>IF($Q2708="","",IF(ISNUMBER(INDEX(상세표[시작],$Q2708)),TEXT(INDEX(상세표[시작],$Q2708),"yyyy-mm-dd hh:mm"),INDEX(상세표[시작],$Q2708)&amp;""))</f>
        <v/>
      </c>
      <c r="G2708">
        <f>IF($Q2708="","",IF(ISNUMBER(INDEX(상세표[블록종료],$Q2708)),TEXT(INDEX(상세표[블록종료],$Q2708),"yyyy-mm-dd hh:mm"),INDEX(상세표[블록종료],$Q2708)&amp;""))</f>
        <v/>
      </c>
      <c r="H2708">
        <f>IF($Q2708="","",CHOOSE(WEEKDAY(INDEX(상세표[시작],$Q2708)),"일","월","화","수","목","금","토"))</f>
        <v/>
      </c>
      <c r="I2708" s="20">
        <f>IF($Q2708="","",INDEX(상세표[연속 시간],$Q2708))</f>
        <v/>
      </c>
      <c r="J2708">
        <f>IF($Q2708="","",INDEX(상세표[기록 수],$Q2708))</f>
        <v/>
      </c>
      <c r="K2708" s="20">
        <f>IF($Q2708="","",INDEX(상세표[블록 06~07시],$Q2708))</f>
        <v/>
      </c>
      <c r="L2708" s="20">
        <f>IF($Q2708="","",INDEX(상세표[블록 07~18시],$Q2708))</f>
        <v/>
      </c>
      <c r="M2708" s="20">
        <f>IF($Q2708="","",INDEX(상세표[블록 18~22시],$Q2708))</f>
        <v/>
      </c>
      <c r="N2708" s="20">
        <f>IF($Q2708="","",INDEX(상세표[블록 22~06시],$Q2708))</f>
        <v/>
      </c>
      <c r="O2708">
        <f>IF($Q2708="","",INDEX(상세표[주말·휴일 포함],$Q2708)&amp;"")</f>
        <v/>
      </c>
      <c r="P2708">
        <f>IF($Q2708="","",INDEX(상세표[월 넘김 포함],$Q2708)&amp;"")</f>
        <v/>
      </c>
      <c r="Q2708" s="4">
        <f>IFERROR(MATCH(2703,상세표[연속순번],0),"")</f>
        <v/>
      </c>
    </row>
    <row r="2709">
      <c r="A2709">
        <f>IF($Q2709="","",INDEX(상세표[부서],$Q2709)&amp;"")</f>
        <v/>
      </c>
      <c r="B2709">
        <f>IF($Q2709="","",INDEX(상세표[사번],$Q2709)&amp;"")</f>
        <v/>
      </c>
      <c r="C2709">
        <f>IF($Q2709="","",INDEX(상세표[성명],$Q2709)&amp;"")</f>
        <v/>
      </c>
      <c r="D2709">
        <f>IF($Q2709="","",INDEX(상세표[직위],$Q2709)&amp;"")</f>
        <v/>
      </c>
      <c r="E2709">
        <f>IF($Q2709="","",IF(ISNUMBER(INDEX(상세표[근무일자],$Q2709)),TEXT(INDEX(상세표[근무일자],$Q2709),"yyyy-mm-dd"),INDEX(상세표[근무일자],$Q2709)&amp;""))</f>
        <v/>
      </c>
      <c r="F2709">
        <f>IF($Q2709="","",IF(ISNUMBER(INDEX(상세표[시작],$Q2709)),TEXT(INDEX(상세표[시작],$Q2709),"yyyy-mm-dd hh:mm"),INDEX(상세표[시작],$Q2709)&amp;""))</f>
        <v/>
      </c>
      <c r="G2709">
        <f>IF($Q2709="","",IF(ISNUMBER(INDEX(상세표[블록종료],$Q2709)),TEXT(INDEX(상세표[블록종료],$Q2709),"yyyy-mm-dd hh:mm"),INDEX(상세표[블록종료],$Q2709)&amp;""))</f>
        <v/>
      </c>
      <c r="H2709">
        <f>IF($Q2709="","",CHOOSE(WEEKDAY(INDEX(상세표[시작],$Q2709)),"일","월","화","수","목","금","토"))</f>
        <v/>
      </c>
      <c r="I2709" s="20">
        <f>IF($Q2709="","",INDEX(상세표[연속 시간],$Q2709))</f>
        <v/>
      </c>
      <c r="J2709">
        <f>IF($Q2709="","",INDEX(상세표[기록 수],$Q2709))</f>
        <v/>
      </c>
      <c r="K2709" s="20">
        <f>IF($Q2709="","",INDEX(상세표[블록 06~07시],$Q2709))</f>
        <v/>
      </c>
      <c r="L2709" s="20">
        <f>IF($Q2709="","",INDEX(상세표[블록 07~18시],$Q2709))</f>
        <v/>
      </c>
      <c r="M2709" s="20">
        <f>IF($Q2709="","",INDEX(상세표[블록 18~22시],$Q2709))</f>
        <v/>
      </c>
      <c r="N2709" s="20">
        <f>IF($Q2709="","",INDEX(상세표[블록 22~06시],$Q2709))</f>
        <v/>
      </c>
      <c r="O2709">
        <f>IF($Q2709="","",INDEX(상세표[주말·휴일 포함],$Q2709)&amp;"")</f>
        <v/>
      </c>
      <c r="P2709">
        <f>IF($Q2709="","",INDEX(상세표[월 넘김 포함],$Q2709)&amp;"")</f>
        <v/>
      </c>
      <c r="Q2709" s="4">
        <f>IFERROR(MATCH(2704,상세표[연속순번],0),"")</f>
        <v/>
      </c>
    </row>
    <row r="2710">
      <c r="A2710">
        <f>IF($Q2710="","",INDEX(상세표[부서],$Q2710)&amp;"")</f>
        <v/>
      </c>
      <c r="B2710">
        <f>IF($Q2710="","",INDEX(상세표[사번],$Q2710)&amp;"")</f>
        <v/>
      </c>
      <c r="C2710">
        <f>IF($Q2710="","",INDEX(상세표[성명],$Q2710)&amp;"")</f>
        <v/>
      </c>
      <c r="D2710">
        <f>IF($Q2710="","",INDEX(상세표[직위],$Q2710)&amp;"")</f>
        <v/>
      </c>
      <c r="E2710">
        <f>IF($Q2710="","",IF(ISNUMBER(INDEX(상세표[근무일자],$Q2710)),TEXT(INDEX(상세표[근무일자],$Q2710),"yyyy-mm-dd"),INDEX(상세표[근무일자],$Q2710)&amp;""))</f>
        <v/>
      </c>
      <c r="F2710">
        <f>IF($Q2710="","",IF(ISNUMBER(INDEX(상세표[시작],$Q2710)),TEXT(INDEX(상세표[시작],$Q2710),"yyyy-mm-dd hh:mm"),INDEX(상세표[시작],$Q2710)&amp;""))</f>
        <v/>
      </c>
      <c r="G2710">
        <f>IF($Q2710="","",IF(ISNUMBER(INDEX(상세표[블록종료],$Q2710)),TEXT(INDEX(상세표[블록종료],$Q2710),"yyyy-mm-dd hh:mm"),INDEX(상세표[블록종료],$Q2710)&amp;""))</f>
        <v/>
      </c>
      <c r="H2710">
        <f>IF($Q2710="","",CHOOSE(WEEKDAY(INDEX(상세표[시작],$Q2710)),"일","월","화","수","목","금","토"))</f>
        <v/>
      </c>
      <c r="I2710" s="20">
        <f>IF($Q2710="","",INDEX(상세표[연속 시간],$Q2710))</f>
        <v/>
      </c>
      <c r="J2710">
        <f>IF($Q2710="","",INDEX(상세표[기록 수],$Q2710))</f>
        <v/>
      </c>
      <c r="K2710" s="20">
        <f>IF($Q2710="","",INDEX(상세표[블록 06~07시],$Q2710))</f>
        <v/>
      </c>
      <c r="L2710" s="20">
        <f>IF($Q2710="","",INDEX(상세표[블록 07~18시],$Q2710))</f>
        <v/>
      </c>
      <c r="M2710" s="20">
        <f>IF($Q2710="","",INDEX(상세표[블록 18~22시],$Q2710))</f>
        <v/>
      </c>
      <c r="N2710" s="20">
        <f>IF($Q2710="","",INDEX(상세표[블록 22~06시],$Q2710))</f>
        <v/>
      </c>
      <c r="O2710">
        <f>IF($Q2710="","",INDEX(상세표[주말·휴일 포함],$Q2710)&amp;"")</f>
        <v/>
      </c>
      <c r="P2710">
        <f>IF($Q2710="","",INDEX(상세표[월 넘김 포함],$Q2710)&amp;"")</f>
        <v/>
      </c>
      <c r="Q2710" s="4">
        <f>IFERROR(MATCH(2705,상세표[연속순번],0),"")</f>
        <v/>
      </c>
    </row>
    <row r="2711">
      <c r="A2711">
        <f>IF($Q2711="","",INDEX(상세표[부서],$Q2711)&amp;"")</f>
        <v/>
      </c>
      <c r="B2711">
        <f>IF($Q2711="","",INDEX(상세표[사번],$Q2711)&amp;"")</f>
        <v/>
      </c>
      <c r="C2711">
        <f>IF($Q2711="","",INDEX(상세표[성명],$Q2711)&amp;"")</f>
        <v/>
      </c>
      <c r="D2711">
        <f>IF($Q2711="","",INDEX(상세표[직위],$Q2711)&amp;"")</f>
        <v/>
      </c>
      <c r="E2711">
        <f>IF($Q2711="","",IF(ISNUMBER(INDEX(상세표[근무일자],$Q2711)),TEXT(INDEX(상세표[근무일자],$Q2711),"yyyy-mm-dd"),INDEX(상세표[근무일자],$Q2711)&amp;""))</f>
        <v/>
      </c>
      <c r="F2711">
        <f>IF($Q2711="","",IF(ISNUMBER(INDEX(상세표[시작],$Q2711)),TEXT(INDEX(상세표[시작],$Q2711),"yyyy-mm-dd hh:mm"),INDEX(상세표[시작],$Q2711)&amp;""))</f>
        <v/>
      </c>
      <c r="G2711">
        <f>IF($Q2711="","",IF(ISNUMBER(INDEX(상세표[블록종료],$Q2711)),TEXT(INDEX(상세표[블록종료],$Q2711),"yyyy-mm-dd hh:mm"),INDEX(상세표[블록종료],$Q2711)&amp;""))</f>
        <v/>
      </c>
      <c r="H2711">
        <f>IF($Q2711="","",CHOOSE(WEEKDAY(INDEX(상세표[시작],$Q2711)),"일","월","화","수","목","금","토"))</f>
        <v/>
      </c>
      <c r="I2711" s="20">
        <f>IF($Q2711="","",INDEX(상세표[연속 시간],$Q2711))</f>
        <v/>
      </c>
      <c r="J2711">
        <f>IF($Q2711="","",INDEX(상세표[기록 수],$Q2711))</f>
        <v/>
      </c>
      <c r="K2711" s="20">
        <f>IF($Q2711="","",INDEX(상세표[블록 06~07시],$Q2711))</f>
        <v/>
      </c>
      <c r="L2711" s="20">
        <f>IF($Q2711="","",INDEX(상세표[블록 07~18시],$Q2711))</f>
        <v/>
      </c>
      <c r="M2711" s="20">
        <f>IF($Q2711="","",INDEX(상세표[블록 18~22시],$Q2711))</f>
        <v/>
      </c>
      <c r="N2711" s="20">
        <f>IF($Q2711="","",INDEX(상세표[블록 22~06시],$Q2711))</f>
        <v/>
      </c>
      <c r="O2711">
        <f>IF($Q2711="","",INDEX(상세표[주말·휴일 포함],$Q2711)&amp;"")</f>
        <v/>
      </c>
      <c r="P2711">
        <f>IF($Q2711="","",INDEX(상세표[월 넘김 포함],$Q2711)&amp;"")</f>
        <v/>
      </c>
      <c r="Q2711" s="4">
        <f>IFERROR(MATCH(2706,상세표[연속순번],0),"")</f>
        <v/>
      </c>
    </row>
    <row r="2712">
      <c r="A2712">
        <f>IF($Q2712="","",INDEX(상세표[부서],$Q2712)&amp;"")</f>
        <v/>
      </c>
      <c r="B2712">
        <f>IF($Q2712="","",INDEX(상세표[사번],$Q2712)&amp;"")</f>
        <v/>
      </c>
      <c r="C2712">
        <f>IF($Q2712="","",INDEX(상세표[성명],$Q2712)&amp;"")</f>
        <v/>
      </c>
      <c r="D2712">
        <f>IF($Q2712="","",INDEX(상세표[직위],$Q2712)&amp;"")</f>
        <v/>
      </c>
      <c r="E2712">
        <f>IF($Q2712="","",IF(ISNUMBER(INDEX(상세표[근무일자],$Q2712)),TEXT(INDEX(상세표[근무일자],$Q2712),"yyyy-mm-dd"),INDEX(상세표[근무일자],$Q2712)&amp;""))</f>
        <v/>
      </c>
      <c r="F2712">
        <f>IF($Q2712="","",IF(ISNUMBER(INDEX(상세표[시작],$Q2712)),TEXT(INDEX(상세표[시작],$Q2712),"yyyy-mm-dd hh:mm"),INDEX(상세표[시작],$Q2712)&amp;""))</f>
        <v/>
      </c>
      <c r="G2712">
        <f>IF($Q2712="","",IF(ISNUMBER(INDEX(상세표[블록종료],$Q2712)),TEXT(INDEX(상세표[블록종료],$Q2712),"yyyy-mm-dd hh:mm"),INDEX(상세표[블록종료],$Q2712)&amp;""))</f>
        <v/>
      </c>
      <c r="H2712">
        <f>IF($Q2712="","",CHOOSE(WEEKDAY(INDEX(상세표[시작],$Q2712)),"일","월","화","수","목","금","토"))</f>
        <v/>
      </c>
      <c r="I2712" s="20">
        <f>IF($Q2712="","",INDEX(상세표[연속 시간],$Q2712))</f>
        <v/>
      </c>
      <c r="J2712">
        <f>IF($Q2712="","",INDEX(상세표[기록 수],$Q2712))</f>
        <v/>
      </c>
      <c r="K2712" s="20">
        <f>IF($Q2712="","",INDEX(상세표[블록 06~07시],$Q2712))</f>
        <v/>
      </c>
      <c r="L2712" s="20">
        <f>IF($Q2712="","",INDEX(상세표[블록 07~18시],$Q2712))</f>
        <v/>
      </c>
      <c r="M2712" s="20">
        <f>IF($Q2712="","",INDEX(상세표[블록 18~22시],$Q2712))</f>
        <v/>
      </c>
      <c r="N2712" s="20">
        <f>IF($Q2712="","",INDEX(상세표[블록 22~06시],$Q2712))</f>
        <v/>
      </c>
      <c r="O2712">
        <f>IF($Q2712="","",INDEX(상세표[주말·휴일 포함],$Q2712)&amp;"")</f>
        <v/>
      </c>
      <c r="P2712">
        <f>IF($Q2712="","",INDEX(상세표[월 넘김 포함],$Q2712)&amp;"")</f>
        <v/>
      </c>
      <c r="Q2712" s="4">
        <f>IFERROR(MATCH(2707,상세표[연속순번],0),"")</f>
        <v/>
      </c>
    </row>
    <row r="2713">
      <c r="A2713">
        <f>IF($Q2713="","",INDEX(상세표[부서],$Q2713)&amp;"")</f>
        <v/>
      </c>
      <c r="B2713">
        <f>IF($Q2713="","",INDEX(상세표[사번],$Q2713)&amp;"")</f>
        <v/>
      </c>
      <c r="C2713">
        <f>IF($Q2713="","",INDEX(상세표[성명],$Q2713)&amp;"")</f>
        <v/>
      </c>
      <c r="D2713">
        <f>IF($Q2713="","",INDEX(상세표[직위],$Q2713)&amp;"")</f>
        <v/>
      </c>
      <c r="E2713">
        <f>IF($Q2713="","",IF(ISNUMBER(INDEX(상세표[근무일자],$Q2713)),TEXT(INDEX(상세표[근무일자],$Q2713),"yyyy-mm-dd"),INDEX(상세표[근무일자],$Q2713)&amp;""))</f>
        <v/>
      </c>
      <c r="F2713">
        <f>IF($Q2713="","",IF(ISNUMBER(INDEX(상세표[시작],$Q2713)),TEXT(INDEX(상세표[시작],$Q2713),"yyyy-mm-dd hh:mm"),INDEX(상세표[시작],$Q2713)&amp;""))</f>
        <v/>
      </c>
      <c r="G2713">
        <f>IF($Q2713="","",IF(ISNUMBER(INDEX(상세표[블록종료],$Q2713)),TEXT(INDEX(상세표[블록종료],$Q2713),"yyyy-mm-dd hh:mm"),INDEX(상세표[블록종료],$Q2713)&amp;""))</f>
        <v/>
      </c>
      <c r="H2713">
        <f>IF($Q2713="","",CHOOSE(WEEKDAY(INDEX(상세표[시작],$Q2713)),"일","월","화","수","목","금","토"))</f>
        <v/>
      </c>
      <c r="I2713" s="20">
        <f>IF($Q2713="","",INDEX(상세표[연속 시간],$Q2713))</f>
        <v/>
      </c>
      <c r="J2713">
        <f>IF($Q2713="","",INDEX(상세표[기록 수],$Q2713))</f>
        <v/>
      </c>
      <c r="K2713" s="20">
        <f>IF($Q2713="","",INDEX(상세표[블록 06~07시],$Q2713))</f>
        <v/>
      </c>
      <c r="L2713" s="20">
        <f>IF($Q2713="","",INDEX(상세표[블록 07~18시],$Q2713))</f>
        <v/>
      </c>
      <c r="M2713" s="20">
        <f>IF($Q2713="","",INDEX(상세표[블록 18~22시],$Q2713))</f>
        <v/>
      </c>
      <c r="N2713" s="20">
        <f>IF($Q2713="","",INDEX(상세표[블록 22~06시],$Q2713))</f>
        <v/>
      </c>
      <c r="O2713">
        <f>IF($Q2713="","",INDEX(상세표[주말·휴일 포함],$Q2713)&amp;"")</f>
        <v/>
      </c>
      <c r="P2713">
        <f>IF($Q2713="","",INDEX(상세표[월 넘김 포함],$Q2713)&amp;"")</f>
        <v/>
      </c>
      <c r="Q2713" s="4">
        <f>IFERROR(MATCH(2708,상세표[연속순번],0),"")</f>
        <v/>
      </c>
    </row>
    <row r="2714">
      <c r="A2714">
        <f>IF($Q2714="","",INDEX(상세표[부서],$Q2714)&amp;"")</f>
        <v/>
      </c>
      <c r="B2714">
        <f>IF($Q2714="","",INDEX(상세표[사번],$Q2714)&amp;"")</f>
        <v/>
      </c>
      <c r="C2714">
        <f>IF($Q2714="","",INDEX(상세표[성명],$Q2714)&amp;"")</f>
        <v/>
      </c>
      <c r="D2714">
        <f>IF($Q2714="","",INDEX(상세표[직위],$Q2714)&amp;"")</f>
        <v/>
      </c>
      <c r="E2714">
        <f>IF($Q2714="","",IF(ISNUMBER(INDEX(상세표[근무일자],$Q2714)),TEXT(INDEX(상세표[근무일자],$Q2714),"yyyy-mm-dd"),INDEX(상세표[근무일자],$Q2714)&amp;""))</f>
        <v/>
      </c>
      <c r="F2714">
        <f>IF($Q2714="","",IF(ISNUMBER(INDEX(상세표[시작],$Q2714)),TEXT(INDEX(상세표[시작],$Q2714),"yyyy-mm-dd hh:mm"),INDEX(상세표[시작],$Q2714)&amp;""))</f>
        <v/>
      </c>
      <c r="G2714">
        <f>IF($Q2714="","",IF(ISNUMBER(INDEX(상세표[블록종료],$Q2714)),TEXT(INDEX(상세표[블록종료],$Q2714),"yyyy-mm-dd hh:mm"),INDEX(상세표[블록종료],$Q2714)&amp;""))</f>
        <v/>
      </c>
      <c r="H2714">
        <f>IF($Q2714="","",CHOOSE(WEEKDAY(INDEX(상세표[시작],$Q2714)),"일","월","화","수","목","금","토"))</f>
        <v/>
      </c>
      <c r="I2714" s="20">
        <f>IF($Q2714="","",INDEX(상세표[연속 시간],$Q2714))</f>
        <v/>
      </c>
      <c r="J2714">
        <f>IF($Q2714="","",INDEX(상세표[기록 수],$Q2714))</f>
        <v/>
      </c>
      <c r="K2714" s="20">
        <f>IF($Q2714="","",INDEX(상세표[블록 06~07시],$Q2714))</f>
        <v/>
      </c>
      <c r="L2714" s="20">
        <f>IF($Q2714="","",INDEX(상세표[블록 07~18시],$Q2714))</f>
        <v/>
      </c>
      <c r="M2714" s="20">
        <f>IF($Q2714="","",INDEX(상세표[블록 18~22시],$Q2714))</f>
        <v/>
      </c>
      <c r="N2714" s="20">
        <f>IF($Q2714="","",INDEX(상세표[블록 22~06시],$Q2714))</f>
        <v/>
      </c>
      <c r="O2714">
        <f>IF($Q2714="","",INDEX(상세표[주말·휴일 포함],$Q2714)&amp;"")</f>
        <v/>
      </c>
      <c r="P2714">
        <f>IF($Q2714="","",INDEX(상세표[월 넘김 포함],$Q2714)&amp;"")</f>
        <v/>
      </c>
      <c r="Q2714" s="4">
        <f>IFERROR(MATCH(2709,상세표[연속순번],0),"")</f>
        <v/>
      </c>
    </row>
    <row r="2715">
      <c r="A2715">
        <f>IF($Q2715="","",INDEX(상세표[부서],$Q2715)&amp;"")</f>
        <v/>
      </c>
      <c r="B2715">
        <f>IF($Q2715="","",INDEX(상세표[사번],$Q2715)&amp;"")</f>
        <v/>
      </c>
      <c r="C2715">
        <f>IF($Q2715="","",INDEX(상세표[성명],$Q2715)&amp;"")</f>
        <v/>
      </c>
      <c r="D2715">
        <f>IF($Q2715="","",INDEX(상세표[직위],$Q2715)&amp;"")</f>
        <v/>
      </c>
      <c r="E2715">
        <f>IF($Q2715="","",IF(ISNUMBER(INDEX(상세표[근무일자],$Q2715)),TEXT(INDEX(상세표[근무일자],$Q2715),"yyyy-mm-dd"),INDEX(상세표[근무일자],$Q2715)&amp;""))</f>
        <v/>
      </c>
      <c r="F2715">
        <f>IF($Q2715="","",IF(ISNUMBER(INDEX(상세표[시작],$Q2715)),TEXT(INDEX(상세표[시작],$Q2715),"yyyy-mm-dd hh:mm"),INDEX(상세표[시작],$Q2715)&amp;""))</f>
        <v/>
      </c>
      <c r="G2715">
        <f>IF($Q2715="","",IF(ISNUMBER(INDEX(상세표[블록종료],$Q2715)),TEXT(INDEX(상세표[블록종료],$Q2715),"yyyy-mm-dd hh:mm"),INDEX(상세표[블록종료],$Q2715)&amp;""))</f>
        <v/>
      </c>
      <c r="H2715">
        <f>IF($Q2715="","",CHOOSE(WEEKDAY(INDEX(상세표[시작],$Q2715)),"일","월","화","수","목","금","토"))</f>
        <v/>
      </c>
      <c r="I2715" s="20">
        <f>IF($Q2715="","",INDEX(상세표[연속 시간],$Q2715))</f>
        <v/>
      </c>
      <c r="J2715">
        <f>IF($Q2715="","",INDEX(상세표[기록 수],$Q2715))</f>
        <v/>
      </c>
      <c r="K2715" s="20">
        <f>IF($Q2715="","",INDEX(상세표[블록 06~07시],$Q2715))</f>
        <v/>
      </c>
      <c r="L2715" s="20">
        <f>IF($Q2715="","",INDEX(상세표[블록 07~18시],$Q2715))</f>
        <v/>
      </c>
      <c r="M2715" s="20">
        <f>IF($Q2715="","",INDEX(상세표[블록 18~22시],$Q2715))</f>
        <v/>
      </c>
      <c r="N2715" s="20">
        <f>IF($Q2715="","",INDEX(상세표[블록 22~06시],$Q2715))</f>
        <v/>
      </c>
      <c r="O2715">
        <f>IF($Q2715="","",INDEX(상세표[주말·휴일 포함],$Q2715)&amp;"")</f>
        <v/>
      </c>
      <c r="P2715">
        <f>IF($Q2715="","",INDEX(상세표[월 넘김 포함],$Q2715)&amp;"")</f>
        <v/>
      </c>
      <c r="Q2715" s="4">
        <f>IFERROR(MATCH(2710,상세표[연속순번],0),"")</f>
        <v/>
      </c>
    </row>
    <row r="2716">
      <c r="A2716">
        <f>IF($Q2716="","",INDEX(상세표[부서],$Q2716)&amp;"")</f>
        <v/>
      </c>
      <c r="B2716">
        <f>IF($Q2716="","",INDEX(상세표[사번],$Q2716)&amp;"")</f>
        <v/>
      </c>
      <c r="C2716">
        <f>IF($Q2716="","",INDEX(상세표[성명],$Q2716)&amp;"")</f>
        <v/>
      </c>
      <c r="D2716">
        <f>IF($Q2716="","",INDEX(상세표[직위],$Q2716)&amp;"")</f>
        <v/>
      </c>
      <c r="E2716">
        <f>IF($Q2716="","",IF(ISNUMBER(INDEX(상세표[근무일자],$Q2716)),TEXT(INDEX(상세표[근무일자],$Q2716),"yyyy-mm-dd"),INDEX(상세표[근무일자],$Q2716)&amp;""))</f>
        <v/>
      </c>
      <c r="F2716">
        <f>IF($Q2716="","",IF(ISNUMBER(INDEX(상세표[시작],$Q2716)),TEXT(INDEX(상세표[시작],$Q2716),"yyyy-mm-dd hh:mm"),INDEX(상세표[시작],$Q2716)&amp;""))</f>
        <v/>
      </c>
      <c r="G2716">
        <f>IF($Q2716="","",IF(ISNUMBER(INDEX(상세표[블록종료],$Q2716)),TEXT(INDEX(상세표[블록종료],$Q2716),"yyyy-mm-dd hh:mm"),INDEX(상세표[블록종료],$Q2716)&amp;""))</f>
        <v/>
      </c>
      <c r="H2716">
        <f>IF($Q2716="","",CHOOSE(WEEKDAY(INDEX(상세표[시작],$Q2716)),"일","월","화","수","목","금","토"))</f>
        <v/>
      </c>
      <c r="I2716" s="20">
        <f>IF($Q2716="","",INDEX(상세표[연속 시간],$Q2716))</f>
        <v/>
      </c>
      <c r="J2716">
        <f>IF($Q2716="","",INDEX(상세표[기록 수],$Q2716))</f>
        <v/>
      </c>
      <c r="K2716" s="20">
        <f>IF($Q2716="","",INDEX(상세표[블록 06~07시],$Q2716))</f>
        <v/>
      </c>
      <c r="L2716" s="20">
        <f>IF($Q2716="","",INDEX(상세표[블록 07~18시],$Q2716))</f>
        <v/>
      </c>
      <c r="M2716" s="20">
        <f>IF($Q2716="","",INDEX(상세표[블록 18~22시],$Q2716))</f>
        <v/>
      </c>
      <c r="N2716" s="20">
        <f>IF($Q2716="","",INDEX(상세표[블록 22~06시],$Q2716))</f>
        <v/>
      </c>
      <c r="O2716">
        <f>IF($Q2716="","",INDEX(상세표[주말·휴일 포함],$Q2716)&amp;"")</f>
        <v/>
      </c>
      <c r="P2716">
        <f>IF($Q2716="","",INDEX(상세표[월 넘김 포함],$Q2716)&amp;"")</f>
        <v/>
      </c>
      <c r="Q2716" s="4">
        <f>IFERROR(MATCH(2711,상세표[연속순번],0),"")</f>
        <v/>
      </c>
    </row>
    <row r="2717">
      <c r="A2717">
        <f>IF($Q2717="","",INDEX(상세표[부서],$Q2717)&amp;"")</f>
        <v/>
      </c>
      <c r="B2717">
        <f>IF($Q2717="","",INDEX(상세표[사번],$Q2717)&amp;"")</f>
        <v/>
      </c>
      <c r="C2717">
        <f>IF($Q2717="","",INDEX(상세표[성명],$Q2717)&amp;"")</f>
        <v/>
      </c>
      <c r="D2717">
        <f>IF($Q2717="","",INDEX(상세표[직위],$Q2717)&amp;"")</f>
        <v/>
      </c>
      <c r="E2717">
        <f>IF($Q2717="","",IF(ISNUMBER(INDEX(상세표[근무일자],$Q2717)),TEXT(INDEX(상세표[근무일자],$Q2717),"yyyy-mm-dd"),INDEX(상세표[근무일자],$Q2717)&amp;""))</f>
        <v/>
      </c>
      <c r="F2717">
        <f>IF($Q2717="","",IF(ISNUMBER(INDEX(상세표[시작],$Q2717)),TEXT(INDEX(상세표[시작],$Q2717),"yyyy-mm-dd hh:mm"),INDEX(상세표[시작],$Q2717)&amp;""))</f>
        <v/>
      </c>
      <c r="G2717">
        <f>IF($Q2717="","",IF(ISNUMBER(INDEX(상세표[블록종료],$Q2717)),TEXT(INDEX(상세표[블록종료],$Q2717),"yyyy-mm-dd hh:mm"),INDEX(상세표[블록종료],$Q2717)&amp;""))</f>
        <v/>
      </c>
      <c r="H2717">
        <f>IF($Q2717="","",CHOOSE(WEEKDAY(INDEX(상세표[시작],$Q2717)),"일","월","화","수","목","금","토"))</f>
        <v/>
      </c>
      <c r="I2717" s="20">
        <f>IF($Q2717="","",INDEX(상세표[연속 시간],$Q2717))</f>
        <v/>
      </c>
      <c r="J2717">
        <f>IF($Q2717="","",INDEX(상세표[기록 수],$Q2717))</f>
        <v/>
      </c>
      <c r="K2717" s="20">
        <f>IF($Q2717="","",INDEX(상세표[블록 06~07시],$Q2717))</f>
        <v/>
      </c>
      <c r="L2717" s="20">
        <f>IF($Q2717="","",INDEX(상세표[블록 07~18시],$Q2717))</f>
        <v/>
      </c>
      <c r="M2717" s="20">
        <f>IF($Q2717="","",INDEX(상세표[블록 18~22시],$Q2717))</f>
        <v/>
      </c>
      <c r="N2717" s="20">
        <f>IF($Q2717="","",INDEX(상세표[블록 22~06시],$Q2717))</f>
        <v/>
      </c>
      <c r="O2717">
        <f>IF($Q2717="","",INDEX(상세표[주말·휴일 포함],$Q2717)&amp;"")</f>
        <v/>
      </c>
      <c r="P2717">
        <f>IF($Q2717="","",INDEX(상세표[월 넘김 포함],$Q2717)&amp;"")</f>
        <v/>
      </c>
      <c r="Q2717" s="4">
        <f>IFERROR(MATCH(2712,상세표[연속순번],0),"")</f>
        <v/>
      </c>
    </row>
    <row r="2718">
      <c r="A2718">
        <f>IF($Q2718="","",INDEX(상세표[부서],$Q2718)&amp;"")</f>
        <v/>
      </c>
      <c r="B2718">
        <f>IF($Q2718="","",INDEX(상세표[사번],$Q2718)&amp;"")</f>
        <v/>
      </c>
      <c r="C2718">
        <f>IF($Q2718="","",INDEX(상세표[성명],$Q2718)&amp;"")</f>
        <v/>
      </c>
      <c r="D2718">
        <f>IF($Q2718="","",INDEX(상세표[직위],$Q2718)&amp;"")</f>
        <v/>
      </c>
      <c r="E2718">
        <f>IF($Q2718="","",IF(ISNUMBER(INDEX(상세표[근무일자],$Q2718)),TEXT(INDEX(상세표[근무일자],$Q2718),"yyyy-mm-dd"),INDEX(상세표[근무일자],$Q2718)&amp;""))</f>
        <v/>
      </c>
      <c r="F2718">
        <f>IF($Q2718="","",IF(ISNUMBER(INDEX(상세표[시작],$Q2718)),TEXT(INDEX(상세표[시작],$Q2718),"yyyy-mm-dd hh:mm"),INDEX(상세표[시작],$Q2718)&amp;""))</f>
        <v/>
      </c>
      <c r="G2718">
        <f>IF($Q2718="","",IF(ISNUMBER(INDEX(상세표[블록종료],$Q2718)),TEXT(INDEX(상세표[블록종료],$Q2718),"yyyy-mm-dd hh:mm"),INDEX(상세표[블록종료],$Q2718)&amp;""))</f>
        <v/>
      </c>
      <c r="H2718">
        <f>IF($Q2718="","",CHOOSE(WEEKDAY(INDEX(상세표[시작],$Q2718)),"일","월","화","수","목","금","토"))</f>
        <v/>
      </c>
      <c r="I2718" s="20">
        <f>IF($Q2718="","",INDEX(상세표[연속 시간],$Q2718))</f>
        <v/>
      </c>
      <c r="J2718">
        <f>IF($Q2718="","",INDEX(상세표[기록 수],$Q2718))</f>
        <v/>
      </c>
      <c r="K2718" s="20">
        <f>IF($Q2718="","",INDEX(상세표[블록 06~07시],$Q2718))</f>
        <v/>
      </c>
      <c r="L2718" s="20">
        <f>IF($Q2718="","",INDEX(상세표[블록 07~18시],$Q2718))</f>
        <v/>
      </c>
      <c r="M2718" s="20">
        <f>IF($Q2718="","",INDEX(상세표[블록 18~22시],$Q2718))</f>
        <v/>
      </c>
      <c r="N2718" s="20">
        <f>IF($Q2718="","",INDEX(상세표[블록 22~06시],$Q2718))</f>
        <v/>
      </c>
      <c r="O2718">
        <f>IF($Q2718="","",INDEX(상세표[주말·휴일 포함],$Q2718)&amp;"")</f>
        <v/>
      </c>
      <c r="P2718">
        <f>IF($Q2718="","",INDEX(상세표[월 넘김 포함],$Q2718)&amp;"")</f>
        <v/>
      </c>
      <c r="Q2718" s="4">
        <f>IFERROR(MATCH(2713,상세표[연속순번],0),"")</f>
        <v/>
      </c>
    </row>
    <row r="2719">
      <c r="A2719">
        <f>IF($Q2719="","",INDEX(상세표[부서],$Q2719)&amp;"")</f>
        <v/>
      </c>
      <c r="B2719">
        <f>IF($Q2719="","",INDEX(상세표[사번],$Q2719)&amp;"")</f>
        <v/>
      </c>
      <c r="C2719">
        <f>IF($Q2719="","",INDEX(상세표[성명],$Q2719)&amp;"")</f>
        <v/>
      </c>
      <c r="D2719">
        <f>IF($Q2719="","",INDEX(상세표[직위],$Q2719)&amp;"")</f>
        <v/>
      </c>
      <c r="E2719">
        <f>IF($Q2719="","",IF(ISNUMBER(INDEX(상세표[근무일자],$Q2719)),TEXT(INDEX(상세표[근무일자],$Q2719),"yyyy-mm-dd"),INDEX(상세표[근무일자],$Q2719)&amp;""))</f>
        <v/>
      </c>
      <c r="F2719">
        <f>IF($Q2719="","",IF(ISNUMBER(INDEX(상세표[시작],$Q2719)),TEXT(INDEX(상세표[시작],$Q2719),"yyyy-mm-dd hh:mm"),INDEX(상세표[시작],$Q2719)&amp;""))</f>
        <v/>
      </c>
      <c r="G2719">
        <f>IF($Q2719="","",IF(ISNUMBER(INDEX(상세표[블록종료],$Q2719)),TEXT(INDEX(상세표[블록종료],$Q2719),"yyyy-mm-dd hh:mm"),INDEX(상세표[블록종료],$Q2719)&amp;""))</f>
        <v/>
      </c>
      <c r="H2719">
        <f>IF($Q2719="","",CHOOSE(WEEKDAY(INDEX(상세표[시작],$Q2719)),"일","월","화","수","목","금","토"))</f>
        <v/>
      </c>
      <c r="I2719" s="20">
        <f>IF($Q2719="","",INDEX(상세표[연속 시간],$Q2719))</f>
        <v/>
      </c>
      <c r="J2719">
        <f>IF($Q2719="","",INDEX(상세표[기록 수],$Q2719))</f>
        <v/>
      </c>
      <c r="K2719" s="20">
        <f>IF($Q2719="","",INDEX(상세표[블록 06~07시],$Q2719))</f>
        <v/>
      </c>
      <c r="L2719" s="20">
        <f>IF($Q2719="","",INDEX(상세표[블록 07~18시],$Q2719))</f>
        <v/>
      </c>
      <c r="M2719" s="20">
        <f>IF($Q2719="","",INDEX(상세표[블록 18~22시],$Q2719))</f>
        <v/>
      </c>
      <c r="N2719" s="20">
        <f>IF($Q2719="","",INDEX(상세표[블록 22~06시],$Q2719))</f>
        <v/>
      </c>
      <c r="O2719">
        <f>IF($Q2719="","",INDEX(상세표[주말·휴일 포함],$Q2719)&amp;"")</f>
        <v/>
      </c>
      <c r="P2719">
        <f>IF($Q2719="","",INDEX(상세표[월 넘김 포함],$Q2719)&amp;"")</f>
        <v/>
      </c>
      <c r="Q2719" s="4">
        <f>IFERROR(MATCH(2714,상세표[연속순번],0),"")</f>
        <v/>
      </c>
    </row>
    <row r="2720">
      <c r="A2720">
        <f>IF($Q2720="","",INDEX(상세표[부서],$Q2720)&amp;"")</f>
        <v/>
      </c>
      <c r="B2720">
        <f>IF($Q2720="","",INDEX(상세표[사번],$Q2720)&amp;"")</f>
        <v/>
      </c>
      <c r="C2720">
        <f>IF($Q2720="","",INDEX(상세표[성명],$Q2720)&amp;"")</f>
        <v/>
      </c>
      <c r="D2720">
        <f>IF($Q2720="","",INDEX(상세표[직위],$Q2720)&amp;"")</f>
        <v/>
      </c>
      <c r="E2720">
        <f>IF($Q2720="","",IF(ISNUMBER(INDEX(상세표[근무일자],$Q2720)),TEXT(INDEX(상세표[근무일자],$Q2720),"yyyy-mm-dd"),INDEX(상세표[근무일자],$Q2720)&amp;""))</f>
        <v/>
      </c>
      <c r="F2720">
        <f>IF($Q2720="","",IF(ISNUMBER(INDEX(상세표[시작],$Q2720)),TEXT(INDEX(상세표[시작],$Q2720),"yyyy-mm-dd hh:mm"),INDEX(상세표[시작],$Q2720)&amp;""))</f>
        <v/>
      </c>
      <c r="G2720">
        <f>IF($Q2720="","",IF(ISNUMBER(INDEX(상세표[블록종료],$Q2720)),TEXT(INDEX(상세표[블록종료],$Q2720),"yyyy-mm-dd hh:mm"),INDEX(상세표[블록종료],$Q2720)&amp;""))</f>
        <v/>
      </c>
      <c r="H2720">
        <f>IF($Q2720="","",CHOOSE(WEEKDAY(INDEX(상세표[시작],$Q2720)),"일","월","화","수","목","금","토"))</f>
        <v/>
      </c>
      <c r="I2720" s="20">
        <f>IF($Q2720="","",INDEX(상세표[연속 시간],$Q2720))</f>
        <v/>
      </c>
      <c r="J2720">
        <f>IF($Q2720="","",INDEX(상세표[기록 수],$Q2720))</f>
        <v/>
      </c>
      <c r="K2720" s="20">
        <f>IF($Q2720="","",INDEX(상세표[블록 06~07시],$Q2720))</f>
        <v/>
      </c>
      <c r="L2720" s="20">
        <f>IF($Q2720="","",INDEX(상세표[블록 07~18시],$Q2720))</f>
        <v/>
      </c>
      <c r="M2720" s="20">
        <f>IF($Q2720="","",INDEX(상세표[블록 18~22시],$Q2720))</f>
        <v/>
      </c>
      <c r="N2720" s="20">
        <f>IF($Q2720="","",INDEX(상세표[블록 22~06시],$Q2720))</f>
        <v/>
      </c>
      <c r="O2720">
        <f>IF($Q2720="","",INDEX(상세표[주말·휴일 포함],$Q2720)&amp;"")</f>
        <v/>
      </c>
      <c r="P2720">
        <f>IF($Q2720="","",INDEX(상세표[월 넘김 포함],$Q2720)&amp;"")</f>
        <v/>
      </c>
      <c r="Q2720" s="4">
        <f>IFERROR(MATCH(2715,상세표[연속순번],0),"")</f>
        <v/>
      </c>
    </row>
    <row r="2721">
      <c r="A2721">
        <f>IF($Q2721="","",INDEX(상세표[부서],$Q2721)&amp;"")</f>
        <v/>
      </c>
      <c r="B2721">
        <f>IF($Q2721="","",INDEX(상세표[사번],$Q2721)&amp;"")</f>
        <v/>
      </c>
      <c r="C2721">
        <f>IF($Q2721="","",INDEX(상세표[성명],$Q2721)&amp;"")</f>
        <v/>
      </c>
      <c r="D2721">
        <f>IF($Q2721="","",INDEX(상세표[직위],$Q2721)&amp;"")</f>
        <v/>
      </c>
      <c r="E2721">
        <f>IF($Q2721="","",IF(ISNUMBER(INDEX(상세표[근무일자],$Q2721)),TEXT(INDEX(상세표[근무일자],$Q2721),"yyyy-mm-dd"),INDEX(상세표[근무일자],$Q2721)&amp;""))</f>
        <v/>
      </c>
      <c r="F2721">
        <f>IF($Q2721="","",IF(ISNUMBER(INDEX(상세표[시작],$Q2721)),TEXT(INDEX(상세표[시작],$Q2721),"yyyy-mm-dd hh:mm"),INDEX(상세표[시작],$Q2721)&amp;""))</f>
        <v/>
      </c>
      <c r="G2721">
        <f>IF($Q2721="","",IF(ISNUMBER(INDEX(상세표[블록종료],$Q2721)),TEXT(INDEX(상세표[블록종료],$Q2721),"yyyy-mm-dd hh:mm"),INDEX(상세표[블록종료],$Q2721)&amp;""))</f>
        <v/>
      </c>
      <c r="H2721">
        <f>IF($Q2721="","",CHOOSE(WEEKDAY(INDEX(상세표[시작],$Q2721)),"일","월","화","수","목","금","토"))</f>
        <v/>
      </c>
      <c r="I2721" s="20">
        <f>IF($Q2721="","",INDEX(상세표[연속 시간],$Q2721))</f>
        <v/>
      </c>
      <c r="J2721">
        <f>IF($Q2721="","",INDEX(상세표[기록 수],$Q2721))</f>
        <v/>
      </c>
      <c r="K2721" s="20">
        <f>IF($Q2721="","",INDEX(상세표[블록 06~07시],$Q2721))</f>
        <v/>
      </c>
      <c r="L2721" s="20">
        <f>IF($Q2721="","",INDEX(상세표[블록 07~18시],$Q2721))</f>
        <v/>
      </c>
      <c r="M2721" s="20">
        <f>IF($Q2721="","",INDEX(상세표[블록 18~22시],$Q2721))</f>
        <v/>
      </c>
      <c r="N2721" s="20">
        <f>IF($Q2721="","",INDEX(상세표[블록 22~06시],$Q2721))</f>
        <v/>
      </c>
      <c r="O2721">
        <f>IF($Q2721="","",INDEX(상세표[주말·휴일 포함],$Q2721)&amp;"")</f>
        <v/>
      </c>
      <c r="P2721">
        <f>IF($Q2721="","",INDEX(상세표[월 넘김 포함],$Q2721)&amp;"")</f>
        <v/>
      </c>
      <c r="Q2721" s="4">
        <f>IFERROR(MATCH(2716,상세표[연속순번],0),"")</f>
        <v/>
      </c>
    </row>
    <row r="2722">
      <c r="A2722">
        <f>IF($Q2722="","",INDEX(상세표[부서],$Q2722)&amp;"")</f>
        <v/>
      </c>
      <c r="B2722">
        <f>IF($Q2722="","",INDEX(상세표[사번],$Q2722)&amp;"")</f>
        <v/>
      </c>
      <c r="C2722">
        <f>IF($Q2722="","",INDEX(상세표[성명],$Q2722)&amp;"")</f>
        <v/>
      </c>
      <c r="D2722">
        <f>IF($Q2722="","",INDEX(상세표[직위],$Q2722)&amp;"")</f>
        <v/>
      </c>
      <c r="E2722">
        <f>IF($Q2722="","",IF(ISNUMBER(INDEX(상세표[근무일자],$Q2722)),TEXT(INDEX(상세표[근무일자],$Q2722),"yyyy-mm-dd"),INDEX(상세표[근무일자],$Q2722)&amp;""))</f>
        <v/>
      </c>
      <c r="F2722">
        <f>IF($Q2722="","",IF(ISNUMBER(INDEX(상세표[시작],$Q2722)),TEXT(INDEX(상세표[시작],$Q2722),"yyyy-mm-dd hh:mm"),INDEX(상세표[시작],$Q2722)&amp;""))</f>
        <v/>
      </c>
      <c r="G2722">
        <f>IF($Q2722="","",IF(ISNUMBER(INDEX(상세표[블록종료],$Q2722)),TEXT(INDEX(상세표[블록종료],$Q2722),"yyyy-mm-dd hh:mm"),INDEX(상세표[블록종료],$Q2722)&amp;""))</f>
        <v/>
      </c>
      <c r="H2722">
        <f>IF($Q2722="","",CHOOSE(WEEKDAY(INDEX(상세표[시작],$Q2722)),"일","월","화","수","목","금","토"))</f>
        <v/>
      </c>
      <c r="I2722" s="20">
        <f>IF($Q2722="","",INDEX(상세표[연속 시간],$Q2722))</f>
        <v/>
      </c>
      <c r="J2722">
        <f>IF($Q2722="","",INDEX(상세표[기록 수],$Q2722))</f>
        <v/>
      </c>
      <c r="K2722" s="20">
        <f>IF($Q2722="","",INDEX(상세표[블록 06~07시],$Q2722))</f>
        <v/>
      </c>
      <c r="L2722" s="20">
        <f>IF($Q2722="","",INDEX(상세표[블록 07~18시],$Q2722))</f>
        <v/>
      </c>
      <c r="M2722" s="20">
        <f>IF($Q2722="","",INDEX(상세표[블록 18~22시],$Q2722))</f>
        <v/>
      </c>
      <c r="N2722" s="20">
        <f>IF($Q2722="","",INDEX(상세표[블록 22~06시],$Q2722))</f>
        <v/>
      </c>
      <c r="O2722">
        <f>IF($Q2722="","",INDEX(상세표[주말·휴일 포함],$Q2722)&amp;"")</f>
        <v/>
      </c>
      <c r="P2722">
        <f>IF($Q2722="","",INDEX(상세표[월 넘김 포함],$Q2722)&amp;"")</f>
        <v/>
      </c>
      <c r="Q2722" s="4">
        <f>IFERROR(MATCH(2717,상세표[연속순번],0),"")</f>
        <v/>
      </c>
    </row>
    <row r="2723">
      <c r="A2723">
        <f>IF($Q2723="","",INDEX(상세표[부서],$Q2723)&amp;"")</f>
        <v/>
      </c>
      <c r="B2723">
        <f>IF($Q2723="","",INDEX(상세표[사번],$Q2723)&amp;"")</f>
        <v/>
      </c>
      <c r="C2723">
        <f>IF($Q2723="","",INDEX(상세표[성명],$Q2723)&amp;"")</f>
        <v/>
      </c>
      <c r="D2723">
        <f>IF($Q2723="","",INDEX(상세표[직위],$Q2723)&amp;"")</f>
        <v/>
      </c>
      <c r="E2723">
        <f>IF($Q2723="","",IF(ISNUMBER(INDEX(상세표[근무일자],$Q2723)),TEXT(INDEX(상세표[근무일자],$Q2723),"yyyy-mm-dd"),INDEX(상세표[근무일자],$Q2723)&amp;""))</f>
        <v/>
      </c>
      <c r="F2723">
        <f>IF($Q2723="","",IF(ISNUMBER(INDEX(상세표[시작],$Q2723)),TEXT(INDEX(상세표[시작],$Q2723),"yyyy-mm-dd hh:mm"),INDEX(상세표[시작],$Q2723)&amp;""))</f>
        <v/>
      </c>
      <c r="G2723">
        <f>IF($Q2723="","",IF(ISNUMBER(INDEX(상세표[블록종료],$Q2723)),TEXT(INDEX(상세표[블록종료],$Q2723),"yyyy-mm-dd hh:mm"),INDEX(상세표[블록종료],$Q2723)&amp;""))</f>
        <v/>
      </c>
      <c r="H2723">
        <f>IF($Q2723="","",CHOOSE(WEEKDAY(INDEX(상세표[시작],$Q2723)),"일","월","화","수","목","금","토"))</f>
        <v/>
      </c>
      <c r="I2723" s="20">
        <f>IF($Q2723="","",INDEX(상세표[연속 시간],$Q2723))</f>
        <v/>
      </c>
      <c r="J2723">
        <f>IF($Q2723="","",INDEX(상세표[기록 수],$Q2723))</f>
        <v/>
      </c>
      <c r="K2723" s="20">
        <f>IF($Q2723="","",INDEX(상세표[블록 06~07시],$Q2723))</f>
        <v/>
      </c>
      <c r="L2723" s="20">
        <f>IF($Q2723="","",INDEX(상세표[블록 07~18시],$Q2723))</f>
        <v/>
      </c>
      <c r="M2723" s="20">
        <f>IF($Q2723="","",INDEX(상세표[블록 18~22시],$Q2723))</f>
        <v/>
      </c>
      <c r="N2723" s="20">
        <f>IF($Q2723="","",INDEX(상세표[블록 22~06시],$Q2723))</f>
        <v/>
      </c>
      <c r="O2723">
        <f>IF($Q2723="","",INDEX(상세표[주말·휴일 포함],$Q2723)&amp;"")</f>
        <v/>
      </c>
      <c r="P2723">
        <f>IF($Q2723="","",INDEX(상세표[월 넘김 포함],$Q2723)&amp;"")</f>
        <v/>
      </c>
      <c r="Q2723" s="4">
        <f>IFERROR(MATCH(2718,상세표[연속순번],0),"")</f>
        <v/>
      </c>
    </row>
    <row r="2724">
      <c r="A2724">
        <f>IF($Q2724="","",INDEX(상세표[부서],$Q2724)&amp;"")</f>
        <v/>
      </c>
      <c r="B2724">
        <f>IF($Q2724="","",INDEX(상세표[사번],$Q2724)&amp;"")</f>
        <v/>
      </c>
      <c r="C2724">
        <f>IF($Q2724="","",INDEX(상세표[성명],$Q2724)&amp;"")</f>
        <v/>
      </c>
      <c r="D2724">
        <f>IF($Q2724="","",INDEX(상세표[직위],$Q2724)&amp;"")</f>
        <v/>
      </c>
      <c r="E2724">
        <f>IF($Q2724="","",IF(ISNUMBER(INDEX(상세표[근무일자],$Q2724)),TEXT(INDEX(상세표[근무일자],$Q2724),"yyyy-mm-dd"),INDEX(상세표[근무일자],$Q2724)&amp;""))</f>
        <v/>
      </c>
      <c r="F2724">
        <f>IF($Q2724="","",IF(ISNUMBER(INDEX(상세표[시작],$Q2724)),TEXT(INDEX(상세표[시작],$Q2724),"yyyy-mm-dd hh:mm"),INDEX(상세표[시작],$Q2724)&amp;""))</f>
        <v/>
      </c>
      <c r="G2724">
        <f>IF($Q2724="","",IF(ISNUMBER(INDEX(상세표[블록종료],$Q2724)),TEXT(INDEX(상세표[블록종료],$Q2724),"yyyy-mm-dd hh:mm"),INDEX(상세표[블록종료],$Q2724)&amp;""))</f>
        <v/>
      </c>
      <c r="H2724">
        <f>IF($Q2724="","",CHOOSE(WEEKDAY(INDEX(상세표[시작],$Q2724)),"일","월","화","수","목","금","토"))</f>
        <v/>
      </c>
      <c r="I2724" s="20">
        <f>IF($Q2724="","",INDEX(상세표[연속 시간],$Q2724))</f>
        <v/>
      </c>
      <c r="J2724">
        <f>IF($Q2724="","",INDEX(상세표[기록 수],$Q2724))</f>
        <v/>
      </c>
      <c r="K2724" s="20">
        <f>IF($Q2724="","",INDEX(상세표[블록 06~07시],$Q2724))</f>
        <v/>
      </c>
      <c r="L2724" s="20">
        <f>IF($Q2724="","",INDEX(상세표[블록 07~18시],$Q2724))</f>
        <v/>
      </c>
      <c r="M2724" s="20">
        <f>IF($Q2724="","",INDEX(상세표[블록 18~22시],$Q2724))</f>
        <v/>
      </c>
      <c r="N2724" s="20">
        <f>IF($Q2724="","",INDEX(상세표[블록 22~06시],$Q2724))</f>
        <v/>
      </c>
      <c r="O2724">
        <f>IF($Q2724="","",INDEX(상세표[주말·휴일 포함],$Q2724)&amp;"")</f>
        <v/>
      </c>
      <c r="P2724">
        <f>IF($Q2724="","",INDEX(상세표[월 넘김 포함],$Q2724)&amp;"")</f>
        <v/>
      </c>
      <c r="Q2724" s="4">
        <f>IFERROR(MATCH(2719,상세표[연속순번],0),"")</f>
        <v/>
      </c>
    </row>
    <row r="2725">
      <c r="A2725">
        <f>IF($Q2725="","",INDEX(상세표[부서],$Q2725)&amp;"")</f>
        <v/>
      </c>
      <c r="B2725">
        <f>IF($Q2725="","",INDEX(상세표[사번],$Q2725)&amp;"")</f>
        <v/>
      </c>
      <c r="C2725">
        <f>IF($Q2725="","",INDEX(상세표[성명],$Q2725)&amp;"")</f>
        <v/>
      </c>
      <c r="D2725">
        <f>IF($Q2725="","",INDEX(상세표[직위],$Q2725)&amp;"")</f>
        <v/>
      </c>
      <c r="E2725">
        <f>IF($Q2725="","",IF(ISNUMBER(INDEX(상세표[근무일자],$Q2725)),TEXT(INDEX(상세표[근무일자],$Q2725),"yyyy-mm-dd"),INDEX(상세표[근무일자],$Q2725)&amp;""))</f>
        <v/>
      </c>
      <c r="F2725">
        <f>IF($Q2725="","",IF(ISNUMBER(INDEX(상세표[시작],$Q2725)),TEXT(INDEX(상세표[시작],$Q2725),"yyyy-mm-dd hh:mm"),INDEX(상세표[시작],$Q2725)&amp;""))</f>
        <v/>
      </c>
      <c r="G2725">
        <f>IF($Q2725="","",IF(ISNUMBER(INDEX(상세표[블록종료],$Q2725)),TEXT(INDEX(상세표[블록종료],$Q2725),"yyyy-mm-dd hh:mm"),INDEX(상세표[블록종료],$Q2725)&amp;""))</f>
        <v/>
      </c>
      <c r="H2725">
        <f>IF($Q2725="","",CHOOSE(WEEKDAY(INDEX(상세표[시작],$Q2725)),"일","월","화","수","목","금","토"))</f>
        <v/>
      </c>
      <c r="I2725" s="20">
        <f>IF($Q2725="","",INDEX(상세표[연속 시간],$Q2725))</f>
        <v/>
      </c>
      <c r="J2725">
        <f>IF($Q2725="","",INDEX(상세표[기록 수],$Q2725))</f>
        <v/>
      </c>
      <c r="K2725" s="20">
        <f>IF($Q2725="","",INDEX(상세표[블록 06~07시],$Q2725))</f>
        <v/>
      </c>
      <c r="L2725" s="20">
        <f>IF($Q2725="","",INDEX(상세표[블록 07~18시],$Q2725))</f>
        <v/>
      </c>
      <c r="M2725" s="20">
        <f>IF($Q2725="","",INDEX(상세표[블록 18~22시],$Q2725))</f>
        <v/>
      </c>
      <c r="N2725" s="20">
        <f>IF($Q2725="","",INDEX(상세표[블록 22~06시],$Q2725))</f>
        <v/>
      </c>
      <c r="O2725">
        <f>IF($Q2725="","",INDEX(상세표[주말·휴일 포함],$Q2725)&amp;"")</f>
        <v/>
      </c>
      <c r="P2725">
        <f>IF($Q2725="","",INDEX(상세표[월 넘김 포함],$Q2725)&amp;"")</f>
        <v/>
      </c>
      <c r="Q2725" s="4">
        <f>IFERROR(MATCH(2720,상세표[연속순번],0),"")</f>
        <v/>
      </c>
    </row>
    <row r="2726">
      <c r="A2726">
        <f>IF($Q2726="","",INDEX(상세표[부서],$Q2726)&amp;"")</f>
        <v/>
      </c>
      <c r="B2726">
        <f>IF($Q2726="","",INDEX(상세표[사번],$Q2726)&amp;"")</f>
        <v/>
      </c>
      <c r="C2726">
        <f>IF($Q2726="","",INDEX(상세표[성명],$Q2726)&amp;"")</f>
        <v/>
      </c>
      <c r="D2726">
        <f>IF($Q2726="","",INDEX(상세표[직위],$Q2726)&amp;"")</f>
        <v/>
      </c>
      <c r="E2726">
        <f>IF($Q2726="","",IF(ISNUMBER(INDEX(상세표[근무일자],$Q2726)),TEXT(INDEX(상세표[근무일자],$Q2726),"yyyy-mm-dd"),INDEX(상세표[근무일자],$Q2726)&amp;""))</f>
        <v/>
      </c>
      <c r="F2726">
        <f>IF($Q2726="","",IF(ISNUMBER(INDEX(상세표[시작],$Q2726)),TEXT(INDEX(상세표[시작],$Q2726),"yyyy-mm-dd hh:mm"),INDEX(상세표[시작],$Q2726)&amp;""))</f>
        <v/>
      </c>
      <c r="G2726">
        <f>IF($Q2726="","",IF(ISNUMBER(INDEX(상세표[블록종료],$Q2726)),TEXT(INDEX(상세표[블록종료],$Q2726),"yyyy-mm-dd hh:mm"),INDEX(상세표[블록종료],$Q2726)&amp;""))</f>
        <v/>
      </c>
      <c r="H2726">
        <f>IF($Q2726="","",CHOOSE(WEEKDAY(INDEX(상세표[시작],$Q2726)),"일","월","화","수","목","금","토"))</f>
        <v/>
      </c>
      <c r="I2726" s="20">
        <f>IF($Q2726="","",INDEX(상세표[연속 시간],$Q2726))</f>
        <v/>
      </c>
      <c r="J2726">
        <f>IF($Q2726="","",INDEX(상세표[기록 수],$Q2726))</f>
        <v/>
      </c>
      <c r="K2726" s="20">
        <f>IF($Q2726="","",INDEX(상세표[블록 06~07시],$Q2726))</f>
        <v/>
      </c>
      <c r="L2726" s="20">
        <f>IF($Q2726="","",INDEX(상세표[블록 07~18시],$Q2726))</f>
        <v/>
      </c>
      <c r="M2726" s="20">
        <f>IF($Q2726="","",INDEX(상세표[블록 18~22시],$Q2726))</f>
        <v/>
      </c>
      <c r="N2726" s="20">
        <f>IF($Q2726="","",INDEX(상세표[블록 22~06시],$Q2726))</f>
        <v/>
      </c>
      <c r="O2726">
        <f>IF($Q2726="","",INDEX(상세표[주말·휴일 포함],$Q2726)&amp;"")</f>
        <v/>
      </c>
      <c r="P2726">
        <f>IF($Q2726="","",INDEX(상세표[월 넘김 포함],$Q2726)&amp;"")</f>
        <v/>
      </c>
      <c r="Q2726" s="4">
        <f>IFERROR(MATCH(2721,상세표[연속순번],0),"")</f>
        <v/>
      </c>
    </row>
    <row r="2727">
      <c r="A2727">
        <f>IF($Q2727="","",INDEX(상세표[부서],$Q2727)&amp;"")</f>
        <v/>
      </c>
      <c r="B2727">
        <f>IF($Q2727="","",INDEX(상세표[사번],$Q2727)&amp;"")</f>
        <v/>
      </c>
      <c r="C2727">
        <f>IF($Q2727="","",INDEX(상세표[성명],$Q2727)&amp;"")</f>
        <v/>
      </c>
      <c r="D2727">
        <f>IF($Q2727="","",INDEX(상세표[직위],$Q2727)&amp;"")</f>
        <v/>
      </c>
      <c r="E2727">
        <f>IF($Q2727="","",IF(ISNUMBER(INDEX(상세표[근무일자],$Q2727)),TEXT(INDEX(상세표[근무일자],$Q2727),"yyyy-mm-dd"),INDEX(상세표[근무일자],$Q2727)&amp;""))</f>
        <v/>
      </c>
      <c r="F2727">
        <f>IF($Q2727="","",IF(ISNUMBER(INDEX(상세표[시작],$Q2727)),TEXT(INDEX(상세표[시작],$Q2727),"yyyy-mm-dd hh:mm"),INDEX(상세표[시작],$Q2727)&amp;""))</f>
        <v/>
      </c>
      <c r="G2727">
        <f>IF($Q2727="","",IF(ISNUMBER(INDEX(상세표[블록종료],$Q2727)),TEXT(INDEX(상세표[블록종료],$Q2727),"yyyy-mm-dd hh:mm"),INDEX(상세표[블록종료],$Q2727)&amp;""))</f>
        <v/>
      </c>
      <c r="H2727">
        <f>IF($Q2727="","",CHOOSE(WEEKDAY(INDEX(상세표[시작],$Q2727)),"일","월","화","수","목","금","토"))</f>
        <v/>
      </c>
      <c r="I2727" s="20">
        <f>IF($Q2727="","",INDEX(상세표[연속 시간],$Q2727))</f>
        <v/>
      </c>
      <c r="J2727">
        <f>IF($Q2727="","",INDEX(상세표[기록 수],$Q2727))</f>
        <v/>
      </c>
      <c r="K2727" s="20">
        <f>IF($Q2727="","",INDEX(상세표[블록 06~07시],$Q2727))</f>
        <v/>
      </c>
      <c r="L2727" s="20">
        <f>IF($Q2727="","",INDEX(상세표[블록 07~18시],$Q2727))</f>
        <v/>
      </c>
      <c r="M2727" s="20">
        <f>IF($Q2727="","",INDEX(상세표[블록 18~22시],$Q2727))</f>
        <v/>
      </c>
      <c r="N2727" s="20">
        <f>IF($Q2727="","",INDEX(상세표[블록 22~06시],$Q2727))</f>
        <v/>
      </c>
      <c r="O2727">
        <f>IF($Q2727="","",INDEX(상세표[주말·휴일 포함],$Q2727)&amp;"")</f>
        <v/>
      </c>
      <c r="P2727">
        <f>IF($Q2727="","",INDEX(상세표[월 넘김 포함],$Q2727)&amp;"")</f>
        <v/>
      </c>
      <c r="Q2727" s="4">
        <f>IFERROR(MATCH(2722,상세표[연속순번],0),"")</f>
        <v/>
      </c>
    </row>
    <row r="2728">
      <c r="A2728">
        <f>IF($Q2728="","",INDEX(상세표[부서],$Q2728)&amp;"")</f>
        <v/>
      </c>
      <c r="B2728">
        <f>IF($Q2728="","",INDEX(상세표[사번],$Q2728)&amp;"")</f>
        <v/>
      </c>
      <c r="C2728">
        <f>IF($Q2728="","",INDEX(상세표[성명],$Q2728)&amp;"")</f>
        <v/>
      </c>
      <c r="D2728">
        <f>IF($Q2728="","",INDEX(상세표[직위],$Q2728)&amp;"")</f>
        <v/>
      </c>
      <c r="E2728">
        <f>IF($Q2728="","",IF(ISNUMBER(INDEX(상세표[근무일자],$Q2728)),TEXT(INDEX(상세표[근무일자],$Q2728),"yyyy-mm-dd"),INDEX(상세표[근무일자],$Q2728)&amp;""))</f>
        <v/>
      </c>
      <c r="F2728">
        <f>IF($Q2728="","",IF(ISNUMBER(INDEX(상세표[시작],$Q2728)),TEXT(INDEX(상세표[시작],$Q2728),"yyyy-mm-dd hh:mm"),INDEX(상세표[시작],$Q2728)&amp;""))</f>
        <v/>
      </c>
      <c r="G2728">
        <f>IF($Q2728="","",IF(ISNUMBER(INDEX(상세표[블록종료],$Q2728)),TEXT(INDEX(상세표[블록종료],$Q2728),"yyyy-mm-dd hh:mm"),INDEX(상세표[블록종료],$Q2728)&amp;""))</f>
        <v/>
      </c>
      <c r="H2728">
        <f>IF($Q2728="","",CHOOSE(WEEKDAY(INDEX(상세표[시작],$Q2728)),"일","월","화","수","목","금","토"))</f>
        <v/>
      </c>
      <c r="I2728" s="20">
        <f>IF($Q2728="","",INDEX(상세표[연속 시간],$Q2728))</f>
        <v/>
      </c>
      <c r="J2728">
        <f>IF($Q2728="","",INDEX(상세표[기록 수],$Q2728))</f>
        <v/>
      </c>
      <c r="K2728" s="20">
        <f>IF($Q2728="","",INDEX(상세표[블록 06~07시],$Q2728))</f>
        <v/>
      </c>
      <c r="L2728" s="20">
        <f>IF($Q2728="","",INDEX(상세표[블록 07~18시],$Q2728))</f>
        <v/>
      </c>
      <c r="M2728" s="20">
        <f>IF($Q2728="","",INDEX(상세표[블록 18~22시],$Q2728))</f>
        <v/>
      </c>
      <c r="N2728" s="20">
        <f>IF($Q2728="","",INDEX(상세표[블록 22~06시],$Q2728))</f>
        <v/>
      </c>
      <c r="O2728">
        <f>IF($Q2728="","",INDEX(상세표[주말·휴일 포함],$Q2728)&amp;"")</f>
        <v/>
      </c>
      <c r="P2728">
        <f>IF($Q2728="","",INDEX(상세표[월 넘김 포함],$Q2728)&amp;"")</f>
        <v/>
      </c>
      <c r="Q2728" s="4">
        <f>IFERROR(MATCH(2723,상세표[연속순번],0),"")</f>
        <v/>
      </c>
    </row>
    <row r="2729">
      <c r="A2729">
        <f>IF($Q2729="","",INDEX(상세표[부서],$Q2729)&amp;"")</f>
        <v/>
      </c>
      <c r="B2729">
        <f>IF($Q2729="","",INDEX(상세표[사번],$Q2729)&amp;"")</f>
        <v/>
      </c>
      <c r="C2729">
        <f>IF($Q2729="","",INDEX(상세표[성명],$Q2729)&amp;"")</f>
        <v/>
      </c>
      <c r="D2729">
        <f>IF($Q2729="","",INDEX(상세표[직위],$Q2729)&amp;"")</f>
        <v/>
      </c>
      <c r="E2729">
        <f>IF($Q2729="","",IF(ISNUMBER(INDEX(상세표[근무일자],$Q2729)),TEXT(INDEX(상세표[근무일자],$Q2729),"yyyy-mm-dd"),INDEX(상세표[근무일자],$Q2729)&amp;""))</f>
        <v/>
      </c>
      <c r="F2729">
        <f>IF($Q2729="","",IF(ISNUMBER(INDEX(상세표[시작],$Q2729)),TEXT(INDEX(상세표[시작],$Q2729),"yyyy-mm-dd hh:mm"),INDEX(상세표[시작],$Q2729)&amp;""))</f>
        <v/>
      </c>
      <c r="G2729">
        <f>IF($Q2729="","",IF(ISNUMBER(INDEX(상세표[블록종료],$Q2729)),TEXT(INDEX(상세표[블록종료],$Q2729),"yyyy-mm-dd hh:mm"),INDEX(상세표[블록종료],$Q2729)&amp;""))</f>
        <v/>
      </c>
      <c r="H2729">
        <f>IF($Q2729="","",CHOOSE(WEEKDAY(INDEX(상세표[시작],$Q2729)),"일","월","화","수","목","금","토"))</f>
        <v/>
      </c>
      <c r="I2729" s="20">
        <f>IF($Q2729="","",INDEX(상세표[연속 시간],$Q2729))</f>
        <v/>
      </c>
      <c r="J2729">
        <f>IF($Q2729="","",INDEX(상세표[기록 수],$Q2729))</f>
        <v/>
      </c>
      <c r="K2729" s="20">
        <f>IF($Q2729="","",INDEX(상세표[블록 06~07시],$Q2729))</f>
        <v/>
      </c>
      <c r="L2729" s="20">
        <f>IF($Q2729="","",INDEX(상세표[블록 07~18시],$Q2729))</f>
        <v/>
      </c>
      <c r="M2729" s="20">
        <f>IF($Q2729="","",INDEX(상세표[블록 18~22시],$Q2729))</f>
        <v/>
      </c>
      <c r="N2729" s="20">
        <f>IF($Q2729="","",INDEX(상세표[블록 22~06시],$Q2729))</f>
        <v/>
      </c>
      <c r="O2729">
        <f>IF($Q2729="","",INDEX(상세표[주말·휴일 포함],$Q2729)&amp;"")</f>
        <v/>
      </c>
      <c r="P2729">
        <f>IF($Q2729="","",INDEX(상세표[월 넘김 포함],$Q2729)&amp;"")</f>
        <v/>
      </c>
      <c r="Q2729" s="4">
        <f>IFERROR(MATCH(2724,상세표[연속순번],0),"")</f>
        <v/>
      </c>
    </row>
    <row r="2730">
      <c r="A2730">
        <f>IF($Q2730="","",INDEX(상세표[부서],$Q2730)&amp;"")</f>
        <v/>
      </c>
      <c r="B2730">
        <f>IF($Q2730="","",INDEX(상세표[사번],$Q2730)&amp;"")</f>
        <v/>
      </c>
      <c r="C2730">
        <f>IF($Q2730="","",INDEX(상세표[성명],$Q2730)&amp;"")</f>
        <v/>
      </c>
      <c r="D2730">
        <f>IF($Q2730="","",INDEX(상세표[직위],$Q2730)&amp;"")</f>
        <v/>
      </c>
      <c r="E2730">
        <f>IF($Q2730="","",IF(ISNUMBER(INDEX(상세표[근무일자],$Q2730)),TEXT(INDEX(상세표[근무일자],$Q2730),"yyyy-mm-dd"),INDEX(상세표[근무일자],$Q2730)&amp;""))</f>
        <v/>
      </c>
      <c r="F2730">
        <f>IF($Q2730="","",IF(ISNUMBER(INDEX(상세표[시작],$Q2730)),TEXT(INDEX(상세표[시작],$Q2730),"yyyy-mm-dd hh:mm"),INDEX(상세표[시작],$Q2730)&amp;""))</f>
        <v/>
      </c>
      <c r="G2730">
        <f>IF($Q2730="","",IF(ISNUMBER(INDEX(상세표[블록종료],$Q2730)),TEXT(INDEX(상세표[블록종료],$Q2730),"yyyy-mm-dd hh:mm"),INDEX(상세표[블록종료],$Q2730)&amp;""))</f>
        <v/>
      </c>
      <c r="H2730">
        <f>IF($Q2730="","",CHOOSE(WEEKDAY(INDEX(상세표[시작],$Q2730)),"일","월","화","수","목","금","토"))</f>
        <v/>
      </c>
      <c r="I2730" s="20">
        <f>IF($Q2730="","",INDEX(상세표[연속 시간],$Q2730))</f>
        <v/>
      </c>
      <c r="J2730">
        <f>IF($Q2730="","",INDEX(상세표[기록 수],$Q2730))</f>
        <v/>
      </c>
      <c r="K2730" s="20">
        <f>IF($Q2730="","",INDEX(상세표[블록 06~07시],$Q2730))</f>
        <v/>
      </c>
      <c r="L2730" s="20">
        <f>IF($Q2730="","",INDEX(상세표[블록 07~18시],$Q2730))</f>
        <v/>
      </c>
      <c r="M2730" s="20">
        <f>IF($Q2730="","",INDEX(상세표[블록 18~22시],$Q2730))</f>
        <v/>
      </c>
      <c r="N2730" s="20">
        <f>IF($Q2730="","",INDEX(상세표[블록 22~06시],$Q2730))</f>
        <v/>
      </c>
      <c r="O2730">
        <f>IF($Q2730="","",INDEX(상세표[주말·휴일 포함],$Q2730)&amp;"")</f>
        <v/>
      </c>
      <c r="P2730">
        <f>IF($Q2730="","",INDEX(상세표[월 넘김 포함],$Q2730)&amp;"")</f>
        <v/>
      </c>
      <c r="Q2730" s="4">
        <f>IFERROR(MATCH(2725,상세표[연속순번],0),"")</f>
        <v/>
      </c>
    </row>
    <row r="2731">
      <c r="A2731">
        <f>IF($Q2731="","",INDEX(상세표[부서],$Q2731)&amp;"")</f>
        <v/>
      </c>
      <c r="B2731">
        <f>IF($Q2731="","",INDEX(상세표[사번],$Q2731)&amp;"")</f>
        <v/>
      </c>
      <c r="C2731">
        <f>IF($Q2731="","",INDEX(상세표[성명],$Q2731)&amp;"")</f>
        <v/>
      </c>
      <c r="D2731">
        <f>IF($Q2731="","",INDEX(상세표[직위],$Q2731)&amp;"")</f>
        <v/>
      </c>
      <c r="E2731">
        <f>IF($Q2731="","",IF(ISNUMBER(INDEX(상세표[근무일자],$Q2731)),TEXT(INDEX(상세표[근무일자],$Q2731),"yyyy-mm-dd"),INDEX(상세표[근무일자],$Q2731)&amp;""))</f>
        <v/>
      </c>
      <c r="F2731">
        <f>IF($Q2731="","",IF(ISNUMBER(INDEX(상세표[시작],$Q2731)),TEXT(INDEX(상세표[시작],$Q2731),"yyyy-mm-dd hh:mm"),INDEX(상세표[시작],$Q2731)&amp;""))</f>
        <v/>
      </c>
      <c r="G2731">
        <f>IF($Q2731="","",IF(ISNUMBER(INDEX(상세표[블록종료],$Q2731)),TEXT(INDEX(상세표[블록종료],$Q2731),"yyyy-mm-dd hh:mm"),INDEX(상세표[블록종료],$Q2731)&amp;""))</f>
        <v/>
      </c>
      <c r="H2731">
        <f>IF($Q2731="","",CHOOSE(WEEKDAY(INDEX(상세표[시작],$Q2731)),"일","월","화","수","목","금","토"))</f>
        <v/>
      </c>
      <c r="I2731" s="20">
        <f>IF($Q2731="","",INDEX(상세표[연속 시간],$Q2731))</f>
        <v/>
      </c>
      <c r="J2731">
        <f>IF($Q2731="","",INDEX(상세표[기록 수],$Q2731))</f>
        <v/>
      </c>
      <c r="K2731" s="20">
        <f>IF($Q2731="","",INDEX(상세표[블록 06~07시],$Q2731))</f>
        <v/>
      </c>
      <c r="L2731" s="20">
        <f>IF($Q2731="","",INDEX(상세표[블록 07~18시],$Q2731))</f>
        <v/>
      </c>
      <c r="M2731" s="20">
        <f>IF($Q2731="","",INDEX(상세표[블록 18~22시],$Q2731))</f>
        <v/>
      </c>
      <c r="N2731" s="20">
        <f>IF($Q2731="","",INDEX(상세표[블록 22~06시],$Q2731))</f>
        <v/>
      </c>
      <c r="O2731">
        <f>IF($Q2731="","",INDEX(상세표[주말·휴일 포함],$Q2731)&amp;"")</f>
        <v/>
      </c>
      <c r="P2731">
        <f>IF($Q2731="","",INDEX(상세표[월 넘김 포함],$Q2731)&amp;"")</f>
        <v/>
      </c>
      <c r="Q2731" s="4">
        <f>IFERROR(MATCH(2726,상세표[연속순번],0),"")</f>
        <v/>
      </c>
    </row>
    <row r="2732">
      <c r="A2732">
        <f>IF($Q2732="","",INDEX(상세표[부서],$Q2732)&amp;"")</f>
        <v/>
      </c>
      <c r="B2732">
        <f>IF($Q2732="","",INDEX(상세표[사번],$Q2732)&amp;"")</f>
        <v/>
      </c>
      <c r="C2732">
        <f>IF($Q2732="","",INDEX(상세표[성명],$Q2732)&amp;"")</f>
        <v/>
      </c>
      <c r="D2732">
        <f>IF($Q2732="","",INDEX(상세표[직위],$Q2732)&amp;"")</f>
        <v/>
      </c>
      <c r="E2732">
        <f>IF($Q2732="","",IF(ISNUMBER(INDEX(상세표[근무일자],$Q2732)),TEXT(INDEX(상세표[근무일자],$Q2732),"yyyy-mm-dd"),INDEX(상세표[근무일자],$Q2732)&amp;""))</f>
        <v/>
      </c>
      <c r="F2732">
        <f>IF($Q2732="","",IF(ISNUMBER(INDEX(상세표[시작],$Q2732)),TEXT(INDEX(상세표[시작],$Q2732),"yyyy-mm-dd hh:mm"),INDEX(상세표[시작],$Q2732)&amp;""))</f>
        <v/>
      </c>
      <c r="G2732">
        <f>IF($Q2732="","",IF(ISNUMBER(INDEX(상세표[블록종료],$Q2732)),TEXT(INDEX(상세표[블록종료],$Q2732),"yyyy-mm-dd hh:mm"),INDEX(상세표[블록종료],$Q2732)&amp;""))</f>
        <v/>
      </c>
      <c r="H2732">
        <f>IF($Q2732="","",CHOOSE(WEEKDAY(INDEX(상세표[시작],$Q2732)),"일","월","화","수","목","금","토"))</f>
        <v/>
      </c>
      <c r="I2732" s="20">
        <f>IF($Q2732="","",INDEX(상세표[연속 시간],$Q2732))</f>
        <v/>
      </c>
      <c r="J2732">
        <f>IF($Q2732="","",INDEX(상세표[기록 수],$Q2732))</f>
        <v/>
      </c>
      <c r="K2732" s="20">
        <f>IF($Q2732="","",INDEX(상세표[블록 06~07시],$Q2732))</f>
        <v/>
      </c>
      <c r="L2732" s="20">
        <f>IF($Q2732="","",INDEX(상세표[블록 07~18시],$Q2732))</f>
        <v/>
      </c>
      <c r="M2732" s="20">
        <f>IF($Q2732="","",INDEX(상세표[블록 18~22시],$Q2732))</f>
        <v/>
      </c>
      <c r="N2732" s="20">
        <f>IF($Q2732="","",INDEX(상세표[블록 22~06시],$Q2732))</f>
        <v/>
      </c>
      <c r="O2732">
        <f>IF($Q2732="","",INDEX(상세표[주말·휴일 포함],$Q2732)&amp;"")</f>
        <v/>
      </c>
      <c r="P2732">
        <f>IF($Q2732="","",INDEX(상세표[월 넘김 포함],$Q2732)&amp;"")</f>
        <v/>
      </c>
      <c r="Q2732" s="4">
        <f>IFERROR(MATCH(2727,상세표[연속순번],0),"")</f>
        <v/>
      </c>
    </row>
    <row r="2733">
      <c r="A2733">
        <f>IF($Q2733="","",INDEX(상세표[부서],$Q2733)&amp;"")</f>
        <v/>
      </c>
      <c r="B2733">
        <f>IF($Q2733="","",INDEX(상세표[사번],$Q2733)&amp;"")</f>
        <v/>
      </c>
      <c r="C2733">
        <f>IF($Q2733="","",INDEX(상세표[성명],$Q2733)&amp;"")</f>
        <v/>
      </c>
      <c r="D2733">
        <f>IF($Q2733="","",INDEX(상세표[직위],$Q2733)&amp;"")</f>
        <v/>
      </c>
      <c r="E2733">
        <f>IF($Q2733="","",IF(ISNUMBER(INDEX(상세표[근무일자],$Q2733)),TEXT(INDEX(상세표[근무일자],$Q2733),"yyyy-mm-dd"),INDEX(상세표[근무일자],$Q2733)&amp;""))</f>
        <v/>
      </c>
      <c r="F2733">
        <f>IF($Q2733="","",IF(ISNUMBER(INDEX(상세표[시작],$Q2733)),TEXT(INDEX(상세표[시작],$Q2733),"yyyy-mm-dd hh:mm"),INDEX(상세표[시작],$Q2733)&amp;""))</f>
        <v/>
      </c>
      <c r="G2733">
        <f>IF($Q2733="","",IF(ISNUMBER(INDEX(상세표[블록종료],$Q2733)),TEXT(INDEX(상세표[블록종료],$Q2733),"yyyy-mm-dd hh:mm"),INDEX(상세표[블록종료],$Q2733)&amp;""))</f>
        <v/>
      </c>
      <c r="H2733">
        <f>IF($Q2733="","",CHOOSE(WEEKDAY(INDEX(상세표[시작],$Q2733)),"일","월","화","수","목","금","토"))</f>
        <v/>
      </c>
      <c r="I2733" s="20">
        <f>IF($Q2733="","",INDEX(상세표[연속 시간],$Q2733))</f>
        <v/>
      </c>
      <c r="J2733">
        <f>IF($Q2733="","",INDEX(상세표[기록 수],$Q2733))</f>
        <v/>
      </c>
      <c r="K2733" s="20">
        <f>IF($Q2733="","",INDEX(상세표[블록 06~07시],$Q2733))</f>
        <v/>
      </c>
      <c r="L2733" s="20">
        <f>IF($Q2733="","",INDEX(상세표[블록 07~18시],$Q2733))</f>
        <v/>
      </c>
      <c r="M2733" s="20">
        <f>IF($Q2733="","",INDEX(상세표[블록 18~22시],$Q2733))</f>
        <v/>
      </c>
      <c r="N2733" s="20">
        <f>IF($Q2733="","",INDEX(상세표[블록 22~06시],$Q2733))</f>
        <v/>
      </c>
      <c r="O2733">
        <f>IF($Q2733="","",INDEX(상세표[주말·휴일 포함],$Q2733)&amp;"")</f>
        <v/>
      </c>
      <c r="P2733">
        <f>IF($Q2733="","",INDEX(상세표[월 넘김 포함],$Q2733)&amp;"")</f>
        <v/>
      </c>
      <c r="Q2733" s="4">
        <f>IFERROR(MATCH(2728,상세표[연속순번],0),"")</f>
        <v/>
      </c>
    </row>
    <row r="2734">
      <c r="A2734">
        <f>IF($Q2734="","",INDEX(상세표[부서],$Q2734)&amp;"")</f>
        <v/>
      </c>
      <c r="B2734">
        <f>IF($Q2734="","",INDEX(상세표[사번],$Q2734)&amp;"")</f>
        <v/>
      </c>
      <c r="C2734">
        <f>IF($Q2734="","",INDEX(상세표[성명],$Q2734)&amp;"")</f>
        <v/>
      </c>
      <c r="D2734">
        <f>IF($Q2734="","",INDEX(상세표[직위],$Q2734)&amp;"")</f>
        <v/>
      </c>
      <c r="E2734">
        <f>IF($Q2734="","",IF(ISNUMBER(INDEX(상세표[근무일자],$Q2734)),TEXT(INDEX(상세표[근무일자],$Q2734),"yyyy-mm-dd"),INDEX(상세표[근무일자],$Q2734)&amp;""))</f>
        <v/>
      </c>
      <c r="F2734">
        <f>IF($Q2734="","",IF(ISNUMBER(INDEX(상세표[시작],$Q2734)),TEXT(INDEX(상세표[시작],$Q2734),"yyyy-mm-dd hh:mm"),INDEX(상세표[시작],$Q2734)&amp;""))</f>
        <v/>
      </c>
      <c r="G2734">
        <f>IF($Q2734="","",IF(ISNUMBER(INDEX(상세표[블록종료],$Q2734)),TEXT(INDEX(상세표[블록종료],$Q2734),"yyyy-mm-dd hh:mm"),INDEX(상세표[블록종료],$Q2734)&amp;""))</f>
        <v/>
      </c>
      <c r="H2734">
        <f>IF($Q2734="","",CHOOSE(WEEKDAY(INDEX(상세표[시작],$Q2734)),"일","월","화","수","목","금","토"))</f>
        <v/>
      </c>
      <c r="I2734" s="20">
        <f>IF($Q2734="","",INDEX(상세표[연속 시간],$Q2734))</f>
        <v/>
      </c>
      <c r="J2734">
        <f>IF($Q2734="","",INDEX(상세표[기록 수],$Q2734))</f>
        <v/>
      </c>
      <c r="K2734" s="20">
        <f>IF($Q2734="","",INDEX(상세표[블록 06~07시],$Q2734))</f>
        <v/>
      </c>
      <c r="L2734" s="20">
        <f>IF($Q2734="","",INDEX(상세표[블록 07~18시],$Q2734))</f>
        <v/>
      </c>
      <c r="M2734" s="20">
        <f>IF($Q2734="","",INDEX(상세표[블록 18~22시],$Q2734))</f>
        <v/>
      </c>
      <c r="N2734" s="20">
        <f>IF($Q2734="","",INDEX(상세표[블록 22~06시],$Q2734))</f>
        <v/>
      </c>
      <c r="O2734">
        <f>IF($Q2734="","",INDEX(상세표[주말·휴일 포함],$Q2734)&amp;"")</f>
        <v/>
      </c>
      <c r="P2734">
        <f>IF($Q2734="","",INDEX(상세표[월 넘김 포함],$Q2734)&amp;"")</f>
        <v/>
      </c>
      <c r="Q2734" s="4">
        <f>IFERROR(MATCH(2729,상세표[연속순번],0),"")</f>
        <v/>
      </c>
    </row>
    <row r="2735">
      <c r="A2735">
        <f>IF($Q2735="","",INDEX(상세표[부서],$Q2735)&amp;"")</f>
        <v/>
      </c>
      <c r="B2735">
        <f>IF($Q2735="","",INDEX(상세표[사번],$Q2735)&amp;"")</f>
        <v/>
      </c>
      <c r="C2735">
        <f>IF($Q2735="","",INDEX(상세표[성명],$Q2735)&amp;"")</f>
        <v/>
      </c>
      <c r="D2735">
        <f>IF($Q2735="","",INDEX(상세표[직위],$Q2735)&amp;"")</f>
        <v/>
      </c>
      <c r="E2735">
        <f>IF($Q2735="","",IF(ISNUMBER(INDEX(상세표[근무일자],$Q2735)),TEXT(INDEX(상세표[근무일자],$Q2735),"yyyy-mm-dd"),INDEX(상세표[근무일자],$Q2735)&amp;""))</f>
        <v/>
      </c>
      <c r="F2735">
        <f>IF($Q2735="","",IF(ISNUMBER(INDEX(상세표[시작],$Q2735)),TEXT(INDEX(상세표[시작],$Q2735),"yyyy-mm-dd hh:mm"),INDEX(상세표[시작],$Q2735)&amp;""))</f>
        <v/>
      </c>
      <c r="G2735">
        <f>IF($Q2735="","",IF(ISNUMBER(INDEX(상세표[블록종료],$Q2735)),TEXT(INDEX(상세표[블록종료],$Q2735),"yyyy-mm-dd hh:mm"),INDEX(상세표[블록종료],$Q2735)&amp;""))</f>
        <v/>
      </c>
      <c r="H2735">
        <f>IF($Q2735="","",CHOOSE(WEEKDAY(INDEX(상세표[시작],$Q2735)),"일","월","화","수","목","금","토"))</f>
        <v/>
      </c>
      <c r="I2735" s="20">
        <f>IF($Q2735="","",INDEX(상세표[연속 시간],$Q2735))</f>
        <v/>
      </c>
      <c r="J2735">
        <f>IF($Q2735="","",INDEX(상세표[기록 수],$Q2735))</f>
        <v/>
      </c>
      <c r="K2735" s="20">
        <f>IF($Q2735="","",INDEX(상세표[블록 06~07시],$Q2735))</f>
        <v/>
      </c>
      <c r="L2735" s="20">
        <f>IF($Q2735="","",INDEX(상세표[블록 07~18시],$Q2735))</f>
        <v/>
      </c>
      <c r="M2735" s="20">
        <f>IF($Q2735="","",INDEX(상세표[블록 18~22시],$Q2735))</f>
        <v/>
      </c>
      <c r="N2735" s="20">
        <f>IF($Q2735="","",INDEX(상세표[블록 22~06시],$Q2735))</f>
        <v/>
      </c>
      <c r="O2735">
        <f>IF($Q2735="","",INDEX(상세표[주말·휴일 포함],$Q2735)&amp;"")</f>
        <v/>
      </c>
      <c r="P2735">
        <f>IF($Q2735="","",INDEX(상세표[월 넘김 포함],$Q2735)&amp;"")</f>
        <v/>
      </c>
      <c r="Q2735" s="4">
        <f>IFERROR(MATCH(2730,상세표[연속순번],0),"")</f>
        <v/>
      </c>
    </row>
    <row r="2736">
      <c r="A2736">
        <f>IF($Q2736="","",INDEX(상세표[부서],$Q2736)&amp;"")</f>
        <v/>
      </c>
      <c r="B2736">
        <f>IF($Q2736="","",INDEX(상세표[사번],$Q2736)&amp;"")</f>
        <v/>
      </c>
      <c r="C2736">
        <f>IF($Q2736="","",INDEX(상세표[성명],$Q2736)&amp;"")</f>
        <v/>
      </c>
      <c r="D2736">
        <f>IF($Q2736="","",INDEX(상세표[직위],$Q2736)&amp;"")</f>
        <v/>
      </c>
      <c r="E2736">
        <f>IF($Q2736="","",IF(ISNUMBER(INDEX(상세표[근무일자],$Q2736)),TEXT(INDEX(상세표[근무일자],$Q2736),"yyyy-mm-dd"),INDEX(상세표[근무일자],$Q2736)&amp;""))</f>
        <v/>
      </c>
      <c r="F2736">
        <f>IF($Q2736="","",IF(ISNUMBER(INDEX(상세표[시작],$Q2736)),TEXT(INDEX(상세표[시작],$Q2736),"yyyy-mm-dd hh:mm"),INDEX(상세표[시작],$Q2736)&amp;""))</f>
        <v/>
      </c>
      <c r="G2736">
        <f>IF($Q2736="","",IF(ISNUMBER(INDEX(상세표[블록종료],$Q2736)),TEXT(INDEX(상세표[블록종료],$Q2736),"yyyy-mm-dd hh:mm"),INDEX(상세표[블록종료],$Q2736)&amp;""))</f>
        <v/>
      </c>
      <c r="H2736">
        <f>IF($Q2736="","",CHOOSE(WEEKDAY(INDEX(상세표[시작],$Q2736)),"일","월","화","수","목","금","토"))</f>
        <v/>
      </c>
      <c r="I2736" s="20">
        <f>IF($Q2736="","",INDEX(상세표[연속 시간],$Q2736))</f>
        <v/>
      </c>
      <c r="J2736">
        <f>IF($Q2736="","",INDEX(상세표[기록 수],$Q2736))</f>
        <v/>
      </c>
      <c r="K2736" s="20">
        <f>IF($Q2736="","",INDEX(상세표[블록 06~07시],$Q2736))</f>
        <v/>
      </c>
      <c r="L2736" s="20">
        <f>IF($Q2736="","",INDEX(상세표[블록 07~18시],$Q2736))</f>
        <v/>
      </c>
      <c r="M2736" s="20">
        <f>IF($Q2736="","",INDEX(상세표[블록 18~22시],$Q2736))</f>
        <v/>
      </c>
      <c r="N2736" s="20">
        <f>IF($Q2736="","",INDEX(상세표[블록 22~06시],$Q2736))</f>
        <v/>
      </c>
      <c r="O2736">
        <f>IF($Q2736="","",INDEX(상세표[주말·휴일 포함],$Q2736)&amp;"")</f>
        <v/>
      </c>
      <c r="P2736">
        <f>IF($Q2736="","",INDEX(상세표[월 넘김 포함],$Q2736)&amp;"")</f>
        <v/>
      </c>
      <c r="Q2736" s="4">
        <f>IFERROR(MATCH(2731,상세표[연속순번],0),"")</f>
        <v/>
      </c>
    </row>
    <row r="2737">
      <c r="A2737">
        <f>IF($Q2737="","",INDEX(상세표[부서],$Q2737)&amp;"")</f>
        <v/>
      </c>
      <c r="B2737">
        <f>IF($Q2737="","",INDEX(상세표[사번],$Q2737)&amp;"")</f>
        <v/>
      </c>
      <c r="C2737">
        <f>IF($Q2737="","",INDEX(상세표[성명],$Q2737)&amp;"")</f>
        <v/>
      </c>
      <c r="D2737">
        <f>IF($Q2737="","",INDEX(상세표[직위],$Q2737)&amp;"")</f>
        <v/>
      </c>
      <c r="E2737">
        <f>IF($Q2737="","",IF(ISNUMBER(INDEX(상세표[근무일자],$Q2737)),TEXT(INDEX(상세표[근무일자],$Q2737),"yyyy-mm-dd"),INDEX(상세표[근무일자],$Q2737)&amp;""))</f>
        <v/>
      </c>
      <c r="F2737">
        <f>IF($Q2737="","",IF(ISNUMBER(INDEX(상세표[시작],$Q2737)),TEXT(INDEX(상세표[시작],$Q2737),"yyyy-mm-dd hh:mm"),INDEX(상세표[시작],$Q2737)&amp;""))</f>
        <v/>
      </c>
      <c r="G2737">
        <f>IF($Q2737="","",IF(ISNUMBER(INDEX(상세표[블록종료],$Q2737)),TEXT(INDEX(상세표[블록종료],$Q2737),"yyyy-mm-dd hh:mm"),INDEX(상세표[블록종료],$Q2737)&amp;""))</f>
        <v/>
      </c>
      <c r="H2737">
        <f>IF($Q2737="","",CHOOSE(WEEKDAY(INDEX(상세표[시작],$Q2737)),"일","월","화","수","목","금","토"))</f>
        <v/>
      </c>
      <c r="I2737" s="20">
        <f>IF($Q2737="","",INDEX(상세표[연속 시간],$Q2737))</f>
        <v/>
      </c>
      <c r="J2737">
        <f>IF($Q2737="","",INDEX(상세표[기록 수],$Q2737))</f>
        <v/>
      </c>
      <c r="K2737" s="20">
        <f>IF($Q2737="","",INDEX(상세표[블록 06~07시],$Q2737))</f>
        <v/>
      </c>
      <c r="L2737" s="20">
        <f>IF($Q2737="","",INDEX(상세표[블록 07~18시],$Q2737))</f>
        <v/>
      </c>
      <c r="M2737" s="20">
        <f>IF($Q2737="","",INDEX(상세표[블록 18~22시],$Q2737))</f>
        <v/>
      </c>
      <c r="N2737" s="20">
        <f>IF($Q2737="","",INDEX(상세표[블록 22~06시],$Q2737))</f>
        <v/>
      </c>
      <c r="O2737">
        <f>IF($Q2737="","",INDEX(상세표[주말·휴일 포함],$Q2737)&amp;"")</f>
        <v/>
      </c>
      <c r="P2737">
        <f>IF($Q2737="","",INDEX(상세표[월 넘김 포함],$Q2737)&amp;"")</f>
        <v/>
      </c>
      <c r="Q2737" s="4">
        <f>IFERROR(MATCH(2732,상세표[연속순번],0),"")</f>
        <v/>
      </c>
    </row>
    <row r="2738">
      <c r="A2738">
        <f>IF($Q2738="","",INDEX(상세표[부서],$Q2738)&amp;"")</f>
        <v/>
      </c>
      <c r="B2738">
        <f>IF($Q2738="","",INDEX(상세표[사번],$Q2738)&amp;"")</f>
        <v/>
      </c>
      <c r="C2738">
        <f>IF($Q2738="","",INDEX(상세표[성명],$Q2738)&amp;"")</f>
        <v/>
      </c>
      <c r="D2738">
        <f>IF($Q2738="","",INDEX(상세표[직위],$Q2738)&amp;"")</f>
        <v/>
      </c>
      <c r="E2738">
        <f>IF($Q2738="","",IF(ISNUMBER(INDEX(상세표[근무일자],$Q2738)),TEXT(INDEX(상세표[근무일자],$Q2738),"yyyy-mm-dd"),INDEX(상세표[근무일자],$Q2738)&amp;""))</f>
        <v/>
      </c>
      <c r="F2738">
        <f>IF($Q2738="","",IF(ISNUMBER(INDEX(상세표[시작],$Q2738)),TEXT(INDEX(상세표[시작],$Q2738),"yyyy-mm-dd hh:mm"),INDEX(상세표[시작],$Q2738)&amp;""))</f>
        <v/>
      </c>
      <c r="G2738">
        <f>IF($Q2738="","",IF(ISNUMBER(INDEX(상세표[블록종료],$Q2738)),TEXT(INDEX(상세표[블록종료],$Q2738),"yyyy-mm-dd hh:mm"),INDEX(상세표[블록종료],$Q2738)&amp;""))</f>
        <v/>
      </c>
      <c r="H2738">
        <f>IF($Q2738="","",CHOOSE(WEEKDAY(INDEX(상세표[시작],$Q2738)),"일","월","화","수","목","금","토"))</f>
        <v/>
      </c>
      <c r="I2738" s="20">
        <f>IF($Q2738="","",INDEX(상세표[연속 시간],$Q2738))</f>
        <v/>
      </c>
      <c r="J2738">
        <f>IF($Q2738="","",INDEX(상세표[기록 수],$Q2738))</f>
        <v/>
      </c>
      <c r="K2738" s="20">
        <f>IF($Q2738="","",INDEX(상세표[블록 06~07시],$Q2738))</f>
        <v/>
      </c>
      <c r="L2738" s="20">
        <f>IF($Q2738="","",INDEX(상세표[블록 07~18시],$Q2738))</f>
        <v/>
      </c>
      <c r="M2738" s="20">
        <f>IF($Q2738="","",INDEX(상세표[블록 18~22시],$Q2738))</f>
        <v/>
      </c>
      <c r="N2738" s="20">
        <f>IF($Q2738="","",INDEX(상세표[블록 22~06시],$Q2738))</f>
        <v/>
      </c>
      <c r="O2738">
        <f>IF($Q2738="","",INDEX(상세표[주말·휴일 포함],$Q2738)&amp;"")</f>
        <v/>
      </c>
      <c r="P2738">
        <f>IF($Q2738="","",INDEX(상세표[월 넘김 포함],$Q2738)&amp;"")</f>
        <v/>
      </c>
      <c r="Q2738" s="4">
        <f>IFERROR(MATCH(2733,상세표[연속순번],0),"")</f>
        <v/>
      </c>
    </row>
    <row r="2739">
      <c r="A2739">
        <f>IF($Q2739="","",INDEX(상세표[부서],$Q2739)&amp;"")</f>
        <v/>
      </c>
      <c r="B2739">
        <f>IF($Q2739="","",INDEX(상세표[사번],$Q2739)&amp;"")</f>
        <v/>
      </c>
      <c r="C2739">
        <f>IF($Q2739="","",INDEX(상세표[성명],$Q2739)&amp;"")</f>
        <v/>
      </c>
      <c r="D2739">
        <f>IF($Q2739="","",INDEX(상세표[직위],$Q2739)&amp;"")</f>
        <v/>
      </c>
      <c r="E2739">
        <f>IF($Q2739="","",IF(ISNUMBER(INDEX(상세표[근무일자],$Q2739)),TEXT(INDEX(상세표[근무일자],$Q2739),"yyyy-mm-dd"),INDEX(상세표[근무일자],$Q2739)&amp;""))</f>
        <v/>
      </c>
      <c r="F2739">
        <f>IF($Q2739="","",IF(ISNUMBER(INDEX(상세표[시작],$Q2739)),TEXT(INDEX(상세표[시작],$Q2739),"yyyy-mm-dd hh:mm"),INDEX(상세표[시작],$Q2739)&amp;""))</f>
        <v/>
      </c>
      <c r="G2739">
        <f>IF($Q2739="","",IF(ISNUMBER(INDEX(상세표[블록종료],$Q2739)),TEXT(INDEX(상세표[블록종료],$Q2739),"yyyy-mm-dd hh:mm"),INDEX(상세표[블록종료],$Q2739)&amp;""))</f>
        <v/>
      </c>
      <c r="H2739">
        <f>IF($Q2739="","",CHOOSE(WEEKDAY(INDEX(상세표[시작],$Q2739)),"일","월","화","수","목","금","토"))</f>
        <v/>
      </c>
      <c r="I2739" s="20">
        <f>IF($Q2739="","",INDEX(상세표[연속 시간],$Q2739))</f>
        <v/>
      </c>
      <c r="J2739">
        <f>IF($Q2739="","",INDEX(상세표[기록 수],$Q2739))</f>
        <v/>
      </c>
      <c r="K2739" s="20">
        <f>IF($Q2739="","",INDEX(상세표[블록 06~07시],$Q2739))</f>
        <v/>
      </c>
      <c r="L2739" s="20">
        <f>IF($Q2739="","",INDEX(상세표[블록 07~18시],$Q2739))</f>
        <v/>
      </c>
      <c r="M2739" s="20">
        <f>IF($Q2739="","",INDEX(상세표[블록 18~22시],$Q2739))</f>
        <v/>
      </c>
      <c r="N2739" s="20">
        <f>IF($Q2739="","",INDEX(상세표[블록 22~06시],$Q2739))</f>
        <v/>
      </c>
      <c r="O2739">
        <f>IF($Q2739="","",INDEX(상세표[주말·휴일 포함],$Q2739)&amp;"")</f>
        <v/>
      </c>
      <c r="P2739">
        <f>IF($Q2739="","",INDEX(상세표[월 넘김 포함],$Q2739)&amp;"")</f>
        <v/>
      </c>
      <c r="Q2739" s="4">
        <f>IFERROR(MATCH(2734,상세표[연속순번],0),"")</f>
        <v/>
      </c>
    </row>
    <row r="2740">
      <c r="A2740">
        <f>IF($Q2740="","",INDEX(상세표[부서],$Q2740)&amp;"")</f>
        <v/>
      </c>
      <c r="B2740">
        <f>IF($Q2740="","",INDEX(상세표[사번],$Q2740)&amp;"")</f>
        <v/>
      </c>
      <c r="C2740">
        <f>IF($Q2740="","",INDEX(상세표[성명],$Q2740)&amp;"")</f>
        <v/>
      </c>
      <c r="D2740">
        <f>IF($Q2740="","",INDEX(상세표[직위],$Q2740)&amp;"")</f>
        <v/>
      </c>
      <c r="E2740">
        <f>IF($Q2740="","",IF(ISNUMBER(INDEX(상세표[근무일자],$Q2740)),TEXT(INDEX(상세표[근무일자],$Q2740),"yyyy-mm-dd"),INDEX(상세표[근무일자],$Q2740)&amp;""))</f>
        <v/>
      </c>
      <c r="F2740">
        <f>IF($Q2740="","",IF(ISNUMBER(INDEX(상세표[시작],$Q2740)),TEXT(INDEX(상세표[시작],$Q2740),"yyyy-mm-dd hh:mm"),INDEX(상세표[시작],$Q2740)&amp;""))</f>
        <v/>
      </c>
      <c r="G2740">
        <f>IF($Q2740="","",IF(ISNUMBER(INDEX(상세표[블록종료],$Q2740)),TEXT(INDEX(상세표[블록종료],$Q2740),"yyyy-mm-dd hh:mm"),INDEX(상세표[블록종료],$Q2740)&amp;""))</f>
        <v/>
      </c>
      <c r="H2740">
        <f>IF($Q2740="","",CHOOSE(WEEKDAY(INDEX(상세표[시작],$Q2740)),"일","월","화","수","목","금","토"))</f>
        <v/>
      </c>
      <c r="I2740" s="20">
        <f>IF($Q2740="","",INDEX(상세표[연속 시간],$Q2740))</f>
        <v/>
      </c>
      <c r="J2740">
        <f>IF($Q2740="","",INDEX(상세표[기록 수],$Q2740))</f>
        <v/>
      </c>
      <c r="K2740" s="20">
        <f>IF($Q2740="","",INDEX(상세표[블록 06~07시],$Q2740))</f>
        <v/>
      </c>
      <c r="L2740" s="20">
        <f>IF($Q2740="","",INDEX(상세표[블록 07~18시],$Q2740))</f>
        <v/>
      </c>
      <c r="M2740" s="20">
        <f>IF($Q2740="","",INDEX(상세표[블록 18~22시],$Q2740))</f>
        <v/>
      </c>
      <c r="N2740" s="20">
        <f>IF($Q2740="","",INDEX(상세표[블록 22~06시],$Q2740))</f>
        <v/>
      </c>
      <c r="O2740">
        <f>IF($Q2740="","",INDEX(상세표[주말·휴일 포함],$Q2740)&amp;"")</f>
        <v/>
      </c>
      <c r="P2740">
        <f>IF($Q2740="","",INDEX(상세표[월 넘김 포함],$Q2740)&amp;"")</f>
        <v/>
      </c>
      <c r="Q2740" s="4">
        <f>IFERROR(MATCH(2735,상세표[연속순번],0),"")</f>
        <v/>
      </c>
    </row>
    <row r="2741">
      <c r="A2741">
        <f>IF($Q2741="","",INDEX(상세표[부서],$Q2741)&amp;"")</f>
        <v/>
      </c>
      <c r="B2741">
        <f>IF($Q2741="","",INDEX(상세표[사번],$Q2741)&amp;"")</f>
        <v/>
      </c>
      <c r="C2741">
        <f>IF($Q2741="","",INDEX(상세표[성명],$Q2741)&amp;"")</f>
        <v/>
      </c>
      <c r="D2741">
        <f>IF($Q2741="","",INDEX(상세표[직위],$Q2741)&amp;"")</f>
        <v/>
      </c>
      <c r="E2741">
        <f>IF($Q2741="","",IF(ISNUMBER(INDEX(상세표[근무일자],$Q2741)),TEXT(INDEX(상세표[근무일자],$Q2741),"yyyy-mm-dd"),INDEX(상세표[근무일자],$Q2741)&amp;""))</f>
        <v/>
      </c>
      <c r="F2741">
        <f>IF($Q2741="","",IF(ISNUMBER(INDEX(상세표[시작],$Q2741)),TEXT(INDEX(상세표[시작],$Q2741),"yyyy-mm-dd hh:mm"),INDEX(상세표[시작],$Q2741)&amp;""))</f>
        <v/>
      </c>
      <c r="G2741">
        <f>IF($Q2741="","",IF(ISNUMBER(INDEX(상세표[블록종료],$Q2741)),TEXT(INDEX(상세표[블록종료],$Q2741),"yyyy-mm-dd hh:mm"),INDEX(상세표[블록종료],$Q2741)&amp;""))</f>
        <v/>
      </c>
      <c r="H2741">
        <f>IF($Q2741="","",CHOOSE(WEEKDAY(INDEX(상세표[시작],$Q2741)),"일","월","화","수","목","금","토"))</f>
        <v/>
      </c>
      <c r="I2741" s="20">
        <f>IF($Q2741="","",INDEX(상세표[연속 시간],$Q2741))</f>
        <v/>
      </c>
      <c r="J2741">
        <f>IF($Q2741="","",INDEX(상세표[기록 수],$Q2741))</f>
        <v/>
      </c>
      <c r="K2741" s="20">
        <f>IF($Q2741="","",INDEX(상세표[블록 06~07시],$Q2741))</f>
        <v/>
      </c>
      <c r="L2741" s="20">
        <f>IF($Q2741="","",INDEX(상세표[블록 07~18시],$Q2741))</f>
        <v/>
      </c>
      <c r="M2741" s="20">
        <f>IF($Q2741="","",INDEX(상세표[블록 18~22시],$Q2741))</f>
        <v/>
      </c>
      <c r="N2741" s="20">
        <f>IF($Q2741="","",INDEX(상세표[블록 22~06시],$Q2741))</f>
        <v/>
      </c>
      <c r="O2741">
        <f>IF($Q2741="","",INDEX(상세표[주말·휴일 포함],$Q2741)&amp;"")</f>
        <v/>
      </c>
      <c r="P2741">
        <f>IF($Q2741="","",INDEX(상세표[월 넘김 포함],$Q2741)&amp;"")</f>
        <v/>
      </c>
      <c r="Q2741" s="4">
        <f>IFERROR(MATCH(2736,상세표[연속순번],0),"")</f>
        <v/>
      </c>
    </row>
    <row r="2742">
      <c r="A2742">
        <f>IF($Q2742="","",INDEX(상세표[부서],$Q2742)&amp;"")</f>
        <v/>
      </c>
      <c r="B2742">
        <f>IF($Q2742="","",INDEX(상세표[사번],$Q2742)&amp;"")</f>
        <v/>
      </c>
      <c r="C2742">
        <f>IF($Q2742="","",INDEX(상세표[성명],$Q2742)&amp;"")</f>
        <v/>
      </c>
      <c r="D2742">
        <f>IF($Q2742="","",INDEX(상세표[직위],$Q2742)&amp;"")</f>
        <v/>
      </c>
      <c r="E2742">
        <f>IF($Q2742="","",IF(ISNUMBER(INDEX(상세표[근무일자],$Q2742)),TEXT(INDEX(상세표[근무일자],$Q2742),"yyyy-mm-dd"),INDEX(상세표[근무일자],$Q2742)&amp;""))</f>
        <v/>
      </c>
      <c r="F2742">
        <f>IF($Q2742="","",IF(ISNUMBER(INDEX(상세표[시작],$Q2742)),TEXT(INDEX(상세표[시작],$Q2742),"yyyy-mm-dd hh:mm"),INDEX(상세표[시작],$Q2742)&amp;""))</f>
        <v/>
      </c>
      <c r="G2742">
        <f>IF($Q2742="","",IF(ISNUMBER(INDEX(상세표[블록종료],$Q2742)),TEXT(INDEX(상세표[블록종료],$Q2742),"yyyy-mm-dd hh:mm"),INDEX(상세표[블록종료],$Q2742)&amp;""))</f>
        <v/>
      </c>
      <c r="H2742">
        <f>IF($Q2742="","",CHOOSE(WEEKDAY(INDEX(상세표[시작],$Q2742)),"일","월","화","수","목","금","토"))</f>
        <v/>
      </c>
      <c r="I2742" s="20">
        <f>IF($Q2742="","",INDEX(상세표[연속 시간],$Q2742))</f>
        <v/>
      </c>
      <c r="J2742">
        <f>IF($Q2742="","",INDEX(상세표[기록 수],$Q2742))</f>
        <v/>
      </c>
      <c r="K2742" s="20">
        <f>IF($Q2742="","",INDEX(상세표[블록 06~07시],$Q2742))</f>
        <v/>
      </c>
      <c r="L2742" s="20">
        <f>IF($Q2742="","",INDEX(상세표[블록 07~18시],$Q2742))</f>
        <v/>
      </c>
      <c r="M2742" s="20">
        <f>IF($Q2742="","",INDEX(상세표[블록 18~22시],$Q2742))</f>
        <v/>
      </c>
      <c r="N2742" s="20">
        <f>IF($Q2742="","",INDEX(상세표[블록 22~06시],$Q2742))</f>
        <v/>
      </c>
      <c r="O2742">
        <f>IF($Q2742="","",INDEX(상세표[주말·휴일 포함],$Q2742)&amp;"")</f>
        <v/>
      </c>
      <c r="P2742">
        <f>IF($Q2742="","",INDEX(상세표[월 넘김 포함],$Q2742)&amp;"")</f>
        <v/>
      </c>
      <c r="Q2742" s="4">
        <f>IFERROR(MATCH(2737,상세표[연속순번],0),"")</f>
        <v/>
      </c>
    </row>
    <row r="2743">
      <c r="A2743">
        <f>IF($Q2743="","",INDEX(상세표[부서],$Q2743)&amp;"")</f>
        <v/>
      </c>
      <c r="B2743">
        <f>IF($Q2743="","",INDEX(상세표[사번],$Q2743)&amp;"")</f>
        <v/>
      </c>
      <c r="C2743">
        <f>IF($Q2743="","",INDEX(상세표[성명],$Q2743)&amp;"")</f>
        <v/>
      </c>
      <c r="D2743">
        <f>IF($Q2743="","",INDEX(상세표[직위],$Q2743)&amp;"")</f>
        <v/>
      </c>
      <c r="E2743">
        <f>IF($Q2743="","",IF(ISNUMBER(INDEX(상세표[근무일자],$Q2743)),TEXT(INDEX(상세표[근무일자],$Q2743),"yyyy-mm-dd"),INDEX(상세표[근무일자],$Q2743)&amp;""))</f>
        <v/>
      </c>
      <c r="F2743">
        <f>IF($Q2743="","",IF(ISNUMBER(INDEX(상세표[시작],$Q2743)),TEXT(INDEX(상세표[시작],$Q2743),"yyyy-mm-dd hh:mm"),INDEX(상세표[시작],$Q2743)&amp;""))</f>
        <v/>
      </c>
      <c r="G2743">
        <f>IF($Q2743="","",IF(ISNUMBER(INDEX(상세표[블록종료],$Q2743)),TEXT(INDEX(상세표[블록종료],$Q2743),"yyyy-mm-dd hh:mm"),INDEX(상세표[블록종료],$Q2743)&amp;""))</f>
        <v/>
      </c>
      <c r="H2743">
        <f>IF($Q2743="","",CHOOSE(WEEKDAY(INDEX(상세표[시작],$Q2743)),"일","월","화","수","목","금","토"))</f>
        <v/>
      </c>
      <c r="I2743" s="20">
        <f>IF($Q2743="","",INDEX(상세표[연속 시간],$Q2743))</f>
        <v/>
      </c>
      <c r="J2743">
        <f>IF($Q2743="","",INDEX(상세표[기록 수],$Q2743))</f>
        <v/>
      </c>
      <c r="K2743" s="20">
        <f>IF($Q2743="","",INDEX(상세표[블록 06~07시],$Q2743))</f>
        <v/>
      </c>
      <c r="L2743" s="20">
        <f>IF($Q2743="","",INDEX(상세표[블록 07~18시],$Q2743))</f>
        <v/>
      </c>
      <c r="M2743" s="20">
        <f>IF($Q2743="","",INDEX(상세표[블록 18~22시],$Q2743))</f>
        <v/>
      </c>
      <c r="N2743" s="20">
        <f>IF($Q2743="","",INDEX(상세표[블록 22~06시],$Q2743))</f>
        <v/>
      </c>
      <c r="O2743">
        <f>IF($Q2743="","",INDEX(상세표[주말·휴일 포함],$Q2743)&amp;"")</f>
        <v/>
      </c>
      <c r="P2743">
        <f>IF($Q2743="","",INDEX(상세표[월 넘김 포함],$Q2743)&amp;"")</f>
        <v/>
      </c>
      <c r="Q2743" s="4">
        <f>IFERROR(MATCH(2738,상세표[연속순번],0),"")</f>
        <v/>
      </c>
    </row>
    <row r="2744">
      <c r="A2744">
        <f>IF($Q2744="","",INDEX(상세표[부서],$Q2744)&amp;"")</f>
        <v/>
      </c>
      <c r="B2744">
        <f>IF($Q2744="","",INDEX(상세표[사번],$Q2744)&amp;"")</f>
        <v/>
      </c>
      <c r="C2744">
        <f>IF($Q2744="","",INDEX(상세표[성명],$Q2744)&amp;"")</f>
        <v/>
      </c>
      <c r="D2744">
        <f>IF($Q2744="","",INDEX(상세표[직위],$Q2744)&amp;"")</f>
        <v/>
      </c>
      <c r="E2744">
        <f>IF($Q2744="","",IF(ISNUMBER(INDEX(상세표[근무일자],$Q2744)),TEXT(INDEX(상세표[근무일자],$Q2744),"yyyy-mm-dd"),INDEX(상세표[근무일자],$Q2744)&amp;""))</f>
        <v/>
      </c>
      <c r="F2744">
        <f>IF($Q2744="","",IF(ISNUMBER(INDEX(상세표[시작],$Q2744)),TEXT(INDEX(상세표[시작],$Q2744),"yyyy-mm-dd hh:mm"),INDEX(상세표[시작],$Q2744)&amp;""))</f>
        <v/>
      </c>
      <c r="G2744">
        <f>IF($Q2744="","",IF(ISNUMBER(INDEX(상세표[블록종료],$Q2744)),TEXT(INDEX(상세표[블록종료],$Q2744),"yyyy-mm-dd hh:mm"),INDEX(상세표[블록종료],$Q2744)&amp;""))</f>
        <v/>
      </c>
      <c r="H2744">
        <f>IF($Q2744="","",CHOOSE(WEEKDAY(INDEX(상세표[시작],$Q2744)),"일","월","화","수","목","금","토"))</f>
        <v/>
      </c>
      <c r="I2744" s="20">
        <f>IF($Q2744="","",INDEX(상세표[연속 시간],$Q2744))</f>
        <v/>
      </c>
      <c r="J2744">
        <f>IF($Q2744="","",INDEX(상세표[기록 수],$Q2744))</f>
        <v/>
      </c>
      <c r="K2744" s="20">
        <f>IF($Q2744="","",INDEX(상세표[블록 06~07시],$Q2744))</f>
        <v/>
      </c>
      <c r="L2744" s="20">
        <f>IF($Q2744="","",INDEX(상세표[블록 07~18시],$Q2744))</f>
        <v/>
      </c>
      <c r="M2744" s="20">
        <f>IF($Q2744="","",INDEX(상세표[블록 18~22시],$Q2744))</f>
        <v/>
      </c>
      <c r="N2744" s="20">
        <f>IF($Q2744="","",INDEX(상세표[블록 22~06시],$Q2744))</f>
        <v/>
      </c>
      <c r="O2744">
        <f>IF($Q2744="","",INDEX(상세표[주말·휴일 포함],$Q2744)&amp;"")</f>
        <v/>
      </c>
      <c r="P2744">
        <f>IF($Q2744="","",INDEX(상세표[월 넘김 포함],$Q2744)&amp;"")</f>
        <v/>
      </c>
      <c r="Q2744" s="4">
        <f>IFERROR(MATCH(2739,상세표[연속순번],0),"")</f>
        <v/>
      </c>
    </row>
    <row r="2745">
      <c r="A2745">
        <f>IF($Q2745="","",INDEX(상세표[부서],$Q2745)&amp;"")</f>
        <v/>
      </c>
      <c r="B2745">
        <f>IF($Q2745="","",INDEX(상세표[사번],$Q2745)&amp;"")</f>
        <v/>
      </c>
      <c r="C2745">
        <f>IF($Q2745="","",INDEX(상세표[성명],$Q2745)&amp;"")</f>
        <v/>
      </c>
      <c r="D2745">
        <f>IF($Q2745="","",INDEX(상세표[직위],$Q2745)&amp;"")</f>
        <v/>
      </c>
      <c r="E2745">
        <f>IF($Q2745="","",IF(ISNUMBER(INDEX(상세표[근무일자],$Q2745)),TEXT(INDEX(상세표[근무일자],$Q2745),"yyyy-mm-dd"),INDEX(상세표[근무일자],$Q2745)&amp;""))</f>
        <v/>
      </c>
      <c r="F2745">
        <f>IF($Q2745="","",IF(ISNUMBER(INDEX(상세표[시작],$Q2745)),TEXT(INDEX(상세표[시작],$Q2745),"yyyy-mm-dd hh:mm"),INDEX(상세표[시작],$Q2745)&amp;""))</f>
        <v/>
      </c>
      <c r="G2745">
        <f>IF($Q2745="","",IF(ISNUMBER(INDEX(상세표[블록종료],$Q2745)),TEXT(INDEX(상세표[블록종료],$Q2745),"yyyy-mm-dd hh:mm"),INDEX(상세표[블록종료],$Q2745)&amp;""))</f>
        <v/>
      </c>
      <c r="H2745">
        <f>IF($Q2745="","",CHOOSE(WEEKDAY(INDEX(상세표[시작],$Q2745)),"일","월","화","수","목","금","토"))</f>
        <v/>
      </c>
      <c r="I2745" s="20">
        <f>IF($Q2745="","",INDEX(상세표[연속 시간],$Q2745))</f>
        <v/>
      </c>
      <c r="J2745">
        <f>IF($Q2745="","",INDEX(상세표[기록 수],$Q2745))</f>
        <v/>
      </c>
      <c r="K2745" s="20">
        <f>IF($Q2745="","",INDEX(상세표[블록 06~07시],$Q2745))</f>
        <v/>
      </c>
      <c r="L2745" s="20">
        <f>IF($Q2745="","",INDEX(상세표[블록 07~18시],$Q2745))</f>
        <v/>
      </c>
      <c r="M2745" s="20">
        <f>IF($Q2745="","",INDEX(상세표[블록 18~22시],$Q2745))</f>
        <v/>
      </c>
      <c r="N2745" s="20">
        <f>IF($Q2745="","",INDEX(상세표[블록 22~06시],$Q2745))</f>
        <v/>
      </c>
      <c r="O2745">
        <f>IF($Q2745="","",INDEX(상세표[주말·휴일 포함],$Q2745)&amp;"")</f>
        <v/>
      </c>
      <c r="P2745">
        <f>IF($Q2745="","",INDEX(상세표[월 넘김 포함],$Q2745)&amp;"")</f>
        <v/>
      </c>
      <c r="Q2745" s="4">
        <f>IFERROR(MATCH(2740,상세표[연속순번],0),"")</f>
        <v/>
      </c>
    </row>
    <row r="2746">
      <c r="A2746">
        <f>IF($Q2746="","",INDEX(상세표[부서],$Q2746)&amp;"")</f>
        <v/>
      </c>
      <c r="B2746">
        <f>IF($Q2746="","",INDEX(상세표[사번],$Q2746)&amp;"")</f>
        <v/>
      </c>
      <c r="C2746">
        <f>IF($Q2746="","",INDEX(상세표[성명],$Q2746)&amp;"")</f>
        <v/>
      </c>
      <c r="D2746">
        <f>IF($Q2746="","",INDEX(상세표[직위],$Q2746)&amp;"")</f>
        <v/>
      </c>
      <c r="E2746">
        <f>IF($Q2746="","",IF(ISNUMBER(INDEX(상세표[근무일자],$Q2746)),TEXT(INDEX(상세표[근무일자],$Q2746),"yyyy-mm-dd"),INDEX(상세표[근무일자],$Q2746)&amp;""))</f>
        <v/>
      </c>
      <c r="F2746">
        <f>IF($Q2746="","",IF(ISNUMBER(INDEX(상세표[시작],$Q2746)),TEXT(INDEX(상세표[시작],$Q2746),"yyyy-mm-dd hh:mm"),INDEX(상세표[시작],$Q2746)&amp;""))</f>
        <v/>
      </c>
      <c r="G2746">
        <f>IF($Q2746="","",IF(ISNUMBER(INDEX(상세표[블록종료],$Q2746)),TEXT(INDEX(상세표[블록종료],$Q2746),"yyyy-mm-dd hh:mm"),INDEX(상세표[블록종료],$Q2746)&amp;""))</f>
        <v/>
      </c>
      <c r="H2746">
        <f>IF($Q2746="","",CHOOSE(WEEKDAY(INDEX(상세표[시작],$Q2746)),"일","월","화","수","목","금","토"))</f>
        <v/>
      </c>
      <c r="I2746" s="20">
        <f>IF($Q2746="","",INDEX(상세표[연속 시간],$Q2746))</f>
        <v/>
      </c>
      <c r="J2746">
        <f>IF($Q2746="","",INDEX(상세표[기록 수],$Q2746))</f>
        <v/>
      </c>
      <c r="K2746" s="20">
        <f>IF($Q2746="","",INDEX(상세표[블록 06~07시],$Q2746))</f>
        <v/>
      </c>
      <c r="L2746" s="20">
        <f>IF($Q2746="","",INDEX(상세표[블록 07~18시],$Q2746))</f>
        <v/>
      </c>
      <c r="M2746" s="20">
        <f>IF($Q2746="","",INDEX(상세표[블록 18~22시],$Q2746))</f>
        <v/>
      </c>
      <c r="N2746" s="20">
        <f>IF($Q2746="","",INDEX(상세표[블록 22~06시],$Q2746))</f>
        <v/>
      </c>
      <c r="O2746">
        <f>IF($Q2746="","",INDEX(상세표[주말·휴일 포함],$Q2746)&amp;"")</f>
        <v/>
      </c>
      <c r="P2746">
        <f>IF($Q2746="","",INDEX(상세표[월 넘김 포함],$Q2746)&amp;"")</f>
        <v/>
      </c>
      <c r="Q2746" s="4">
        <f>IFERROR(MATCH(2741,상세표[연속순번],0),"")</f>
        <v/>
      </c>
    </row>
    <row r="2747">
      <c r="A2747">
        <f>IF($Q2747="","",INDEX(상세표[부서],$Q2747)&amp;"")</f>
        <v/>
      </c>
      <c r="B2747">
        <f>IF($Q2747="","",INDEX(상세표[사번],$Q2747)&amp;"")</f>
        <v/>
      </c>
      <c r="C2747">
        <f>IF($Q2747="","",INDEX(상세표[성명],$Q2747)&amp;"")</f>
        <v/>
      </c>
      <c r="D2747">
        <f>IF($Q2747="","",INDEX(상세표[직위],$Q2747)&amp;"")</f>
        <v/>
      </c>
      <c r="E2747">
        <f>IF($Q2747="","",IF(ISNUMBER(INDEX(상세표[근무일자],$Q2747)),TEXT(INDEX(상세표[근무일자],$Q2747),"yyyy-mm-dd"),INDEX(상세표[근무일자],$Q2747)&amp;""))</f>
        <v/>
      </c>
      <c r="F2747">
        <f>IF($Q2747="","",IF(ISNUMBER(INDEX(상세표[시작],$Q2747)),TEXT(INDEX(상세표[시작],$Q2747),"yyyy-mm-dd hh:mm"),INDEX(상세표[시작],$Q2747)&amp;""))</f>
        <v/>
      </c>
      <c r="G2747">
        <f>IF($Q2747="","",IF(ISNUMBER(INDEX(상세표[블록종료],$Q2747)),TEXT(INDEX(상세표[블록종료],$Q2747),"yyyy-mm-dd hh:mm"),INDEX(상세표[블록종료],$Q2747)&amp;""))</f>
        <v/>
      </c>
      <c r="H2747">
        <f>IF($Q2747="","",CHOOSE(WEEKDAY(INDEX(상세표[시작],$Q2747)),"일","월","화","수","목","금","토"))</f>
        <v/>
      </c>
      <c r="I2747" s="20">
        <f>IF($Q2747="","",INDEX(상세표[연속 시간],$Q2747))</f>
        <v/>
      </c>
      <c r="J2747">
        <f>IF($Q2747="","",INDEX(상세표[기록 수],$Q2747))</f>
        <v/>
      </c>
      <c r="K2747" s="20">
        <f>IF($Q2747="","",INDEX(상세표[블록 06~07시],$Q2747))</f>
        <v/>
      </c>
      <c r="L2747" s="20">
        <f>IF($Q2747="","",INDEX(상세표[블록 07~18시],$Q2747))</f>
        <v/>
      </c>
      <c r="M2747" s="20">
        <f>IF($Q2747="","",INDEX(상세표[블록 18~22시],$Q2747))</f>
        <v/>
      </c>
      <c r="N2747" s="20">
        <f>IF($Q2747="","",INDEX(상세표[블록 22~06시],$Q2747))</f>
        <v/>
      </c>
      <c r="O2747">
        <f>IF($Q2747="","",INDEX(상세표[주말·휴일 포함],$Q2747)&amp;"")</f>
        <v/>
      </c>
      <c r="P2747">
        <f>IF($Q2747="","",INDEX(상세표[월 넘김 포함],$Q2747)&amp;"")</f>
        <v/>
      </c>
      <c r="Q2747" s="4">
        <f>IFERROR(MATCH(2742,상세표[연속순번],0),"")</f>
        <v/>
      </c>
    </row>
    <row r="2748">
      <c r="A2748">
        <f>IF($Q2748="","",INDEX(상세표[부서],$Q2748)&amp;"")</f>
        <v/>
      </c>
      <c r="B2748">
        <f>IF($Q2748="","",INDEX(상세표[사번],$Q2748)&amp;"")</f>
        <v/>
      </c>
      <c r="C2748">
        <f>IF($Q2748="","",INDEX(상세표[성명],$Q2748)&amp;"")</f>
        <v/>
      </c>
      <c r="D2748">
        <f>IF($Q2748="","",INDEX(상세표[직위],$Q2748)&amp;"")</f>
        <v/>
      </c>
      <c r="E2748">
        <f>IF($Q2748="","",IF(ISNUMBER(INDEX(상세표[근무일자],$Q2748)),TEXT(INDEX(상세표[근무일자],$Q2748),"yyyy-mm-dd"),INDEX(상세표[근무일자],$Q2748)&amp;""))</f>
        <v/>
      </c>
      <c r="F2748">
        <f>IF($Q2748="","",IF(ISNUMBER(INDEX(상세표[시작],$Q2748)),TEXT(INDEX(상세표[시작],$Q2748),"yyyy-mm-dd hh:mm"),INDEX(상세표[시작],$Q2748)&amp;""))</f>
        <v/>
      </c>
      <c r="G2748">
        <f>IF($Q2748="","",IF(ISNUMBER(INDEX(상세표[블록종료],$Q2748)),TEXT(INDEX(상세표[블록종료],$Q2748),"yyyy-mm-dd hh:mm"),INDEX(상세표[블록종료],$Q2748)&amp;""))</f>
        <v/>
      </c>
      <c r="H2748">
        <f>IF($Q2748="","",CHOOSE(WEEKDAY(INDEX(상세표[시작],$Q2748)),"일","월","화","수","목","금","토"))</f>
        <v/>
      </c>
      <c r="I2748" s="20">
        <f>IF($Q2748="","",INDEX(상세표[연속 시간],$Q2748))</f>
        <v/>
      </c>
      <c r="J2748">
        <f>IF($Q2748="","",INDEX(상세표[기록 수],$Q2748))</f>
        <v/>
      </c>
      <c r="K2748" s="20">
        <f>IF($Q2748="","",INDEX(상세표[블록 06~07시],$Q2748))</f>
        <v/>
      </c>
      <c r="L2748" s="20">
        <f>IF($Q2748="","",INDEX(상세표[블록 07~18시],$Q2748))</f>
        <v/>
      </c>
      <c r="M2748" s="20">
        <f>IF($Q2748="","",INDEX(상세표[블록 18~22시],$Q2748))</f>
        <v/>
      </c>
      <c r="N2748" s="20">
        <f>IF($Q2748="","",INDEX(상세표[블록 22~06시],$Q2748))</f>
        <v/>
      </c>
      <c r="O2748">
        <f>IF($Q2748="","",INDEX(상세표[주말·휴일 포함],$Q2748)&amp;"")</f>
        <v/>
      </c>
      <c r="P2748">
        <f>IF($Q2748="","",INDEX(상세표[월 넘김 포함],$Q2748)&amp;"")</f>
        <v/>
      </c>
      <c r="Q2748" s="4">
        <f>IFERROR(MATCH(2743,상세표[연속순번],0),"")</f>
        <v/>
      </c>
    </row>
    <row r="2749">
      <c r="A2749">
        <f>IF($Q2749="","",INDEX(상세표[부서],$Q2749)&amp;"")</f>
        <v/>
      </c>
      <c r="B2749">
        <f>IF($Q2749="","",INDEX(상세표[사번],$Q2749)&amp;"")</f>
        <v/>
      </c>
      <c r="C2749">
        <f>IF($Q2749="","",INDEX(상세표[성명],$Q2749)&amp;"")</f>
        <v/>
      </c>
      <c r="D2749">
        <f>IF($Q2749="","",INDEX(상세표[직위],$Q2749)&amp;"")</f>
        <v/>
      </c>
      <c r="E2749">
        <f>IF($Q2749="","",IF(ISNUMBER(INDEX(상세표[근무일자],$Q2749)),TEXT(INDEX(상세표[근무일자],$Q2749),"yyyy-mm-dd"),INDEX(상세표[근무일자],$Q2749)&amp;""))</f>
        <v/>
      </c>
      <c r="F2749">
        <f>IF($Q2749="","",IF(ISNUMBER(INDEX(상세표[시작],$Q2749)),TEXT(INDEX(상세표[시작],$Q2749),"yyyy-mm-dd hh:mm"),INDEX(상세표[시작],$Q2749)&amp;""))</f>
        <v/>
      </c>
      <c r="G2749">
        <f>IF($Q2749="","",IF(ISNUMBER(INDEX(상세표[블록종료],$Q2749)),TEXT(INDEX(상세표[블록종료],$Q2749),"yyyy-mm-dd hh:mm"),INDEX(상세표[블록종료],$Q2749)&amp;""))</f>
        <v/>
      </c>
      <c r="H2749">
        <f>IF($Q2749="","",CHOOSE(WEEKDAY(INDEX(상세표[시작],$Q2749)),"일","월","화","수","목","금","토"))</f>
        <v/>
      </c>
      <c r="I2749" s="20">
        <f>IF($Q2749="","",INDEX(상세표[연속 시간],$Q2749))</f>
        <v/>
      </c>
      <c r="J2749">
        <f>IF($Q2749="","",INDEX(상세표[기록 수],$Q2749))</f>
        <v/>
      </c>
      <c r="K2749" s="20">
        <f>IF($Q2749="","",INDEX(상세표[블록 06~07시],$Q2749))</f>
        <v/>
      </c>
      <c r="L2749" s="20">
        <f>IF($Q2749="","",INDEX(상세표[블록 07~18시],$Q2749))</f>
        <v/>
      </c>
      <c r="M2749" s="20">
        <f>IF($Q2749="","",INDEX(상세표[블록 18~22시],$Q2749))</f>
        <v/>
      </c>
      <c r="N2749" s="20">
        <f>IF($Q2749="","",INDEX(상세표[블록 22~06시],$Q2749))</f>
        <v/>
      </c>
      <c r="O2749">
        <f>IF($Q2749="","",INDEX(상세표[주말·휴일 포함],$Q2749)&amp;"")</f>
        <v/>
      </c>
      <c r="P2749">
        <f>IF($Q2749="","",INDEX(상세표[월 넘김 포함],$Q2749)&amp;"")</f>
        <v/>
      </c>
      <c r="Q2749" s="4">
        <f>IFERROR(MATCH(2744,상세표[연속순번],0),"")</f>
        <v/>
      </c>
    </row>
    <row r="2750">
      <c r="A2750">
        <f>IF($Q2750="","",INDEX(상세표[부서],$Q2750)&amp;"")</f>
        <v/>
      </c>
      <c r="B2750">
        <f>IF($Q2750="","",INDEX(상세표[사번],$Q2750)&amp;"")</f>
        <v/>
      </c>
      <c r="C2750">
        <f>IF($Q2750="","",INDEX(상세표[성명],$Q2750)&amp;"")</f>
        <v/>
      </c>
      <c r="D2750">
        <f>IF($Q2750="","",INDEX(상세표[직위],$Q2750)&amp;"")</f>
        <v/>
      </c>
      <c r="E2750">
        <f>IF($Q2750="","",IF(ISNUMBER(INDEX(상세표[근무일자],$Q2750)),TEXT(INDEX(상세표[근무일자],$Q2750),"yyyy-mm-dd"),INDEX(상세표[근무일자],$Q2750)&amp;""))</f>
        <v/>
      </c>
      <c r="F2750">
        <f>IF($Q2750="","",IF(ISNUMBER(INDEX(상세표[시작],$Q2750)),TEXT(INDEX(상세표[시작],$Q2750),"yyyy-mm-dd hh:mm"),INDEX(상세표[시작],$Q2750)&amp;""))</f>
        <v/>
      </c>
      <c r="G2750">
        <f>IF($Q2750="","",IF(ISNUMBER(INDEX(상세표[블록종료],$Q2750)),TEXT(INDEX(상세표[블록종료],$Q2750),"yyyy-mm-dd hh:mm"),INDEX(상세표[블록종료],$Q2750)&amp;""))</f>
        <v/>
      </c>
      <c r="H2750">
        <f>IF($Q2750="","",CHOOSE(WEEKDAY(INDEX(상세표[시작],$Q2750)),"일","월","화","수","목","금","토"))</f>
        <v/>
      </c>
      <c r="I2750" s="20">
        <f>IF($Q2750="","",INDEX(상세표[연속 시간],$Q2750))</f>
        <v/>
      </c>
      <c r="J2750">
        <f>IF($Q2750="","",INDEX(상세표[기록 수],$Q2750))</f>
        <v/>
      </c>
      <c r="K2750" s="20">
        <f>IF($Q2750="","",INDEX(상세표[블록 06~07시],$Q2750))</f>
        <v/>
      </c>
      <c r="L2750" s="20">
        <f>IF($Q2750="","",INDEX(상세표[블록 07~18시],$Q2750))</f>
        <v/>
      </c>
      <c r="M2750" s="20">
        <f>IF($Q2750="","",INDEX(상세표[블록 18~22시],$Q2750))</f>
        <v/>
      </c>
      <c r="N2750" s="20">
        <f>IF($Q2750="","",INDEX(상세표[블록 22~06시],$Q2750))</f>
        <v/>
      </c>
      <c r="O2750">
        <f>IF($Q2750="","",INDEX(상세표[주말·휴일 포함],$Q2750)&amp;"")</f>
        <v/>
      </c>
      <c r="P2750">
        <f>IF($Q2750="","",INDEX(상세표[월 넘김 포함],$Q2750)&amp;"")</f>
        <v/>
      </c>
      <c r="Q2750" s="4">
        <f>IFERROR(MATCH(2745,상세표[연속순번],0),"")</f>
        <v/>
      </c>
    </row>
    <row r="2751">
      <c r="A2751">
        <f>IF($Q2751="","",INDEX(상세표[부서],$Q2751)&amp;"")</f>
        <v/>
      </c>
      <c r="B2751">
        <f>IF($Q2751="","",INDEX(상세표[사번],$Q2751)&amp;"")</f>
        <v/>
      </c>
      <c r="C2751">
        <f>IF($Q2751="","",INDEX(상세표[성명],$Q2751)&amp;"")</f>
        <v/>
      </c>
      <c r="D2751">
        <f>IF($Q2751="","",INDEX(상세표[직위],$Q2751)&amp;"")</f>
        <v/>
      </c>
      <c r="E2751">
        <f>IF($Q2751="","",IF(ISNUMBER(INDEX(상세표[근무일자],$Q2751)),TEXT(INDEX(상세표[근무일자],$Q2751),"yyyy-mm-dd"),INDEX(상세표[근무일자],$Q2751)&amp;""))</f>
        <v/>
      </c>
      <c r="F2751">
        <f>IF($Q2751="","",IF(ISNUMBER(INDEX(상세표[시작],$Q2751)),TEXT(INDEX(상세표[시작],$Q2751),"yyyy-mm-dd hh:mm"),INDEX(상세표[시작],$Q2751)&amp;""))</f>
        <v/>
      </c>
      <c r="G2751">
        <f>IF($Q2751="","",IF(ISNUMBER(INDEX(상세표[블록종료],$Q2751)),TEXT(INDEX(상세표[블록종료],$Q2751),"yyyy-mm-dd hh:mm"),INDEX(상세표[블록종료],$Q2751)&amp;""))</f>
        <v/>
      </c>
      <c r="H2751">
        <f>IF($Q2751="","",CHOOSE(WEEKDAY(INDEX(상세표[시작],$Q2751)),"일","월","화","수","목","금","토"))</f>
        <v/>
      </c>
      <c r="I2751" s="20">
        <f>IF($Q2751="","",INDEX(상세표[연속 시간],$Q2751))</f>
        <v/>
      </c>
      <c r="J2751">
        <f>IF($Q2751="","",INDEX(상세표[기록 수],$Q2751))</f>
        <v/>
      </c>
      <c r="K2751" s="20">
        <f>IF($Q2751="","",INDEX(상세표[블록 06~07시],$Q2751))</f>
        <v/>
      </c>
      <c r="L2751" s="20">
        <f>IF($Q2751="","",INDEX(상세표[블록 07~18시],$Q2751))</f>
        <v/>
      </c>
      <c r="M2751" s="20">
        <f>IF($Q2751="","",INDEX(상세표[블록 18~22시],$Q2751))</f>
        <v/>
      </c>
      <c r="N2751" s="20">
        <f>IF($Q2751="","",INDEX(상세표[블록 22~06시],$Q2751))</f>
        <v/>
      </c>
      <c r="O2751">
        <f>IF($Q2751="","",INDEX(상세표[주말·휴일 포함],$Q2751)&amp;"")</f>
        <v/>
      </c>
      <c r="P2751">
        <f>IF($Q2751="","",INDEX(상세표[월 넘김 포함],$Q2751)&amp;"")</f>
        <v/>
      </c>
      <c r="Q2751" s="4">
        <f>IFERROR(MATCH(2746,상세표[연속순번],0),"")</f>
        <v/>
      </c>
    </row>
    <row r="2752">
      <c r="A2752">
        <f>IF($Q2752="","",INDEX(상세표[부서],$Q2752)&amp;"")</f>
        <v/>
      </c>
      <c r="B2752">
        <f>IF($Q2752="","",INDEX(상세표[사번],$Q2752)&amp;"")</f>
        <v/>
      </c>
      <c r="C2752">
        <f>IF($Q2752="","",INDEX(상세표[성명],$Q2752)&amp;"")</f>
        <v/>
      </c>
      <c r="D2752">
        <f>IF($Q2752="","",INDEX(상세표[직위],$Q2752)&amp;"")</f>
        <v/>
      </c>
      <c r="E2752">
        <f>IF($Q2752="","",IF(ISNUMBER(INDEX(상세표[근무일자],$Q2752)),TEXT(INDEX(상세표[근무일자],$Q2752),"yyyy-mm-dd"),INDEX(상세표[근무일자],$Q2752)&amp;""))</f>
        <v/>
      </c>
      <c r="F2752">
        <f>IF($Q2752="","",IF(ISNUMBER(INDEX(상세표[시작],$Q2752)),TEXT(INDEX(상세표[시작],$Q2752),"yyyy-mm-dd hh:mm"),INDEX(상세표[시작],$Q2752)&amp;""))</f>
        <v/>
      </c>
      <c r="G2752">
        <f>IF($Q2752="","",IF(ISNUMBER(INDEX(상세표[블록종료],$Q2752)),TEXT(INDEX(상세표[블록종료],$Q2752),"yyyy-mm-dd hh:mm"),INDEX(상세표[블록종료],$Q2752)&amp;""))</f>
        <v/>
      </c>
      <c r="H2752">
        <f>IF($Q2752="","",CHOOSE(WEEKDAY(INDEX(상세표[시작],$Q2752)),"일","월","화","수","목","금","토"))</f>
        <v/>
      </c>
      <c r="I2752" s="20">
        <f>IF($Q2752="","",INDEX(상세표[연속 시간],$Q2752))</f>
        <v/>
      </c>
      <c r="J2752">
        <f>IF($Q2752="","",INDEX(상세표[기록 수],$Q2752))</f>
        <v/>
      </c>
      <c r="K2752" s="20">
        <f>IF($Q2752="","",INDEX(상세표[블록 06~07시],$Q2752))</f>
        <v/>
      </c>
      <c r="L2752" s="20">
        <f>IF($Q2752="","",INDEX(상세표[블록 07~18시],$Q2752))</f>
        <v/>
      </c>
      <c r="M2752" s="20">
        <f>IF($Q2752="","",INDEX(상세표[블록 18~22시],$Q2752))</f>
        <v/>
      </c>
      <c r="N2752" s="20">
        <f>IF($Q2752="","",INDEX(상세표[블록 22~06시],$Q2752))</f>
        <v/>
      </c>
      <c r="O2752">
        <f>IF($Q2752="","",INDEX(상세표[주말·휴일 포함],$Q2752)&amp;"")</f>
        <v/>
      </c>
      <c r="P2752">
        <f>IF($Q2752="","",INDEX(상세표[월 넘김 포함],$Q2752)&amp;"")</f>
        <v/>
      </c>
      <c r="Q2752" s="4">
        <f>IFERROR(MATCH(2747,상세표[연속순번],0),"")</f>
        <v/>
      </c>
    </row>
    <row r="2753">
      <c r="A2753">
        <f>IF($Q2753="","",INDEX(상세표[부서],$Q2753)&amp;"")</f>
        <v/>
      </c>
      <c r="B2753">
        <f>IF($Q2753="","",INDEX(상세표[사번],$Q2753)&amp;"")</f>
        <v/>
      </c>
      <c r="C2753">
        <f>IF($Q2753="","",INDEX(상세표[성명],$Q2753)&amp;"")</f>
        <v/>
      </c>
      <c r="D2753">
        <f>IF($Q2753="","",INDEX(상세표[직위],$Q2753)&amp;"")</f>
        <v/>
      </c>
      <c r="E2753">
        <f>IF($Q2753="","",IF(ISNUMBER(INDEX(상세표[근무일자],$Q2753)),TEXT(INDEX(상세표[근무일자],$Q2753),"yyyy-mm-dd"),INDEX(상세표[근무일자],$Q2753)&amp;""))</f>
        <v/>
      </c>
      <c r="F2753">
        <f>IF($Q2753="","",IF(ISNUMBER(INDEX(상세표[시작],$Q2753)),TEXT(INDEX(상세표[시작],$Q2753),"yyyy-mm-dd hh:mm"),INDEX(상세표[시작],$Q2753)&amp;""))</f>
        <v/>
      </c>
      <c r="G2753">
        <f>IF($Q2753="","",IF(ISNUMBER(INDEX(상세표[블록종료],$Q2753)),TEXT(INDEX(상세표[블록종료],$Q2753),"yyyy-mm-dd hh:mm"),INDEX(상세표[블록종료],$Q2753)&amp;""))</f>
        <v/>
      </c>
      <c r="H2753">
        <f>IF($Q2753="","",CHOOSE(WEEKDAY(INDEX(상세표[시작],$Q2753)),"일","월","화","수","목","금","토"))</f>
        <v/>
      </c>
      <c r="I2753" s="20">
        <f>IF($Q2753="","",INDEX(상세표[연속 시간],$Q2753))</f>
        <v/>
      </c>
      <c r="J2753">
        <f>IF($Q2753="","",INDEX(상세표[기록 수],$Q2753))</f>
        <v/>
      </c>
      <c r="K2753" s="20">
        <f>IF($Q2753="","",INDEX(상세표[블록 06~07시],$Q2753))</f>
        <v/>
      </c>
      <c r="L2753" s="20">
        <f>IF($Q2753="","",INDEX(상세표[블록 07~18시],$Q2753))</f>
        <v/>
      </c>
      <c r="M2753" s="20">
        <f>IF($Q2753="","",INDEX(상세표[블록 18~22시],$Q2753))</f>
        <v/>
      </c>
      <c r="N2753" s="20">
        <f>IF($Q2753="","",INDEX(상세표[블록 22~06시],$Q2753))</f>
        <v/>
      </c>
      <c r="O2753">
        <f>IF($Q2753="","",INDEX(상세표[주말·휴일 포함],$Q2753)&amp;"")</f>
        <v/>
      </c>
      <c r="P2753">
        <f>IF($Q2753="","",INDEX(상세표[월 넘김 포함],$Q2753)&amp;"")</f>
        <v/>
      </c>
      <c r="Q2753" s="4">
        <f>IFERROR(MATCH(2748,상세표[연속순번],0),"")</f>
        <v/>
      </c>
    </row>
    <row r="2754">
      <c r="A2754">
        <f>IF($Q2754="","",INDEX(상세표[부서],$Q2754)&amp;"")</f>
        <v/>
      </c>
      <c r="B2754">
        <f>IF($Q2754="","",INDEX(상세표[사번],$Q2754)&amp;"")</f>
        <v/>
      </c>
      <c r="C2754">
        <f>IF($Q2754="","",INDEX(상세표[성명],$Q2754)&amp;"")</f>
        <v/>
      </c>
      <c r="D2754">
        <f>IF($Q2754="","",INDEX(상세표[직위],$Q2754)&amp;"")</f>
        <v/>
      </c>
      <c r="E2754">
        <f>IF($Q2754="","",IF(ISNUMBER(INDEX(상세표[근무일자],$Q2754)),TEXT(INDEX(상세표[근무일자],$Q2754),"yyyy-mm-dd"),INDEX(상세표[근무일자],$Q2754)&amp;""))</f>
        <v/>
      </c>
      <c r="F2754">
        <f>IF($Q2754="","",IF(ISNUMBER(INDEX(상세표[시작],$Q2754)),TEXT(INDEX(상세표[시작],$Q2754),"yyyy-mm-dd hh:mm"),INDEX(상세표[시작],$Q2754)&amp;""))</f>
        <v/>
      </c>
      <c r="G2754">
        <f>IF($Q2754="","",IF(ISNUMBER(INDEX(상세표[블록종료],$Q2754)),TEXT(INDEX(상세표[블록종료],$Q2754),"yyyy-mm-dd hh:mm"),INDEX(상세표[블록종료],$Q2754)&amp;""))</f>
        <v/>
      </c>
      <c r="H2754">
        <f>IF($Q2754="","",CHOOSE(WEEKDAY(INDEX(상세표[시작],$Q2754)),"일","월","화","수","목","금","토"))</f>
        <v/>
      </c>
      <c r="I2754" s="20">
        <f>IF($Q2754="","",INDEX(상세표[연속 시간],$Q2754))</f>
        <v/>
      </c>
      <c r="J2754">
        <f>IF($Q2754="","",INDEX(상세표[기록 수],$Q2754))</f>
        <v/>
      </c>
      <c r="K2754" s="20">
        <f>IF($Q2754="","",INDEX(상세표[블록 06~07시],$Q2754))</f>
        <v/>
      </c>
      <c r="L2754" s="20">
        <f>IF($Q2754="","",INDEX(상세표[블록 07~18시],$Q2754))</f>
        <v/>
      </c>
      <c r="M2754" s="20">
        <f>IF($Q2754="","",INDEX(상세표[블록 18~22시],$Q2754))</f>
        <v/>
      </c>
      <c r="N2754" s="20">
        <f>IF($Q2754="","",INDEX(상세표[블록 22~06시],$Q2754))</f>
        <v/>
      </c>
      <c r="O2754">
        <f>IF($Q2754="","",INDEX(상세표[주말·휴일 포함],$Q2754)&amp;"")</f>
        <v/>
      </c>
      <c r="P2754">
        <f>IF($Q2754="","",INDEX(상세표[월 넘김 포함],$Q2754)&amp;"")</f>
        <v/>
      </c>
      <c r="Q2754" s="4">
        <f>IFERROR(MATCH(2749,상세표[연속순번],0),"")</f>
        <v/>
      </c>
    </row>
    <row r="2755">
      <c r="A2755">
        <f>IF($Q2755="","",INDEX(상세표[부서],$Q2755)&amp;"")</f>
        <v/>
      </c>
      <c r="B2755">
        <f>IF($Q2755="","",INDEX(상세표[사번],$Q2755)&amp;"")</f>
        <v/>
      </c>
      <c r="C2755">
        <f>IF($Q2755="","",INDEX(상세표[성명],$Q2755)&amp;"")</f>
        <v/>
      </c>
      <c r="D2755">
        <f>IF($Q2755="","",INDEX(상세표[직위],$Q2755)&amp;"")</f>
        <v/>
      </c>
      <c r="E2755">
        <f>IF($Q2755="","",IF(ISNUMBER(INDEX(상세표[근무일자],$Q2755)),TEXT(INDEX(상세표[근무일자],$Q2755),"yyyy-mm-dd"),INDEX(상세표[근무일자],$Q2755)&amp;""))</f>
        <v/>
      </c>
      <c r="F2755">
        <f>IF($Q2755="","",IF(ISNUMBER(INDEX(상세표[시작],$Q2755)),TEXT(INDEX(상세표[시작],$Q2755),"yyyy-mm-dd hh:mm"),INDEX(상세표[시작],$Q2755)&amp;""))</f>
        <v/>
      </c>
      <c r="G2755">
        <f>IF($Q2755="","",IF(ISNUMBER(INDEX(상세표[블록종료],$Q2755)),TEXT(INDEX(상세표[블록종료],$Q2755),"yyyy-mm-dd hh:mm"),INDEX(상세표[블록종료],$Q2755)&amp;""))</f>
        <v/>
      </c>
      <c r="H2755">
        <f>IF($Q2755="","",CHOOSE(WEEKDAY(INDEX(상세표[시작],$Q2755)),"일","월","화","수","목","금","토"))</f>
        <v/>
      </c>
      <c r="I2755" s="20">
        <f>IF($Q2755="","",INDEX(상세표[연속 시간],$Q2755))</f>
        <v/>
      </c>
      <c r="J2755">
        <f>IF($Q2755="","",INDEX(상세표[기록 수],$Q2755))</f>
        <v/>
      </c>
      <c r="K2755" s="20">
        <f>IF($Q2755="","",INDEX(상세표[블록 06~07시],$Q2755))</f>
        <v/>
      </c>
      <c r="L2755" s="20">
        <f>IF($Q2755="","",INDEX(상세표[블록 07~18시],$Q2755))</f>
        <v/>
      </c>
      <c r="M2755" s="20">
        <f>IF($Q2755="","",INDEX(상세표[블록 18~22시],$Q2755))</f>
        <v/>
      </c>
      <c r="N2755" s="20">
        <f>IF($Q2755="","",INDEX(상세표[블록 22~06시],$Q2755))</f>
        <v/>
      </c>
      <c r="O2755">
        <f>IF($Q2755="","",INDEX(상세표[주말·휴일 포함],$Q2755)&amp;"")</f>
        <v/>
      </c>
      <c r="P2755">
        <f>IF($Q2755="","",INDEX(상세표[월 넘김 포함],$Q2755)&amp;"")</f>
        <v/>
      </c>
      <c r="Q2755" s="4">
        <f>IFERROR(MATCH(2750,상세표[연속순번],0),"")</f>
        <v/>
      </c>
    </row>
    <row r="2756">
      <c r="A2756">
        <f>IF($Q2756="","",INDEX(상세표[부서],$Q2756)&amp;"")</f>
        <v/>
      </c>
      <c r="B2756">
        <f>IF($Q2756="","",INDEX(상세표[사번],$Q2756)&amp;"")</f>
        <v/>
      </c>
      <c r="C2756">
        <f>IF($Q2756="","",INDEX(상세표[성명],$Q2756)&amp;"")</f>
        <v/>
      </c>
      <c r="D2756">
        <f>IF($Q2756="","",INDEX(상세표[직위],$Q2756)&amp;"")</f>
        <v/>
      </c>
      <c r="E2756">
        <f>IF($Q2756="","",IF(ISNUMBER(INDEX(상세표[근무일자],$Q2756)),TEXT(INDEX(상세표[근무일자],$Q2756),"yyyy-mm-dd"),INDEX(상세표[근무일자],$Q2756)&amp;""))</f>
        <v/>
      </c>
      <c r="F2756">
        <f>IF($Q2756="","",IF(ISNUMBER(INDEX(상세표[시작],$Q2756)),TEXT(INDEX(상세표[시작],$Q2756),"yyyy-mm-dd hh:mm"),INDEX(상세표[시작],$Q2756)&amp;""))</f>
        <v/>
      </c>
      <c r="G2756">
        <f>IF($Q2756="","",IF(ISNUMBER(INDEX(상세표[블록종료],$Q2756)),TEXT(INDEX(상세표[블록종료],$Q2756),"yyyy-mm-dd hh:mm"),INDEX(상세표[블록종료],$Q2756)&amp;""))</f>
        <v/>
      </c>
      <c r="H2756">
        <f>IF($Q2756="","",CHOOSE(WEEKDAY(INDEX(상세표[시작],$Q2756)),"일","월","화","수","목","금","토"))</f>
        <v/>
      </c>
      <c r="I2756" s="20">
        <f>IF($Q2756="","",INDEX(상세표[연속 시간],$Q2756))</f>
        <v/>
      </c>
      <c r="J2756">
        <f>IF($Q2756="","",INDEX(상세표[기록 수],$Q2756))</f>
        <v/>
      </c>
      <c r="K2756" s="20">
        <f>IF($Q2756="","",INDEX(상세표[블록 06~07시],$Q2756))</f>
        <v/>
      </c>
      <c r="L2756" s="20">
        <f>IF($Q2756="","",INDEX(상세표[블록 07~18시],$Q2756))</f>
        <v/>
      </c>
      <c r="M2756" s="20">
        <f>IF($Q2756="","",INDEX(상세표[블록 18~22시],$Q2756))</f>
        <v/>
      </c>
      <c r="N2756" s="20">
        <f>IF($Q2756="","",INDEX(상세표[블록 22~06시],$Q2756))</f>
        <v/>
      </c>
      <c r="O2756">
        <f>IF($Q2756="","",INDEX(상세표[주말·휴일 포함],$Q2756)&amp;"")</f>
        <v/>
      </c>
      <c r="P2756">
        <f>IF($Q2756="","",INDEX(상세표[월 넘김 포함],$Q2756)&amp;"")</f>
        <v/>
      </c>
      <c r="Q2756" s="4">
        <f>IFERROR(MATCH(2751,상세표[연속순번],0),"")</f>
        <v/>
      </c>
    </row>
    <row r="2757">
      <c r="A2757">
        <f>IF($Q2757="","",INDEX(상세표[부서],$Q2757)&amp;"")</f>
        <v/>
      </c>
      <c r="B2757">
        <f>IF($Q2757="","",INDEX(상세표[사번],$Q2757)&amp;"")</f>
        <v/>
      </c>
      <c r="C2757">
        <f>IF($Q2757="","",INDEX(상세표[성명],$Q2757)&amp;"")</f>
        <v/>
      </c>
      <c r="D2757">
        <f>IF($Q2757="","",INDEX(상세표[직위],$Q2757)&amp;"")</f>
        <v/>
      </c>
      <c r="E2757">
        <f>IF($Q2757="","",IF(ISNUMBER(INDEX(상세표[근무일자],$Q2757)),TEXT(INDEX(상세표[근무일자],$Q2757),"yyyy-mm-dd"),INDEX(상세표[근무일자],$Q2757)&amp;""))</f>
        <v/>
      </c>
      <c r="F2757">
        <f>IF($Q2757="","",IF(ISNUMBER(INDEX(상세표[시작],$Q2757)),TEXT(INDEX(상세표[시작],$Q2757),"yyyy-mm-dd hh:mm"),INDEX(상세표[시작],$Q2757)&amp;""))</f>
        <v/>
      </c>
      <c r="G2757">
        <f>IF($Q2757="","",IF(ISNUMBER(INDEX(상세표[블록종료],$Q2757)),TEXT(INDEX(상세표[블록종료],$Q2757),"yyyy-mm-dd hh:mm"),INDEX(상세표[블록종료],$Q2757)&amp;""))</f>
        <v/>
      </c>
      <c r="H2757">
        <f>IF($Q2757="","",CHOOSE(WEEKDAY(INDEX(상세표[시작],$Q2757)),"일","월","화","수","목","금","토"))</f>
        <v/>
      </c>
      <c r="I2757" s="20">
        <f>IF($Q2757="","",INDEX(상세표[연속 시간],$Q2757))</f>
        <v/>
      </c>
      <c r="J2757">
        <f>IF($Q2757="","",INDEX(상세표[기록 수],$Q2757))</f>
        <v/>
      </c>
      <c r="K2757" s="20">
        <f>IF($Q2757="","",INDEX(상세표[블록 06~07시],$Q2757))</f>
        <v/>
      </c>
      <c r="L2757" s="20">
        <f>IF($Q2757="","",INDEX(상세표[블록 07~18시],$Q2757))</f>
        <v/>
      </c>
      <c r="M2757" s="20">
        <f>IF($Q2757="","",INDEX(상세표[블록 18~22시],$Q2757))</f>
        <v/>
      </c>
      <c r="N2757" s="20">
        <f>IF($Q2757="","",INDEX(상세표[블록 22~06시],$Q2757))</f>
        <v/>
      </c>
      <c r="O2757">
        <f>IF($Q2757="","",INDEX(상세표[주말·휴일 포함],$Q2757)&amp;"")</f>
        <v/>
      </c>
      <c r="P2757">
        <f>IF($Q2757="","",INDEX(상세표[월 넘김 포함],$Q2757)&amp;"")</f>
        <v/>
      </c>
      <c r="Q2757" s="4">
        <f>IFERROR(MATCH(2752,상세표[연속순번],0),"")</f>
        <v/>
      </c>
    </row>
    <row r="2758">
      <c r="A2758">
        <f>IF($Q2758="","",INDEX(상세표[부서],$Q2758)&amp;"")</f>
        <v/>
      </c>
      <c r="B2758">
        <f>IF($Q2758="","",INDEX(상세표[사번],$Q2758)&amp;"")</f>
        <v/>
      </c>
      <c r="C2758">
        <f>IF($Q2758="","",INDEX(상세표[성명],$Q2758)&amp;"")</f>
        <v/>
      </c>
      <c r="D2758">
        <f>IF($Q2758="","",INDEX(상세표[직위],$Q2758)&amp;"")</f>
        <v/>
      </c>
      <c r="E2758">
        <f>IF($Q2758="","",IF(ISNUMBER(INDEX(상세표[근무일자],$Q2758)),TEXT(INDEX(상세표[근무일자],$Q2758),"yyyy-mm-dd"),INDEX(상세표[근무일자],$Q2758)&amp;""))</f>
        <v/>
      </c>
      <c r="F2758">
        <f>IF($Q2758="","",IF(ISNUMBER(INDEX(상세표[시작],$Q2758)),TEXT(INDEX(상세표[시작],$Q2758),"yyyy-mm-dd hh:mm"),INDEX(상세표[시작],$Q2758)&amp;""))</f>
        <v/>
      </c>
      <c r="G2758">
        <f>IF($Q2758="","",IF(ISNUMBER(INDEX(상세표[블록종료],$Q2758)),TEXT(INDEX(상세표[블록종료],$Q2758),"yyyy-mm-dd hh:mm"),INDEX(상세표[블록종료],$Q2758)&amp;""))</f>
        <v/>
      </c>
      <c r="H2758">
        <f>IF($Q2758="","",CHOOSE(WEEKDAY(INDEX(상세표[시작],$Q2758)),"일","월","화","수","목","금","토"))</f>
        <v/>
      </c>
      <c r="I2758" s="20">
        <f>IF($Q2758="","",INDEX(상세표[연속 시간],$Q2758))</f>
        <v/>
      </c>
      <c r="J2758">
        <f>IF($Q2758="","",INDEX(상세표[기록 수],$Q2758))</f>
        <v/>
      </c>
      <c r="K2758" s="20">
        <f>IF($Q2758="","",INDEX(상세표[블록 06~07시],$Q2758))</f>
        <v/>
      </c>
      <c r="L2758" s="20">
        <f>IF($Q2758="","",INDEX(상세표[블록 07~18시],$Q2758))</f>
        <v/>
      </c>
      <c r="M2758" s="20">
        <f>IF($Q2758="","",INDEX(상세표[블록 18~22시],$Q2758))</f>
        <v/>
      </c>
      <c r="N2758" s="20">
        <f>IF($Q2758="","",INDEX(상세표[블록 22~06시],$Q2758))</f>
        <v/>
      </c>
      <c r="O2758">
        <f>IF($Q2758="","",INDEX(상세표[주말·휴일 포함],$Q2758)&amp;"")</f>
        <v/>
      </c>
      <c r="P2758">
        <f>IF($Q2758="","",INDEX(상세표[월 넘김 포함],$Q2758)&amp;"")</f>
        <v/>
      </c>
      <c r="Q2758" s="4">
        <f>IFERROR(MATCH(2753,상세표[연속순번],0),"")</f>
        <v/>
      </c>
    </row>
    <row r="2759">
      <c r="A2759">
        <f>IF($Q2759="","",INDEX(상세표[부서],$Q2759)&amp;"")</f>
        <v/>
      </c>
      <c r="B2759">
        <f>IF($Q2759="","",INDEX(상세표[사번],$Q2759)&amp;"")</f>
        <v/>
      </c>
      <c r="C2759">
        <f>IF($Q2759="","",INDEX(상세표[성명],$Q2759)&amp;"")</f>
        <v/>
      </c>
      <c r="D2759">
        <f>IF($Q2759="","",INDEX(상세표[직위],$Q2759)&amp;"")</f>
        <v/>
      </c>
      <c r="E2759">
        <f>IF($Q2759="","",IF(ISNUMBER(INDEX(상세표[근무일자],$Q2759)),TEXT(INDEX(상세표[근무일자],$Q2759),"yyyy-mm-dd"),INDEX(상세표[근무일자],$Q2759)&amp;""))</f>
        <v/>
      </c>
      <c r="F2759">
        <f>IF($Q2759="","",IF(ISNUMBER(INDEX(상세표[시작],$Q2759)),TEXT(INDEX(상세표[시작],$Q2759),"yyyy-mm-dd hh:mm"),INDEX(상세표[시작],$Q2759)&amp;""))</f>
        <v/>
      </c>
      <c r="G2759">
        <f>IF($Q2759="","",IF(ISNUMBER(INDEX(상세표[블록종료],$Q2759)),TEXT(INDEX(상세표[블록종료],$Q2759),"yyyy-mm-dd hh:mm"),INDEX(상세표[블록종료],$Q2759)&amp;""))</f>
        <v/>
      </c>
      <c r="H2759">
        <f>IF($Q2759="","",CHOOSE(WEEKDAY(INDEX(상세표[시작],$Q2759)),"일","월","화","수","목","금","토"))</f>
        <v/>
      </c>
      <c r="I2759" s="20">
        <f>IF($Q2759="","",INDEX(상세표[연속 시간],$Q2759))</f>
        <v/>
      </c>
      <c r="J2759">
        <f>IF($Q2759="","",INDEX(상세표[기록 수],$Q2759))</f>
        <v/>
      </c>
      <c r="K2759" s="20">
        <f>IF($Q2759="","",INDEX(상세표[블록 06~07시],$Q2759))</f>
        <v/>
      </c>
      <c r="L2759" s="20">
        <f>IF($Q2759="","",INDEX(상세표[블록 07~18시],$Q2759))</f>
        <v/>
      </c>
      <c r="M2759" s="20">
        <f>IF($Q2759="","",INDEX(상세표[블록 18~22시],$Q2759))</f>
        <v/>
      </c>
      <c r="N2759" s="20">
        <f>IF($Q2759="","",INDEX(상세표[블록 22~06시],$Q2759))</f>
        <v/>
      </c>
      <c r="O2759">
        <f>IF($Q2759="","",INDEX(상세표[주말·휴일 포함],$Q2759)&amp;"")</f>
        <v/>
      </c>
      <c r="P2759">
        <f>IF($Q2759="","",INDEX(상세표[월 넘김 포함],$Q2759)&amp;"")</f>
        <v/>
      </c>
      <c r="Q2759" s="4">
        <f>IFERROR(MATCH(2754,상세표[연속순번],0),"")</f>
        <v/>
      </c>
    </row>
    <row r="2760">
      <c r="A2760">
        <f>IF($Q2760="","",INDEX(상세표[부서],$Q2760)&amp;"")</f>
        <v/>
      </c>
      <c r="B2760">
        <f>IF($Q2760="","",INDEX(상세표[사번],$Q2760)&amp;"")</f>
        <v/>
      </c>
      <c r="C2760">
        <f>IF($Q2760="","",INDEX(상세표[성명],$Q2760)&amp;"")</f>
        <v/>
      </c>
      <c r="D2760">
        <f>IF($Q2760="","",INDEX(상세표[직위],$Q2760)&amp;"")</f>
        <v/>
      </c>
      <c r="E2760">
        <f>IF($Q2760="","",IF(ISNUMBER(INDEX(상세표[근무일자],$Q2760)),TEXT(INDEX(상세표[근무일자],$Q2760),"yyyy-mm-dd"),INDEX(상세표[근무일자],$Q2760)&amp;""))</f>
        <v/>
      </c>
      <c r="F2760">
        <f>IF($Q2760="","",IF(ISNUMBER(INDEX(상세표[시작],$Q2760)),TEXT(INDEX(상세표[시작],$Q2760),"yyyy-mm-dd hh:mm"),INDEX(상세표[시작],$Q2760)&amp;""))</f>
        <v/>
      </c>
      <c r="G2760">
        <f>IF($Q2760="","",IF(ISNUMBER(INDEX(상세표[블록종료],$Q2760)),TEXT(INDEX(상세표[블록종료],$Q2760),"yyyy-mm-dd hh:mm"),INDEX(상세표[블록종료],$Q2760)&amp;""))</f>
        <v/>
      </c>
      <c r="H2760">
        <f>IF($Q2760="","",CHOOSE(WEEKDAY(INDEX(상세표[시작],$Q2760)),"일","월","화","수","목","금","토"))</f>
        <v/>
      </c>
      <c r="I2760" s="20">
        <f>IF($Q2760="","",INDEX(상세표[연속 시간],$Q2760))</f>
        <v/>
      </c>
      <c r="J2760">
        <f>IF($Q2760="","",INDEX(상세표[기록 수],$Q2760))</f>
        <v/>
      </c>
      <c r="K2760" s="20">
        <f>IF($Q2760="","",INDEX(상세표[블록 06~07시],$Q2760))</f>
        <v/>
      </c>
      <c r="L2760" s="20">
        <f>IF($Q2760="","",INDEX(상세표[블록 07~18시],$Q2760))</f>
        <v/>
      </c>
      <c r="M2760" s="20">
        <f>IF($Q2760="","",INDEX(상세표[블록 18~22시],$Q2760))</f>
        <v/>
      </c>
      <c r="N2760" s="20">
        <f>IF($Q2760="","",INDEX(상세표[블록 22~06시],$Q2760))</f>
        <v/>
      </c>
      <c r="O2760">
        <f>IF($Q2760="","",INDEX(상세표[주말·휴일 포함],$Q2760)&amp;"")</f>
        <v/>
      </c>
      <c r="P2760">
        <f>IF($Q2760="","",INDEX(상세표[월 넘김 포함],$Q2760)&amp;"")</f>
        <v/>
      </c>
      <c r="Q2760" s="4">
        <f>IFERROR(MATCH(2755,상세표[연속순번],0),"")</f>
        <v/>
      </c>
    </row>
    <row r="2761">
      <c r="A2761">
        <f>IF($Q2761="","",INDEX(상세표[부서],$Q2761)&amp;"")</f>
        <v/>
      </c>
      <c r="B2761">
        <f>IF($Q2761="","",INDEX(상세표[사번],$Q2761)&amp;"")</f>
        <v/>
      </c>
      <c r="C2761">
        <f>IF($Q2761="","",INDEX(상세표[성명],$Q2761)&amp;"")</f>
        <v/>
      </c>
      <c r="D2761">
        <f>IF($Q2761="","",INDEX(상세표[직위],$Q2761)&amp;"")</f>
        <v/>
      </c>
      <c r="E2761">
        <f>IF($Q2761="","",IF(ISNUMBER(INDEX(상세표[근무일자],$Q2761)),TEXT(INDEX(상세표[근무일자],$Q2761),"yyyy-mm-dd"),INDEX(상세표[근무일자],$Q2761)&amp;""))</f>
        <v/>
      </c>
      <c r="F2761">
        <f>IF($Q2761="","",IF(ISNUMBER(INDEX(상세표[시작],$Q2761)),TEXT(INDEX(상세표[시작],$Q2761),"yyyy-mm-dd hh:mm"),INDEX(상세표[시작],$Q2761)&amp;""))</f>
        <v/>
      </c>
      <c r="G2761">
        <f>IF($Q2761="","",IF(ISNUMBER(INDEX(상세표[블록종료],$Q2761)),TEXT(INDEX(상세표[블록종료],$Q2761),"yyyy-mm-dd hh:mm"),INDEX(상세표[블록종료],$Q2761)&amp;""))</f>
        <v/>
      </c>
      <c r="H2761">
        <f>IF($Q2761="","",CHOOSE(WEEKDAY(INDEX(상세표[시작],$Q2761)),"일","월","화","수","목","금","토"))</f>
        <v/>
      </c>
      <c r="I2761" s="20">
        <f>IF($Q2761="","",INDEX(상세표[연속 시간],$Q2761))</f>
        <v/>
      </c>
      <c r="J2761">
        <f>IF($Q2761="","",INDEX(상세표[기록 수],$Q2761))</f>
        <v/>
      </c>
      <c r="K2761" s="20">
        <f>IF($Q2761="","",INDEX(상세표[블록 06~07시],$Q2761))</f>
        <v/>
      </c>
      <c r="L2761" s="20">
        <f>IF($Q2761="","",INDEX(상세표[블록 07~18시],$Q2761))</f>
        <v/>
      </c>
      <c r="M2761" s="20">
        <f>IF($Q2761="","",INDEX(상세표[블록 18~22시],$Q2761))</f>
        <v/>
      </c>
      <c r="N2761" s="20">
        <f>IF($Q2761="","",INDEX(상세표[블록 22~06시],$Q2761))</f>
        <v/>
      </c>
      <c r="O2761">
        <f>IF($Q2761="","",INDEX(상세표[주말·휴일 포함],$Q2761)&amp;"")</f>
        <v/>
      </c>
      <c r="P2761">
        <f>IF($Q2761="","",INDEX(상세표[월 넘김 포함],$Q2761)&amp;"")</f>
        <v/>
      </c>
      <c r="Q2761" s="4">
        <f>IFERROR(MATCH(2756,상세표[연속순번],0),"")</f>
        <v/>
      </c>
    </row>
    <row r="2762">
      <c r="A2762">
        <f>IF($Q2762="","",INDEX(상세표[부서],$Q2762)&amp;"")</f>
        <v/>
      </c>
      <c r="B2762">
        <f>IF($Q2762="","",INDEX(상세표[사번],$Q2762)&amp;"")</f>
        <v/>
      </c>
      <c r="C2762">
        <f>IF($Q2762="","",INDEX(상세표[성명],$Q2762)&amp;"")</f>
        <v/>
      </c>
      <c r="D2762">
        <f>IF($Q2762="","",INDEX(상세표[직위],$Q2762)&amp;"")</f>
        <v/>
      </c>
      <c r="E2762">
        <f>IF($Q2762="","",IF(ISNUMBER(INDEX(상세표[근무일자],$Q2762)),TEXT(INDEX(상세표[근무일자],$Q2762),"yyyy-mm-dd"),INDEX(상세표[근무일자],$Q2762)&amp;""))</f>
        <v/>
      </c>
      <c r="F2762">
        <f>IF($Q2762="","",IF(ISNUMBER(INDEX(상세표[시작],$Q2762)),TEXT(INDEX(상세표[시작],$Q2762),"yyyy-mm-dd hh:mm"),INDEX(상세표[시작],$Q2762)&amp;""))</f>
        <v/>
      </c>
      <c r="G2762">
        <f>IF($Q2762="","",IF(ISNUMBER(INDEX(상세표[블록종료],$Q2762)),TEXT(INDEX(상세표[블록종료],$Q2762),"yyyy-mm-dd hh:mm"),INDEX(상세표[블록종료],$Q2762)&amp;""))</f>
        <v/>
      </c>
      <c r="H2762">
        <f>IF($Q2762="","",CHOOSE(WEEKDAY(INDEX(상세표[시작],$Q2762)),"일","월","화","수","목","금","토"))</f>
        <v/>
      </c>
      <c r="I2762" s="20">
        <f>IF($Q2762="","",INDEX(상세표[연속 시간],$Q2762))</f>
        <v/>
      </c>
      <c r="J2762">
        <f>IF($Q2762="","",INDEX(상세표[기록 수],$Q2762))</f>
        <v/>
      </c>
      <c r="K2762" s="20">
        <f>IF($Q2762="","",INDEX(상세표[블록 06~07시],$Q2762))</f>
        <v/>
      </c>
      <c r="L2762" s="20">
        <f>IF($Q2762="","",INDEX(상세표[블록 07~18시],$Q2762))</f>
        <v/>
      </c>
      <c r="M2762" s="20">
        <f>IF($Q2762="","",INDEX(상세표[블록 18~22시],$Q2762))</f>
        <v/>
      </c>
      <c r="N2762" s="20">
        <f>IF($Q2762="","",INDEX(상세표[블록 22~06시],$Q2762))</f>
        <v/>
      </c>
      <c r="O2762">
        <f>IF($Q2762="","",INDEX(상세표[주말·휴일 포함],$Q2762)&amp;"")</f>
        <v/>
      </c>
      <c r="P2762">
        <f>IF($Q2762="","",INDEX(상세표[월 넘김 포함],$Q2762)&amp;"")</f>
        <v/>
      </c>
      <c r="Q2762" s="4">
        <f>IFERROR(MATCH(2757,상세표[연속순번],0),"")</f>
        <v/>
      </c>
    </row>
    <row r="2763">
      <c r="A2763">
        <f>IF($Q2763="","",INDEX(상세표[부서],$Q2763)&amp;"")</f>
        <v/>
      </c>
      <c r="B2763">
        <f>IF($Q2763="","",INDEX(상세표[사번],$Q2763)&amp;"")</f>
        <v/>
      </c>
      <c r="C2763">
        <f>IF($Q2763="","",INDEX(상세표[성명],$Q2763)&amp;"")</f>
        <v/>
      </c>
      <c r="D2763">
        <f>IF($Q2763="","",INDEX(상세표[직위],$Q2763)&amp;"")</f>
        <v/>
      </c>
      <c r="E2763">
        <f>IF($Q2763="","",IF(ISNUMBER(INDEX(상세표[근무일자],$Q2763)),TEXT(INDEX(상세표[근무일자],$Q2763),"yyyy-mm-dd"),INDEX(상세표[근무일자],$Q2763)&amp;""))</f>
        <v/>
      </c>
      <c r="F2763">
        <f>IF($Q2763="","",IF(ISNUMBER(INDEX(상세표[시작],$Q2763)),TEXT(INDEX(상세표[시작],$Q2763),"yyyy-mm-dd hh:mm"),INDEX(상세표[시작],$Q2763)&amp;""))</f>
        <v/>
      </c>
      <c r="G2763">
        <f>IF($Q2763="","",IF(ISNUMBER(INDEX(상세표[블록종료],$Q2763)),TEXT(INDEX(상세표[블록종료],$Q2763),"yyyy-mm-dd hh:mm"),INDEX(상세표[블록종료],$Q2763)&amp;""))</f>
        <v/>
      </c>
      <c r="H2763">
        <f>IF($Q2763="","",CHOOSE(WEEKDAY(INDEX(상세표[시작],$Q2763)),"일","월","화","수","목","금","토"))</f>
        <v/>
      </c>
      <c r="I2763" s="20">
        <f>IF($Q2763="","",INDEX(상세표[연속 시간],$Q2763))</f>
        <v/>
      </c>
      <c r="J2763">
        <f>IF($Q2763="","",INDEX(상세표[기록 수],$Q2763))</f>
        <v/>
      </c>
      <c r="K2763" s="20">
        <f>IF($Q2763="","",INDEX(상세표[블록 06~07시],$Q2763))</f>
        <v/>
      </c>
      <c r="L2763" s="20">
        <f>IF($Q2763="","",INDEX(상세표[블록 07~18시],$Q2763))</f>
        <v/>
      </c>
      <c r="M2763" s="20">
        <f>IF($Q2763="","",INDEX(상세표[블록 18~22시],$Q2763))</f>
        <v/>
      </c>
      <c r="N2763" s="20">
        <f>IF($Q2763="","",INDEX(상세표[블록 22~06시],$Q2763))</f>
        <v/>
      </c>
      <c r="O2763">
        <f>IF($Q2763="","",INDEX(상세표[주말·휴일 포함],$Q2763)&amp;"")</f>
        <v/>
      </c>
      <c r="P2763">
        <f>IF($Q2763="","",INDEX(상세표[월 넘김 포함],$Q2763)&amp;"")</f>
        <v/>
      </c>
      <c r="Q2763" s="4">
        <f>IFERROR(MATCH(2758,상세표[연속순번],0),"")</f>
        <v/>
      </c>
    </row>
    <row r="2764">
      <c r="A2764">
        <f>IF($Q2764="","",INDEX(상세표[부서],$Q2764)&amp;"")</f>
        <v/>
      </c>
      <c r="B2764">
        <f>IF($Q2764="","",INDEX(상세표[사번],$Q2764)&amp;"")</f>
        <v/>
      </c>
      <c r="C2764">
        <f>IF($Q2764="","",INDEX(상세표[성명],$Q2764)&amp;"")</f>
        <v/>
      </c>
      <c r="D2764">
        <f>IF($Q2764="","",INDEX(상세표[직위],$Q2764)&amp;"")</f>
        <v/>
      </c>
      <c r="E2764">
        <f>IF($Q2764="","",IF(ISNUMBER(INDEX(상세표[근무일자],$Q2764)),TEXT(INDEX(상세표[근무일자],$Q2764),"yyyy-mm-dd"),INDEX(상세표[근무일자],$Q2764)&amp;""))</f>
        <v/>
      </c>
      <c r="F2764">
        <f>IF($Q2764="","",IF(ISNUMBER(INDEX(상세표[시작],$Q2764)),TEXT(INDEX(상세표[시작],$Q2764),"yyyy-mm-dd hh:mm"),INDEX(상세표[시작],$Q2764)&amp;""))</f>
        <v/>
      </c>
      <c r="G2764">
        <f>IF($Q2764="","",IF(ISNUMBER(INDEX(상세표[블록종료],$Q2764)),TEXT(INDEX(상세표[블록종료],$Q2764),"yyyy-mm-dd hh:mm"),INDEX(상세표[블록종료],$Q2764)&amp;""))</f>
        <v/>
      </c>
      <c r="H2764">
        <f>IF($Q2764="","",CHOOSE(WEEKDAY(INDEX(상세표[시작],$Q2764)),"일","월","화","수","목","금","토"))</f>
        <v/>
      </c>
      <c r="I2764" s="20">
        <f>IF($Q2764="","",INDEX(상세표[연속 시간],$Q2764))</f>
        <v/>
      </c>
      <c r="J2764">
        <f>IF($Q2764="","",INDEX(상세표[기록 수],$Q2764))</f>
        <v/>
      </c>
      <c r="K2764" s="20">
        <f>IF($Q2764="","",INDEX(상세표[블록 06~07시],$Q2764))</f>
        <v/>
      </c>
      <c r="L2764" s="20">
        <f>IF($Q2764="","",INDEX(상세표[블록 07~18시],$Q2764))</f>
        <v/>
      </c>
      <c r="M2764" s="20">
        <f>IF($Q2764="","",INDEX(상세표[블록 18~22시],$Q2764))</f>
        <v/>
      </c>
      <c r="N2764" s="20">
        <f>IF($Q2764="","",INDEX(상세표[블록 22~06시],$Q2764))</f>
        <v/>
      </c>
      <c r="O2764">
        <f>IF($Q2764="","",INDEX(상세표[주말·휴일 포함],$Q2764)&amp;"")</f>
        <v/>
      </c>
      <c r="P2764">
        <f>IF($Q2764="","",INDEX(상세표[월 넘김 포함],$Q2764)&amp;"")</f>
        <v/>
      </c>
      <c r="Q2764" s="4">
        <f>IFERROR(MATCH(2759,상세표[연속순번],0),"")</f>
        <v/>
      </c>
    </row>
    <row r="2765">
      <c r="A2765">
        <f>IF($Q2765="","",INDEX(상세표[부서],$Q2765)&amp;"")</f>
        <v/>
      </c>
      <c r="B2765">
        <f>IF($Q2765="","",INDEX(상세표[사번],$Q2765)&amp;"")</f>
        <v/>
      </c>
      <c r="C2765">
        <f>IF($Q2765="","",INDEX(상세표[성명],$Q2765)&amp;"")</f>
        <v/>
      </c>
      <c r="D2765">
        <f>IF($Q2765="","",INDEX(상세표[직위],$Q2765)&amp;"")</f>
        <v/>
      </c>
      <c r="E2765">
        <f>IF($Q2765="","",IF(ISNUMBER(INDEX(상세표[근무일자],$Q2765)),TEXT(INDEX(상세표[근무일자],$Q2765),"yyyy-mm-dd"),INDEX(상세표[근무일자],$Q2765)&amp;""))</f>
        <v/>
      </c>
      <c r="F2765">
        <f>IF($Q2765="","",IF(ISNUMBER(INDEX(상세표[시작],$Q2765)),TEXT(INDEX(상세표[시작],$Q2765),"yyyy-mm-dd hh:mm"),INDEX(상세표[시작],$Q2765)&amp;""))</f>
        <v/>
      </c>
      <c r="G2765">
        <f>IF($Q2765="","",IF(ISNUMBER(INDEX(상세표[블록종료],$Q2765)),TEXT(INDEX(상세표[블록종료],$Q2765),"yyyy-mm-dd hh:mm"),INDEX(상세표[블록종료],$Q2765)&amp;""))</f>
        <v/>
      </c>
      <c r="H2765">
        <f>IF($Q2765="","",CHOOSE(WEEKDAY(INDEX(상세표[시작],$Q2765)),"일","월","화","수","목","금","토"))</f>
        <v/>
      </c>
      <c r="I2765" s="20">
        <f>IF($Q2765="","",INDEX(상세표[연속 시간],$Q2765))</f>
        <v/>
      </c>
      <c r="J2765">
        <f>IF($Q2765="","",INDEX(상세표[기록 수],$Q2765))</f>
        <v/>
      </c>
      <c r="K2765" s="20">
        <f>IF($Q2765="","",INDEX(상세표[블록 06~07시],$Q2765))</f>
        <v/>
      </c>
      <c r="L2765" s="20">
        <f>IF($Q2765="","",INDEX(상세표[블록 07~18시],$Q2765))</f>
        <v/>
      </c>
      <c r="M2765" s="20">
        <f>IF($Q2765="","",INDEX(상세표[블록 18~22시],$Q2765))</f>
        <v/>
      </c>
      <c r="N2765" s="20">
        <f>IF($Q2765="","",INDEX(상세표[블록 22~06시],$Q2765))</f>
        <v/>
      </c>
      <c r="O2765">
        <f>IF($Q2765="","",INDEX(상세표[주말·휴일 포함],$Q2765)&amp;"")</f>
        <v/>
      </c>
      <c r="P2765">
        <f>IF($Q2765="","",INDEX(상세표[월 넘김 포함],$Q2765)&amp;"")</f>
        <v/>
      </c>
      <c r="Q2765" s="4">
        <f>IFERROR(MATCH(2760,상세표[연속순번],0),"")</f>
        <v/>
      </c>
    </row>
    <row r="2766">
      <c r="A2766">
        <f>IF($Q2766="","",INDEX(상세표[부서],$Q2766)&amp;"")</f>
        <v/>
      </c>
      <c r="B2766">
        <f>IF($Q2766="","",INDEX(상세표[사번],$Q2766)&amp;"")</f>
        <v/>
      </c>
      <c r="C2766">
        <f>IF($Q2766="","",INDEX(상세표[성명],$Q2766)&amp;"")</f>
        <v/>
      </c>
      <c r="D2766">
        <f>IF($Q2766="","",INDEX(상세표[직위],$Q2766)&amp;"")</f>
        <v/>
      </c>
      <c r="E2766">
        <f>IF($Q2766="","",IF(ISNUMBER(INDEX(상세표[근무일자],$Q2766)),TEXT(INDEX(상세표[근무일자],$Q2766),"yyyy-mm-dd"),INDEX(상세표[근무일자],$Q2766)&amp;""))</f>
        <v/>
      </c>
      <c r="F2766">
        <f>IF($Q2766="","",IF(ISNUMBER(INDEX(상세표[시작],$Q2766)),TEXT(INDEX(상세표[시작],$Q2766),"yyyy-mm-dd hh:mm"),INDEX(상세표[시작],$Q2766)&amp;""))</f>
        <v/>
      </c>
      <c r="G2766">
        <f>IF($Q2766="","",IF(ISNUMBER(INDEX(상세표[블록종료],$Q2766)),TEXT(INDEX(상세표[블록종료],$Q2766),"yyyy-mm-dd hh:mm"),INDEX(상세표[블록종료],$Q2766)&amp;""))</f>
        <v/>
      </c>
      <c r="H2766">
        <f>IF($Q2766="","",CHOOSE(WEEKDAY(INDEX(상세표[시작],$Q2766)),"일","월","화","수","목","금","토"))</f>
        <v/>
      </c>
      <c r="I2766" s="20">
        <f>IF($Q2766="","",INDEX(상세표[연속 시간],$Q2766))</f>
        <v/>
      </c>
      <c r="J2766">
        <f>IF($Q2766="","",INDEX(상세표[기록 수],$Q2766))</f>
        <v/>
      </c>
      <c r="K2766" s="20">
        <f>IF($Q2766="","",INDEX(상세표[블록 06~07시],$Q2766))</f>
        <v/>
      </c>
      <c r="L2766" s="20">
        <f>IF($Q2766="","",INDEX(상세표[블록 07~18시],$Q2766))</f>
        <v/>
      </c>
      <c r="M2766" s="20">
        <f>IF($Q2766="","",INDEX(상세표[블록 18~22시],$Q2766))</f>
        <v/>
      </c>
      <c r="N2766" s="20">
        <f>IF($Q2766="","",INDEX(상세표[블록 22~06시],$Q2766))</f>
        <v/>
      </c>
      <c r="O2766">
        <f>IF($Q2766="","",INDEX(상세표[주말·휴일 포함],$Q2766)&amp;"")</f>
        <v/>
      </c>
      <c r="P2766">
        <f>IF($Q2766="","",INDEX(상세표[월 넘김 포함],$Q2766)&amp;"")</f>
        <v/>
      </c>
      <c r="Q2766" s="4">
        <f>IFERROR(MATCH(2761,상세표[연속순번],0),"")</f>
        <v/>
      </c>
    </row>
    <row r="2767">
      <c r="A2767">
        <f>IF($Q2767="","",INDEX(상세표[부서],$Q2767)&amp;"")</f>
        <v/>
      </c>
      <c r="B2767">
        <f>IF($Q2767="","",INDEX(상세표[사번],$Q2767)&amp;"")</f>
        <v/>
      </c>
      <c r="C2767">
        <f>IF($Q2767="","",INDEX(상세표[성명],$Q2767)&amp;"")</f>
        <v/>
      </c>
      <c r="D2767">
        <f>IF($Q2767="","",INDEX(상세표[직위],$Q2767)&amp;"")</f>
        <v/>
      </c>
      <c r="E2767">
        <f>IF($Q2767="","",IF(ISNUMBER(INDEX(상세표[근무일자],$Q2767)),TEXT(INDEX(상세표[근무일자],$Q2767),"yyyy-mm-dd"),INDEX(상세표[근무일자],$Q2767)&amp;""))</f>
        <v/>
      </c>
      <c r="F2767">
        <f>IF($Q2767="","",IF(ISNUMBER(INDEX(상세표[시작],$Q2767)),TEXT(INDEX(상세표[시작],$Q2767),"yyyy-mm-dd hh:mm"),INDEX(상세표[시작],$Q2767)&amp;""))</f>
        <v/>
      </c>
      <c r="G2767">
        <f>IF($Q2767="","",IF(ISNUMBER(INDEX(상세표[블록종료],$Q2767)),TEXT(INDEX(상세표[블록종료],$Q2767),"yyyy-mm-dd hh:mm"),INDEX(상세표[블록종료],$Q2767)&amp;""))</f>
        <v/>
      </c>
      <c r="H2767">
        <f>IF($Q2767="","",CHOOSE(WEEKDAY(INDEX(상세표[시작],$Q2767)),"일","월","화","수","목","금","토"))</f>
        <v/>
      </c>
      <c r="I2767" s="20">
        <f>IF($Q2767="","",INDEX(상세표[연속 시간],$Q2767))</f>
        <v/>
      </c>
      <c r="J2767">
        <f>IF($Q2767="","",INDEX(상세표[기록 수],$Q2767))</f>
        <v/>
      </c>
      <c r="K2767" s="20">
        <f>IF($Q2767="","",INDEX(상세표[블록 06~07시],$Q2767))</f>
        <v/>
      </c>
      <c r="L2767" s="20">
        <f>IF($Q2767="","",INDEX(상세표[블록 07~18시],$Q2767))</f>
        <v/>
      </c>
      <c r="M2767" s="20">
        <f>IF($Q2767="","",INDEX(상세표[블록 18~22시],$Q2767))</f>
        <v/>
      </c>
      <c r="N2767" s="20">
        <f>IF($Q2767="","",INDEX(상세표[블록 22~06시],$Q2767))</f>
        <v/>
      </c>
      <c r="O2767">
        <f>IF($Q2767="","",INDEX(상세표[주말·휴일 포함],$Q2767)&amp;"")</f>
        <v/>
      </c>
      <c r="P2767">
        <f>IF($Q2767="","",INDEX(상세표[월 넘김 포함],$Q2767)&amp;"")</f>
        <v/>
      </c>
      <c r="Q2767" s="4">
        <f>IFERROR(MATCH(2762,상세표[연속순번],0),"")</f>
        <v/>
      </c>
    </row>
    <row r="2768">
      <c r="A2768">
        <f>IF($Q2768="","",INDEX(상세표[부서],$Q2768)&amp;"")</f>
        <v/>
      </c>
      <c r="B2768">
        <f>IF($Q2768="","",INDEX(상세표[사번],$Q2768)&amp;"")</f>
        <v/>
      </c>
      <c r="C2768">
        <f>IF($Q2768="","",INDEX(상세표[성명],$Q2768)&amp;"")</f>
        <v/>
      </c>
      <c r="D2768">
        <f>IF($Q2768="","",INDEX(상세표[직위],$Q2768)&amp;"")</f>
        <v/>
      </c>
      <c r="E2768">
        <f>IF($Q2768="","",IF(ISNUMBER(INDEX(상세표[근무일자],$Q2768)),TEXT(INDEX(상세표[근무일자],$Q2768),"yyyy-mm-dd"),INDEX(상세표[근무일자],$Q2768)&amp;""))</f>
        <v/>
      </c>
      <c r="F2768">
        <f>IF($Q2768="","",IF(ISNUMBER(INDEX(상세표[시작],$Q2768)),TEXT(INDEX(상세표[시작],$Q2768),"yyyy-mm-dd hh:mm"),INDEX(상세표[시작],$Q2768)&amp;""))</f>
        <v/>
      </c>
      <c r="G2768">
        <f>IF($Q2768="","",IF(ISNUMBER(INDEX(상세표[블록종료],$Q2768)),TEXT(INDEX(상세표[블록종료],$Q2768),"yyyy-mm-dd hh:mm"),INDEX(상세표[블록종료],$Q2768)&amp;""))</f>
        <v/>
      </c>
      <c r="H2768">
        <f>IF($Q2768="","",CHOOSE(WEEKDAY(INDEX(상세표[시작],$Q2768)),"일","월","화","수","목","금","토"))</f>
        <v/>
      </c>
      <c r="I2768" s="20">
        <f>IF($Q2768="","",INDEX(상세표[연속 시간],$Q2768))</f>
        <v/>
      </c>
      <c r="J2768">
        <f>IF($Q2768="","",INDEX(상세표[기록 수],$Q2768))</f>
        <v/>
      </c>
      <c r="K2768" s="20">
        <f>IF($Q2768="","",INDEX(상세표[블록 06~07시],$Q2768))</f>
        <v/>
      </c>
      <c r="L2768" s="20">
        <f>IF($Q2768="","",INDEX(상세표[블록 07~18시],$Q2768))</f>
        <v/>
      </c>
      <c r="M2768" s="20">
        <f>IF($Q2768="","",INDEX(상세표[블록 18~22시],$Q2768))</f>
        <v/>
      </c>
      <c r="N2768" s="20">
        <f>IF($Q2768="","",INDEX(상세표[블록 22~06시],$Q2768))</f>
        <v/>
      </c>
      <c r="O2768">
        <f>IF($Q2768="","",INDEX(상세표[주말·휴일 포함],$Q2768)&amp;"")</f>
        <v/>
      </c>
      <c r="P2768">
        <f>IF($Q2768="","",INDEX(상세표[월 넘김 포함],$Q2768)&amp;"")</f>
        <v/>
      </c>
      <c r="Q2768" s="4">
        <f>IFERROR(MATCH(2763,상세표[연속순번],0),"")</f>
        <v/>
      </c>
    </row>
    <row r="2769">
      <c r="A2769">
        <f>IF($Q2769="","",INDEX(상세표[부서],$Q2769)&amp;"")</f>
        <v/>
      </c>
      <c r="B2769">
        <f>IF($Q2769="","",INDEX(상세표[사번],$Q2769)&amp;"")</f>
        <v/>
      </c>
      <c r="C2769">
        <f>IF($Q2769="","",INDEX(상세표[성명],$Q2769)&amp;"")</f>
        <v/>
      </c>
      <c r="D2769">
        <f>IF($Q2769="","",INDEX(상세표[직위],$Q2769)&amp;"")</f>
        <v/>
      </c>
      <c r="E2769">
        <f>IF($Q2769="","",IF(ISNUMBER(INDEX(상세표[근무일자],$Q2769)),TEXT(INDEX(상세표[근무일자],$Q2769),"yyyy-mm-dd"),INDEX(상세표[근무일자],$Q2769)&amp;""))</f>
        <v/>
      </c>
      <c r="F2769">
        <f>IF($Q2769="","",IF(ISNUMBER(INDEX(상세표[시작],$Q2769)),TEXT(INDEX(상세표[시작],$Q2769),"yyyy-mm-dd hh:mm"),INDEX(상세표[시작],$Q2769)&amp;""))</f>
        <v/>
      </c>
      <c r="G2769">
        <f>IF($Q2769="","",IF(ISNUMBER(INDEX(상세표[블록종료],$Q2769)),TEXT(INDEX(상세표[블록종료],$Q2769),"yyyy-mm-dd hh:mm"),INDEX(상세표[블록종료],$Q2769)&amp;""))</f>
        <v/>
      </c>
      <c r="H2769">
        <f>IF($Q2769="","",CHOOSE(WEEKDAY(INDEX(상세표[시작],$Q2769)),"일","월","화","수","목","금","토"))</f>
        <v/>
      </c>
      <c r="I2769" s="20">
        <f>IF($Q2769="","",INDEX(상세표[연속 시간],$Q2769))</f>
        <v/>
      </c>
      <c r="J2769">
        <f>IF($Q2769="","",INDEX(상세표[기록 수],$Q2769))</f>
        <v/>
      </c>
      <c r="K2769" s="20">
        <f>IF($Q2769="","",INDEX(상세표[블록 06~07시],$Q2769))</f>
        <v/>
      </c>
      <c r="L2769" s="20">
        <f>IF($Q2769="","",INDEX(상세표[블록 07~18시],$Q2769))</f>
        <v/>
      </c>
      <c r="M2769" s="20">
        <f>IF($Q2769="","",INDEX(상세표[블록 18~22시],$Q2769))</f>
        <v/>
      </c>
      <c r="N2769" s="20">
        <f>IF($Q2769="","",INDEX(상세표[블록 22~06시],$Q2769))</f>
        <v/>
      </c>
      <c r="O2769">
        <f>IF($Q2769="","",INDEX(상세표[주말·휴일 포함],$Q2769)&amp;"")</f>
        <v/>
      </c>
      <c r="P2769">
        <f>IF($Q2769="","",INDEX(상세표[월 넘김 포함],$Q2769)&amp;"")</f>
        <v/>
      </c>
      <c r="Q2769" s="4">
        <f>IFERROR(MATCH(2764,상세표[연속순번],0),"")</f>
        <v/>
      </c>
    </row>
    <row r="2770">
      <c r="A2770">
        <f>IF($Q2770="","",INDEX(상세표[부서],$Q2770)&amp;"")</f>
        <v/>
      </c>
      <c r="B2770">
        <f>IF($Q2770="","",INDEX(상세표[사번],$Q2770)&amp;"")</f>
        <v/>
      </c>
      <c r="C2770">
        <f>IF($Q2770="","",INDEX(상세표[성명],$Q2770)&amp;"")</f>
        <v/>
      </c>
      <c r="D2770">
        <f>IF($Q2770="","",INDEX(상세표[직위],$Q2770)&amp;"")</f>
        <v/>
      </c>
      <c r="E2770">
        <f>IF($Q2770="","",IF(ISNUMBER(INDEX(상세표[근무일자],$Q2770)),TEXT(INDEX(상세표[근무일자],$Q2770),"yyyy-mm-dd"),INDEX(상세표[근무일자],$Q2770)&amp;""))</f>
        <v/>
      </c>
      <c r="F2770">
        <f>IF($Q2770="","",IF(ISNUMBER(INDEX(상세표[시작],$Q2770)),TEXT(INDEX(상세표[시작],$Q2770),"yyyy-mm-dd hh:mm"),INDEX(상세표[시작],$Q2770)&amp;""))</f>
        <v/>
      </c>
      <c r="G2770">
        <f>IF($Q2770="","",IF(ISNUMBER(INDEX(상세표[블록종료],$Q2770)),TEXT(INDEX(상세표[블록종료],$Q2770),"yyyy-mm-dd hh:mm"),INDEX(상세표[블록종료],$Q2770)&amp;""))</f>
        <v/>
      </c>
      <c r="H2770">
        <f>IF($Q2770="","",CHOOSE(WEEKDAY(INDEX(상세표[시작],$Q2770)),"일","월","화","수","목","금","토"))</f>
        <v/>
      </c>
      <c r="I2770" s="20">
        <f>IF($Q2770="","",INDEX(상세표[연속 시간],$Q2770))</f>
        <v/>
      </c>
      <c r="J2770">
        <f>IF($Q2770="","",INDEX(상세표[기록 수],$Q2770))</f>
        <v/>
      </c>
      <c r="K2770" s="20">
        <f>IF($Q2770="","",INDEX(상세표[블록 06~07시],$Q2770))</f>
        <v/>
      </c>
      <c r="L2770" s="20">
        <f>IF($Q2770="","",INDEX(상세표[블록 07~18시],$Q2770))</f>
        <v/>
      </c>
      <c r="M2770" s="20">
        <f>IF($Q2770="","",INDEX(상세표[블록 18~22시],$Q2770))</f>
        <v/>
      </c>
      <c r="N2770" s="20">
        <f>IF($Q2770="","",INDEX(상세표[블록 22~06시],$Q2770))</f>
        <v/>
      </c>
      <c r="O2770">
        <f>IF($Q2770="","",INDEX(상세표[주말·휴일 포함],$Q2770)&amp;"")</f>
        <v/>
      </c>
      <c r="P2770">
        <f>IF($Q2770="","",INDEX(상세표[월 넘김 포함],$Q2770)&amp;"")</f>
        <v/>
      </c>
      <c r="Q2770" s="4">
        <f>IFERROR(MATCH(2765,상세표[연속순번],0),"")</f>
        <v/>
      </c>
    </row>
    <row r="2771">
      <c r="A2771">
        <f>IF($Q2771="","",INDEX(상세표[부서],$Q2771)&amp;"")</f>
        <v/>
      </c>
      <c r="B2771">
        <f>IF($Q2771="","",INDEX(상세표[사번],$Q2771)&amp;"")</f>
        <v/>
      </c>
      <c r="C2771">
        <f>IF($Q2771="","",INDEX(상세표[성명],$Q2771)&amp;"")</f>
        <v/>
      </c>
      <c r="D2771">
        <f>IF($Q2771="","",INDEX(상세표[직위],$Q2771)&amp;"")</f>
        <v/>
      </c>
      <c r="E2771">
        <f>IF($Q2771="","",IF(ISNUMBER(INDEX(상세표[근무일자],$Q2771)),TEXT(INDEX(상세표[근무일자],$Q2771),"yyyy-mm-dd"),INDEX(상세표[근무일자],$Q2771)&amp;""))</f>
        <v/>
      </c>
      <c r="F2771">
        <f>IF($Q2771="","",IF(ISNUMBER(INDEX(상세표[시작],$Q2771)),TEXT(INDEX(상세표[시작],$Q2771),"yyyy-mm-dd hh:mm"),INDEX(상세표[시작],$Q2771)&amp;""))</f>
        <v/>
      </c>
      <c r="G2771">
        <f>IF($Q2771="","",IF(ISNUMBER(INDEX(상세표[블록종료],$Q2771)),TEXT(INDEX(상세표[블록종료],$Q2771),"yyyy-mm-dd hh:mm"),INDEX(상세표[블록종료],$Q2771)&amp;""))</f>
        <v/>
      </c>
      <c r="H2771">
        <f>IF($Q2771="","",CHOOSE(WEEKDAY(INDEX(상세표[시작],$Q2771)),"일","월","화","수","목","금","토"))</f>
        <v/>
      </c>
      <c r="I2771" s="20">
        <f>IF($Q2771="","",INDEX(상세표[연속 시간],$Q2771))</f>
        <v/>
      </c>
      <c r="J2771">
        <f>IF($Q2771="","",INDEX(상세표[기록 수],$Q2771))</f>
        <v/>
      </c>
      <c r="K2771" s="20">
        <f>IF($Q2771="","",INDEX(상세표[블록 06~07시],$Q2771))</f>
        <v/>
      </c>
      <c r="L2771" s="20">
        <f>IF($Q2771="","",INDEX(상세표[블록 07~18시],$Q2771))</f>
        <v/>
      </c>
      <c r="M2771" s="20">
        <f>IF($Q2771="","",INDEX(상세표[블록 18~22시],$Q2771))</f>
        <v/>
      </c>
      <c r="N2771" s="20">
        <f>IF($Q2771="","",INDEX(상세표[블록 22~06시],$Q2771))</f>
        <v/>
      </c>
      <c r="O2771">
        <f>IF($Q2771="","",INDEX(상세표[주말·휴일 포함],$Q2771)&amp;"")</f>
        <v/>
      </c>
      <c r="P2771">
        <f>IF($Q2771="","",INDEX(상세표[월 넘김 포함],$Q2771)&amp;"")</f>
        <v/>
      </c>
      <c r="Q2771" s="4">
        <f>IFERROR(MATCH(2766,상세표[연속순번],0),"")</f>
        <v/>
      </c>
    </row>
    <row r="2772">
      <c r="A2772">
        <f>IF($Q2772="","",INDEX(상세표[부서],$Q2772)&amp;"")</f>
        <v/>
      </c>
      <c r="B2772">
        <f>IF($Q2772="","",INDEX(상세표[사번],$Q2772)&amp;"")</f>
        <v/>
      </c>
      <c r="C2772">
        <f>IF($Q2772="","",INDEX(상세표[성명],$Q2772)&amp;"")</f>
        <v/>
      </c>
      <c r="D2772">
        <f>IF($Q2772="","",INDEX(상세표[직위],$Q2772)&amp;"")</f>
        <v/>
      </c>
      <c r="E2772">
        <f>IF($Q2772="","",IF(ISNUMBER(INDEX(상세표[근무일자],$Q2772)),TEXT(INDEX(상세표[근무일자],$Q2772),"yyyy-mm-dd"),INDEX(상세표[근무일자],$Q2772)&amp;""))</f>
        <v/>
      </c>
      <c r="F2772">
        <f>IF($Q2772="","",IF(ISNUMBER(INDEX(상세표[시작],$Q2772)),TEXT(INDEX(상세표[시작],$Q2772),"yyyy-mm-dd hh:mm"),INDEX(상세표[시작],$Q2772)&amp;""))</f>
        <v/>
      </c>
      <c r="G2772">
        <f>IF($Q2772="","",IF(ISNUMBER(INDEX(상세표[블록종료],$Q2772)),TEXT(INDEX(상세표[블록종료],$Q2772),"yyyy-mm-dd hh:mm"),INDEX(상세표[블록종료],$Q2772)&amp;""))</f>
        <v/>
      </c>
      <c r="H2772">
        <f>IF($Q2772="","",CHOOSE(WEEKDAY(INDEX(상세표[시작],$Q2772)),"일","월","화","수","목","금","토"))</f>
        <v/>
      </c>
      <c r="I2772" s="20">
        <f>IF($Q2772="","",INDEX(상세표[연속 시간],$Q2772))</f>
        <v/>
      </c>
      <c r="J2772">
        <f>IF($Q2772="","",INDEX(상세표[기록 수],$Q2772))</f>
        <v/>
      </c>
      <c r="K2772" s="20">
        <f>IF($Q2772="","",INDEX(상세표[블록 06~07시],$Q2772))</f>
        <v/>
      </c>
      <c r="L2772" s="20">
        <f>IF($Q2772="","",INDEX(상세표[블록 07~18시],$Q2772))</f>
        <v/>
      </c>
      <c r="M2772" s="20">
        <f>IF($Q2772="","",INDEX(상세표[블록 18~22시],$Q2772))</f>
        <v/>
      </c>
      <c r="N2772" s="20">
        <f>IF($Q2772="","",INDEX(상세표[블록 22~06시],$Q2772))</f>
        <v/>
      </c>
      <c r="O2772">
        <f>IF($Q2772="","",INDEX(상세표[주말·휴일 포함],$Q2772)&amp;"")</f>
        <v/>
      </c>
      <c r="P2772">
        <f>IF($Q2772="","",INDEX(상세표[월 넘김 포함],$Q2772)&amp;"")</f>
        <v/>
      </c>
      <c r="Q2772" s="4">
        <f>IFERROR(MATCH(2767,상세표[연속순번],0),"")</f>
        <v/>
      </c>
    </row>
    <row r="2773">
      <c r="A2773">
        <f>IF($Q2773="","",INDEX(상세표[부서],$Q2773)&amp;"")</f>
        <v/>
      </c>
      <c r="B2773">
        <f>IF($Q2773="","",INDEX(상세표[사번],$Q2773)&amp;"")</f>
        <v/>
      </c>
      <c r="C2773">
        <f>IF($Q2773="","",INDEX(상세표[성명],$Q2773)&amp;"")</f>
        <v/>
      </c>
      <c r="D2773">
        <f>IF($Q2773="","",INDEX(상세표[직위],$Q2773)&amp;"")</f>
        <v/>
      </c>
      <c r="E2773">
        <f>IF($Q2773="","",IF(ISNUMBER(INDEX(상세표[근무일자],$Q2773)),TEXT(INDEX(상세표[근무일자],$Q2773),"yyyy-mm-dd"),INDEX(상세표[근무일자],$Q2773)&amp;""))</f>
        <v/>
      </c>
      <c r="F2773">
        <f>IF($Q2773="","",IF(ISNUMBER(INDEX(상세표[시작],$Q2773)),TEXT(INDEX(상세표[시작],$Q2773),"yyyy-mm-dd hh:mm"),INDEX(상세표[시작],$Q2773)&amp;""))</f>
        <v/>
      </c>
      <c r="G2773">
        <f>IF($Q2773="","",IF(ISNUMBER(INDEX(상세표[블록종료],$Q2773)),TEXT(INDEX(상세표[블록종료],$Q2773),"yyyy-mm-dd hh:mm"),INDEX(상세표[블록종료],$Q2773)&amp;""))</f>
        <v/>
      </c>
      <c r="H2773">
        <f>IF($Q2773="","",CHOOSE(WEEKDAY(INDEX(상세표[시작],$Q2773)),"일","월","화","수","목","금","토"))</f>
        <v/>
      </c>
      <c r="I2773" s="20">
        <f>IF($Q2773="","",INDEX(상세표[연속 시간],$Q2773))</f>
        <v/>
      </c>
      <c r="J2773">
        <f>IF($Q2773="","",INDEX(상세표[기록 수],$Q2773))</f>
        <v/>
      </c>
      <c r="K2773" s="20">
        <f>IF($Q2773="","",INDEX(상세표[블록 06~07시],$Q2773))</f>
        <v/>
      </c>
      <c r="L2773" s="20">
        <f>IF($Q2773="","",INDEX(상세표[블록 07~18시],$Q2773))</f>
        <v/>
      </c>
      <c r="M2773" s="20">
        <f>IF($Q2773="","",INDEX(상세표[블록 18~22시],$Q2773))</f>
        <v/>
      </c>
      <c r="N2773" s="20">
        <f>IF($Q2773="","",INDEX(상세표[블록 22~06시],$Q2773))</f>
        <v/>
      </c>
      <c r="O2773">
        <f>IF($Q2773="","",INDEX(상세표[주말·휴일 포함],$Q2773)&amp;"")</f>
        <v/>
      </c>
      <c r="P2773">
        <f>IF($Q2773="","",INDEX(상세표[월 넘김 포함],$Q2773)&amp;"")</f>
        <v/>
      </c>
      <c r="Q2773" s="4">
        <f>IFERROR(MATCH(2768,상세표[연속순번],0),"")</f>
        <v/>
      </c>
    </row>
    <row r="2774">
      <c r="A2774">
        <f>IF($Q2774="","",INDEX(상세표[부서],$Q2774)&amp;"")</f>
        <v/>
      </c>
      <c r="B2774">
        <f>IF($Q2774="","",INDEX(상세표[사번],$Q2774)&amp;"")</f>
        <v/>
      </c>
      <c r="C2774">
        <f>IF($Q2774="","",INDEX(상세표[성명],$Q2774)&amp;"")</f>
        <v/>
      </c>
      <c r="D2774">
        <f>IF($Q2774="","",INDEX(상세표[직위],$Q2774)&amp;"")</f>
        <v/>
      </c>
      <c r="E2774">
        <f>IF($Q2774="","",IF(ISNUMBER(INDEX(상세표[근무일자],$Q2774)),TEXT(INDEX(상세표[근무일자],$Q2774),"yyyy-mm-dd"),INDEX(상세표[근무일자],$Q2774)&amp;""))</f>
        <v/>
      </c>
      <c r="F2774">
        <f>IF($Q2774="","",IF(ISNUMBER(INDEX(상세표[시작],$Q2774)),TEXT(INDEX(상세표[시작],$Q2774),"yyyy-mm-dd hh:mm"),INDEX(상세표[시작],$Q2774)&amp;""))</f>
        <v/>
      </c>
      <c r="G2774">
        <f>IF($Q2774="","",IF(ISNUMBER(INDEX(상세표[블록종료],$Q2774)),TEXT(INDEX(상세표[블록종료],$Q2774),"yyyy-mm-dd hh:mm"),INDEX(상세표[블록종료],$Q2774)&amp;""))</f>
        <v/>
      </c>
      <c r="H2774">
        <f>IF($Q2774="","",CHOOSE(WEEKDAY(INDEX(상세표[시작],$Q2774)),"일","월","화","수","목","금","토"))</f>
        <v/>
      </c>
      <c r="I2774" s="20">
        <f>IF($Q2774="","",INDEX(상세표[연속 시간],$Q2774))</f>
        <v/>
      </c>
      <c r="J2774">
        <f>IF($Q2774="","",INDEX(상세표[기록 수],$Q2774))</f>
        <v/>
      </c>
      <c r="K2774" s="20">
        <f>IF($Q2774="","",INDEX(상세표[블록 06~07시],$Q2774))</f>
        <v/>
      </c>
      <c r="L2774" s="20">
        <f>IF($Q2774="","",INDEX(상세표[블록 07~18시],$Q2774))</f>
        <v/>
      </c>
      <c r="M2774" s="20">
        <f>IF($Q2774="","",INDEX(상세표[블록 18~22시],$Q2774))</f>
        <v/>
      </c>
      <c r="N2774" s="20">
        <f>IF($Q2774="","",INDEX(상세표[블록 22~06시],$Q2774))</f>
        <v/>
      </c>
      <c r="O2774">
        <f>IF($Q2774="","",INDEX(상세표[주말·휴일 포함],$Q2774)&amp;"")</f>
        <v/>
      </c>
      <c r="P2774">
        <f>IF($Q2774="","",INDEX(상세표[월 넘김 포함],$Q2774)&amp;"")</f>
        <v/>
      </c>
      <c r="Q2774" s="4">
        <f>IFERROR(MATCH(2769,상세표[연속순번],0),"")</f>
        <v/>
      </c>
    </row>
    <row r="2775">
      <c r="A2775">
        <f>IF($Q2775="","",INDEX(상세표[부서],$Q2775)&amp;"")</f>
        <v/>
      </c>
      <c r="B2775">
        <f>IF($Q2775="","",INDEX(상세표[사번],$Q2775)&amp;"")</f>
        <v/>
      </c>
      <c r="C2775">
        <f>IF($Q2775="","",INDEX(상세표[성명],$Q2775)&amp;"")</f>
        <v/>
      </c>
      <c r="D2775">
        <f>IF($Q2775="","",INDEX(상세표[직위],$Q2775)&amp;"")</f>
        <v/>
      </c>
      <c r="E2775">
        <f>IF($Q2775="","",IF(ISNUMBER(INDEX(상세표[근무일자],$Q2775)),TEXT(INDEX(상세표[근무일자],$Q2775),"yyyy-mm-dd"),INDEX(상세표[근무일자],$Q2775)&amp;""))</f>
        <v/>
      </c>
      <c r="F2775">
        <f>IF($Q2775="","",IF(ISNUMBER(INDEX(상세표[시작],$Q2775)),TEXT(INDEX(상세표[시작],$Q2775),"yyyy-mm-dd hh:mm"),INDEX(상세표[시작],$Q2775)&amp;""))</f>
        <v/>
      </c>
      <c r="G2775">
        <f>IF($Q2775="","",IF(ISNUMBER(INDEX(상세표[블록종료],$Q2775)),TEXT(INDEX(상세표[블록종료],$Q2775),"yyyy-mm-dd hh:mm"),INDEX(상세표[블록종료],$Q2775)&amp;""))</f>
        <v/>
      </c>
      <c r="H2775">
        <f>IF($Q2775="","",CHOOSE(WEEKDAY(INDEX(상세표[시작],$Q2775)),"일","월","화","수","목","금","토"))</f>
        <v/>
      </c>
      <c r="I2775" s="20">
        <f>IF($Q2775="","",INDEX(상세표[연속 시간],$Q2775))</f>
        <v/>
      </c>
      <c r="J2775">
        <f>IF($Q2775="","",INDEX(상세표[기록 수],$Q2775))</f>
        <v/>
      </c>
      <c r="K2775" s="20">
        <f>IF($Q2775="","",INDEX(상세표[블록 06~07시],$Q2775))</f>
        <v/>
      </c>
      <c r="L2775" s="20">
        <f>IF($Q2775="","",INDEX(상세표[블록 07~18시],$Q2775))</f>
        <v/>
      </c>
      <c r="M2775" s="20">
        <f>IF($Q2775="","",INDEX(상세표[블록 18~22시],$Q2775))</f>
        <v/>
      </c>
      <c r="N2775" s="20">
        <f>IF($Q2775="","",INDEX(상세표[블록 22~06시],$Q2775))</f>
        <v/>
      </c>
      <c r="O2775">
        <f>IF($Q2775="","",INDEX(상세표[주말·휴일 포함],$Q2775)&amp;"")</f>
        <v/>
      </c>
      <c r="P2775">
        <f>IF($Q2775="","",INDEX(상세표[월 넘김 포함],$Q2775)&amp;"")</f>
        <v/>
      </c>
      <c r="Q2775" s="4">
        <f>IFERROR(MATCH(2770,상세표[연속순번],0),"")</f>
        <v/>
      </c>
    </row>
    <row r="2776">
      <c r="A2776">
        <f>IF($Q2776="","",INDEX(상세표[부서],$Q2776)&amp;"")</f>
        <v/>
      </c>
      <c r="B2776">
        <f>IF($Q2776="","",INDEX(상세표[사번],$Q2776)&amp;"")</f>
        <v/>
      </c>
      <c r="C2776">
        <f>IF($Q2776="","",INDEX(상세표[성명],$Q2776)&amp;"")</f>
        <v/>
      </c>
      <c r="D2776">
        <f>IF($Q2776="","",INDEX(상세표[직위],$Q2776)&amp;"")</f>
        <v/>
      </c>
      <c r="E2776">
        <f>IF($Q2776="","",IF(ISNUMBER(INDEX(상세표[근무일자],$Q2776)),TEXT(INDEX(상세표[근무일자],$Q2776),"yyyy-mm-dd"),INDEX(상세표[근무일자],$Q2776)&amp;""))</f>
        <v/>
      </c>
      <c r="F2776">
        <f>IF($Q2776="","",IF(ISNUMBER(INDEX(상세표[시작],$Q2776)),TEXT(INDEX(상세표[시작],$Q2776),"yyyy-mm-dd hh:mm"),INDEX(상세표[시작],$Q2776)&amp;""))</f>
        <v/>
      </c>
      <c r="G2776">
        <f>IF($Q2776="","",IF(ISNUMBER(INDEX(상세표[블록종료],$Q2776)),TEXT(INDEX(상세표[블록종료],$Q2776),"yyyy-mm-dd hh:mm"),INDEX(상세표[블록종료],$Q2776)&amp;""))</f>
        <v/>
      </c>
      <c r="H2776">
        <f>IF($Q2776="","",CHOOSE(WEEKDAY(INDEX(상세표[시작],$Q2776)),"일","월","화","수","목","금","토"))</f>
        <v/>
      </c>
      <c r="I2776" s="20">
        <f>IF($Q2776="","",INDEX(상세표[연속 시간],$Q2776))</f>
        <v/>
      </c>
      <c r="J2776">
        <f>IF($Q2776="","",INDEX(상세표[기록 수],$Q2776))</f>
        <v/>
      </c>
      <c r="K2776" s="20">
        <f>IF($Q2776="","",INDEX(상세표[블록 06~07시],$Q2776))</f>
        <v/>
      </c>
      <c r="L2776" s="20">
        <f>IF($Q2776="","",INDEX(상세표[블록 07~18시],$Q2776))</f>
        <v/>
      </c>
      <c r="M2776" s="20">
        <f>IF($Q2776="","",INDEX(상세표[블록 18~22시],$Q2776))</f>
        <v/>
      </c>
      <c r="N2776" s="20">
        <f>IF($Q2776="","",INDEX(상세표[블록 22~06시],$Q2776))</f>
        <v/>
      </c>
      <c r="O2776">
        <f>IF($Q2776="","",INDEX(상세표[주말·휴일 포함],$Q2776)&amp;"")</f>
        <v/>
      </c>
      <c r="P2776">
        <f>IF($Q2776="","",INDEX(상세표[월 넘김 포함],$Q2776)&amp;"")</f>
        <v/>
      </c>
      <c r="Q2776" s="4">
        <f>IFERROR(MATCH(2771,상세표[연속순번],0),"")</f>
        <v/>
      </c>
    </row>
    <row r="2777">
      <c r="A2777">
        <f>IF($Q2777="","",INDEX(상세표[부서],$Q2777)&amp;"")</f>
        <v/>
      </c>
      <c r="B2777">
        <f>IF($Q2777="","",INDEX(상세표[사번],$Q2777)&amp;"")</f>
        <v/>
      </c>
      <c r="C2777">
        <f>IF($Q2777="","",INDEX(상세표[성명],$Q2777)&amp;"")</f>
        <v/>
      </c>
      <c r="D2777">
        <f>IF($Q2777="","",INDEX(상세표[직위],$Q2777)&amp;"")</f>
        <v/>
      </c>
      <c r="E2777">
        <f>IF($Q2777="","",IF(ISNUMBER(INDEX(상세표[근무일자],$Q2777)),TEXT(INDEX(상세표[근무일자],$Q2777),"yyyy-mm-dd"),INDEX(상세표[근무일자],$Q2777)&amp;""))</f>
        <v/>
      </c>
      <c r="F2777">
        <f>IF($Q2777="","",IF(ISNUMBER(INDEX(상세표[시작],$Q2777)),TEXT(INDEX(상세표[시작],$Q2777),"yyyy-mm-dd hh:mm"),INDEX(상세표[시작],$Q2777)&amp;""))</f>
        <v/>
      </c>
      <c r="G2777">
        <f>IF($Q2777="","",IF(ISNUMBER(INDEX(상세표[블록종료],$Q2777)),TEXT(INDEX(상세표[블록종료],$Q2777),"yyyy-mm-dd hh:mm"),INDEX(상세표[블록종료],$Q2777)&amp;""))</f>
        <v/>
      </c>
      <c r="H2777">
        <f>IF($Q2777="","",CHOOSE(WEEKDAY(INDEX(상세표[시작],$Q2777)),"일","월","화","수","목","금","토"))</f>
        <v/>
      </c>
      <c r="I2777" s="20">
        <f>IF($Q2777="","",INDEX(상세표[연속 시간],$Q2777))</f>
        <v/>
      </c>
      <c r="J2777">
        <f>IF($Q2777="","",INDEX(상세표[기록 수],$Q2777))</f>
        <v/>
      </c>
      <c r="K2777" s="20">
        <f>IF($Q2777="","",INDEX(상세표[블록 06~07시],$Q2777))</f>
        <v/>
      </c>
      <c r="L2777" s="20">
        <f>IF($Q2777="","",INDEX(상세표[블록 07~18시],$Q2777))</f>
        <v/>
      </c>
      <c r="M2777" s="20">
        <f>IF($Q2777="","",INDEX(상세표[블록 18~22시],$Q2777))</f>
        <v/>
      </c>
      <c r="N2777" s="20">
        <f>IF($Q2777="","",INDEX(상세표[블록 22~06시],$Q2777))</f>
        <v/>
      </c>
      <c r="O2777">
        <f>IF($Q2777="","",INDEX(상세표[주말·휴일 포함],$Q2777)&amp;"")</f>
        <v/>
      </c>
      <c r="P2777">
        <f>IF($Q2777="","",INDEX(상세표[월 넘김 포함],$Q2777)&amp;"")</f>
        <v/>
      </c>
      <c r="Q2777" s="4">
        <f>IFERROR(MATCH(2772,상세표[연속순번],0),"")</f>
        <v/>
      </c>
    </row>
    <row r="2778">
      <c r="A2778">
        <f>IF($Q2778="","",INDEX(상세표[부서],$Q2778)&amp;"")</f>
        <v/>
      </c>
      <c r="B2778">
        <f>IF($Q2778="","",INDEX(상세표[사번],$Q2778)&amp;"")</f>
        <v/>
      </c>
      <c r="C2778">
        <f>IF($Q2778="","",INDEX(상세표[성명],$Q2778)&amp;"")</f>
        <v/>
      </c>
      <c r="D2778">
        <f>IF($Q2778="","",INDEX(상세표[직위],$Q2778)&amp;"")</f>
        <v/>
      </c>
      <c r="E2778">
        <f>IF($Q2778="","",IF(ISNUMBER(INDEX(상세표[근무일자],$Q2778)),TEXT(INDEX(상세표[근무일자],$Q2778),"yyyy-mm-dd"),INDEX(상세표[근무일자],$Q2778)&amp;""))</f>
        <v/>
      </c>
      <c r="F2778">
        <f>IF($Q2778="","",IF(ISNUMBER(INDEX(상세표[시작],$Q2778)),TEXT(INDEX(상세표[시작],$Q2778),"yyyy-mm-dd hh:mm"),INDEX(상세표[시작],$Q2778)&amp;""))</f>
        <v/>
      </c>
      <c r="G2778">
        <f>IF($Q2778="","",IF(ISNUMBER(INDEX(상세표[블록종료],$Q2778)),TEXT(INDEX(상세표[블록종료],$Q2778),"yyyy-mm-dd hh:mm"),INDEX(상세표[블록종료],$Q2778)&amp;""))</f>
        <v/>
      </c>
      <c r="H2778">
        <f>IF($Q2778="","",CHOOSE(WEEKDAY(INDEX(상세표[시작],$Q2778)),"일","월","화","수","목","금","토"))</f>
        <v/>
      </c>
      <c r="I2778" s="20">
        <f>IF($Q2778="","",INDEX(상세표[연속 시간],$Q2778))</f>
        <v/>
      </c>
      <c r="J2778">
        <f>IF($Q2778="","",INDEX(상세표[기록 수],$Q2778))</f>
        <v/>
      </c>
      <c r="K2778" s="20">
        <f>IF($Q2778="","",INDEX(상세표[블록 06~07시],$Q2778))</f>
        <v/>
      </c>
      <c r="L2778" s="20">
        <f>IF($Q2778="","",INDEX(상세표[블록 07~18시],$Q2778))</f>
        <v/>
      </c>
      <c r="M2778" s="20">
        <f>IF($Q2778="","",INDEX(상세표[블록 18~22시],$Q2778))</f>
        <v/>
      </c>
      <c r="N2778" s="20">
        <f>IF($Q2778="","",INDEX(상세표[블록 22~06시],$Q2778))</f>
        <v/>
      </c>
      <c r="O2778">
        <f>IF($Q2778="","",INDEX(상세표[주말·휴일 포함],$Q2778)&amp;"")</f>
        <v/>
      </c>
      <c r="P2778">
        <f>IF($Q2778="","",INDEX(상세표[월 넘김 포함],$Q2778)&amp;"")</f>
        <v/>
      </c>
      <c r="Q2778" s="4">
        <f>IFERROR(MATCH(2773,상세표[연속순번],0),"")</f>
        <v/>
      </c>
    </row>
    <row r="2779">
      <c r="A2779">
        <f>IF($Q2779="","",INDEX(상세표[부서],$Q2779)&amp;"")</f>
        <v/>
      </c>
      <c r="B2779">
        <f>IF($Q2779="","",INDEX(상세표[사번],$Q2779)&amp;"")</f>
        <v/>
      </c>
      <c r="C2779">
        <f>IF($Q2779="","",INDEX(상세표[성명],$Q2779)&amp;"")</f>
        <v/>
      </c>
      <c r="D2779">
        <f>IF($Q2779="","",INDEX(상세표[직위],$Q2779)&amp;"")</f>
        <v/>
      </c>
      <c r="E2779">
        <f>IF($Q2779="","",IF(ISNUMBER(INDEX(상세표[근무일자],$Q2779)),TEXT(INDEX(상세표[근무일자],$Q2779),"yyyy-mm-dd"),INDEX(상세표[근무일자],$Q2779)&amp;""))</f>
        <v/>
      </c>
      <c r="F2779">
        <f>IF($Q2779="","",IF(ISNUMBER(INDEX(상세표[시작],$Q2779)),TEXT(INDEX(상세표[시작],$Q2779),"yyyy-mm-dd hh:mm"),INDEX(상세표[시작],$Q2779)&amp;""))</f>
        <v/>
      </c>
      <c r="G2779">
        <f>IF($Q2779="","",IF(ISNUMBER(INDEX(상세표[블록종료],$Q2779)),TEXT(INDEX(상세표[블록종료],$Q2779),"yyyy-mm-dd hh:mm"),INDEX(상세표[블록종료],$Q2779)&amp;""))</f>
        <v/>
      </c>
      <c r="H2779">
        <f>IF($Q2779="","",CHOOSE(WEEKDAY(INDEX(상세표[시작],$Q2779)),"일","월","화","수","목","금","토"))</f>
        <v/>
      </c>
      <c r="I2779" s="20">
        <f>IF($Q2779="","",INDEX(상세표[연속 시간],$Q2779))</f>
        <v/>
      </c>
      <c r="J2779">
        <f>IF($Q2779="","",INDEX(상세표[기록 수],$Q2779))</f>
        <v/>
      </c>
      <c r="K2779" s="20">
        <f>IF($Q2779="","",INDEX(상세표[블록 06~07시],$Q2779))</f>
        <v/>
      </c>
      <c r="L2779" s="20">
        <f>IF($Q2779="","",INDEX(상세표[블록 07~18시],$Q2779))</f>
        <v/>
      </c>
      <c r="M2779" s="20">
        <f>IF($Q2779="","",INDEX(상세표[블록 18~22시],$Q2779))</f>
        <v/>
      </c>
      <c r="N2779" s="20">
        <f>IF($Q2779="","",INDEX(상세표[블록 22~06시],$Q2779))</f>
        <v/>
      </c>
      <c r="O2779">
        <f>IF($Q2779="","",INDEX(상세표[주말·휴일 포함],$Q2779)&amp;"")</f>
        <v/>
      </c>
      <c r="P2779">
        <f>IF($Q2779="","",INDEX(상세표[월 넘김 포함],$Q2779)&amp;"")</f>
        <v/>
      </c>
      <c r="Q2779" s="4">
        <f>IFERROR(MATCH(2774,상세표[연속순번],0),"")</f>
        <v/>
      </c>
    </row>
    <row r="2780">
      <c r="A2780">
        <f>IF($Q2780="","",INDEX(상세표[부서],$Q2780)&amp;"")</f>
        <v/>
      </c>
      <c r="B2780">
        <f>IF($Q2780="","",INDEX(상세표[사번],$Q2780)&amp;"")</f>
        <v/>
      </c>
      <c r="C2780">
        <f>IF($Q2780="","",INDEX(상세표[성명],$Q2780)&amp;"")</f>
        <v/>
      </c>
      <c r="D2780">
        <f>IF($Q2780="","",INDEX(상세표[직위],$Q2780)&amp;"")</f>
        <v/>
      </c>
      <c r="E2780">
        <f>IF($Q2780="","",IF(ISNUMBER(INDEX(상세표[근무일자],$Q2780)),TEXT(INDEX(상세표[근무일자],$Q2780),"yyyy-mm-dd"),INDEX(상세표[근무일자],$Q2780)&amp;""))</f>
        <v/>
      </c>
      <c r="F2780">
        <f>IF($Q2780="","",IF(ISNUMBER(INDEX(상세표[시작],$Q2780)),TEXT(INDEX(상세표[시작],$Q2780),"yyyy-mm-dd hh:mm"),INDEX(상세표[시작],$Q2780)&amp;""))</f>
        <v/>
      </c>
      <c r="G2780">
        <f>IF($Q2780="","",IF(ISNUMBER(INDEX(상세표[블록종료],$Q2780)),TEXT(INDEX(상세표[블록종료],$Q2780),"yyyy-mm-dd hh:mm"),INDEX(상세표[블록종료],$Q2780)&amp;""))</f>
        <v/>
      </c>
      <c r="H2780">
        <f>IF($Q2780="","",CHOOSE(WEEKDAY(INDEX(상세표[시작],$Q2780)),"일","월","화","수","목","금","토"))</f>
        <v/>
      </c>
      <c r="I2780" s="20">
        <f>IF($Q2780="","",INDEX(상세표[연속 시간],$Q2780))</f>
        <v/>
      </c>
      <c r="J2780">
        <f>IF($Q2780="","",INDEX(상세표[기록 수],$Q2780))</f>
        <v/>
      </c>
      <c r="K2780" s="20">
        <f>IF($Q2780="","",INDEX(상세표[블록 06~07시],$Q2780))</f>
        <v/>
      </c>
      <c r="L2780" s="20">
        <f>IF($Q2780="","",INDEX(상세표[블록 07~18시],$Q2780))</f>
        <v/>
      </c>
      <c r="M2780" s="20">
        <f>IF($Q2780="","",INDEX(상세표[블록 18~22시],$Q2780))</f>
        <v/>
      </c>
      <c r="N2780" s="20">
        <f>IF($Q2780="","",INDEX(상세표[블록 22~06시],$Q2780))</f>
        <v/>
      </c>
      <c r="O2780">
        <f>IF($Q2780="","",INDEX(상세표[주말·휴일 포함],$Q2780)&amp;"")</f>
        <v/>
      </c>
      <c r="P2780">
        <f>IF($Q2780="","",INDEX(상세표[월 넘김 포함],$Q2780)&amp;"")</f>
        <v/>
      </c>
      <c r="Q2780" s="4">
        <f>IFERROR(MATCH(2775,상세표[연속순번],0),"")</f>
        <v/>
      </c>
    </row>
    <row r="2781">
      <c r="A2781">
        <f>IF($Q2781="","",INDEX(상세표[부서],$Q2781)&amp;"")</f>
        <v/>
      </c>
      <c r="B2781">
        <f>IF($Q2781="","",INDEX(상세표[사번],$Q2781)&amp;"")</f>
        <v/>
      </c>
      <c r="C2781">
        <f>IF($Q2781="","",INDEX(상세표[성명],$Q2781)&amp;"")</f>
        <v/>
      </c>
      <c r="D2781">
        <f>IF($Q2781="","",INDEX(상세표[직위],$Q2781)&amp;"")</f>
        <v/>
      </c>
      <c r="E2781">
        <f>IF($Q2781="","",IF(ISNUMBER(INDEX(상세표[근무일자],$Q2781)),TEXT(INDEX(상세표[근무일자],$Q2781),"yyyy-mm-dd"),INDEX(상세표[근무일자],$Q2781)&amp;""))</f>
        <v/>
      </c>
      <c r="F2781">
        <f>IF($Q2781="","",IF(ISNUMBER(INDEX(상세표[시작],$Q2781)),TEXT(INDEX(상세표[시작],$Q2781),"yyyy-mm-dd hh:mm"),INDEX(상세표[시작],$Q2781)&amp;""))</f>
        <v/>
      </c>
      <c r="G2781">
        <f>IF($Q2781="","",IF(ISNUMBER(INDEX(상세표[블록종료],$Q2781)),TEXT(INDEX(상세표[블록종료],$Q2781),"yyyy-mm-dd hh:mm"),INDEX(상세표[블록종료],$Q2781)&amp;""))</f>
        <v/>
      </c>
      <c r="H2781">
        <f>IF($Q2781="","",CHOOSE(WEEKDAY(INDEX(상세표[시작],$Q2781)),"일","월","화","수","목","금","토"))</f>
        <v/>
      </c>
      <c r="I2781" s="20">
        <f>IF($Q2781="","",INDEX(상세표[연속 시간],$Q2781))</f>
        <v/>
      </c>
      <c r="J2781">
        <f>IF($Q2781="","",INDEX(상세표[기록 수],$Q2781))</f>
        <v/>
      </c>
      <c r="K2781" s="20">
        <f>IF($Q2781="","",INDEX(상세표[블록 06~07시],$Q2781))</f>
        <v/>
      </c>
      <c r="L2781" s="20">
        <f>IF($Q2781="","",INDEX(상세표[블록 07~18시],$Q2781))</f>
        <v/>
      </c>
      <c r="M2781" s="20">
        <f>IF($Q2781="","",INDEX(상세표[블록 18~22시],$Q2781))</f>
        <v/>
      </c>
      <c r="N2781" s="20">
        <f>IF($Q2781="","",INDEX(상세표[블록 22~06시],$Q2781))</f>
        <v/>
      </c>
      <c r="O2781">
        <f>IF($Q2781="","",INDEX(상세표[주말·휴일 포함],$Q2781)&amp;"")</f>
        <v/>
      </c>
      <c r="P2781">
        <f>IF($Q2781="","",INDEX(상세표[월 넘김 포함],$Q2781)&amp;"")</f>
        <v/>
      </c>
      <c r="Q2781" s="4">
        <f>IFERROR(MATCH(2776,상세표[연속순번],0),"")</f>
        <v/>
      </c>
    </row>
    <row r="2782">
      <c r="A2782">
        <f>IF($Q2782="","",INDEX(상세표[부서],$Q2782)&amp;"")</f>
        <v/>
      </c>
      <c r="B2782">
        <f>IF($Q2782="","",INDEX(상세표[사번],$Q2782)&amp;"")</f>
        <v/>
      </c>
      <c r="C2782">
        <f>IF($Q2782="","",INDEX(상세표[성명],$Q2782)&amp;"")</f>
        <v/>
      </c>
      <c r="D2782">
        <f>IF($Q2782="","",INDEX(상세표[직위],$Q2782)&amp;"")</f>
        <v/>
      </c>
      <c r="E2782">
        <f>IF($Q2782="","",IF(ISNUMBER(INDEX(상세표[근무일자],$Q2782)),TEXT(INDEX(상세표[근무일자],$Q2782),"yyyy-mm-dd"),INDEX(상세표[근무일자],$Q2782)&amp;""))</f>
        <v/>
      </c>
      <c r="F2782">
        <f>IF($Q2782="","",IF(ISNUMBER(INDEX(상세표[시작],$Q2782)),TEXT(INDEX(상세표[시작],$Q2782),"yyyy-mm-dd hh:mm"),INDEX(상세표[시작],$Q2782)&amp;""))</f>
        <v/>
      </c>
      <c r="G2782">
        <f>IF($Q2782="","",IF(ISNUMBER(INDEX(상세표[블록종료],$Q2782)),TEXT(INDEX(상세표[블록종료],$Q2782),"yyyy-mm-dd hh:mm"),INDEX(상세표[블록종료],$Q2782)&amp;""))</f>
        <v/>
      </c>
      <c r="H2782">
        <f>IF($Q2782="","",CHOOSE(WEEKDAY(INDEX(상세표[시작],$Q2782)),"일","월","화","수","목","금","토"))</f>
        <v/>
      </c>
      <c r="I2782" s="20">
        <f>IF($Q2782="","",INDEX(상세표[연속 시간],$Q2782))</f>
        <v/>
      </c>
      <c r="J2782">
        <f>IF($Q2782="","",INDEX(상세표[기록 수],$Q2782))</f>
        <v/>
      </c>
      <c r="K2782" s="20">
        <f>IF($Q2782="","",INDEX(상세표[블록 06~07시],$Q2782))</f>
        <v/>
      </c>
      <c r="L2782" s="20">
        <f>IF($Q2782="","",INDEX(상세표[블록 07~18시],$Q2782))</f>
        <v/>
      </c>
      <c r="M2782" s="20">
        <f>IF($Q2782="","",INDEX(상세표[블록 18~22시],$Q2782))</f>
        <v/>
      </c>
      <c r="N2782" s="20">
        <f>IF($Q2782="","",INDEX(상세표[블록 22~06시],$Q2782))</f>
        <v/>
      </c>
      <c r="O2782">
        <f>IF($Q2782="","",INDEX(상세표[주말·휴일 포함],$Q2782)&amp;"")</f>
        <v/>
      </c>
      <c r="P2782">
        <f>IF($Q2782="","",INDEX(상세표[월 넘김 포함],$Q2782)&amp;"")</f>
        <v/>
      </c>
      <c r="Q2782" s="4">
        <f>IFERROR(MATCH(2777,상세표[연속순번],0),"")</f>
        <v/>
      </c>
    </row>
    <row r="2783">
      <c r="A2783">
        <f>IF($Q2783="","",INDEX(상세표[부서],$Q2783)&amp;"")</f>
        <v/>
      </c>
      <c r="B2783">
        <f>IF($Q2783="","",INDEX(상세표[사번],$Q2783)&amp;"")</f>
        <v/>
      </c>
      <c r="C2783">
        <f>IF($Q2783="","",INDEX(상세표[성명],$Q2783)&amp;"")</f>
        <v/>
      </c>
      <c r="D2783">
        <f>IF($Q2783="","",INDEX(상세표[직위],$Q2783)&amp;"")</f>
        <v/>
      </c>
      <c r="E2783">
        <f>IF($Q2783="","",IF(ISNUMBER(INDEX(상세표[근무일자],$Q2783)),TEXT(INDEX(상세표[근무일자],$Q2783),"yyyy-mm-dd"),INDEX(상세표[근무일자],$Q2783)&amp;""))</f>
        <v/>
      </c>
      <c r="F2783">
        <f>IF($Q2783="","",IF(ISNUMBER(INDEX(상세표[시작],$Q2783)),TEXT(INDEX(상세표[시작],$Q2783),"yyyy-mm-dd hh:mm"),INDEX(상세표[시작],$Q2783)&amp;""))</f>
        <v/>
      </c>
      <c r="G2783">
        <f>IF($Q2783="","",IF(ISNUMBER(INDEX(상세표[블록종료],$Q2783)),TEXT(INDEX(상세표[블록종료],$Q2783),"yyyy-mm-dd hh:mm"),INDEX(상세표[블록종료],$Q2783)&amp;""))</f>
        <v/>
      </c>
      <c r="H2783">
        <f>IF($Q2783="","",CHOOSE(WEEKDAY(INDEX(상세표[시작],$Q2783)),"일","월","화","수","목","금","토"))</f>
        <v/>
      </c>
      <c r="I2783" s="20">
        <f>IF($Q2783="","",INDEX(상세표[연속 시간],$Q2783))</f>
        <v/>
      </c>
      <c r="J2783">
        <f>IF($Q2783="","",INDEX(상세표[기록 수],$Q2783))</f>
        <v/>
      </c>
      <c r="K2783" s="20">
        <f>IF($Q2783="","",INDEX(상세표[블록 06~07시],$Q2783))</f>
        <v/>
      </c>
      <c r="L2783" s="20">
        <f>IF($Q2783="","",INDEX(상세표[블록 07~18시],$Q2783))</f>
        <v/>
      </c>
      <c r="M2783" s="20">
        <f>IF($Q2783="","",INDEX(상세표[블록 18~22시],$Q2783))</f>
        <v/>
      </c>
      <c r="N2783" s="20">
        <f>IF($Q2783="","",INDEX(상세표[블록 22~06시],$Q2783))</f>
        <v/>
      </c>
      <c r="O2783">
        <f>IF($Q2783="","",INDEX(상세표[주말·휴일 포함],$Q2783)&amp;"")</f>
        <v/>
      </c>
      <c r="P2783">
        <f>IF($Q2783="","",INDEX(상세표[월 넘김 포함],$Q2783)&amp;"")</f>
        <v/>
      </c>
      <c r="Q2783" s="4">
        <f>IFERROR(MATCH(2778,상세표[연속순번],0),"")</f>
        <v/>
      </c>
    </row>
    <row r="2784">
      <c r="A2784">
        <f>IF($Q2784="","",INDEX(상세표[부서],$Q2784)&amp;"")</f>
        <v/>
      </c>
      <c r="B2784">
        <f>IF($Q2784="","",INDEX(상세표[사번],$Q2784)&amp;"")</f>
        <v/>
      </c>
      <c r="C2784">
        <f>IF($Q2784="","",INDEX(상세표[성명],$Q2784)&amp;"")</f>
        <v/>
      </c>
      <c r="D2784">
        <f>IF($Q2784="","",INDEX(상세표[직위],$Q2784)&amp;"")</f>
        <v/>
      </c>
      <c r="E2784">
        <f>IF($Q2784="","",IF(ISNUMBER(INDEX(상세표[근무일자],$Q2784)),TEXT(INDEX(상세표[근무일자],$Q2784),"yyyy-mm-dd"),INDEX(상세표[근무일자],$Q2784)&amp;""))</f>
        <v/>
      </c>
      <c r="F2784">
        <f>IF($Q2784="","",IF(ISNUMBER(INDEX(상세표[시작],$Q2784)),TEXT(INDEX(상세표[시작],$Q2784),"yyyy-mm-dd hh:mm"),INDEX(상세표[시작],$Q2784)&amp;""))</f>
        <v/>
      </c>
      <c r="G2784">
        <f>IF($Q2784="","",IF(ISNUMBER(INDEX(상세표[블록종료],$Q2784)),TEXT(INDEX(상세표[블록종료],$Q2784),"yyyy-mm-dd hh:mm"),INDEX(상세표[블록종료],$Q2784)&amp;""))</f>
        <v/>
      </c>
      <c r="H2784">
        <f>IF($Q2784="","",CHOOSE(WEEKDAY(INDEX(상세표[시작],$Q2784)),"일","월","화","수","목","금","토"))</f>
        <v/>
      </c>
      <c r="I2784" s="20">
        <f>IF($Q2784="","",INDEX(상세표[연속 시간],$Q2784))</f>
        <v/>
      </c>
      <c r="J2784">
        <f>IF($Q2784="","",INDEX(상세표[기록 수],$Q2784))</f>
        <v/>
      </c>
      <c r="K2784" s="20">
        <f>IF($Q2784="","",INDEX(상세표[블록 06~07시],$Q2784))</f>
        <v/>
      </c>
      <c r="L2784" s="20">
        <f>IF($Q2784="","",INDEX(상세표[블록 07~18시],$Q2784))</f>
        <v/>
      </c>
      <c r="M2784" s="20">
        <f>IF($Q2784="","",INDEX(상세표[블록 18~22시],$Q2784))</f>
        <v/>
      </c>
      <c r="N2784" s="20">
        <f>IF($Q2784="","",INDEX(상세표[블록 22~06시],$Q2784))</f>
        <v/>
      </c>
      <c r="O2784">
        <f>IF($Q2784="","",INDEX(상세표[주말·휴일 포함],$Q2784)&amp;"")</f>
        <v/>
      </c>
      <c r="P2784">
        <f>IF($Q2784="","",INDEX(상세표[월 넘김 포함],$Q2784)&amp;"")</f>
        <v/>
      </c>
      <c r="Q2784" s="4">
        <f>IFERROR(MATCH(2779,상세표[연속순번],0),"")</f>
        <v/>
      </c>
    </row>
    <row r="2785">
      <c r="A2785">
        <f>IF($Q2785="","",INDEX(상세표[부서],$Q2785)&amp;"")</f>
        <v/>
      </c>
      <c r="B2785">
        <f>IF($Q2785="","",INDEX(상세표[사번],$Q2785)&amp;"")</f>
        <v/>
      </c>
      <c r="C2785">
        <f>IF($Q2785="","",INDEX(상세표[성명],$Q2785)&amp;"")</f>
        <v/>
      </c>
      <c r="D2785">
        <f>IF($Q2785="","",INDEX(상세표[직위],$Q2785)&amp;"")</f>
        <v/>
      </c>
      <c r="E2785">
        <f>IF($Q2785="","",IF(ISNUMBER(INDEX(상세표[근무일자],$Q2785)),TEXT(INDEX(상세표[근무일자],$Q2785),"yyyy-mm-dd"),INDEX(상세표[근무일자],$Q2785)&amp;""))</f>
        <v/>
      </c>
      <c r="F2785">
        <f>IF($Q2785="","",IF(ISNUMBER(INDEX(상세표[시작],$Q2785)),TEXT(INDEX(상세표[시작],$Q2785),"yyyy-mm-dd hh:mm"),INDEX(상세표[시작],$Q2785)&amp;""))</f>
        <v/>
      </c>
      <c r="G2785">
        <f>IF($Q2785="","",IF(ISNUMBER(INDEX(상세표[블록종료],$Q2785)),TEXT(INDEX(상세표[블록종료],$Q2785),"yyyy-mm-dd hh:mm"),INDEX(상세표[블록종료],$Q2785)&amp;""))</f>
        <v/>
      </c>
      <c r="H2785">
        <f>IF($Q2785="","",CHOOSE(WEEKDAY(INDEX(상세표[시작],$Q2785)),"일","월","화","수","목","금","토"))</f>
        <v/>
      </c>
      <c r="I2785" s="20">
        <f>IF($Q2785="","",INDEX(상세표[연속 시간],$Q2785))</f>
        <v/>
      </c>
      <c r="J2785">
        <f>IF($Q2785="","",INDEX(상세표[기록 수],$Q2785))</f>
        <v/>
      </c>
      <c r="K2785" s="20">
        <f>IF($Q2785="","",INDEX(상세표[블록 06~07시],$Q2785))</f>
        <v/>
      </c>
      <c r="L2785" s="20">
        <f>IF($Q2785="","",INDEX(상세표[블록 07~18시],$Q2785))</f>
        <v/>
      </c>
      <c r="M2785" s="20">
        <f>IF($Q2785="","",INDEX(상세표[블록 18~22시],$Q2785))</f>
        <v/>
      </c>
      <c r="N2785" s="20">
        <f>IF($Q2785="","",INDEX(상세표[블록 22~06시],$Q2785))</f>
        <v/>
      </c>
      <c r="O2785">
        <f>IF($Q2785="","",INDEX(상세표[주말·휴일 포함],$Q2785)&amp;"")</f>
        <v/>
      </c>
      <c r="P2785">
        <f>IF($Q2785="","",INDEX(상세표[월 넘김 포함],$Q2785)&amp;"")</f>
        <v/>
      </c>
      <c r="Q2785" s="4">
        <f>IFERROR(MATCH(2780,상세표[연속순번],0),"")</f>
        <v/>
      </c>
    </row>
    <row r="2786">
      <c r="A2786">
        <f>IF($Q2786="","",INDEX(상세표[부서],$Q2786)&amp;"")</f>
        <v/>
      </c>
      <c r="B2786">
        <f>IF($Q2786="","",INDEX(상세표[사번],$Q2786)&amp;"")</f>
        <v/>
      </c>
      <c r="C2786">
        <f>IF($Q2786="","",INDEX(상세표[성명],$Q2786)&amp;"")</f>
        <v/>
      </c>
      <c r="D2786">
        <f>IF($Q2786="","",INDEX(상세표[직위],$Q2786)&amp;"")</f>
        <v/>
      </c>
      <c r="E2786">
        <f>IF($Q2786="","",IF(ISNUMBER(INDEX(상세표[근무일자],$Q2786)),TEXT(INDEX(상세표[근무일자],$Q2786),"yyyy-mm-dd"),INDEX(상세표[근무일자],$Q2786)&amp;""))</f>
        <v/>
      </c>
      <c r="F2786">
        <f>IF($Q2786="","",IF(ISNUMBER(INDEX(상세표[시작],$Q2786)),TEXT(INDEX(상세표[시작],$Q2786),"yyyy-mm-dd hh:mm"),INDEX(상세표[시작],$Q2786)&amp;""))</f>
        <v/>
      </c>
      <c r="G2786">
        <f>IF($Q2786="","",IF(ISNUMBER(INDEX(상세표[블록종료],$Q2786)),TEXT(INDEX(상세표[블록종료],$Q2786),"yyyy-mm-dd hh:mm"),INDEX(상세표[블록종료],$Q2786)&amp;""))</f>
        <v/>
      </c>
      <c r="H2786">
        <f>IF($Q2786="","",CHOOSE(WEEKDAY(INDEX(상세표[시작],$Q2786)),"일","월","화","수","목","금","토"))</f>
        <v/>
      </c>
      <c r="I2786" s="20">
        <f>IF($Q2786="","",INDEX(상세표[연속 시간],$Q2786))</f>
        <v/>
      </c>
      <c r="J2786">
        <f>IF($Q2786="","",INDEX(상세표[기록 수],$Q2786))</f>
        <v/>
      </c>
      <c r="K2786" s="20">
        <f>IF($Q2786="","",INDEX(상세표[블록 06~07시],$Q2786))</f>
        <v/>
      </c>
      <c r="L2786" s="20">
        <f>IF($Q2786="","",INDEX(상세표[블록 07~18시],$Q2786))</f>
        <v/>
      </c>
      <c r="M2786" s="20">
        <f>IF($Q2786="","",INDEX(상세표[블록 18~22시],$Q2786))</f>
        <v/>
      </c>
      <c r="N2786" s="20">
        <f>IF($Q2786="","",INDEX(상세표[블록 22~06시],$Q2786))</f>
        <v/>
      </c>
      <c r="O2786">
        <f>IF($Q2786="","",INDEX(상세표[주말·휴일 포함],$Q2786)&amp;"")</f>
        <v/>
      </c>
      <c r="P2786">
        <f>IF($Q2786="","",INDEX(상세표[월 넘김 포함],$Q2786)&amp;"")</f>
        <v/>
      </c>
      <c r="Q2786" s="4">
        <f>IFERROR(MATCH(2781,상세표[연속순번],0),"")</f>
        <v/>
      </c>
    </row>
    <row r="2787">
      <c r="A2787">
        <f>IF($Q2787="","",INDEX(상세표[부서],$Q2787)&amp;"")</f>
        <v/>
      </c>
      <c r="B2787">
        <f>IF($Q2787="","",INDEX(상세표[사번],$Q2787)&amp;"")</f>
        <v/>
      </c>
      <c r="C2787">
        <f>IF($Q2787="","",INDEX(상세표[성명],$Q2787)&amp;"")</f>
        <v/>
      </c>
      <c r="D2787">
        <f>IF($Q2787="","",INDEX(상세표[직위],$Q2787)&amp;"")</f>
        <v/>
      </c>
      <c r="E2787">
        <f>IF($Q2787="","",IF(ISNUMBER(INDEX(상세표[근무일자],$Q2787)),TEXT(INDEX(상세표[근무일자],$Q2787),"yyyy-mm-dd"),INDEX(상세표[근무일자],$Q2787)&amp;""))</f>
        <v/>
      </c>
      <c r="F2787">
        <f>IF($Q2787="","",IF(ISNUMBER(INDEX(상세표[시작],$Q2787)),TEXT(INDEX(상세표[시작],$Q2787),"yyyy-mm-dd hh:mm"),INDEX(상세표[시작],$Q2787)&amp;""))</f>
        <v/>
      </c>
      <c r="G2787">
        <f>IF($Q2787="","",IF(ISNUMBER(INDEX(상세표[블록종료],$Q2787)),TEXT(INDEX(상세표[블록종료],$Q2787),"yyyy-mm-dd hh:mm"),INDEX(상세표[블록종료],$Q2787)&amp;""))</f>
        <v/>
      </c>
      <c r="H2787">
        <f>IF($Q2787="","",CHOOSE(WEEKDAY(INDEX(상세표[시작],$Q2787)),"일","월","화","수","목","금","토"))</f>
        <v/>
      </c>
      <c r="I2787" s="20">
        <f>IF($Q2787="","",INDEX(상세표[연속 시간],$Q2787))</f>
        <v/>
      </c>
      <c r="J2787">
        <f>IF($Q2787="","",INDEX(상세표[기록 수],$Q2787))</f>
        <v/>
      </c>
      <c r="K2787" s="20">
        <f>IF($Q2787="","",INDEX(상세표[블록 06~07시],$Q2787))</f>
        <v/>
      </c>
      <c r="L2787" s="20">
        <f>IF($Q2787="","",INDEX(상세표[블록 07~18시],$Q2787))</f>
        <v/>
      </c>
      <c r="M2787" s="20">
        <f>IF($Q2787="","",INDEX(상세표[블록 18~22시],$Q2787))</f>
        <v/>
      </c>
      <c r="N2787" s="20">
        <f>IF($Q2787="","",INDEX(상세표[블록 22~06시],$Q2787))</f>
        <v/>
      </c>
      <c r="O2787">
        <f>IF($Q2787="","",INDEX(상세표[주말·휴일 포함],$Q2787)&amp;"")</f>
        <v/>
      </c>
      <c r="P2787">
        <f>IF($Q2787="","",INDEX(상세표[월 넘김 포함],$Q2787)&amp;"")</f>
        <v/>
      </c>
      <c r="Q2787" s="4">
        <f>IFERROR(MATCH(2782,상세표[연속순번],0),"")</f>
        <v/>
      </c>
    </row>
    <row r="2788">
      <c r="A2788">
        <f>IF($Q2788="","",INDEX(상세표[부서],$Q2788)&amp;"")</f>
        <v/>
      </c>
      <c r="B2788">
        <f>IF($Q2788="","",INDEX(상세표[사번],$Q2788)&amp;"")</f>
        <v/>
      </c>
      <c r="C2788">
        <f>IF($Q2788="","",INDEX(상세표[성명],$Q2788)&amp;"")</f>
        <v/>
      </c>
      <c r="D2788">
        <f>IF($Q2788="","",INDEX(상세표[직위],$Q2788)&amp;"")</f>
        <v/>
      </c>
      <c r="E2788">
        <f>IF($Q2788="","",IF(ISNUMBER(INDEX(상세표[근무일자],$Q2788)),TEXT(INDEX(상세표[근무일자],$Q2788),"yyyy-mm-dd"),INDEX(상세표[근무일자],$Q2788)&amp;""))</f>
        <v/>
      </c>
      <c r="F2788">
        <f>IF($Q2788="","",IF(ISNUMBER(INDEX(상세표[시작],$Q2788)),TEXT(INDEX(상세표[시작],$Q2788),"yyyy-mm-dd hh:mm"),INDEX(상세표[시작],$Q2788)&amp;""))</f>
        <v/>
      </c>
      <c r="G2788">
        <f>IF($Q2788="","",IF(ISNUMBER(INDEX(상세표[블록종료],$Q2788)),TEXT(INDEX(상세표[블록종료],$Q2788),"yyyy-mm-dd hh:mm"),INDEX(상세표[블록종료],$Q2788)&amp;""))</f>
        <v/>
      </c>
      <c r="H2788">
        <f>IF($Q2788="","",CHOOSE(WEEKDAY(INDEX(상세표[시작],$Q2788)),"일","월","화","수","목","금","토"))</f>
        <v/>
      </c>
      <c r="I2788" s="20">
        <f>IF($Q2788="","",INDEX(상세표[연속 시간],$Q2788))</f>
        <v/>
      </c>
      <c r="J2788">
        <f>IF($Q2788="","",INDEX(상세표[기록 수],$Q2788))</f>
        <v/>
      </c>
      <c r="K2788" s="20">
        <f>IF($Q2788="","",INDEX(상세표[블록 06~07시],$Q2788))</f>
        <v/>
      </c>
      <c r="L2788" s="20">
        <f>IF($Q2788="","",INDEX(상세표[블록 07~18시],$Q2788))</f>
        <v/>
      </c>
      <c r="M2788" s="20">
        <f>IF($Q2788="","",INDEX(상세표[블록 18~22시],$Q2788))</f>
        <v/>
      </c>
      <c r="N2788" s="20">
        <f>IF($Q2788="","",INDEX(상세표[블록 22~06시],$Q2788))</f>
        <v/>
      </c>
      <c r="O2788">
        <f>IF($Q2788="","",INDEX(상세표[주말·휴일 포함],$Q2788)&amp;"")</f>
        <v/>
      </c>
      <c r="P2788">
        <f>IF($Q2788="","",INDEX(상세표[월 넘김 포함],$Q2788)&amp;"")</f>
        <v/>
      </c>
      <c r="Q2788" s="4">
        <f>IFERROR(MATCH(2783,상세표[연속순번],0),"")</f>
        <v/>
      </c>
    </row>
    <row r="2789">
      <c r="A2789">
        <f>IF($Q2789="","",INDEX(상세표[부서],$Q2789)&amp;"")</f>
        <v/>
      </c>
      <c r="B2789">
        <f>IF($Q2789="","",INDEX(상세표[사번],$Q2789)&amp;"")</f>
        <v/>
      </c>
      <c r="C2789">
        <f>IF($Q2789="","",INDEX(상세표[성명],$Q2789)&amp;"")</f>
        <v/>
      </c>
      <c r="D2789">
        <f>IF($Q2789="","",INDEX(상세표[직위],$Q2789)&amp;"")</f>
        <v/>
      </c>
      <c r="E2789">
        <f>IF($Q2789="","",IF(ISNUMBER(INDEX(상세표[근무일자],$Q2789)),TEXT(INDEX(상세표[근무일자],$Q2789),"yyyy-mm-dd"),INDEX(상세표[근무일자],$Q2789)&amp;""))</f>
        <v/>
      </c>
      <c r="F2789">
        <f>IF($Q2789="","",IF(ISNUMBER(INDEX(상세표[시작],$Q2789)),TEXT(INDEX(상세표[시작],$Q2789),"yyyy-mm-dd hh:mm"),INDEX(상세표[시작],$Q2789)&amp;""))</f>
        <v/>
      </c>
      <c r="G2789">
        <f>IF($Q2789="","",IF(ISNUMBER(INDEX(상세표[블록종료],$Q2789)),TEXT(INDEX(상세표[블록종료],$Q2789),"yyyy-mm-dd hh:mm"),INDEX(상세표[블록종료],$Q2789)&amp;""))</f>
        <v/>
      </c>
      <c r="H2789">
        <f>IF($Q2789="","",CHOOSE(WEEKDAY(INDEX(상세표[시작],$Q2789)),"일","월","화","수","목","금","토"))</f>
        <v/>
      </c>
      <c r="I2789" s="20">
        <f>IF($Q2789="","",INDEX(상세표[연속 시간],$Q2789))</f>
        <v/>
      </c>
      <c r="J2789">
        <f>IF($Q2789="","",INDEX(상세표[기록 수],$Q2789))</f>
        <v/>
      </c>
      <c r="K2789" s="20">
        <f>IF($Q2789="","",INDEX(상세표[블록 06~07시],$Q2789))</f>
        <v/>
      </c>
      <c r="L2789" s="20">
        <f>IF($Q2789="","",INDEX(상세표[블록 07~18시],$Q2789))</f>
        <v/>
      </c>
      <c r="M2789" s="20">
        <f>IF($Q2789="","",INDEX(상세표[블록 18~22시],$Q2789))</f>
        <v/>
      </c>
      <c r="N2789" s="20">
        <f>IF($Q2789="","",INDEX(상세표[블록 22~06시],$Q2789))</f>
        <v/>
      </c>
      <c r="O2789">
        <f>IF($Q2789="","",INDEX(상세표[주말·휴일 포함],$Q2789)&amp;"")</f>
        <v/>
      </c>
      <c r="P2789">
        <f>IF($Q2789="","",INDEX(상세표[월 넘김 포함],$Q2789)&amp;"")</f>
        <v/>
      </c>
      <c r="Q2789" s="4">
        <f>IFERROR(MATCH(2784,상세표[연속순번],0),"")</f>
        <v/>
      </c>
    </row>
    <row r="2790">
      <c r="A2790">
        <f>IF($Q2790="","",INDEX(상세표[부서],$Q2790)&amp;"")</f>
        <v/>
      </c>
      <c r="B2790">
        <f>IF($Q2790="","",INDEX(상세표[사번],$Q2790)&amp;"")</f>
        <v/>
      </c>
      <c r="C2790">
        <f>IF($Q2790="","",INDEX(상세표[성명],$Q2790)&amp;"")</f>
        <v/>
      </c>
      <c r="D2790">
        <f>IF($Q2790="","",INDEX(상세표[직위],$Q2790)&amp;"")</f>
        <v/>
      </c>
      <c r="E2790">
        <f>IF($Q2790="","",IF(ISNUMBER(INDEX(상세표[근무일자],$Q2790)),TEXT(INDEX(상세표[근무일자],$Q2790),"yyyy-mm-dd"),INDEX(상세표[근무일자],$Q2790)&amp;""))</f>
        <v/>
      </c>
      <c r="F2790">
        <f>IF($Q2790="","",IF(ISNUMBER(INDEX(상세표[시작],$Q2790)),TEXT(INDEX(상세표[시작],$Q2790),"yyyy-mm-dd hh:mm"),INDEX(상세표[시작],$Q2790)&amp;""))</f>
        <v/>
      </c>
      <c r="G2790">
        <f>IF($Q2790="","",IF(ISNUMBER(INDEX(상세표[블록종료],$Q2790)),TEXT(INDEX(상세표[블록종료],$Q2790),"yyyy-mm-dd hh:mm"),INDEX(상세표[블록종료],$Q2790)&amp;""))</f>
        <v/>
      </c>
      <c r="H2790">
        <f>IF($Q2790="","",CHOOSE(WEEKDAY(INDEX(상세표[시작],$Q2790)),"일","월","화","수","목","금","토"))</f>
        <v/>
      </c>
      <c r="I2790" s="20">
        <f>IF($Q2790="","",INDEX(상세표[연속 시간],$Q2790))</f>
        <v/>
      </c>
      <c r="J2790">
        <f>IF($Q2790="","",INDEX(상세표[기록 수],$Q2790))</f>
        <v/>
      </c>
      <c r="K2790" s="20">
        <f>IF($Q2790="","",INDEX(상세표[블록 06~07시],$Q2790))</f>
        <v/>
      </c>
      <c r="L2790" s="20">
        <f>IF($Q2790="","",INDEX(상세표[블록 07~18시],$Q2790))</f>
        <v/>
      </c>
      <c r="M2790" s="20">
        <f>IF($Q2790="","",INDEX(상세표[블록 18~22시],$Q2790))</f>
        <v/>
      </c>
      <c r="N2790" s="20">
        <f>IF($Q2790="","",INDEX(상세표[블록 22~06시],$Q2790))</f>
        <v/>
      </c>
      <c r="O2790">
        <f>IF($Q2790="","",INDEX(상세표[주말·휴일 포함],$Q2790)&amp;"")</f>
        <v/>
      </c>
      <c r="P2790">
        <f>IF($Q2790="","",INDEX(상세표[월 넘김 포함],$Q2790)&amp;"")</f>
        <v/>
      </c>
      <c r="Q2790" s="4">
        <f>IFERROR(MATCH(2785,상세표[연속순번],0),"")</f>
        <v/>
      </c>
    </row>
    <row r="2791">
      <c r="A2791">
        <f>IF($Q2791="","",INDEX(상세표[부서],$Q2791)&amp;"")</f>
        <v/>
      </c>
      <c r="B2791">
        <f>IF($Q2791="","",INDEX(상세표[사번],$Q2791)&amp;"")</f>
        <v/>
      </c>
      <c r="C2791">
        <f>IF($Q2791="","",INDEX(상세표[성명],$Q2791)&amp;"")</f>
        <v/>
      </c>
      <c r="D2791">
        <f>IF($Q2791="","",INDEX(상세표[직위],$Q2791)&amp;"")</f>
        <v/>
      </c>
      <c r="E2791">
        <f>IF($Q2791="","",IF(ISNUMBER(INDEX(상세표[근무일자],$Q2791)),TEXT(INDEX(상세표[근무일자],$Q2791),"yyyy-mm-dd"),INDEX(상세표[근무일자],$Q2791)&amp;""))</f>
        <v/>
      </c>
      <c r="F2791">
        <f>IF($Q2791="","",IF(ISNUMBER(INDEX(상세표[시작],$Q2791)),TEXT(INDEX(상세표[시작],$Q2791),"yyyy-mm-dd hh:mm"),INDEX(상세표[시작],$Q2791)&amp;""))</f>
        <v/>
      </c>
      <c r="G2791">
        <f>IF($Q2791="","",IF(ISNUMBER(INDEX(상세표[블록종료],$Q2791)),TEXT(INDEX(상세표[블록종료],$Q2791),"yyyy-mm-dd hh:mm"),INDEX(상세표[블록종료],$Q2791)&amp;""))</f>
        <v/>
      </c>
      <c r="H2791">
        <f>IF($Q2791="","",CHOOSE(WEEKDAY(INDEX(상세표[시작],$Q2791)),"일","월","화","수","목","금","토"))</f>
        <v/>
      </c>
      <c r="I2791" s="20">
        <f>IF($Q2791="","",INDEX(상세표[연속 시간],$Q2791))</f>
        <v/>
      </c>
      <c r="J2791">
        <f>IF($Q2791="","",INDEX(상세표[기록 수],$Q2791))</f>
        <v/>
      </c>
      <c r="K2791" s="20">
        <f>IF($Q2791="","",INDEX(상세표[블록 06~07시],$Q2791))</f>
        <v/>
      </c>
      <c r="L2791" s="20">
        <f>IF($Q2791="","",INDEX(상세표[블록 07~18시],$Q2791))</f>
        <v/>
      </c>
      <c r="M2791" s="20">
        <f>IF($Q2791="","",INDEX(상세표[블록 18~22시],$Q2791))</f>
        <v/>
      </c>
      <c r="N2791" s="20">
        <f>IF($Q2791="","",INDEX(상세표[블록 22~06시],$Q2791))</f>
        <v/>
      </c>
      <c r="O2791">
        <f>IF($Q2791="","",INDEX(상세표[주말·휴일 포함],$Q2791)&amp;"")</f>
        <v/>
      </c>
      <c r="P2791">
        <f>IF($Q2791="","",INDEX(상세표[월 넘김 포함],$Q2791)&amp;"")</f>
        <v/>
      </c>
      <c r="Q2791" s="4">
        <f>IFERROR(MATCH(2786,상세표[연속순번],0),"")</f>
        <v/>
      </c>
    </row>
    <row r="2792">
      <c r="A2792">
        <f>IF($Q2792="","",INDEX(상세표[부서],$Q2792)&amp;"")</f>
        <v/>
      </c>
      <c r="B2792">
        <f>IF($Q2792="","",INDEX(상세표[사번],$Q2792)&amp;"")</f>
        <v/>
      </c>
      <c r="C2792">
        <f>IF($Q2792="","",INDEX(상세표[성명],$Q2792)&amp;"")</f>
        <v/>
      </c>
      <c r="D2792">
        <f>IF($Q2792="","",INDEX(상세표[직위],$Q2792)&amp;"")</f>
        <v/>
      </c>
      <c r="E2792">
        <f>IF($Q2792="","",IF(ISNUMBER(INDEX(상세표[근무일자],$Q2792)),TEXT(INDEX(상세표[근무일자],$Q2792),"yyyy-mm-dd"),INDEX(상세표[근무일자],$Q2792)&amp;""))</f>
        <v/>
      </c>
      <c r="F2792">
        <f>IF($Q2792="","",IF(ISNUMBER(INDEX(상세표[시작],$Q2792)),TEXT(INDEX(상세표[시작],$Q2792),"yyyy-mm-dd hh:mm"),INDEX(상세표[시작],$Q2792)&amp;""))</f>
        <v/>
      </c>
      <c r="G2792">
        <f>IF($Q2792="","",IF(ISNUMBER(INDEX(상세표[블록종료],$Q2792)),TEXT(INDEX(상세표[블록종료],$Q2792),"yyyy-mm-dd hh:mm"),INDEX(상세표[블록종료],$Q2792)&amp;""))</f>
        <v/>
      </c>
      <c r="H2792">
        <f>IF($Q2792="","",CHOOSE(WEEKDAY(INDEX(상세표[시작],$Q2792)),"일","월","화","수","목","금","토"))</f>
        <v/>
      </c>
      <c r="I2792" s="20">
        <f>IF($Q2792="","",INDEX(상세표[연속 시간],$Q2792))</f>
        <v/>
      </c>
      <c r="J2792">
        <f>IF($Q2792="","",INDEX(상세표[기록 수],$Q2792))</f>
        <v/>
      </c>
      <c r="K2792" s="20">
        <f>IF($Q2792="","",INDEX(상세표[블록 06~07시],$Q2792))</f>
        <v/>
      </c>
      <c r="L2792" s="20">
        <f>IF($Q2792="","",INDEX(상세표[블록 07~18시],$Q2792))</f>
        <v/>
      </c>
      <c r="M2792" s="20">
        <f>IF($Q2792="","",INDEX(상세표[블록 18~22시],$Q2792))</f>
        <v/>
      </c>
      <c r="N2792" s="20">
        <f>IF($Q2792="","",INDEX(상세표[블록 22~06시],$Q2792))</f>
        <v/>
      </c>
      <c r="O2792">
        <f>IF($Q2792="","",INDEX(상세표[주말·휴일 포함],$Q2792)&amp;"")</f>
        <v/>
      </c>
      <c r="P2792">
        <f>IF($Q2792="","",INDEX(상세표[월 넘김 포함],$Q2792)&amp;"")</f>
        <v/>
      </c>
      <c r="Q2792" s="4">
        <f>IFERROR(MATCH(2787,상세표[연속순번],0),"")</f>
        <v/>
      </c>
    </row>
    <row r="2793">
      <c r="A2793">
        <f>IF($Q2793="","",INDEX(상세표[부서],$Q2793)&amp;"")</f>
        <v/>
      </c>
      <c r="B2793">
        <f>IF($Q2793="","",INDEX(상세표[사번],$Q2793)&amp;"")</f>
        <v/>
      </c>
      <c r="C2793">
        <f>IF($Q2793="","",INDEX(상세표[성명],$Q2793)&amp;"")</f>
        <v/>
      </c>
      <c r="D2793">
        <f>IF($Q2793="","",INDEX(상세표[직위],$Q2793)&amp;"")</f>
        <v/>
      </c>
      <c r="E2793">
        <f>IF($Q2793="","",IF(ISNUMBER(INDEX(상세표[근무일자],$Q2793)),TEXT(INDEX(상세표[근무일자],$Q2793),"yyyy-mm-dd"),INDEX(상세표[근무일자],$Q2793)&amp;""))</f>
        <v/>
      </c>
      <c r="F2793">
        <f>IF($Q2793="","",IF(ISNUMBER(INDEX(상세표[시작],$Q2793)),TEXT(INDEX(상세표[시작],$Q2793),"yyyy-mm-dd hh:mm"),INDEX(상세표[시작],$Q2793)&amp;""))</f>
        <v/>
      </c>
      <c r="G2793">
        <f>IF($Q2793="","",IF(ISNUMBER(INDEX(상세표[블록종료],$Q2793)),TEXT(INDEX(상세표[블록종료],$Q2793),"yyyy-mm-dd hh:mm"),INDEX(상세표[블록종료],$Q2793)&amp;""))</f>
        <v/>
      </c>
      <c r="H2793">
        <f>IF($Q2793="","",CHOOSE(WEEKDAY(INDEX(상세표[시작],$Q2793)),"일","월","화","수","목","금","토"))</f>
        <v/>
      </c>
      <c r="I2793" s="20">
        <f>IF($Q2793="","",INDEX(상세표[연속 시간],$Q2793))</f>
        <v/>
      </c>
      <c r="J2793">
        <f>IF($Q2793="","",INDEX(상세표[기록 수],$Q2793))</f>
        <v/>
      </c>
      <c r="K2793" s="20">
        <f>IF($Q2793="","",INDEX(상세표[블록 06~07시],$Q2793))</f>
        <v/>
      </c>
      <c r="L2793" s="20">
        <f>IF($Q2793="","",INDEX(상세표[블록 07~18시],$Q2793))</f>
        <v/>
      </c>
      <c r="M2793" s="20">
        <f>IF($Q2793="","",INDEX(상세표[블록 18~22시],$Q2793))</f>
        <v/>
      </c>
      <c r="N2793" s="20">
        <f>IF($Q2793="","",INDEX(상세표[블록 22~06시],$Q2793))</f>
        <v/>
      </c>
      <c r="O2793">
        <f>IF($Q2793="","",INDEX(상세표[주말·휴일 포함],$Q2793)&amp;"")</f>
        <v/>
      </c>
      <c r="P2793">
        <f>IF($Q2793="","",INDEX(상세표[월 넘김 포함],$Q2793)&amp;"")</f>
        <v/>
      </c>
      <c r="Q2793" s="4">
        <f>IFERROR(MATCH(2788,상세표[연속순번],0),"")</f>
        <v/>
      </c>
    </row>
    <row r="2794">
      <c r="A2794">
        <f>IF($Q2794="","",INDEX(상세표[부서],$Q2794)&amp;"")</f>
        <v/>
      </c>
      <c r="B2794">
        <f>IF($Q2794="","",INDEX(상세표[사번],$Q2794)&amp;"")</f>
        <v/>
      </c>
      <c r="C2794">
        <f>IF($Q2794="","",INDEX(상세표[성명],$Q2794)&amp;"")</f>
        <v/>
      </c>
      <c r="D2794">
        <f>IF($Q2794="","",INDEX(상세표[직위],$Q2794)&amp;"")</f>
        <v/>
      </c>
      <c r="E2794">
        <f>IF($Q2794="","",IF(ISNUMBER(INDEX(상세표[근무일자],$Q2794)),TEXT(INDEX(상세표[근무일자],$Q2794),"yyyy-mm-dd"),INDEX(상세표[근무일자],$Q2794)&amp;""))</f>
        <v/>
      </c>
      <c r="F2794">
        <f>IF($Q2794="","",IF(ISNUMBER(INDEX(상세표[시작],$Q2794)),TEXT(INDEX(상세표[시작],$Q2794),"yyyy-mm-dd hh:mm"),INDEX(상세표[시작],$Q2794)&amp;""))</f>
        <v/>
      </c>
      <c r="G2794">
        <f>IF($Q2794="","",IF(ISNUMBER(INDEX(상세표[블록종료],$Q2794)),TEXT(INDEX(상세표[블록종료],$Q2794),"yyyy-mm-dd hh:mm"),INDEX(상세표[블록종료],$Q2794)&amp;""))</f>
        <v/>
      </c>
      <c r="H2794">
        <f>IF($Q2794="","",CHOOSE(WEEKDAY(INDEX(상세표[시작],$Q2794)),"일","월","화","수","목","금","토"))</f>
        <v/>
      </c>
      <c r="I2794" s="20">
        <f>IF($Q2794="","",INDEX(상세표[연속 시간],$Q2794))</f>
        <v/>
      </c>
      <c r="J2794">
        <f>IF($Q2794="","",INDEX(상세표[기록 수],$Q2794))</f>
        <v/>
      </c>
      <c r="K2794" s="20">
        <f>IF($Q2794="","",INDEX(상세표[블록 06~07시],$Q2794))</f>
        <v/>
      </c>
      <c r="L2794" s="20">
        <f>IF($Q2794="","",INDEX(상세표[블록 07~18시],$Q2794))</f>
        <v/>
      </c>
      <c r="M2794" s="20">
        <f>IF($Q2794="","",INDEX(상세표[블록 18~22시],$Q2794))</f>
        <v/>
      </c>
      <c r="N2794" s="20">
        <f>IF($Q2794="","",INDEX(상세표[블록 22~06시],$Q2794))</f>
        <v/>
      </c>
      <c r="O2794">
        <f>IF($Q2794="","",INDEX(상세표[주말·휴일 포함],$Q2794)&amp;"")</f>
        <v/>
      </c>
      <c r="P2794">
        <f>IF($Q2794="","",INDEX(상세표[월 넘김 포함],$Q2794)&amp;"")</f>
        <v/>
      </c>
      <c r="Q2794" s="4">
        <f>IFERROR(MATCH(2789,상세표[연속순번],0),"")</f>
        <v/>
      </c>
    </row>
    <row r="2795">
      <c r="A2795">
        <f>IF($Q2795="","",INDEX(상세표[부서],$Q2795)&amp;"")</f>
        <v/>
      </c>
      <c r="B2795">
        <f>IF($Q2795="","",INDEX(상세표[사번],$Q2795)&amp;"")</f>
        <v/>
      </c>
      <c r="C2795">
        <f>IF($Q2795="","",INDEX(상세표[성명],$Q2795)&amp;"")</f>
        <v/>
      </c>
      <c r="D2795">
        <f>IF($Q2795="","",INDEX(상세표[직위],$Q2795)&amp;"")</f>
        <v/>
      </c>
      <c r="E2795">
        <f>IF($Q2795="","",IF(ISNUMBER(INDEX(상세표[근무일자],$Q2795)),TEXT(INDEX(상세표[근무일자],$Q2795),"yyyy-mm-dd"),INDEX(상세표[근무일자],$Q2795)&amp;""))</f>
        <v/>
      </c>
      <c r="F2795">
        <f>IF($Q2795="","",IF(ISNUMBER(INDEX(상세표[시작],$Q2795)),TEXT(INDEX(상세표[시작],$Q2795),"yyyy-mm-dd hh:mm"),INDEX(상세표[시작],$Q2795)&amp;""))</f>
        <v/>
      </c>
      <c r="G2795">
        <f>IF($Q2795="","",IF(ISNUMBER(INDEX(상세표[블록종료],$Q2795)),TEXT(INDEX(상세표[블록종료],$Q2795),"yyyy-mm-dd hh:mm"),INDEX(상세표[블록종료],$Q2795)&amp;""))</f>
        <v/>
      </c>
      <c r="H2795">
        <f>IF($Q2795="","",CHOOSE(WEEKDAY(INDEX(상세표[시작],$Q2795)),"일","월","화","수","목","금","토"))</f>
        <v/>
      </c>
      <c r="I2795" s="20">
        <f>IF($Q2795="","",INDEX(상세표[연속 시간],$Q2795))</f>
        <v/>
      </c>
      <c r="J2795">
        <f>IF($Q2795="","",INDEX(상세표[기록 수],$Q2795))</f>
        <v/>
      </c>
      <c r="K2795" s="20">
        <f>IF($Q2795="","",INDEX(상세표[블록 06~07시],$Q2795))</f>
        <v/>
      </c>
      <c r="L2795" s="20">
        <f>IF($Q2795="","",INDEX(상세표[블록 07~18시],$Q2795))</f>
        <v/>
      </c>
      <c r="M2795" s="20">
        <f>IF($Q2795="","",INDEX(상세표[블록 18~22시],$Q2795))</f>
        <v/>
      </c>
      <c r="N2795" s="20">
        <f>IF($Q2795="","",INDEX(상세표[블록 22~06시],$Q2795))</f>
        <v/>
      </c>
      <c r="O2795">
        <f>IF($Q2795="","",INDEX(상세표[주말·휴일 포함],$Q2795)&amp;"")</f>
        <v/>
      </c>
      <c r="P2795">
        <f>IF($Q2795="","",INDEX(상세표[월 넘김 포함],$Q2795)&amp;"")</f>
        <v/>
      </c>
      <c r="Q2795" s="4">
        <f>IFERROR(MATCH(2790,상세표[연속순번],0),"")</f>
        <v/>
      </c>
    </row>
    <row r="2796">
      <c r="A2796">
        <f>IF($Q2796="","",INDEX(상세표[부서],$Q2796)&amp;"")</f>
        <v/>
      </c>
      <c r="B2796">
        <f>IF($Q2796="","",INDEX(상세표[사번],$Q2796)&amp;"")</f>
        <v/>
      </c>
      <c r="C2796">
        <f>IF($Q2796="","",INDEX(상세표[성명],$Q2796)&amp;"")</f>
        <v/>
      </c>
      <c r="D2796">
        <f>IF($Q2796="","",INDEX(상세표[직위],$Q2796)&amp;"")</f>
        <v/>
      </c>
      <c r="E2796">
        <f>IF($Q2796="","",IF(ISNUMBER(INDEX(상세표[근무일자],$Q2796)),TEXT(INDEX(상세표[근무일자],$Q2796),"yyyy-mm-dd"),INDEX(상세표[근무일자],$Q2796)&amp;""))</f>
        <v/>
      </c>
      <c r="F2796">
        <f>IF($Q2796="","",IF(ISNUMBER(INDEX(상세표[시작],$Q2796)),TEXT(INDEX(상세표[시작],$Q2796),"yyyy-mm-dd hh:mm"),INDEX(상세표[시작],$Q2796)&amp;""))</f>
        <v/>
      </c>
      <c r="G2796">
        <f>IF($Q2796="","",IF(ISNUMBER(INDEX(상세표[블록종료],$Q2796)),TEXT(INDEX(상세표[블록종료],$Q2796),"yyyy-mm-dd hh:mm"),INDEX(상세표[블록종료],$Q2796)&amp;""))</f>
        <v/>
      </c>
      <c r="H2796">
        <f>IF($Q2796="","",CHOOSE(WEEKDAY(INDEX(상세표[시작],$Q2796)),"일","월","화","수","목","금","토"))</f>
        <v/>
      </c>
      <c r="I2796" s="20">
        <f>IF($Q2796="","",INDEX(상세표[연속 시간],$Q2796))</f>
        <v/>
      </c>
      <c r="J2796">
        <f>IF($Q2796="","",INDEX(상세표[기록 수],$Q2796))</f>
        <v/>
      </c>
      <c r="K2796" s="20">
        <f>IF($Q2796="","",INDEX(상세표[블록 06~07시],$Q2796))</f>
        <v/>
      </c>
      <c r="L2796" s="20">
        <f>IF($Q2796="","",INDEX(상세표[블록 07~18시],$Q2796))</f>
        <v/>
      </c>
      <c r="M2796" s="20">
        <f>IF($Q2796="","",INDEX(상세표[블록 18~22시],$Q2796))</f>
        <v/>
      </c>
      <c r="N2796" s="20">
        <f>IF($Q2796="","",INDEX(상세표[블록 22~06시],$Q2796))</f>
        <v/>
      </c>
      <c r="O2796">
        <f>IF($Q2796="","",INDEX(상세표[주말·휴일 포함],$Q2796)&amp;"")</f>
        <v/>
      </c>
      <c r="P2796">
        <f>IF($Q2796="","",INDEX(상세표[월 넘김 포함],$Q2796)&amp;"")</f>
        <v/>
      </c>
      <c r="Q2796" s="4">
        <f>IFERROR(MATCH(2791,상세표[연속순번],0),"")</f>
        <v/>
      </c>
    </row>
    <row r="2797">
      <c r="A2797">
        <f>IF($Q2797="","",INDEX(상세표[부서],$Q2797)&amp;"")</f>
        <v/>
      </c>
      <c r="B2797">
        <f>IF($Q2797="","",INDEX(상세표[사번],$Q2797)&amp;"")</f>
        <v/>
      </c>
      <c r="C2797">
        <f>IF($Q2797="","",INDEX(상세표[성명],$Q2797)&amp;"")</f>
        <v/>
      </c>
      <c r="D2797">
        <f>IF($Q2797="","",INDEX(상세표[직위],$Q2797)&amp;"")</f>
        <v/>
      </c>
      <c r="E2797">
        <f>IF($Q2797="","",IF(ISNUMBER(INDEX(상세표[근무일자],$Q2797)),TEXT(INDEX(상세표[근무일자],$Q2797),"yyyy-mm-dd"),INDEX(상세표[근무일자],$Q2797)&amp;""))</f>
        <v/>
      </c>
      <c r="F2797">
        <f>IF($Q2797="","",IF(ISNUMBER(INDEX(상세표[시작],$Q2797)),TEXT(INDEX(상세표[시작],$Q2797),"yyyy-mm-dd hh:mm"),INDEX(상세표[시작],$Q2797)&amp;""))</f>
        <v/>
      </c>
      <c r="G2797">
        <f>IF($Q2797="","",IF(ISNUMBER(INDEX(상세표[블록종료],$Q2797)),TEXT(INDEX(상세표[블록종료],$Q2797),"yyyy-mm-dd hh:mm"),INDEX(상세표[블록종료],$Q2797)&amp;""))</f>
        <v/>
      </c>
      <c r="H2797">
        <f>IF($Q2797="","",CHOOSE(WEEKDAY(INDEX(상세표[시작],$Q2797)),"일","월","화","수","목","금","토"))</f>
        <v/>
      </c>
      <c r="I2797" s="20">
        <f>IF($Q2797="","",INDEX(상세표[연속 시간],$Q2797))</f>
        <v/>
      </c>
      <c r="J2797">
        <f>IF($Q2797="","",INDEX(상세표[기록 수],$Q2797))</f>
        <v/>
      </c>
      <c r="K2797" s="20">
        <f>IF($Q2797="","",INDEX(상세표[블록 06~07시],$Q2797))</f>
        <v/>
      </c>
      <c r="L2797" s="20">
        <f>IF($Q2797="","",INDEX(상세표[블록 07~18시],$Q2797))</f>
        <v/>
      </c>
      <c r="M2797" s="20">
        <f>IF($Q2797="","",INDEX(상세표[블록 18~22시],$Q2797))</f>
        <v/>
      </c>
      <c r="N2797" s="20">
        <f>IF($Q2797="","",INDEX(상세표[블록 22~06시],$Q2797))</f>
        <v/>
      </c>
      <c r="O2797">
        <f>IF($Q2797="","",INDEX(상세표[주말·휴일 포함],$Q2797)&amp;"")</f>
        <v/>
      </c>
      <c r="P2797">
        <f>IF($Q2797="","",INDEX(상세표[월 넘김 포함],$Q2797)&amp;"")</f>
        <v/>
      </c>
      <c r="Q2797" s="4">
        <f>IFERROR(MATCH(2792,상세표[연속순번],0),"")</f>
        <v/>
      </c>
    </row>
    <row r="2798">
      <c r="A2798">
        <f>IF($Q2798="","",INDEX(상세표[부서],$Q2798)&amp;"")</f>
        <v/>
      </c>
      <c r="B2798">
        <f>IF($Q2798="","",INDEX(상세표[사번],$Q2798)&amp;"")</f>
        <v/>
      </c>
      <c r="C2798">
        <f>IF($Q2798="","",INDEX(상세표[성명],$Q2798)&amp;"")</f>
        <v/>
      </c>
      <c r="D2798">
        <f>IF($Q2798="","",INDEX(상세표[직위],$Q2798)&amp;"")</f>
        <v/>
      </c>
      <c r="E2798">
        <f>IF($Q2798="","",IF(ISNUMBER(INDEX(상세표[근무일자],$Q2798)),TEXT(INDEX(상세표[근무일자],$Q2798),"yyyy-mm-dd"),INDEX(상세표[근무일자],$Q2798)&amp;""))</f>
        <v/>
      </c>
      <c r="F2798">
        <f>IF($Q2798="","",IF(ISNUMBER(INDEX(상세표[시작],$Q2798)),TEXT(INDEX(상세표[시작],$Q2798),"yyyy-mm-dd hh:mm"),INDEX(상세표[시작],$Q2798)&amp;""))</f>
        <v/>
      </c>
      <c r="G2798">
        <f>IF($Q2798="","",IF(ISNUMBER(INDEX(상세표[블록종료],$Q2798)),TEXT(INDEX(상세표[블록종료],$Q2798),"yyyy-mm-dd hh:mm"),INDEX(상세표[블록종료],$Q2798)&amp;""))</f>
        <v/>
      </c>
      <c r="H2798">
        <f>IF($Q2798="","",CHOOSE(WEEKDAY(INDEX(상세표[시작],$Q2798)),"일","월","화","수","목","금","토"))</f>
        <v/>
      </c>
      <c r="I2798" s="20">
        <f>IF($Q2798="","",INDEX(상세표[연속 시간],$Q2798))</f>
        <v/>
      </c>
      <c r="J2798">
        <f>IF($Q2798="","",INDEX(상세표[기록 수],$Q2798))</f>
        <v/>
      </c>
      <c r="K2798" s="20">
        <f>IF($Q2798="","",INDEX(상세표[블록 06~07시],$Q2798))</f>
        <v/>
      </c>
      <c r="L2798" s="20">
        <f>IF($Q2798="","",INDEX(상세표[블록 07~18시],$Q2798))</f>
        <v/>
      </c>
      <c r="M2798" s="20">
        <f>IF($Q2798="","",INDEX(상세표[블록 18~22시],$Q2798))</f>
        <v/>
      </c>
      <c r="N2798" s="20">
        <f>IF($Q2798="","",INDEX(상세표[블록 22~06시],$Q2798))</f>
        <v/>
      </c>
      <c r="O2798">
        <f>IF($Q2798="","",INDEX(상세표[주말·휴일 포함],$Q2798)&amp;"")</f>
        <v/>
      </c>
      <c r="P2798">
        <f>IF($Q2798="","",INDEX(상세표[월 넘김 포함],$Q2798)&amp;"")</f>
        <v/>
      </c>
      <c r="Q2798" s="4">
        <f>IFERROR(MATCH(2793,상세표[연속순번],0),"")</f>
        <v/>
      </c>
    </row>
    <row r="2799">
      <c r="A2799">
        <f>IF($Q2799="","",INDEX(상세표[부서],$Q2799)&amp;"")</f>
        <v/>
      </c>
      <c r="B2799">
        <f>IF($Q2799="","",INDEX(상세표[사번],$Q2799)&amp;"")</f>
        <v/>
      </c>
      <c r="C2799">
        <f>IF($Q2799="","",INDEX(상세표[성명],$Q2799)&amp;"")</f>
        <v/>
      </c>
      <c r="D2799">
        <f>IF($Q2799="","",INDEX(상세표[직위],$Q2799)&amp;"")</f>
        <v/>
      </c>
      <c r="E2799">
        <f>IF($Q2799="","",IF(ISNUMBER(INDEX(상세표[근무일자],$Q2799)),TEXT(INDEX(상세표[근무일자],$Q2799),"yyyy-mm-dd"),INDEX(상세표[근무일자],$Q2799)&amp;""))</f>
        <v/>
      </c>
      <c r="F2799">
        <f>IF($Q2799="","",IF(ISNUMBER(INDEX(상세표[시작],$Q2799)),TEXT(INDEX(상세표[시작],$Q2799),"yyyy-mm-dd hh:mm"),INDEX(상세표[시작],$Q2799)&amp;""))</f>
        <v/>
      </c>
      <c r="G2799">
        <f>IF($Q2799="","",IF(ISNUMBER(INDEX(상세표[블록종료],$Q2799)),TEXT(INDEX(상세표[블록종료],$Q2799),"yyyy-mm-dd hh:mm"),INDEX(상세표[블록종료],$Q2799)&amp;""))</f>
        <v/>
      </c>
      <c r="H2799">
        <f>IF($Q2799="","",CHOOSE(WEEKDAY(INDEX(상세표[시작],$Q2799)),"일","월","화","수","목","금","토"))</f>
        <v/>
      </c>
      <c r="I2799" s="20">
        <f>IF($Q2799="","",INDEX(상세표[연속 시간],$Q2799))</f>
        <v/>
      </c>
      <c r="J2799">
        <f>IF($Q2799="","",INDEX(상세표[기록 수],$Q2799))</f>
        <v/>
      </c>
      <c r="K2799" s="20">
        <f>IF($Q2799="","",INDEX(상세표[블록 06~07시],$Q2799))</f>
        <v/>
      </c>
      <c r="L2799" s="20">
        <f>IF($Q2799="","",INDEX(상세표[블록 07~18시],$Q2799))</f>
        <v/>
      </c>
      <c r="M2799" s="20">
        <f>IF($Q2799="","",INDEX(상세표[블록 18~22시],$Q2799))</f>
        <v/>
      </c>
      <c r="N2799" s="20">
        <f>IF($Q2799="","",INDEX(상세표[블록 22~06시],$Q2799))</f>
        <v/>
      </c>
      <c r="O2799">
        <f>IF($Q2799="","",INDEX(상세표[주말·휴일 포함],$Q2799)&amp;"")</f>
        <v/>
      </c>
      <c r="P2799">
        <f>IF($Q2799="","",INDEX(상세표[월 넘김 포함],$Q2799)&amp;"")</f>
        <v/>
      </c>
      <c r="Q2799" s="4">
        <f>IFERROR(MATCH(2794,상세표[연속순번],0),"")</f>
        <v/>
      </c>
    </row>
    <row r="2800">
      <c r="A2800">
        <f>IF($Q2800="","",INDEX(상세표[부서],$Q2800)&amp;"")</f>
        <v/>
      </c>
      <c r="B2800">
        <f>IF($Q2800="","",INDEX(상세표[사번],$Q2800)&amp;"")</f>
        <v/>
      </c>
      <c r="C2800">
        <f>IF($Q2800="","",INDEX(상세표[성명],$Q2800)&amp;"")</f>
        <v/>
      </c>
      <c r="D2800">
        <f>IF($Q2800="","",INDEX(상세표[직위],$Q2800)&amp;"")</f>
        <v/>
      </c>
      <c r="E2800">
        <f>IF($Q2800="","",IF(ISNUMBER(INDEX(상세표[근무일자],$Q2800)),TEXT(INDEX(상세표[근무일자],$Q2800),"yyyy-mm-dd"),INDEX(상세표[근무일자],$Q2800)&amp;""))</f>
        <v/>
      </c>
      <c r="F2800">
        <f>IF($Q2800="","",IF(ISNUMBER(INDEX(상세표[시작],$Q2800)),TEXT(INDEX(상세표[시작],$Q2800),"yyyy-mm-dd hh:mm"),INDEX(상세표[시작],$Q2800)&amp;""))</f>
        <v/>
      </c>
      <c r="G2800">
        <f>IF($Q2800="","",IF(ISNUMBER(INDEX(상세표[블록종료],$Q2800)),TEXT(INDEX(상세표[블록종료],$Q2800),"yyyy-mm-dd hh:mm"),INDEX(상세표[블록종료],$Q2800)&amp;""))</f>
        <v/>
      </c>
      <c r="H2800">
        <f>IF($Q2800="","",CHOOSE(WEEKDAY(INDEX(상세표[시작],$Q2800)),"일","월","화","수","목","금","토"))</f>
        <v/>
      </c>
      <c r="I2800" s="20">
        <f>IF($Q2800="","",INDEX(상세표[연속 시간],$Q2800))</f>
        <v/>
      </c>
      <c r="J2800">
        <f>IF($Q2800="","",INDEX(상세표[기록 수],$Q2800))</f>
        <v/>
      </c>
      <c r="K2800" s="20">
        <f>IF($Q2800="","",INDEX(상세표[블록 06~07시],$Q2800))</f>
        <v/>
      </c>
      <c r="L2800" s="20">
        <f>IF($Q2800="","",INDEX(상세표[블록 07~18시],$Q2800))</f>
        <v/>
      </c>
      <c r="M2800" s="20">
        <f>IF($Q2800="","",INDEX(상세표[블록 18~22시],$Q2800))</f>
        <v/>
      </c>
      <c r="N2800" s="20">
        <f>IF($Q2800="","",INDEX(상세표[블록 22~06시],$Q2800))</f>
        <v/>
      </c>
      <c r="O2800">
        <f>IF($Q2800="","",INDEX(상세표[주말·휴일 포함],$Q2800)&amp;"")</f>
        <v/>
      </c>
      <c r="P2800">
        <f>IF($Q2800="","",INDEX(상세표[월 넘김 포함],$Q2800)&amp;"")</f>
        <v/>
      </c>
      <c r="Q2800" s="4">
        <f>IFERROR(MATCH(2795,상세표[연속순번],0),"")</f>
        <v/>
      </c>
    </row>
    <row r="2801">
      <c r="A2801">
        <f>IF($Q2801="","",INDEX(상세표[부서],$Q2801)&amp;"")</f>
        <v/>
      </c>
      <c r="B2801">
        <f>IF($Q2801="","",INDEX(상세표[사번],$Q2801)&amp;"")</f>
        <v/>
      </c>
      <c r="C2801">
        <f>IF($Q2801="","",INDEX(상세표[성명],$Q2801)&amp;"")</f>
        <v/>
      </c>
      <c r="D2801">
        <f>IF($Q2801="","",INDEX(상세표[직위],$Q2801)&amp;"")</f>
        <v/>
      </c>
      <c r="E2801">
        <f>IF($Q2801="","",IF(ISNUMBER(INDEX(상세표[근무일자],$Q2801)),TEXT(INDEX(상세표[근무일자],$Q2801),"yyyy-mm-dd"),INDEX(상세표[근무일자],$Q2801)&amp;""))</f>
        <v/>
      </c>
      <c r="F2801">
        <f>IF($Q2801="","",IF(ISNUMBER(INDEX(상세표[시작],$Q2801)),TEXT(INDEX(상세표[시작],$Q2801),"yyyy-mm-dd hh:mm"),INDEX(상세표[시작],$Q2801)&amp;""))</f>
        <v/>
      </c>
      <c r="G2801">
        <f>IF($Q2801="","",IF(ISNUMBER(INDEX(상세표[블록종료],$Q2801)),TEXT(INDEX(상세표[블록종료],$Q2801),"yyyy-mm-dd hh:mm"),INDEX(상세표[블록종료],$Q2801)&amp;""))</f>
        <v/>
      </c>
      <c r="H2801">
        <f>IF($Q2801="","",CHOOSE(WEEKDAY(INDEX(상세표[시작],$Q2801)),"일","월","화","수","목","금","토"))</f>
        <v/>
      </c>
      <c r="I2801" s="20">
        <f>IF($Q2801="","",INDEX(상세표[연속 시간],$Q2801))</f>
        <v/>
      </c>
      <c r="J2801">
        <f>IF($Q2801="","",INDEX(상세표[기록 수],$Q2801))</f>
        <v/>
      </c>
      <c r="K2801" s="20">
        <f>IF($Q2801="","",INDEX(상세표[블록 06~07시],$Q2801))</f>
        <v/>
      </c>
      <c r="L2801" s="20">
        <f>IF($Q2801="","",INDEX(상세표[블록 07~18시],$Q2801))</f>
        <v/>
      </c>
      <c r="M2801" s="20">
        <f>IF($Q2801="","",INDEX(상세표[블록 18~22시],$Q2801))</f>
        <v/>
      </c>
      <c r="N2801" s="20">
        <f>IF($Q2801="","",INDEX(상세표[블록 22~06시],$Q2801))</f>
        <v/>
      </c>
      <c r="O2801">
        <f>IF($Q2801="","",INDEX(상세표[주말·휴일 포함],$Q2801)&amp;"")</f>
        <v/>
      </c>
      <c r="P2801">
        <f>IF($Q2801="","",INDEX(상세표[월 넘김 포함],$Q2801)&amp;"")</f>
        <v/>
      </c>
      <c r="Q2801" s="4">
        <f>IFERROR(MATCH(2796,상세표[연속순번],0),"")</f>
        <v/>
      </c>
    </row>
    <row r="2802">
      <c r="A2802">
        <f>IF($Q2802="","",INDEX(상세표[부서],$Q2802)&amp;"")</f>
        <v/>
      </c>
      <c r="B2802">
        <f>IF($Q2802="","",INDEX(상세표[사번],$Q2802)&amp;"")</f>
        <v/>
      </c>
      <c r="C2802">
        <f>IF($Q2802="","",INDEX(상세표[성명],$Q2802)&amp;"")</f>
        <v/>
      </c>
      <c r="D2802">
        <f>IF($Q2802="","",INDEX(상세표[직위],$Q2802)&amp;"")</f>
        <v/>
      </c>
      <c r="E2802">
        <f>IF($Q2802="","",IF(ISNUMBER(INDEX(상세표[근무일자],$Q2802)),TEXT(INDEX(상세표[근무일자],$Q2802),"yyyy-mm-dd"),INDEX(상세표[근무일자],$Q2802)&amp;""))</f>
        <v/>
      </c>
      <c r="F2802">
        <f>IF($Q2802="","",IF(ISNUMBER(INDEX(상세표[시작],$Q2802)),TEXT(INDEX(상세표[시작],$Q2802),"yyyy-mm-dd hh:mm"),INDEX(상세표[시작],$Q2802)&amp;""))</f>
        <v/>
      </c>
      <c r="G2802">
        <f>IF($Q2802="","",IF(ISNUMBER(INDEX(상세표[블록종료],$Q2802)),TEXT(INDEX(상세표[블록종료],$Q2802),"yyyy-mm-dd hh:mm"),INDEX(상세표[블록종료],$Q2802)&amp;""))</f>
        <v/>
      </c>
      <c r="H2802">
        <f>IF($Q2802="","",CHOOSE(WEEKDAY(INDEX(상세표[시작],$Q2802)),"일","월","화","수","목","금","토"))</f>
        <v/>
      </c>
      <c r="I2802" s="20">
        <f>IF($Q2802="","",INDEX(상세표[연속 시간],$Q2802))</f>
        <v/>
      </c>
      <c r="J2802">
        <f>IF($Q2802="","",INDEX(상세표[기록 수],$Q2802))</f>
        <v/>
      </c>
      <c r="K2802" s="20">
        <f>IF($Q2802="","",INDEX(상세표[블록 06~07시],$Q2802))</f>
        <v/>
      </c>
      <c r="L2802" s="20">
        <f>IF($Q2802="","",INDEX(상세표[블록 07~18시],$Q2802))</f>
        <v/>
      </c>
      <c r="M2802" s="20">
        <f>IF($Q2802="","",INDEX(상세표[블록 18~22시],$Q2802))</f>
        <v/>
      </c>
      <c r="N2802" s="20">
        <f>IF($Q2802="","",INDEX(상세표[블록 22~06시],$Q2802))</f>
        <v/>
      </c>
      <c r="O2802">
        <f>IF($Q2802="","",INDEX(상세표[주말·휴일 포함],$Q2802)&amp;"")</f>
        <v/>
      </c>
      <c r="P2802">
        <f>IF($Q2802="","",INDEX(상세표[월 넘김 포함],$Q2802)&amp;"")</f>
        <v/>
      </c>
      <c r="Q2802" s="4">
        <f>IFERROR(MATCH(2797,상세표[연속순번],0),"")</f>
        <v/>
      </c>
    </row>
    <row r="2803">
      <c r="A2803">
        <f>IF($Q2803="","",INDEX(상세표[부서],$Q2803)&amp;"")</f>
        <v/>
      </c>
      <c r="B2803">
        <f>IF($Q2803="","",INDEX(상세표[사번],$Q2803)&amp;"")</f>
        <v/>
      </c>
      <c r="C2803">
        <f>IF($Q2803="","",INDEX(상세표[성명],$Q2803)&amp;"")</f>
        <v/>
      </c>
      <c r="D2803">
        <f>IF($Q2803="","",INDEX(상세표[직위],$Q2803)&amp;"")</f>
        <v/>
      </c>
      <c r="E2803">
        <f>IF($Q2803="","",IF(ISNUMBER(INDEX(상세표[근무일자],$Q2803)),TEXT(INDEX(상세표[근무일자],$Q2803),"yyyy-mm-dd"),INDEX(상세표[근무일자],$Q2803)&amp;""))</f>
        <v/>
      </c>
      <c r="F2803">
        <f>IF($Q2803="","",IF(ISNUMBER(INDEX(상세표[시작],$Q2803)),TEXT(INDEX(상세표[시작],$Q2803),"yyyy-mm-dd hh:mm"),INDEX(상세표[시작],$Q2803)&amp;""))</f>
        <v/>
      </c>
      <c r="G2803">
        <f>IF($Q2803="","",IF(ISNUMBER(INDEX(상세표[블록종료],$Q2803)),TEXT(INDEX(상세표[블록종료],$Q2803),"yyyy-mm-dd hh:mm"),INDEX(상세표[블록종료],$Q2803)&amp;""))</f>
        <v/>
      </c>
      <c r="H2803">
        <f>IF($Q2803="","",CHOOSE(WEEKDAY(INDEX(상세표[시작],$Q2803)),"일","월","화","수","목","금","토"))</f>
        <v/>
      </c>
      <c r="I2803" s="20">
        <f>IF($Q2803="","",INDEX(상세표[연속 시간],$Q2803))</f>
        <v/>
      </c>
      <c r="J2803">
        <f>IF($Q2803="","",INDEX(상세표[기록 수],$Q2803))</f>
        <v/>
      </c>
      <c r="K2803" s="20">
        <f>IF($Q2803="","",INDEX(상세표[블록 06~07시],$Q2803))</f>
        <v/>
      </c>
      <c r="L2803" s="20">
        <f>IF($Q2803="","",INDEX(상세표[블록 07~18시],$Q2803))</f>
        <v/>
      </c>
      <c r="M2803" s="20">
        <f>IF($Q2803="","",INDEX(상세표[블록 18~22시],$Q2803))</f>
        <v/>
      </c>
      <c r="N2803" s="20">
        <f>IF($Q2803="","",INDEX(상세표[블록 22~06시],$Q2803))</f>
        <v/>
      </c>
      <c r="O2803">
        <f>IF($Q2803="","",INDEX(상세표[주말·휴일 포함],$Q2803)&amp;"")</f>
        <v/>
      </c>
      <c r="P2803">
        <f>IF($Q2803="","",INDEX(상세표[월 넘김 포함],$Q2803)&amp;"")</f>
        <v/>
      </c>
      <c r="Q2803" s="4">
        <f>IFERROR(MATCH(2798,상세표[연속순번],0),"")</f>
        <v/>
      </c>
    </row>
    <row r="2804">
      <c r="A2804">
        <f>IF($Q2804="","",INDEX(상세표[부서],$Q2804)&amp;"")</f>
        <v/>
      </c>
      <c r="B2804">
        <f>IF($Q2804="","",INDEX(상세표[사번],$Q2804)&amp;"")</f>
        <v/>
      </c>
      <c r="C2804">
        <f>IF($Q2804="","",INDEX(상세표[성명],$Q2804)&amp;"")</f>
        <v/>
      </c>
      <c r="D2804">
        <f>IF($Q2804="","",INDEX(상세표[직위],$Q2804)&amp;"")</f>
        <v/>
      </c>
      <c r="E2804">
        <f>IF($Q2804="","",IF(ISNUMBER(INDEX(상세표[근무일자],$Q2804)),TEXT(INDEX(상세표[근무일자],$Q2804),"yyyy-mm-dd"),INDEX(상세표[근무일자],$Q2804)&amp;""))</f>
        <v/>
      </c>
      <c r="F2804">
        <f>IF($Q2804="","",IF(ISNUMBER(INDEX(상세표[시작],$Q2804)),TEXT(INDEX(상세표[시작],$Q2804),"yyyy-mm-dd hh:mm"),INDEX(상세표[시작],$Q2804)&amp;""))</f>
        <v/>
      </c>
      <c r="G2804">
        <f>IF($Q2804="","",IF(ISNUMBER(INDEX(상세표[블록종료],$Q2804)),TEXT(INDEX(상세표[블록종료],$Q2804),"yyyy-mm-dd hh:mm"),INDEX(상세표[블록종료],$Q2804)&amp;""))</f>
        <v/>
      </c>
      <c r="H2804">
        <f>IF($Q2804="","",CHOOSE(WEEKDAY(INDEX(상세표[시작],$Q2804)),"일","월","화","수","목","금","토"))</f>
        <v/>
      </c>
      <c r="I2804" s="20">
        <f>IF($Q2804="","",INDEX(상세표[연속 시간],$Q2804))</f>
        <v/>
      </c>
      <c r="J2804">
        <f>IF($Q2804="","",INDEX(상세표[기록 수],$Q2804))</f>
        <v/>
      </c>
      <c r="K2804" s="20">
        <f>IF($Q2804="","",INDEX(상세표[블록 06~07시],$Q2804))</f>
        <v/>
      </c>
      <c r="L2804" s="20">
        <f>IF($Q2804="","",INDEX(상세표[블록 07~18시],$Q2804))</f>
        <v/>
      </c>
      <c r="M2804" s="20">
        <f>IF($Q2804="","",INDEX(상세표[블록 18~22시],$Q2804))</f>
        <v/>
      </c>
      <c r="N2804" s="20">
        <f>IF($Q2804="","",INDEX(상세표[블록 22~06시],$Q2804))</f>
        <v/>
      </c>
      <c r="O2804">
        <f>IF($Q2804="","",INDEX(상세표[주말·휴일 포함],$Q2804)&amp;"")</f>
        <v/>
      </c>
      <c r="P2804">
        <f>IF($Q2804="","",INDEX(상세표[월 넘김 포함],$Q2804)&amp;"")</f>
        <v/>
      </c>
      <c r="Q2804" s="4">
        <f>IFERROR(MATCH(2799,상세표[연속순번],0),"")</f>
        <v/>
      </c>
    </row>
    <row r="2805">
      <c r="A2805">
        <f>IF($Q2805="","",INDEX(상세표[부서],$Q2805)&amp;"")</f>
        <v/>
      </c>
      <c r="B2805">
        <f>IF($Q2805="","",INDEX(상세표[사번],$Q2805)&amp;"")</f>
        <v/>
      </c>
      <c r="C2805">
        <f>IF($Q2805="","",INDEX(상세표[성명],$Q2805)&amp;"")</f>
        <v/>
      </c>
      <c r="D2805">
        <f>IF($Q2805="","",INDEX(상세표[직위],$Q2805)&amp;"")</f>
        <v/>
      </c>
      <c r="E2805">
        <f>IF($Q2805="","",IF(ISNUMBER(INDEX(상세표[근무일자],$Q2805)),TEXT(INDEX(상세표[근무일자],$Q2805),"yyyy-mm-dd"),INDEX(상세표[근무일자],$Q2805)&amp;""))</f>
        <v/>
      </c>
      <c r="F2805">
        <f>IF($Q2805="","",IF(ISNUMBER(INDEX(상세표[시작],$Q2805)),TEXT(INDEX(상세표[시작],$Q2805),"yyyy-mm-dd hh:mm"),INDEX(상세표[시작],$Q2805)&amp;""))</f>
        <v/>
      </c>
      <c r="G2805">
        <f>IF($Q2805="","",IF(ISNUMBER(INDEX(상세표[블록종료],$Q2805)),TEXT(INDEX(상세표[블록종료],$Q2805),"yyyy-mm-dd hh:mm"),INDEX(상세표[블록종료],$Q2805)&amp;""))</f>
        <v/>
      </c>
      <c r="H2805">
        <f>IF($Q2805="","",CHOOSE(WEEKDAY(INDEX(상세표[시작],$Q2805)),"일","월","화","수","목","금","토"))</f>
        <v/>
      </c>
      <c r="I2805" s="20">
        <f>IF($Q2805="","",INDEX(상세표[연속 시간],$Q2805))</f>
        <v/>
      </c>
      <c r="J2805">
        <f>IF($Q2805="","",INDEX(상세표[기록 수],$Q2805))</f>
        <v/>
      </c>
      <c r="K2805" s="20">
        <f>IF($Q2805="","",INDEX(상세표[블록 06~07시],$Q2805))</f>
        <v/>
      </c>
      <c r="L2805" s="20">
        <f>IF($Q2805="","",INDEX(상세표[블록 07~18시],$Q2805))</f>
        <v/>
      </c>
      <c r="M2805" s="20">
        <f>IF($Q2805="","",INDEX(상세표[블록 18~22시],$Q2805))</f>
        <v/>
      </c>
      <c r="N2805" s="20">
        <f>IF($Q2805="","",INDEX(상세표[블록 22~06시],$Q2805))</f>
        <v/>
      </c>
      <c r="O2805">
        <f>IF($Q2805="","",INDEX(상세표[주말·휴일 포함],$Q2805)&amp;"")</f>
        <v/>
      </c>
      <c r="P2805">
        <f>IF($Q2805="","",INDEX(상세표[월 넘김 포함],$Q2805)&amp;"")</f>
        <v/>
      </c>
      <c r="Q2805" s="4">
        <f>IFERROR(MATCH(2800,상세표[연속순번],0),"")</f>
        <v/>
      </c>
    </row>
    <row r="2806">
      <c r="A2806">
        <f>IF($Q2806="","",INDEX(상세표[부서],$Q2806)&amp;"")</f>
        <v/>
      </c>
      <c r="B2806">
        <f>IF($Q2806="","",INDEX(상세표[사번],$Q2806)&amp;"")</f>
        <v/>
      </c>
      <c r="C2806">
        <f>IF($Q2806="","",INDEX(상세표[성명],$Q2806)&amp;"")</f>
        <v/>
      </c>
      <c r="D2806">
        <f>IF($Q2806="","",INDEX(상세표[직위],$Q2806)&amp;"")</f>
        <v/>
      </c>
      <c r="E2806">
        <f>IF($Q2806="","",IF(ISNUMBER(INDEX(상세표[근무일자],$Q2806)),TEXT(INDEX(상세표[근무일자],$Q2806),"yyyy-mm-dd"),INDEX(상세표[근무일자],$Q2806)&amp;""))</f>
        <v/>
      </c>
      <c r="F2806">
        <f>IF($Q2806="","",IF(ISNUMBER(INDEX(상세표[시작],$Q2806)),TEXT(INDEX(상세표[시작],$Q2806),"yyyy-mm-dd hh:mm"),INDEX(상세표[시작],$Q2806)&amp;""))</f>
        <v/>
      </c>
      <c r="G2806">
        <f>IF($Q2806="","",IF(ISNUMBER(INDEX(상세표[블록종료],$Q2806)),TEXT(INDEX(상세표[블록종료],$Q2806),"yyyy-mm-dd hh:mm"),INDEX(상세표[블록종료],$Q2806)&amp;""))</f>
        <v/>
      </c>
      <c r="H2806">
        <f>IF($Q2806="","",CHOOSE(WEEKDAY(INDEX(상세표[시작],$Q2806)),"일","월","화","수","목","금","토"))</f>
        <v/>
      </c>
      <c r="I2806" s="20">
        <f>IF($Q2806="","",INDEX(상세표[연속 시간],$Q2806))</f>
        <v/>
      </c>
      <c r="J2806">
        <f>IF($Q2806="","",INDEX(상세표[기록 수],$Q2806))</f>
        <v/>
      </c>
      <c r="K2806" s="20">
        <f>IF($Q2806="","",INDEX(상세표[블록 06~07시],$Q2806))</f>
        <v/>
      </c>
      <c r="L2806" s="20">
        <f>IF($Q2806="","",INDEX(상세표[블록 07~18시],$Q2806))</f>
        <v/>
      </c>
      <c r="M2806" s="20">
        <f>IF($Q2806="","",INDEX(상세표[블록 18~22시],$Q2806))</f>
        <v/>
      </c>
      <c r="N2806" s="20">
        <f>IF($Q2806="","",INDEX(상세표[블록 22~06시],$Q2806))</f>
        <v/>
      </c>
      <c r="O2806">
        <f>IF($Q2806="","",INDEX(상세표[주말·휴일 포함],$Q2806)&amp;"")</f>
        <v/>
      </c>
      <c r="P2806">
        <f>IF($Q2806="","",INDEX(상세표[월 넘김 포함],$Q2806)&amp;"")</f>
        <v/>
      </c>
      <c r="Q2806" s="4">
        <f>IFERROR(MATCH(2801,상세표[연속순번],0),"")</f>
        <v/>
      </c>
    </row>
    <row r="2807">
      <c r="A2807">
        <f>IF($Q2807="","",INDEX(상세표[부서],$Q2807)&amp;"")</f>
        <v/>
      </c>
      <c r="B2807">
        <f>IF($Q2807="","",INDEX(상세표[사번],$Q2807)&amp;"")</f>
        <v/>
      </c>
      <c r="C2807">
        <f>IF($Q2807="","",INDEX(상세표[성명],$Q2807)&amp;"")</f>
        <v/>
      </c>
      <c r="D2807">
        <f>IF($Q2807="","",INDEX(상세표[직위],$Q2807)&amp;"")</f>
        <v/>
      </c>
      <c r="E2807">
        <f>IF($Q2807="","",IF(ISNUMBER(INDEX(상세표[근무일자],$Q2807)),TEXT(INDEX(상세표[근무일자],$Q2807),"yyyy-mm-dd"),INDEX(상세표[근무일자],$Q2807)&amp;""))</f>
        <v/>
      </c>
      <c r="F2807">
        <f>IF($Q2807="","",IF(ISNUMBER(INDEX(상세표[시작],$Q2807)),TEXT(INDEX(상세표[시작],$Q2807),"yyyy-mm-dd hh:mm"),INDEX(상세표[시작],$Q2807)&amp;""))</f>
        <v/>
      </c>
      <c r="G2807">
        <f>IF($Q2807="","",IF(ISNUMBER(INDEX(상세표[블록종료],$Q2807)),TEXT(INDEX(상세표[블록종료],$Q2807),"yyyy-mm-dd hh:mm"),INDEX(상세표[블록종료],$Q2807)&amp;""))</f>
        <v/>
      </c>
      <c r="H2807">
        <f>IF($Q2807="","",CHOOSE(WEEKDAY(INDEX(상세표[시작],$Q2807)),"일","월","화","수","목","금","토"))</f>
        <v/>
      </c>
      <c r="I2807" s="20">
        <f>IF($Q2807="","",INDEX(상세표[연속 시간],$Q2807))</f>
        <v/>
      </c>
      <c r="J2807">
        <f>IF($Q2807="","",INDEX(상세표[기록 수],$Q2807))</f>
        <v/>
      </c>
      <c r="K2807" s="20">
        <f>IF($Q2807="","",INDEX(상세표[블록 06~07시],$Q2807))</f>
        <v/>
      </c>
      <c r="L2807" s="20">
        <f>IF($Q2807="","",INDEX(상세표[블록 07~18시],$Q2807))</f>
        <v/>
      </c>
      <c r="M2807" s="20">
        <f>IF($Q2807="","",INDEX(상세표[블록 18~22시],$Q2807))</f>
        <v/>
      </c>
      <c r="N2807" s="20">
        <f>IF($Q2807="","",INDEX(상세표[블록 22~06시],$Q2807))</f>
        <v/>
      </c>
      <c r="O2807">
        <f>IF($Q2807="","",INDEX(상세표[주말·휴일 포함],$Q2807)&amp;"")</f>
        <v/>
      </c>
      <c r="P2807">
        <f>IF($Q2807="","",INDEX(상세표[월 넘김 포함],$Q2807)&amp;"")</f>
        <v/>
      </c>
      <c r="Q2807" s="4">
        <f>IFERROR(MATCH(2802,상세표[연속순번],0),"")</f>
        <v/>
      </c>
    </row>
    <row r="2808">
      <c r="A2808">
        <f>IF($Q2808="","",INDEX(상세표[부서],$Q2808)&amp;"")</f>
        <v/>
      </c>
      <c r="B2808">
        <f>IF($Q2808="","",INDEX(상세표[사번],$Q2808)&amp;"")</f>
        <v/>
      </c>
      <c r="C2808">
        <f>IF($Q2808="","",INDEX(상세표[성명],$Q2808)&amp;"")</f>
        <v/>
      </c>
      <c r="D2808">
        <f>IF($Q2808="","",INDEX(상세표[직위],$Q2808)&amp;"")</f>
        <v/>
      </c>
      <c r="E2808">
        <f>IF($Q2808="","",IF(ISNUMBER(INDEX(상세표[근무일자],$Q2808)),TEXT(INDEX(상세표[근무일자],$Q2808),"yyyy-mm-dd"),INDEX(상세표[근무일자],$Q2808)&amp;""))</f>
        <v/>
      </c>
      <c r="F2808">
        <f>IF($Q2808="","",IF(ISNUMBER(INDEX(상세표[시작],$Q2808)),TEXT(INDEX(상세표[시작],$Q2808),"yyyy-mm-dd hh:mm"),INDEX(상세표[시작],$Q2808)&amp;""))</f>
        <v/>
      </c>
      <c r="G2808">
        <f>IF($Q2808="","",IF(ISNUMBER(INDEX(상세표[블록종료],$Q2808)),TEXT(INDEX(상세표[블록종료],$Q2808),"yyyy-mm-dd hh:mm"),INDEX(상세표[블록종료],$Q2808)&amp;""))</f>
        <v/>
      </c>
      <c r="H2808">
        <f>IF($Q2808="","",CHOOSE(WEEKDAY(INDEX(상세표[시작],$Q2808)),"일","월","화","수","목","금","토"))</f>
        <v/>
      </c>
      <c r="I2808" s="20">
        <f>IF($Q2808="","",INDEX(상세표[연속 시간],$Q2808))</f>
        <v/>
      </c>
      <c r="J2808">
        <f>IF($Q2808="","",INDEX(상세표[기록 수],$Q2808))</f>
        <v/>
      </c>
      <c r="K2808" s="20">
        <f>IF($Q2808="","",INDEX(상세표[블록 06~07시],$Q2808))</f>
        <v/>
      </c>
      <c r="L2808" s="20">
        <f>IF($Q2808="","",INDEX(상세표[블록 07~18시],$Q2808))</f>
        <v/>
      </c>
      <c r="M2808" s="20">
        <f>IF($Q2808="","",INDEX(상세표[블록 18~22시],$Q2808))</f>
        <v/>
      </c>
      <c r="N2808" s="20">
        <f>IF($Q2808="","",INDEX(상세표[블록 22~06시],$Q2808))</f>
        <v/>
      </c>
      <c r="O2808">
        <f>IF($Q2808="","",INDEX(상세표[주말·휴일 포함],$Q2808)&amp;"")</f>
        <v/>
      </c>
      <c r="P2808">
        <f>IF($Q2808="","",INDEX(상세표[월 넘김 포함],$Q2808)&amp;"")</f>
        <v/>
      </c>
      <c r="Q2808" s="4">
        <f>IFERROR(MATCH(2803,상세표[연속순번],0),"")</f>
        <v/>
      </c>
    </row>
    <row r="2809">
      <c r="A2809">
        <f>IF($Q2809="","",INDEX(상세표[부서],$Q2809)&amp;"")</f>
        <v/>
      </c>
      <c r="B2809">
        <f>IF($Q2809="","",INDEX(상세표[사번],$Q2809)&amp;"")</f>
        <v/>
      </c>
      <c r="C2809">
        <f>IF($Q2809="","",INDEX(상세표[성명],$Q2809)&amp;"")</f>
        <v/>
      </c>
      <c r="D2809">
        <f>IF($Q2809="","",INDEX(상세표[직위],$Q2809)&amp;"")</f>
        <v/>
      </c>
      <c r="E2809">
        <f>IF($Q2809="","",IF(ISNUMBER(INDEX(상세표[근무일자],$Q2809)),TEXT(INDEX(상세표[근무일자],$Q2809),"yyyy-mm-dd"),INDEX(상세표[근무일자],$Q2809)&amp;""))</f>
        <v/>
      </c>
      <c r="F2809">
        <f>IF($Q2809="","",IF(ISNUMBER(INDEX(상세표[시작],$Q2809)),TEXT(INDEX(상세표[시작],$Q2809),"yyyy-mm-dd hh:mm"),INDEX(상세표[시작],$Q2809)&amp;""))</f>
        <v/>
      </c>
      <c r="G2809">
        <f>IF($Q2809="","",IF(ISNUMBER(INDEX(상세표[블록종료],$Q2809)),TEXT(INDEX(상세표[블록종료],$Q2809),"yyyy-mm-dd hh:mm"),INDEX(상세표[블록종료],$Q2809)&amp;""))</f>
        <v/>
      </c>
      <c r="H2809">
        <f>IF($Q2809="","",CHOOSE(WEEKDAY(INDEX(상세표[시작],$Q2809)),"일","월","화","수","목","금","토"))</f>
        <v/>
      </c>
      <c r="I2809" s="20">
        <f>IF($Q2809="","",INDEX(상세표[연속 시간],$Q2809))</f>
        <v/>
      </c>
      <c r="J2809">
        <f>IF($Q2809="","",INDEX(상세표[기록 수],$Q2809))</f>
        <v/>
      </c>
      <c r="K2809" s="20">
        <f>IF($Q2809="","",INDEX(상세표[블록 06~07시],$Q2809))</f>
        <v/>
      </c>
      <c r="L2809" s="20">
        <f>IF($Q2809="","",INDEX(상세표[블록 07~18시],$Q2809))</f>
        <v/>
      </c>
      <c r="M2809" s="20">
        <f>IF($Q2809="","",INDEX(상세표[블록 18~22시],$Q2809))</f>
        <v/>
      </c>
      <c r="N2809" s="20">
        <f>IF($Q2809="","",INDEX(상세표[블록 22~06시],$Q2809))</f>
        <v/>
      </c>
      <c r="O2809">
        <f>IF($Q2809="","",INDEX(상세표[주말·휴일 포함],$Q2809)&amp;"")</f>
        <v/>
      </c>
      <c r="P2809">
        <f>IF($Q2809="","",INDEX(상세표[월 넘김 포함],$Q2809)&amp;"")</f>
        <v/>
      </c>
      <c r="Q2809" s="4">
        <f>IFERROR(MATCH(2804,상세표[연속순번],0),"")</f>
        <v/>
      </c>
    </row>
    <row r="2810">
      <c r="A2810">
        <f>IF($Q2810="","",INDEX(상세표[부서],$Q2810)&amp;"")</f>
        <v/>
      </c>
      <c r="B2810">
        <f>IF($Q2810="","",INDEX(상세표[사번],$Q2810)&amp;"")</f>
        <v/>
      </c>
      <c r="C2810">
        <f>IF($Q2810="","",INDEX(상세표[성명],$Q2810)&amp;"")</f>
        <v/>
      </c>
      <c r="D2810">
        <f>IF($Q2810="","",INDEX(상세표[직위],$Q2810)&amp;"")</f>
        <v/>
      </c>
      <c r="E2810">
        <f>IF($Q2810="","",IF(ISNUMBER(INDEX(상세표[근무일자],$Q2810)),TEXT(INDEX(상세표[근무일자],$Q2810),"yyyy-mm-dd"),INDEX(상세표[근무일자],$Q2810)&amp;""))</f>
        <v/>
      </c>
      <c r="F2810">
        <f>IF($Q2810="","",IF(ISNUMBER(INDEX(상세표[시작],$Q2810)),TEXT(INDEX(상세표[시작],$Q2810),"yyyy-mm-dd hh:mm"),INDEX(상세표[시작],$Q2810)&amp;""))</f>
        <v/>
      </c>
      <c r="G2810">
        <f>IF($Q2810="","",IF(ISNUMBER(INDEX(상세표[블록종료],$Q2810)),TEXT(INDEX(상세표[블록종료],$Q2810),"yyyy-mm-dd hh:mm"),INDEX(상세표[블록종료],$Q2810)&amp;""))</f>
        <v/>
      </c>
      <c r="H2810">
        <f>IF($Q2810="","",CHOOSE(WEEKDAY(INDEX(상세표[시작],$Q2810)),"일","월","화","수","목","금","토"))</f>
        <v/>
      </c>
      <c r="I2810" s="20">
        <f>IF($Q2810="","",INDEX(상세표[연속 시간],$Q2810))</f>
        <v/>
      </c>
      <c r="J2810">
        <f>IF($Q2810="","",INDEX(상세표[기록 수],$Q2810))</f>
        <v/>
      </c>
      <c r="K2810" s="20">
        <f>IF($Q2810="","",INDEX(상세표[블록 06~07시],$Q2810))</f>
        <v/>
      </c>
      <c r="L2810" s="20">
        <f>IF($Q2810="","",INDEX(상세표[블록 07~18시],$Q2810))</f>
        <v/>
      </c>
      <c r="M2810" s="20">
        <f>IF($Q2810="","",INDEX(상세표[블록 18~22시],$Q2810))</f>
        <v/>
      </c>
      <c r="N2810" s="20">
        <f>IF($Q2810="","",INDEX(상세표[블록 22~06시],$Q2810))</f>
        <v/>
      </c>
      <c r="O2810">
        <f>IF($Q2810="","",INDEX(상세표[주말·휴일 포함],$Q2810)&amp;"")</f>
        <v/>
      </c>
      <c r="P2810">
        <f>IF($Q2810="","",INDEX(상세표[월 넘김 포함],$Q2810)&amp;"")</f>
        <v/>
      </c>
      <c r="Q2810" s="4">
        <f>IFERROR(MATCH(2805,상세표[연속순번],0),"")</f>
        <v/>
      </c>
    </row>
    <row r="2811">
      <c r="A2811">
        <f>IF($Q2811="","",INDEX(상세표[부서],$Q2811)&amp;"")</f>
        <v/>
      </c>
      <c r="B2811">
        <f>IF($Q2811="","",INDEX(상세표[사번],$Q2811)&amp;"")</f>
        <v/>
      </c>
      <c r="C2811">
        <f>IF($Q2811="","",INDEX(상세표[성명],$Q2811)&amp;"")</f>
        <v/>
      </c>
      <c r="D2811">
        <f>IF($Q2811="","",INDEX(상세표[직위],$Q2811)&amp;"")</f>
        <v/>
      </c>
      <c r="E2811">
        <f>IF($Q2811="","",IF(ISNUMBER(INDEX(상세표[근무일자],$Q2811)),TEXT(INDEX(상세표[근무일자],$Q2811),"yyyy-mm-dd"),INDEX(상세표[근무일자],$Q2811)&amp;""))</f>
        <v/>
      </c>
      <c r="F2811">
        <f>IF($Q2811="","",IF(ISNUMBER(INDEX(상세표[시작],$Q2811)),TEXT(INDEX(상세표[시작],$Q2811),"yyyy-mm-dd hh:mm"),INDEX(상세표[시작],$Q2811)&amp;""))</f>
        <v/>
      </c>
      <c r="G2811">
        <f>IF($Q2811="","",IF(ISNUMBER(INDEX(상세표[블록종료],$Q2811)),TEXT(INDEX(상세표[블록종료],$Q2811),"yyyy-mm-dd hh:mm"),INDEX(상세표[블록종료],$Q2811)&amp;""))</f>
        <v/>
      </c>
      <c r="H2811">
        <f>IF($Q2811="","",CHOOSE(WEEKDAY(INDEX(상세표[시작],$Q2811)),"일","월","화","수","목","금","토"))</f>
        <v/>
      </c>
      <c r="I2811" s="20">
        <f>IF($Q2811="","",INDEX(상세표[연속 시간],$Q2811))</f>
        <v/>
      </c>
      <c r="J2811">
        <f>IF($Q2811="","",INDEX(상세표[기록 수],$Q2811))</f>
        <v/>
      </c>
      <c r="K2811" s="20">
        <f>IF($Q2811="","",INDEX(상세표[블록 06~07시],$Q2811))</f>
        <v/>
      </c>
      <c r="L2811" s="20">
        <f>IF($Q2811="","",INDEX(상세표[블록 07~18시],$Q2811))</f>
        <v/>
      </c>
      <c r="M2811" s="20">
        <f>IF($Q2811="","",INDEX(상세표[블록 18~22시],$Q2811))</f>
        <v/>
      </c>
      <c r="N2811" s="20">
        <f>IF($Q2811="","",INDEX(상세표[블록 22~06시],$Q2811))</f>
        <v/>
      </c>
      <c r="O2811">
        <f>IF($Q2811="","",INDEX(상세표[주말·휴일 포함],$Q2811)&amp;"")</f>
        <v/>
      </c>
      <c r="P2811">
        <f>IF($Q2811="","",INDEX(상세표[월 넘김 포함],$Q2811)&amp;"")</f>
        <v/>
      </c>
      <c r="Q2811" s="4">
        <f>IFERROR(MATCH(2806,상세표[연속순번],0),"")</f>
        <v/>
      </c>
    </row>
    <row r="2812">
      <c r="A2812">
        <f>IF($Q2812="","",INDEX(상세표[부서],$Q2812)&amp;"")</f>
        <v/>
      </c>
      <c r="B2812">
        <f>IF($Q2812="","",INDEX(상세표[사번],$Q2812)&amp;"")</f>
        <v/>
      </c>
      <c r="C2812">
        <f>IF($Q2812="","",INDEX(상세표[성명],$Q2812)&amp;"")</f>
        <v/>
      </c>
      <c r="D2812">
        <f>IF($Q2812="","",INDEX(상세표[직위],$Q2812)&amp;"")</f>
        <v/>
      </c>
      <c r="E2812">
        <f>IF($Q2812="","",IF(ISNUMBER(INDEX(상세표[근무일자],$Q2812)),TEXT(INDEX(상세표[근무일자],$Q2812),"yyyy-mm-dd"),INDEX(상세표[근무일자],$Q2812)&amp;""))</f>
        <v/>
      </c>
      <c r="F2812">
        <f>IF($Q2812="","",IF(ISNUMBER(INDEX(상세표[시작],$Q2812)),TEXT(INDEX(상세표[시작],$Q2812),"yyyy-mm-dd hh:mm"),INDEX(상세표[시작],$Q2812)&amp;""))</f>
        <v/>
      </c>
      <c r="G2812">
        <f>IF($Q2812="","",IF(ISNUMBER(INDEX(상세표[블록종료],$Q2812)),TEXT(INDEX(상세표[블록종료],$Q2812),"yyyy-mm-dd hh:mm"),INDEX(상세표[블록종료],$Q2812)&amp;""))</f>
        <v/>
      </c>
      <c r="H2812">
        <f>IF($Q2812="","",CHOOSE(WEEKDAY(INDEX(상세표[시작],$Q2812)),"일","월","화","수","목","금","토"))</f>
        <v/>
      </c>
      <c r="I2812" s="20">
        <f>IF($Q2812="","",INDEX(상세표[연속 시간],$Q2812))</f>
        <v/>
      </c>
      <c r="J2812">
        <f>IF($Q2812="","",INDEX(상세표[기록 수],$Q2812))</f>
        <v/>
      </c>
      <c r="K2812" s="20">
        <f>IF($Q2812="","",INDEX(상세표[블록 06~07시],$Q2812))</f>
        <v/>
      </c>
      <c r="L2812" s="20">
        <f>IF($Q2812="","",INDEX(상세표[블록 07~18시],$Q2812))</f>
        <v/>
      </c>
      <c r="M2812" s="20">
        <f>IF($Q2812="","",INDEX(상세표[블록 18~22시],$Q2812))</f>
        <v/>
      </c>
      <c r="N2812" s="20">
        <f>IF($Q2812="","",INDEX(상세표[블록 22~06시],$Q2812))</f>
        <v/>
      </c>
      <c r="O2812">
        <f>IF($Q2812="","",INDEX(상세표[주말·휴일 포함],$Q2812)&amp;"")</f>
        <v/>
      </c>
      <c r="P2812">
        <f>IF($Q2812="","",INDEX(상세표[월 넘김 포함],$Q2812)&amp;"")</f>
        <v/>
      </c>
      <c r="Q2812" s="4">
        <f>IFERROR(MATCH(2807,상세표[연속순번],0),"")</f>
        <v/>
      </c>
    </row>
    <row r="2813">
      <c r="A2813">
        <f>IF($Q2813="","",INDEX(상세표[부서],$Q2813)&amp;"")</f>
        <v/>
      </c>
      <c r="B2813">
        <f>IF($Q2813="","",INDEX(상세표[사번],$Q2813)&amp;"")</f>
        <v/>
      </c>
      <c r="C2813">
        <f>IF($Q2813="","",INDEX(상세표[성명],$Q2813)&amp;"")</f>
        <v/>
      </c>
      <c r="D2813">
        <f>IF($Q2813="","",INDEX(상세표[직위],$Q2813)&amp;"")</f>
        <v/>
      </c>
      <c r="E2813">
        <f>IF($Q2813="","",IF(ISNUMBER(INDEX(상세표[근무일자],$Q2813)),TEXT(INDEX(상세표[근무일자],$Q2813),"yyyy-mm-dd"),INDEX(상세표[근무일자],$Q2813)&amp;""))</f>
        <v/>
      </c>
      <c r="F2813">
        <f>IF($Q2813="","",IF(ISNUMBER(INDEX(상세표[시작],$Q2813)),TEXT(INDEX(상세표[시작],$Q2813),"yyyy-mm-dd hh:mm"),INDEX(상세표[시작],$Q2813)&amp;""))</f>
        <v/>
      </c>
      <c r="G2813">
        <f>IF($Q2813="","",IF(ISNUMBER(INDEX(상세표[블록종료],$Q2813)),TEXT(INDEX(상세표[블록종료],$Q2813),"yyyy-mm-dd hh:mm"),INDEX(상세표[블록종료],$Q2813)&amp;""))</f>
        <v/>
      </c>
      <c r="H2813">
        <f>IF($Q2813="","",CHOOSE(WEEKDAY(INDEX(상세표[시작],$Q2813)),"일","월","화","수","목","금","토"))</f>
        <v/>
      </c>
      <c r="I2813" s="20">
        <f>IF($Q2813="","",INDEX(상세표[연속 시간],$Q2813))</f>
        <v/>
      </c>
      <c r="J2813">
        <f>IF($Q2813="","",INDEX(상세표[기록 수],$Q2813))</f>
        <v/>
      </c>
      <c r="K2813" s="20">
        <f>IF($Q2813="","",INDEX(상세표[블록 06~07시],$Q2813))</f>
        <v/>
      </c>
      <c r="L2813" s="20">
        <f>IF($Q2813="","",INDEX(상세표[블록 07~18시],$Q2813))</f>
        <v/>
      </c>
      <c r="M2813" s="20">
        <f>IF($Q2813="","",INDEX(상세표[블록 18~22시],$Q2813))</f>
        <v/>
      </c>
      <c r="N2813" s="20">
        <f>IF($Q2813="","",INDEX(상세표[블록 22~06시],$Q2813))</f>
        <v/>
      </c>
      <c r="O2813">
        <f>IF($Q2813="","",INDEX(상세표[주말·휴일 포함],$Q2813)&amp;"")</f>
        <v/>
      </c>
      <c r="P2813">
        <f>IF($Q2813="","",INDEX(상세표[월 넘김 포함],$Q2813)&amp;"")</f>
        <v/>
      </c>
      <c r="Q2813" s="4">
        <f>IFERROR(MATCH(2808,상세표[연속순번],0),"")</f>
        <v/>
      </c>
    </row>
    <row r="2814">
      <c r="A2814">
        <f>IF($Q2814="","",INDEX(상세표[부서],$Q2814)&amp;"")</f>
        <v/>
      </c>
      <c r="B2814">
        <f>IF($Q2814="","",INDEX(상세표[사번],$Q2814)&amp;"")</f>
        <v/>
      </c>
      <c r="C2814">
        <f>IF($Q2814="","",INDEX(상세표[성명],$Q2814)&amp;"")</f>
        <v/>
      </c>
      <c r="D2814">
        <f>IF($Q2814="","",INDEX(상세표[직위],$Q2814)&amp;"")</f>
        <v/>
      </c>
      <c r="E2814">
        <f>IF($Q2814="","",IF(ISNUMBER(INDEX(상세표[근무일자],$Q2814)),TEXT(INDEX(상세표[근무일자],$Q2814),"yyyy-mm-dd"),INDEX(상세표[근무일자],$Q2814)&amp;""))</f>
        <v/>
      </c>
      <c r="F2814">
        <f>IF($Q2814="","",IF(ISNUMBER(INDEX(상세표[시작],$Q2814)),TEXT(INDEX(상세표[시작],$Q2814),"yyyy-mm-dd hh:mm"),INDEX(상세표[시작],$Q2814)&amp;""))</f>
        <v/>
      </c>
      <c r="G2814">
        <f>IF($Q2814="","",IF(ISNUMBER(INDEX(상세표[블록종료],$Q2814)),TEXT(INDEX(상세표[블록종료],$Q2814),"yyyy-mm-dd hh:mm"),INDEX(상세표[블록종료],$Q2814)&amp;""))</f>
        <v/>
      </c>
      <c r="H2814">
        <f>IF($Q2814="","",CHOOSE(WEEKDAY(INDEX(상세표[시작],$Q2814)),"일","월","화","수","목","금","토"))</f>
        <v/>
      </c>
      <c r="I2814" s="20">
        <f>IF($Q2814="","",INDEX(상세표[연속 시간],$Q2814))</f>
        <v/>
      </c>
      <c r="J2814">
        <f>IF($Q2814="","",INDEX(상세표[기록 수],$Q2814))</f>
        <v/>
      </c>
      <c r="K2814" s="20">
        <f>IF($Q2814="","",INDEX(상세표[블록 06~07시],$Q2814))</f>
        <v/>
      </c>
      <c r="L2814" s="20">
        <f>IF($Q2814="","",INDEX(상세표[블록 07~18시],$Q2814))</f>
        <v/>
      </c>
      <c r="M2814" s="20">
        <f>IF($Q2814="","",INDEX(상세표[블록 18~22시],$Q2814))</f>
        <v/>
      </c>
      <c r="N2814" s="20">
        <f>IF($Q2814="","",INDEX(상세표[블록 22~06시],$Q2814))</f>
        <v/>
      </c>
      <c r="O2814">
        <f>IF($Q2814="","",INDEX(상세표[주말·휴일 포함],$Q2814)&amp;"")</f>
        <v/>
      </c>
      <c r="P2814">
        <f>IF($Q2814="","",INDEX(상세표[월 넘김 포함],$Q2814)&amp;"")</f>
        <v/>
      </c>
      <c r="Q2814" s="4">
        <f>IFERROR(MATCH(2809,상세표[연속순번],0),"")</f>
        <v/>
      </c>
    </row>
    <row r="2815">
      <c r="A2815">
        <f>IF($Q2815="","",INDEX(상세표[부서],$Q2815)&amp;"")</f>
        <v/>
      </c>
      <c r="B2815">
        <f>IF($Q2815="","",INDEX(상세표[사번],$Q2815)&amp;"")</f>
        <v/>
      </c>
      <c r="C2815">
        <f>IF($Q2815="","",INDEX(상세표[성명],$Q2815)&amp;"")</f>
        <v/>
      </c>
      <c r="D2815">
        <f>IF($Q2815="","",INDEX(상세표[직위],$Q2815)&amp;"")</f>
        <v/>
      </c>
      <c r="E2815">
        <f>IF($Q2815="","",IF(ISNUMBER(INDEX(상세표[근무일자],$Q2815)),TEXT(INDEX(상세표[근무일자],$Q2815),"yyyy-mm-dd"),INDEX(상세표[근무일자],$Q2815)&amp;""))</f>
        <v/>
      </c>
      <c r="F2815">
        <f>IF($Q2815="","",IF(ISNUMBER(INDEX(상세표[시작],$Q2815)),TEXT(INDEX(상세표[시작],$Q2815),"yyyy-mm-dd hh:mm"),INDEX(상세표[시작],$Q2815)&amp;""))</f>
        <v/>
      </c>
      <c r="G2815">
        <f>IF($Q2815="","",IF(ISNUMBER(INDEX(상세표[블록종료],$Q2815)),TEXT(INDEX(상세표[블록종료],$Q2815),"yyyy-mm-dd hh:mm"),INDEX(상세표[블록종료],$Q2815)&amp;""))</f>
        <v/>
      </c>
      <c r="H2815">
        <f>IF($Q2815="","",CHOOSE(WEEKDAY(INDEX(상세표[시작],$Q2815)),"일","월","화","수","목","금","토"))</f>
        <v/>
      </c>
      <c r="I2815" s="20">
        <f>IF($Q2815="","",INDEX(상세표[연속 시간],$Q2815))</f>
        <v/>
      </c>
      <c r="J2815">
        <f>IF($Q2815="","",INDEX(상세표[기록 수],$Q2815))</f>
        <v/>
      </c>
      <c r="K2815" s="20">
        <f>IF($Q2815="","",INDEX(상세표[블록 06~07시],$Q2815))</f>
        <v/>
      </c>
      <c r="L2815" s="20">
        <f>IF($Q2815="","",INDEX(상세표[블록 07~18시],$Q2815))</f>
        <v/>
      </c>
      <c r="M2815" s="20">
        <f>IF($Q2815="","",INDEX(상세표[블록 18~22시],$Q2815))</f>
        <v/>
      </c>
      <c r="N2815" s="20">
        <f>IF($Q2815="","",INDEX(상세표[블록 22~06시],$Q2815))</f>
        <v/>
      </c>
      <c r="O2815">
        <f>IF($Q2815="","",INDEX(상세표[주말·휴일 포함],$Q2815)&amp;"")</f>
        <v/>
      </c>
      <c r="P2815">
        <f>IF($Q2815="","",INDEX(상세표[월 넘김 포함],$Q2815)&amp;"")</f>
        <v/>
      </c>
      <c r="Q2815" s="4">
        <f>IFERROR(MATCH(2810,상세표[연속순번],0),"")</f>
        <v/>
      </c>
    </row>
    <row r="2816">
      <c r="A2816">
        <f>IF($Q2816="","",INDEX(상세표[부서],$Q2816)&amp;"")</f>
        <v/>
      </c>
      <c r="B2816">
        <f>IF($Q2816="","",INDEX(상세표[사번],$Q2816)&amp;"")</f>
        <v/>
      </c>
      <c r="C2816">
        <f>IF($Q2816="","",INDEX(상세표[성명],$Q2816)&amp;"")</f>
        <v/>
      </c>
      <c r="D2816">
        <f>IF($Q2816="","",INDEX(상세표[직위],$Q2816)&amp;"")</f>
        <v/>
      </c>
      <c r="E2816">
        <f>IF($Q2816="","",IF(ISNUMBER(INDEX(상세표[근무일자],$Q2816)),TEXT(INDEX(상세표[근무일자],$Q2816),"yyyy-mm-dd"),INDEX(상세표[근무일자],$Q2816)&amp;""))</f>
        <v/>
      </c>
      <c r="F2816">
        <f>IF($Q2816="","",IF(ISNUMBER(INDEX(상세표[시작],$Q2816)),TEXT(INDEX(상세표[시작],$Q2816),"yyyy-mm-dd hh:mm"),INDEX(상세표[시작],$Q2816)&amp;""))</f>
        <v/>
      </c>
      <c r="G2816">
        <f>IF($Q2816="","",IF(ISNUMBER(INDEX(상세표[블록종료],$Q2816)),TEXT(INDEX(상세표[블록종료],$Q2816),"yyyy-mm-dd hh:mm"),INDEX(상세표[블록종료],$Q2816)&amp;""))</f>
        <v/>
      </c>
      <c r="H2816">
        <f>IF($Q2816="","",CHOOSE(WEEKDAY(INDEX(상세표[시작],$Q2816)),"일","월","화","수","목","금","토"))</f>
        <v/>
      </c>
      <c r="I2816" s="20">
        <f>IF($Q2816="","",INDEX(상세표[연속 시간],$Q2816))</f>
        <v/>
      </c>
      <c r="J2816">
        <f>IF($Q2816="","",INDEX(상세표[기록 수],$Q2816))</f>
        <v/>
      </c>
      <c r="K2816" s="20">
        <f>IF($Q2816="","",INDEX(상세표[블록 06~07시],$Q2816))</f>
        <v/>
      </c>
      <c r="L2816" s="20">
        <f>IF($Q2816="","",INDEX(상세표[블록 07~18시],$Q2816))</f>
        <v/>
      </c>
      <c r="M2816" s="20">
        <f>IF($Q2816="","",INDEX(상세표[블록 18~22시],$Q2816))</f>
        <v/>
      </c>
      <c r="N2816" s="20">
        <f>IF($Q2816="","",INDEX(상세표[블록 22~06시],$Q2816))</f>
        <v/>
      </c>
      <c r="O2816">
        <f>IF($Q2816="","",INDEX(상세표[주말·휴일 포함],$Q2816)&amp;"")</f>
        <v/>
      </c>
      <c r="P2816">
        <f>IF($Q2816="","",INDEX(상세표[월 넘김 포함],$Q2816)&amp;"")</f>
        <v/>
      </c>
      <c r="Q2816" s="4">
        <f>IFERROR(MATCH(2811,상세표[연속순번],0),"")</f>
        <v/>
      </c>
    </row>
    <row r="2817">
      <c r="A2817">
        <f>IF($Q2817="","",INDEX(상세표[부서],$Q2817)&amp;"")</f>
        <v/>
      </c>
      <c r="B2817">
        <f>IF($Q2817="","",INDEX(상세표[사번],$Q2817)&amp;"")</f>
        <v/>
      </c>
      <c r="C2817">
        <f>IF($Q2817="","",INDEX(상세표[성명],$Q2817)&amp;"")</f>
        <v/>
      </c>
      <c r="D2817">
        <f>IF($Q2817="","",INDEX(상세표[직위],$Q2817)&amp;"")</f>
        <v/>
      </c>
      <c r="E2817">
        <f>IF($Q2817="","",IF(ISNUMBER(INDEX(상세표[근무일자],$Q2817)),TEXT(INDEX(상세표[근무일자],$Q2817),"yyyy-mm-dd"),INDEX(상세표[근무일자],$Q2817)&amp;""))</f>
        <v/>
      </c>
      <c r="F2817">
        <f>IF($Q2817="","",IF(ISNUMBER(INDEX(상세표[시작],$Q2817)),TEXT(INDEX(상세표[시작],$Q2817),"yyyy-mm-dd hh:mm"),INDEX(상세표[시작],$Q2817)&amp;""))</f>
        <v/>
      </c>
      <c r="G2817">
        <f>IF($Q2817="","",IF(ISNUMBER(INDEX(상세표[블록종료],$Q2817)),TEXT(INDEX(상세표[블록종료],$Q2817),"yyyy-mm-dd hh:mm"),INDEX(상세표[블록종료],$Q2817)&amp;""))</f>
        <v/>
      </c>
      <c r="H2817">
        <f>IF($Q2817="","",CHOOSE(WEEKDAY(INDEX(상세표[시작],$Q2817)),"일","월","화","수","목","금","토"))</f>
        <v/>
      </c>
      <c r="I2817" s="20">
        <f>IF($Q2817="","",INDEX(상세표[연속 시간],$Q2817))</f>
        <v/>
      </c>
      <c r="J2817">
        <f>IF($Q2817="","",INDEX(상세표[기록 수],$Q2817))</f>
        <v/>
      </c>
      <c r="K2817" s="20">
        <f>IF($Q2817="","",INDEX(상세표[블록 06~07시],$Q2817))</f>
        <v/>
      </c>
      <c r="L2817" s="20">
        <f>IF($Q2817="","",INDEX(상세표[블록 07~18시],$Q2817))</f>
        <v/>
      </c>
      <c r="M2817" s="20">
        <f>IF($Q2817="","",INDEX(상세표[블록 18~22시],$Q2817))</f>
        <v/>
      </c>
      <c r="N2817" s="20">
        <f>IF($Q2817="","",INDEX(상세표[블록 22~06시],$Q2817))</f>
        <v/>
      </c>
      <c r="O2817">
        <f>IF($Q2817="","",INDEX(상세표[주말·휴일 포함],$Q2817)&amp;"")</f>
        <v/>
      </c>
      <c r="P2817">
        <f>IF($Q2817="","",INDEX(상세표[월 넘김 포함],$Q2817)&amp;"")</f>
        <v/>
      </c>
      <c r="Q2817" s="4">
        <f>IFERROR(MATCH(2812,상세표[연속순번],0),"")</f>
        <v/>
      </c>
    </row>
    <row r="2818">
      <c r="A2818">
        <f>IF($Q2818="","",INDEX(상세표[부서],$Q2818)&amp;"")</f>
        <v/>
      </c>
      <c r="B2818">
        <f>IF($Q2818="","",INDEX(상세표[사번],$Q2818)&amp;"")</f>
        <v/>
      </c>
      <c r="C2818">
        <f>IF($Q2818="","",INDEX(상세표[성명],$Q2818)&amp;"")</f>
        <v/>
      </c>
      <c r="D2818">
        <f>IF($Q2818="","",INDEX(상세표[직위],$Q2818)&amp;"")</f>
        <v/>
      </c>
      <c r="E2818">
        <f>IF($Q2818="","",IF(ISNUMBER(INDEX(상세표[근무일자],$Q2818)),TEXT(INDEX(상세표[근무일자],$Q2818),"yyyy-mm-dd"),INDEX(상세표[근무일자],$Q2818)&amp;""))</f>
        <v/>
      </c>
      <c r="F2818">
        <f>IF($Q2818="","",IF(ISNUMBER(INDEX(상세표[시작],$Q2818)),TEXT(INDEX(상세표[시작],$Q2818),"yyyy-mm-dd hh:mm"),INDEX(상세표[시작],$Q2818)&amp;""))</f>
        <v/>
      </c>
      <c r="G2818">
        <f>IF($Q2818="","",IF(ISNUMBER(INDEX(상세표[블록종료],$Q2818)),TEXT(INDEX(상세표[블록종료],$Q2818),"yyyy-mm-dd hh:mm"),INDEX(상세표[블록종료],$Q2818)&amp;""))</f>
        <v/>
      </c>
      <c r="H2818">
        <f>IF($Q2818="","",CHOOSE(WEEKDAY(INDEX(상세표[시작],$Q2818)),"일","월","화","수","목","금","토"))</f>
        <v/>
      </c>
      <c r="I2818" s="20">
        <f>IF($Q2818="","",INDEX(상세표[연속 시간],$Q2818))</f>
        <v/>
      </c>
      <c r="J2818">
        <f>IF($Q2818="","",INDEX(상세표[기록 수],$Q2818))</f>
        <v/>
      </c>
      <c r="K2818" s="20">
        <f>IF($Q2818="","",INDEX(상세표[블록 06~07시],$Q2818))</f>
        <v/>
      </c>
      <c r="L2818" s="20">
        <f>IF($Q2818="","",INDEX(상세표[블록 07~18시],$Q2818))</f>
        <v/>
      </c>
      <c r="M2818" s="20">
        <f>IF($Q2818="","",INDEX(상세표[블록 18~22시],$Q2818))</f>
        <v/>
      </c>
      <c r="N2818" s="20">
        <f>IF($Q2818="","",INDEX(상세표[블록 22~06시],$Q2818))</f>
        <v/>
      </c>
      <c r="O2818">
        <f>IF($Q2818="","",INDEX(상세표[주말·휴일 포함],$Q2818)&amp;"")</f>
        <v/>
      </c>
      <c r="P2818">
        <f>IF($Q2818="","",INDEX(상세표[월 넘김 포함],$Q2818)&amp;"")</f>
        <v/>
      </c>
      <c r="Q2818" s="4">
        <f>IFERROR(MATCH(2813,상세표[연속순번],0),"")</f>
        <v/>
      </c>
    </row>
    <row r="2819">
      <c r="A2819">
        <f>IF($Q2819="","",INDEX(상세표[부서],$Q2819)&amp;"")</f>
        <v/>
      </c>
      <c r="B2819">
        <f>IF($Q2819="","",INDEX(상세표[사번],$Q2819)&amp;"")</f>
        <v/>
      </c>
      <c r="C2819">
        <f>IF($Q2819="","",INDEX(상세표[성명],$Q2819)&amp;"")</f>
        <v/>
      </c>
      <c r="D2819">
        <f>IF($Q2819="","",INDEX(상세표[직위],$Q2819)&amp;"")</f>
        <v/>
      </c>
      <c r="E2819">
        <f>IF($Q2819="","",IF(ISNUMBER(INDEX(상세표[근무일자],$Q2819)),TEXT(INDEX(상세표[근무일자],$Q2819),"yyyy-mm-dd"),INDEX(상세표[근무일자],$Q2819)&amp;""))</f>
        <v/>
      </c>
      <c r="F2819">
        <f>IF($Q2819="","",IF(ISNUMBER(INDEX(상세표[시작],$Q2819)),TEXT(INDEX(상세표[시작],$Q2819),"yyyy-mm-dd hh:mm"),INDEX(상세표[시작],$Q2819)&amp;""))</f>
        <v/>
      </c>
      <c r="G2819">
        <f>IF($Q2819="","",IF(ISNUMBER(INDEX(상세표[블록종료],$Q2819)),TEXT(INDEX(상세표[블록종료],$Q2819),"yyyy-mm-dd hh:mm"),INDEX(상세표[블록종료],$Q2819)&amp;""))</f>
        <v/>
      </c>
      <c r="H2819">
        <f>IF($Q2819="","",CHOOSE(WEEKDAY(INDEX(상세표[시작],$Q2819)),"일","월","화","수","목","금","토"))</f>
        <v/>
      </c>
      <c r="I2819" s="20">
        <f>IF($Q2819="","",INDEX(상세표[연속 시간],$Q2819))</f>
        <v/>
      </c>
      <c r="J2819">
        <f>IF($Q2819="","",INDEX(상세표[기록 수],$Q2819))</f>
        <v/>
      </c>
      <c r="K2819" s="20">
        <f>IF($Q2819="","",INDEX(상세표[블록 06~07시],$Q2819))</f>
        <v/>
      </c>
      <c r="L2819" s="20">
        <f>IF($Q2819="","",INDEX(상세표[블록 07~18시],$Q2819))</f>
        <v/>
      </c>
      <c r="M2819" s="20">
        <f>IF($Q2819="","",INDEX(상세표[블록 18~22시],$Q2819))</f>
        <v/>
      </c>
      <c r="N2819" s="20">
        <f>IF($Q2819="","",INDEX(상세표[블록 22~06시],$Q2819))</f>
        <v/>
      </c>
      <c r="O2819">
        <f>IF($Q2819="","",INDEX(상세표[주말·휴일 포함],$Q2819)&amp;"")</f>
        <v/>
      </c>
      <c r="P2819">
        <f>IF($Q2819="","",INDEX(상세표[월 넘김 포함],$Q2819)&amp;"")</f>
        <v/>
      </c>
      <c r="Q2819" s="4">
        <f>IFERROR(MATCH(2814,상세표[연속순번],0),"")</f>
        <v/>
      </c>
    </row>
    <row r="2820">
      <c r="A2820">
        <f>IF($Q2820="","",INDEX(상세표[부서],$Q2820)&amp;"")</f>
        <v/>
      </c>
      <c r="B2820">
        <f>IF($Q2820="","",INDEX(상세표[사번],$Q2820)&amp;"")</f>
        <v/>
      </c>
      <c r="C2820">
        <f>IF($Q2820="","",INDEX(상세표[성명],$Q2820)&amp;"")</f>
        <v/>
      </c>
      <c r="D2820">
        <f>IF($Q2820="","",INDEX(상세표[직위],$Q2820)&amp;"")</f>
        <v/>
      </c>
      <c r="E2820">
        <f>IF($Q2820="","",IF(ISNUMBER(INDEX(상세표[근무일자],$Q2820)),TEXT(INDEX(상세표[근무일자],$Q2820),"yyyy-mm-dd"),INDEX(상세표[근무일자],$Q2820)&amp;""))</f>
        <v/>
      </c>
      <c r="F2820">
        <f>IF($Q2820="","",IF(ISNUMBER(INDEX(상세표[시작],$Q2820)),TEXT(INDEX(상세표[시작],$Q2820),"yyyy-mm-dd hh:mm"),INDEX(상세표[시작],$Q2820)&amp;""))</f>
        <v/>
      </c>
      <c r="G2820">
        <f>IF($Q2820="","",IF(ISNUMBER(INDEX(상세표[블록종료],$Q2820)),TEXT(INDEX(상세표[블록종료],$Q2820),"yyyy-mm-dd hh:mm"),INDEX(상세표[블록종료],$Q2820)&amp;""))</f>
        <v/>
      </c>
      <c r="H2820">
        <f>IF($Q2820="","",CHOOSE(WEEKDAY(INDEX(상세표[시작],$Q2820)),"일","월","화","수","목","금","토"))</f>
        <v/>
      </c>
      <c r="I2820" s="20">
        <f>IF($Q2820="","",INDEX(상세표[연속 시간],$Q2820))</f>
        <v/>
      </c>
      <c r="J2820">
        <f>IF($Q2820="","",INDEX(상세표[기록 수],$Q2820))</f>
        <v/>
      </c>
      <c r="K2820" s="20">
        <f>IF($Q2820="","",INDEX(상세표[블록 06~07시],$Q2820))</f>
        <v/>
      </c>
      <c r="L2820" s="20">
        <f>IF($Q2820="","",INDEX(상세표[블록 07~18시],$Q2820))</f>
        <v/>
      </c>
      <c r="M2820" s="20">
        <f>IF($Q2820="","",INDEX(상세표[블록 18~22시],$Q2820))</f>
        <v/>
      </c>
      <c r="N2820" s="20">
        <f>IF($Q2820="","",INDEX(상세표[블록 22~06시],$Q2820))</f>
        <v/>
      </c>
      <c r="O2820">
        <f>IF($Q2820="","",INDEX(상세표[주말·휴일 포함],$Q2820)&amp;"")</f>
        <v/>
      </c>
      <c r="P2820">
        <f>IF($Q2820="","",INDEX(상세표[월 넘김 포함],$Q2820)&amp;"")</f>
        <v/>
      </c>
      <c r="Q2820" s="4">
        <f>IFERROR(MATCH(2815,상세표[연속순번],0),"")</f>
        <v/>
      </c>
    </row>
    <row r="2821">
      <c r="A2821">
        <f>IF($Q2821="","",INDEX(상세표[부서],$Q2821)&amp;"")</f>
        <v/>
      </c>
      <c r="B2821">
        <f>IF($Q2821="","",INDEX(상세표[사번],$Q2821)&amp;"")</f>
        <v/>
      </c>
      <c r="C2821">
        <f>IF($Q2821="","",INDEX(상세표[성명],$Q2821)&amp;"")</f>
        <v/>
      </c>
      <c r="D2821">
        <f>IF($Q2821="","",INDEX(상세표[직위],$Q2821)&amp;"")</f>
        <v/>
      </c>
      <c r="E2821">
        <f>IF($Q2821="","",IF(ISNUMBER(INDEX(상세표[근무일자],$Q2821)),TEXT(INDEX(상세표[근무일자],$Q2821),"yyyy-mm-dd"),INDEX(상세표[근무일자],$Q2821)&amp;""))</f>
        <v/>
      </c>
      <c r="F2821">
        <f>IF($Q2821="","",IF(ISNUMBER(INDEX(상세표[시작],$Q2821)),TEXT(INDEX(상세표[시작],$Q2821),"yyyy-mm-dd hh:mm"),INDEX(상세표[시작],$Q2821)&amp;""))</f>
        <v/>
      </c>
      <c r="G2821">
        <f>IF($Q2821="","",IF(ISNUMBER(INDEX(상세표[블록종료],$Q2821)),TEXT(INDEX(상세표[블록종료],$Q2821),"yyyy-mm-dd hh:mm"),INDEX(상세표[블록종료],$Q2821)&amp;""))</f>
        <v/>
      </c>
      <c r="H2821">
        <f>IF($Q2821="","",CHOOSE(WEEKDAY(INDEX(상세표[시작],$Q2821)),"일","월","화","수","목","금","토"))</f>
        <v/>
      </c>
      <c r="I2821" s="20">
        <f>IF($Q2821="","",INDEX(상세표[연속 시간],$Q2821))</f>
        <v/>
      </c>
      <c r="J2821">
        <f>IF($Q2821="","",INDEX(상세표[기록 수],$Q2821))</f>
        <v/>
      </c>
      <c r="K2821" s="20">
        <f>IF($Q2821="","",INDEX(상세표[블록 06~07시],$Q2821))</f>
        <v/>
      </c>
      <c r="L2821" s="20">
        <f>IF($Q2821="","",INDEX(상세표[블록 07~18시],$Q2821))</f>
        <v/>
      </c>
      <c r="M2821" s="20">
        <f>IF($Q2821="","",INDEX(상세표[블록 18~22시],$Q2821))</f>
        <v/>
      </c>
      <c r="N2821" s="20">
        <f>IF($Q2821="","",INDEX(상세표[블록 22~06시],$Q2821))</f>
        <v/>
      </c>
      <c r="O2821">
        <f>IF($Q2821="","",INDEX(상세표[주말·휴일 포함],$Q2821)&amp;"")</f>
        <v/>
      </c>
      <c r="P2821">
        <f>IF($Q2821="","",INDEX(상세표[월 넘김 포함],$Q2821)&amp;"")</f>
        <v/>
      </c>
      <c r="Q2821" s="4">
        <f>IFERROR(MATCH(2816,상세표[연속순번],0),"")</f>
        <v/>
      </c>
    </row>
    <row r="2822">
      <c r="A2822">
        <f>IF($Q2822="","",INDEX(상세표[부서],$Q2822)&amp;"")</f>
        <v/>
      </c>
      <c r="B2822">
        <f>IF($Q2822="","",INDEX(상세표[사번],$Q2822)&amp;"")</f>
        <v/>
      </c>
      <c r="C2822">
        <f>IF($Q2822="","",INDEX(상세표[성명],$Q2822)&amp;"")</f>
        <v/>
      </c>
      <c r="D2822">
        <f>IF($Q2822="","",INDEX(상세표[직위],$Q2822)&amp;"")</f>
        <v/>
      </c>
      <c r="E2822">
        <f>IF($Q2822="","",IF(ISNUMBER(INDEX(상세표[근무일자],$Q2822)),TEXT(INDEX(상세표[근무일자],$Q2822),"yyyy-mm-dd"),INDEX(상세표[근무일자],$Q2822)&amp;""))</f>
        <v/>
      </c>
      <c r="F2822">
        <f>IF($Q2822="","",IF(ISNUMBER(INDEX(상세표[시작],$Q2822)),TEXT(INDEX(상세표[시작],$Q2822),"yyyy-mm-dd hh:mm"),INDEX(상세표[시작],$Q2822)&amp;""))</f>
        <v/>
      </c>
      <c r="G2822">
        <f>IF($Q2822="","",IF(ISNUMBER(INDEX(상세표[블록종료],$Q2822)),TEXT(INDEX(상세표[블록종료],$Q2822),"yyyy-mm-dd hh:mm"),INDEX(상세표[블록종료],$Q2822)&amp;""))</f>
        <v/>
      </c>
      <c r="H2822">
        <f>IF($Q2822="","",CHOOSE(WEEKDAY(INDEX(상세표[시작],$Q2822)),"일","월","화","수","목","금","토"))</f>
        <v/>
      </c>
      <c r="I2822" s="20">
        <f>IF($Q2822="","",INDEX(상세표[연속 시간],$Q2822))</f>
        <v/>
      </c>
      <c r="J2822">
        <f>IF($Q2822="","",INDEX(상세표[기록 수],$Q2822))</f>
        <v/>
      </c>
      <c r="K2822" s="20">
        <f>IF($Q2822="","",INDEX(상세표[블록 06~07시],$Q2822))</f>
        <v/>
      </c>
      <c r="L2822" s="20">
        <f>IF($Q2822="","",INDEX(상세표[블록 07~18시],$Q2822))</f>
        <v/>
      </c>
      <c r="M2822" s="20">
        <f>IF($Q2822="","",INDEX(상세표[블록 18~22시],$Q2822))</f>
        <v/>
      </c>
      <c r="N2822" s="20">
        <f>IF($Q2822="","",INDEX(상세표[블록 22~06시],$Q2822))</f>
        <v/>
      </c>
      <c r="O2822">
        <f>IF($Q2822="","",INDEX(상세표[주말·휴일 포함],$Q2822)&amp;"")</f>
        <v/>
      </c>
      <c r="P2822">
        <f>IF($Q2822="","",INDEX(상세표[월 넘김 포함],$Q2822)&amp;"")</f>
        <v/>
      </c>
      <c r="Q2822" s="4">
        <f>IFERROR(MATCH(2817,상세표[연속순번],0),"")</f>
        <v/>
      </c>
    </row>
    <row r="2823">
      <c r="A2823">
        <f>IF($Q2823="","",INDEX(상세표[부서],$Q2823)&amp;"")</f>
        <v/>
      </c>
      <c r="B2823">
        <f>IF($Q2823="","",INDEX(상세표[사번],$Q2823)&amp;"")</f>
        <v/>
      </c>
      <c r="C2823">
        <f>IF($Q2823="","",INDEX(상세표[성명],$Q2823)&amp;"")</f>
        <v/>
      </c>
      <c r="D2823">
        <f>IF($Q2823="","",INDEX(상세표[직위],$Q2823)&amp;"")</f>
        <v/>
      </c>
      <c r="E2823">
        <f>IF($Q2823="","",IF(ISNUMBER(INDEX(상세표[근무일자],$Q2823)),TEXT(INDEX(상세표[근무일자],$Q2823),"yyyy-mm-dd"),INDEX(상세표[근무일자],$Q2823)&amp;""))</f>
        <v/>
      </c>
      <c r="F2823">
        <f>IF($Q2823="","",IF(ISNUMBER(INDEX(상세표[시작],$Q2823)),TEXT(INDEX(상세표[시작],$Q2823),"yyyy-mm-dd hh:mm"),INDEX(상세표[시작],$Q2823)&amp;""))</f>
        <v/>
      </c>
      <c r="G2823">
        <f>IF($Q2823="","",IF(ISNUMBER(INDEX(상세표[블록종료],$Q2823)),TEXT(INDEX(상세표[블록종료],$Q2823),"yyyy-mm-dd hh:mm"),INDEX(상세표[블록종료],$Q2823)&amp;""))</f>
        <v/>
      </c>
      <c r="H2823">
        <f>IF($Q2823="","",CHOOSE(WEEKDAY(INDEX(상세표[시작],$Q2823)),"일","월","화","수","목","금","토"))</f>
        <v/>
      </c>
      <c r="I2823" s="20">
        <f>IF($Q2823="","",INDEX(상세표[연속 시간],$Q2823))</f>
        <v/>
      </c>
      <c r="J2823">
        <f>IF($Q2823="","",INDEX(상세표[기록 수],$Q2823))</f>
        <v/>
      </c>
      <c r="K2823" s="20">
        <f>IF($Q2823="","",INDEX(상세표[블록 06~07시],$Q2823))</f>
        <v/>
      </c>
      <c r="L2823" s="20">
        <f>IF($Q2823="","",INDEX(상세표[블록 07~18시],$Q2823))</f>
        <v/>
      </c>
      <c r="M2823" s="20">
        <f>IF($Q2823="","",INDEX(상세표[블록 18~22시],$Q2823))</f>
        <v/>
      </c>
      <c r="N2823" s="20">
        <f>IF($Q2823="","",INDEX(상세표[블록 22~06시],$Q2823))</f>
        <v/>
      </c>
      <c r="O2823">
        <f>IF($Q2823="","",INDEX(상세표[주말·휴일 포함],$Q2823)&amp;"")</f>
        <v/>
      </c>
      <c r="P2823">
        <f>IF($Q2823="","",INDEX(상세표[월 넘김 포함],$Q2823)&amp;"")</f>
        <v/>
      </c>
      <c r="Q2823" s="4">
        <f>IFERROR(MATCH(2818,상세표[연속순번],0),"")</f>
        <v/>
      </c>
    </row>
    <row r="2824">
      <c r="A2824">
        <f>IF($Q2824="","",INDEX(상세표[부서],$Q2824)&amp;"")</f>
        <v/>
      </c>
      <c r="B2824">
        <f>IF($Q2824="","",INDEX(상세표[사번],$Q2824)&amp;"")</f>
        <v/>
      </c>
      <c r="C2824">
        <f>IF($Q2824="","",INDEX(상세표[성명],$Q2824)&amp;"")</f>
        <v/>
      </c>
      <c r="D2824">
        <f>IF($Q2824="","",INDEX(상세표[직위],$Q2824)&amp;"")</f>
        <v/>
      </c>
      <c r="E2824">
        <f>IF($Q2824="","",IF(ISNUMBER(INDEX(상세표[근무일자],$Q2824)),TEXT(INDEX(상세표[근무일자],$Q2824),"yyyy-mm-dd"),INDEX(상세표[근무일자],$Q2824)&amp;""))</f>
        <v/>
      </c>
      <c r="F2824">
        <f>IF($Q2824="","",IF(ISNUMBER(INDEX(상세표[시작],$Q2824)),TEXT(INDEX(상세표[시작],$Q2824),"yyyy-mm-dd hh:mm"),INDEX(상세표[시작],$Q2824)&amp;""))</f>
        <v/>
      </c>
      <c r="G2824">
        <f>IF($Q2824="","",IF(ISNUMBER(INDEX(상세표[블록종료],$Q2824)),TEXT(INDEX(상세표[블록종료],$Q2824),"yyyy-mm-dd hh:mm"),INDEX(상세표[블록종료],$Q2824)&amp;""))</f>
        <v/>
      </c>
      <c r="H2824">
        <f>IF($Q2824="","",CHOOSE(WEEKDAY(INDEX(상세표[시작],$Q2824)),"일","월","화","수","목","금","토"))</f>
        <v/>
      </c>
      <c r="I2824" s="20">
        <f>IF($Q2824="","",INDEX(상세표[연속 시간],$Q2824))</f>
        <v/>
      </c>
      <c r="J2824">
        <f>IF($Q2824="","",INDEX(상세표[기록 수],$Q2824))</f>
        <v/>
      </c>
      <c r="K2824" s="20">
        <f>IF($Q2824="","",INDEX(상세표[블록 06~07시],$Q2824))</f>
        <v/>
      </c>
      <c r="L2824" s="20">
        <f>IF($Q2824="","",INDEX(상세표[블록 07~18시],$Q2824))</f>
        <v/>
      </c>
      <c r="M2824" s="20">
        <f>IF($Q2824="","",INDEX(상세표[블록 18~22시],$Q2824))</f>
        <v/>
      </c>
      <c r="N2824" s="20">
        <f>IF($Q2824="","",INDEX(상세표[블록 22~06시],$Q2824))</f>
        <v/>
      </c>
      <c r="O2824">
        <f>IF($Q2824="","",INDEX(상세표[주말·휴일 포함],$Q2824)&amp;"")</f>
        <v/>
      </c>
      <c r="P2824">
        <f>IF($Q2824="","",INDEX(상세표[월 넘김 포함],$Q2824)&amp;"")</f>
        <v/>
      </c>
      <c r="Q2824" s="4">
        <f>IFERROR(MATCH(2819,상세표[연속순번],0),"")</f>
        <v/>
      </c>
    </row>
    <row r="2825">
      <c r="A2825">
        <f>IF($Q2825="","",INDEX(상세표[부서],$Q2825)&amp;"")</f>
        <v/>
      </c>
      <c r="B2825">
        <f>IF($Q2825="","",INDEX(상세표[사번],$Q2825)&amp;"")</f>
        <v/>
      </c>
      <c r="C2825">
        <f>IF($Q2825="","",INDEX(상세표[성명],$Q2825)&amp;"")</f>
        <v/>
      </c>
      <c r="D2825">
        <f>IF($Q2825="","",INDEX(상세표[직위],$Q2825)&amp;"")</f>
        <v/>
      </c>
      <c r="E2825">
        <f>IF($Q2825="","",IF(ISNUMBER(INDEX(상세표[근무일자],$Q2825)),TEXT(INDEX(상세표[근무일자],$Q2825),"yyyy-mm-dd"),INDEX(상세표[근무일자],$Q2825)&amp;""))</f>
        <v/>
      </c>
      <c r="F2825">
        <f>IF($Q2825="","",IF(ISNUMBER(INDEX(상세표[시작],$Q2825)),TEXT(INDEX(상세표[시작],$Q2825),"yyyy-mm-dd hh:mm"),INDEX(상세표[시작],$Q2825)&amp;""))</f>
        <v/>
      </c>
      <c r="G2825">
        <f>IF($Q2825="","",IF(ISNUMBER(INDEX(상세표[블록종료],$Q2825)),TEXT(INDEX(상세표[블록종료],$Q2825),"yyyy-mm-dd hh:mm"),INDEX(상세표[블록종료],$Q2825)&amp;""))</f>
        <v/>
      </c>
      <c r="H2825">
        <f>IF($Q2825="","",CHOOSE(WEEKDAY(INDEX(상세표[시작],$Q2825)),"일","월","화","수","목","금","토"))</f>
        <v/>
      </c>
      <c r="I2825" s="20">
        <f>IF($Q2825="","",INDEX(상세표[연속 시간],$Q2825))</f>
        <v/>
      </c>
      <c r="J2825">
        <f>IF($Q2825="","",INDEX(상세표[기록 수],$Q2825))</f>
        <v/>
      </c>
      <c r="K2825" s="20">
        <f>IF($Q2825="","",INDEX(상세표[블록 06~07시],$Q2825))</f>
        <v/>
      </c>
      <c r="L2825" s="20">
        <f>IF($Q2825="","",INDEX(상세표[블록 07~18시],$Q2825))</f>
        <v/>
      </c>
      <c r="M2825" s="20">
        <f>IF($Q2825="","",INDEX(상세표[블록 18~22시],$Q2825))</f>
        <v/>
      </c>
      <c r="N2825" s="20">
        <f>IF($Q2825="","",INDEX(상세표[블록 22~06시],$Q2825))</f>
        <v/>
      </c>
      <c r="O2825">
        <f>IF($Q2825="","",INDEX(상세표[주말·휴일 포함],$Q2825)&amp;"")</f>
        <v/>
      </c>
      <c r="P2825">
        <f>IF($Q2825="","",INDEX(상세표[월 넘김 포함],$Q2825)&amp;"")</f>
        <v/>
      </c>
      <c r="Q2825" s="4">
        <f>IFERROR(MATCH(2820,상세표[연속순번],0),"")</f>
        <v/>
      </c>
    </row>
    <row r="2826">
      <c r="A2826">
        <f>IF($Q2826="","",INDEX(상세표[부서],$Q2826)&amp;"")</f>
        <v/>
      </c>
      <c r="B2826">
        <f>IF($Q2826="","",INDEX(상세표[사번],$Q2826)&amp;"")</f>
        <v/>
      </c>
      <c r="C2826">
        <f>IF($Q2826="","",INDEX(상세표[성명],$Q2826)&amp;"")</f>
        <v/>
      </c>
      <c r="D2826">
        <f>IF($Q2826="","",INDEX(상세표[직위],$Q2826)&amp;"")</f>
        <v/>
      </c>
      <c r="E2826">
        <f>IF($Q2826="","",IF(ISNUMBER(INDEX(상세표[근무일자],$Q2826)),TEXT(INDEX(상세표[근무일자],$Q2826),"yyyy-mm-dd"),INDEX(상세표[근무일자],$Q2826)&amp;""))</f>
        <v/>
      </c>
      <c r="F2826">
        <f>IF($Q2826="","",IF(ISNUMBER(INDEX(상세표[시작],$Q2826)),TEXT(INDEX(상세표[시작],$Q2826),"yyyy-mm-dd hh:mm"),INDEX(상세표[시작],$Q2826)&amp;""))</f>
        <v/>
      </c>
      <c r="G2826">
        <f>IF($Q2826="","",IF(ISNUMBER(INDEX(상세표[블록종료],$Q2826)),TEXT(INDEX(상세표[블록종료],$Q2826),"yyyy-mm-dd hh:mm"),INDEX(상세표[블록종료],$Q2826)&amp;""))</f>
        <v/>
      </c>
      <c r="H2826">
        <f>IF($Q2826="","",CHOOSE(WEEKDAY(INDEX(상세표[시작],$Q2826)),"일","월","화","수","목","금","토"))</f>
        <v/>
      </c>
      <c r="I2826" s="20">
        <f>IF($Q2826="","",INDEX(상세표[연속 시간],$Q2826))</f>
        <v/>
      </c>
      <c r="J2826">
        <f>IF($Q2826="","",INDEX(상세표[기록 수],$Q2826))</f>
        <v/>
      </c>
      <c r="K2826" s="20">
        <f>IF($Q2826="","",INDEX(상세표[블록 06~07시],$Q2826))</f>
        <v/>
      </c>
      <c r="L2826" s="20">
        <f>IF($Q2826="","",INDEX(상세표[블록 07~18시],$Q2826))</f>
        <v/>
      </c>
      <c r="M2826" s="20">
        <f>IF($Q2826="","",INDEX(상세표[블록 18~22시],$Q2826))</f>
        <v/>
      </c>
      <c r="N2826" s="20">
        <f>IF($Q2826="","",INDEX(상세표[블록 22~06시],$Q2826))</f>
        <v/>
      </c>
      <c r="O2826">
        <f>IF($Q2826="","",INDEX(상세표[주말·휴일 포함],$Q2826)&amp;"")</f>
        <v/>
      </c>
      <c r="P2826">
        <f>IF($Q2826="","",INDEX(상세표[월 넘김 포함],$Q2826)&amp;"")</f>
        <v/>
      </c>
      <c r="Q2826" s="4">
        <f>IFERROR(MATCH(2821,상세표[연속순번],0),"")</f>
        <v/>
      </c>
    </row>
    <row r="2827">
      <c r="A2827">
        <f>IF($Q2827="","",INDEX(상세표[부서],$Q2827)&amp;"")</f>
        <v/>
      </c>
      <c r="B2827">
        <f>IF($Q2827="","",INDEX(상세표[사번],$Q2827)&amp;"")</f>
        <v/>
      </c>
      <c r="C2827">
        <f>IF($Q2827="","",INDEX(상세표[성명],$Q2827)&amp;"")</f>
        <v/>
      </c>
      <c r="D2827">
        <f>IF($Q2827="","",INDEX(상세표[직위],$Q2827)&amp;"")</f>
        <v/>
      </c>
      <c r="E2827">
        <f>IF($Q2827="","",IF(ISNUMBER(INDEX(상세표[근무일자],$Q2827)),TEXT(INDEX(상세표[근무일자],$Q2827),"yyyy-mm-dd"),INDEX(상세표[근무일자],$Q2827)&amp;""))</f>
        <v/>
      </c>
      <c r="F2827">
        <f>IF($Q2827="","",IF(ISNUMBER(INDEX(상세표[시작],$Q2827)),TEXT(INDEX(상세표[시작],$Q2827),"yyyy-mm-dd hh:mm"),INDEX(상세표[시작],$Q2827)&amp;""))</f>
        <v/>
      </c>
      <c r="G2827">
        <f>IF($Q2827="","",IF(ISNUMBER(INDEX(상세표[블록종료],$Q2827)),TEXT(INDEX(상세표[블록종료],$Q2827),"yyyy-mm-dd hh:mm"),INDEX(상세표[블록종료],$Q2827)&amp;""))</f>
        <v/>
      </c>
      <c r="H2827">
        <f>IF($Q2827="","",CHOOSE(WEEKDAY(INDEX(상세표[시작],$Q2827)),"일","월","화","수","목","금","토"))</f>
        <v/>
      </c>
      <c r="I2827" s="20">
        <f>IF($Q2827="","",INDEX(상세표[연속 시간],$Q2827))</f>
        <v/>
      </c>
      <c r="J2827">
        <f>IF($Q2827="","",INDEX(상세표[기록 수],$Q2827))</f>
        <v/>
      </c>
      <c r="K2827" s="20">
        <f>IF($Q2827="","",INDEX(상세표[블록 06~07시],$Q2827))</f>
        <v/>
      </c>
      <c r="L2827" s="20">
        <f>IF($Q2827="","",INDEX(상세표[블록 07~18시],$Q2827))</f>
        <v/>
      </c>
      <c r="M2827" s="20">
        <f>IF($Q2827="","",INDEX(상세표[블록 18~22시],$Q2827))</f>
        <v/>
      </c>
      <c r="N2827" s="20">
        <f>IF($Q2827="","",INDEX(상세표[블록 22~06시],$Q2827))</f>
        <v/>
      </c>
      <c r="O2827">
        <f>IF($Q2827="","",INDEX(상세표[주말·휴일 포함],$Q2827)&amp;"")</f>
        <v/>
      </c>
      <c r="P2827">
        <f>IF($Q2827="","",INDEX(상세표[월 넘김 포함],$Q2827)&amp;"")</f>
        <v/>
      </c>
      <c r="Q2827" s="4">
        <f>IFERROR(MATCH(2822,상세표[연속순번],0),"")</f>
        <v/>
      </c>
    </row>
    <row r="2828">
      <c r="A2828">
        <f>IF($Q2828="","",INDEX(상세표[부서],$Q2828)&amp;"")</f>
        <v/>
      </c>
      <c r="B2828">
        <f>IF($Q2828="","",INDEX(상세표[사번],$Q2828)&amp;"")</f>
        <v/>
      </c>
      <c r="C2828">
        <f>IF($Q2828="","",INDEX(상세표[성명],$Q2828)&amp;"")</f>
        <v/>
      </c>
      <c r="D2828">
        <f>IF($Q2828="","",INDEX(상세표[직위],$Q2828)&amp;"")</f>
        <v/>
      </c>
      <c r="E2828">
        <f>IF($Q2828="","",IF(ISNUMBER(INDEX(상세표[근무일자],$Q2828)),TEXT(INDEX(상세표[근무일자],$Q2828),"yyyy-mm-dd"),INDEX(상세표[근무일자],$Q2828)&amp;""))</f>
        <v/>
      </c>
      <c r="F2828">
        <f>IF($Q2828="","",IF(ISNUMBER(INDEX(상세표[시작],$Q2828)),TEXT(INDEX(상세표[시작],$Q2828),"yyyy-mm-dd hh:mm"),INDEX(상세표[시작],$Q2828)&amp;""))</f>
        <v/>
      </c>
      <c r="G2828">
        <f>IF($Q2828="","",IF(ISNUMBER(INDEX(상세표[블록종료],$Q2828)),TEXT(INDEX(상세표[블록종료],$Q2828),"yyyy-mm-dd hh:mm"),INDEX(상세표[블록종료],$Q2828)&amp;""))</f>
        <v/>
      </c>
      <c r="H2828">
        <f>IF($Q2828="","",CHOOSE(WEEKDAY(INDEX(상세표[시작],$Q2828)),"일","월","화","수","목","금","토"))</f>
        <v/>
      </c>
      <c r="I2828" s="20">
        <f>IF($Q2828="","",INDEX(상세표[연속 시간],$Q2828))</f>
        <v/>
      </c>
      <c r="J2828">
        <f>IF($Q2828="","",INDEX(상세표[기록 수],$Q2828))</f>
        <v/>
      </c>
      <c r="K2828" s="20">
        <f>IF($Q2828="","",INDEX(상세표[블록 06~07시],$Q2828))</f>
        <v/>
      </c>
      <c r="L2828" s="20">
        <f>IF($Q2828="","",INDEX(상세표[블록 07~18시],$Q2828))</f>
        <v/>
      </c>
      <c r="M2828" s="20">
        <f>IF($Q2828="","",INDEX(상세표[블록 18~22시],$Q2828))</f>
        <v/>
      </c>
      <c r="N2828" s="20">
        <f>IF($Q2828="","",INDEX(상세표[블록 22~06시],$Q2828))</f>
        <v/>
      </c>
      <c r="O2828">
        <f>IF($Q2828="","",INDEX(상세표[주말·휴일 포함],$Q2828)&amp;"")</f>
        <v/>
      </c>
      <c r="P2828">
        <f>IF($Q2828="","",INDEX(상세표[월 넘김 포함],$Q2828)&amp;"")</f>
        <v/>
      </c>
      <c r="Q2828" s="4">
        <f>IFERROR(MATCH(2823,상세표[연속순번],0),"")</f>
        <v/>
      </c>
    </row>
    <row r="2829">
      <c r="A2829">
        <f>IF($Q2829="","",INDEX(상세표[부서],$Q2829)&amp;"")</f>
        <v/>
      </c>
      <c r="B2829">
        <f>IF($Q2829="","",INDEX(상세표[사번],$Q2829)&amp;"")</f>
        <v/>
      </c>
      <c r="C2829">
        <f>IF($Q2829="","",INDEX(상세표[성명],$Q2829)&amp;"")</f>
        <v/>
      </c>
      <c r="D2829">
        <f>IF($Q2829="","",INDEX(상세표[직위],$Q2829)&amp;"")</f>
        <v/>
      </c>
      <c r="E2829">
        <f>IF($Q2829="","",IF(ISNUMBER(INDEX(상세표[근무일자],$Q2829)),TEXT(INDEX(상세표[근무일자],$Q2829),"yyyy-mm-dd"),INDEX(상세표[근무일자],$Q2829)&amp;""))</f>
        <v/>
      </c>
      <c r="F2829">
        <f>IF($Q2829="","",IF(ISNUMBER(INDEX(상세표[시작],$Q2829)),TEXT(INDEX(상세표[시작],$Q2829),"yyyy-mm-dd hh:mm"),INDEX(상세표[시작],$Q2829)&amp;""))</f>
        <v/>
      </c>
      <c r="G2829">
        <f>IF($Q2829="","",IF(ISNUMBER(INDEX(상세표[블록종료],$Q2829)),TEXT(INDEX(상세표[블록종료],$Q2829),"yyyy-mm-dd hh:mm"),INDEX(상세표[블록종료],$Q2829)&amp;""))</f>
        <v/>
      </c>
      <c r="H2829">
        <f>IF($Q2829="","",CHOOSE(WEEKDAY(INDEX(상세표[시작],$Q2829)),"일","월","화","수","목","금","토"))</f>
        <v/>
      </c>
      <c r="I2829" s="20">
        <f>IF($Q2829="","",INDEX(상세표[연속 시간],$Q2829))</f>
        <v/>
      </c>
      <c r="J2829">
        <f>IF($Q2829="","",INDEX(상세표[기록 수],$Q2829))</f>
        <v/>
      </c>
      <c r="K2829" s="20">
        <f>IF($Q2829="","",INDEX(상세표[블록 06~07시],$Q2829))</f>
        <v/>
      </c>
      <c r="L2829" s="20">
        <f>IF($Q2829="","",INDEX(상세표[블록 07~18시],$Q2829))</f>
        <v/>
      </c>
      <c r="M2829" s="20">
        <f>IF($Q2829="","",INDEX(상세표[블록 18~22시],$Q2829))</f>
        <v/>
      </c>
      <c r="N2829" s="20">
        <f>IF($Q2829="","",INDEX(상세표[블록 22~06시],$Q2829))</f>
        <v/>
      </c>
      <c r="O2829">
        <f>IF($Q2829="","",INDEX(상세표[주말·휴일 포함],$Q2829)&amp;"")</f>
        <v/>
      </c>
      <c r="P2829">
        <f>IF($Q2829="","",INDEX(상세표[월 넘김 포함],$Q2829)&amp;"")</f>
        <v/>
      </c>
      <c r="Q2829" s="4">
        <f>IFERROR(MATCH(2824,상세표[연속순번],0),"")</f>
        <v/>
      </c>
    </row>
    <row r="2830">
      <c r="A2830">
        <f>IF($Q2830="","",INDEX(상세표[부서],$Q2830)&amp;"")</f>
        <v/>
      </c>
      <c r="B2830">
        <f>IF($Q2830="","",INDEX(상세표[사번],$Q2830)&amp;"")</f>
        <v/>
      </c>
      <c r="C2830">
        <f>IF($Q2830="","",INDEX(상세표[성명],$Q2830)&amp;"")</f>
        <v/>
      </c>
      <c r="D2830">
        <f>IF($Q2830="","",INDEX(상세표[직위],$Q2830)&amp;"")</f>
        <v/>
      </c>
      <c r="E2830">
        <f>IF($Q2830="","",IF(ISNUMBER(INDEX(상세표[근무일자],$Q2830)),TEXT(INDEX(상세표[근무일자],$Q2830),"yyyy-mm-dd"),INDEX(상세표[근무일자],$Q2830)&amp;""))</f>
        <v/>
      </c>
      <c r="F2830">
        <f>IF($Q2830="","",IF(ISNUMBER(INDEX(상세표[시작],$Q2830)),TEXT(INDEX(상세표[시작],$Q2830),"yyyy-mm-dd hh:mm"),INDEX(상세표[시작],$Q2830)&amp;""))</f>
        <v/>
      </c>
      <c r="G2830">
        <f>IF($Q2830="","",IF(ISNUMBER(INDEX(상세표[블록종료],$Q2830)),TEXT(INDEX(상세표[블록종료],$Q2830),"yyyy-mm-dd hh:mm"),INDEX(상세표[블록종료],$Q2830)&amp;""))</f>
        <v/>
      </c>
      <c r="H2830">
        <f>IF($Q2830="","",CHOOSE(WEEKDAY(INDEX(상세표[시작],$Q2830)),"일","월","화","수","목","금","토"))</f>
        <v/>
      </c>
      <c r="I2830" s="20">
        <f>IF($Q2830="","",INDEX(상세표[연속 시간],$Q2830))</f>
        <v/>
      </c>
      <c r="J2830">
        <f>IF($Q2830="","",INDEX(상세표[기록 수],$Q2830))</f>
        <v/>
      </c>
      <c r="K2830" s="20">
        <f>IF($Q2830="","",INDEX(상세표[블록 06~07시],$Q2830))</f>
        <v/>
      </c>
      <c r="L2830" s="20">
        <f>IF($Q2830="","",INDEX(상세표[블록 07~18시],$Q2830))</f>
        <v/>
      </c>
      <c r="M2830" s="20">
        <f>IF($Q2830="","",INDEX(상세표[블록 18~22시],$Q2830))</f>
        <v/>
      </c>
      <c r="N2830" s="20">
        <f>IF($Q2830="","",INDEX(상세표[블록 22~06시],$Q2830))</f>
        <v/>
      </c>
      <c r="O2830">
        <f>IF($Q2830="","",INDEX(상세표[주말·휴일 포함],$Q2830)&amp;"")</f>
        <v/>
      </c>
      <c r="P2830">
        <f>IF($Q2830="","",INDEX(상세표[월 넘김 포함],$Q2830)&amp;"")</f>
        <v/>
      </c>
      <c r="Q2830" s="4">
        <f>IFERROR(MATCH(2825,상세표[연속순번],0),"")</f>
        <v/>
      </c>
    </row>
    <row r="2831">
      <c r="A2831">
        <f>IF($Q2831="","",INDEX(상세표[부서],$Q2831)&amp;"")</f>
        <v/>
      </c>
      <c r="B2831">
        <f>IF($Q2831="","",INDEX(상세표[사번],$Q2831)&amp;"")</f>
        <v/>
      </c>
      <c r="C2831">
        <f>IF($Q2831="","",INDEX(상세표[성명],$Q2831)&amp;"")</f>
        <v/>
      </c>
      <c r="D2831">
        <f>IF($Q2831="","",INDEX(상세표[직위],$Q2831)&amp;"")</f>
        <v/>
      </c>
      <c r="E2831">
        <f>IF($Q2831="","",IF(ISNUMBER(INDEX(상세표[근무일자],$Q2831)),TEXT(INDEX(상세표[근무일자],$Q2831),"yyyy-mm-dd"),INDEX(상세표[근무일자],$Q2831)&amp;""))</f>
        <v/>
      </c>
      <c r="F2831">
        <f>IF($Q2831="","",IF(ISNUMBER(INDEX(상세표[시작],$Q2831)),TEXT(INDEX(상세표[시작],$Q2831),"yyyy-mm-dd hh:mm"),INDEX(상세표[시작],$Q2831)&amp;""))</f>
        <v/>
      </c>
      <c r="G2831">
        <f>IF($Q2831="","",IF(ISNUMBER(INDEX(상세표[블록종료],$Q2831)),TEXT(INDEX(상세표[블록종료],$Q2831),"yyyy-mm-dd hh:mm"),INDEX(상세표[블록종료],$Q2831)&amp;""))</f>
        <v/>
      </c>
      <c r="H2831">
        <f>IF($Q2831="","",CHOOSE(WEEKDAY(INDEX(상세표[시작],$Q2831)),"일","월","화","수","목","금","토"))</f>
        <v/>
      </c>
      <c r="I2831" s="20">
        <f>IF($Q2831="","",INDEX(상세표[연속 시간],$Q2831))</f>
        <v/>
      </c>
      <c r="J2831">
        <f>IF($Q2831="","",INDEX(상세표[기록 수],$Q2831))</f>
        <v/>
      </c>
      <c r="K2831" s="20">
        <f>IF($Q2831="","",INDEX(상세표[블록 06~07시],$Q2831))</f>
        <v/>
      </c>
      <c r="L2831" s="20">
        <f>IF($Q2831="","",INDEX(상세표[블록 07~18시],$Q2831))</f>
        <v/>
      </c>
      <c r="M2831" s="20">
        <f>IF($Q2831="","",INDEX(상세표[블록 18~22시],$Q2831))</f>
        <v/>
      </c>
      <c r="N2831" s="20">
        <f>IF($Q2831="","",INDEX(상세표[블록 22~06시],$Q2831))</f>
        <v/>
      </c>
      <c r="O2831">
        <f>IF($Q2831="","",INDEX(상세표[주말·휴일 포함],$Q2831)&amp;"")</f>
        <v/>
      </c>
      <c r="P2831">
        <f>IF($Q2831="","",INDEX(상세표[월 넘김 포함],$Q2831)&amp;"")</f>
        <v/>
      </c>
      <c r="Q2831" s="4">
        <f>IFERROR(MATCH(2826,상세표[연속순번],0),"")</f>
        <v/>
      </c>
    </row>
    <row r="2832">
      <c r="A2832">
        <f>IF($Q2832="","",INDEX(상세표[부서],$Q2832)&amp;"")</f>
        <v/>
      </c>
      <c r="B2832">
        <f>IF($Q2832="","",INDEX(상세표[사번],$Q2832)&amp;"")</f>
        <v/>
      </c>
      <c r="C2832">
        <f>IF($Q2832="","",INDEX(상세표[성명],$Q2832)&amp;"")</f>
        <v/>
      </c>
      <c r="D2832">
        <f>IF($Q2832="","",INDEX(상세표[직위],$Q2832)&amp;"")</f>
        <v/>
      </c>
      <c r="E2832">
        <f>IF($Q2832="","",IF(ISNUMBER(INDEX(상세표[근무일자],$Q2832)),TEXT(INDEX(상세표[근무일자],$Q2832),"yyyy-mm-dd"),INDEX(상세표[근무일자],$Q2832)&amp;""))</f>
        <v/>
      </c>
      <c r="F2832">
        <f>IF($Q2832="","",IF(ISNUMBER(INDEX(상세표[시작],$Q2832)),TEXT(INDEX(상세표[시작],$Q2832),"yyyy-mm-dd hh:mm"),INDEX(상세표[시작],$Q2832)&amp;""))</f>
        <v/>
      </c>
      <c r="G2832">
        <f>IF($Q2832="","",IF(ISNUMBER(INDEX(상세표[블록종료],$Q2832)),TEXT(INDEX(상세표[블록종료],$Q2832),"yyyy-mm-dd hh:mm"),INDEX(상세표[블록종료],$Q2832)&amp;""))</f>
        <v/>
      </c>
      <c r="H2832">
        <f>IF($Q2832="","",CHOOSE(WEEKDAY(INDEX(상세표[시작],$Q2832)),"일","월","화","수","목","금","토"))</f>
        <v/>
      </c>
      <c r="I2832" s="20">
        <f>IF($Q2832="","",INDEX(상세표[연속 시간],$Q2832))</f>
        <v/>
      </c>
      <c r="J2832">
        <f>IF($Q2832="","",INDEX(상세표[기록 수],$Q2832))</f>
        <v/>
      </c>
      <c r="K2832" s="20">
        <f>IF($Q2832="","",INDEX(상세표[블록 06~07시],$Q2832))</f>
        <v/>
      </c>
      <c r="L2832" s="20">
        <f>IF($Q2832="","",INDEX(상세표[블록 07~18시],$Q2832))</f>
        <v/>
      </c>
      <c r="M2832" s="20">
        <f>IF($Q2832="","",INDEX(상세표[블록 18~22시],$Q2832))</f>
        <v/>
      </c>
      <c r="N2832" s="20">
        <f>IF($Q2832="","",INDEX(상세표[블록 22~06시],$Q2832))</f>
        <v/>
      </c>
      <c r="O2832">
        <f>IF($Q2832="","",INDEX(상세표[주말·휴일 포함],$Q2832)&amp;"")</f>
        <v/>
      </c>
      <c r="P2832">
        <f>IF($Q2832="","",INDEX(상세표[월 넘김 포함],$Q2832)&amp;"")</f>
        <v/>
      </c>
      <c r="Q2832" s="4">
        <f>IFERROR(MATCH(2827,상세표[연속순번],0),"")</f>
        <v/>
      </c>
    </row>
    <row r="2833">
      <c r="A2833">
        <f>IF($Q2833="","",INDEX(상세표[부서],$Q2833)&amp;"")</f>
        <v/>
      </c>
      <c r="B2833">
        <f>IF($Q2833="","",INDEX(상세표[사번],$Q2833)&amp;"")</f>
        <v/>
      </c>
      <c r="C2833">
        <f>IF($Q2833="","",INDEX(상세표[성명],$Q2833)&amp;"")</f>
        <v/>
      </c>
      <c r="D2833">
        <f>IF($Q2833="","",INDEX(상세표[직위],$Q2833)&amp;"")</f>
        <v/>
      </c>
      <c r="E2833">
        <f>IF($Q2833="","",IF(ISNUMBER(INDEX(상세표[근무일자],$Q2833)),TEXT(INDEX(상세표[근무일자],$Q2833),"yyyy-mm-dd"),INDEX(상세표[근무일자],$Q2833)&amp;""))</f>
        <v/>
      </c>
      <c r="F2833">
        <f>IF($Q2833="","",IF(ISNUMBER(INDEX(상세표[시작],$Q2833)),TEXT(INDEX(상세표[시작],$Q2833),"yyyy-mm-dd hh:mm"),INDEX(상세표[시작],$Q2833)&amp;""))</f>
        <v/>
      </c>
      <c r="G2833">
        <f>IF($Q2833="","",IF(ISNUMBER(INDEX(상세표[블록종료],$Q2833)),TEXT(INDEX(상세표[블록종료],$Q2833),"yyyy-mm-dd hh:mm"),INDEX(상세표[블록종료],$Q2833)&amp;""))</f>
        <v/>
      </c>
      <c r="H2833">
        <f>IF($Q2833="","",CHOOSE(WEEKDAY(INDEX(상세표[시작],$Q2833)),"일","월","화","수","목","금","토"))</f>
        <v/>
      </c>
      <c r="I2833" s="20">
        <f>IF($Q2833="","",INDEX(상세표[연속 시간],$Q2833))</f>
        <v/>
      </c>
      <c r="J2833">
        <f>IF($Q2833="","",INDEX(상세표[기록 수],$Q2833))</f>
        <v/>
      </c>
      <c r="K2833" s="20">
        <f>IF($Q2833="","",INDEX(상세표[블록 06~07시],$Q2833))</f>
        <v/>
      </c>
      <c r="L2833" s="20">
        <f>IF($Q2833="","",INDEX(상세표[블록 07~18시],$Q2833))</f>
        <v/>
      </c>
      <c r="M2833" s="20">
        <f>IF($Q2833="","",INDEX(상세표[블록 18~22시],$Q2833))</f>
        <v/>
      </c>
      <c r="N2833" s="20">
        <f>IF($Q2833="","",INDEX(상세표[블록 22~06시],$Q2833))</f>
        <v/>
      </c>
      <c r="O2833">
        <f>IF($Q2833="","",INDEX(상세표[주말·휴일 포함],$Q2833)&amp;"")</f>
        <v/>
      </c>
      <c r="P2833">
        <f>IF($Q2833="","",INDEX(상세표[월 넘김 포함],$Q2833)&amp;"")</f>
        <v/>
      </c>
      <c r="Q2833" s="4">
        <f>IFERROR(MATCH(2828,상세표[연속순번],0),"")</f>
        <v/>
      </c>
    </row>
    <row r="2834">
      <c r="A2834">
        <f>IF($Q2834="","",INDEX(상세표[부서],$Q2834)&amp;"")</f>
        <v/>
      </c>
      <c r="B2834">
        <f>IF($Q2834="","",INDEX(상세표[사번],$Q2834)&amp;"")</f>
        <v/>
      </c>
      <c r="C2834">
        <f>IF($Q2834="","",INDEX(상세표[성명],$Q2834)&amp;"")</f>
        <v/>
      </c>
      <c r="D2834">
        <f>IF($Q2834="","",INDEX(상세표[직위],$Q2834)&amp;"")</f>
        <v/>
      </c>
      <c r="E2834">
        <f>IF($Q2834="","",IF(ISNUMBER(INDEX(상세표[근무일자],$Q2834)),TEXT(INDEX(상세표[근무일자],$Q2834),"yyyy-mm-dd"),INDEX(상세표[근무일자],$Q2834)&amp;""))</f>
        <v/>
      </c>
      <c r="F2834">
        <f>IF($Q2834="","",IF(ISNUMBER(INDEX(상세표[시작],$Q2834)),TEXT(INDEX(상세표[시작],$Q2834),"yyyy-mm-dd hh:mm"),INDEX(상세표[시작],$Q2834)&amp;""))</f>
        <v/>
      </c>
      <c r="G2834">
        <f>IF($Q2834="","",IF(ISNUMBER(INDEX(상세표[블록종료],$Q2834)),TEXT(INDEX(상세표[블록종료],$Q2834),"yyyy-mm-dd hh:mm"),INDEX(상세표[블록종료],$Q2834)&amp;""))</f>
        <v/>
      </c>
      <c r="H2834">
        <f>IF($Q2834="","",CHOOSE(WEEKDAY(INDEX(상세표[시작],$Q2834)),"일","월","화","수","목","금","토"))</f>
        <v/>
      </c>
      <c r="I2834" s="20">
        <f>IF($Q2834="","",INDEX(상세표[연속 시간],$Q2834))</f>
        <v/>
      </c>
      <c r="J2834">
        <f>IF($Q2834="","",INDEX(상세표[기록 수],$Q2834))</f>
        <v/>
      </c>
      <c r="K2834" s="20">
        <f>IF($Q2834="","",INDEX(상세표[블록 06~07시],$Q2834))</f>
        <v/>
      </c>
      <c r="L2834" s="20">
        <f>IF($Q2834="","",INDEX(상세표[블록 07~18시],$Q2834))</f>
        <v/>
      </c>
      <c r="M2834" s="20">
        <f>IF($Q2834="","",INDEX(상세표[블록 18~22시],$Q2834))</f>
        <v/>
      </c>
      <c r="N2834" s="20">
        <f>IF($Q2834="","",INDEX(상세표[블록 22~06시],$Q2834))</f>
        <v/>
      </c>
      <c r="O2834">
        <f>IF($Q2834="","",INDEX(상세표[주말·휴일 포함],$Q2834)&amp;"")</f>
        <v/>
      </c>
      <c r="P2834">
        <f>IF($Q2834="","",INDEX(상세표[월 넘김 포함],$Q2834)&amp;"")</f>
        <v/>
      </c>
      <c r="Q2834" s="4">
        <f>IFERROR(MATCH(2829,상세표[연속순번],0),"")</f>
        <v/>
      </c>
    </row>
    <row r="2835">
      <c r="A2835">
        <f>IF($Q2835="","",INDEX(상세표[부서],$Q2835)&amp;"")</f>
        <v/>
      </c>
      <c r="B2835">
        <f>IF($Q2835="","",INDEX(상세표[사번],$Q2835)&amp;"")</f>
        <v/>
      </c>
      <c r="C2835">
        <f>IF($Q2835="","",INDEX(상세표[성명],$Q2835)&amp;"")</f>
        <v/>
      </c>
      <c r="D2835">
        <f>IF($Q2835="","",INDEX(상세표[직위],$Q2835)&amp;"")</f>
        <v/>
      </c>
      <c r="E2835">
        <f>IF($Q2835="","",IF(ISNUMBER(INDEX(상세표[근무일자],$Q2835)),TEXT(INDEX(상세표[근무일자],$Q2835),"yyyy-mm-dd"),INDEX(상세표[근무일자],$Q2835)&amp;""))</f>
        <v/>
      </c>
      <c r="F2835">
        <f>IF($Q2835="","",IF(ISNUMBER(INDEX(상세표[시작],$Q2835)),TEXT(INDEX(상세표[시작],$Q2835),"yyyy-mm-dd hh:mm"),INDEX(상세표[시작],$Q2835)&amp;""))</f>
        <v/>
      </c>
      <c r="G2835">
        <f>IF($Q2835="","",IF(ISNUMBER(INDEX(상세표[블록종료],$Q2835)),TEXT(INDEX(상세표[블록종료],$Q2835),"yyyy-mm-dd hh:mm"),INDEX(상세표[블록종료],$Q2835)&amp;""))</f>
        <v/>
      </c>
      <c r="H2835">
        <f>IF($Q2835="","",CHOOSE(WEEKDAY(INDEX(상세표[시작],$Q2835)),"일","월","화","수","목","금","토"))</f>
        <v/>
      </c>
      <c r="I2835" s="20">
        <f>IF($Q2835="","",INDEX(상세표[연속 시간],$Q2835))</f>
        <v/>
      </c>
      <c r="J2835">
        <f>IF($Q2835="","",INDEX(상세표[기록 수],$Q2835))</f>
        <v/>
      </c>
      <c r="K2835" s="20">
        <f>IF($Q2835="","",INDEX(상세표[블록 06~07시],$Q2835))</f>
        <v/>
      </c>
      <c r="L2835" s="20">
        <f>IF($Q2835="","",INDEX(상세표[블록 07~18시],$Q2835))</f>
        <v/>
      </c>
      <c r="M2835" s="20">
        <f>IF($Q2835="","",INDEX(상세표[블록 18~22시],$Q2835))</f>
        <v/>
      </c>
      <c r="N2835" s="20">
        <f>IF($Q2835="","",INDEX(상세표[블록 22~06시],$Q2835))</f>
        <v/>
      </c>
      <c r="O2835">
        <f>IF($Q2835="","",INDEX(상세표[주말·휴일 포함],$Q2835)&amp;"")</f>
        <v/>
      </c>
      <c r="P2835">
        <f>IF($Q2835="","",INDEX(상세표[월 넘김 포함],$Q2835)&amp;"")</f>
        <v/>
      </c>
      <c r="Q2835" s="4">
        <f>IFERROR(MATCH(2830,상세표[연속순번],0),"")</f>
        <v/>
      </c>
    </row>
    <row r="2836">
      <c r="A2836">
        <f>IF($Q2836="","",INDEX(상세표[부서],$Q2836)&amp;"")</f>
        <v/>
      </c>
      <c r="B2836">
        <f>IF($Q2836="","",INDEX(상세표[사번],$Q2836)&amp;"")</f>
        <v/>
      </c>
      <c r="C2836">
        <f>IF($Q2836="","",INDEX(상세표[성명],$Q2836)&amp;"")</f>
        <v/>
      </c>
      <c r="D2836">
        <f>IF($Q2836="","",INDEX(상세표[직위],$Q2836)&amp;"")</f>
        <v/>
      </c>
      <c r="E2836">
        <f>IF($Q2836="","",IF(ISNUMBER(INDEX(상세표[근무일자],$Q2836)),TEXT(INDEX(상세표[근무일자],$Q2836),"yyyy-mm-dd"),INDEX(상세표[근무일자],$Q2836)&amp;""))</f>
        <v/>
      </c>
      <c r="F2836">
        <f>IF($Q2836="","",IF(ISNUMBER(INDEX(상세표[시작],$Q2836)),TEXT(INDEX(상세표[시작],$Q2836),"yyyy-mm-dd hh:mm"),INDEX(상세표[시작],$Q2836)&amp;""))</f>
        <v/>
      </c>
      <c r="G2836">
        <f>IF($Q2836="","",IF(ISNUMBER(INDEX(상세표[블록종료],$Q2836)),TEXT(INDEX(상세표[블록종료],$Q2836),"yyyy-mm-dd hh:mm"),INDEX(상세표[블록종료],$Q2836)&amp;""))</f>
        <v/>
      </c>
      <c r="H2836">
        <f>IF($Q2836="","",CHOOSE(WEEKDAY(INDEX(상세표[시작],$Q2836)),"일","월","화","수","목","금","토"))</f>
        <v/>
      </c>
      <c r="I2836" s="20">
        <f>IF($Q2836="","",INDEX(상세표[연속 시간],$Q2836))</f>
        <v/>
      </c>
      <c r="J2836">
        <f>IF($Q2836="","",INDEX(상세표[기록 수],$Q2836))</f>
        <v/>
      </c>
      <c r="K2836" s="20">
        <f>IF($Q2836="","",INDEX(상세표[블록 06~07시],$Q2836))</f>
        <v/>
      </c>
      <c r="L2836" s="20">
        <f>IF($Q2836="","",INDEX(상세표[블록 07~18시],$Q2836))</f>
        <v/>
      </c>
      <c r="M2836" s="20">
        <f>IF($Q2836="","",INDEX(상세표[블록 18~22시],$Q2836))</f>
        <v/>
      </c>
      <c r="N2836" s="20">
        <f>IF($Q2836="","",INDEX(상세표[블록 22~06시],$Q2836))</f>
        <v/>
      </c>
      <c r="O2836">
        <f>IF($Q2836="","",INDEX(상세표[주말·휴일 포함],$Q2836)&amp;"")</f>
        <v/>
      </c>
      <c r="P2836">
        <f>IF($Q2836="","",INDEX(상세표[월 넘김 포함],$Q2836)&amp;"")</f>
        <v/>
      </c>
      <c r="Q2836" s="4">
        <f>IFERROR(MATCH(2831,상세표[연속순번],0),"")</f>
        <v/>
      </c>
    </row>
    <row r="2837">
      <c r="A2837">
        <f>IF($Q2837="","",INDEX(상세표[부서],$Q2837)&amp;"")</f>
        <v/>
      </c>
      <c r="B2837">
        <f>IF($Q2837="","",INDEX(상세표[사번],$Q2837)&amp;"")</f>
        <v/>
      </c>
      <c r="C2837">
        <f>IF($Q2837="","",INDEX(상세표[성명],$Q2837)&amp;"")</f>
        <v/>
      </c>
      <c r="D2837">
        <f>IF($Q2837="","",INDEX(상세표[직위],$Q2837)&amp;"")</f>
        <v/>
      </c>
      <c r="E2837">
        <f>IF($Q2837="","",IF(ISNUMBER(INDEX(상세표[근무일자],$Q2837)),TEXT(INDEX(상세표[근무일자],$Q2837),"yyyy-mm-dd"),INDEX(상세표[근무일자],$Q2837)&amp;""))</f>
        <v/>
      </c>
      <c r="F2837">
        <f>IF($Q2837="","",IF(ISNUMBER(INDEX(상세표[시작],$Q2837)),TEXT(INDEX(상세표[시작],$Q2837),"yyyy-mm-dd hh:mm"),INDEX(상세표[시작],$Q2837)&amp;""))</f>
        <v/>
      </c>
      <c r="G2837">
        <f>IF($Q2837="","",IF(ISNUMBER(INDEX(상세표[블록종료],$Q2837)),TEXT(INDEX(상세표[블록종료],$Q2837),"yyyy-mm-dd hh:mm"),INDEX(상세표[블록종료],$Q2837)&amp;""))</f>
        <v/>
      </c>
      <c r="H2837">
        <f>IF($Q2837="","",CHOOSE(WEEKDAY(INDEX(상세표[시작],$Q2837)),"일","월","화","수","목","금","토"))</f>
        <v/>
      </c>
      <c r="I2837" s="20">
        <f>IF($Q2837="","",INDEX(상세표[연속 시간],$Q2837))</f>
        <v/>
      </c>
      <c r="J2837">
        <f>IF($Q2837="","",INDEX(상세표[기록 수],$Q2837))</f>
        <v/>
      </c>
      <c r="K2837" s="20">
        <f>IF($Q2837="","",INDEX(상세표[블록 06~07시],$Q2837))</f>
        <v/>
      </c>
      <c r="L2837" s="20">
        <f>IF($Q2837="","",INDEX(상세표[블록 07~18시],$Q2837))</f>
        <v/>
      </c>
      <c r="M2837" s="20">
        <f>IF($Q2837="","",INDEX(상세표[블록 18~22시],$Q2837))</f>
        <v/>
      </c>
      <c r="N2837" s="20">
        <f>IF($Q2837="","",INDEX(상세표[블록 22~06시],$Q2837))</f>
        <v/>
      </c>
      <c r="O2837">
        <f>IF($Q2837="","",INDEX(상세표[주말·휴일 포함],$Q2837)&amp;"")</f>
        <v/>
      </c>
      <c r="P2837">
        <f>IF($Q2837="","",INDEX(상세표[월 넘김 포함],$Q2837)&amp;"")</f>
        <v/>
      </c>
      <c r="Q2837" s="4">
        <f>IFERROR(MATCH(2832,상세표[연속순번],0),"")</f>
        <v/>
      </c>
    </row>
    <row r="2838">
      <c r="A2838">
        <f>IF($Q2838="","",INDEX(상세표[부서],$Q2838)&amp;"")</f>
        <v/>
      </c>
      <c r="B2838">
        <f>IF($Q2838="","",INDEX(상세표[사번],$Q2838)&amp;"")</f>
        <v/>
      </c>
      <c r="C2838">
        <f>IF($Q2838="","",INDEX(상세표[성명],$Q2838)&amp;"")</f>
        <v/>
      </c>
      <c r="D2838">
        <f>IF($Q2838="","",INDEX(상세표[직위],$Q2838)&amp;"")</f>
        <v/>
      </c>
      <c r="E2838">
        <f>IF($Q2838="","",IF(ISNUMBER(INDEX(상세표[근무일자],$Q2838)),TEXT(INDEX(상세표[근무일자],$Q2838),"yyyy-mm-dd"),INDEX(상세표[근무일자],$Q2838)&amp;""))</f>
        <v/>
      </c>
      <c r="F2838">
        <f>IF($Q2838="","",IF(ISNUMBER(INDEX(상세표[시작],$Q2838)),TEXT(INDEX(상세표[시작],$Q2838),"yyyy-mm-dd hh:mm"),INDEX(상세표[시작],$Q2838)&amp;""))</f>
        <v/>
      </c>
      <c r="G2838">
        <f>IF($Q2838="","",IF(ISNUMBER(INDEX(상세표[블록종료],$Q2838)),TEXT(INDEX(상세표[블록종료],$Q2838),"yyyy-mm-dd hh:mm"),INDEX(상세표[블록종료],$Q2838)&amp;""))</f>
        <v/>
      </c>
      <c r="H2838">
        <f>IF($Q2838="","",CHOOSE(WEEKDAY(INDEX(상세표[시작],$Q2838)),"일","월","화","수","목","금","토"))</f>
        <v/>
      </c>
      <c r="I2838" s="20">
        <f>IF($Q2838="","",INDEX(상세표[연속 시간],$Q2838))</f>
        <v/>
      </c>
      <c r="J2838">
        <f>IF($Q2838="","",INDEX(상세표[기록 수],$Q2838))</f>
        <v/>
      </c>
      <c r="K2838" s="20">
        <f>IF($Q2838="","",INDEX(상세표[블록 06~07시],$Q2838))</f>
        <v/>
      </c>
      <c r="L2838" s="20">
        <f>IF($Q2838="","",INDEX(상세표[블록 07~18시],$Q2838))</f>
        <v/>
      </c>
      <c r="M2838" s="20">
        <f>IF($Q2838="","",INDEX(상세표[블록 18~22시],$Q2838))</f>
        <v/>
      </c>
      <c r="N2838" s="20">
        <f>IF($Q2838="","",INDEX(상세표[블록 22~06시],$Q2838))</f>
        <v/>
      </c>
      <c r="O2838">
        <f>IF($Q2838="","",INDEX(상세표[주말·휴일 포함],$Q2838)&amp;"")</f>
        <v/>
      </c>
      <c r="P2838">
        <f>IF($Q2838="","",INDEX(상세표[월 넘김 포함],$Q2838)&amp;"")</f>
        <v/>
      </c>
      <c r="Q2838" s="4">
        <f>IFERROR(MATCH(2833,상세표[연속순번],0),"")</f>
        <v/>
      </c>
    </row>
    <row r="2839">
      <c r="A2839">
        <f>IF($Q2839="","",INDEX(상세표[부서],$Q2839)&amp;"")</f>
        <v/>
      </c>
      <c r="B2839">
        <f>IF($Q2839="","",INDEX(상세표[사번],$Q2839)&amp;"")</f>
        <v/>
      </c>
      <c r="C2839">
        <f>IF($Q2839="","",INDEX(상세표[성명],$Q2839)&amp;"")</f>
        <v/>
      </c>
      <c r="D2839">
        <f>IF($Q2839="","",INDEX(상세표[직위],$Q2839)&amp;"")</f>
        <v/>
      </c>
      <c r="E2839">
        <f>IF($Q2839="","",IF(ISNUMBER(INDEX(상세표[근무일자],$Q2839)),TEXT(INDEX(상세표[근무일자],$Q2839),"yyyy-mm-dd"),INDEX(상세표[근무일자],$Q2839)&amp;""))</f>
        <v/>
      </c>
      <c r="F2839">
        <f>IF($Q2839="","",IF(ISNUMBER(INDEX(상세표[시작],$Q2839)),TEXT(INDEX(상세표[시작],$Q2839),"yyyy-mm-dd hh:mm"),INDEX(상세표[시작],$Q2839)&amp;""))</f>
        <v/>
      </c>
      <c r="G2839">
        <f>IF($Q2839="","",IF(ISNUMBER(INDEX(상세표[블록종료],$Q2839)),TEXT(INDEX(상세표[블록종료],$Q2839),"yyyy-mm-dd hh:mm"),INDEX(상세표[블록종료],$Q2839)&amp;""))</f>
        <v/>
      </c>
      <c r="H2839">
        <f>IF($Q2839="","",CHOOSE(WEEKDAY(INDEX(상세표[시작],$Q2839)),"일","월","화","수","목","금","토"))</f>
        <v/>
      </c>
      <c r="I2839" s="20">
        <f>IF($Q2839="","",INDEX(상세표[연속 시간],$Q2839))</f>
        <v/>
      </c>
      <c r="J2839">
        <f>IF($Q2839="","",INDEX(상세표[기록 수],$Q2839))</f>
        <v/>
      </c>
      <c r="K2839" s="20">
        <f>IF($Q2839="","",INDEX(상세표[블록 06~07시],$Q2839))</f>
        <v/>
      </c>
      <c r="L2839" s="20">
        <f>IF($Q2839="","",INDEX(상세표[블록 07~18시],$Q2839))</f>
        <v/>
      </c>
      <c r="M2839" s="20">
        <f>IF($Q2839="","",INDEX(상세표[블록 18~22시],$Q2839))</f>
        <v/>
      </c>
      <c r="N2839" s="20">
        <f>IF($Q2839="","",INDEX(상세표[블록 22~06시],$Q2839))</f>
        <v/>
      </c>
      <c r="O2839">
        <f>IF($Q2839="","",INDEX(상세표[주말·휴일 포함],$Q2839)&amp;"")</f>
        <v/>
      </c>
      <c r="P2839">
        <f>IF($Q2839="","",INDEX(상세표[월 넘김 포함],$Q2839)&amp;"")</f>
        <v/>
      </c>
      <c r="Q2839" s="4">
        <f>IFERROR(MATCH(2834,상세표[연속순번],0),"")</f>
        <v/>
      </c>
    </row>
    <row r="2840">
      <c r="A2840">
        <f>IF($Q2840="","",INDEX(상세표[부서],$Q2840)&amp;"")</f>
        <v/>
      </c>
      <c r="B2840">
        <f>IF($Q2840="","",INDEX(상세표[사번],$Q2840)&amp;"")</f>
        <v/>
      </c>
      <c r="C2840">
        <f>IF($Q2840="","",INDEX(상세표[성명],$Q2840)&amp;"")</f>
        <v/>
      </c>
      <c r="D2840">
        <f>IF($Q2840="","",INDEX(상세표[직위],$Q2840)&amp;"")</f>
        <v/>
      </c>
      <c r="E2840">
        <f>IF($Q2840="","",IF(ISNUMBER(INDEX(상세표[근무일자],$Q2840)),TEXT(INDEX(상세표[근무일자],$Q2840),"yyyy-mm-dd"),INDEX(상세표[근무일자],$Q2840)&amp;""))</f>
        <v/>
      </c>
      <c r="F2840">
        <f>IF($Q2840="","",IF(ISNUMBER(INDEX(상세표[시작],$Q2840)),TEXT(INDEX(상세표[시작],$Q2840),"yyyy-mm-dd hh:mm"),INDEX(상세표[시작],$Q2840)&amp;""))</f>
        <v/>
      </c>
      <c r="G2840">
        <f>IF($Q2840="","",IF(ISNUMBER(INDEX(상세표[블록종료],$Q2840)),TEXT(INDEX(상세표[블록종료],$Q2840),"yyyy-mm-dd hh:mm"),INDEX(상세표[블록종료],$Q2840)&amp;""))</f>
        <v/>
      </c>
      <c r="H2840">
        <f>IF($Q2840="","",CHOOSE(WEEKDAY(INDEX(상세표[시작],$Q2840)),"일","월","화","수","목","금","토"))</f>
        <v/>
      </c>
      <c r="I2840" s="20">
        <f>IF($Q2840="","",INDEX(상세표[연속 시간],$Q2840))</f>
        <v/>
      </c>
      <c r="J2840">
        <f>IF($Q2840="","",INDEX(상세표[기록 수],$Q2840))</f>
        <v/>
      </c>
      <c r="K2840" s="20">
        <f>IF($Q2840="","",INDEX(상세표[블록 06~07시],$Q2840))</f>
        <v/>
      </c>
      <c r="L2840" s="20">
        <f>IF($Q2840="","",INDEX(상세표[블록 07~18시],$Q2840))</f>
        <v/>
      </c>
      <c r="M2840" s="20">
        <f>IF($Q2840="","",INDEX(상세표[블록 18~22시],$Q2840))</f>
        <v/>
      </c>
      <c r="N2840" s="20">
        <f>IF($Q2840="","",INDEX(상세표[블록 22~06시],$Q2840))</f>
        <v/>
      </c>
      <c r="O2840">
        <f>IF($Q2840="","",INDEX(상세표[주말·휴일 포함],$Q2840)&amp;"")</f>
        <v/>
      </c>
      <c r="P2840">
        <f>IF($Q2840="","",INDEX(상세표[월 넘김 포함],$Q2840)&amp;"")</f>
        <v/>
      </c>
      <c r="Q2840" s="4">
        <f>IFERROR(MATCH(2835,상세표[연속순번],0),"")</f>
        <v/>
      </c>
    </row>
    <row r="2841">
      <c r="A2841">
        <f>IF($Q2841="","",INDEX(상세표[부서],$Q2841)&amp;"")</f>
        <v/>
      </c>
      <c r="B2841">
        <f>IF($Q2841="","",INDEX(상세표[사번],$Q2841)&amp;"")</f>
        <v/>
      </c>
      <c r="C2841">
        <f>IF($Q2841="","",INDEX(상세표[성명],$Q2841)&amp;"")</f>
        <v/>
      </c>
      <c r="D2841">
        <f>IF($Q2841="","",INDEX(상세표[직위],$Q2841)&amp;"")</f>
        <v/>
      </c>
      <c r="E2841">
        <f>IF($Q2841="","",IF(ISNUMBER(INDEX(상세표[근무일자],$Q2841)),TEXT(INDEX(상세표[근무일자],$Q2841),"yyyy-mm-dd"),INDEX(상세표[근무일자],$Q2841)&amp;""))</f>
        <v/>
      </c>
      <c r="F2841">
        <f>IF($Q2841="","",IF(ISNUMBER(INDEX(상세표[시작],$Q2841)),TEXT(INDEX(상세표[시작],$Q2841),"yyyy-mm-dd hh:mm"),INDEX(상세표[시작],$Q2841)&amp;""))</f>
        <v/>
      </c>
      <c r="G2841">
        <f>IF($Q2841="","",IF(ISNUMBER(INDEX(상세표[블록종료],$Q2841)),TEXT(INDEX(상세표[블록종료],$Q2841),"yyyy-mm-dd hh:mm"),INDEX(상세표[블록종료],$Q2841)&amp;""))</f>
        <v/>
      </c>
      <c r="H2841">
        <f>IF($Q2841="","",CHOOSE(WEEKDAY(INDEX(상세표[시작],$Q2841)),"일","월","화","수","목","금","토"))</f>
        <v/>
      </c>
      <c r="I2841" s="20">
        <f>IF($Q2841="","",INDEX(상세표[연속 시간],$Q2841))</f>
        <v/>
      </c>
      <c r="J2841">
        <f>IF($Q2841="","",INDEX(상세표[기록 수],$Q2841))</f>
        <v/>
      </c>
      <c r="K2841" s="20">
        <f>IF($Q2841="","",INDEX(상세표[블록 06~07시],$Q2841))</f>
        <v/>
      </c>
      <c r="L2841" s="20">
        <f>IF($Q2841="","",INDEX(상세표[블록 07~18시],$Q2841))</f>
        <v/>
      </c>
      <c r="M2841" s="20">
        <f>IF($Q2841="","",INDEX(상세표[블록 18~22시],$Q2841))</f>
        <v/>
      </c>
      <c r="N2841" s="20">
        <f>IF($Q2841="","",INDEX(상세표[블록 22~06시],$Q2841))</f>
        <v/>
      </c>
      <c r="O2841">
        <f>IF($Q2841="","",INDEX(상세표[주말·휴일 포함],$Q2841)&amp;"")</f>
        <v/>
      </c>
      <c r="P2841">
        <f>IF($Q2841="","",INDEX(상세표[월 넘김 포함],$Q2841)&amp;"")</f>
        <v/>
      </c>
      <c r="Q2841" s="4">
        <f>IFERROR(MATCH(2836,상세표[연속순번],0),"")</f>
        <v/>
      </c>
    </row>
    <row r="2842">
      <c r="A2842">
        <f>IF($Q2842="","",INDEX(상세표[부서],$Q2842)&amp;"")</f>
        <v/>
      </c>
      <c r="B2842">
        <f>IF($Q2842="","",INDEX(상세표[사번],$Q2842)&amp;"")</f>
        <v/>
      </c>
      <c r="C2842">
        <f>IF($Q2842="","",INDEX(상세표[성명],$Q2842)&amp;"")</f>
        <v/>
      </c>
      <c r="D2842">
        <f>IF($Q2842="","",INDEX(상세표[직위],$Q2842)&amp;"")</f>
        <v/>
      </c>
      <c r="E2842">
        <f>IF($Q2842="","",IF(ISNUMBER(INDEX(상세표[근무일자],$Q2842)),TEXT(INDEX(상세표[근무일자],$Q2842),"yyyy-mm-dd"),INDEX(상세표[근무일자],$Q2842)&amp;""))</f>
        <v/>
      </c>
      <c r="F2842">
        <f>IF($Q2842="","",IF(ISNUMBER(INDEX(상세표[시작],$Q2842)),TEXT(INDEX(상세표[시작],$Q2842),"yyyy-mm-dd hh:mm"),INDEX(상세표[시작],$Q2842)&amp;""))</f>
        <v/>
      </c>
      <c r="G2842">
        <f>IF($Q2842="","",IF(ISNUMBER(INDEX(상세표[블록종료],$Q2842)),TEXT(INDEX(상세표[블록종료],$Q2842),"yyyy-mm-dd hh:mm"),INDEX(상세표[블록종료],$Q2842)&amp;""))</f>
        <v/>
      </c>
      <c r="H2842">
        <f>IF($Q2842="","",CHOOSE(WEEKDAY(INDEX(상세표[시작],$Q2842)),"일","월","화","수","목","금","토"))</f>
        <v/>
      </c>
      <c r="I2842" s="20">
        <f>IF($Q2842="","",INDEX(상세표[연속 시간],$Q2842))</f>
        <v/>
      </c>
      <c r="J2842">
        <f>IF($Q2842="","",INDEX(상세표[기록 수],$Q2842))</f>
        <v/>
      </c>
      <c r="K2842" s="20">
        <f>IF($Q2842="","",INDEX(상세표[블록 06~07시],$Q2842))</f>
        <v/>
      </c>
      <c r="L2842" s="20">
        <f>IF($Q2842="","",INDEX(상세표[블록 07~18시],$Q2842))</f>
        <v/>
      </c>
      <c r="M2842" s="20">
        <f>IF($Q2842="","",INDEX(상세표[블록 18~22시],$Q2842))</f>
        <v/>
      </c>
      <c r="N2842" s="20">
        <f>IF($Q2842="","",INDEX(상세표[블록 22~06시],$Q2842))</f>
        <v/>
      </c>
      <c r="O2842">
        <f>IF($Q2842="","",INDEX(상세표[주말·휴일 포함],$Q2842)&amp;"")</f>
        <v/>
      </c>
      <c r="P2842">
        <f>IF($Q2842="","",INDEX(상세표[월 넘김 포함],$Q2842)&amp;"")</f>
        <v/>
      </c>
      <c r="Q2842" s="4">
        <f>IFERROR(MATCH(2837,상세표[연속순번],0),"")</f>
        <v/>
      </c>
    </row>
    <row r="2843">
      <c r="A2843">
        <f>IF($Q2843="","",INDEX(상세표[부서],$Q2843)&amp;"")</f>
        <v/>
      </c>
      <c r="B2843">
        <f>IF($Q2843="","",INDEX(상세표[사번],$Q2843)&amp;"")</f>
        <v/>
      </c>
      <c r="C2843">
        <f>IF($Q2843="","",INDEX(상세표[성명],$Q2843)&amp;"")</f>
        <v/>
      </c>
      <c r="D2843">
        <f>IF($Q2843="","",INDEX(상세표[직위],$Q2843)&amp;"")</f>
        <v/>
      </c>
      <c r="E2843">
        <f>IF($Q2843="","",IF(ISNUMBER(INDEX(상세표[근무일자],$Q2843)),TEXT(INDEX(상세표[근무일자],$Q2843),"yyyy-mm-dd"),INDEX(상세표[근무일자],$Q2843)&amp;""))</f>
        <v/>
      </c>
      <c r="F2843">
        <f>IF($Q2843="","",IF(ISNUMBER(INDEX(상세표[시작],$Q2843)),TEXT(INDEX(상세표[시작],$Q2843),"yyyy-mm-dd hh:mm"),INDEX(상세표[시작],$Q2843)&amp;""))</f>
        <v/>
      </c>
      <c r="G2843">
        <f>IF($Q2843="","",IF(ISNUMBER(INDEX(상세표[블록종료],$Q2843)),TEXT(INDEX(상세표[블록종료],$Q2843),"yyyy-mm-dd hh:mm"),INDEX(상세표[블록종료],$Q2843)&amp;""))</f>
        <v/>
      </c>
      <c r="H2843">
        <f>IF($Q2843="","",CHOOSE(WEEKDAY(INDEX(상세표[시작],$Q2843)),"일","월","화","수","목","금","토"))</f>
        <v/>
      </c>
      <c r="I2843" s="20">
        <f>IF($Q2843="","",INDEX(상세표[연속 시간],$Q2843))</f>
        <v/>
      </c>
      <c r="J2843">
        <f>IF($Q2843="","",INDEX(상세표[기록 수],$Q2843))</f>
        <v/>
      </c>
      <c r="K2843" s="20">
        <f>IF($Q2843="","",INDEX(상세표[블록 06~07시],$Q2843))</f>
        <v/>
      </c>
      <c r="L2843" s="20">
        <f>IF($Q2843="","",INDEX(상세표[블록 07~18시],$Q2843))</f>
        <v/>
      </c>
      <c r="M2843" s="20">
        <f>IF($Q2843="","",INDEX(상세표[블록 18~22시],$Q2843))</f>
        <v/>
      </c>
      <c r="N2843" s="20">
        <f>IF($Q2843="","",INDEX(상세표[블록 22~06시],$Q2843))</f>
        <v/>
      </c>
      <c r="O2843">
        <f>IF($Q2843="","",INDEX(상세표[주말·휴일 포함],$Q2843)&amp;"")</f>
        <v/>
      </c>
      <c r="P2843">
        <f>IF($Q2843="","",INDEX(상세표[월 넘김 포함],$Q2843)&amp;"")</f>
        <v/>
      </c>
      <c r="Q2843" s="4">
        <f>IFERROR(MATCH(2838,상세표[연속순번],0),"")</f>
        <v/>
      </c>
    </row>
    <row r="2844">
      <c r="A2844">
        <f>IF($Q2844="","",INDEX(상세표[부서],$Q2844)&amp;"")</f>
        <v/>
      </c>
      <c r="B2844">
        <f>IF($Q2844="","",INDEX(상세표[사번],$Q2844)&amp;"")</f>
        <v/>
      </c>
      <c r="C2844">
        <f>IF($Q2844="","",INDEX(상세표[성명],$Q2844)&amp;"")</f>
        <v/>
      </c>
      <c r="D2844">
        <f>IF($Q2844="","",INDEX(상세표[직위],$Q2844)&amp;"")</f>
        <v/>
      </c>
      <c r="E2844">
        <f>IF($Q2844="","",IF(ISNUMBER(INDEX(상세표[근무일자],$Q2844)),TEXT(INDEX(상세표[근무일자],$Q2844),"yyyy-mm-dd"),INDEX(상세표[근무일자],$Q2844)&amp;""))</f>
        <v/>
      </c>
      <c r="F2844">
        <f>IF($Q2844="","",IF(ISNUMBER(INDEX(상세표[시작],$Q2844)),TEXT(INDEX(상세표[시작],$Q2844),"yyyy-mm-dd hh:mm"),INDEX(상세표[시작],$Q2844)&amp;""))</f>
        <v/>
      </c>
      <c r="G2844">
        <f>IF($Q2844="","",IF(ISNUMBER(INDEX(상세표[블록종료],$Q2844)),TEXT(INDEX(상세표[블록종료],$Q2844),"yyyy-mm-dd hh:mm"),INDEX(상세표[블록종료],$Q2844)&amp;""))</f>
        <v/>
      </c>
      <c r="H2844">
        <f>IF($Q2844="","",CHOOSE(WEEKDAY(INDEX(상세표[시작],$Q2844)),"일","월","화","수","목","금","토"))</f>
        <v/>
      </c>
      <c r="I2844" s="20">
        <f>IF($Q2844="","",INDEX(상세표[연속 시간],$Q2844))</f>
        <v/>
      </c>
      <c r="J2844">
        <f>IF($Q2844="","",INDEX(상세표[기록 수],$Q2844))</f>
        <v/>
      </c>
      <c r="K2844" s="20">
        <f>IF($Q2844="","",INDEX(상세표[블록 06~07시],$Q2844))</f>
        <v/>
      </c>
      <c r="L2844" s="20">
        <f>IF($Q2844="","",INDEX(상세표[블록 07~18시],$Q2844))</f>
        <v/>
      </c>
      <c r="M2844" s="20">
        <f>IF($Q2844="","",INDEX(상세표[블록 18~22시],$Q2844))</f>
        <v/>
      </c>
      <c r="N2844" s="20">
        <f>IF($Q2844="","",INDEX(상세표[블록 22~06시],$Q2844))</f>
        <v/>
      </c>
      <c r="O2844">
        <f>IF($Q2844="","",INDEX(상세표[주말·휴일 포함],$Q2844)&amp;"")</f>
        <v/>
      </c>
      <c r="P2844">
        <f>IF($Q2844="","",INDEX(상세표[월 넘김 포함],$Q2844)&amp;"")</f>
        <v/>
      </c>
      <c r="Q2844" s="4">
        <f>IFERROR(MATCH(2839,상세표[연속순번],0),"")</f>
        <v/>
      </c>
    </row>
    <row r="2845">
      <c r="A2845">
        <f>IF($Q2845="","",INDEX(상세표[부서],$Q2845)&amp;"")</f>
        <v/>
      </c>
      <c r="B2845">
        <f>IF($Q2845="","",INDEX(상세표[사번],$Q2845)&amp;"")</f>
        <v/>
      </c>
      <c r="C2845">
        <f>IF($Q2845="","",INDEX(상세표[성명],$Q2845)&amp;"")</f>
        <v/>
      </c>
      <c r="D2845">
        <f>IF($Q2845="","",INDEX(상세표[직위],$Q2845)&amp;"")</f>
        <v/>
      </c>
      <c r="E2845">
        <f>IF($Q2845="","",IF(ISNUMBER(INDEX(상세표[근무일자],$Q2845)),TEXT(INDEX(상세표[근무일자],$Q2845),"yyyy-mm-dd"),INDEX(상세표[근무일자],$Q2845)&amp;""))</f>
        <v/>
      </c>
      <c r="F2845">
        <f>IF($Q2845="","",IF(ISNUMBER(INDEX(상세표[시작],$Q2845)),TEXT(INDEX(상세표[시작],$Q2845),"yyyy-mm-dd hh:mm"),INDEX(상세표[시작],$Q2845)&amp;""))</f>
        <v/>
      </c>
      <c r="G2845">
        <f>IF($Q2845="","",IF(ISNUMBER(INDEX(상세표[블록종료],$Q2845)),TEXT(INDEX(상세표[블록종료],$Q2845),"yyyy-mm-dd hh:mm"),INDEX(상세표[블록종료],$Q2845)&amp;""))</f>
        <v/>
      </c>
      <c r="H2845">
        <f>IF($Q2845="","",CHOOSE(WEEKDAY(INDEX(상세표[시작],$Q2845)),"일","월","화","수","목","금","토"))</f>
        <v/>
      </c>
      <c r="I2845" s="20">
        <f>IF($Q2845="","",INDEX(상세표[연속 시간],$Q2845))</f>
        <v/>
      </c>
      <c r="J2845">
        <f>IF($Q2845="","",INDEX(상세표[기록 수],$Q2845))</f>
        <v/>
      </c>
      <c r="K2845" s="20">
        <f>IF($Q2845="","",INDEX(상세표[블록 06~07시],$Q2845))</f>
        <v/>
      </c>
      <c r="L2845" s="20">
        <f>IF($Q2845="","",INDEX(상세표[블록 07~18시],$Q2845))</f>
        <v/>
      </c>
      <c r="M2845" s="20">
        <f>IF($Q2845="","",INDEX(상세표[블록 18~22시],$Q2845))</f>
        <v/>
      </c>
      <c r="N2845" s="20">
        <f>IF($Q2845="","",INDEX(상세표[블록 22~06시],$Q2845))</f>
        <v/>
      </c>
      <c r="O2845">
        <f>IF($Q2845="","",INDEX(상세표[주말·휴일 포함],$Q2845)&amp;"")</f>
        <v/>
      </c>
      <c r="P2845">
        <f>IF($Q2845="","",INDEX(상세표[월 넘김 포함],$Q2845)&amp;"")</f>
        <v/>
      </c>
      <c r="Q2845" s="4">
        <f>IFERROR(MATCH(2840,상세표[연속순번],0),"")</f>
        <v/>
      </c>
    </row>
    <row r="2846">
      <c r="A2846">
        <f>IF($Q2846="","",INDEX(상세표[부서],$Q2846)&amp;"")</f>
        <v/>
      </c>
      <c r="B2846">
        <f>IF($Q2846="","",INDEX(상세표[사번],$Q2846)&amp;"")</f>
        <v/>
      </c>
      <c r="C2846">
        <f>IF($Q2846="","",INDEX(상세표[성명],$Q2846)&amp;"")</f>
        <v/>
      </c>
      <c r="D2846">
        <f>IF($Q2846="","",INDEX(상세표[직위],$Q2846)&amp;"")</f>
        <v/>
      </c>
      <c r="E2846">
        <f>IF($Q2846="","",IF(ISNUMBER(INDEX(상세표[근무일자],$Q2846)),TEXT(INDEX(상세표[근무일자],$Q2846),"yyyy-mm-dd"),INDEX(상세표[근무일자],$Q2846)&amp;""))</f>
        <v/>
      </c>
      <c r="F2846">
        <f>IF($Q2846="","",IF(ISNUMBER(INDEX(상세표[시작],$Q2846)),TEXT(INDEX(상세표[시작],$Q2846),"yyyy-mm-dd hh:mm"),INDEX(상세표[시작],$Q2846)&amp;""))</f>
        <v/>
      </c>
      <c r="G2846">
        <f>IF($Q2846="","",IF(ISNUMBER(INDEX(상세표[블록종료],$Q2846)),TEXT(INDEX(상세표[블록종료],$Q2846),"yyyy-mm-dd hh:mm"),INDEX(상세표[블록종료],$Q2846)&amp;""))</f>
        <v/>
      </c>
      <c r="H2846">
        <f>IF($Q2846="","",CHOOSE(WEEKDAY(INDEX(상세표[시작],$Q2846)),"일","월","화","수","목","금","토"))</f>
        <v/>
      </c>
      <c r="I2846" s="20">
        <f>IF($Q2846="","",INDEX(상세표[연속 시간],$Q2846))</f>
        <v/>
      </c>
      <c r="J2846">
        <f>IF($Q2846="","",INDEX(상세표[기록 수],$Q2846))</f>
        <v/>
      </c>
      <c r="K2846" s="20">
        <f>IF($Q2846="","",INDEX(상세표[블록 06~07시],$Q2846))</f>
        <v/>
      </c>
      <c r="L2846" s="20">
        <f>IF($Q2846="","",INDEX(상세표[블록 07~18시],$Q2846))</f>
        <v/>
      </c>
      <c r="M2846" s="20">
        <f>IF($Q2846="","",INDEX(상세표[블록 18~22시],$Q2846))</f>
        <v/>
      </c>
      <c r="N2846" s="20">
        <f>IF($Q2846="","",INDEX(상세표[블록 22~06시],$Q2846))</f>
        <v/>
      </c>
      <c r="O2846">
        <f>IF($Q2846="","",INDEX(상세표[주말·휴일 포함],$Q2846)&amp;"")</f>
        <v/>
      </c>
      <c r="P2846">
        <f>IF($Q2846="","",INDEX(상세표[월 넘김 포함],$Q2846)&amp;"")</f>
        <v/>
      </c>
      <c r="Q2846" s="4">
        <f>IFERROR(MATCH(2841,상세표[연속순번],0),"")</f>
        <v/>
      </c>
    </row>
    <row r="2847">
      <c r="A2847">
        <f>IF($Q2847="","",INDEX(상세표[부서],$Q2847)&amp;"")</f>
        <v/>
      </c>
      <c r="B2847">
        <f>IF($Q2847="","",INDEX(상세표[사번],$Q2847)&amp;"")</f>
        <v/>
      </c>
      <c r="C2847">
        <f>IF($Q2847="","",INDEX(상세표[성명],$Q2847)&amp;"")</f>
        <v/>
      </c>
      <c r="D2847">
        <f>IF($Q2847="","",INDEX(상세표[직위],$Q2847)&amp;"")</f>
        <v/>
      </c>
      <c r="E2847">
        <f>IF($Q2847="","",IF(ISNUMBER(INDEX(상세표[근무일자],$Q2847)),TEXT(INDEX(상세표[근무일자],$Q2847),"yyyy-mm-dd"),INDEX(상세표[근무일자],$Q2847)&amp;""))</f>
        <v/>
      </c>
      <c r="F2847">
        <f>IF($Q2847="","",IF(ISNUMBER(INDEX(상세표[시작],$Q2847)),TEXT(INDEX(상세표[시작],$Q2847),"yyyy-mm-dd hh:mm"),INDEX(상세표[시작],$Q2847)&amp;""))</f>
        <v/>
      </c>
      <c r="G2847">
        <f>IF($Q2847="","",IF(ISNUMBER(INDEX(상세표[블록종료],$Q2847)),TEXT(INDEX(상세표[블록종료],$Q2847),"yyyy-mm-dd hh:mm"),INDEX(상세표[블록종료],$Q2847)&amp;""))</f>
        <v/>
      </c>
      <c r="H2847">
        <f>IF($Q2847="","",CHOOSE(WEEKDAY(INDEX(상세표[시작],$Q2847)),"일","월","화","수","목","금","토"))</f>
        <v/>
      </c>
      <c r="I2847" s="20">
        <f>IF($Q2847="","",INDEX(상세표[연속 시간],$Q2847))</f>
        <v/>
      </c>
      <c r="J2847">
        <f>IF($Q2847="","",INDEX(상세표[기록 수],$Q2847))</f>
        <v/>
      </c>
      <c r="K2847" s="20">
        <f>IF($Q2847="","",INDEX(상세표[블록 06~07시],$Q2847))</f>
        <v/>
      </c>
      <c r="L2847" s="20">
        <f>IF($Q2847="","",INDEX(상세표[블록 07~18시],$Q2847))</f>
        <v/>
      </c>
      <c r="M2847" s="20">
        <f>IF($Q2847="","",INDEX(상세표[블록 18~22시],$Q2847))</f>
        <v/>
      </c>
      <c r="N2847" s="20">
        <f>IF($Q2847="","",INDEX(상세표[블록 22~06시],$Q2847))</f>
        <v/>
      </c>
      <c r="O2847">
        <f>IF($Q2847="","",INDEX(상세표[주말·휴일 포함],$Q2847)&amp;"")</f>
        <v/>
      </c>
      <c r="P2847">
        <f>IF($Q2847="","",INDEX(상세표[월 넘김 포함],$Q2847)&amp;"")</f>
        <v/>
      </c>
      <c r="Q2847" s="4">
        <f>IFERROR(MATCH(2842,상세표[연속순번],0),"")</f>
        <v/>
      </c>
    </row>
    <row r="2848">
      <c r="A2848">
        <f>IF($Q2848="","",INDEX(상세표[부서],$Q2848)&amp;"")</f>
        <v/>
      </c>
      <c r="B2848">
        <f>IF($Q2848="","",INDEX(상세표[사번],$Q2848)&amp;"")</f>
        <v/>
      </c>
      <c r="C2848">
        <f>IF($Q2848="","",INDEX(상세표[성명],$Q2848)&amp;"")</f>
        <v/>
      </c>
      <c r="D2848">
        <f>IF($Q2848="","",INDEX(상세표[직위],$Q2848)&amp;"")</f>
        <v/>
      </c>
      <c r="E2848">
        <f>IF($Q2848="","",IF(ISNUMBER(INDEX(상세표[근무일자],$Q2848)),TEXT(INDEX(상세표[근무일자],$Q2848),"yyyy-mm-dd"),INDEX(상세표[근무일자],$Q2848)&amp;""))</f>
        <v/>
      </c>
      <c r="F2848">
        <f>IF($Q2848="","",IF(ISNUMBER(INDEX(상세표[시작],$Q2848)),TEXT(INDEX(상세표[시작],$Q2848),"yyyy-mm-dd hh:mm"),INDEX(상세표[시작],$Q2848)&amp;""))</f>
        <v/>
      </c>
      <c r="G2848">
        <f>IF($Q2848="","",IF(ISNUMBER(INDEX(상세표[블록종료],$Q2848)),TEXT(INDEX(상세표[블록종료],$Q2848),"yyyy-mm-dd hh:mm"),INDEX(상세표[블록종료],$Q2848)&amp;""))</f>
        <v/>
      </c>
      <c r="H2848">
        <f>IF($Q2848="","",CHOOSE(WEEKDAY(INDEX(상세표[시작],$Q2848)),"일","월","화","수","목","금","토"))</f>
        <v/>
      </c>
      <c r="I2848" s="20">
        <f>IF($Q2848="","",INDEX(상세표[연속 시간],$Q2848))</f>
        <v/>
      </c>
      <c r="J2848">
        <f>IF($Q2848="","",INDEX(상세표[기록 수],$Q2848))</f>
        <v/>
      </c>
      <c r="K2848" s="20">
        <f>IF($Q2848="","",INDEX(상세표[블록 06~07시],$Q2848))</f>
        <v/>
      </c>
      <c r="L2848" s="20">
        <f>IF($Q2848="","",INDEX(상세표[블록 07~18시],$Q2848))</f>
        <v/>
      </c>
      <c r="M2848" s="20">
        <f>IF($Q2848="","",INDEX(상세표[블록 18~22시],$Q2848))</f>
        <v/>
      </c>
      <c r="N2848" s="20">
        <f>IF($Q2848="","",INDEX(상세표[블록 22~06시],$Q2848))</f>
        <v/>
      </c>
      <c r="O2848">
        <f>IF($Q2848="","",INDEX(상세표[주말·휴일 포함],$Q2848)&amp;"")</f>
        <v/>
      </c>
      <c r="P2848">
        <f>IF($Q2848="","",INDEX(상세표[월 넘김 포함],$Q2848)&amp;"")</f>
        <v/>
      </c>
      <c r="Q2848" s="4">
        <f>IFERROR(MATCH(2843,상세표[연속순번],0),"")</f>
        <v/>
      </c>
    </row>
    <row r="2849">
      <c r="A2849">
        <f>IF($Q2849="","",INDEX(상세표[부서],$Q2849)&amp;"")</f>
        <v/>
      </c>
      <c r="B2849">
        <f>IF($Q2849="","",INDEX(상세표[사번],$Q2849)&amp;"")</f>
        <v/>
      </c>
      <c r="C2849">
        <f>IF($Q2849="","",INDEX(상세표[성명],$Q2849)&amp;"")</f>
        <v/>
      </c>
      <c r="D2849">
        <f>IF($Q2849="","",INDEX(상세표[직위],$Q2849)&amp;"")</f>
        <v/>
      </c>
      <c r="E2849">
        <f>IF($Q2849="","",IF(ISNUMBER(INDEX(상세표[근무일자],$Q2849)),TEXT(INDEX(상세표[근무일자],$Q2849),"yyyy-mm-dd"),INDEX(상세표[근무일자],$Q2849)&amp;""))</f>
        <v/>
      </c>
      <c r="F2849">
        <f>IF($Q2849="","",IF(ISNUMBER(INDEX(상세표[시작],$Q2849)),TEXT(INDEX(상세표[시작],$Q2849),"yyyy-mm-dd hh:mm"),INDEX(상세표[시작],$Q2849)&amp;""))</f>
        <v/>
      </c>
      <c r="G2849">
        <f>IF($Q2849="","",IF(ISNUMBER(INDEX(상세표[블록종료],$Q2849)),TEXT(INDEX(상세표[블록종료],$Q2849),"yyyy-mm-dd hh:mm"),INDEX(상세표[블록종료],$Q2849)&amp;""))</f>
        <v/>
      </c>
      <c r="H2849">
        <f>IF($Q2849="","",CHOOSE(WEEKDAY(INDEX(상세표[시작],$Q2849)),"일","월","화","수","목","금","토"))</f>
        <v/>
      </c>
      <c r="I2849" s="20">
        <f>IF($Q2849="","",INDEX(상세표[연속 시간],$Q2849))</f>
        <v/>
      </c>
      <c r="J2849">
        <f>IF($Q2849="","",INDEX(상세표[기록 수],$Q2849))</f>
        <v/>
      </c>
      <c r="K2849" s="20">
        <f>IF($Q2849="","",INDEX(상세표[블록 06~07시],$Q2849))</f>
        <v/>
      </c>
      <c r="L2849" s="20">
        <f>IF($Q2849="","",INDEX(상세표[블록 07~18시],$Q2849))</f>
        <v/>
      </c>
      <c r="M2849" s="20">
        <f>IF($Q2849="","",INDEX(상세표[블록 18~22시],$Q2849))</f>
        <v/>
      </c>
      <c r="N2849" s="20">
        <f>IF($Q2849="","",INDEX(상세표[블록 22~06시],$Q2849))</f>
        <v/>
      </c>
      <c r="O2849">
        <f>IF($Q2849="","",INDEX(상세표[주말·휴일 포함],$Q2849)&amp;"")</f>
        <v/>
      </c>
      <c r="P2849">
        <f>IF($Q2849="","",INDEX(상세표[월 넘김 포함],$Q2849)&amp;"")</f>
        <v/>
      </c>
      <c r="Q2849" s="4">
        <f>IFERROR(MATCH(2844,상세표[연속순번],0),"")</f>
        <v/>
      </c>
    </row>
    <row r="2850">
      <c r="A2850">
        <f>IF($Q2850="","",INDEX(상세표[부서],$Q2850)&amp;"")</f>
        <v/>
      </c>
      <c r="B2850">
        <f>IF($Q2850="","",INDEX(상세표[사번],$Q2850)&amp;"")</f>
        <v/>
      </c>
      <c r="C2850">
        <f>IF($Q2850="","",INDEX(상세표[성명],$Q2850)&amp;"")</f>
        <v/>
      </c>
      <c r="D2850">
        <f>IF($Q2850="","",INDEX(상세표[직위],$Q2850)&amp;"")</f>
        <v/>
      </c>
      <c r="E2850">
        <f>IF($Q2850="","",IF(ISNUMBER(INDEX(상세표[근무일자],$Q2850)),TEXT(INDEX(상세표[근무일자],$Q2850),"yyyy-mm-dd"),INDEX(상세표[근무일자],$Q2850)&amp;""))</f>
        <v/>
      </c>
      <c r="F2850">
        <f>IF($Q2850="","",IF(ISNUMBER(INDEX(상세표[시작],$Q2850)),TEXT(INDEX(상세표[시작],$Q2850),"yyyy-mm-dd hh:mm"),INDEX(상세표[시작],$Q2850)&amp;""))</f>
        <v/>
      </c>
      <c r="G2850">
        <f>IF($Q2850="","",IF(ISNUMBER(INDEX(상세표[블록종료],$Q2850)),TEXT(INDEX(상세표[블록종료],$Q2850),"yyyy-mm-dd hh:mm"),INDEX(상세표[블록종료],$Q2850)&amp;""))</f>
        <v/>
      </c>
      <c r="H2850">
        <f>IF($Q2850="","",CHOOSE(WEEKDAY(INDEX(상세표[시작],$Q2850)),"일","월","화","수","목","금","토"))</f>
        <v/>
      </c>
      <c r="I2850" s="20">
        <f>IF($Q2850="","",INDEX(상세표[연속 시간],$Q2850))</f>
        <v/>
      </c>
      <c r="J2850">
        <f>IF($Q2850="","",INDEX(상세표[기록 수],$Q2850))</f>
        <v/>
      </c>
      <c r="K2850" s="20">
        <f>IF($Q2850="","",INDEX(상세표[블록 06~07시],$Q2850))</f>
        <v/>
      </c>
      <c r="L2850" s="20">
        <f>IF($Q2850="","",INDEX(상세표[블록 07~18시],$Q2850))</f>
        <v/>
      </c>
      <c r="M2850" s="20">
        <f>IF($Q2850="","",INDEX(상세표[블록 18~22시],$Q2850))</f>
        <v/>
      </c>
      <c r="N2850" s="20">
        <f>IF($Q2850="","",INDEX(상세표[블록 22~06시],$Q2850))</f>
        <v/>
      </c>
      <c r="O2850">
        <f>IF($Q2850="","",INDEX(상세표[주말·휴일 포함],$Q2850)&amp;"")</f>
        <v/>
      </c>
      <c r="P2850">
        <f>IF($Q2850="","",INDEX(상세표[월 넘김 포함],$Q2850)&amp;"")</f>
        <v/>
      </c>
      <c r="Q2850" s="4">
        <f>IFERROR(MATCH(2845,상세표[연속순번],0),"")</f>
        <v/>
      </c>
    </row>
    <row r="2851">
      <c r="A2851">
        <f>IF($Q2851="","",INDEX(상세표[부서],$Q2851)&amp;"")</f>
        <v/>
      </c>
      <c r="B2851">
        <f>IF($Q2851="","",INDEX(상세표[사번],$Q2851)&amp;"")</f>
        <v/>
      </c>
      <c r="C2851">
        <f>IF($Q2851="","",INDEX(상세표[성명],$Q2851)&amp;"")</f>
        <v/>
      </c>
      <c r="D2851">
        <f>IF($Q2851="","",INDEX(상세표[직위],$Q2851)&amp;"")</f>
        <v/>
      </c>
      <c r="E2851">
        <f>IF($Q2851="","",IF(ISNUMBER(INDEX(상세표[근무일자],$Q2851)),TEXT(INDEX(상세표[근무일자],$Q2851),"yyyy-mm-dd"),INDEX(상세표[근무일자],$Q2851)&amp;""))</f>
        <v/>
      </c>
      <c r="F2851">
        <f>IF($Q2851="","",IF(ISNUMBER(INDEX(상세표[시작],$Q2851)),TEXT(INDEX(상세표[시작],$Q2851),"yyyy-mm-dd hh:mm"),INDEX(상세표[시작],$Q2851)&amp;""))</f>
        <v/>
      </c>
      <c r="G2851">
        <f>IF($Q2851="","",IF(ISNUMBER(INDEX(상세표[블록종료],$Q2851)),TEXT(INDEX(상세표[블록종료],$Q2851),"yyyy-mm-dd hh:mm"),INDEX(상세표[블록종료],$Q2851)&amp;""))</f>
        <v/>
      </c>
      <c r="H2851">
        <f>IF($Q2851="","",CHOOSE(WEEKDAY(INDEX(상세표[시작],$Q2851)),"일","월","화","수","목","금","토"))</f>
        <v/>
      </c>
      <c r="I2851" s="20">
        <f>IF($Q2851="","",INDEX(상세표[연속 시간],$Q2851))</f>
        <v/>
      </c>
      <c r="J2851">
        <f>IF($Q2851="","",INDEX(상세표[기록 수],$Q2851))</f>
        <v/>
      </c>
      <c r="K2851" s="20">
        <f>IF($Q2851="","",INDEX(상세표[블록 06~07시],$Q2851))</f>
        <v/>
      </c>
      <c r="L2851" s="20">
        <f>IF($Q2851="","",INDEX(상세표[블록 07~18시],$Q2851))</f>
        <v/>
      </c>
      <c r="M2851" s="20">
        <f>IF($Q2851="","",INDEX(상세표[블록 18~22시],$Q2851))</f>
        <v/>
      </c>
      <c r="N2851" s="20">
        <f>IF($Q2851="","",INDEX(상세표[블록 22~06시],$Q2851))</f>
        <v/>
      </c>
      <c r="O2851">
        <f>IF($Q2851="","",INDEX(상세표[주말·휴일 포함],$Q2851)&amp;"")</f>
        <v/>
      </c>
      <c r="P2851">
        <f>IF($Q2851="","",INDEX(상세표[월 넘김 포함],$Q2851)&amp;"")</f>
        <v/>
      </c>
      <c r="Q2851" s="4">
        <f>IFERROR(MATCH(2846,상세표[연속순번],0),"")</f>
        <v/>
      </c>
    </row>
    <row r="2852">
      <c r="A2852">
        <f>IF($Q2852="","",INDEX(상세표[부서],$Q2852)&amp;"")</f>
        <v/>
      </c>
      <c r="B2852">
        <f>IF($Q2852="","",INDEX(상세표[사번],$Q2852)&amp;"")</f>
        <v/>
      </c>
      <c r="C2852">
        <f>IF($Q2852="","",INDEX(상세표[성명],$Q2852)&amp;"")</f>
        <v/>
      </c>
      <c r="D2852">
        <f>IF($Q2852="","",INDEX(상세표[직위],$Q2852)&amp;"")</f>
        <v/>
      </c>
      <c r="E2852">
        <f>IF($Q2852="","",IF(ISNUMBER(INDEX(상세표[근무일자],$Q2852)),TEXT(INDEX(상세표[근무일자],$Q2852),"yyyy-mm-dd"),INDEX(상세표[근무일자],$Q2852)&amp;""))</f>
        <v/>
      </c>
      <c r="F2852">
        <f>IF($Q2852="","",IF(ISNUMBER(INDEX(상세표[시작],$Q2852)),TEXT(INDEX(상세표[시작],$Q2852),"yyyy-mm-dd hh:mm"),INDEX(상세표[시작],$Q2852)&amp;""))</f>
        <v/>
      </c>
      <c r="G2852">
        <f>IF($Q2852="","",IF(ISNUMBER(INDEX(상세표[블록종료],$Q2852)),TEXT(INDEX(상세표[블록종료],$Q2852),"yyyy-mm-dd hh:mm"),INDEX(상세표[블록종료],$Q2852)&amp;""))</f>
        <v/>
      </c>
      <c r="H2852">
        <f>IF($Q2852="","",CHOOSE(WEEKDAY(INDEX(상세표[시작],$Q2852)),"일","월","화","수","목","금","토"))</f>
        <v/>
      </c>
      <c r="I2852" s="20">
        <f>IF($Q2852="","",INDEX(상세표[연속 시간],$Q2852))</f>
        <v/>
      </c>
      <c r="J2852">
        <f>IF($Q2852="","",INDEX(상세표[기록 수],$Q2852))</f>
        <v/>
      </c>
      <c r="K2852" s="20">
        <f>IF($Q2852="","",INDEX(상세표[블록 06~07시],$Q2852))</f>
        <v/>
      </c>
      <c r="L2852" s="20">
        <f>IF($Q2852="","",INDEX(상세표[블록 07~18시],$Q2852))</f>
        <v/>
      </c>
      <c r="M2852" s="20">
        <f>IF($Q2852="","",INDEX(상세표[블록 18~22시],$Q2852))</f>
        <v/>
      </c>
      <c r="N2852" s="20">
        <f>IF($Q2852="","",INDEX(상세표[블록 22~06시],$Q2852))</f>
        <v/>
      </c>
      <c r="O2852">
        <f>IF($Q2852="","",INDEX(상세표[주말·휴일 포함],$Q2852)&amp;"")</f>
        <v/>
      </c>
      <c r="P2852">
        <f>IF($Q2852="","",INDEX(상세표[월 넘김 포함],$Q2852)&amp;"")</f>
        <v/>
      </c>
      <c r="Q2852" s="4">
        <f>IFERROR(MATCH(2847,상세표[연속순번],0),"")</f>
        <v/>
      </c>
    </row>
    <row r="2853">
      <c r="A2853">
        <f>IF($Q2853="","",INDEX(상세표[부서],$Q2853)&amp;"")</f>
        <v/>
      </c>
      <c r="B2853">
        <f>IF($Q2853="","",INDEX(상세표[사번],$Q2853)&amp;"")</f>
        <v/>
      </c>
      <c r="C2853">
        <f>IF($Q2853="","",INDEX(상세표[성명],$Q2853)&amp;"")</f>
        <v/>
      </c>
      <c r="D2853">
        <f>IF($Q2853="","",INDEX(상세표[직위],$Q2853)&amp;"")</f>
        <v/>
      </c>
      <c r="E2853">
        <f>IF($Q2853="","",IF(ISNUMBER(INDEX(상세표[근무일자],$Q2853)),TEXT(INDEX(상세표[근무일자],$Q2853),"yyyy-mm-dd"),INDEX(상세표[근무일자],$Q2853)&amp;""))</f>
        <v/>
      </c>
      <c r="F2853">
        <f>IF($Q2853="","",IF(ISNUMBER(INDEX(상세표[시작],$Q2853)),TEXT(INDEX(상세표[시작],$Q2853),"yyyy-mm-dd hh:mm"),INDEX(상세표[시작],$Q2853)&amp;""))</f>
        <v/>
      </c>
      <c r="G2853">
        <f>IF($Q2853="","",IF(ISNUMBER(INDEX(상세표[블록종료],$Q2853)),TEXT(INDEX(상세표[블록종료],$Q2853),"yyyy-mm-dd hh:mm"),INDEX(상세표[블록종료],$Q2853)&amp;""))</f>
        <v/>
      </c>
      <c r="H2853">
        <f>IF($Q2853="","",CHOOSE(WEEKDAY(INDEX(상세표[시작],$Q2853)),"일","월","화","수","목","금","토"))</f>
        <v/>
      </c>
      <c r="I2853" s="20">
        <f>IF($Q2853="","",INDEX(상세표[연속 시간],$Q2853))</f>
        <v/>
      </c>
      <c r="J2853">
        <f>IF($Q2853="","",INDEX(상세표[기록 수],$Q2853))</f>
        <v/>
      </c>
      <c r="K2853" s="20">
        <f>IF($Q2853="","",INDEX(상세표[블록 06~07시],$Q2853))</f>
        <v/>
      </c>
      <c r="L2853" s="20">
        <f>IF($Q2853="","",INDEX(상세표[블록 07~18시],$Q2853))</f>
        <v/>
      </c>
      <c r="M2853" s="20">
        <f>IF($Q2853="","",INDEX(상세표[블록 18~22시],$Q2853))</f>
        <v/>
      </c>
      <c r="N2853" s="20">
        <f>IF($Q2853="","",INDEX(상세표[블록 22~06시],$Q2853))</f>
        <v/>
      </c>
      <c r="O2853">
        <f>IF($Q2853="","",INDEX(상세표[주말·휴일 포함],$Q2853)&amp;"")</f>
        <v/>
      </c>
      <c r="P2853">
        <f>IF($Q2853="","",INDEX(상세표[월 넘김 포함],$Q2853)&amp;"")</f>
        <v/>
      </c>
      <c r="Q2853" s="4">
        <f>IFERROR(MATCH(2848,상세표[연속순번],0),"")</f>
        <v/>
      </c>
    </row>
    <row r="2854">
      <c r="A2854">
        <f>IF($Q2854="","",INDEX(상세표[부서],$Q2854)&amp;"")</f>
        <v/>
      </c>
      <c r="B2854">
        <f>IF($Q2854="","",INDEX(상세표[사번],$Q2854)&amp;"")</f>
        <v/>
      </c>
      <c r="C2854">
        <f>IF($Q2854="","",INDEX(상세표[성명],$Q2854)&amp;"")</f>
        <v/>
      </c>
      <c r="D2854">
        <f>IF($Q2854="","",INDEX(상세표[직위],$Q2854)&amp;"")</f>
        <v/>
      </c>
      <c r="E2854">
        <f>IF($Q2854="","",IF(ISNUMBER(INDEX(상세표[근무일자],$Q2854)),TEXT(INDEX(상세표[근무일자],$Q2854),"yyyy-mm-dd"),INDEX(상세표[근무일자],$Q2854)&amp;""))</f>
        <v/>
      </c>
      <c r="F2854">
        <f>IF($Q2854="","",IF(ISNUMBER(INDEX(상세표[시작],$Q2854)),TEXT(INDEX(상세표[시작],$Q2854),"yyyy-mm-dd hh:mm"),INDEX(상세표[시작],$Q2854)&amp;""))</f>
        <v/>
      </c>
      <c r="G2854">
        <f>IF($Q2854="","",IF(ISNUMBER(INDEX(상세표[블록종료],$Q2854)),TEXT(INDEX(상세표[블록종료],$Q2854),"yyyy-mm-dd hh:mm"),INDEX(상세표[블록종료],$Q2854)&amp;""))</f>
        <v/>
      </c>
      <c r="H2854">
        <f>IF($Q2854="","",CHOOSE(WEEKDAY(INDEX(상세표[시작],$Q2854)),"일","월","화","수","목","금","토"))</f>
        <v/>
      </c>
      <c r="I2854" s="20">
        <f>IF($Q2854="","",INDEX(상세표[연속 시간],$Q2854))</f>
        <v/>
      </c>
      <c r="J2854">
        <f>IF($Q2854="","",INDEX(상세표[기록 수],$Q2854))</f>
        <v/>
      </c>
      <c r="K2854" s="20">
        <f>IF($Q2854="","",INDEX(상세표[블록 06~07시],$Q2854))</f>
        <v/>
      </c>
      <c r="L2854" s="20">
        <f>IF($Q2854="","",INDEX(상세표[블록 07~18시],$Q2854))</f>
        <v/>
      </c>
      <c r="M2854" s="20">
        <f>IF($Q2854="","",INDEX(상세표[블록 18~22시],$Q2854))</f>
        <v/>
      </c>
      <c r="N2854" s="20">
        <f>IF($Q2854="","",INDEX(상세표[블록 22~06시],$Q2854))</f>
        <v/>
      </c>
      <c r="O2854">
        <f>IF($Q2854="","",INDEX(상세표[주말·휴일 포함],$Q2854)&amp;"")</f>
        <v/>
      </c>
      <c r="P2854">
        <f>IF($Q2854="","",INDEX(상세표[월 넘김 포함],$Q2854)&amp;"")</f>
        <v/>
      </c>
      <c r="Q2854" s="4">
        <f>IFERROR(MATCH(2849,상세표[연속순번],0),"")</f>
        <v/>
      </c>
    </row>
    <row r="2855">
      <c r="A2855">
        <f>IF($Q2855="","",INDEX(상세표[부서],$Q2855)&amp;"")</f>
        <v/>
      </c>
      <c r="B2855">
        <f>IF($Q2855="","",INDEX(상세표[사번],$Q2855)&amp;"")</f>
        <v/>
      </c>
      <c r="C2855">
        <f>IF($Q2855="","",INDEX(상세표[성명],$Q2855)&amp;"")</f>
        <v/>
      </c>
      <c r="D2855">
        <f>IF($Q2855="","",INDEX(상세표[직위],$Q2855)&amp;"")</f>
        <v/>
      </c>
      <c r="E2855">
        <f>IF($Q2855="","",IF(ISNUMBER(INDEX(상세표[근무일자],$Q2855)),TEXT(INDEX(상세표[근무일자],$Q2855),"yyyy-mm-dd"),INDEX(상세표[근무일자],$Q2855)&amp;""))</f>
        <v/>
      </c>
      <c r="F2855">
        <f>IF($Q2855="","",IF(ISNUMBER(INDEX(상세표[시작],$Q2855)),TEXT(INDEX(상세표[시작],$Q2855),"yyyy-mm-dd hh:mm"),INDEX(상세표[시작],$Q2855)&amp;""))</f>
        <v/>
      </c>
      <c r="G2855">
        <f>IF($Q2855="","",IF(ISNUMBER(INDEX(상세표[블록종료],$Q2855)),TEXT(INDEX(상세표[블록종료],$Q2855),"yyyy-mm-dd hh:mm"),INDEX(상세표[블록종료],$Q2855)&amp;""))</f>
        <v/>
      </c>
      <c r="H2855">
        <f>IF($Q2855="","",CHOOSE(WEEKDAY(INDEX(상세표[시작],$Q2855)),"일","월","화","수","목","금","토"))</f>
        <v/>
      </c>
      <c r="I2855" s="20">
        <f>IF($Q2855="","",INDEX(상세표[연속 시간],$Q2855))</f>
        <v/>
      </c>
      <c r="J2855">
        <f>IF($Q2855="","",INDEX(상세표[기록 수],$Q2855))</f>
        <v/>
      </c>
      <c r="K2855" s="20">
        <f>IF($Q2855="","",INDEX(상세표[블록 06~07시],$Q2855))</f>
        <v/>
      </c>
      <c r="L2855" s="20">
        <f>IF($Q2855="","",INDEX(상세표[블록 07~18시],$Q2855))</f>
        <v/>
      </c>
      <c r="M2855" s="20">
        <f>IF($Q2855="","",INDEX(상세표[블록 18~22시],$Q2855))</f>
        <v/>
      </c>
      <c r="N2855" s="20">
        <f>IF($Q2855="","",INDEX(상세표[블록 22~06시],$Q2855))</f>
        <v/>
      </c>
      <c r="O2855">
        <f>IF($Q2855="","",INDEX(상세표[주말·휴일 포함],$Q2855)&amp;"")</f>
        <v/>
      </c>
      <c r="P2855">
        <f>IF($Q2855="","",INDEX(상세표[월 넘김 포함],$Q2855)&amp;"")</f>
        <v/>
      </c>
      <c r="Q2855" s="4">
        <f>IFERROR(MATCH(2850,상세표[연속순번],0),"")</f>
        <v/>
      </c>
    </row>
    <row r="2856">
      <c r="A2856">
        <f>IF($Q2856="","",INDEX(상세표[부서],$Q2856)&amp;"")</f>
        <v/>
      </c>
      <c r="B2856">
        <f>IF($Q2856="","",INDEX(상세표[사번],$Q2856)&amp;"")</f>
        <v/>
      </c>
      <c r="C2856">
        <f>IF($Q2856="","",INDEX(상세표[성명],$Q2856)&amp;"")</f>
        <v/>
      </c>
      <c r="D2856">
        <f>IF($Q2856="","",INDEX(상세표[직위],$Q2856)&amp;"")</f>
        <v/>
      </c>
      <c r="E2856">
        <f>IF($Q2856="","",IF(ISNUMBER(INDEX(상세표[근무일자],$Q2856)),TEXT(INDEX(상세표[근무일자],$Q2856),"yyyy-mm-dd"),INDEX(상세표[근무일자],$Q2856)&amp;""))</f>
        <v/>
      </c>
      <c r="F2856">
        <f>IF($Q2856="","",IF(ISNUMBER(INDEX(상세표[시작],$Q2856)),TEXT(INDEX(상세표[시작],$Q2856),"yyyy-mm-dd hh:mm"),INDEX(상세표[시작],$Q2856)&amp;""))</f>
        <v/>
      </c>
      <c r="G2856">
        <f>IF($Q2856="","",IF(ISNUMBER(INDEX(상세표[블록종료],$Q2856)),TEXT(INDEX(상세표[블록종료],$Q2856),"yyyy-mm-dd hh:mm"),INDEX(상세표[블록종료],$Q2856)&amp;""))</f>
        <v/>
      </c>
      <c r="H2856">
        <f>IF($Q2856="","",CHOOSE(WEEKDAY(INDEX(상세표[시작],$Q2856)),"일","월","화","수","목","금","토"))</f>
        <v/>
      </c>
      <c r="I2856" s="20">
        <f>IF($Q2856="","",INDEX(상세표[연속 시간],$Q2856))</f>
        <v/>
      </c>
      <c r="J2856">
        <f>IF($Q2856="","",INDEX(상세표[기록 수],$Q2856))</f>
        <v/>
      </c>
      <c r="K2856" s="20">
        <f>IF($Q2856="","",INDEX(상세표[블록 06~07시],$Q2856))</f>
        <v/>
      </c>
      <c r="L2856" s="20">
        <f>IF($Q2856="","",INDEX(상세표[블록 07~18시],$Q2856))</f>
        <v/>
      </c>
      <c r="M2856" s="20">
        <f>IF($Q2856="","",INDEX(상세표[블록 18~22시],$Q2856))</f>
        <v/>
      </c>
      <c r="N2856" s="20">
        <f>IF($Q2856="","",INDEX(상세표[블록 22~06시],$Q2856))</f>
        <v/>
      </c>
      <c r="O2856">
        <f>IF($Q2856="","",INDEX(상세표[주말·휴일 포함],$Q2856)&amp;"")</f>
        <v/>
      </c>
      <c r="P2856">
        <f>IF($Q2856="","",INDEX(상세표[월 넘김 포함],$Q2856)&amp;"")</f>
        <v/>
      </c>
      <c r="Q2856" s="4">
        <f>IFERROR(MATCH(2851,상세표[연속순번],0),"")</f>
        <v/>
      </c>
    </row>
    <row r="2857">
      <c r="A2857">
        <f>IF($Q2857="","",INDEX(상세표[부서],$Q2857)&amp;"")</f>
        <v/>
      </c>
      <c r="B2857">
        <f>IF($Q2857="","",INDEX(상세표[사번],$Q2857)&amp;"")</f>
        <v/>
      </c>
      <c r="C2857">
        <f>IF($Q2857="","",INDEX(상세표[성명],$Q2857)&amp;"")</f>
        <v/>
      </c>
      <c r="D2857">
        <f>IF($Q2857="","",INDEX(상세표[직위],$Q2857)&amp;"")</f>
        <v/>
      </c>
      <c r="E2857">
        <f>IF($Q2857="","",IF(ISNUMBER(INDEX(상세표[근무일자],$Q2857)),TEXT(INDEX(상세표[근무일자],$Q2857),"yyyy-mm-dd"),INDEX(상세표[근무일자],$Q2857)&amp;""))</f>
        <v/>
      </c>
      <c r="F2857">
        <f>IF($Q2857="","",IF(ISNUMBER(INDEX(상세표[시작],$Q2857)),TEXT(INDEX(상세표[시작],$Q2857),"yyyy-mm-dd hh:mm"),INDEX(상세표[시작],$Q2857)&amp;""))</f>
        <v/>
      </c>
      <c r="G2857">
        <f>IF($Q2857="","",IF(ISNUMBER(INDEX(상세표[블록종료],$Q2857)),TEXT(INDEX(상세표[블록종료],$Q2857),"yyyy-mm-dd hh:mm"),INDEX(상세표[블록종료],$Q2857)&amp;""))</f>
        <v/>
      </c>
      <c r="H2857">
        <f>IF($Q2857="","",CHOOSE(WEEKDAY(INDEX(상세표[시작],$Q2857)),"일","월","화","수","목","금","토"))</f>
        <v/>
      </c>
      <c r="I2857" s="20">
        <f>IF($Q2857="","",INDEX(상세표[연속 시간],$Q2857))</f>
        <v/>
      </c>
      <c r="J2857">
        <f>IF($Q2857="","",INDEX(상세표[기록 수],$Q2857))</f>
        <v/>
      </c>
      <c r="K2857" s="20">
        <f>IF($Q2857="","",INDEX(상세표[블록 06~07시],$Q2857))</f>
        <v/>
      </c>
      <c r="L2857" s="20">
        <f>IF($Q2857="","",INDEX(상세표[블록 07~18시],$Q2857))</f>
        <v/>
      </c>
      <c r="M2857" s="20">
        <f>IF($Q2857="","",INDEX(상세표[블록 18~22시],$Q2857))</f>
        <v/>
      </c>
      <c r="N2857" s="20">
        <f>IF($Q2857="","",INDEX(상세표[블록 22~06시],$Q2857))</f>
        <v/>
      </c>
      <c r="O2857">
        <f>IF($Q2857="","",INDEX(상세표[주말·휴일 포함],$Q2857)&amp;"")</f>
        <v/>
      </c>
      <c r="P2857">
        <f>IF($Q2857="","",INDEX(상세표[월 넘김 포함],$Q2857)&amp;"")</f>
        <v/>
      </c>
      <c r="Q2857" s="4">
        <f>IFERROR(MATCH(2852,상세표[연속순번],0),"")</f>
        <v/>
      </c>
    </row>
    <row r="2858">
      <c r="A2858">
        <f>IF($Q2858="","",INDEX(상세표[부서],$Q2858)&amp;"")</f>
        <v/>
      </c>
      <c r="B2858">
        <f>IF($Q2858="","",INDEX(상세표[사번],$Q2858)&amp;"")</f>
        <v/>
      </c>
      <c r="C2858">
        <f>IF($Q2858="","",INDEX(상세표[성명],$Q2858)&amp;"")</f>
        <v/>
      </c>
      <c r="D2858">
        <f>IF($Q2858="","",INDEX(상세표[직위],$Q2858)&amp;"")</f>
        <v/>
      </c>
      <c r="E2858">
        <f>IF($Q2858="","",IF(ISNUMBER(INDEX(상세표[근무일자],$Q2858)),TEXT(INDEX(상세표[근무일자],$Q2858),"yyyy-mm-dd"),INDEX(상세표[근무일자],$Q2858)&amp;""))</f>
        <v/>
      </c>
      <c r="F2858">
        <f>IF($Q2858="","",IF(ISNUMBER(INDEX(상세표[시작],$Q2858)),TEXT(INDEX(상세표[시작],$Q2858),"yyyy-mm-dd hh:mm"),INDEX(상세표[시작],$Q2858)&amp;""))</f>
        <v/>
      </c>
      <c r="G2858">
        <f>IF($Q2858="","",IF(ISNUMBER(INDEX(상세표[블록종료],$Q2858)),TEXT(INDEX(상세표[블록종료],$Q2858),"yyyy-mm-dd hh:mm"),INDEX(상세표[블록종료],$Q2858)&amp;""))</f>
        <v/>
      </c>
      <c r="H2858">
        <f>IF($Q2858="","",CHOOSE(WEEKDAY(INDEX(상세표[시작],$Q2858)),"일","월","화","수","목","금","토"))</f>
        <v/>
      </c>
      <c r="I2858" s="20">
        <f>IF($Q2858="","",INDEX(상세표[연속 시간],$Q2858))</f>
        <v/>
      </c>
      <c r="J2858">
        <f>IF($Q2858="","",INDEX(상세표[기록 수],$Q2858))</f>
        <v/>
      </c>
      <c r="K2858" s="20">
        <f>IF($Q2858="","",INDEX(상세표[블록 06~07시],$Q2858))</f>
        <v/>
      </c>
      <c r="L2858" s="20">
        <f>IF($Q2858="","",INDEX(상세표[블록 07~18시],$Q2858))</f>
        <v/>
      </c>
      <c r="M2858" s="20">
        <f>IF($Q2858="","",INDEX(상세표[블록 18~22시],$Q2858))</f>
        <v/>
      </c>
      <c r="N2858" s="20">
        <f>IF($Q2858="","",INDEX(상세표[블록 22~06시],$Q2858))</f>
        <v/>
      </c>
      <c r="O2858">
        <f>IF($Q2858="","",INDEX(상세표[주말·휴일 포함],$Q2858)&amp;"")</f>
        <v/>
      </c>
      <c r="P2858">
        <f>IF($Q2858="","",INDEX(상세표[월 넘김 포함],$Q2858)&amp;"")</f>
        <v/>
      </c>
      <c r="Q2858" s="4">
        <f>IFERROR(MATCH(2853,상세표[연속순번],0),"")</f>
        <v/>
      </c>
    </row>
    <row r="2859">
      <c r="A2859">
        <f>IF($Q2859="","",INDEX(상세표[부서],$Q2859)&amp;"")</f>
        <v/>
      </c>
      <c r="B2859">
        <f>IF($Q2859="","",INDEX(상세표[사번],$Q2859)&amp;"")</f>
        <v/>
      </c>
      <c r="C2859">
        <f>IF($Q2859="","",INDEX(상세표[성명],$Q2859)&amp;"")</f>
        <v/>
      </c>
      <c r="D2859">
        <f>IF($Q2859="","",INDEX(상세표[직위],$Q2859)&amp;"")</f>
        <v/>
      </c>
      <c r="E2859">
        <f>IF($Q2859="","",IF(ISNUMBER(INDEX(상세표[근무일자],$Q2859)),TEXT(INDEX(상세표[근무일자],$Q2859),"yyyy-mm-dd"),INDEX(상세표[근무일자],$Q2859)&amp;""))</f>
        <v/>
      </c>
      <c r="F2859">
        <f>IF($Q2859="","",IF(ISNUMBER(INDEX(상세표[시작],$Q2859)),TEXT(INDEX(상세표[시작],$Q2859),"yyyy-mm-dd hh:mm"),INDEX(상세표[시작],$Q2859)&amp;""))</f>
        <v/>
      </c>
      <c r="G2859">
        <f>IF($Q2859="","",IF(ISNUMBER(INDEX(상세표[블록종료],$Q2859)),TEXT(INDEX(상세표[블록종료],$Q2859),"yyyy-mm-dd hh:mm"),INDEX(상세표[블록종료],$Q2859)&amp;""))</f>
        <v/>
      </c>
      <c r="H2859">
        <f>IF($Q2859="","",CHOOSE(WEEKDAY(INDEX(상세표[시작],$Q2859)),"일","월","화","수","목","금","토"))</f>
        <v/>
      </c>
      <c r="I2859" s="20">
        <f>IF($Q2859="","",INDEX(상세표[연속 시간],$Q2859))</f>
        <v/>
      </c>
      <c r="J2859">
        <f>IF($Q2859="","",INDEX(상세표[기록 수],$Q2859))</f>
        <v/>
      </c>
      <c r="K2859" s="20">
        <f>IF($Q2859="","",INDEX(상세표[블록 06~07시],$Q2859))</f>
        <v/>
      </c>
      <c r="L2859" s="20">
        <f>IF($Q2859="","",INDEX(상세표[블록 07~18시],$Q2859))</f>
        <v/>
      </c>
      <c r="M2859" s="20">
        <f>IF($Q2859="","",INDEX(상세표[블록 18~22시],$Q2859))</f>
        <v/>
      </c>
      <c r="N2859" s="20">
        <f>IF($Q2859="","",INDEX(상세표[블록 22~06시],$Q2859))</f>
        <v/>
      </c>
      <c r="O2859">
        <f>IF($Q2859="","",INDEX(상세표[주말·휴일 포함],$Q2859)&amp;"")</f>
        <v/>
      </c>
      <c r="P2859">
        <f>IF($Q2859="","",INDEX(상세표[월 넘김 포함],$Q2859)&amp;"")</f>
        <v/>
      </c>
      <c r="Q2859" s="4">
        <f>IFERROR(MATCH(2854,상세표[연속순번],0),"")</f>
        <v/>
      </c>
    </row>
    <row r="2860">
      <c r="A2860">
        <f>IF($Q2860="","",INDEX(상세표[부서],$Q2860)&amp;"")</f>
        <v/>
      </c>
      <c r="B2860">
        <f>IF($Q2860="","",INDEX(상세표[사번],$Q2860)&amp;"")</f>
        <v/>
      </c>
      <c r="C2860">
        <f>IF($Q2860="","",INDEX(상세표[성명],$Q2860)&amp;"")</f>
        <v/>
      </c>
      <c r="D2860">
        <f>IF($Q2860="","",INDEX(상세표[직위],$Q2860)&amp;"")</f>
        <v/>
      </c>
      <c r="E2860">
        <f>IF($Q2860="","",IF(ISNUMBER(INDEX(상세표[근무일자],$Q2860)),TEXT(INDEX(상세표[근무일자],$Q2860),"yyyy-mm-dd"),INDEX(상세표[근무일자],$Q2860)&amp;""))</f>
        <v/>
      </c>
      <c r="F2860">
        <f>IF($Q2860="","",IF(ISNUMBER(INDEX(상세표[시작],$Q2860)),TEXT(INDEX(상세표[시작],$Q2860),"yyyy-mm-dd hh:mm"),INDEX(상세표[시작],$Q2860)&amp;""))</f>
        <v/>
      </c>
      <c r="G2860">
        <f>IF($Q2860="","",IF(ISNUMBER(INDEX(상세표[블록종료],$Q2860)),TEXT(INDEX(상세표[블록종료],$Q2860),"yyyy-mm-dd hh:mm"),INDEX(상세표[블록종료],$Q2860)&amp;""))</f>
        <v/>
      </c>
      <c r="H2860">
        <f>IF($Q2860="","",CHOOSE(WEEKDAY(INDEX(상세표[시작],$Q2860)),"일","월","화","수","목","금","토"))</f>
        <v/>
      </c>
      <c r="I2860" s="20">
        <f>IF($Q2860="","",INDEX(상세표[연속 시간],$Q2860))</f>
        <v/>
      </c>
      <c r="J2860">
        <f>IF($Q2860="","",INDEX(상세표[기록 수],$Q2860))</f>
        <v/>
      </c>
      <c r="K2860" s="20">
        <f>IF($Q2860="","",INDEX(상세표[블록 06~07시],$Q2860))</f>
        <v/>
      </c>
      <c r="L2860" s="20">
        <f>IF($Q2860="","",INDEX(상세표[블록 07~18시],$Q2860))</f>
        <v/>
      </c>
      <c r="M2860" s="20">
        <f>IF($Q2860="","",INDEX(상세표[블록 18~22시],$Q2860))</f>
        <v/>
      </c>
      <c r="N2860" s="20">
        <f>IF($Q2860="","",INDEX(상세표[블록 22~06시],$Q2860))</f>
        <v/>
      </c>
      <c r="O2860">
        <f>IF($Q2860="","",INDEX(상세표[주말·휴일 포함],$Q2860)&amp;"")</f>
        <v/>
      </c>
      <c r="P2860">
        <f>IF($Q2860="","",INDEX(상세표[월 넘김 포함],$Q2860)&amp;"")</f>
        <v/>
      </c>
      <c r="Q2860" s="4">
        <f>IFERROR(MATCH(2855,상세표[연속순번],0),"")</f>
        <v/>
      </c>
    </row>
    <row r="2861">
      <c r="A2861">
        <f>IF($Q2861="","",INDEX(상세표[부서],$Q2861)&amp;"")</f>
        <v/>
      </c>
      <c r="B2861">
        <f>IF($Q2861="","",INDEX(상세표[사번],$Q2861)&amp;"")</f>
        <v/>
      </c>
      <c r="C2861">
        <f>IF($Q2861="","",INDEX(상세표[성명],$Q2861)&amp;"")</f>
        <v/>
      </c>
      <c r="D2861">
        <f>IF($Q2861="","",INDEX(상세표[직위],$Q2861)&amp;"")</f>
        <v/>
      </c>
      <c r="E2861">
        <f>IF($Q2861="","",IF(ISNUMBER(INDEX(상세표[근무일자],$Q2861)),TEXT(INDEX(상세표[근무일자],$Q2861),"yyyy-mm-dd"),INDEX(상세표[근무일자],$Q2861)&amp;""))</f>
        <v/>
      </c>
      <c r="F2861">
        <f>IF($Q2861="","",IF(ISNUMBER(INDEX(상세표[시작],$Q2861)),TEXT(INDEX(상세표[시작],$Q2861),"yyyy-mm-dd hh:mm"),INDEX(상세표[시작],$Q2861)&amp;""))</f>
        <v/>
      </c>
      <c r="G2861">
        <f>IF($Q2861="","",IF(ISNUMBER(INDEX(상세표[블록종료],$Q2861)),TEXT(INDEX(상세표[블록종료],$Q2861),"yyyy-mm-dd hh:mm"),INDEX(상세표[블록종료],$Q2861)&amp;""))</f>
        <v/>
      </c>
      <c r="H2861">
        <f>IF($Q2861="","",CHOOSE(WEEKDAY(INDEX(상세표[시작],$Q2861)),"일","월","화","수","목","금","토"))</f>
        <v/>
      </c>
      <c r="I2861" s="20">
        <f>IF($Q2861="","",INDEX(상세표[연속 시간],$Q2861))</f>
        <v/>
      </c>
      <c r="J2861">
        <f>IF($Q2861="","",INDEX(상세표[기록 수],$Q2861))</f>
        <v/>
      </c>
      <c r="K2861" s="20">
        <f>IF($Q2861="","",INDEX(상세표[블록 06~07시],$Q2861))</f>
        <v/>
      </c>
      <c r="L2861" s="20">
        <f>IF($Q2861="","",INDEX(상세표[블록 07~18시],$Q2861))</f>
        <v/>
      </c>
      <c r="M2861" s="20">
        <f>IF($Q2861="","",INDEX(상세표[블록 18~22시],$Q2861))</f>
        <v/>
      </c>
      <c r="N2861" s="20">
        <f>IF($Q2861="","",INDEX(상세표[블록 22~06시],$Q2861))</f>
        <v/>
      </c>
      <c r="O2861">
        <f>IF($Q2861="","",INDEX(상세표[주말·휴일 포함],$Q2861)&amp;"")</f>
        <v/>
      </c>
      <c r="P2861">
        <f>IF($Q2861="","",INDEX(상세표[월 넘김 포함],$Q2861)&amp;"")</f>
        <v/>
      </c>
      <c r="Q2861" s="4">
        <f>IFERROR(MATCH(2856,상세표[연속순번],0),"")</f>
        <v/>
      </c>
    </row>
    <row r="2862">
      <c r="A2862">
        <f>IF($Q2862="","",INDEX(상세표[부서],$Q2862)&amp;"")</f>
        <v/>
      </c>
      <c r="B2862">
        <f>IF($Q2862="","",INDEX(상세표[사번],$Q2862)&amp;"")</f>
        <v/>
      </c>
      <c r="C2862">
        <f>IF($Q2862="","",INDEX(상세표[성명],$Q2862)&amp;"")</f>
        <v/>
      </c>
      <c r="D2862">
        <f>IF($Q2862="","",INDEX(상세표[직위],$Q2862)&amp;"")</f>
        <v/>
      </c>
      <c r="E2862">
        <f>IF($Q2862="","",IF(ISNUMBER(INDEX(상세표[근무일자],$Q2862)),TEXT(INDEX(상세표[근무일자],$Q2862),"yyyy-mm-dd"),INDEX(상세표[근무일자],$Q2862)&amp;""))</f>
        <v/>
      </c>
      <c r="F2862">
        <f>IF($Q2862="","",IF(ISNUMBER(INDEX(상세표[시작],$Q2862)),TEXT(INDEX(상세표[시작],$Q2862),"yyyy-mm-dd hh:mm"),INDEX(상세표[시작],$Q2862)&amp;""))</f>
        <v/>
      </c>
      <c r="G2862">
        <f>IF($Q2862="","",IF(ISNUMBER(INDEX(상세표[블록종료],$Q2862)),TEXT(INDEX(상세표[블록종료],$Q2862),"yyyy-mm-dd hh:mm"),INDEX(상세표[블록종료],$Q2862)&amp;""))</f>
        <v/>
      </c>
      <c r="H2862">
        <f>IF($Q2862="","",CHOOSE(WEEKDAY(INDEX(상세표[시작],$Q2862)),"일","월","화","수","목","금","토"))</f>
        <v/>
      </c>
      <c r="I2862" s="20">
        <f>IF($Q2862="","",INDEX(상세표[연속 시간],$Q2862))</f>
        <v/>
      </c>
      <c r="J2862">
        <f>IF($Q2862="","",INDEX(상세표[기록 수],$Q2862))</f>
        <v/>
      </c>
      <c r="K2862" s="20">
        <f>IF($Q2862="","",INDEX(상세표[블록 06~07시],$Q2862))</f>
        <v/>
      </c>
      <c r="L2862" s="20">
        <f>IF($Q2862="","",INDEX(상세표[블록 07~18시],$Q2862))</f>
        <v/>
      </c>
      <c r="M2862" s="20">
        <f>IF($Q2862="","",INDEX(상세표[블록 18~22시],$Q2862))</f>
        <v/>
      </c>
      <c r="N2862" s="20">
        <f>IF($Q2862="","",INDEX(상세표[블록 22~06시],$Q2862))</f>
        <v/>
      </c>
      <c r="O2862">
        <f>IF($Q2862="","",INDEX(상세표[주말·휴일 포함],$Q2862)&amp;"")</f>
        <v/>
      </c>
      <c r="P2862">
        <f>IF($Q2862="","",INDEX(상세표[월 넘김 포함],$Q2862)&amp;"")</f>
        <v/>
      </c>
      <c r="Q2862" s="4">
        <f>IFERROR(MATCH(2857,상세표[연속순번],0),"")</f>
        <v/>
      </c>
    </row>
    <row r="2863">
      <c r="A2863">
        <f>IF($Q2863="","",INDEX(상세표[부서],$Q2863)&amp;"")</f>
        <v/>
      </c>
      <c r="B2863">
        <f>IF($Q2863="","",INDEX(상세표[사번],$Q2863)&amp;"")</f>
        <v/>
      </c>
      <c r="C2863">
        <f>IF($Q2863="","",INDEX(상세표[성명],$Q2863)&amp;"")</f>
        <v/>
      </c>
      <c r="D2863">
        <f>IF($Q2863="","",INDEX(상세표[직위],$Q2863)&amp;"")</f>
        <v/>
      </c>
      <c r="E2863">
        <f>IF($Q2863="","",IF(ISNUMBER(INDEX(상세표[근무일자],$Q2863)),TEXT(INDEX(상세표[근무일자],$Q2863),"yyyy-mm-dd"),INDEX(상세표[근무일자],$Q2863)&amp;""))</f>
        <v/>
      </c>
      <c r="F2863">
        <f>IF($Q2863="","",IF(ISNUMBER(INDEX(상세표[시작],$Q2863)),TEXT(INDEX(상세표[시작],$Q2863),"yyyy-mm-dd hh:mm"),INDEX(상세표[시작],$Q2863)&amp;""))</f>
        <v/>
      </c>
      <c r="G2863">
        <f>IF($Q2863="","",IF(ISNUMBER(INDEX(상세표[블록종료],$Q2863)),TEXT(INDEX(상세표[블록종료],$Q2863),"yyyy-mm-dd hh:mm"),INDEX(상세표[블록종료],$Q2863)&amp;""))</f>
        <v/>
      </c>
      <c r="H2863">
        <f>IF($Q2863="","",CHOOSE(WEEKDAY(INDEX(상세표[시작],$Q2863)),"일","월","화","수","목","금","토"))</f>
        <v/>
      </c>
      <c r="I2863" s="20">
        <f>IF($Q2863="","",INDEX(상세표[연속 시간],$Q2863))</f>
        <v/>
      </c>
      <c r="J2863">
        <f>IF($Q2863="","",INDEX(상세표[기록 수],$Q2863))</f>
        <v/>
      </c>
      <c r="K2863" s="20">
        <f>IF($Q2863="","",INDEX(상세표[블록 06~07시],$Q2863))</f>
        <v/>
      </c>
      <c r="L2863" s="20">
        <f>IF($Q2863="","",INDEX(상세표[블록 07~18시],$Q2863))</f>
        <v/>
      </c>
      <c r="M2863" s="20">
        <f>IF($Q2863="","",INDEX(상세표[블록 18~22시],$Q2863))</f>
        <v/>
      </c>
      <c r="N2863" s="20">
        <f>IF($Q2863="","",INDEX(상세표[블록 22~06시],$Q2863))</f>
        <v/>
      </c>
      <c r="O2863">
        <f>IF($Q2863="","",INDEX(상세표[주말·휴일 포함],$Q2863)&amp;"")</f>
        <v/>
      </c>
      <c r="P2863">
        <f>IF($Q2863="","",INDEX(상세표[월 넘김 포함],$Q2863)&amp;"")</f>
        <v/>
      </c>
      <c r="Q2863" s="4">
        <f>IFERROR(MATCH(2858,상세표[연속순번],0),"")</f>
        <v/>
      </c>
    </row>
    <row r="2864">
      <c r="A2864">
        <f>IF($Q2864="","",INDEX(상세표[부서],$Q2864)&amp;"")</f>
        <v/>
      </c>
      <c r="B2864">
        <f>IF($Q2864="","",INDEX(상세표[사번],$Q2864)&amp;"")</f>
        <v/>
      </c>
      <c r="C2864">
        <f>IF($Q2864="","",INDEX(상세표[성명],$Q2864)&amp;"")</f>
        <v/>
      </c>
      <c r="D2864">
        <f>IF($Q2864="","",INDEX(상세표[직위],$Q2864)&amp;"")</f>
        <v/>
      </c>
      <c r="E2864">
        <f>IF($Q2864="","",IF(ISNUMBER(INDEX(상세표[근무일자],$Q2864)),TEXT(INDEX(상세표[근무일자],$Q2864),"yyyy-mm-dd"),INDEX(상세표[근무일자],$Q2864)&amp;""))</f>
        <v/>
      </c>
      <c r="F2864">
        <f>IF($Q2864="","",IF(ISNUMBER(INDEX(상세표[시작],$Q2864)),TEXT(INDEX(상세표[시작],$Q2864),"yyyy-mm-dd hh:mm"),INDEX(상세표[시작],$Q2864)&amp;""))</f>
        <v/>
      </c>
      <c r="G2864">
        <f>IF($Q2864="","",IF(ISNUMBER(INDEX(상세표[블록종료],$Q2864)),TEXT(INDEX(상세표[블록종료],$Q2864),"yyyy-mm-dd hh:mm"),INDEX(상세표[블록종료],$Q2864)&amp;""))</f>
        <v/>
      </c>
      <c r="H2864">
        <f>IF($Q2864="","",CHOOSE(WEEKDAY(INDEX(상세표[시작],$Q2864)),"일","월","화","수","목","금","토"))</f>
        <v/>
      </c>
      <c r="I2864" s="20">
        <f>IF($Q2864="","",INDEX(상세표[연속 시간],$Q2864))</f>
        <v/>
      </c>
      <c r="J2864">
        <f>IF($Q2864="","",INDEX(상세표[기록 수],$Q2864))</f>
        <v/>
      </c>
      <c r="K2864" s="20">
        <f>IF($Q2864="","",INDEX(상세표[블록 06~07시],$Q2864))</f>
        <v/>
      </c>
      <c r="L2864" s="20">
        <f>IF($Q2864="","",INDEX(상세표[블록 07~18시],$Q2864))</f>
        <v/>
      </c>
      <c r="M2864" s="20">
        <f>IF($Q2864="","",INDEX(상세표[블록 18~22시],$Q2864))</f>
        <v/>
      </c>
      <c r="N2864" s="20">
        <f>IF($Q2864="","",INDEX(상세표[블록 22~06시],$Q2864))</f>
        <v/>
      </c>
      <c r="O2864">
        <f>IF($Q2864="","",INDEX(상세표[주말·휴일 포함],$Q2864)&amp;"")</f>
        <v/>
      </c>
      <c r="P2864">
        <f>IF($Q2864="","",INDEX(상세표[월 넘김 포함],$Q2864)&amp;"")</f>
        <v/>
      </c>
      <c r="Q2864" s="4">
        <f>IFERROR(MATCH(2859,상세표[연속순번],0),"")</f>
        <v/>
      </c>
    </row>
    <row r="2865">
      <c r="A2865">
        <f>IF($Q2865="","",INDEX(상세표[부서],$Q2865)&amp;"")</f>
        <v/>
      </c>
      <c r="B2865">
        <f>IF($Q2865="","",INDEX(상세표[사번],$Q2865)&amp;"")</f>
        <v/>
      </c>
      <c r="C2865">
        <f>IF($Q2865="","",INDEX(상세표[성명],$Q2865)&amp;"")</f>
        <v/>
      </c>
      <c r="D2865">
        <f>IF($Q2865="","",INDEX(상세표[직위],$Q2865)&amp;"")</f>
        <v/>
      </c>
      <c r="E2865">
        <f>IF($Q2865="","",IF(ISNUMBER(INDEX(상세표[근무일자],$Q2865)),TEXT(INDEX(상세표[근무일자],$Q2865),"yyyy-mm-dd"),INDEX(상세표[근무일자],$Q2865)&amp;""))</f>
        <v/>
      </c>
      <c r="F2865">
        <f>IF($Q2865="","",IF(ISNUMBER(INDEX(상세표[시작],$Q2865)),TEXT(INDEX(상세표[시작],$Q2865),"yyyy-mm-dd hh:mm"),INDEX(상세표[시작],$Q2865)&amp;""))</f>
        <v/>
      </c>
      <c r="G2865">
        <f>IF($Q2865="","",IF(ISNUMBER(INDEX(상세표[블록종료],$Q2865)),TEXT(INDEX(상세표[블록종료],$Q2865),"yyyy-mm-dd hh:mm"),INDEX(상세표[블록종료],$Q2865)&amp;""))</f>
        <v/>
      </c>
      <c r="H2865">
        <f>IF($Q2865="","",CHOOSE(WEEKDAY(INDEX(상세표[시작],$Q2865)),"일","월","화","수","목","금","토"))</f>
        <v/>
      </c>
      <c r="I2865" s="20">
        <f>IF($Q2865="","",INDEX(상세표[연속 시간],$Q2865))</f>
        <v/>
      </c>
      <c r="J2865">
        <f>IF($Q2865="","",INDEX(상세표[기록 수],$Q2865))</f>
        <v/>
      </c>
      <c r="K2865" s="20">
        <f>IF($Q2865="","",INDEX(상세표[블록 06~07시],$Q2865))</f>
        <v/>
      </c>
      <c r="L2865" s="20">
        <f>IF($Q2865="","",INDEX(상세표[블록 07~18시],$Q2865))</f>
        <v/>
      </c>
      <c r="M2865" s="20">
        <f>IF($Q2865="","",INDEX(상세표[블록 18~22시],$Q2865))</f>
        <v/>
      </c>
      <c r="N2865" s="20">
        <f>IF($Q2865="","",INDEX(상세표[블록 22~06시],$Q2865))</f>
        <v/>
      </c>
      <c r="O2865">
        <f>IF($Q2865="","",INDEX(상세표[주말·휴일 포함],$Q2865)&amp;"")</f>
        <v/>
      </c>
      <c r="P2865">
        <f>IF($Q2865="","",INDEX(상세표[월 넘김 포함],$Q2865)&amp;"")</f>
        <v/>
      </c>
      <c r="Q2865" s="4">
        <f>IFERROR(MATCH(2860,상세표[연속순번],0),"")</f>
        <v/>
      </c>
    </row>
    <row r="2866">
      <c r="A2866">
        <f>IF($Q2866="","",INDEX(상세표[부서],$Q2866)&amp;"")</f>
        <v/>
      </c>
      <c r="B2866">
        <f>IF($Q2866="","",INDEX(상세표[사번],$Q2866)&amp;"")</f>
        <v/>
      </c>
      <c r="C2866">
        <f>IF($Q2866="","",INDEX(상세표[성명],$Q2866)&amp;"")</f>
        <v/>
      </c>
      <c r="D2866">
        <f>IF($Q2866="","",INDEX(상세표[직위],$Q2866)&amp;"")</f>
        <v/>
      </c>
      <c r="E2866">
        <f>IF($Q2866="","",IF(ISNUMBER(INDEX(상세표[근무일자],$Q2866)),TEXT(INDEX(상세표[근무일자],$Q2866),"yyyy-mm-dd"),INDEX(상세표[근무일자],$Q2866)&amp;""))</f>
        <v/>
      </c>
      <c r="F2866">
        <f>IF($Q2866="","",IF(ISNUMBER(INDEX(상세표[시작],$Q2866)),TEXT(INDEX(상세표[시작],$Q2866),"yyyy-mm-dd hh:mm"),INDEX(상세표[시작],$Q2866)&amp;""))</f>
        <v/>
      </c>
      <c r="G2866">
        <f>IF($Q2866="","",IF(ISNUMBER(INDEX(상세표[블록종료],$Q2866)),TEXT(INDEX(상세표[블록종료],$Q2866),"yyyy-mm-dd hh:mm"),INDEX(상세표[블록종료],$Q2866)&amp;""))</f>
        <v/>
      </c>
      <c r="H2866">
        <f>IF($Q2866="","",CHOOSE(WEEKDAY(INDEX(상세표[시작],$Q2866)),"일","월","화","수","목","금","토"))</f>
        <v/>
      </c>
      <c r="I2866" s="20">
        <f>IF($Q2866="","",INDEX(상세표[연속 시간],$Q2866))</f>
        <v/>
      </c>
      <c r="J2866">
        <f>IF($Q2866="","",INDEX(상세표[기록 수],$Q2866))</f>
        <v/>
      </c>
      <c r="K2866" s="20">
        <f>IF($Q2866="","",INDEX(상세표[블록 06~07시],$Q2866))</f>
        <v/>
      </c>
      <c r="L2866" s="20">
        <f>IF($Q2866="","",INDEX(상세표[블록 07~18시],$Q2866))</f>
        <v/>
      </c>
      <c r="M2866" s="20">
        <f>IF($Q2866="","",INDEX(상세표[블록 18~22시],$Q2866))</f>
        <v/>
      </c>
      <c r="N2866" s="20">
        <f>IF($Q2866="","",INDEX(상세표[블록 22~06시],$Q2866))</f>
        <v/>
      </c>
      <c r="O2866">
        <f>IF($Q2866="","",INDEX(상세표[주말·휴일 포함],$Q2866)&amp;"")</f>
        <v/>
      </c>
      <c r="P2866">
        <f>IF($Q2866="","",INDEX(상세표[월 넘김 포함],$Q2866)&amp;"")</f>
        <v/>
      </c>
      <c r="Q2866" s="4">
        <f>IFERROR(MATCH(2861,상세표[연속순번],0),"")</f>
        <v/>
      </c>
    </row>
    <row r="2867">
      <c r="A2867">
        <f>IF($Q2867="","",INDEX(상세표[부서],$Q2867)&amp;"")</f>
        <v/>
      </c>
      <c r="B2867">
        <f>IF($Q2867="","",INDEX(상세표[사번],$Q2867)&amp;"")</f>
        <v/>
      </c>
      <c r="C2867">
        <f>IF($Q2867="","",INDEX(상세표[성명],$Q2867)&amp;"")</f>
        <v/>
      </c>
      <c r="D2867">
        <f>IF($Q2867="","",INDEX(상세표[직위],$Q2867)&amp;"")</f>
        <v/>
      </c>
      <c r="E2867">
        <f>IF($Q2867="","",IF(ISNUMBER(INDEX(상세표[근무일자],$Q2867)),TEXT(INDEX(상세표[근무일자],$Q2867),"yyyy-mm-dd"),INDEX(상세표[근무일자],$Q2867)&amp;""))</f>
        <v/>
      </c>
      <c r="F2867">
        <f>IF($Q2867="","",IF(ISNUMBER(INDEX(상세표[시작],$Q2867)),TEXT(INDEX(상세표[시작],$Q2867),"yyyy-mm-dd hh:mm"),INDEX(상세표[시작],$Q2867)&amp;""))</f>
        <v/>
      </c>
      <c r="G2867">
        <f>IF($Q2867="","",IF(ISNUMBER(INDEX(상세표[블록종료],$Q2867)),TEXT(INDEX(상세표[블록종료],$Q2867),"yyyy-mm-dd hh:mm"),INDEX(상세표[블록종료],$Q2867)&amp;""))</f>
        <v/>
      </c>
      <c r="H2867">
        <f>IF($Q2867="","",CHOOSE(WEEKDAY(INDEX(상세표[시작],$Q2867)),"일","월","화","수","목","금","토"))</f>
        <v/>
      </c>
      <c r="I2867" s="20">
        <f>IF($Q2867="","",INDEX(상세표[연속 시간],$Q2867))</f>
        <v/>
      </c>
      <c r="J2867">
        <f>IF($Q2867="","",INDEX(상세표[기록 수],$Q2867))</f>
        <v/>
      </c>
      <c r="K2867" s="20">
        <f>IF($Q2867="","",INDEX(상세표[블록 06~07시],$Q2867))</f>
        <v/>
      </c>
      <c r="L2867" s="20">
        <f>IF($Q2867="","",INDEX(상세표[블록 07~18시],$Q2867))</f>
        <v/>
      </c>
      <c r="M2867" s="20">
        <f>IF($Q2867="","",INDEX(상세표[블록 18~22시],$Q2867))</f>
        <v/>
      </c>
      <c r="N2867" s="20">
        <f>IF($Q2867="","",INDEX(상세표[블록 22~06시],$Q2867))</f>
        <v/>
      </c>
      <c r="O2867">
        <f>IF($Q2867="","",INDEX(상세표[주말·휴일 포함],$Q2867)&amp;"")</f>
        <v/>
      </c>
      <c r="P2867">
        <f>IF($Q2867="","",INDEX(상세표[월 넘김 포함],$Q2867)&amp;"")</f>
        <v/>
      </c>
      <c r="Q2867" s="4">
        <f>IFERROR(MATCH(2862,상세표[연속순번],0),"")</f>
        <v/>
      </c>
    </row>
    <row r="2868">
      <c r="A2868">
        <f>IF($Q2868="","",INDEX(상세표[부서],$Q2868)&amp;"")</f>
        <v/>
      </c>
      <c r="B2868">
        <f>IF($Q2868="","",INDEX(상세표[사번],$Q2868)&amp;"")</f>
        <v/>
      </c>
      <c r="C2868">
        <f>IF($Q2868="","",INDEX(상세표[성명],$Q2868)&amp;"")</f>
        <v/>
      </c>
      <c r="D2868">
        <f>IF($Q2868="","",INDEX(상세표[직위],$Q2868)&amp;"")</f>
        <v/>
      </c>
      <c r="E2868">
        <f>IF($Q2868="","",IF(ISNUMBER(INDEX(상세표[근무일자],$Q2868)),TEXT(INDEX(상세표[근무일자],$Q2868),"yyyy-mm-dd"),INDEX(상세표[근무일자],$Q2868)&amp;""))</f>
        <v/>
      </c>
      <c r="F2868">
        <f>IF($Q2868="","",IF(ISNUMBER(INDEX(상세표[시작],$Q2868)),TEXT(INDEX(상세표[시작],$Q2868),"yyyy-mm-dd hh:mm"),INDEX(상세표[시작],$Q2868)&amp;""))</f>
        <v/>
      </c>
      <c r="G2868">
        <f>IF($Q2868="","",IF(ISNUMBER(INDEX(상세표[블록종료],$Q2868)),TEXT(INDEX(상세표[블록종료],$Q2868),"yyyy-mm-dd hh:mm"),INDEX(상세표[블록종료],$Q2868)&amp;""))</f>
        <v/>
      </c>
      <c r="H2868">
        <f>IF($Q2868="","",CHOOSE(WEEKDAY(INDEX(상세표[시작],$Q2868)),"일","월","화","수","목","금","토"))</f>
        <v/>
      </c>
      <c r="I2868" s="20">
        <f>IF($Q2868="","",INDEX(상세표[연속 시간],$Q2868))</f>
        <v/>
      </c>
      <c r="J2868">
        <f>IF($Q2868="","",INDEX(상세표[기록 수],$Q2868))</f>
        <v/>
      </c>
      <c r="K2868" s="20">
        <f>IF($Q2868="","",INDEX(상세표[블록 06~07시],$Q2868))</f>
        <v/>
      </c>
      <c r="L2868" s="20">
        <f>IF($Q2868="","",INDEX(상세표[블록 07~18시],$Q2868))</f>
        <v/>
      </c>
      <c r="M2868" s="20">
        <f>IF($Q2868="","",INDEX(상세표[블록 18~22시],$Q2868))</f>
        <v/>
      </c>
      <c r="N2868" s="20">
        <f>IF($Q2868="","",INDEX(상세표[블록 22~06시],$Q2868))</f>
        <v/>
      </c>
      <c r="O2868">
        <f>IF($Q2868="","",INDEX(상세표[주말·휴일 포함],$Q2868)&amp;"")</f>
        <v/>
      </c>
      <c r="P2868">
        <f>IF($Q2868="","",INDEX(상세표[월 넘김 포함],$Q2868)&amp;"")</f>
        <v/>
      </c>
      <c r="Q2868" s="4">
        <f>IFERROR(MATCH(2863,상세표[연속순번],0),"")</f>
        <v/>
      </c>
    </row>
    <row r="2869">
      <c r="A2869">
        <f>IF($Q2869="","",INDEX(상세표[부서],$Q2869)&amp;"")</f>
        <v/>
      </c>
      <c r="B2869">
        <f>IF($Q2869="","",INDEX(상세표[사번],$Q2869)&amp;"")</f>
        <v/>
      </c>
      <c r="C2869">
        <f>IF($Q2869="","",INDEX(상세표[성명],$Q2869)&amp;"")</f>
        <v/>
      </c>
      <c r="D2869">
        <f>IF($Q2869="","",INDEX(상세표[직위],$Q2869)&amp;"")</f>
        <v/>
      </c>
      <c r="E2869">
        <f>IF($Q2869="","",IF(ISNUMBER(INDEX(상세표[근무일자],$Q2869)),TEXT(INDEX(상세표[근무일자],$Q2869),"yyyy-mm-dd"),INDEX(상세표[근무일자],$Q2869)&amp;""))</f>
        <v/>
      </c>
      <c r="F2869">
        <f>IF($Q2869="","",IF(ISNUMBER(INDEX(상세표[시작],$Q2869)),TEXT(INDEX(상세표[시작],$Q2869),"yyyy-mm-dd hh:mm"),INDEX(상세표[시작],$Q2869)&amp;""))</f>
        <v/>
      </c>
      <c r="G2869">
        <f>IF($Q2869="","",IF(ISNUMBER(INDEX(상세표[블록종료],$Q2869)),TEXT(INDEX(상세표[블록종료],$Q2869),"yyyy-mm-dd hh:mm"),INDEX(상세표[블록종료],$Q2869)&amp;""))</f>
        <v/>
      </c>
      <c r="H2869">
        <f>IF($Q2869="","",CHOOSE(WEEKDAY(INDEX(상세표[시작],$Q2869)),"일","월","화","수","목","금","토"))</f>
        <v/>
      </c>
      <c r="I2869" s="20">
        <f>IF($Q2869="","",INDEX(상세표[연속 시간],$Q2869))</f>
        <v/>
      </c>
      <c r="J2869">
        <f>IF($Q2869="","",INDEX(상세표[기록 수],$Q2869))</f>
        <v/>
      </c>
      <c r="K2869" s="20">
        <f>IF($Q2869="","",INDEX(상세표[블록 06~07시],$Q2869))</f>
        <v/>
      </c>
      <c r="L2869" s="20">
        <f>IF($Q2869="","",INDEX(상세표[블록 07~18시],$Q2869))</f>
        <v/>
      </c>
      <c r="M2869" s="20">
        <f>IF($Q2869="","",INDEX(상세표[블록 18~22시],$Q2869))</f>
        <v/>
      </c>
      <c r="N2869" s="20">
        <f>IF($Q2869="","",INDEX(상세표[블록 22~06시],$Q2869))</f>
        <v/>
      </c>
      <c r="O2869">
        <f>IF($Q2869="","",INDEX(상세표[주말·휴일 포함],$Q2869)&amp;"")</f>
        <v/>
      </c>
      <c r="P2869">
        <f>IF($Q2869="","",INDEX(상세표[월 넘김 포함],$Q2869)&amp;"")</f>
        <v/>
      </c>
      <c r="Q2869" s="4">
        <f>IFERROR(MATCH(2864,상세표[연속순번],0),"")</f>
        <v/>
      </c>
    </row>
    <row r="2870">
      <c r="A2870">
        <f>IF($Q2870="","",INDEX(상세표[부서],$Q2870)&amp;"")</f>
        <v/>
      </c>
      <c r="B2870">
        <f>IF($Q2870="","",INDEX(상세표[사번],$Q2870)&amp;"")</f>
        <v/>
      </c>
      <c r="C2870">
        <f>IF($Q2870="","",INDEX(상세표[성명],$Q2870)&amp;"")</f>
        <v/>
      </c>
      <c r="D2870">
        <f>IF($Q2870="","",INDEX(상세표[직위],$Q2870)&amp;"")</f>
        <v/>
      </c>
      <c r="E2870">
        <f>IF($Q2870="","",IF(ISNUMBER(INDEX(상세표[근무일자],$Q2870)),TEXT(INDEX(상세표[근무일자],$Q2870),"yyyy-mm-dd"),INDEX(상세표[근무일자],$Q2870)&amp;""))</f>
        <v/>
      </c>
      <c r="F2870">
        <f>IF($Q2870="","",IF(ISNUMBER(INDEX(상세표[시작],$Q2870)),TEXT(INDEX(상세표[시작],$Q2870),"yyyy-mm-dd hh:mm"),INDEX(상세표[시작],$Q2870)&amp;""))</f>
        <v/>
      </c>
      <c r="G2870">
        <f>IF($Q2870="","",IF(ISNUMBER(INDEX(상세표[블록종료],$Q2870)),TEXT(INDEX(상세표[블록종료],$Q2870),"yyyy-mm-dd hh:mm"),INDEX(상세표[블록종료],$Q2870)&amp;""))</f>
        <v/>
      </c>
      <c r="H2870">
        <f>IF($Q2870="","",CHOOSE(WEEKDAY(INDEX(상세표[시작],$Q2870)),"일","월","화","수","목","금","토"))</f>
        <v/>
      </c>
      <c r="I2870" s="20">
        <f>IF($Q2870="","",INDEX(상세표[연속 시간],$Q2870))</f>
        <v/>
      </c>
      <c r="J2870">
        <f>IF($Q2870="","",INDEX(상세표[기록 수],$Q2870))</f>
        <v/>
      </c>
      <c r="K2870" s="20">
        <f>IF($Q2870="","",INDEX(상세표[블록 06~07시],$Q2870))</f>
        <v/>
      </c>
      <c r="L2870" s="20">
        <f>IF($Q2870="","",INDEX(상세표[블록 07~18시],$Q2870))</f>
        <v/>
      </c>
      <c r="M2870" s="20">
        <f>IF($Q2870="","",INDEX(상세표[블록 18~22시],$Q2870))</f>
        <v/>
      </c>
      <c r="N2870" s="20">
        <f>IF($Q2870="","",INDEX(상세표[블록 22~06시],$Q2870))</f>
        <v/>
      </c>
      <c r="O2870">
        <f>IF($Q2870="","",INDEX(상세표[주말·휴일 포함],$Q2870)&amp;"")</f>
        <v/>
      </c>
      <c r="P2870">
        <f>IF($Q2870="","",INDEX(상세표[월 넘김 포함],$Q2870)&amp;"")</f>
        <v/>
      </c>
      <c r="Q2870" s="4">
        <f>IFERROR(MATCH(2865,상세표[연속순번],0),"")</f>
        <v/>
      </c>
    </row>
    <row r="2871">
      <c r="A2871">
        <f>IF($Q2871="","",INDEX(상세표[부서],$Q2871)&amp;"")</f>
        <v/>
      </c>
      <c r="B2871">
        <f>IF($Q2871="","",INDEX(상세표[사번],$Q2871)&amp;"")</f>
        <v/>
      </c>
      <c r="C2871">
        <f>IF($Q2871="","",INDEX(상세표[성명],$Q2871)&amp;"")</f>
        <v/>
      </c>
      <c r="D2871">
        <f>IF($Q2871="","",INDEX(상세표[직위],$Q2871)&amp;"")</f>
        <v/>
      </c>
      <c r="E2871">
        <f>IF($Q2871="","",IF(ISNUMBER(INDEX(상세표[근무일자],$Q2871)),TEXT(INDEX(상세표[근무일자],$Q2871),"yyyy-mm-dd"),INDEX(상세표[근무일자],$Q2871)&amp;""))</f>
        <v/>
      </c>
      <c r="F2871">
        <f>IF($Q2871="","",IF(ISNUMBER(INDEX(상세표[시작],$Q2871)),TEXT(INDEX(상세표[시작],$Q2871),"yyyy-mm-dd hh:mm"),INDEX(상세표[시작],$Q2871)&amp;""))</f>
        <v/>
      </c>
      <c r="G2871">
        <f>IF($Q2871="","",IF(ISNUMBER(INDEX(상세표[블록종료],$Q2871)),TEXT(INDEX(상세표[블록종료],$Q2871),"yyyy-mm-dd hh:mm"),INDEX(상세표[블록종료],$Q2871)&amp;""))</f>
        <v/>
      </c>
      <c r="H2871">
        <f>IF($Q2871="","",CHOOSE(WEEKDAY(INDEX(상세표[시작],$Q2871)),"일","월","화","수","목","금","토"))</f>
        <v/>
      </c>
      <c r="I2871" s="20">
        <f>IF($Q2871="","",INDEX(상세표[연속 시간],$Q2871))</f>
        <v/>
      </c>
      <c r="J2871">
        <f>IF($Q2871="","",INDEX(상세표[기록 수],$Q2871))</f>
        <v/>
      </c>
      <c r="K2871" s="20">
        <f>IF($Q2871="","",INDEX(상세표[블록 06~07시],$Q2871))</f>
        <v/>
      </c>
      <c r="L2871" s="20">
        <f>IF($Q2871="","",INDEX(상세표[블록 07~18시],$Q2871))</f>
        <v/>
      </c>
      <c r="M2871" s="20">
        <f>IF($Q2871="","",INDEX(상세표[블록 18~22시],$Q2871))</f>
        <v/>
      </c>
      <c r="N2871" s="20">
        <f>IF($Q2871="","",INDEX(상세표[블록 22~06시],$Q2871))</f>
        <v/>
      </c>
      <c r="O2871">
        <f>IF($Q2871="","",INDEX(상세표[주말·휴일 포함],$Q2871)&amp;"")</f>
        <v/>
      </c>
      <c r="P2871">
        <f>IF($Q2871="","",INDEX(상세표[월 넘김 포함],$Q2871)&amp;"")</f>
        <v/>
      </c>
      <c r="Q2871" s="4">
        <f>IFERROR(MATCH(2866,상세표[연속순번],0),"")</f>
        <v/>
      </c>
    </row>
    <row r="2872">
      <c r="A2872">
        <f>IF($Q2872="","",INDEX(상세표[부서],$Q2872)&amp;"")</f>
        <v/>
      </c>
      <c r="B2872">
        <f>IF($Q2872="","",INDEX(상세표[사번],$Q2872)&amp;"")</f>
        <v/>
      </c>
      <c r="C2872">
        <f>IF($Q2872="","",INDEX(상세표[성명],$Q2872)&amp;"")</f>
        <v/>
      </c>
      <c r="D2872">
        <f>IF($Q2872="","",INDEX(상세표[직위],$Q2872)&amp;"")</f>
        <v/>
      </c>
      <c r="E2872">
        <f>IF($Q2872="","",IF(ISNUMBER(INDEX(상세표[근무일자],$Q2872)),TEXT(INDEX(상세표[근무일자],$Q2872),"yyyy-mm-dd"),INDEX(상세표[근무일자],$Q2872)&amp;""))</f>
        <v/>
      </c>
      <c r="F2872">
        <f>IF($Q2872="","",IF(ISNUMBER(INDEX(상세표[시작],$Q2872)),TEXT(INDEX(상세표[시작],$Q2872),"yyyy-mm-dd hh:mm"),INDEX(상세표[시작],$Q2872)&amp;""))</f>
        <v/>
      </c>
      <c r="G2872">
        <f>IF($Q2872="","",IF(ISNUMBER(INDEX(상세표[블록종료],$Q2872)),TEXT(INDEX(상세표[블록종료],$Q2872),"yyyy-mm-dd hh:mm"),INDEX(상세표[블록종료],$Q2872)&amp;""))</f>
        <v/>
      </c>
      <c r="H2872">
        <f>IF($Q2872="","",CHOOSE(WEEKDAY(INDEX(상세표[시작],$Q2872)),"일","월","화","수","목","금","토"))</f>
        <v/>
      </c>
      <c r="I2872" s="20">
        <f>IF($Q2872="","",INDEX(상세표[연속 시간],$Q2872))</f>
        <v/>
      </c>
      <c r="J2872">
        <f>IF($Q2872="","",INDEX(상세표[기록 수],$Q2872))</f>
        <v/>
      </c>
      <c r="K2872" s="20">
        <f>IF($Q2872="","",INDEX(상세표[블록 06~07시],$Q2872))</f>
        <v/>
      </c>
      <c r="L2872" s="20">
        <f>IF($Q2872="","",INDEX(상세표[블록 07~18시],$Q2872))</f>
        <v/>
      </c>
      <c r="M2872" s="20">
        <f>IF($Q2872="","",INDEX(상세표[블록 18~22시],$Q2872))</f>
        <v/>
      </c>
      <c r="N2872" s="20">
        <f>IF($Q2872="","",INDEX(상세표[블록 22~06시],$Q2872))</f>
        <v/>
      </c>
      <c r="O2872">
        <f>IF($Q2872="","",INDEX(상세표[주말·휴일 포함],$Q2872)&amp;"")</f>
        <v/>
      </c>
      <c r="P2872">
        <f>IF($Q2872="","",INDEX(상세표[월 넘김 포함],$Q2872)&amp;"")</f>
        <v/>
      </c>
      <c r="Q2872" s="4">
        <f>IFERROR(MATCH(2867,상세표[연속순번],0),"")</f>
        <v/>
      </c>
    </row>
    <row r="2873">
      <c r="A2873">
        <f>IF($Q2873="","",INDEX(상세표[부서],$Q2873)&amp;"")</f>
        <v/>
      </c>
      <c r="B2873">
        <f>IF($Q2873="","",INDEX(상세표[사번],$Q2873)&amp;"")</f>
        <v/>
      </c>
      <c r="C2873">
        <f>IF($Q2873="","",INDEX(상세표[성명],$Q2873)&amp;"")</f>
        <v/>
      </c>
      <c r="D2873">
        <f>IF($Q2873="","",INDEX(상세표[직위],$Q2873)&amp;"")</f>
        <v/>
      </c>
      <c r="E2873">
        <f>IF($Q2873="","",IF(ISNUMBER(INDEX(상세표[근무일자],$Q2873)),TEXT(INDEX(상세표[근무일자],$Q2873),"yyyy-mm-dd"),INDEX(상세표[근무일자],$Q2873)&amp;""))</f>
        <v/>
      </c>
      <c r="F2873">
        <f>IF($Q2873="","",IF(ISNUMBER(INDEX(상세표[시작],$Q2873)),TEXT(INDEX(상세표[시작],$Q2873),"yyyy-mm-dd hh:mm"),INDEX(상세표[시작],$Q2873)&amp;""))</f>
        <v/>
      </c>
      <c r="G2873">
        <f>IF($Q2873="","",IF(ISNUMBER(INDEX(상세표[블록종료],$Q2873)),TEXT(INDEX(상세표[블록종료],$Q2873),"yyyy-mm-dd hh:mm"),INDEX(상세표[블록종료],$Q2873)&amp;""))</f>
        <v/>
      </c>
      <c r="H2873">
        <f>IF($Q2873="","",CHOOSE(WEEKDAY(INDEX(상세표[시작],$Q2873)),"일","월","화","수","목","금","토"))</f>
        <v/>
      </c>
      <c r="I2873" s="20">
        <f>IF($Q2873="","",INDEX(상세표[연속 시간],$Q2873))</f>
        <v/>
      </c>
      <c r="J2873">
        <f>IF($Q2873="","",INDEX(상세표[기록 수],$Q2873))</f>
        <v/>
      </c>
      <c r="K2873" s="20">
        <f>IF($Q2873="","",INDEX(상세표[블록 06~07시],$Q2873))</f>
        <v/>
      </c>
      <c r="L2873" s="20">
        <f>IF($Q2873="","",INDEX(상세표[블록 07~18시],$Q2873))</f>
        <v/>
      </c>
      <c r="M2873" s="20">
        <f>IF($Q2873="","",INDEX(상세표[블록 18~22시],$Q2873))</f>
        <v/>
      </c>
      <c r="N2873" s="20">
        <f>IF($Q2873="","",INDEX(상세표[블록 22~06시],$Q2873))</f>
        <v/>
      </c>
      <c r="O2873">
        <f>IF($Q2873="","",INDEX(상세표[주말·휴일 포함],$Q2873)&amp;"")</f>
        <v/>
      </c>
      <c r="P2873">
        <f>IF($Q2873="","",INDEX(상세표[월 넘김 포함],$Q2873)&amp;"")</f>
        <v/>
      </c>
      <c r="Q2873" s="4">
        <f>IFERROR(MATCH(2868,상세표[연속순번],0),"")</f>
        <v/>
      </c>
    </row>
    <row r="2874">
      <c r="A2874">
        <f>IF($Q2874="","",INDEX(상세표[부서],$Q2874)&amp;"")</f>
        <v/>
      </c>
      <c r="B2874">
        <f>IF($Q2874="","",INDEX(상세표[사번],$Q2874)&amp;"")</f>
        <v/>
      </c>
      <c r="C2874">
        <f>IF($Q2874="","",INDEX(상세표[성명],$Q2874)&amp;"")</f>
        <v/>
      </c>
      <c r="D2874">
        <f>IF($Q2874="","",INDEX(상세표[직위],$Q2874)&amp;"")</f>
        <v/>
      </c>
      <c r="E2874">
        <f>IF($Q2874="","",IF(ISNUMBER(INDEX(상세표[근무일자],$Q2874)),TEXT(INDEX(상세표[근무일자],$Q2874),"yyyy-mm-dd"),INDEX(상세표[근무일자],$Q2874)&amp;""))</f>
        <v/>
      </c>
      <c r="F2874">
        <f>IF($Q2874="","",IF(ISNUMBER(INDEX(상세표[시작],$Q2874)),TEXT(INDEX(상세표[시작],$Q2874),"yyyy-mm-dd hh:mm"),INDEX(상세표[시작],$Q2874)&amp;""))</f>
        <v/>
      </c>
      <c r="G2874">
        <f>IF($Q2874="","",IF(ISNUMBER(INDEX(상세표[블록종료],$Q2874)),TEXT(INDEX(상세표[블록종료],$Q2874),"yyyy-mm-dd hh:mm"),INDEX(상세표[블록종료],$Q2874)&amp;""))</f>
        <v/>
      </c>
      <c r="H2874">
        <f>IF($Q2874="","",CHOOSE(WEEKDAY(INDEX(상세표[시작],$Q2874)),"일","월","화","수","목","금","토"))</f>
        <v/>
      </c>
      <c r="I2874" s="20">
        <f>IF($Q2874="","",INDEX(상세표[연속 시간],$Q2874))</f>
        <v/>
      </c>
      <c r="J2874">
        <f>IF($Q2874="","",INDEX(상세표[기록 수],$Q2874))</f>
        <v/>
      </c>
      <c r="K2874" s="20">
        <f>IF($Q2874="","",INDEX(상세표[블록 06~07시],$Q2874))</f>
        <v/>
      </c>
      <c r="L2874" s="20">
        <f>IF($Q2874="","",INDEX(상세표[블록 07~18시],$Q2874))</f>
        <v/>
      </c>
      <c r="M2874" s="20">
        <f>IF($Q2874="","",INDEX(상세표[블록 18~22시],$Q2874))</f>
        <v/>
      </c>
      <c r="N2874" s="20">
        <f>IF($Q2874="","",INDEX(상세표[블록 22~06시],$Q2874))</f>
        <v/>
      </c>
      <c r="O2874">
        <f>IF($Q2874="","",INDEX(상세표[주말·휴일 포함],$Q2874)&amp;"")</f>
        <v/>
      </c>
      <c r="P2874">
        <f>IF($Q2874="","",INDEX(상세표[월 넘김 포함],$Q2874)&amp;"")</f>
        <v/>
      </c>
      <c r="Q2874" s="4">
        <f>IFERROR(MATCH(2869,상세표[연속순번],0),"")</f>
        <v/>
      </c>
    </row>
    <row r="2875">
      <c r="A2875">
        <f>IF($Q2875="","",INDEX(상세표[부서],$Q2875)&amp;"")</f>
        <v/>
      </c>
      <c r="B2875">
        <f>IF($Q2875="","",INDEX(상세표[사번],$Q2875)&amp;"")</f>
        <v/>
      </c>
      <c r="C2875">
        <f>IF($Q2875="","",INDEX(상세표[성명],$Q2875)&amp;"")</f>
        <v/>
      </c>
      <c r="D2875">
        <f>IF($Q2875="","",INDEX(상세표[직위],$Q2875)&amp;"")</f>
        <v/>
      </c>
      <c r="E2875">
        <f>IF($Q2875="","",IF(ISNUMBER(INDEX(상세표[근무일자],$Q2875)),TEXT(INDEX(상세표[근무일자],$Q2875),"yyyy-mm-dd"),INDEX(상세표[근무일자],$Q2875)&amp;""))</f>
        <v/>
      </c>
      <c r="F2875">
        <f>IF($Q2875="","",IF(ISNUMBER(INDEX(상세표[시작],$Q2875)),TEXT(INDEX(상세표[시작],$Q2875),"yyyy-mm-dd hh:mm"),INDEX(상세표[시작],$Q2875)&amp;""))</f>
        <v/>
      </c>
      <c r="G2875">
        <f>IF($Q2875="","",IF(ISNUMBER(INDEX(상세표[블록종료],$Q2875)),TEXT(INDEX(상세표[블록종료],$Q2875),"yyyy-mm-dd hh:mm"),INDEX(상세표[블록종료],$Q2875)&amp;""))</f>
        <v/>
      </c>
      <c r="H2875">
        <f>IF($Q2875="","",CHOOSE(WEEKDAY(INDEX(상세표[시작],$Q2875)),"일","월","화","수","목","금","토"))</f>
        <v/>
      </c>
      <c r="I2875" s="20">
        <f>IF($Q2875="","",INDEX(상세표[연속 시간],$Q2875))</f>
        <v/>
      </c>
      <c r="J2875">
        <f>IF($Q2875="","",INDEX(상세표[기록 수],$Q2875))</f>
        <v/>
      </c>
      <c r="K2875" s="20">
        <f>IF($Q2875="","",INDEX(상세표[블록 06~07시],$Q2875))</f>
        <v/>
      </c>
      <c r="L2875" s="20">
        <f>IF($Q2875="","",INDEX(상세표[블록 07~18시],$Q2875))</f>
        <v/>
      </c>
      <c r="M2875" s="20">
        <f>IF($Q2875="","",INDEX(상세표[블록 18~22시],$Q2875))</f>
        <v/>
      </c>
      <c r="N2875" s="20">
        <f>IF($Q2875="","",INDEX(상세표[블록 22~06시],$Q2875))</f>
        <v/>
      </c>
      <c r="O2875">
        <f>IF($Q2875="","",INDEX(상세표[주말·휴일 포함],$Q2875)&amp;"")</f>
        <v/>
      </c>
      <c r="P2875">
        <f>IF($Q2875="","",INDEX(상세표[월 넘김 포함],$Q2875)&amp;"")</f>
        <v/>
      </c>
      <c r="Q2875" s="4">
        <f>IFERROR(MATCH(2870,상세표[연속순번],0),"")</f>
        <v/>
      </c>
    </row>
    <row r="2876">
      <c r="A2876">
        <f>IF($Q2876="","",INDEX(상세표[부서],$Q2876)&amp;"")</f>
        <v/>
      </c>
      <c r="B2876">
        <f>IF($Q2876="","",INDEX(상세표[사번],$Q2876)&amp;"")</f>
        <v/>
      </c>
      <c r="C2876">
        <f>IF($Q2876="","",INDEX(상세표[성명],$Q2876)&amp;"")</f>
        <v/>
      </c>
      <c r="D2876">
        <f>IF($Q2876="","",INDEX(상세표[직위],$Q2876)&amp;"")</f>
        <v/>
      </c>
      <c r="E2876">
        <f>IF($Q2876="","",IF(ISNUMBER(INDEX(상세표[근무일자],$Q2876)),TEXT(INDEX(상세표[근무일자],$Q2876),"yyyy-mm-dd"),INDEX(상세표[근무일자],$Q2876)&amp;""))</f>
        <v/>
      </c>
      <c r="F2876">
        <f>IF($Q2876="","",IF(ISNUMBER(INDEX(상세표[시작],$Q2876)),TEXT(INDEX(상세표[시작],$Q2876),"yyyy-mm-dd hh:mm"),INDEX(상세표[시작],$Q2876)&amp;""))</f>
        <v/>
      </c>
      <c r="G2876">
        <f>IF($Q2876="","",IF(ISNUMBER(INDEX(상세표[블록종료],$Q2876)),TEXT(INDEX(상세표[블록종료],$Q2876),"yyyy-mm-dd hh:mm"),INDEX(상세표[블록종료],$Q2876)&amp;""))</f>
        <v/>
      </c>
      <c r="H2876">
        <f>IF($Q2876="","",CHOOSE(WEEKDAY(INDEX(상세표[시작],$Q2876)),"일","월","화","수","목","금","토"))</f>
        <v/>
      </c>
      <c r="I2876" s="20">
        <f>IF($Q2876="","",INDEX(상세표[연속 시간],$Q2876))</f>
        <v/>
      </c>
      <c r="J2876">
        <f>IF($Q2876="","",INDEX(상세표[기록 수],$Q2876))</f>
        <v/>
      </c>
      <c r="K2876" s="20">
        <f>IF($Q2876="","",INDEX(상세표[블록 06~07시],$Q2876))</f>
        <v/>
      </c>
      <c r="L2876" s="20">
        <f>IF($Q2876="","",INDEX(상세표[블록 07~18시],$Q2876))</f>
        <v/>
      </c>
      <c r="M2876" s="20">
        <f>IF($Q2876="","",INDEX(상세표[블록 18~22시],$Q2876))</f>
        <v/>
      </c>
      <c r="N2876" s="20">
        <f>IF($Q2876="","",INDEX(상세표[블록 22~06시],$Q2876))</f>
        <v/>
      </c>
      <c r="O2876">
        <f>IF($Q2876="","",INDEX(상세표[주말·휴일 포함],$Q2876)&amp;"")</f>
        <v/>
      </c>
      <c r="P2876">
        <f>IF($Q2876="","",INDEX(상세표[월 넘김 포함],$Q2876)&amp;"")</f>
        <v/>
      </c>
      <c r="Q2876" s="4">
        <f>IFERROR(MATCH(2871,상세표[연속순번],0),"")</f>
        <v/>
      </c>
    </row>
    <row r="2877">
      <c r="A2877">
        <f>IF($Q2877="","",INDEX(상세표[부서],$Q2877)&amp;"")</f>
        <v/>
      </c>
      <c r="B2877">
        <f>IF($Q2877="","",INDEX(상세표[사번],$Q2877)&amp;"")</f>
        <v/>
      </c>
      <c r="C2877">
        <f>IF($Q2877="","",INDEX(상세표[성명],$Q2877)&amp;"")</f>
        <v/>
      </c>
      <c r="D2877">
        <f>IF($Q2877="","",INDEX(상세표[직위],$Q2877)&amp;"")</f>
        <v/>
      </c>
      <c r="E2877">
        <f>IF($Q2877="","",IF(ISNUMBER(INDEX(상세표[근무일자],$Q2877)),TEXT(INDEX(상세표[근무일자],$Q2877),"yyyy-mm-dd"),INDEX(상세표[근무일자],$Q2877)&amp;""))</f>
        <v/>
      </c>
      <c r="F2877">
        <f>IF($Q2877="","",IF(ISNUMBER(INDEX(상세표[시작],$Q2877)),TEXT(INDEX(상세표[시작],$Q2877),"yyyy-mm-dd hh:mm"),INDEX(상세표[시작],$Q2877)&amp;""))</f>
        <v/>
      </c>
      <c r="G2877">
        <f>IF($Q2877="","",IF(ISNUMBER(INDEX(상세표[블록종료],$Q2877)),TEXT(INDEX(상세표[블록종료],$Q2877),"yyyy-mm-dd hh:mm"),INDEX(상세표[블록종료],$Q2877)&amp;""))</f>
        <v/>
      </c>
      <c r="H2877">
        <f>IF($Q2877="","",CHOOSE(WEEKDAY(INDEX(상세표[시작],$Q2877)),"일","월","화","수","목","금","토"))</f>
        <v/>
      </c>
      <c r="I2877" s="20">
        <f>IF($Q2877="","",INDEX(상세표[연속 시간],$Q2877))</f>
        <v/>
      </c>
      <c r="J2877">
        <f>IF($Q2877="","",INDEX(상세표[기록 수],$Q2877))</f>
        <v/>
      </c>
      <c r="K2877" s="20">
        <f>IF($Q2877="","",INDEX(상세표[블록 06~07시],$Q2877))</f>
        <v/>
      </c>
      <c r="L2877" s="20">
        <f>IF($Q2877="","",INDEX(상세표[블록 07~18시],$Q2877))</f>
        <v/>
      </c>
      <c r="M2877" s="20">
        <f>IF($Q2877="","",INDEX(상세표[블록 18~22시],$Q2877))</f>
        <v/>
      </c>
      <c r="N2877" s="20">
        <f>IF($Q2877="","",INDEX(상세표[블록 22~06시],$Q2877))</f>
        <v/>
      </c>
      <c r="O2877">
        <f>IF($Q2877="","",INDEX(상세표[주말·휴일 포함],$Q2877)&amp;"")</f>
        <v/>
      </c>
      <c r="P2877">
        <f>IF($Q2877="","",INDEX(상세표[월 넘김 포함],$Q2877)&amp;"")</f>
        <v/>
      </c>
      <c r="Q2877" s="4">
        <f>IFERROR(MATCH(2872,상세표[연속순번],0),"")</f>
        <v/>
      </c>
    </row>
    <row r="2878">
      <c r="A2878">
        <f>IF($Q2878="","",INDEX(상세표[부서],$Q2878)&amp;"")</f>
        <v/>
      </c>
      <c r="B2878">
        <f>IF($Q2878="","",INDEX(상세표[사번],$Q2878)&amp;"")</f>
        <v/>
      </c>
      <c r="C2878">
        <f>IF($Q2878="","",INDEX(상세표[성명],$Q2878)&amp;"")</f>
        <v/>
      </c>
      <c r="D2878">
        <f>IF($Q2878="","",INDEX(상세표[직위],$Q2878)&amp;"")</f>
        <v/>
      </c>
      <c r="E2878">
        <f>IF($Q2878="","",IF(ISNUMBER(INDEX(상세표[근무일자],$Q2878)),TEXT(INDEX(상세표[근무일자],$Q2878),"yyyy-mm-dd"),INDEX(상세표[근무일자],$Q2878)&amp;""))</f>
        <v/>
      </c>
      <c r="F2878">
        <f>IF($Q2878="","",IF(ISNUMBER(INDEX(상세표[시작],$Q2878)),TEXT(INDEX(상세표[시작],$Q2878),"yyyy-mm-dd hh:mm"),INDEX(상세표[시작],$Q2878)&amp;""))</f>
        <v/>
      </c>
      <c r="G2878">
        <f>IF($Q2878="","",IF(ISNUMBER(INDEX(상세표[블록종료],$Q2878)),TEXT(INDEX(상세표[블록종료],$Q2878),"yyyy-mm-dd hh:mm"),INDEX(상세표[블록종료],$Q2878)&amp;""))</f>
        <v/>
      </c>
      <c r="H2878">
        <f>IF($Q2878="","",CHOOSE(WEEKDAY(INDEX(상세표[시작],$Q2878)),"일","월","화","수","목","금","토"))</f>
        <v/>
      </c>
      <c r="I2878" s="20">
        <f>IF($Q2878="","",INDEX(상세표[연속 시간],$Q2878))</f>
        <v/>
      </c>
      <c r="J2878">
        <f>IF($Q2878="","",INDEX(상세표[기록 수],$Q2878))</f>
        <v/>
      </c>
      <c r="K2878" s="20">
        <f>IF($Q2878="","",INDEX(상세표[블록 06~07시],$Q2878))</f>
        <v/>
      </c>
      <c r="L2878" s="20">
        <f>IF($Q2878="","",INDEX(상세표[블록 07~18시],$Q2878))</f>
        <v/>
      </c>
      <c r="M2878" s="20">
        <f>IF($Q2878="","",INDEX(상세표[블록 18~22시],$Q2878))</f>
        <v/>
      </c>
      <c r="N2878" s="20">
        <f>IF($Q2878="","",INDEX(상세표[블록 22~06시],$Q2878))</f>
        <v/>
      </c>
      <c r="O2878">
        <f>IF($Q2878="","",INDEX(상세표[주말·휴일 포함],$Q2878)&amp;"")</f>
        <v/>
      </c>
      <c r="P2878">
        <f>IF($Q2878="","",INDEX(상세표[월 넘김 포함],$Q2878)&amp;"")</f>
        <v/>
      </c>
      <c r="Q2878" s="4">
        <f>IFERROR(MATCH(2873,상세표[연속순번],0),"")</f>
        <v/>
      </c>
    </row>
    <row r="2879">
      <c r="A2879">
        <f>IF($Q2879="","",INDEX(상세표[부서],$Q2879)&amp;"")</f>
        <v/>
      </c>
      <c r="B2879">
        <f>IF($Q2879="","",INDEX(상세표[사번],$Q2879)&amp;"")</f>
        <v/>
      </c>
      <c r="C2879">
        <f>IF($Q2879="","",INDEX(상세표[성명],$Q2879)&amp;"")</f>
        <v/>
      </c>
      <c r="D2879">
        <f>IF($Q2879="","",INDEX(상세표[직위],$Q2879)&amp;"")</f>
        <v/>
      </c>
      <c r="E2879">
        <f>IF($Q2879="","",IF(ISNUMBER(INDEX(상세표[근무일자],$Q2879)),TEXT(INDEX(상세표[근무일자],$Q2879),"yyyy-mm-dd"),INDEX(상세표[근무일자],$Q2879)&amp;""))</f>
        <v/>
      </c>
      <c r="F2879">
        <f>IF($Q2879="","",IF(ISNUMBER(INDEX(상세표[시작],$Q2879)),TEXT(INDEX(상세표[시작],$Q2879),"yyyy-mm-dd hh:mm"),INDEX(상세표[시작],$Q2879)&amp;""))</f>
        <v/>
      </c>
      <c r="G2879">
        <f>IF($Q2879="","",IF(ISNUMBER(INDEX(상세표[블록종료],$Q2879)),TEXT(INDEX(상세표[블록종료],$Q2879),"yyyy-mm-dd hh:mm"),INDEX(상세표[블록종료],$Q2879)&amp;""))</f>
        <v/>
      </c>
      <c r="H2879">
        <f>IF($Q2879="","",CHOOSE(WEEKDAY(INDEX(상세표[시작],$Q2879)),"일","월","화","수","목","금","토"))</f>
        <v/>
      </c>
      <c r="I2879" s="20">
        <f>IF($Q2879="","",INDEX(상세표[연속 시간],$Q2879))</f>
        <v/>
      </c>
      <c r="J2879">
        <f>IF($Q2879="","",INDEX(상세표[기록 수],$Q2879))</f>
        <v/>
      </c>
      <c r="K2879" s="20">
        <f>IF($Q2879="","",INDEX(상세표[블록 06~07시],$Q2879))</f>
        <v/>
      </c>
      <c r="L2879" s="20">
        <f>IF($Q2879="","",INDEX(상세표[블록 07~18시],$Q2879))</f>
        <v/>
      </c>
      <c r="M2879" s="20">
        <f>IF($Q2879="","",INDEX(상세표[블록 18~22시],$Q2879))</f>
        <v/>
      </c>
      <c r="N2879" s="20">
        <f>IF($Q2879="","",INDEX(상세표[블록 22~06시],$Q2879))</f>
        <v/>
      </c>
      <c r="O2879">
        <f>IF($Q2879="","",INDEX(상세표[주말·휴일 포함],$Q2879)&amp;"")</f>
        <v/>
      </c>
      <c r="P2879">
        <f>IF($Q2879="","",INDEX(상세표[월 넘김 포함],$Q2879)&amp;"")</f>
        <v/>
      </c>
      <c r="Q2879" s="4">
        <f>IFERROR(MATCH(2874,상세표[연속순번],0),"")</f>
        <v/>
      </c>
    </row>
    <row r="2880">
      <c r="A2880">
        <f>IF($Q2880="","",INDEX(상세표[부서],$Q2880)&amp;"")</f>
        <v/>
      </c>
      <c r="B2880">
        <f>IF($Q2880="","",INDEX(상세표[사번],$Q2880)&amp;"")</f>
        <v/>
      </c>
      <c r="C2880">
        <f>IF($Q2880="","",INDEX(상세표[성명],$Q2880)&amp;"")</f>
        <v/>
      </c>
      <c r="D2880">
        <f>IF($Q2880="","",INDEX(상세표[직위],$Q2880)&amp;"")</f>
        <v/>
      </c>
      <c r="E2880">
        <f>IF($Q2880="","",IF(ISNUMBER(INDEX(상세표[근무일자],$Q2880)),TEXT(INDEX(상세표[근무일자],$Q2880),"yyyy-mm-dd"),INDEX(상세표[근무일자],$Q2880)&amp;""))</f>
        <v/>
      </c>
      <c r="F2880">
        <f>IF($Q2880="","",IF(ISNUMBER(INDEX(상세표[시작],$Q2880)),TEXT(INDEX(상세표[시작],$Q2880),"yyyy-mm-dd hh:mm"),INDEX(상세표[시작],$Q2880)&amp;""))</f>
        <v/>
      </c>
      <c r="G2880">
        <f>IF($Q2880="","",IF(ISNUMBER(INDEX(상세표[블록종료],$Q2880)),TEXT(INDEX(상세표[블록종료],$Q2880),"yyyy-mm-dd hh:mm"),INDEX(상세표[블록종료],$Q2880)&amp;""))</f>
        <v/>
      </c>
      <c r="H2880">
        <f>IF($Q2880="","",CHOOSE(WEEKDAY(INDEX(상세표[시작],$Q2880)),"일","월","화","수","목","금","토"))</f>
        <v/>
      </c>
      <c r="I2880" s="20">
        <f>IF($Q2880="","",INDEX(상세표[연속 시간],$Q2880))</f>
        <v/>
      </c>
      <c r="J2880">
        <f>IF($Q2880="","",INDEX(상세표[기록 수],$Q2880))</f>
        <v/>
      </c>
      <c r="K2880" s="20">
        <f>IF($Q2880="","",INDEX(상세표[블록 06~07시],$Q2880))</f>
        <v/>
      </c>
      <c r="L2880" s="20">
        <f>IF($Q2880="","",INDEX(상세표[블록 07~18시],$Q2880))</f>
        <v/>
      </c>
      <c r="M2880" s="20">
        <f>IF($Q2880="","",INDEX(상세표[블록 18~22시],$Q2880))</f>
        <v/>
      </c>
      <c r="N2880" s="20">
        <f>IF($Q2880="","",INDEX(상세표[블록 22~06시],$Q2880))</f>
        <v/>
      </c>
      <c r="O2880">
        <f>IF($Q2880="","",INDEX(상세표[주말·휴일 포함],$Q2880)&amp;"")</f>
        <v/>
      </c>
      <c r="P2880">
        <f>IF($Q2880="","",INDEX(상세표[월 넘김 포함],$Q2880)&amp;"")</f>
        <v/>
      </c>
      <c r="Q2880" s="4">
        <f>IFERROR(MATCH(2875,상세표[연속순번],0),"")</f>
        <v/>
      </c>
    </row>
    <row r="2881">
      <c r="A2881">
        <f>IF($Q2881="","",INDEX(상세표[부서],$Q2881)&amp;"")</f>
        <v/>
      </c>
      <c r="B2881">
        <f>IF($Q2881="","",INDEX(상세표[사번],$Q2881)&amp;"")</f>
        <v/>
      </c>
      <c r="C2881">
        <f>IF($Q2881="","",INDEX(상세표[성명],$Q2881)&amp;"")</f>
        <v/>
      </c>
      <c r="D2881">
        <f>IF($Q2881="","",INDEX(상세표[직위],$Q2881)&amp;"")</f>
        <v/>
      </c>
      <c r="E2881">
        <f>IF($Q2881="","",IF(ISNUMBER(INDEX(상세표[근무일자],$Q2881)),TEXT(INDEX(상세표[근무일자],$Q2881),"yyyy-mm-dd"),INDEX(상세표[근무일자],$Q2881)&amp;""))</f>
        <v/>
      </c>
      <c r="F2881">
        <f>IF($Q2881="","",IF(ISNUMBER(INDEX(상세표[시작],$Q2881)),TEXT(INDEX(상세표[시작],$Q2881),"yyyy-mm-dd hh:mm"),INDEX(상세표[시작],$Q2881)&amp;""))</f>
        <v/>
      </c>
      <c r="G2881">
        <f>IF($Q2881="","",IF(ISNUMBER(INDEX(상세표[블록종료],$Q2881)),TEXT(INDEX(상세표[블록종료],$Q2881),"yyyy-mm-dd hh:mm"),INDEX(상세표[블록종료],$Q2881)&amp;""))</f>
        <v/>
      </c>
      <c r="H2881">
        <f>IF($Q2881="","",CHOOSE(WEEKDAY(INDEX(상세표[시작],$Q2881)),"일","월","화","수","목","금","토"))</f>
        <v/>
      </c>
      <c r="I2881" s="20">
        <f>IF($Q2881="","",INDEX(상세표[연속 시간],$Q2881))</f>
        <v/>
      </c>
      <c r="J2881">
        <f>IF($Q2881="","",INDEX(상세표[기록 수],$Q2881))</f>
        <v/>
      </c>
      <c r="K2881" s="20">
        <f>IF($Q2881="","",INDEX(상세표[블록 06~07시],$Q2881))</f>
        <v/>
      </c>
      <c r="L2881" s="20">
        <f>IF($Q2881="","",INDEX(상세표[블록 07~18시],$Q2881))</f>
        <v/>
      </c>
      <c r="M2881" s="20">
        <f>IF($Q2881="","",INDEX(상세표[블록 18~22시],$Q2881))</f>
        <v/>
      </c>
      <c r="N2881" s="20">
        <f>IF($Q2881="","",INDEX(상세표[블록 22~06시],$Q2881))</f>
        <v/>
      </c>
      <c r="O2881">
        <f>IF($Q2881="","",INDEX(상세표[주말·휴일 포함],$Q2881)&amp;"")</f>
        <v/>
      </c>
      <c r="P2881">
        <f>IF($Q2881="","",INDEX(상세표[월 넘김 포함],$Q2881)&amp;"")</f>
        <v/>
      </c>
      <c r="Q2881" s="4">
        <f>IFERROR(MATCH(2876,상세표[연속순번],0),"")</f>
        <v/>
      </c>
    </row>
    <row r="2882">
      <c r="A2882">
        <f>IF($Q2882="","",INDEX(상세표[부서],$Q2882)&amp;"")</f>
        <v/>
      </c>
      <c r="B2882">
        <f>IF($Q2882="","",INDEX(상세표[사번],$Q2882)&amp;"")</f>
        <v/>
      </c>
      <c r="C2882">
        <f>IF($Q2882="","",INDEX(상세표[성명],$Q2882)&amp;"")</f>
        <v/>
      </c>
      <c r="D2882">
        <f>IF($Q2882="","",INDEX(상세표[직위],$Q2882)&amp;"")</f>
        <v/>
      </c>
      <c r="E2882">
        <f>IF($Q2882="","",IF(ISNUMBER(INDEX(상세표[근무일자],$Q2882)),TEXT(INDEX(상세표[근무일자],$Q2882),"yyyy-mm-dd"),INDEX(상세표[근무일자],$Q2882)&amp;""))</f>
        <v/>
      </c>
      <c r="F2882">
        <f>IF($Q2882="","",IF(ISNUMBER(INDEX(상세표[시작],$Q2882)),TEXT(INDEX(상세표[시작],$Q2882),"yyyy-mm-dd hh:mm"),INDEX(상세표[시작],$Q2882)&amp;""))</f>
        <v/>
      </c>
      <c r="G2882">
        <f>IF($Q2882="","",IF(ISNUMBER(INDEX(상세표[블록종료],$Q2882)),TEXT(INDEX(상세표[블록종료],$Q2882),"yyyy-mm-dd hh:mm"),INDEX(상세표[블록종료],$Q2882)&amp;""))</f>
        <v/>
      </c>
      <c r="H2882">
        <f>IF($Q2882="","",CHOOSE(WEEKDAY(INDEX(상세표[시작],$Q2882)),"일","월","화","수","목","금","토"))</f>
        <v/>
      </c>
      <c r="I2882" s="20">
        <f>IF($Q2882="","",INDEX(상세표[연속 시간],$Q2882))</f>
        <v/>
      </c>
      <c r="J2882">
        <f>IF($Q2882="","",INDEX(상세표[기록 수],$Q2882))</f>
        <v/>
      </c>
      <c r="K2882" s="20">
        <f>IF($Q2882="","",INDEX(상세표[블록 06~07시],$Q2882))</f>
        <v/>
      </c>
      <c r="L2882" s="20">
        <f>IF($Q2882="","",INDEX(상세표[블록 07~18시],$Q2882))</f>
        <v/>
      </c>
      <c r="M2882" s="20">
        <f>IF($Q2882="","",INDEX(상세표[블록 18~22시],$Q2882))</f>
        <v/>
      </c>
      <c r="N2882" s="20">
        <f>IF($Q2882="","",INDEX(상세표[블록 22~06시],$Q2882))</f>
        <v/>
      </c>
      <c r="O2882">
        <f>IF($Q2882="","",INDEX(상세표[주말·휴일 포함],$Q2882)&amp;"")</f>
        <v/>
      </c>
      <c r="P2882">
        <f>IF($Q2882="","",INDEX(상세표[월 넘김 포함],$Q2882)&amp;"")</f>
        <v/>
      </c>
      <c r="Q2882" s="4">
        <f>IFERROR(MATCH(2877,상세표[연속순번],0),"")</f>
        <v/>
      </c>
    </row>
    <row r="2883">
      <c r="A2883">
        <f>IF($Q2883="","",INDEX(상세표[부서],$Q2883)&amp;"")</f>
        <v/>
      </c>
      <c r="B2883">
        <f>IF($Q2883="","",INDEX(상세표[사번],$Q2883)&amp;"")</f>
        <v/>
      </c>
      <c r="C2883">
        <f>IF($Q2883="","",INDEX(상세표[성명],$Q2883)&amp;"")</f>
        <v/>
      </c>
      <c r="D2883">
        <f>IF($Q2883="","",INDEX(상세표[직위],$Q2883)&amp;"")</f>
        <v/>
      </c>
      <c r="E2883">
        <f>IF($Q2883="","",IF(ISNUMBER(INDEX(상세표[근무일자],$Q2883)),TEXT(INDEX(상세표[근무일자],$Q2883),"yyyy-mm-dd"),INDEX(상세표[근무일자],$Q2883)&amp;""))</f>
        <v/>
      </c>
      <c r="F2883">
        <f>IF($Q2883="","",IF(ISNUMBER(INDEX(상세표[시작],$Q2883)),TEXT(INDEX(상세표[시작],$Q2883),"yyyy-mm-dd hh:mm"),INDEX(상세표[시작],$Q2883)&amp;""))</f>
        <v/>
      </c>
      <c r="G2883">
        <f>IF($Q2883="","",IF(ISNUMBER(INDEX(상세표[블록종료],$Q2883)),TEXT(INDEX(상세표[블록종료],$Q2883),"yyyy-mm-dd hh:mm"),INDEX(상세표[블록종료],$Q2883)&amp;""))</f>
        <v/>
      </c>
      <c r="H2883">
        <f>IF($Q2883="","",CHOOSE(WEEKDAY(INDEX(상세표[시작],$Q2883)),"일","월","화","수","목","금","토"))</f>
        <v/>
      </c>
      <c r="I2883" s="20">
        <f>IF($Q2883="","",INDEX(상세표[연속 시간],$Q2883))</f>
        <v/>
      </c>
      <c r="J2883">
        <f>IF($Q2883="","",INDEX(상세표[기록 수],$Q2883))</f>
        <v/>
      </c>
      <c r="K2883" s="20">
        <f>IF($Q2883="","",INDEX(상세표[블록 06~07시],$Q2883))</f>
        <v/>
      </c>
      <c r="L2883" s="20">
        <f>IF($Q2883="","",INDEX(상세표[블록 07~18시],$Q2883))</f>
        <v/>
      </c>
      <c r="M2883" s="20">
        <f>IF($Q2883="","",INDEX(상세표[블록 18~22시],$Q2883))</f>
        <v/>
      </c>
      <c r="N2883" s="20">
        <f>IF($Q2883="","",INDEX(상세표[블록 22~06시],$Q2883))</f>
        <v/>
      </c>
      <c r="O2883">
        <f>IF($Q2883="","",INDEX(상세표[주말·휴일 포함],$Q2883)&amp;"")</f>
        <v/>
      </c>
      <c r="P2883">
        <f>IF($Q2883="","",INDEX(상세표[월 넘김 포함],$Q2883)&amp;"")</f>
        <v/>
      </c>
      <c r="Q2883" s="4">
        <f>IFERROR(MATCH(2878,상세표[연속순번],0),"")</f>
        <v/>
      </c>
    </row>
    <row r="2884">
      <c r="A2884">
        <f>IF($Q2884="","",INDEX(상세표[부서],$Q2884)&amp;"")</f>
        <v/>
      </c>
      <c r="B2884">
        <f>IF($Q2884="","",INDEX(상세표[사번],$Q2884)&amp;"")</f>
        <v/>
      </c>
      <c r="C2884">
        <f>IF($Q2884="","",INDEX(상세표[성명],$Q2884)&amp;"")</f>
        <v/>
      </c>
      <c r="D2884">
        <f>IF($Q2884="","",INDEX(상세표[직위],$Q2884)&amp;"")</f>
        <v/>
      </c>
      <c r="E2884">
        <f>IF($Q2884="","",IF(ISNUMBER(INDEX(상세표[근무일자],$Q2884)),TEXT(INDEX(상세표[근무일자],$Q2884),"yyyy-mm-dd"),INDEX(상세표[근무일자],$Q2884)&amp;""))</f>
        <v/>
      </c>
      <c r="F2884">
        <f>IF($Q2884="","",IF(ISNUMBER(INDEX(상세표[시작],$Q2884)),TEXT(INDEX(상세표[시작],$Q2884),"yyyy-mm-dd hh:mm"),INDEX(상세표[시작],$Q2884)&amp;""))</f>
        <v/>
      </c>
      <c r="G2884">
        <f>IF($Q2884="","",IF(ISNUMBER(INDEX(상세표[블록종료],$Q2884)),TEXT(INDEX(상세표[블록종료],$Q2884),"yyyy-mm-dd hh:mm"),INDEX(상세표[블록종료],$Q2884)&amp;""))</f>
        <v/>
      </c>
      <c r="H2884">
        <f>IF($Q2884="","",CHOOSE(WEEKDAY(INDEX(상세표[시작],$Q2884)),"일","월","화","수","목","금","토"))</f>
        <v/>
      </c>
      <c r="I2884" s="20">
        <f>IF($Q2884="","",INDEX(상세표[연속 시간],$Q2884))</f>
        <v/>
      </c>
      <c r="J2884">
        <f>IF($Q2884="","",INDEX(상세표[기록 수],$Q2884))</f>
        <v/>
      </c>
      <c r="K2884" s="20">
        <f>IF($Q2884="","",INDEX(상세표[블록 06~07시],$Q2884))</f>
        <v/>
      </c>
      <c r="L2884" s="20">
        <f>IF($Q2884="","",INDEX(상세표[블록 07~18시],$Q2884))</f>
        <v/>
      </c>
      <c r="M2884" s="20">
        <f>IF($Q2884="","",INDEX(상세표[블록 18~22시],$Q2884))</f>
        <v/>
      </c>
      <c r="N2884" s="20">
        <f>IF($Q2884="","",INDEX(상세표[블록 22~06시],$Q2884))</f>
        <v/>
      </c>
      <c r="O2884">
        <f>IF($Q2884="","",INDEX(상세표[주말·휴일 포함],$Q2884)&amp;"")</f>
        <v/>
      </c>
      <c r="P2884">
        <f>IF($Q2884="","",INDEX(상세표[월 넘김 포함],$Q2884)&amp;"")</f>
        <v/>
      </c>
      <c r="Q2884" s="4">
        <f>IFERROR(MATCH(2879,상세표[연속순번],0),"")</f>
        <v/>
      </c>
    </row>
    <row r="2885">
      <c r="A2885">
        <f>IF($Q2885="","",INDEX(상세표[부서],$Q2885)&amp;"")</f>
        <v/>
      </c>
      <c r="B2885">
        <f>IF($Q2885="","",INDEX(상세표[사번],$Q2885)&amp;"")</f>
        <v/>
      </c>
      <c r="C2885">
        <f>IF($Q2885="","",INDEX(상세표[성명],$Q2885)&amp;"")</f>
        <v/>
      </c>
      <c r="D2885">
        <f>IF($Q2885="","",INDEX(상세표[직위],$Q2885)&amp;"")</f>
        <v/>
      </c>
      <c r="E2885">
        <f>IF($Q2885="","",IF(ISNUMBER(INDEX(상세표[근무일자],$Q2885)),TEXT(INDEX(상세표[근무일자],$Q2885),"yyyy-mm-dd"),INDEX(상세표[근무일자],$Q2885)&amp;""))</f>
        <v/>
      </c>
      <c r="F2885">
        <f>IF($Q2885="","",IF(ISNUMBER(INDEX(상세표[시작],$Q2885)),TEXT(INDEX(상세표[시작],$Q2885),"yyyy-mm-dd hh:mm"),INDEX(상세표[시작],$Q2885)&amp;""))</f>
        <v/>
      </c>
      <c r="G2885">
        <f>IF($Q2885="","",IF(ISNUMBER(INDEX(상세표[블록종료],$Q2885)),TEXT(INDEX(상세표[블록종료],$Q2885),"yyyy-mm-dd hh:mm"),INDEX(상세표[블록종료],$Q2885)&amp;""))</f>
        <v/>
      </c>
      <c r="H2885">
        <f>IF($Q2885="","",CHOOSE(WEEKDAY(INDEX(상세표[시작],$Q2885)),"일","월","화","수","목","금","토"))</f>
        <v/>
      </c>
      <c r="I2885" s="20">
        <f>IF($Q2885="","",INDEX(상세표[연속 시간],$Q2885))</f>
        <v/>
      </c>
      <c r="J2885">
        <f>IF($Q2885="","",INDEX(상세표[기록 수],$Q2885))</f>
        <v/>
      </c>
      <c r="K2885" s="20">
        <f>IF($Q2885="","",INDEX(상세표[블록 06~07시],$Q2885))</f>
        <v/>
      </c>
      <c r="L2885" s="20">
        <f>IF($Q2885="","",INDEX(상세표[블록 07~18시],$Q2885))</f>
        <v/>
      </c>
      <c r="M2885" s="20">
        <f>IF($Q2885="","",INDEX(상세표[블록 18~22시],$Q2885))</f>
        <v/>
      </c>
      <c r="N2885" s="20">
        <f>IF($Q2885="","",INDEX(상세표[블록 22~06시],$Q2885))</f>
        <v/>
      </c>
      <c r="O2885">
        <f>IF($Q2885="","",INDEX(상세표[주말·휴일 포함],$Q2885)&amp;"")</f>
        <v/>
      </c>
      <c r="P2885">
        <f>IF($Q2885="","",INDEX(상세표[월 넘김 포함],$Q2885)&amp;"")</f>
        <v/>
      </c>
      <c r="Q2885" s="4">
        <f>IFERROR(MATCH(2880,상세표[연속순번],0),"")</f>
        <v/>
      </c>
    </row>
    <row r="2886">
      <c r="A2886">
        <f>IF($Q2886="","",INDEX(상세표[부서],$Q2886)&amp;"")</f>
        <v/>
      </c>
      <c r="B2886">
        <f>IF($Q2886="","",INDEX(상세표[사번],$Q2886)&amp;"")</f>
        <v/>
      </c>
      <c r="C2886">
        <f>IF($Q2886="","",INDEX(상세표[성명],$Q2886)&amp;"")</f>
        <v/>
      </c>
      <c r="D2886">
        <f>IF($Q2886="","",INDEX(상세표[직위],$Q2886)&amp;"")</f>
        <v/>
      </c>
      <c r="E2886">
        <f>IF($Q2886="","",IF(ISNUMBER(INDEX(상세표[근무일자],$Q2886)),TEXT(INDEX(상세표[근무일자],$Q2886),"yyyy-mm-dd"),INDEX(상세표[근무일자],$Q2886)&amp;""))</f>
        <v/>
      </c>
      <c r="F2886">
        <f>IF($Q2886="","",IF(ISNUMBER(INDEX(상세표[시작],$Q2886)),TEXT(INDEX(상세표[시작],$Q2886),"yyyy-mm-dd hh:mm"),INDEX(상세표[시작],$Q2886)&amp;""))</f>
        <v/>
      </c>
      <c r="G2886">
        <f>IF($Q2886="","",IF(ISNUMBER(INDEX(상세표[블록종료],$Q2886)),TEXT(INDEX(상세표[블록종료],$Q2886),"yyyy-mm-dd hh:mm"),INDEX(상세표[블록종료],$Q2886)&amp;""))</f>
        <v/>
      </c>
      <c r="H2886">
        <f>IF($Q2886="","",CHOOSE(WEEKDAY(INDEX(상세표[시작],$Q2886)),"일","월","화","수","목","금","토"))</f>
        <v/>
      </c>
      <c r="I2886" s="20">
        <f>IF($Q2886="","",INDEX(상세표[연속 시간],$Q2886))</f>
        <v/>
      </c>
      <c r="J2886">
        <f>IF($Q2886="","",INDEX(상세표[기록 수],$Q2886))</f>
        <v/>
      </c>
      <c r="K2886" s="20">
        <f>IF($Q2886="","",INDEX(상세표[블록 06~07시],$Q2886))</f>
        <v/>
      </c>
      <c r="L2886" s="20">
        <f>IF($Q2886="","",INDEX(상세표[블록 07~18시],$Q2886))</f>
        <v/>
      </c>
      <c r="M2886" s="20">
        <f>IF($Q2886="","",INDEX(상세표[블록 18~22시],$Q2886))</f>
        <v/>
      </c>
      <c r="N2886" s="20">
        <f>IF($Q2886="","",INDEX(상세표[블록 22~06시],$Q2886))</f>
        <v/>
      </c>
      <c r="O2886">
        <f>IF($Q2886="","",INDEX(상세표[주말·휴일 포함],$Q2886)&amp;"")</f>
        <v/>
      </c>
      <c r="P2886">
        <f>IF($Q2886="","",INDEX(상세표[월 넘김 포함],$Q2886)&amp;"")</f>
        <v/>
      </c>
      <c r="Q2886" s="4">
        <f>IFERROR(MATCH(2881,상세표[연속순번],0),"")</f>
        <v/>
      </c>
    </row>
    <row r="2887">
      <c r="A2887">
        <f>IF($Q2887="","",INDEX(상세표[부서],$Q2887)&amp;"")</f>
        <v/>
      </c>
      <c r="B2887">
        <f>IF($Q2887="","",INDEX(상세표[사번],$Q2887)&amp;"")</f>
        <v/>
      </c>
      <c r="C2887">
        <f>IF($Q2887="","",INDEX(상세표[성명],$Q2887)&amp;"")</f>
        <v/>
      </c>
      <c r="D2887">
        <f>IF($Q2887="","",INDEX(상세표[직위],$Q2887)&amp;"")</f>
        <v/>
      </c>
      <c r="E2887">
        <f>IF($Q2887="","",IF(ISNUMBER(INDEX(상세표[근무일자],$Q2887)),TEXT(INDEX(상세표[근무일자],$Q2887),"yyyy-mm-dd"),INDEX(상세표[근무일자],$Q2887)&amp;""))</f>
        <v/>
      </c>
      <c r="F2887">
        <f>IF($Q2887="","",IF(ISNUMBER(INDEX(상세표[시작],$Q2887)),TEXT(INDEX(상세표[시작],$Q2887),"yyyy-mm-dd hh:mm"),INDEX(상세표[시작],$Q2887)&amp;""))</f>
        <v/>
      </c>
      <c r="G2887">
        <f>IF($Q2887="","",IF(ISNUMBER(INDEX(상세표[블록종료],$Q2887)),TEXT(INDEX(상세표[블록종료],$Q2887),"yyyy-mm-dd hh:mm"),INDEX(상세표[블록종료],$Q2887)&amp;""))</f>
        <v/>
      </c>
      <c r="H2887">
        <f>IF($Q2887="","",CHOOSE(WEEKDAY(INDEX(상세표[시작],$Q2887)),"일","월","화","수","목","금","토"))</f>
        <v/>
      </c>
      <c r="I2887" s="20">
        <f>IF($Q2887="","",INDEX(상세표[연속 시간],$Q2887))</f>
        <v/>
      </c>
      <c r="J2887">
        <f>IF($Q2887="","",INDEX(상세표[기록 수],$Q2887))</f>
        <v/>
      </c>
      <c r="K2887" s="20">
        <f>IF($Q2887="","",INDEX(상세표[블록 06~07시],$Q2887))</f>
        <v/>
      </c>
      <c r="L2887" s="20">
        <f>IF($Q2887="","",INDEX(상세표[블록 07~18시],$Q2887))</f>
        <v/>
      </c>
      <c r="M2887" s="20">
        <f>IF($Q2887="","",INDEX(상세표[블록 18~22시],$Q2887))</f>
        <v/>
      </c>
      <c r="N2887" s="20">
        <f>IF($Q2887="","",INDEX(상세표[블록 22~06시],$Q2887))</f>
        <v/>
      </c>
      <c r="O2887">
        <f>IF($Q2887="","",INDEX(상세표[주말·휴일 포함],$Q2887)&amp;"")</f>
        <v/>
      </c>
      <c r="P2887">
        <f>IF($Q2887="","",INDEX(상세표[월 넘김 포함],$Q2887)&amp;"")</f>
        <v/>
      </c>
      <c r="Q2887" s="4">
        <f>IFERROR(MATCH(2882,상세표[연속순번],0),"")</f>
        <v/>
      </c>
    </row>
    <row r="2888">
      <c r="A2888">
        <f>IF($Q2888="","",INDEX(상세표[부서],$Q2888)&amp;"")</f>
        <v/>
      </c>
      <c r="B2888">
        <f>IF($Q2888="","",INDEX(상세표[사번],$Q2888)&amp;"")</f>
        <v/>
      </c>
      <c r="C2888">
        <f>IF($Q2888="","",INDEX(상세표[성명],$Q2888)&amp;"")</f>
        <v/>
      </c>
      <c r="D2888">
        <f>IF($Q2888="","",INDEX(상세표[직위],$Q2888)&amp;"")</f>
        <v/>
      </c>
      <c r="E2888">
        <f>IF($Q2888="","",IF(ISNUMBER(INDEX(상세표[근무일자],$Q2888)),TEXT(INDEX(상세표[근무일자],$Q2888),"yyyy-mm-dd"),INDEX(상세표[근무일자],$Q2888)&amp;""))</f>
        <v/>
      </c>
      <c r="F2888">
        <f>IF($Q2888="","",IF(ISNUMBER(INDEX(상세표[시작],$Q2888)),TEXT(INDEX(상세표[시작],$Q2888),"yyyy-mm-dd hh:mm"),INDEX(상세표[시작],$Q2888)&amp;""))</f>
        <v/>
      </c>
      <c r="G2888">
        <f>IF($Q2888="","",IF(ISNUMBER(INDEX(상세표[블록종료],$Q2888)),TEXT(INDEX(상세표[블록종료],$Q2888),"yyyy-mm-dd hh:mm"),INDEX(상세표[블록종료],$Q2888)&amp;""))</f>
        <v/>
      </c>
      <c r="H2888">
        <f>IF($Q2888="","",CHOOSE(WEEKDAY(INDEX(상세표[시작],$Q2888)),"일","월","화","수","목","금","토"))</f>
        <v/>
      </c>
      <c r="I2888" s="20">
        <f>IF($Q2888="","",INDEX(상세표[연속 시간],$Q2888))</f>
        <v/>
      </c>
      <c r="J2888">
        <f>IF($Q2888="","",INDEX(상세표[기록 수],$Q2888))</f>
        <v/>
      </c>
      <c r="K2888" s="20">
        <f>IF($Q2888="","",INDEX(상세표[블록 06~07시],$Q2888))</f>
        <v/>
      </c>
      <c r="L2888" s="20">
        <f>IF($Q2888="","",INDEX(상세표[블록 07~18시],$Q2888))</f>
        <v/>
      </c>
      <c r="M2888" s="20">
        <f>IF($Q2888="","",INDEX(상세표[블록 18~22시],$Q2888))</f>
        <v/>
      </c>
      <c r="N2888" s="20">
        <f>IF($Q2888="","",INDEX(상세표[블록 22~06시],$Q2888))</f>
        <v/>
      </c>
      <c r="O2888">
        <f>IF($Q2888="","",INDEX(상세표[주말·휴일 포함],$Q2888)&amp;"")</f>
        <v/>
      </c>
      <c r="P2888">
        <f>IF($Q2888="","",INDEX(상세표[월 넘김 포함],$Q2888)&amp;"")</f>
        <v/>
      </c>
      <c r="Q2888" s="4">
        <f>IFERROR(MATCH(2883,상세표[연속순번],0),"")</f>
        <v/>
      </c>
    </row>
    <row r="2889">
      <c r="A2889">
        <f>IF($Q2889="","",INDEX(상세표[부서],$Q2889)&amp;"")</f>
        <v/>
      </c>
      <c r="B2889">
        <f>IF($Q2889="","",INDEX(상세표[사번],$Q2889)&amp;"")</f>
        <v/>
      </c>
      <c r="C2889">
        <f>IF($Q2889="","",INDEX(상세표[성명],$Q2889)&amp;"")</f>
        <v/>
      </c>
      <c r="D2889">
        <f>IF($Q2889="","",INDEX(상세표[직위],$Q2889)&amp;"")</f>
        <v/>
      </c>
      <c r="E2889">
        <f>IF($Q2889="","",IF(ISNUMBER(INDEX(상세표[근무일자],$Q2889)),TEXT(INDEX(상세표[근무일자],$Q2889),"yyyy-mm-dd"),INDEX(상세표[근무일자],$Q2889)&amp;""))</f>
        <v/>
      </c>
      <c r="F2889">
        <f>IF($Q2889="","",IF(ISNUMBER(INDEX(상세표[시작],$Q2889)),TEXT(INDEX(상세표[시작],$Q2889),"yyyy-mm-dd hh:mm"),INDEX(상세표[시작],$Q2889)&amp;""))</f>
        <v/>
      </c>
      <c r="G2889">
        <f>IF($Q2889="","",IF(ISNUMBER(INDEX(상세표[블록종료],$Q2889)),TEXT(INDEX(상세표[블록종료],$Q2889),"yyyy-mm-dd hh:mm"),INDEX(상세표[블록종료],$Q2889)&amp;""))</f>
        <v/>
      </c>
      <c r="H2889">
        <f>IF($Q2889="","",CHOOSE(WEEKDAY(INDEX(상세표[시작],$Q2889)),"일","월","화","수","목","금","토"))</f>
        <v/>
      </c>
      <c r="I2889" s="20">
        <f>IF($Q2889="","",INDEX(상세표[연속 시간],$Q2889))</f>
        <v/>
      </c>
      <c r="J2889">
        <f>IF($Q2889="","",INDEX(상세표[기록 수],$Q2889))</f>
        <v/>
      </c>
      <c r="K2889" s="20">
        <f>IF($Q2889="","",INDEX(상세표[블록 06~07시],$Q2889))</f>
        <v/>
      </c>
      <c r="L2889" s="20">
        <f>IF($Q2889="","",INDEX(상세표[블록 07~18시],$Q2889))</f>
        <v/>
      </c>
      <c r="M2889" s="20">
        <f>IF($Q2889="","",INDEX(상세표[블록 18~22시],$Q2889))</f>
        <v/>
      </c>
      <c r="N2889" s="20">
        <f>IF($Q2889="","",INDEX(상세표[블록 22~06시],$Q2889))</f>
        <v/>
      </c>
      <c r="O2889">
        <f>IF($Q2889="","",INDEX(상세표[주말·휴일 포함],$Q2889)&amp;"")</f>
        <v/>
      </c>
      <c r="P2889">
        <f>IF($Q2889="","",INDEX(상세표[월 넘김 포함],$Q2889)&amp;"")</f>
        <v/>
      </c>
      <c r="Q2889" s="4">
        <f>IFERROR(MATCH(2884,상세표[연속순번],0),"")</f>
        <v/>
      </c>
    </row>
    <row r="2890">
      <c r="A2890">
        <f>IF($Q2890="","",INDEX(상세표[부서],$Q2890)&amp;"")</f>
        <v/>
      </c>
      <c r="B2890">
        <f>IF($Q2890="","",INDEX(상세표[사번],$Q2890)&amp;"")</f>
        <v/>
      </c>
      <c r="C2890">
        <f>IF($Q2890="","",INDEX(상세표[성명],$Q2890)&amp;"")</f>
        <v/>
      </c>
      <c r="D2890">
        <f>IF($Q2890="","",INDEX(상세표[직위],$Q2890)&amp;"")</f>
        <v/>
      </c>
      <c r="E2890">
        <f>IF($Q2890="","",IF(ISNUMBER(INDEX(상세표[근무일자],$Q2890)),TEXT(INDEX(상세표[근무일자],$Q2890),"yyyy-mm-dd"),INDEX(상세표[근무일자],$Q2890)&amp;""))</f>
        <v/>
      </c>
      <c r="F2890">
        <f>IF($Q2890="","",IF(ISNUMBER(INDEX(상세표[시작],$Q2890)),TEXT(INDEX(상세표[시작],$Q2890),"yyyy-mm-dd hh:mm"),INDEX(상세표[시작],$Q2890)&amp;""))</f>
        <v/>
      </c>
      <c r="G2890">
        <f>IF($Q2890="","",IF(ISNUMBER(INDEX(상세표[블록종료],$Q2890)),TEXT(INDEX(상세표[블록종료],$Q2890),"yyyy-mm-dd hh:mm"),INDEX(상세표[블록종료],$Q2890)&amp;""))</f>
        <v/>
      </c>
      <c r="H2890">
        <f>IF($Q2890="","",CHOOSE(WEEKDAY(INDEX(상세표[시작],$Q2890)),"일","월","화","수","목","금","토"))</f>
        <v/>
      </c>
      <c r="I2890" s="20">
        <f>IF($Q2890="","",INDEX(상세표[연속 시간],$Q2890))</f>
        <v/>
      </c>
      <c r="J2890">
        <f>IF($Q2890="","",INDEX(상세표[기록 수],$Q2890))</f>
        <v/>
      </c>
      <c r="K2890" s="20">
        <f>IF($Q2890="","",INDEX(상세표[블록 06~07시],$Q2890))</f>
        <v/>
      </c>
      <c r="L2890" s="20">
        <f>IF($Q2890="","",INDEX(상세표[블록 07~18시],$Q2890))</f>
        <v/>
      </c>
      <c r="M2890" s="20">
        <f>IF($Q2890="","",INDEX(상세표[블록 18~22시],$Q2890))</f>
        <v/>
      </c>
      <c r="N2890" s="20">
        <f>IF($Q2890="","",INDEX(상세표[블록 22~06시],$Q2890))</f>
        <v/>
      </c>
      <c r="O2890">
        <f>IF($Q2890="","",INDEX(상세표[주말·휴일 포함],$Q2890)&amp;"")</f>
        <v/>
      </c>
      <c r="P2890">
        <f>IF($Q2890="","",INDEX(상세표[월 넘김 포함],$Q2890)&amp;"")</f>
        <v/>
      </c>
      <c r="Q2890" s="4">
        <f>IFERROR(MATCH(2885,상세표[연속순번],0),"")</f>
        <v/>
      </c>
    </row>
    <row r="2891">
      <c r="A2891">
        <f>IF($Q2891="","",INDEX(상세표[부서],$Q2891)&amp;"")</f>
        <v/>
      </c>
      <c r="B2891">
        <f>IF($Q2891="","",INDEX(상세표[사번],$Q2891)&amp;"")</f>
        <v/>
      </c>
      <c r="C2891">
        <f>IF($Q2891="","",INDEX(상세표[성명],$Q2891)&amp;"")</f>
        <v/>
      </c>
      <c r="D2891">
        <f>IF($Q2891="","",INDEX(상세표[직위],$Q2891)&amp;"")</f>
        <v/>
      </c>
      <c r="E2891">
        <f>IF($Q2891="","",IF(ISNUMBER(INDEX(상세표[근무일자],$Q2891)),TEXT(INDEX(상세표[근무일자],$Q2891),"yyyy-mm-dd"),INDEX(상세표[근무일자],$Q2891)&amp;""))</f>
        <v/>
      </c>
      <c r="F2891">
        <f>IF($Q2891="","",IF(ISNUMBER(INDEX(상세표[시작],$Q2891)),TEXT(INDEX(상세표[시작],$Q2891),"yyyy-mm-dd hh:mm"),INDEX(상세표[시작],$Q2891)&amp;""))</f>
        <v/>
      </c>
      <c r="G2891">
        <f>IF($Q2891="","",IF(ISNUMBER(INDEX(상세표[블록종료],$Q2891)),TEXT(INDEX(상세표[블록종료],$Q2891),"yyyy-mm-dd hh:mm"),INDEX(상세표[블록종료],$Q2891)&amp;""))</f>
        <v/>
      </c>
      <c r="H2891">
        <f>IF($Q2891="","",CHOOSE(WEEKDAY(INDEX(상세표[시작],$Q2891)),"일","월","화","수","목","금","토"))</f>
        <v/>
      </c>
      <c r="I2891" s="20">
        <f>IF($Q2891="","",INDEX(상세표[연속 시간],$Q2891))</f>
        <v/>
      </c>
      <c r="J2891">
        <f>IF($Q2891="","",INDEX(상세표[기록 수],$Q2891))</f>
        <v/>
      </c>
      <c r="K2891" s="20">
        <f>IF($Q2891="","",INDEX(상세표[블록 06~07시],$Q2891))</f>
        <v/>
      </c>
      <c r="L2891" s="20">
        <f>IF($Q2891="","",INDEX(상세표[블록 07~18시],$Q2891))</f>
        <v/>
      </c>
      <c r="M2891" s="20">
        <f>IF($Q2891="","",INDEX(상세표[블록 18~22시],$Q2891))</f>
        <v/>
      </c>
      <c r="N2891" s="20">
        <f>IF($Q2891="","",INDEX(상세표[블록 22~06시],$Q2891))</f>
        <v/>
      </c>
      <c r="O2891">
        <f>IF($Q2891="","",INDEX(상세표[주말·휴일 포함],$Q2891)&amp;"")</f>
        <v/>
      </c>
      <c r="P2891">
        <f>IF($Q2891="","",INDEX(상세표[월 넘김 포함],$Q2891)&amp;"")</f>
        <v/>
      </c>
      <c r="Q2891" s="4">
        <f>IFERROR(MATCH(2886,상세표[연속순번],0),"")</f>
        <v/>
      </c>
    </row>
    <row r="2892">
      <c r="A2892">
        <f>IF($Q2892="","",INDEX(상세표[부서],$Q2892)&amp;"")</f>
        <v/>
      </c>
      <c r="B2892">
        <f>IF($Q2892="","",INDEX(상세표[사번],$Q2892)&amp;"")</f>
        <v/>
      </c>
      <c r="C2892">
        <f>IF($Q2892="","",INDEX(상세표[성명],$Q2892)&amp;"")</f>
        <v/>
      </c>
      <c r="D2892">
        <f>IF($Q2892="","",INDEX(상세표[직위],$Q2892)&amp;"")</f>
        <v/>
      </c>
      <c r="E2892">
        <f>IF($Q2892="","",IF(ISNUMBER(INDEX(상세표[근무일자],$Q2892)),TEXT(INDEX(상세표[근무일자],$Q2892),"yyyy-mm-dd"),INDEX(상세표[근무일자],$Q2892)&amp;""))</f>
        <v/>
      </c>
      <c r="F2892">
        <f>IF($Q2892="","",IF(ISNUMBER(INDEX(상세표[시작],$Q2892)),TEXT(INDEX(상세표[시작],$Q2892),"yyyy-mm-dd hh:mm"),INDEX(상세표[시작],$Q2892)&amp;""))</f>
        <v/>
      </c>
      <c r="G2892">
        <f>IF($Q2892="","",IF(ISNUMBER(INDEX(상세표[블록종료],$Q2892)),TEXT(INDEX(상세표[블록종료],$Q2892),"yyyy-mm-dd hh:mm"),INDEX(상세표[블록종료],$Q2892)&amp;""))</f>
        <v/>
      </c>
      <c r="H2892">
        <f>IF($Q2892="","",CHOOSE(WEEKDAY(INDEX(상세표[시작],$Q2892)),"일","월","화","수","목","금","토"))</f>
        <v/>
      </c>
      <c r="I2892" s="20">
        <f>IF($Q2892="","",INDEX(상세표[연속 시간],$Q2892))</f>
        <v/>
      </c>
      <c r="J2892">
        <f>IF($Q2892="","",INDEX(상세표[기록 수],$Q2892))</f>
        <v/>
      </c>
      <c r="K2892" s="20">
        <f>IF($Q2892="","",INDEX(상세표[블록 06~07시],$Q2892))</f>
        <v/>
      </c>
      <c r="L2892" s="20">
        <f>IF($Q2892="","",INDEX(상세표[블록 07~18시],$Q2892))</f>
        <v/>
      </c>
      <c r="M2892" s="20">
        <f>IF($Q2892="","",INDEX(상세표[블록 18~22시],$Q2892))</f>
        <v/>
      </c>
      <c r="N2892" s="20">
        <f>IF($Q2892="","",INDEX(상세표[블록 22~06시],$Q2892))</f>
        <v/>
      </c>
      <c r="O2892">
        <f>IF($Q2892="","",INDEX(상세표[주말·휴일 포함],$Q2892)&amp;"")</f>
        <v/>
      </c>
      <c r="P2892">
        <f>IF($Q2892="","",INDEX(상세표[월 넘김 포함],$Q2892)&amp;"")</f>
        <v/>
      </c>
      <c r="Q2892" s="4">
        <f>IFERROR(MATCH(2887,상세표[연속순번],0),"")</f>
        <v/>
      </c>
    </row>
    <row r="2893">
      <c r="A2893">
        <f>IF($Q2893="","",INDEX(상세표[부서],$Q2893)&amp;"")</f>
        <v/>
      </c>
      <c r="B2893">
        <f>IF($Q2893="","",INDEX(상세표[사번],$Q2893)&amp;"")</f>
        <v/>
      </c>
      <c r="C2893">
        <f>IF($Q2893="","",INDEX(상세표[성명],$Q2893)&amp;"")</f>
        <v/>
      </c>
      <c r="D2893">
        <f>IF($Q2893="","",INDEX(상세표[직위],$Q2893)&amp;"")</f>
        <v/>
      </c>
      <c r="E2893">
        <f>IF($Q2893="","",IF(ISNUMBER(INDEX(상세표[근무일자],$Q2893)),TEXT(INDEX(상세표[근무일자],$Q2893),"yyyy-mm-dd"),INDEX(상세표[근무일자],$Q2893)&amp;""))</f>
        <v/>
      </c>
      <c r="F2893">
        <f>IF($Q2893="","",IF(ISNUMBER(INDEX(상세표[시작],$Q2893)),TEXT(INDEX(상세표[시작],$Q2893),"yyyy-mm-dd hh:mm"),INDEX(상세표[시작],$Q2893)&amp;""))</f>
        <v/>
      </c>
      <c r="G2893">
        <f>IF($Q2893="","",IF(ISNUMBER(INDEX(상세표[블록종료],$Q2893)),TEXT(INDEX(상세표[블록종료],$Q2893),"yyyy-mm-dd hh:mm"),INDEX(상세표[블록종료],$Q2893)&amp;""))</f>
        <v/>
      </c>
      <c r="H2893">
        <f>IF($Q2893="","",CHOOSE(WEEKDAY(INDEX(상세표[시작],$Q2893)),"일","월","화","수","목","금","토"))</f>
        <v/>
      </c>
      <c r="I2893" s="20">
        <f>IF($Q2893="","",INDEX(상세표[연속 시간],$Q2893))</f>
        <v/>
      </c>
      <c r="J2893">
        <f>IF($Q2893="","",INDEX(상세표[기록 수],$Q2893))</f>
        <v/>
      </c>
      <c r="K2893" s="20">
        <f>IF($Q2893="","",INDEX(상세표[블록 06~07시],$Q2893))</f>
        <v/>
      </c>
      <c r="L2893" s="20">
        <f>IF($Q2893="","",INDEX(상세표[블록 07~18시],$Q2893))</f>
        <v/>
      </c>
      <c r="M2893" s="20">
        <f>IF($Q2893="","",INDEX(상세표[블록 18~22시],$Q2893))</f>
        <v/>
      </c>
      <c r="N2893" s="20">
        <f>IF($Q2893="","",INDEX(상세표[블록 22~06시],$Q2893))</f>
        <v/>
      </c>
      <c r="O2893">
        <f>IF($Q2893="","",INDEX(상세표[주말·휴일 포함],$Q2893)&amp;"")</f>
        <v/>
      </c>
      <c r="P2893">
        <f>IF($Q2893="","",INDEX(상세표[월 넘김 포함],$Q2893)&amp;"")</f>
        <v/>
      </c>
      <c r="Q2893" s="4">
        <f>IFERROR(MATCH(2888,상세표[연속순번],0),"")</f>
        <v/>
      </c>
    </row>
    <row r="2894">
      <c r="A2894">
        <f>IF($Q2894="","",INDEX(상세표[부서],$Q2894)&amp;"")</f>
        <v/>
      </c>
      <c r="B2894">
        <f>IF($Q2894="","",INDEX(상세표[사번],$Q2894)&amp;"")</f>
        <v/>
      </c>
      <c r="C2894">
        <f>IF($Q2894="","",INDEX(상세표[성명],$Q2894)&amp;"")</f>
        <v/>
      </c>
      <c r="D2894">
        <f>IF($Q2894="","",INDEX(상세표[직위],$Q2894)&amp;"")</f>
        <v/>
      </c>
      <c r="E2894">
        <f>IF($Q2894="","",IF(ISNUMBER(INDEX(상세표[근무일자],$Q2894)),TEXT(INDEX(상세표[근무일자],$Q2894),"yyyy-mm-dd"),INDEX(상세표[근무일자],$Q2894)&amp;""))</f>
        <v/>
      </c>
      <c r="F2894">
        <f>IF($Q2894="","",IF(ISNUMBER(INDEX(상세표[시작],$Q2894)),TEXT(INDEX(상세표[시작],$Q2894),"yyyy-mm-dd hh:mm"),INDEX(상세표[시작],$Q2894)&amp;""))</f>
        <v/>
      </c>
      <c r="G2894">
        <f>IF($Q2894="","",IF(ISNUMBER(INDEX(상세표[블록종료],$Q2894)),TEXT(INDEX(상세표[블록종료],$Q2894),"yyyy-mm-dd hh:mm"),INDEX(상세표[블록종료],$Q2894)&amp;""))</f>
        <v/>
      </c>
      <c r="H2894">
        <f>IF($Q2894="","",CHOOSE(WEEKDAY(INDEX(상세표[시작],$Q2894)),"일","월","화","수","목","금","토"))</f>
        <v/>
      </c>
      <c r="I2894" s="20">
        <f>IF($Q2894="","",INDEX(상세표[연속 시간],$Q2894))</f>
        <v/>
      </c>
      <c r="J2894">
        <f>IF($Q2894="","",INDEX(상세표[기록 수],$Q2894))</f>
        <v/>
      </c>
      <c r="K2894" s="20">
        <f>IF($Q2894="","",INDEX(상세표[블록 06~07시],$Q2894))</f>
        <v/>
      </c>
      <c r="L2894" s="20">
        <f>IF($Q2894="","",INDEX(상세표[블록 07~18시],$Q2894))</f>
        <v/>
      </c>
      <c r="M2894" s="20">
        <f>IF($Q2894="","",INDEX(상세표[블록 18~22시],$Q2894))</f>
        <v/>
      </c>
      <c r="N2894" s="20">
        <f>IF($Q2894="","",INDEX(상세표[블록 22~06시],$Q2894))</f>
        <v/>
      </c>
      <c r="O2894">
        <f>IF($Q2894="","",INDEX(상세표[주말·휴일 포함],$Q2894)&amp;"")</f>
        <v/>
      </c>
      <c r="P2894">
        <f>IF($Q2894="","",INDEX(상세표[월 넘김 포함],$Q2894)&amp;"")</f>
        <v/>
      </c>
      <c r="Q2894" s="4">
        <f>IFERROR(MATCH(2889,상세표[연속순번],0),"")</f>
        <v/>
      </c>
    </row>
    <row r="2895">
      <c r="A2895">
        <f>IF($Q2895="","",INDEX(상세표[부서],$Q2895)&amp;"")</f>
        <v/>
      </c>
      <c r="B2895">
        <f>IF($Q2895="","",INDEX(상세표[사번],$Q2895)&amp;"")</f>
        <v/>
      </c>
      <c r="C2895">
        <f>IF($Q2895="","",INDEX(상세표[성명],$Q2895)&amp;"")</f>
        <v/>
      </c>
      <c r="D2895">
        <f>IF($Q2895="","",INDEX(상세표[직위],$Q2895)&amp;"")</f>
        <v/>
      </c>
      <c r="E2895">
        <f>IF($Q2895="","",IF(ISNUMBER(INDEX(상세표[근무일자],$Q2895)),TEXT(INDEX(상세표[근무일자],$Q2895),"yyyy-mm-dd"),INDEX(상세표[근무일자],$Q2895)&amp;""))</f>
        <v/>
      </c>
      <c r="F2895">
        <f>IF($Q2895="","",IF(ISNUMBER(INDEX(상세표[시작],$Q2895)),TEXT(INDEX(상세표[시작],$Q2895),"yyyy-mm-dd hh:mm"),INDEX(상세표[시작],$Q2895)&amp;""))</f>
        <v/>
      </c>
      <c r="G2895">
        <f>IF($Q2895="","",IF(ISNUMBER(INDEX(상세표[블록종료],$Q2895)),TEXT(INDEX(상세표[블록종료],$Q2895),"yyyy-mm-dd hh:mm"),INDEX(상세표[블록종료],$Q2895)&amp;""))</f>
        <v/>
      </c>
      <c r="H2895">
        <f>IF($Q2895="","",CHOOSE(WEEKDAY(INDEX(상세표[시작],$Q2895)),"일","월","화","수","목","금","토"))</f>
        <v/>
      </c>
      <c r="I2895" s="20">
        <f>IF($Q2895="","",INDEX(상세표[연속 시간],$Q2895))</f>
        <v/>
      </c>
      <c r="J2895">
        <f>IF($Q2895="","",INDEX(상세표[기록 수],$Q2895))</f>
        <v/>
      </c>
      <c r="K2895" s="20">
        <f>IF($Q2895="","",INDEX(상세표[블록 06~07시],$Q2895))</f>
        <v/>
      </c>
      <c r="L2895" s="20">
        <f>IF($Q2895="","",INDEX(상세표[블록 07~18시],$Q2895))</f>
        <v/>
      </c>
      <c r="M2895" s="20">
        <f>IF($Q2895="","",INDEX(상세표[블록 18~22시],$Q2895))</f>
        <v/>
      </c>
      <c r="N2895" s="20">
        <f>IF($Q2895="","",INDEX(상세표[블록 22~06시],$Q2895))</f>
        <v/>
      </c>
      <c r="O2895">
        <f>IF($Q2895="","",INDEX(상세표[주말·휴일 포함],$Q2895)&amp;"")</f>
        <v/>
      </c>
      <c r="P2895">
        <f>IF($Q2895="","",INDEX(상세표[월 넘김 포함],$Q2895)&amp;"")</f>
        <v/>
      </c>
      <c r="Q2895" s="4">
        <f>IFERROR(MATCH(2890,상세표[연속순번],0),"")</f>
        <v/>
      </c>
    </row>
    <row r="2896">
      <c r="A2896">
        <f>IF($Q2896="","",INDEX(상세표[부서],$Q2896)&amp;"")</f>
        <v/>
      </c>
      <c r="B2896">
        <f>IF($Q2896="","",INDEX(상세표[사번],$Q2896)&amp;"")</f>
        <v/>
      </c>
      <c r="C2896">
        <f>IF($Q2896="","",INDEX(상세표[성명],$Q2896)&amp;"")</f>
        <v/>
      </c>
      <c r="D2896">
        <f>IF($Q2896="","",INDEX(상세표[직위],$Q2896)&amp;"")</f>
        <v/>
      </c>
      <c r="E2896">
        <f>IF($Q2896="","",IF(ISNUMBER(INDEX(상세표[근무일자],$Q2896)),TEXT(INDEX(상세표[근무일자],$Q2896),"yyyy-mm-dd"),INDEX(상세표[근무일자],$Q2896)&amp;""))</f>
        <v/>
      </c>
      <c r="F2896">
        <f>IF($Q2896="","",IF(ISNUMBER(INDEX(상세표[시작],$Q2896)),TEXT(INDEX(상세표[시작],$Q2896),"yyyy-mm-dd hh:mm"),INDEX(상세표[시작],$Q2896)&amp;""))</f>
        <v/>
      </c>
      <c r="G2896">
        <f>IF($Q2896="","",IF(ISNUMBER(INDEX(상세표[블록종료],$Q2896)),TEXT(INDEX(상세표[블록종료],$Q2896),"yyyy-mm-dd hh:mm"),INDEX(상세표[블록종료],$Q2896)&amp;""))</f>
        <v/>
      </c>
      <c r="H2896">
        <f>IF($Q2896="","",CHOOSE(WEEKDAY(INDEX(상세표[시작],$Q2896)),"일","월","화","수","목","금","토"))</f>
        <v/>
      </c>
      <c r="I2896" s="20">
        <f>IF($Q2896="","",INDEX(상세표[연속 시간],$Q2896))</f>
        <v/>
      </c>
      <c r="J2896">
        <f>IF($Q2896="","",INDEX(상세표[기록 수],$Q2896))</f>
        <v/>
      </c>
      <c r="K2896" s="20">
        <f>IF($Q2896="","",INDEX(상세표[블록 06~07시],$Q2896))</f>
        <v/>
      </c>
      <c r="L2896" s="20">
        <f>IF($Q2896="","",INDEX(상세표[블록 07~18시],$Q2896))</f>
        <v/>
      </c>
      <c r="M2896" s="20">
        <f>IF($Q2896="","",INDEX(상세표[블록 18~22시],$Q2896))</f>
        <v/>
      </c>
      <c r="N2896" s="20">
        <f>IF($Q2896="","",INDEX(상세표[블록 22~06시],$Q2896))</f>
        <v/>
      </c>
      <c r="O2896">
        <f>IF($Q2896="","",INDEX(상세표[주말·휴일 포함],$Q2896)&amp;"")</f>
        <v/>
      </c>
      <c r="P2896">
        <f>IF($Q2896="","",INDEX(상세표[월 넘김 포함],$Q2896)&amp;"")</f>
        <v/>
      </c>
      <c r="Q2896" s="4">
        <f>IFERROR(MATCH(2891,상세표[연속순번],0),"")</f>
        <v/>
      </c>
    </row>
    <row r="2897">
      <c r="A2897">
        <f>IF($Q2897="","",INDEX(상세표[부서],$Q2897)&amp;"")</f>
        <v/>
      </c>
      <c r="B2897">
        <f>IF($Q2897="","",INDEX(상세표[사번],$Q2897)&amp;"")</f>
        <v/>
      </c>
      <c r="C2897">
        <f>IF($Q2897="","",INDEX(상세표[성명],$Q2897)&amp;"")</f>
        <v/>
      </c>
      <c r="D2897">
        <f>IF($Q2897="","",INDEX(상세표[직위],$Q2897)&amp;"")</f>
        <v/>
      </c>
      <c r="E2897">
        <f>IF($Q2897="","",IF(ISNUMBER(INDEX(상세표[근무일자],$Q2897)),TEXT(INDEX(상세표[근무일자],$Q2897),"yyyy-mm-dd"),INDEX(상세표[근무일자],$Q2897)&amp;""))</f>
        <v/>
      </c>
      <c r="F2897">
        <f>IF($Q2897="","",IF(ISNUMBER(INDEX(상세표[시작],$Q2897)),TEXT(INDEX(상세표[시작],$Q2897),"yyyy-mm-dd hh:mm"),INDEX(상세표[시작],$Q2897)&amp;""))</f>
        <v/>
      </c>
      <c r="G2897">
        <f>IF($Q2897="","",IF(ISNUMBER(INDEX(상세표[블록종료],$Q2897)),TEXT(INDEX(상세표[블록종료],$Q2897),"yyyy-mm-dd hh:mm"),INDEX(상세표[블록종료],$Q2897)&amp;""))</f>
        <v/>
      </c>
      <c r="H2897">
        <f>IF($Q2897="","",CHOOSE(WEEKDAY(INDEX(상세표[시작],$Q2897)),"일","월","화","수","목","금","토"))</f>
        <v/>
      </c>
      <c r="I2897" s="20">
        <f>IF($Q2897="","",INDEX(상세표[연속 시간],$Q2897))</f>
        <v/>
      </c>
      <c r="J2897">
        <f>IF($Q2897="","",INDEX(상세표[기록 수],$Q2897))</f>
        <v/>
      </c>
      <c r="K2897" s="20">
        <f>IF($Q2897="","",INDEX(상세표[블록 06~07시],$Q2897))</f>
        <v/>
      </c>
      <c r="L2897" s="20">
        <f>IF($Q2897="","",INDEX(상세표[블록 07~18시],$Q2897))</f>
        <v/>
      </c>
      <c r="M2897" s="20">
        <f>IF($Q2897="","",INDEX(상세표[블록 18~22시],$Q2897))</f>
        <v/>
      </c>
      <c r="N2897" s="20">
        <f>IF($Q2897="","",INDEX(상세표[블록 22~06시],$Q2897))</f>
        <v/>
      </c>
      <c r="O2897">
        <f>IF($Q2897="","",INDEX(상세표[주말·휴일 포함],$Q2897)&amp;"")</f>
        <v/>
      </c>
      <c r="P2897">
        <f>IF($Q2897="","",INDEX(상세표[월 넘김 포함],$Q2897)&amp;"")</f>
        <v/>
      </c>
      <c r="Q2897" s="4">
        <f>IFERROR(MATCH(2892,상세표[연속순번],0),"")</f>
        <v/>
      </c>
    </row>
    <row r="2898">
      <c r="A2898">
        <f>IF($Q2898="","",INDEX(상세표[부서],$Q2898)&amp;"")</f>
        <v/>
      </c>
      <c r="B2898">
        <f>IF($Q2898="","",INDEX(상세표[사번],$Q2898)&amp;"")</f>
        <v/>
      </c>
      <c r="C2898">
        <f>IF($Q2898="","",INDEX(상세표[성명],$Q2898)&amp;"")</f>
        <v/>
      </c>
      <c r="D2898">
        <f>IF($Q2898="","",INDEX(상세표[직위],$Q2898)&amp;"")</f>
        <v/>
      </c>
      <c r="E2898">
        <f>IF($Q2898="","",IF(ISNUMBER(INDEX(상세표[근무일자],$Q2898)),TEXT(INDEX(상세표[근무일자],$Q2898),"yyyy-mm-dd"),INDEX(상세표[근무일자],$Q2898)&amp;""))</f>
        <v/>
      </c>
      <c r="F2898">
        <f>IF($Q2898="","",IF(ISNUMBER(INDEX(상세표[시작],$Q2898)),TEXT(INDEX(상세표[시작],$Q2898),"yyyy-mm-dd hh:mm"),INDEX(상세표[시작],$Q2898)&amp;""))</f>
        <v/>
      </c>
      <c r="G2898">
        <f>IF($Q2898="","",IF(ISNUMBER(INDEX(상세표[블록종료],$Q2898)),TEXT(INDEX(상세표[블록종료],$Q2898),"yyyy-mm-dd hh:mm"),INDEX(상세표[블록종료],$Q2898)&amp;""))</f>
        <v/>
      </c>
      <c r="H2898">
        <f>IF($Q2898="","",CHOOSE(WEEKDAY(INDEX(상세표[시작],$Q2898)),"일","월","화","수","목","금","토"))</f>
        <v/>
      </c>
      <c r="I2898" s="20">
        <f>IF($Q2898="","",INDEX(상세표[연속 시간],$Q2898))</f>
        <v/>
      </c>
      <c r="J2898">
        <f>IF($Q2898="","",INDEX(상세표[기록 수],$Q2898))</f>
        <v/>
      </c>
      <c r="K2898" s="20">
        <f>IF($Q2898="","",INDEX(상세표[블록 06~07시],$Q2898))</f>
        <v/>
      </c>
      <c r="L2898" s="20">
        <f>IF($Q2898="","",INDEX(상세표[블록 07~18시],$Q2898))</f>
        <v/>
      </c>
      <c r="M2898" s="20">
        <f>IF($Q2898="","",INDEX(상세표[블록 18~22시],$Q2898))</f>
        <v/>
      </c>
      <c r="N2898" s="20">
        <f>IF($Q2898="","",INDEX(상세표[블록 22~06시],$Q2898))</f>
        <v/>
      </c>
      <c r="O2898">
        <f>IF($Q2898="","",INDEX(상세표[주말·휴일 포함],$Q2898)&amp;"")</f>
        <v/>
      </c>
      <c r="P2898">
        <f>IF($Q2898="","",INDEX(상세표[월 넘김 포함],$Q2898)&amp;"")</f>
        <v/>
      </c>
      <c r="Q2898" s="4">
        <f>IFERROR(MATCH(2893,상세표[연속순번],0),"")</f>
        <v/>
      </c>
    </row>
    <row r="2899">
      <c r="A2899">
        <f>IF($Q2899="","",INDEX(상세표[부서],$Q2899)&amp;"")</f>
        <v/>
      </c>
      <c r="B2899">
        <f>IF($Q2899="","",INDEX(상세표[사번],$Q2899)&amp;"")</f>
        <v/>
      </c>
      <c r="C2899">
        <f>IF($Q2899="","",INDEX(상세표[성명],$Q2899)&amp;"")</f>
        <v/>
      </c>
      <c r="D2899">
        <f>IF($Q2899="","",INDEX(상세표[직위],$Q2899)&amp;"")</f>
        <v/>
      </c>
      <c r="E2899">
        <f>IF($Q2899="","",IF(ISNUMBER(INDEX(상세표[근무일자],$Q2899)),TEXT(INDEX(상세표[근무일자],$Q2899),"yyyy-mm-dd"),INDEX(상세표[근무일자],$Q2899)&amp;""))</f>
        <v/>
      </c>
      <c r="F2899">
        <f>IF($Q2899="","",IF(ISNUMBER(INDEX(상세표[시작],$Q2899)),TEXT(INDEX(상세표[시작],$Q2899),"yyyy-mm-dd hh:mm"),INDEX(상세표[시작],$Q2899)&amp;""))</f>
        <v/>
      </c>
      <c r="G2899">
        <f>IF($Q2899="","",IF(ISNUMBER(INDEX(상세표[블록종료],$Q2899)),TEXT(INDEX(상세표[블록종료],$Q2899),"yyyy-mm-dd hh:mm"),INDEX(상세표[블록종료],$Q2899)&amp;""))</f>
        <v/>
      </c>
      <c r="H2899">
        <f>IF($Q2899="","",CHOOSE(WEEKDAY(INDEX(상세표[시작],$Q2899)),"일","월","화","수","목","금","토"))</f>
        <v/>
      </c>
      <c r="I2899" s="20">
        <f>IF($Q2899="","",INDEX(상세표[연속 시간],$Q2899))</f>
        <v/>
      </c>
      <c r="J2899">
        <f>IF($Q2899="","",INDEX(상세표[기록 수],$Q2899))</f>
        <v/>
      </c>
      <c r="K2899" s="20">
        <f>IF($Q2899="","",INDEX(상세표[블록 06~07시],$Q2899))</f>
        <v/>
      </c>
      <c r="L2899" s="20">
        <f>IF($Q2899="","",INDEX(상세표[블록 07~18시],$Q2899))</f>
        <v/>
      </c>
      <c r="M2899" s="20">
        <f>IF($Q2899="","",INDEX(상세표[블록 18~22시],$Q2899))</f>
        <v/>
      </c>
      <c r="N2899" s="20">
        <f>IF($Q2899="","",INDEX(상세표[블록 22~06시],$Q2899))</f>
        <v/>
      </c>
      <c r="O2899">
        <f>IF($Q2899="","",INDEX(상세표[주말·휴일 포함],$Q2899)&amp;"")</f>
        <v/>
      </c>
      <c r="P2899">
        <f>IF($Q2899="","",INDEX(상세표[월 넘김 포함],$Q2899)&amp;"")</f>
        <v/>
      </c>
      <c r="Q2899" s="4">
        <f>IFERROR(MATCH(2894,상세표[연속순번],0),"")</f>
        <v/>
      </c>
    </row>
    <row r="2900">
      <c r="A2900">
        <f>IF($Q2900="","",INDEX(상세표[부서],$Q2900)&amp;"")</f>
        <v/>
      </c>
      <c r="B2900">
        <f>IF($Q2900="","",INDEX(상세표[사번],$Q2900)&amp;"")</f>
        <v/>
      </c>
      <c r="C2900">
        <f>IF($Q2900="","",INDEX(상세표[성명],$Q2900)&amp;"")</f>
        <v/>
      </c>
      <c r="D2900">
        <f>IF($Q2900="","",INDEX(상세표[직위],$Q2900)&amp;"")</f>
        <v/>
      </c>
      <c r="E2900">
        <f>IF($Q2900="","",IF(ISNUMBER(INDEX(상세표[근무일자],$Q2900)),TEXT(INDEX(상세표[근무일자],$Q2900),"yyyy-mm-dd"),INDEX(상세표[근무일자],$Q2900)&amp;""))</f>
        <v/>
      </c>
      <c r="F2900">
        <f>IF($Q2900="","",IF(ISNUMBER(INDEX(상세표[시작],$Q2900)),TEXT(INDEX(상세표[시작],$Q2900),"yyyy-mm-dd hh:mm"),INDEX(상세표[시작],$Q2900)&amp;""))</f>
        <v/>
      </c>
      <c r="G2900">
        <f>IF($Q2900="","",IF(ISNUMBER(INDEX(상세표[블록종료],$Q2900)),TEXT(INDEX(상세표[블록종료],$Q2900),"yyyy-mm-dd hh:mm"),INDEX(상세표[블록종료],$Q2900)&amp;""))</f>
        <v/>
      </c>
      <c r="H2900">
        <f>IF($Q2900="","",CHOOSE(WEEKDAY(INDEX(상세표[시작],$Q2900)),"일","월","화","수","목","금","토"))</f>
        <v/>
      </c>
      <c r="I2900" s="20">
        <f>IF($Q2900="","",INDEX(상세표[연속 시간],$Q2900))</f>
        <v/>
      </c>
      <c r="J2900">
        <f>IF($Q2900="","",INDEX(상세표[기록 수],$Q2900))</f>
        <v/>
      </c>
      <c r="K2900" s="20">
        <f>IF($Q2900="","",INDEX(상세표[블록 06~07시],$Q2900))</f>
        <v/>
      </c>
      <c r="L2900" s="20">
        <f>IF($Q2900="","",INDEX(상세표[블록 07~18시],$Q2900))</f>
        <v/>
      </c>
      <c r="M2900" s="20">
        <f>IF($Q2900="","",INDEX(상세표[블록 18~22시],$Q2900))</f>
        <v/>
      </c>
      <c r="N2900" s="20">
        <f>IF($Q2900="","",INDEX(상세표[블록 22~06시],$Q2900))</f>
        <v/>
      </c>
      <c r="O2900">
        <f>IF($Q2900="","",INDEX(상세표[주말·휴일 포함],$Q2900)&amp;"")</f>
        <v/>
      </c>
      <c r="P2900">
        <f>IF($Q2900="","",INDEX(상세표[월 넘김 포함],$Q2900)&amp;"")</f>
        <v/>
      </c>
      <c r="Q2900" s="4">
        <f>IFERROR(MATCH(2895,상세표[연속순번],0),"")</f>
        <v/>
      </c>
    </row>
    <row r="2901">
      <c r="A2901">
        <f>IF($Q2901="","",INDEX(상세표[부서],$Q2901)&amp;"")</f>
        <v/>
      </c>
      <c r="B2901">
        <f>IF($Q2901="","",INDEX(상세표[사번],$Q2901)&amp;"")</f>
        <v/>
      </c>
      <c r="C2901">
        <f>IF($Q2901="","",INDEX(상세표[성명],$Q2901)&amp;"")</f>
        <v/>
      </c>
      <c r="D2901">
        <f>IF($Q2901="","",INDEX(상세표[직위],$Q2901)&amp;"")</f>
        <v/>
      </c>
      <c r="E2901">
        <f>IF($Q2901="","",IF(ISNUMBER(INDEX(상세표[근무일자],$Q2901)),TEXT(INDEX(상세표[근무일자],$Q2901),"yyyy-mm-dd"),INDEX(상세표[근무일자],$Q2901)&amp;""))</f>
        <v/>
      </c>
      <c r="F2901">
        <f>IF($Q2901="","",IF(ISNUMBER(INDEX(상세표[시작],$Q2901)),TEXT(INDEX(상세표[시작],$Q2901),"yyyy-mm-dd hh:mm"),INDEX(상세표[시작],$Q2901)&amp;""))</f>
        <v/>
      </c>
      <c r="G2901">
        <f>IF($Q2901="","",IF(ISNUMBER(INDEX(상세표[블록종료],$Q2901)),TEXT(INDEX(상세표[블록종료],$Q2901),"yyyy-mm-dd hh:mm"),INDEX(상세표[블록종료],$Q2901)&amp;""))</f>
        <v/>
      </c>
      <c r="H2901">
        <f>IF($Q2901="","",CHOOSE(WEEKDAY(INDEX(상세표[시작],$Q2901)),"일","월","화","수","목","금","토"))</f>
        <v/>
      </c>
      <c r="I2901" s="20">
        <f>IF($Q2901="","",INDEX(상세표[연속 시간],$Q2901))</f>
        <v/>
      </c>
      <c r="J2901">
        <f>IF($Q2901="","",INDEX(상세표[기록 수],$Q2901))</f>
        <v/>
      </c>
      <c r="K2901" s="20">
        <f>IF($Q2901="","",INDEX(상세표[블록 06~07시],$Q2901))</f>
        <v/>
      </c>
      <c r="L2901" s="20">
        <f>IF($Q2901="","",INDEX(상세표[블록 07~18시],$Q2901))</f>
        <v/>
      </c>
      <c r="M2901" s="20">
        <f>IF($Q2901="","",INDEX(상세표[블록 18~22시],$Q2901))</f>
        <v/>
      </c>
      <c r="N2901" s="20">
        <f>IF($Q2901="","",INDEX(상세표[블록 22~06시],$Q2901))</f>
        <v/>
      </c>
      <c r="O2901">
        <f>IF($Q2901="","",INDEX(상세표[주말·휴일 포함],$Q2901)&amp;"")</f>
        <v/>
      </c>
      <c r="P2901">
        <f>IF($Q2901="","",INDEX(상세표[월 넘김 포함],$Q2901)&amp;"")</f>
        <v/>
      </c>
      <c r="Q2901" s="4">
        <f>IFERROR(MATCH(2896,상세표[연속순번],0),"")</f>
        <v/>
      </c>
    </row>
    <row r="2902">
      <c r="A2902">
        <f>IF($Q2902="","",INDEX(상세표[부서],$Q2902)&amp;"")</f>
        <v/>
      </c>
      <c r="B2902">
        <f>IF($Q2902="","",INDEX(상세표[사번],$Q2902)&amp;"")</f>
        <v/>
      </c>
      <c r="C2902">
        <f>IF($Q2902="","",INDEX(상세표[성명],$Q2902)&amp;"")</f>
        <v/>
      </c>
      <c r="D2902">
        <f>IF($Q2902="","",INDEX(상세표[직위],$Q2902)&amp;"")</f>
        <v/>
      </c>
      <c r="E2902">
        <f>IF($Q2902="","",IF(ISNUMBER(INDEX(상세표[근무일자],$Q2902)),TEXT(INDEX(상세표[근무일자],$Q2902),"yyyy-mm-dd"),INDEX(상세표[근무일자],$Q2902)&amp;""))</f>
        <v/>
      </c>
      <c r="F2902">
        <f>IF($Q2902="","",IF(ISNUMBER(INDEX(상세표[시작],$Q2902)),TEXT(INDEX(상세표[시작],$Q2902),"yyyy-mm-dd hh:mm"),INDEX(상세표[시작],$Q2902)&amp;""))</f>
        <v/>
      </c>
      <c r="G2902">
        <f>IF($Q2902="","",IF(ISNUMBER(INDEX(상세표[블록종료],$Q2902)),TEXT(INDEX(상세표[블록종료],$Q2902),"yyyy-mm-dd hh:mm"),INDEX(상세표[블록종료],$Q2902)&amp;""))</f>
        <v/>
      </c>
      <c r="H2902">
        <f>IF($Q2902="","",CHOOSE(WEEKDAY(INDEX(상세표[시작],$Q2902)),"일","월","화","수","목","금","토"))</f>
        <v/>
      </c>
      <c r="I2902" s="20">
        <f>IF($Q2902="","",INDEX(상세표[연속 시간],$Q2902))</f>
        <v/>
      </c>
      <c r="J2902">
        <f>IF($Q2902="","",INDEX(상세표[기록 수],$Q2902))</f>
        <v/>
      </c>
      <c r="K2902" s="20">
        <f>IF($Q2902="","",INDEX(상세표[블록 06~07시],$Q2902))</f>
        <v/>
      </c>
      <c r="L2902" s="20">
        <f>IF($Q2902="","",INDEX(상세표[블록 07~18시],$Q2902))</f>
        <v/>
      </c>
      <c r="M2902" s="20">
        <f>IF($Q2902="","",INDEX(상세표[블록 18~22시],$Q2902))</f>
        <v/>
      </c>
      <c r="N2902" s="20">
        <f>IF($Q2902="","",INDEX(상세표[블록 22~06시],$Q2902))</f>
        <v/>
      </c>
      <c r="O2902">
        <f>IF($Q2902="","",INDEX(상세표[주말·휴일 포함],$Q2902)&amp;"")</f>
        <v/>
      </c>
      <c r="P2902">
        <f>IF($Q2902="","",INDEX(상세표[월 넘김 포함],$Q2902)&amp;"")</f>
        <v/>
      </c>
      <c r="Q2902" s="4">
        <f>IFERROR(MATCH(2897,상세표[연속순번],0),"")</f>
        <v/>
      </c>
    </row>
    <row r="2903">
      <c r="A2903">
        <f>IF($Q2903="","",INDEX(상세표[부서],$Q2903)&amp;"")</f>
        <v/>
      </c>
      <c r="B2903">
        <f>IF($Q2903="","",INDEX(상세표[사번],$Q2903)&amp;"")</f>
        <v/>
      </c>
      <c r="C2903">
        <f>IF($Q2903="","",INDEX(상세표[성명],$Q2903)&amp;"")</f>
        <v/>
      </c>
      <c r="D2903">
        <f>IF($Q2903="","",INDEX(상세표[직위],$Q2903)&amp;"")</f>
        <v/>
      </c>
      <c r="E2903">
        <f>IF($Q2903="","",IF(ISNUMBER(INDEX(상세표[근무일자],$Q2903)),TEXT(INDEX(상세표[근무일자],$Q2903),"yyyy-mm-dd"),INDEX(상세표[근무일자],$Q2903)&amp;""))</f>
        <v/>
      </c>
      <c r="F2903">
        <f>IF($Q2903="","",IF(ISNUMBER(INDEX(상세표[시작],$Q2903)),TEXT(INDEX(상세표[시작],$Q2903),"yyyy-mm-dd hh:mm"),INDEX(상세표[시작],$Q2903)&amp;""))</f>
        <v/>
      </c>
      <c r="G2903">
        <f>IF($Q2903="","",IF(ISNUMBER(INDEX(상세표[블록종료],$Q2903)),TEXT(INDEX(상세표[블록종료],$Q2903),"yyyy-mm-dd hh:mm"),INDEX(상세표[블록종료],$Q2903)&amp;""))</f>
        <v/>
      </c>
      <c r="H2903">
        <f>IF($Q2903="","",CHOOSE(WEEKDAY(INDEX(상세표[시작],$Q2903)),"일","월","화","수","목","금","토"))</f>
        <v/>
      </c>
      <c r="I2903" s="20">
        <f>IF($Q2903="","",INDEX(상세표[연속 시간],$Q2903))</f>
        <v/>
      </c>
      <c r="J2903">
        <f>IF($Q2903="","",INDEX(상세표[기록 수],$Q2903))</f>
        <v/>
      </c>
      <c r="K2903" s="20">
        <f>IF($Q2903="","",INDEX(상세표[블록 06~07시],$Q2903))</f>
        <v/>
      </c>
      <c r="L2903" s="20">
        <f>IF($Q2903="","",INDEX(상세표[블록 07~18시],$Q2903))</f>
        <v/>
      </c>
      <c r="M2903" s="20">
        <f>IF($Q2903="","",INDEX(상세표[블록 18~22시],$Q2903))</f>
        <v/>
      </c>
      <c r="N2903" s="20">
        <f>IF($Q2903="","",INDEX(상세표[블록 22~06시],$Q2903))</f>
        <v/>
      </c>
      <c r="O2903">
        <f>IF($Q2903="","",INDEX(상세표[주말·휴일 포함],$Q2903)&amp;"")</f>
        <v/>
      </c>
      <c r="P2903">
        <f>IF($Q2903="","",INDEX(상세표[월 넘김 포함],$Q2903)&amp;"")</f>
        <v/>
      </c>
      <c r="Q2903" s="4">
        <f>IFERROR(MATCH(2898,상세표[연속순번],0),"")</f>
        <v/>
      </c>
    </row>
    <row r="2904">
      <c r="A2904">
        <f>IF($Q2904="","",INDEX(상세표[부서],$Q2904)&amp;"")</f>
        <v/>
      </c>
      <c r="B2904">
        <f>IF($Q2904="","",INDEX(상세표[사번],$Q2904)&amp;"")</f>
        <v/>
      </c>
      <c r="C2904">
        <f>IF($Q2904="","",INDEX(상세표[성명],$Q2904)&amp;"")</f>
        <v/>
      </c>
      <c r="D2904">
        <f>IF($Q2904="","",INDEX(상세표[직위],$Q2904)&amp;"")</f>
        <v/>
      </c>
      <c r="E2904">
        <f>IF($Q2904="","",IF(ISNUMBER(INDEX(상세표[근무일자],$Q2904)),TEXT(INDEX(상세표[근무일자],$Q2904),"yyyy-mm-dd"),INDEX(상세표[근무일자],$Q2904)&amp;""))</f>
        <v/>
      </c>
      <c r="F2904">
        <f>IF($Q2904="","",IF(ISNUMBER(INDEX(상세표[시작],$Q2904)),TEXT(INDEX(상세표[시작],$Q2904),"yyyy-mm-dd hh:mm"),INDEX(상세표[시작],$Q2904)&amp;""))</f>
        <v/>
      </c>
      <c r="G2904">
        <f>IF($Q2904="","",IF(ISNUMBER(INDEX(상세표[블록종료],$Q2904)),TEXT(INDEX(상세표[블록종료],$Q2904),"yyyy-mm-dd hh:mm"),INDEX(상세표[블록종료],$Q2904)&amp;""))</f>
        <v/>
      </c>
      <c r="H2904">
        <f>IF($Q2904="","",CHOOSE(WEEKDAY(INDEX(상세표[시작],$Q2904)),"일","월","화","수","목","금","토"))</f>
        <v/>
      </c>
      <c r="I2904" s="20">
        <f>IF($Q2904="","",INDEX(상세표[연속 시간],$Q2904))</f>
        <v/>
      </c>
      <c r="J2904">
        <f>IF($Q2904="","",INDEX(상세표[기록 수],$Q2904))</f>
        <v/>
      </c>
      <c r="K2904" s="20">
        <f>IF($Q2904="","",INDEX(상세표[블록 06~07시],$Q2904))</f>
        <v/>
      </c>
      <c r="L2904" s="20">
        <f>IF($Q2904="","",INDEX(상세표[블록 07~18시],$Q2904))</f>
        <v/>
      </c>
      <c r="M2904" s="20">
        <f>IF($Q2904="","",INDEX(상세표[블록 18~22시],$Q2904))</f>
        <v/>
      </c>
      <c r="N2904" s="20">
        <f>IF($Q2904="","",INDEX(상세표[블록 22~06시],$Q2904))</f>
        <v/>
      </c>
      <c r="O2904">
        <f>IF($Q2904="","",INDEX(상세표[주말·휴일 포함],$Q2904)&amp;"")</f>
        <v/>
      </c>
      <c r="P2904">
        <f>IF($Q2904="","",INDEX(상세표[월 넘김 포함],$Q2904)&amp;"")</f>
        <v/>
      </c>
      <c r="Q2904" s="4">
        <f>IFERROR(MATCH(2899,상세표[연속순번],0),"")</f>
        <v/>
      </c>
    </row>
    <row r="2905">
      <c r="A2905">
        <f>IF($Q2905="","",INDEX(상세표[부서],$Q2905)&amp;"")</f>
        <v/>
      </c>
      <c r="B2905">
        <f>IF($Q2905="","",INDEX(상세표[사번],$Q2905)&amp;"")</f>
        <v/>
      </c>
      <c r="C2905">
        <f>IF($Q2905="","",INDEX(상세표[성명],$Q2905)&amp;"")</f>
        <v/>
      </c>
      <c r="D2905">
        <f>IF($Q2905="","",INDEX(상세표[직위],$Q2905)&amp;"")</f>
        <v/>
      </c>
      <c r="E2905">
        <f>IF($Q2905="","",IF(ISNUMBER(INDEX(상세표[근무일자],$Q2905)),TEXT(INDEX(상세표[근무일자],$Q2905),"yyyy-mm-dd"),INDEX(상세표[근무일자],$Q2905)&amp;""))</f>
        <v/>
      </c>
      <c r="F2905">
        <f>IF($Q2905="","",IF(ISNUMBER(INDEX(상세표[시작],$Q2905)),TEXT(INDEX(상세표[시작],$Q2905),"yyyy-mm-dd hh:mm"),INDEX(상세표[시작],$Q2905)&amp;""))</f>
        <v/>
      </c>
      <c r="G2905">
        <f>IF($Q2905="","",IF(ISNUMBER(INDEX(상세표[블록종료],$Q2905)),TEXT(INDEX(상세표[블록종료],$Q2905),"yyyy-mm-dd hh:mm"),INDEX(상세표[블록종료],$Q2905)&amp;""))</f>
        <v/>
      </c>
      <c r="H2905">
        <f>IF($Q2905="","",CHOOSE(WEEKDAY(INDEX(상세표[시작],$Q2905)),"일","월","화","수","목","금","토"))</f>
        <v/>
      </c>
      <c r="I2905" s="20">
        <f>IF($Q2905="","",INDEX(상세표[연속 시간],$Q2905))</f>
        <v/>
      </c>
      <c r="J2905">
        <f>IF($Q2905="","",INDEX(상세표[기록 수],$Q2905))</f>
        <v/>
      </c>
      <c r="K2905" s="20">
        <f>IF($Q2905="","",INDEX(상세표[블록 06~07시],$Q2905))</f>
        <v/>
      </c>
      <c r="L2905" s="20">
        <f>IF($Q2905="","",INDEX(상세표[블록 07~18시],$Q2905))</f>
        <v/>
      </c>
      <c r="M2905" s="20">
        <f>IF($Q2905="","",INDEX(상세표[블록 18~22시],$Q2905))</f>
        <v/>
      </c>
      <c r="N2905" s="20">
        <f>IF($Q2905="","",INDEX(상세표[블록 22~06시],$Q2905))</f>
        <v/>
      </c>
      <c r="O2905">
        <f>IF($Q2905="","",INDEX(상세표[주말·휴일 포함],$Q2905)&amp;"")</f>
        <v/>
      </c>
      <c r="P2905">
        <f>IF($Q2905="","",INDEX(상세표[월 넘김 포함],$Q2905)&amp;"")</f>
        <v/>
      </c>
      <c r="Q2905" s="4">
        <f>IFERROR(MATCH(2900,상세표[연속순번],0),"")</f>
        <v/>
      </c>
    </row>
    <row r="2906">
      <c r="A2906">
        <f>IF($Q2906="","",INDEX(상세표[부서],$Q2906)&amp;"")</f>
        <v/>
      </c>
      <c r="B2906">
        <f>IF($Q2906="","",INDEX(상세표[사번],$Q2906)&amp;"")</f>
        <v/>
      </c>
      <c r="C2906">
        <f>IF($Q2906="","",INDEX(상세표[성명],$Q2906)&amp;"")</f>
        <v/>
      </c>
      <c r="D2906">
        <f>IF($Q2906="","",INDEX(상세표[직위],$Q2906)&amp;"")</f>
        <v/>
      </c>
      <c r="E2906">
        <f>IF($Q2906="","",IF(ISNUMBER(INDEX(상세표[근무일자],$Q2906)),TEXT(INDEX(상세표[근무일자],$Q2906),"yyyy-mm-dd"),INDEX(상세표[근무일자],$Q2906)&amp;""))</f>
        <v/>
      </c>
      <c r="F2906">
        <f>IF($Q2906="","",IF(ISNUMBER(INDEX(상세표[시작],$Q2906)),TEXT(INDEX(상세표[시작],$Q2906),"yyyy-mm-dd hh:mm"),INDEX(상세표[시작],$Q2906)&amp;""))</f>
        <v/>
      </c>
      <c r="G2906">
        <f>IF($Q2906="","",IF(ISNUMBER(INDEX(상세표[블록종료],$Q2906)),TEXT(INDEX(상세표[블록종료],$Q2906),"yyyy-mm-dd hh:mm"),INDEX(상세표[블록종료],$Q2906)&amp;""))</f>
        <v/>
      </c>
      <c r="H2906">
        <f>IF($Q2906="","",CHOOSE(WEEKDAY(INDEX(상세표[시작],$Q2906)),"일","월","화","수","목","금","토"))</f>
        <v/>
      </c>
      <c r="I2906" s="20">
        <f>IF($Q2906="","",INDEX(상세표[연속 시간],$Q2906))</f>
        <v/>
      </c>
      <c r="J2906">
        <f>IF($Q2906="","",INDEX(상세표[기록 수],$Q2906))</f>
        <v/>
      </c>
      <c r="K2906" s="20">
        <f>IF($Q2906="","",INDEX(상세표[블록 06~07시],$Q2906))</f>
        <v/>
      </c>
      <c r="L2906" s="20">
        <f>IF($Q2906="","",INDEX(상세표[블록 07~18시],$Q2906))</f>
        <v/>
      </c>
      <c r="M2906" s="20">
        <f>IF($Q2906="","",INDEX(상세표[블록 18~22시],$Q2906))</f>
        <v/>
      </c>
      <c r="N2906" s="20">
        <f>IF($Q2906="","",INDEX(상세표[블록 22~06시],$Q2906))</f>
        <v/>
      </c>
      <c r="O2906">
        <f>IF($Q2906="","",INDEX(상세표[주말·휴일 포함],$Q2906)&amp;"")</f>
        <v/>
      </c>
      <c r="P2906">
        <f>IF($Q2906="","",INDEX(상세표[월 넘김 포함],$Q2906)&amp;"")</f>
        <v/>
      </c>
      <c r="Q2906" s="4">
        <f>IFERROR(MATCH(2901,상세표[연속순번],0),"")</f>
        <v/>
      </c>
    </row>
    <row r="2907">
      <c r="A2907">
        <f>IF($Q2907="","",INDEX(상세표[부서],$Q2907)&amp;"")</f>
        <v/>
      </c>
      <c r="B2907">
        <f>IF($Q2907="","",INDEX(상세표[사번],$Q2907)&amp;"")</f>
        <v/>
      </c>
      <c r="C2907">
        <f>IF($Q2907="","",INDEX(상세표[성명],$Q2907)&amp;"")</f>
        <v/>
      </c>
      <c r="D2907">
        <f>IF($Q2907="","",INDEX(상세표[직위],$Q2907)&amp;"")</f>
        <v/>
      </c>
      <c r="E2907">
        <f>IF($Q2907="","",IF(ISNUMBER(INDEX(상세표[근무일자],$Q2907)),TEXT(INDEX(상세표[근무일자],$Q2907),"yyyy-mm-dd"),INDEX(상세표[근무일자],$Q2907)&amp;""))</f>
        <v/>
      </c>
      <c r="F2907">
        <f>IF($Q2907="","",IF(ISNUMBER(INDEX(상세표[시작],$Q2907)),TEXT(INDEX(상세표[시작],$Q2907),"yyyy-mm-dd hh:mm"),INDEX(상세표[시작],$Q2907)&amp;""))</f>
        <v/>
      </c>
      <c r="G2907">
        <f>IF($Q2907="","",IF(ISNUMBER(INDEX(상세표[블록종료],$Q2907)),TEXT(INDEX(상세표[블록종료],$Q2907),"yyyy-mm-dd hh:mm"),INDEX(상세표[블록종료],$Q2907)&amp;""))</f>
        <v/>
      </c>
      <c r="H2907">
        <f>IF($Q2907="","",CHOOSE(WEEKDAY(INDEX(상세표[시작],$Q2907)),"일","월","화","수","목","금","토"))</f>
        <v/>
      </c>
      <c r="I2907" s="20">
        <f>IF($Q2907="","",INDEX(상세표[연속 시간],$Q2907))</f>
        <v/>
      </c>
      <c r="J2907">
        <f>IF($Q2907="","",INDEX(상세표[기록 수],$Q2907))</f>
        <v/>
      </c>
      <c r="K2907" s="20">
        <f>IF($Q2907="","",INDEX(상세표[블록 06~07시],$Q2907))</f>
        <v/>
      </c>
      <c r="L2907" s="20">
        <f>IF($Q2907="","",INDEX(상세표[블록 07~18시],$Q2907))</f>
        <v/>
      </c>
      <c r="M2907" s="20">
        <f>IF($Q2907="","",INDEX(상세표[블록 18~22시],$Q2907))</f>
        <v/>
      </c>
      <c r="N2907" s="20">
        <f>IF($Q2907="","",INDEX(상세표[블록 22~06시],$Q2907))</f>
        <v/>
      </c>
      <c r="O2907">
        <f>IF($Q2907="","",INDEX(상세표[주말·휴일 포함],$Q2907)&amp;"")</f>
        <v/>
      </c>
      <c r="P2907">
        <f>IF($Q2907="","",INDEX(상세표[월 넘김 포함],$Q2907)&amp;"")</f>
        <v/>
      </c>
      <c r="Q2907" s="4">
        <f>IFERROR(MATCH(2902,상세표[연속순번],0),"")</f>
        <v/>
      </c>
    </row>
    <row r="2908">
      <c r="A2908">
        <f>IF($Q2908="","",INDEX(상세표[부서],$Q2908)&amp;"")</f>
        <v/>
      </c>
      <c r="B2908">
        <f>IF($Q2908="","",INDEX(상세표[사번],$Q2908)&amp;"")</f>
        <v/>
      </c>
      <c r="C2908">
        <f>IF($Q2908="","",INDEX(상세표[성명],$Q2908)&amp;"")</f>
        <v/>
      </c>
      <c r="D2908">
        <f>IF($Q2908="","",INDEX(상세표[직위],$Q2908)&amp;"")</f>
        <v/>
      </c>
      <c r="E2908">
        <f>IF($Q2908="","",IF(ISNUMBER(INDEX(상세표[근무일자],$Q2908)),TEXT(INDEX(상세표[근무일자],$Q2908),"yyyy-mm-dd"),INDEX(상세표[근무일자],$Q2908)&amp;""))</f>
        <v/>
      </c>
      <c r="F2908">
        <f>IF($Q2908="","",IF(ISNUMBER(INDEX(상세표[시작],$Q2908)),TEXT(INDEX(상세표[시작],$Q2908),"yyyy-mm-dd hh:mm"),INDEX(상세표[시작],$Q2908)&amp;""))</f>
        <v/>
      </c>
      <c r="G2908">
        <f>IF($Q2908="","",IF(ISNUMBER(INDEX(상세표[블록종료],$Q2908)),TEXT(INDEX(상세표[블록종료],$Q2908),"yyyy-mm-dd hh:mm"),INDEX(상세표[블록종료],$Q2908)&amp;""))</f>
        <v/>
      </c>
      <c r="H2908">
        <f>IF($Q2908="","",CHOOSE(WEEKDAY(INDEX(상세표[시작],$Q2908)),"일","월","화","수","목","금","토"))</f>
        <v/>
      </c>
      <c r="I2908" s="20">
        <f>IF($Q2908="","",INDEX(상세표[연속 시간],$Q2908))</f>
        <v/>
      </c>
      <c r="J2908">
        <f>IF($Q2908="","",INDEX(상세표[기록 수],$Q2908))</f>
        <v/>
      </c>
      <c r="K2908" s="20">
        <f>IF($Q2908="","",INDEX(상세표[블록 06~07시],$Q2908))</f>
        <v/>
      </c>
      <c r="L2908" s="20">
        <f>IF($Q2908="","",INDEX(상세표[블록 07~18시],$Q2908))</f>
        <v/>
      </c>
      <c r="M2908" s="20">
        <f>IF($Q2908="","",INDEX(상세표[블록 18~22시],$Q2908))</f>
        <v/>
      </c>
      <c r="N2908" s="20">
        <f>IF($Q2908="","",INDEX(상세표[블록 22~06시],$Q2908))</f>
        <v/>
      </c>
      <c r="O2908">
        <f>IF($Q2908="","",INDEX(상세표[주말·휴일 포함],$Q2908)&amp;"")</f>
        <v/>
      </c>
      <c r="P2908">
        <f>IF($Q2908="","",INDEX(상세표[월 넘김 포함],$Q2908)&amp;"")</f>
        <v/>
      </c>
      <c r="Q2908" s="4">
        <f>IFERROR(MATCH(2903,상세표[연속순번],0),"")</f>
        <v/>
      </c>
    </row>
    <row r="2909">
      <c r="A2909">
        <f>IF($Q2909="","",INDEX(상세표[부서],$Q2909)&amp;"")</f>
        <v/>
      </c>
      <c r="B2909">
        <f>IF($Q2909="","",INDEX(상세표[사번],$Q2909)&amp;"")</f>
        <v/>
      </c>
      <c r="C2909">
        <f>IF($Q2909="","",INDEX(상세표[성명],$Q2909)&amp;"")</f>
        <v/>
      </c>
      <c r="D2909">
        <f>IF($Q2909="","",INDEX(상세표[직위],$Q2909)&amp;"")</f>
        <v/>
      </c>
      <c r="E2909">
        <f>IF($Q2909="","",IF(ISNUMBER(INDEX(상세표[근무일자],$Q2909)),TEXT(INDEX(상세표[근무일자],$Q2909),"yyyy-mm-dd"),INDEX(상세표[근무일자],$Q2909)&amp;""))</f>
        <v/>
      </c>
      <c r="F2909">
        <f>IF($Q2909="","",IF(ISNUMBER(INDEX(상세표[시작],$Q2909)),TEXT(INDEX(상세표[시작],$Q2909),"yyyy-mm-dd hh:mm"),INDEX(상세표[시작],$Q2909)&amp;""))</f>
        <v/>
      </c>
      <c r="G2909">
        <f>IF($Q2909="","",IF(ISNUMBER(INDEX(상세표[블록종료],$Q2909)),TEXT(INDEX(상세표[블록종료],$Q2909),"yyyy-mm-dd hh:mm"),INDEX(상세표[블록종료],$Q2909)&amp;""))</f>
        <v/>
      </c>
      <c r="H2909">
        <f>IF($Q2909="","",CHOOSE(WEEKDAY(INDEX(상세표[시작],$Q2909)),"일","월","화","수","목","금","토"))</f>
        <v/>
      </c>
      <c r="I2909" s="20">
        <f>IF($Q2909="","",INDEX(상세표[연속 시간],$Q2909))</f>
        <v/>
      </c>
      <c r="J2909">
        <f>IF($Q2909="","",INDEX(상세표[기록 수],$Q2909))</f>
        <v/>
      </c>
      <c r="K2909" s="20">
        <f>IF($Q2909="","",INDEX(상세표[블록 06~07시],$Q2909))</f>
        <v/>
      </c>
      <c r="L2909" s="20">
        <f>IF($Q2909="","",INDEX(상세표[블록 07~18시],$Q2909))</f>
        <v/>
      </c>
      <c r="M2909" s="20">
        <f>IF($Q2909="","",INDEX(상세표[블록 18~22시],$Q2909))</f>
        <v/>
      </c>
      <c r="N2909" s="20">
        <f>IF($Q2909="","",INDEX(상세표[블록 22~06시],$Q2909))</f>
        <v/>
      </c>
      <c r="O2909">
        <f>IF($Q2909="","",INDEX(상세표[주말·휴일 포함],$Q2909)&amp;"")</f>
        <v/>
      </c>
      <c r="P2909">
        <f>IF($Q2909="","",INDEX(상세표[월 넘김 포함],$Q2909)&amp;"")</f>
        <v/>
      </c>
      <c r="Q2909" s="4">
        <f>IFERROR(MATCH(2904,상세표[연속순번],0),"")</f>
        <v/>
      </c>
    </row>
    <row r="2910">
      <c r="A2910">
        <f>IF($Q2910="","",INDEX(상세표[부서],$Q2910)&amp;"")</f>
        <v/>
      </c>
      <c r="B2910">
        <f>IF($Q2910="","",INDEX(상세표[사번],$Q2910)&amp;"")</f>
        <v/>
      </c>
      <c r="C2910">
        <f>IF($Q2910="","",INDEX(상세표[성명],$Q2910)&amp;"")</f>
        <v/>
      </c>
      <c r="D2910">
        <f>IF($Q2910="","",INDEX(상세표[직위],$Q2910)&amp;"")</f>
        <v/>
      </c>
      <c r="E2910">
        <f>IF($Q2910="","",IF(ISNUMBER(INDEX(상세표[근무일자],$Q2910)),TEXT(INDEX(상세표[근무일자],$Q2910),"yyyy-mm-dd"),INDEX(상세표[근무일자],$Q2910)&amp;""))</f>
        <v/>
      </c>
      <c r="F2910">
        <f>IF($Q2910="","",IF(ISNUMBER(INDEX(상세표[시작],$Q2910)),TEXT(INDEX(상세표[시작],$Q2910),"yyyy-mm-dd hh:mm"),INDEX(상세표[시작],$Q2910)&amp;""))</f>
        <v/>
      </c>
      <c r="G2910">
        <f>IF($Q2910="","",IF(ISNUMBER(INDEX(상세표[블록종료],$Q2910)),TEXT(INDEX(상세표[블록종료],$Q2910),"yyyy-mm-dd hh:mm"),INDEX(상세표[블록종료],$Q2910)&amp;""))</f>
        <v/>
      </c>
      <c r="H2910">
        <f>IF($Q2910="","",CHOOSE(WEEKDAY(INDEX(상세표[시작],$Q2910)),"일","월","화","수","목","금","토"))</f>
        <v/>
      </c>
      <c r="I2910" s="20">
        <f>IF($Q2910="","",INDEX(상세표[연속 시간],$Q2910))</f>
        <v/>
      </c>
      <c r="J2910">
        <f>IF($Q2910="","",INDEX(상세표[기록 수],$Q2910))</f>
        <v/>
      </c>
      <c r="K2910" s="20">
        <f>IF($Q2910="","",INDEX(상세표[블록 06~07시],$Q2910))</f>
        <v/>
      </c>
      <c r="L2910" s="20">
        <f>IF($Q2910="","",INDEX(상세표[블록 07~18시],$Q2910))</f>
        <v/>
      </c>
      <c r="M2910" s="20">
        <f>IF($Q2910="","",INDEX(상세표[블록 18~22시],$Q2910))</f>
        <v/>
      </c>
      <c r="N2910" s="20">
        <f>IF($Q2910="","",INDEX(상세표[블록 22~06시],$Q2910))</f>
        <v/>
      </c>
      <c r="O2910">
        <f>IF($Q2910="","",INDEX(상세표[주말·휴일 포함],$Q2910)&amp;"")</f>
        <v/>
      </c>
      <c r="P2910">
        <f>IF($Q2910="","",INDEX(상세표[월 넘김 포함],$Q2910)&amp;"")</f>
        <v/>
      </c>
      <c r="Q2910" s="4">
        <f>IFERROR(MATCH(2905,상세표[연속순번],0),"")</f>
        <v/>
      </c>
    </row>
    <row r="2911">
      <c r="A2911">
        <f>IF($Q2911="","",INDEX(상세표[부서],$Q2911)&amp;"")</f>
        <v/>
      </c>
      <c r="B2911">
        <f>IF($Q2911="","",INDEX(상세표[사번],$Q2911)&amp;"")</f>
        <v/>
      </c>
      <c r="C2911">
        <f>IF($Q2911="","",INDEX(상세표[성명],$Q2911)&amp;"")</f>
        <v/>
      </c>
      <c r="D2911">
        <f>IF($Q2911="","",INDEX(상세표[직위],$Q2911)&amp;"")</f>
        <v/>
      </c>
      <c r="E2911">
        <f>IF($Q2911="","",IF(ISNUMBER(INDEX(상세표[근무일자],$Q2911)),TEXT(INDEX(상세표[근무일자],$Q2911),"yyyy-mm-dd"),INDEX(상세표[근무일자],$Q2911)&amp;""))</f>
        <v/>
      </c>
      <c r="F2911">
        <f>IF($Q2911="","",IF(ISNUMBER(INDEX(상세표[시작],$Q2911)),TEXT(INDEX(상세표[시작],$Q2911),"yyyy-mm-dd hh:mm"),INDEX(상세표[시작],$Q2911)&amp;""))</f>
        <v/>
      </c>
      <c r="G2911">
        <f>IF($Q2911="","",IF(ISNUMBER(INDEX(상세표[블록종료],$Q2911)),TEXT(INDEX(상세표[블록종료],$Q2911),"yyyy-mm-dd hh:mm"),INDEX(상세표[블록종료],$Q2911)&amp;""))</f>
        <v/>
      </c>
      <c r="H2911">
        <f>IF($Q2911="","",CHOOSE(WEEKDAY(INDEX(상세표[시작],$Q2911)),"일","월","화","수","목","금","토"))</f>
        <v/>
      </c>
      <c r="I2911" s="20">
        <f>IF($Q2911="","",INDEX(상세표[연속 시간],$Q2911))</f>
        <v/>
      </c>
      <c r="J2911">
        <f>IF($Q2911="","",INDEX(상세표[기록 수],$Q2911))</f>
        <v/>
      </c>
      <c r="K2911" s="20">
        <f>IF($Q2911="","",INDEX(상세표[블록 06~07시],$Q2911))</f>
        <v/>
      </c>
      <c r="L2911" s="20">
        <f>IF($Q2911="","",INDEX(상세표[블록 07~18시],$Q2911))</f>
        <v/>
      </c>
      <c r="M2911" s="20">
        <f>IF($Q2911="","",INDEX(상세표[블록 18~22시],$Q2911))</f>
        <v/>
      </c>
      <c r="N2911" s="20">
        <f>IF($Q2911="","",INDEX(상세표[블록 22~06시],$Q2911))</f>
        <v/>
      </c>
      <c r="O2911">
        <f>IF($Q2911="","",INDEX(상세표[주말·휴일 포함],$Q2911)&amp;"")</f>
        <v/>
      </c>
      <c r="P2911">
        <f>IF($Q2911="","",INDEX(상세표[월 넘김 포함],$Q2911)&amp;"")</f>
        <v/>
      </c>
      <c r="Q2911" s="4">
        <f>IFERROR(MATCH(2906,상세표[연속순번],0),"")</f>
        <v/>
      </c>
    </row>
    <row r="2912">
      <c r="A2912">
        <f>IF($Q2912="","",INDEX(상세표[부서],$Q2912)&amp;"")</f>
        <v/>
      </c>
      <c r="B2912">
        <f>IF($Q2912="","",INDEX(상세표[사번],$Q2912)&amp;"")</f>
        <v/>
      </c>
      <c r="C2912">
        <f>IF($Q2912="","",INDEX(상세표[성명],$Q2912)&amp;"")</f>
        <v/>
      </c>
      <c r="D2912">
        <f>IF($Q2912="","",INDEX(상세표[직위],$Q2912)&amp;"")</f>
        <v/>
      </c>
      <c r="E2912">
        <f>IF($Q2912="","",IF(ISNUMBER(INDEX(상세표[근무일자],$Q2912)),TEXT(INDEX(상세표[근무일자],$Q2912),"yyyy-mm-dd"),INDEX(상세표[근무일자],$Q2912)&amp;""))</f>
        <v/>
      </c>
      <c r="F2912">
        <f>IF($Q2912="","",IF(ISNUMBER(INDEX(상세표[시작],$Q2912)),TEXT(INDEX(상세표[시작],$Q2912),"yyyy-mm-dd hh:mm"),INDEX(상세표[시작],$Q2912)&amp;""))</f>
        <v/>
      </c>
      <c r="G2912">
        <f>IF($Q2912="","",IF(ISNUMBER(INDEX(상세표[블록종료],$Q2912)),TEXT(INDEX(상세표[블록종료],$Q2912),"yyyy-mm-dd hh:mm"),INDEX(상세표[블록종료],$Q2912)&amp;""))</f>
        <v/>
      </c>
      <c r="H2912">
        <f>IF($Q2912="","",CHOOSE(WEEKDAY(INDEX(상세표[시작],$Q2912)),"일","월","화","수","목","금","토"))</f>
        <v/>
      </c>
      <c r="I2912" s="20">
        <f>IF($Q2912="","",INDEX(상세표[연속 시간],$Q2912))</f>
        <v/>
      </c>
      <c r="J2912">
        <f>IF($Q2912="","",INDEX(상세표[기록 수],$Q2912))</f>
        <v/>
      </c>
      <c r="K2912" s="20">
        <f>IF($Q2912="","",INDEX(상세표[블록 06~07시],$Q2912))</f>
        <v/>
      </c>
      <c r="L2912" s="20">
        <f>IF($Q2912="","",INDEX(상세표[블록 07~18시],$Q2912))</f>
        <v/>
      </c>
      <c r="M2912" s="20">
        <f>IF($Q2912="","",INDEX(상세표[블록 18~22시],$Q2912))</f>
        <v/>
      </c>
      <c r="N2912" s="20">
        <f>IF($Q2912="","",INDEX(상세표[블록 22~06시],$Q2912))</f>
        <v/>
      </c>
      <c r="O2912">
        <f>IF($Q2912="","",INDEX(상세표[주말·휴일 포함],$Q2912)&amp;"")</f>
        <v/>
      </c>
      <c r="P2912">
        <f>IF($Q2912="","",INDEX(상세표[월 넘김 포함],$Q2912)&amp;"")</f>
        <v/>
      </c>
      <c r="Q2912" s="4">
        <f>IFERROR(MATCH(2907,상세표[연속순번],0),"")</f>
        <v/>
      </c>
    </row>
    <row r="2913">
      <c r="A2913">
        <f>IF($Q2913="","",INDEX(상세표[부서],$Q2913)&amp;"")</f>
        <v/>
      </c>
      <c r="B2913">
        <f>IF($Q2913="","",INDEX(상세표[사번],$Q2913)&amp;"")</f>
        <v/>
      </c>
      <c r="C2913">
        <f>IF($Q2913="","",INDEX(상세표[성명],$Q2913)&amp;"")</f>
        <v/>
      </c>
      <c r="D2913">
        <f>IF($Q2913="","",INDEX(상세표[직위],$Q2913)&amp;"")</f>
        <v/>
      </c>
      <c r="E2913">
        <f>IF($Q2913="","",IF(ISNUMBER(INDEX(상세표[근무일자],$Q2913)),TEXT(INDEX(상세표[근무일자],$Q2913),"yyyy-mm-dd"),INDEX(상세표[근무일자],$Q2913)&amp;""))</f>
        <v/>
      </c>
      <c r="F2913">
        <f>IF($Q2913="","",IF(ISNUMBER(INDEX(상세표[시작],$Q2913)),TEXT(INDEX(상세표[시작],$Q2913),"yyyy-mm-dd hh:mm"),INDEX(상세표[시작],$Q2913)&amp;""))</f>
        <v/>
      </c>
      <c r="G2913">
        <f>IF($Q2913="","",IF(ISNUMBER(INDEX(상세표[블록종료],$Q2913)),TEXT(INDEX(상세표[블록종료],$Q2913),"yyyy-mm-dd hh:mm"),INDEX(상세표[블록종료],$Q2913)&amp;""))</f>
        <v/>
      </c>
      <c r="H2913">
        <f>IF($Q2913="","",CHOOSE(WEEKDAY(INDEX(상세표[시작],$Q2913)),"일","월","화","수","목","금","토"))</f>
        <v/>
      </c>
      <c r="I2913" s="20">
        <f>IF($Q2913="","",INDEX(상세표[연속 시간],$Q2913))</f>
        <v/>
      </c>
      <c r="J2913">
        <f>IF($Q2913="","",INDEX(상세표[기록 수],$Q2913))</f>
        <v/>
      </c>
      <c r="K2913" s="20">
        <f>IF($Q2913="","",INDEX(상세표[블록 06~07시],$Q2913))</f>
        <v/>
      </c>
      <c r="L2913" s="20">
        <f>IF($Q2913="","",INDEX(상세표[블록 07~18시],$Q2913))</f>
        <v/>
      </c>
      <c r="M2913" s="20">
        <f>IF($Q2913="","",INDEX(상세표[블록 18~22시],$Q2913))</f>
        <v/>
      </c>
      <c r="N2913" s="20">
        <f>IF($Q2913="","",INDEX(상세표[블록 22~06시],$Q2913))</f>
        <v/>
      </c>
      <c r="O2913">
        <f>IF($Q2913="","",INDEX(상세표[주말·휴일 포함],$Q2913)&amp;"")</f>
        <v/>
      </c>
      <c r="P2913">
        <f>IF($Q2913="","",INDEX(상세표[월 넘김 포함],$Q2913)&amp;"")</f>
        <v/>
      </c>
      <c r="Q2913" s="4">
        <f>IFERROR(MATCH(2908,상세표[연속순번],0),"")</f>
        <v/>
      </c>
    </row>
    <row r="2914">
      <c r="A2914">
        <f>IF($Q2914="","",INDEX(상세표[부서],$Q2914)&amp;"")</f>
        <v/>
      </c>
      <c r="B2914">
        <f>IF($Q2914="","",INDEX(상세표[사번],$Q2914)&amp;"")</f>
        <v/>
      </c>
      <c r="C2914">
        <f>IF($Q2914="","",INDEX(상세표[성명],$Q2914)&amp;"")</f>
        <v/>
      </c>
      <c r="D2914">
        <f>IF($Q2914="","",INDEX(상세표[직위],$Q2914)&amp;"")</f>
        <v/>
      </c>
      <c r="E2914">
        <f>IF($Q2914="","",IF(ISNUMBER(INDEX(상세표[근무일자],$Q2914)),TEXT(INDEX(상세표[근무일자],$Q2914),"yyyy-mm-dd"),INDEX(상세표[근무일자],$Q2914)&amp;""))</f>
        <v/>
      </c>
      <c r="F2914">
        <f>IF($Q2914="","",IF(ISNUMBER(INDEX(상세표[시작],$Q2914)),TEXT(INDEX(상세표[시작],$Q2914),"yyyy-mm-dd hh:mm"),INDEX(상세표[시작],$Q2914)&amp;""))</f>
        <v/>
      </c>
      <c r="G2914">
        <f>IF($Q2914="","",IF(ISNUMBER(INDEX(상세표[블록종료],$Q2914)),TEXT(INDEX(상세표[블록종료],$Q2914),"yyyy-mm-dd hh:mm"),INDEX(상세표[블록종료],$Q2914)&amp;""))</f>
        <v/>
      </c>
      <c r="H2914">
        <f>IF($Q2914="","",CHOOSE(WEEKDAY(INDEX(상세표[시작],$Q2914)),"일","월","화","수","목","금","토"))</f>
        <v/>
      </c>
      <c r="I2914" s="20">
        <f>IF($Q2914="","",INDEX(상세표[연속 시간],$Q2914))</f>
        <v/>
      </c>
      <c r="J2914">
        <f>IF($Q2914="","",INDEX(상세표[기록 수],$Q2914))</f>
        <v/>
      </c>
      <c r="K2914" s="20">
        <f>IF($Q2914="","",INDEX(상세표[블록 06~07시],$Q2914))</f>
        <v/>
      </c>
      <c r="L2914" s="20">
        <f>IF($Q2914="","",INDEX(상세표[블록 07~18시],$Q2914))</f>
        <v/>
      </c>
      <c r="M2914" s="20">
        <f>IF($Q2914="","",INDEX(상세표[블록 18~22시],$Q2914))</f>
        <v/>
      </c>
      <c r="N2914" s="20">
        <f>IF($Q2914="","",INDEX(상세표[블록 22~06시],$Q2914))</f>
        <v/>
      </c>
      <c r="O2914">
        <f>IF($Q2914="","",INDEX(상세표[주말·휴일 포함],$Q2914)&amp;"")</f>
        <v/>
      </c>
      <c r="P2914">
        <f>IF($Q2914="","",INDEX(상세표[월 넘김 포함],$Q2914)&amp;"")</f>
        <v/>
      </c>
      <c r="Q2914" s="4">
        <f>IFERROR(MATCH(2909,상세표[연속순번],0),"")</f>
        <v/>
      </c>
    </row>
    <row r="2915">
      <c r="A2915">
        <f>IF($Q2915="","",INDEX(상세표[부서],$Q2915)&amp;"")</f>
        <v/>
      </c>
      <c r="B2915">
        <f>IF($Q2915="","",INDEX(상세표[사번],$Q2915)&amp;"")</f>
        <v/>
      </c>
      <c r="C2915">
        <f>IF($Q2915="","",INDEX(상세표[성명],$Q2915)&amp;"")</f>
        <v/>
      </c>
      <c r="D2915">
        <f>IF($Q2915="","",INDEX(상세표[직위],$Q2915)&amp;"")</f>
        <v/>
      </c>
      <c r="E2915">
        <f>IF($Q2915="","",IF(ISNUMBER(INDEX(상세표[근무일자],$Q2915)),TEXT(INDEX(상세표[근무일자],$Q2915),"yyyy-mm-dd"),INDEX(상세표[근무일자],$Q2915)&amp;""))</f>
        <v/>
      </c>
      <c r="F2915">
        <f>IF($Q2915="","",IF(ISNUMBER(INDEX(상세표[시작],$Q2915)),TEXT(INDEX(상세표[시작],$Q2915),"yyyy-mm-dd hh:mm"),INDEX(상세표[시작],$Q2915)&amp;""))</f>
        <v/>
      </c>
      <c r="G2915">
        <f>IF($Q2915="","",IF(ISNUMBER(INDEX(상세표[블록종료],$Q2915)),TEXT(INDEX(상세표[블록종료],$Q2915),"yyyy-mm-dd hh:mm"),INDEX(상세표[블록종료],$Q2915)&amp;""))</f>
        <v/>
      </c>
      <c r="H2915">
        <f>IF($Q2915="","",CHOOSE(WEEKDAY(INDEX(상세표[시작],$Q2915)),"일","월","화","수","목","금","토"))</f>
        <v/>
      </c>
      <c r="I2915" s="20">
        <f>IF($Q2915="","",INDEX(상세표[연속 시간],$Q2915))</f>
        <v/>
      </c>
      <c r="J2915">
        <f>IF($Q2915="","",INDEX(상세표[기록 수],$Q2915))</f>
        <v/>
      </c>
      <c r="K2915" s="20">
        <f>IF($Q2915="","",INDEX(상세표[블록 06~07시],$Q2915))</f>
        <v/>
      </c>
      <c r="L2915" s="20">
        <f>IF($Q2915="","",INDEX(상세표[블록 07~18시],$Q2915))</f>
        <v/>
      </c>
      <c r="M2915" s="20">
        <f>IF($Q2915="","",INDEX(상세표[블록 18~22시],$Q2915))</f>
        <v/>
      </c>
      <c r="N2915" s="20">
        <f>IF($Q2915="","",INDEX(상세표[블록 22~06시],$Q2915))</f>
        <v/>
      </c>
      <c r="O2915">
        <f>IF($Q2915="","",INDEX(상세표[주말·휴일 포함],$Q2915)&amp;"")</f>
        <v/>
      </c>
      <c r="P2915">
        <f>IF($Q2915="","",INDEX(상세표[월 넘김 포함],$Q2915)&amp;"")</f>
        <v/>
      </c>
      <c r="Q2915" s="4">
        <f>IFERROR(MATCH(2910,상세표[연속순번],0),"")</f>
        <v/>
      </c>
    </row>
    <row r="2916">
      <c r="A2916">
        <f>IF($Q2916="","",INDEX(상세표[부서],$Q2916)&amp;"")</f>
        <v/>
      </c>
      <c r="B2916">
        <f>IF($Q2916="","",INDEX(상세표[사번],$Q2916)&amp;"")</f>
        <v/>
      </c>
      <c r="C2916">
        <f>IF($Q2916="","",INDEX(상세표[성명],$Q2916)&amp;"")</f>
        <v/>
      </c>
      <c r="D2916">
        <f>IF($Q2916="","",INDEX(상세표[직위],$Q2916)&amp;"")</f>
        <v/>
      </c>
      <c r="E2916">
        <f>IF($Q2916="","",IF(ISNUMBER(INDEX(상세표[근무일자],$Q2916)),TEXT(INDEX(상세표[근무일자],$Q2916),"yyyy-mm-dd"),INDEX(상세표[근무일자],$Q2916)&amp;""))</f>
        <v/>
      </c>
      <c r="F2916">
        <f>IF($Q2916="","",IF(ISNUMBER(INDEX(상세표[시작],$Q2916)),TEXT(INDEX(상세표[시작],$Q2916),"yyyy-mm-dd hh:mm"),INDEX(상세표[시작],$Q2916)&amp;""))</f>
        <v/>
      </c>
      <c r="G2916">
        <f>IF($Q2916="","",IF(ISNUMBER(INDEX(상세표[블록종료],$Q2916)),TEXT(INDEX(상세표[블록종료],$Q2916),"yyyy-mm-dd hh:mm"),INDEX(상세표[블록종료],$Q2916)&amp;""))</f>
        <v/>
      </c>
      <c r="H2916">
        <f>IF($Q2916="","",CHOOSE(WEEKDAY(INDEX(상세표[시작],$Q2916)),"일","월","화","수","목","금","토"))</f>
        <v/>
      </c>
      <c r="I2916" s="20">
        <f>IF($Q2916="","",INDEX(상세표[연속 시간],$Q2916))</f>
        <v/>
      </c>
      <c r="J2916">
        <f>IF($Q2916="","",INDEX(상세표[기록 수],$Q2916))</f>
        <v/>
      </c>
      <c r="K2916" s="20">
        <f>IF($Q2916="","",INDEX(상세표[블록 06~07시],$Q2916))</f>
        <v/>
      </c>
      <c r="L2916" s="20">
        <f>IF($Q2916="","",INDEX(상세표[블록 07~18시],$Q2916))</f>
        <v/>
      </c>
      <c r="M2916" s="20">
        <f>IF($Q2916="","",INDEX(상세표[블록 18~22시],$Q2916))</f>
        <v/>
      </c>
      <c r="N2916" s="20">
        <f>IF($Q2916="","",INDEX(상세표[블록 22~06시],$Q2916))</f>
        <v/>
      </c>
      <c r="O2916">
        <f>IF($Q2916="","",INDEX(상세표[주말·휴일 포함],$Q2916)&amp;"")</f>
        <v/>
      </c>
      <c r="P2916">
        <f>IF($Q2916="","",INDEX(상세표[월 넘김 포함],$Q2916)&amp;"")</f>
        <v/>
      </c>
      <c r="Q2916" s="4">
        <f>IFERROR(MATCH(2911,상세표[연속순번],0),"")</f>
        <v/>
      </c>
    </row>
    <row r="2917">
      <c r="A2917">
        <f>IF($Q2917="","",INDEX(상세표[부서],$Q2917)&amp;"")</f>
        <v/>
      </c>
      <c r="B2917">
        <f>IF($Q2917="","",INDEX(상세표[사번],$Q2917)&amp;"")</f>
        <v/>
      </c>
      <c r="C2917">
        <f>IF($Q2917="","",INDEX(상세표[성명],$Q2917)&amp;"")</f>
        <v/>
      </c>
      <c r="D2917">
        <f>IF($Q2917="","",INDEX(상세표[직위],$Q2917)&amp;"")</f>
        <v/>
      </c>
      <c r="E2917">
        <f>IF($Q2917="","",IF(ISNUMBER(INDEX(상세표[근무일자],$Q2917)),TEXT(INDEX(상세표[근무일자],$Q2917),"yyyy-mm-dd"),INDEX(상세표[근무일자],$Q2917)&amp;""))</f>
        <v/>
      </c>
      <c r="F2917">
        <f>IF($Q2917="","",IF(ISNUMBER(INDEX(상세표[시작],$Q2917)),TEXT(INDEX(상세표[시작],$Q2917),"yyyy-mm-dd hh:mm"),INDEX(상세표[시작],$Q2917)&amp;""))</f>
        <v/>
      </c>
      <c r="G2917">
        <f>IF($Q2917="","",IF(ISNUMBER(INDEX(상세표[블록종료],$Q2917)),TEXT(INDEX(상세표[블록종료],$Q2917),"yyyy-mm-dd hh:mm"),INDEX(상세표[블록종료],$Q2917)&amp;""))</f>
        <v/>
      </c>
      <c r="H2917">
        <f>IF($Q2917="","",CHOOSE(WEEKDAY(INDEX(상세표[시작],$Q2917)),"일","월","화","수","목","금","토"))</f>
        <v/>
      </c>
      <c r="I2917" s="20">
        <f>IF($Q2917="","",INDEX(상세표[연속 시간],$Q2917))</f>
        <v/>
      </c>
      <c r="J2917">
        <f>IF($Q2917="","",INDEX(상세표[기록 수],$Q2917))</f>
        <v/>
      </c>
      <c r="K2917" s="20">
        <f>IF($Q2917="","",INDEX(상세표[블록 06~07시],$Q2917))</f>
        <v/>
      </c>
      <c r="L2917" s="20">
        <f>IF($Q2917="","",INDEX(상세표[블록 07~18시],$Q2917))</f>
        <v/>
      </c>
      <c r="M2917" s="20">
        <f>IF($Q2917="","",INDEX(상세표[블록 18~22시],$Q2917))</f>
        <v/>
      </c>
      <c r="N2917" s="20">
        <f>IF($Q2917="","",INDEX(상세표[블록 22~06시],$Q2917))</f>
        <v/>
      </c>
      <c r="O2917">
        <f>IF($Q2917="","",INDEX(상세표[주말·휴일 포함],$Q2917)&amp;"")</f>
        <v/>
      </c>
      <c r="P2917">
        <f>IF($Q2917="","",INDEX(상세표[월 넘김 포함],$Q2917)&amp;"")</f>
        <v/>
      </c>
      <c r="Q2917" s="4">
        <f>IFERROR(MATCH(2912,상세표[연속순번],0),"")</f>
        <v/>
      </c>
    </row>
    <row r="2918">
      <c r="A2918">
        <f>IF($Q2918="","",INDEX(상세표[부서],$Q2918)&amp;"")</f>
        <v/>
      </c>
      <c r="B2918">
        <f>IF($Q2918="","",INDEX(상세표[사번],$Q2918)&amp;"")</f>
        <v/>
      </c>
      <c r="C2918">
        <f>IF($Q2918="","",INDEX(상세표[성명],$Q2918)&amp;"")</f>
        <v/>
      </c>
      <c r="D2918">
        <f>IF($Q2918="","",INDEX(상세표[직위],$Q2918)&amp;"")</f>
        <v/>
      </c>
      <c r="E2918">
        <f>IF($Q2918="","",IF(ISNUMBER(INDEX(상세표[근무일자],$Q2918)),TEXT(INDEX(상세표[근무일자],$Q2918),"yyyy-mm-dd"),INDEX(상세표[근무일자],$Q2918)&amp;""))</f>
        <v/>
      </c>
      <c r="F2918">
        <f>IF($Q2918="","",IF(ISNUMBER(INDEX(상세표[시작],$Q2918)),TEXT(INDEX(상세표[시작],$Q2918),"yyyy-mm-dd hh:mm"),INDEX(상세표[시작],$Q2918)&amp;""))</f>
        <v/>
      </c>
      <c r="G2918">
        <f>IF($Q2918="","",IF(ISNUMBER(INDEX(상세표[블록종료],$Q2918)),TEXT(INDEX(상세표[블록종료],$Q2918),"yyyy-mm-dd hh:mm"),INDEX(상세표[블록종료],$Q2918)&amp;""))</f>
        <v/>
      </c>
      <c r="H2918">
        <f>IF($Q2918="","",CHOOSE(WEEKDAY(INDEX(상세표[시작],$Q2918)),"일","월","화","수","목","금","토"))</f>
        <v/>
      </c>
      <c r="I2918" s="20">
        <f>IF($Q2918="","",INDEX(상세표[연속 시간],$Q2918))</f>
        <v/>
      </c>
      <c r="J2918">
        <f>IF($Q2918="","",INDEX(상세표[기록 수],$Q2918))</f>
        <v/>
      </c>
      <c r="K2918" s="20">
        <f>IF($Q2918="","",INDEX(상세표[블록 06~07시],$Q2918))</f>
        <v/>
      </c>
      <c r="L2918" s="20">
        <f>IF($Q2918="","",INDEX(상세표[블록 07~18시],$Q2918))</f>
        <v/>
      </c>
      <c r="M2918" s="20">
        <f>IF($Q2918="","",INDEX(상세표[블록 18~22시],$Q2918))</f>
        <v/>
      </c>
      <c r="N2918" s="20">
        <f>IF($Q2918="","",INDEX(상세표[블록 22~06시],$Q2918))</f>
        <v/>
      </c>
      <c r="O2918">
        <f>IF($Q2918="","",INDEX(상세표[주말·휴일 포함],$Q2918)&amp;"")</f>
        <v/>
      </c>
      <c r="P2918">
        <f>IF($Q2918="","",INDEX(상세표[월 넘김 포함],$Q2918)&amp;"")</f>
        <v/>
      </c>
      <c r="Q2918" s="4">
        <f>IFERROR(MATCH(2913,상세표[연속순번],0),"")</f>
        <v/>
      </c>
    </row>
    <row r="2919">
      <c r="A2919">
        <f>IF($Q2919="","",INDEX(상세표[부서],$Q2919)&amp;"")</f>
        <v/>
      </c>
      <c r="B2919">
        <f>IF($Q2919="","",INDEX(상세표[사번],$Q2919)&amp;"")</f>
        <v/>
      </c>
      <c r="C2919">
        <f>IF($Q2919="","",INDEX(상세표[성명],$Q2919)&amp;"")</f>
        <v/>
      </c>
      <c r="D2919">
        <f>IF($Q2919="","",INDEX(상세표[직위],$Q2919)&amp;"")</f>
        <v/>
      </c>
      <c r="E2919">
        <f>IF($Q2919="","",IF(ISNUMBER(INDEX(상세표[근무일자],$Q2919)),TEXT(INDEX(상세표[근무일자],$Q2919),"yyyy-mm-dd"),INDEX(상세표[근무일자],$Q2919)&amp;""))</f>
        <v/>
      </c>
      <c r="F2919">
        <f>IF($Q2919="","",IF(ISNUMBER(INDEX(상세표[시작],$Q2919)),TEXT(INDEX(상세표[시작],$Q2919),"yyyy-mm-dd hh:mm"),INDEX(상세표[시작],$Q2919)&amp;""))</f>
        <v/>
      </c>
      <c r="G2919">
        <f>IF($Q2919="","",IF(ISNUMBER(INDEX(상세표[블록종료],$Q2919)),TEXT(INDEX(상세표[블록종료],$Q2919),"yyyy-mm-dd hh:mm"),INDEX(상세표[블록종료],$Q2919)&amp;""))</f>
        <v/>
      </c>
      <c r="H2919">
        <f>IF($Q2919="","",CHOOSE(WEEKDAY(INDEX(상세표[시작],$Q2919)),"일","월","화","수","목","금","토"))</f>
        <v/>
      </c>
      <c r="I2919" s="20">
        <f>IF($Q2919="","",INDEX(상세표[연속 시간],$Q2919))</f>
        <v/>
      </c>
      <c r="J2919">
        <f>IF($Q2919="","",INDEX(상세표[기록 수],$Q2919))</f>
        <v/>
      </c>
      <c r="K2919" s="20">
        <f>IF($Q2919="","",INDEX(상세표[블록 06~07시],$Q2919))</f>
        <v/>
      </c>
      <c r="L2919" s="20">
        <f>IF($Q2919="","",INDEX(상세표[블록 07~18시],$Q2919))</f>
        <v/>
      </c>
      <c r="M2919" s="20">
        <f>IF($Q2919="","",INDEX(상세표[블록 18~22시],$Q2919))</f>
        <v/>
      </c>
      <c r="N2919" s="20">
        <f>IF($Q2919="","",INDEX(상세표[블록 22~06시],$Q2919))</f>
        <v/>
      </c>
      <c r="O2919">
        <f>IF($Q2919="","",INDEX(상세표[주말·휴일 포함],$Q2919)&amp;"")</f>
        <v/>
      </c>
      <c r="P2919">
        <f>IF($Q2919="","",INDEX(상세표[월 넘김 포함],$Q2919)&amp;"")</f>
        <v/>
      </c>
      <c r="Q2919" s="4">
        <f>IFERROR(MATCH(2914,상세표[연속순번],0),"")</f>
        <v/>
      </c>
    </row>
    <row r="2920">
      <c r="A2920">
        <f>IF($Q2920="","",INDEX(상세표[부서],$Q2920)&amp;"")</f>
        <v/>
      </c>
      <c r="B2920">
        <f>IF($Q2920="","",INDEX(상세표[사번],$Q2920)&amp;"")</f>
        <v/>
      </c>
      <c r="C2920">
        <f>IF($Q2920="","",INDEX(상세표[성명],$Q2920)&amp;"")</f>
        <v/>
      </c>
      <c r="D2920">
        <f>IF($Q2920="","",INDEX(상세표[직위],$Q2920)&amp;"")</f>
        <v/>
      </c>
      <c r="E2920">
        <f>IF($Q2920="","",IF(ISNUMBER(INDEX(상세표[근무일자],$Q2920)),TEXT(INDEX(상세표[근무일자],$Q2920),"yyyy-mm-dd"),INDEX(상세표[근무일자],$Q2920)&amp;""))</f>
        <v/>
      </c>
      <c r="F2920">
        <f>IF($Q2920="","",IF(ISNUMBER(INDEX(상세표[시작],$Q2920)),TEXT(INDEX(상세표[시작],$Q2920),"yyyy-mm-dd hh:mm"),INDEX(상세표[시작],$Q2920)&amp;""))</f>
        <v/>
      </c>
      <c r="G2920">
        <f>IF($Q2920="","",IF(ISNUMBER(INDEX(상세표[블록종료],$Q2920)),TEXT(INDEX(상세표[블록종료],$Q2920),"yyyy-mm-dd hh:mm"),INDEX(상세표[블록종료],$Q2920)&amp;""))</f>
        <v/>
      </c>
      <c r="H2920">
        <f>IF($Q2920="","",CHOOSE(WEEKDAY(INDEX(상세표[시작],$Q2920)),"일","월","화","수","목","금","토"))</f>
        <v/>
      </c>
      <c r="I2920" s="20">
        <f>IF($Q2920="","",INDEX(상세표[연속 시간],$Q2920))</f>
        <v/>
      </c>
      <c r="J2920">
        <f>IF($Q2920="","",INDEX(상세표[기록 수],$Q2920))</f>
        <v/>
      </c>
      <c r="K2920" s="20">
        <f>IF($Q2920="","",INDEX(상세표[블록 06~07시],$Q2920))</f>
        <v/>
      </c>
      <c r="L2920" s="20">
        <f>IF($Q2920="","",INDEX(상세표[블록 07~18시],$Q2920))</f>
        <v/>
      </c>
      <c r="M2920" s="20">
        <f>IF($Q2920="","",INDEX(상세표[블록 18~22시],$Q2920))</f>
        <v/>
      </c>
      <c r="N2920" s="20">
        <f>IF($Q2920="","",INDEX(상세표[블록 22~06시],$Q2920))</f>
        <v/>
      </c>
      <c r="O2920">
        <f>IF($Q2920="","",INDEX(상세표[주말·휴일 포함],$Q2920)&amp;"")</f>
        <v/>
      </c>
      <c r="P2920">
        <f>IF($Q2920="","",INDEX(상세표[월 넘김 포함],$Q2920)&amp;"")</f>
        <v/>
      </c>
      <c r="Q2920" s="4">
        <f>IFERROR(MATCH(2915,상세표[연속순번],0),"")</f>
        <v/>
      </c>
    </row>
    <row r="2921">
      <c r="A2921">
        <f>IF($Q2921="","",INDEX(상세표[부서],$Q2921)&amp;"")</f>
        <v/>
      </c>
      <c r="B2921">
        <f>IF($Q2921="","",INDEX(상세표[사번],$Q2921)&amp;"")</f>
        <v/>
      </c>
      <c r="C2921">
        <f>IF($Q2921="","",INDEX(상세표[성명],$Q2921)&amp;"")</f>
        <v/>
      </c>
      <c r="D2921">
        <f>IF($Q2921="","",INDEX(상세표[직위],$Q2921)&amp;"")</f>
        <v/>
      </c>
      <c r="E2921">
        <f>IF($Q2921="","",IF(ISNUMBER(INDEX(상세표[근무일자],$Q2921)),TEXT(INDEX(상세표[근무일자],$Q2921),"yyyy-mm-dd"),INDEX(상세표[근무일자],$Q2921)&amp;""))</f>
        <v/>
      </c>
      <c r="F2921">
        <f>IF($Q2921="","",IF(ISNUMBER(INDEX(상세표[시작],$Q2921)),TEXT(INDEX(상세표[시작],$Q2921),"yyyy-mm-dd hh:mm"),INDEX(상세표[시작],$Q2921)&amp;""))</f>
        <v/>
      </c>
      <c r="G2921">
        <f>IF($Q2921="","",IF(ISNUMBER(INDEX(상세표[블록종료],$Q2921)),TEXT(INDEX(상세표[블록종료],$Q2921),"yyyy-mm-dd hh:mm"),INDEX(상세표[블록종료],$Q2921)&amp;""))</f>
        <v/>
      </c>
      <c r="H2921">
        <f>IF($Q2921="","",CHOOSE(WEEKDAY(INDEX(상세표[시작],$Q2921)),"일","월","화","수","목","금","토"))</f>
        <v/>
      </c>
      <c r="I2921" s="20">
        <f>IF($Q2921="","",INDEX(상세표[연속 시간],$Q2921))</f>
        <v/>
      </c>
      <c r="J2921">
        <f>IF($Q2921="","",INDEX(상세표[기록 수],$Q2921))</f>
        <v/>
      </c>
      <c r="K2921" s="20">
        <f>IF($Q2921="","",INDEX(상세표[블록 06~07시],$Q2921))</f>
        <v/>
      </c>
      <c r="L2921" s="20">
        <f>IF($Q2921="","",INDEX(상세표[블록 07~18시],$Q2921))</f>
        <v/>
      </c>
      <c r="M2921" s="20">
        <f>IF($Q2921="","",INDEX(상세표[블록 18~22시],$Q2921))</f>
        <v/>
      </c>
      <c r="N2921" s="20">
        <f>IF($Q2921="","",INDEX(상세표[블록 22~06시],$Q2921))</f>
        <v/>
      </c>
      <c r="O2921">
        <f>IF($Q2921="","",INDEX(상세표[주말·휴일 포함],$Q2921)&amp;"")</f>
        <v/>
      </c>
      <c r="P2921">
        <f>IF($Q2921="","",INDEX(상세표[월 넘김 포함],$Q2921)&amp;"")</f>
        <v/>
      </c>
      <c r="Q2921" s="4">
        <f>IFERROR(MATCH(2916,상세표[연속순번],0),"")</f>
        <v/>
      </c>
    </row>
    <row r="2922">
      <c r="A2922">
        <f>IF($Q2922="","",INDEX(상세표[부서],$Q2922)&amp;"")</f>
        <v/>
      </c>
      <c r="B2922">
        <f>IF($Q2922="","",INDEX(상세표[사번],$Q2922)&amp;"")</f>
        <v/>
      </c>
      <c r="C2922">
        <f>IF($Q2922="","",INDEX(상세표[성명],$Q2922)&amp;"")</f>
        <v/>
      </c>
      <c r="D2922">
        <f>IF($Q2922="","",INDEX(상세표[직위],$Q2922)&amp;"")</f>
        <v/>
      </c>
      <c r="E2922">
        <f>IF($Q2922="","",IF(ISNUMBER(INDEX(상세표[근무일자],$Q2922)),TEXT(INDEX(상세표[근무일자],$Q2922),"yyyy-mm-dd"),INDEX(상세표[근무일자],$Q2922)&amp;""))</f>
        <v/>
      </c>
      <c r="F2922">
        <f>IF($Q2922="","",IF(ISNUMBER(INDEX(상세표[시작],$Q2922)),TEXT(INDEX(상세표[시작],$Q2922),"yyyy-mm-dd hh:mm"),INDEX(상세표[시작],$Q2922)&amp;""))</f>
        <v/>
      </c>
      <c r="G2922">
        <f>IF($Q2922="","",IF(ISNUMBER(INDEX(상세표[블록종료],$Q2922)),TEXT(INDEX(상세표[블록종료],$Q2922),"yyyy-mm-dd hh:mm"),INDEX(상세표[블록종료],$Q2922)&amp;""))</f>
        <v/>
      </c>
      <c r="H2922">
        <f>IF($Q2922="","",CHOOSE(WEEKDAY(INDEX(상세표[시작],$Q2922)),"일","월","화","수","목","금","토"))</f>
        <v/>
      </c>
      <c r="I2922" s="20">
        <f>IF($Q2922="","",INDEX(상세표[연속 시간],$Q2922))</f>
        <v/>
      </c>
      <c r="J2922">
        <f>IF($Q2922="","",INDEX(상세표[기록 수],$Q2922))</f>
        <v/>
      </c>
      <c r="K2922" s="20">
        <f>IF($Q2922="","",INDEX(상세표[블록 06~07시],$Q2922))</f>
        <v/>
      </c>
      <c r="L2922" s="20">
        <f>IF($Q2922="","",INDEX(상세표[블록 07~18시],$Q2922))</f>
        <v/>
      </c>
      <c r="M2922" s="20">
        <f>IF($Q2922="","",INDEX(상세표[블록 18~22시],$Q2922))</f>
        <v/>
      </c>
      <c r="N2922" s="20">
        <f>IF($Q2922="","",INDEX(상세표[블록 22~06시],$Q2922))</f>
        <v/>
      </c>
      <c r="O2922">
        <f>IF($Q2922="","",INDEX(상세표[주말·휴일 포함],$Q2922)&amp;"")</f>
        <v/>
      </c>
      <c r="P2922">
        <f>IF($Q2922="","",INDEX(상세표[월 넘김 포함],$Q2922)&amp;"")</f>
        <v/>
      </c>
      <c r="Q2922" s="4">
        <f>IFERROR(MATCH(2917,상세표[연속순번],0),"")</f>
        <v/>
      </c>
    </row>
    <row r="2923">
      <c r="A2923">
        <f>IF($Q2923="","",INDEX(상세표[부서],$Q2923)&amp;"")</f>
        <v/>
      </c>
      <c r="B2923">
        <f>IF($Q2923="","",INDEX(상세표[사번],$Q2923)&amp;"")</f>
        <v/>
      </c>
      <c r="C2923">
        <f>IF($Q2923="","",INDEX(상세표[성명],$Q2923)&amp;"")</f>
        <v/>
      </c>
      <c r="D2923">
        <f>IF($Q2923="","",INDEX(상세표[직위],$Q2923)&amp;"")</f>
        <v/>
      </c>
      <c r="E2923">
        <f>IF($Q2923="","",IF(ISNUMBER(INDEX(상세표[근무일자],$Q2923)),TEXT(INDEX(상세표[근무일자],$Q2923),"yyyy-mm-dd"),INDEX(상세표[근무일자],$Q2923)&amp;""))</f>
        <v/>
      </c>
      <c r="F2923">
        <f>IF($Q2923="","",IF(ISNUMBER(INDEX(상세표[시작],$Q2923)),TEXT(INDEX(상세표[시작],$Q2923),"yyyy-mm-dd hh:mm"),INDEX(상세표[시작],$Q2923)&amp;""))</f>
        <v/>
      </c>
      <c r="G2923">
        <f>IF($Q2923="","",IF(ISNUMBER(INDEX(상세표[블록종료],$Q2923)),TEXT(INDEX(상세표[블록종료],$Q2923),"yyyy-mm-dd hh:mm"),INDEX(상세표[블록종료],$Q2923)&amp;""))</f>
        <v/>
      </c>
      <c r="H2923">
        <f>IF($Q2923="","",CHOOSE(WEEKDAY(INDEX(상세표[시작],$Q2923)),"일","월","화","수","목","금","토"))</f>
        <v/>
      </c>
      <c r="I2923" s="20">
        <f>IF($Q2923="","",INDEX(상세표[연속 시간],$Q2923))</f>
        <v/>
      </c>
      <c r="J2923">
        <f>IF($Q2923="","",INDEX(상세표[기록 수],$Q2923))</f>
        <v/>
      </c>
      <c r="K2923" s="20">
        <f>IF($Q2923="","",INDEX(상세표[블록 06~07시],$Q2923))</f>
        <v/>
      </c>
      <c r="L2923" s="20">
        <f>IF($Q2923="","",INDEX(상세표[블록 07~18시],$Q2923))</f>
        <v/>
      </c>
      <c r="M2923" s="20">
        <f>IF($Q2923="","",INDEX(상세표[블록 18~22시],$Q2923))</f>
        <v/>
      </c>
      <c r="N2923" s="20">
        <f>IF($Q2923="","",INDEX(상세표[블록 22~06시],$Q2923))</f>
        <v/>
      </c>
      <c r="O2923">
        <f>IF($Q2923="","",INDEX(상세표[주말·휴일 포함],$Q2923)&amp;"")</f>
        <v/>
      </c>
      <c r="P2923">
        <f>IF($Q2923="","",INDEX(상세표[월 넘김 포함],$Q2923)&amp;"")</f>
        <v/>
      </c>
      <c r="Q2923" s="4">
        <f>IFERROR(MATCH(2918,상세표[연속순번],0),"")</f>
        <v/>
      </c>
    </row>
    <row r="2924">
      <c r="A2924">
        <f>IF($Q2924="","",INDEX(상세표[부서],$Q2924)&amp;"")</f>
        <v/>
      </c>
      <c r="B2924">
        <f>IF($Q2924="","",INDEX(상세표[사번],$Q2924)&amp;"")</f>
        <v/>
      </c>
      <c r="C2924">
        <f>IF($Q2924="","",INDEX(상세표[성명],$Q2924)&amp;"")</f>
        <v/>
      </c>
      <c r="D2924">
        <f>IF($Q2924="","",INDEX(상세표[직위],$Q2924)&amp;"")</f>
        <v/>
      </c>
      <c r="E2924">
        <f>IF($Q2924="","",IF(ISNUMBER(INDEX(상세표[근무일자],$Q2924)),TEXT(INDEX(상세표[근무일자],$Q2924),"yyyy-mm-dd"),INDEX(상세표[근무일자],$Q2924)&amp;""))</f>
        <v/>
      </c>
      <c r="F2924">
        <f>IF($Q2924="","",IF(ISNUMBER(INDEX(상세표[시작],$Q2924)),TEXT(INDEX(상세표[시작],$Q2924),"yyyy-mm-dd hh:mm"),INDEX(상세표[시작],$Q2924)&amp;""))</f>
        <v/>
      </c>
      <c r="G2924">
        <f>IF($Q2924="","",IF(ISNUMBER(INDEX(상세표[블록종료],$Q2924)),TEXT(INDEX(상세표[블록종료],$Q2924),"yyyy-mm-dd hh:mm"),INDEX(상세표[블록종료],$Q2924)&amp;""))</f>
        <v/>
      </c>
      <c r="H2924">
        <f>IF($Q2924="","",CHOOSE(WEEKDAY(INDEX(상세표[시작],$Q2924)),"일","월","화","수","목","금","토"))</f>
        <v/>
      </c>
      <c r="I2924" s="20">
        <f>IF($Q2924="","",INDEX(상세표[연속 시간],$Q2924))</f>
        <v/>
      </c>
      <c r="J2924">
        <f>IF($Q2924="","",INDEX(상세표[기록 수],$Q2924))</f>
        <v/>
      </c>
      <c r="K2924" s="20">
        <f>IF($Q2924="","",INDEX(상세표[블록 06~07시],$Q2924))</f>
        <v/>
      </c>
      <c r="L2924" s="20">
        <f>IF($Q2924="","",INDEX(상세표[블록 07~18시],$Q2924))</f>
        <v/>
      </c>
      <c r="M2924" s="20">
        <f>IF($Q2924="","",INDEX(상세표[블록 18~22시],$Q2924))</f>
        <v/>
      </c>
      <c r="N2924" s="20">
        <f>IF($Q2924="","",INDEX(상세표[블록 22~06시],$Q2924))</f>
        <v/>
      </c>
      <c r="O2924">
        <f>IF($Q2924="","",INDEX(상세표[주말·휴일 포함],$Q2924)&amp;"")</f>
        <v/>
      </c>
      <c r="P2924">
        <f>IF($Q2924="","",INDEX(상세표[월 넘김 포함],$Q2924)&amp;"")</f>
        <v/>
      </c>
      <c r="Q2924" s="4">
        <f>IFERROR(MATCH(2919,상세표[연속순번],0),"")</f>
        <v/>
      </c>
    </row>
    <row r="2925">
      <c r="A2925">
        <f>IF($Q2925="","",INDEX(상세표[부서],$Q2925)&amp;"")</f>
        <v/>
      </c>
      <c r="B2925">
        <f>IF($Q2925="","",INDEX(상세표[사번],$Q2925)&amp;"")</f>
        <v/>
      </c>
      <c r="C2925">
        <f>IF($Q2925="","",INDEX(상세표[성명],$Q2925)&amp;"")</f>
        <v/>
      </c>
      <c r="D2925">
        <f>IF($Q2925="","",INDEX(상세표[직위],$Q2925)&amp;"")</f>
        <v/>
      </c>
      <c r="E2925">
        <f>IF($Q2925="","",IF(ISNUMBER(INDEX(상세표[근무일자],$Q2925)),TEXT(INDEX(상세표[근무일자],$Q2925),"yyyy-mm-dd"),INDEX(상세표[근무일자],$Q2925)&amp;""))</f>
        <v/>
      </c>
      <c r="F2925">
        <f>IF($Q2925="","",IF(ISNUMBER(INDEX(상세표[시작],$Q2925)),TEXT(INDEX(상세표[시작],$Q2925),"yyyy-mm-dd hh:mm"),INDEX(상세표[시작],$Q2925)&amp;""))</f>
        <v/>
      </c>
      <c r="G2925">
        <f>IF($Q2925="","",IF(ISNUMBER(INDEX(상세표[블록종료],$Q2925)),TEXT(INDEX(상세표[블록종료],$Q2925),"yyyy-mm-dd hh:mm"),INDEX(상세표[블록종료],$Q2925)&amp;""))</f>
        <v/>
      </c>
      <c r="H2925">
        <f>IF($Q2925="","",CHOOSE(WEEKDAY(INDEX(상세표[시작],$Q2925)),"일","월","화","수","목","금","토"))</f>
        <v/>
      </c>
      <c r="I2925" s="20">
        <f>IF($Q2925="","",INDEX(상세표[연속 시간],$Q2925))</f>
        <v/>
      </c>
      <c r="J2925">
        <f>IF($Q2925="","",INDEX(상세표[기록 수],$Q2925))</f>
        <v/>
      </c>
      <c r="K2925" s="20">
        <f>IF($Q2925="","",INDEX(상세표[블록 06~07시],$Q2925))</f>
        <v/>
      </c>
      <c r="L2925" s="20">
        <f>IF($Q2925="","",INDEX(상세표[블록 07~18시],$Q2925))</f>
        <v/>
      </c>
      <c r="M2925" s="20">
        <f>IF($Q2925="","",INDEX(상세표[블록 18~22시],$Q2925))</f>
        <v/>
      </c>
      <c r="N2925" s="20">
        <f>IF($Q2925="","",INDEX(상세표[블록 22~06시],$Q2925))</f>
        <v/>
      </c>
      <c r="O2925">
        <f>IF($Q2925="","",INDEX(상세표[주말·휴일 포함],$Q2925)&amp;"")</f>
        <v/>
      </c>
      <c r="P2925">
        <f>IF($Q2925="","",INDEX(상세표[월 넘김 포함],$Q2925)&amp;"")</f>
        <v/>
      </c>
      <c r="Q2925" s="4">
        <f>IFERROR(MATCH(2920,상세표[연속순번],0),"")</f>
        <v/>
      </c>
    </row>
    <row r="2926">
      <c r="A2926">
        <f>IF($Q2926="","",INDEX(상세표[부서],$Q2926)&amp;"")</f>
        <v/>
      </c>
      <c r="B2926">
        <f>IF($Q2926="","",INDEX(상세표[사번],$Q2926)&amp;"")</f>
        <v/>
      </c>
      <c r="C2926">
        <f>IF($Q2926="","",INDEX(상세표[성명],$Q2926)&amp;"")</f>
        <v/>
      </c>
      <c r="D2926">
        <f>IF($Q2926="","",INDEX(상세표[직위],$Q2926)&amp;"")</f>
        <v/>
      </c>
      <c r="E2926">
        <f>IF($Q2926="","",IF(ISNUMBER(INDEX(상세표[근무일자],$Q2926)),TEXT(INDEX(상세표[근무일자],$Q2926),"yyyy-mm-dd"),INDEX(상세표[근무일자],$Q2926)&amp;""))</f>
        <v/>
      </c>
      <c r="F2926">
        <f>IF($Q2926="","",IF(ISNUMBER(INDEX(상세표[시작],$Q2926)),TEXT(INDEX(상세표[시작],$Q2926),"yyyy-mm-dd hh:mm"),INDEX(상세표[시작],$Q2926)&amp;""))</f>
        <v/>
      </c>
      <c r="G2926">
        <f>IF($Q2926="","",IF(ISNUMBER(INDEX(상세표[블록종료],$Q2926)),TEXT(INDEX(상세표[블록종료],$Q2926),"yyyy-mm-dd hh:mm"),INDEX(상세표[블록종료],$Q2926)&amp;""))</f>
        <v/>
      </c>
      <c r="H2926">
        <f>IF($Q2926="","",CHOOSE(WEEKDAY(INDEX(상세표[시작],$Q2926)),"일","월","화","수","목","금","토"))</f>
        <v/>
      </c>
      <c r="I2926" s="20">
        <f>IF($Q2926="","",INDEX(상세표[연속 시간],$Q2926))</f>
        <v/>
      </c>
      <c r="J2926">
        <f>IF($Q2926="","",INDEX(상세표[기록 수],$Q2926))</f>
        <v/>
      </c>
      <c r="K2926" s="20">
        <f>IF($Q2926="","",INDEX(상세표[블록 06~07시],$Q2926))</f>
        <v/>
      </c>
      <c r="L2926" s="20">
        <f>IF($Q2926="","",INDEX(상세표[블록 07~18시],$Q2926))</f>
        <v/>
      </c>
      <c r="M2926" s="20">
        <f>IF($Q2926="","",INDEX(상세표[블록 18~22시],$Q2926))</f>
        <v/>
      </c>
      <c r="N2926" s="20">
        <f>IF($Q2926="","",INDEX(상세표[블록 22~06시],$Q2926))</f>
        <v/>
      </c>
      <c r="O2926">
        <f>IF($Q2926="","",INDEX(상세표[주말·휴일 포함],$Q2926)&amp;"")</f>
        <v/>
      </c>
      <c r="P2926">
        <f>IF($Q2926="","",INDEX(상세표[월 넘김 포함],$Q2926)&amp;"")</f>
        <v/>
      </c>
      <c r="Q2926" s="4">
        <f>IFERROR(MATCH(2921,상세표[연속순번],0),"")</f>
        <v/>
      </c>
    </row>
    <row r="2927">
      <c r="A2927">
        <f>IF($Q2927="","",INDEX(상세표[부서],$Q2927)&amp;"")</f>
        <v/>
      </c>
      <c r="B2927">
        <f>IF($Q2927="","",INDEX(상세표[사번],$Q2927)&amp;"")</f>
        <v/>
      </c>
      <c r="C2927">
        <f>IF($Q2927="","",INDEX(상세표[성명],$Q2927)&amp;"")</f>
        <v/>
      </c>
      <c r="D2927">
        <f>IF($Q2927="","",INDEX(상세표[직위],$Q2927)&amp;"")</f>
        <v/>
      </c>
      <c r="E2927">
        <f>IF($Q2927="","",IF(ISNUMBER(INDEX(상세표[근무일자],$Q2927)),TEXT(INDEX(상세표[근무일자],$Q2927),"yyyy-mm-dd"),INDEX(상세표[근무일자],$Q2927)&amp;""))</f>
        <v/>
      </c>
      <c r="F2927">
        <f>IF($Q2927="","",IF(ISNUMBER(INDEX(상세표[시작],$Q2927)),TEXT(INDEX(상세표[시작],$Q2927),"yyyy-mm-dd hh:mm"),INDEX(상세표[시작],$Q2927)&amp;""))</f>
        <v/>
      </c>
      <c r="G2927">
        <f>IF($Q2927="","",IF(ISNUMBER(INDEX(상세표[블록종료],$Q2927)),TEXT(INDEX(상세표[블록종료],$Q2927),"yyyy-mm-dd hh:mm"),INDEX(상세표[블록종료],$Q2927)&amp;""))</f>
        <v/>
      </c>
      <c r="H2927">
        <f>IF($Q2927="","",CHOOSE(WEEKDAY(INDEX(상세표[시작],$Q2927)),"일","월","화","수","목","금","토"))</f>
        <v/>
      </c>
      <c r="I2927" s="20">
        <f>IF($Q2927="","",INDEX(상세표[연속 시간],$Q2927))</f>
        <v/>
      </c>
      <c r="J2927">
        <f>IF($Q2927="","",INDEX(상세표[기록 수],$Q2927))</f>
        <v/>
      </c>
      <c r="K2927" s="20">
        <f>IF($Q2927="","",INDEX(상세표[블록 06~07시],$Q2927))</f>
        <v/>
      </c>
      <c r="L2927" s="20">
        <f>IF($Q2927="","",INDEX(상세표[블록 07~18시],$Q2927))</f>
        <v/>
      </c>
      <c r="M2927" s="20">
        <f>IF($Q2927="","",INDEX(상세표[블록 18~22시],$Q2927))</f>
        <v/>
      </c>
      <c r="N2927" s="20">
        <f>IF($Q2927="","",INDEX(상세표[블록 22~06시],$Q2927))</f>
        <v/>
      </c>
      <c r="O2927">
        <f>IF($Q2927="","",INDEX(상세표[주말·휴일 포함],$Q2927)&amp;"")</f>
        <v/>
      </c>
      <c r="P2927">
        <f>IF($Q2927="","",INDEX(상세표[월 넘김 포함],$Q2927)&amp;"")</f>
        <v/>
      </c>
      <c r="Q2927" s="4">
        <f>IFERROR(MATCH(2922,상세표[연속순번],0),"")</f>
        <v/>
      </c>
    </row>
    <row r="2928">
      <c r="A2928">
        <f>IF($Q2928="","",INDEX(상세표[부서],$Q2928)&amp;"")</f>
        <v/>
      </c>
      <c r="B2928">
        <f>IF($Q2928="","",INDEX(상세표[사번],$Q2928)&amp;"")</f>
        <v/>
      </c>
      <c r="C2928">
        <f>IF($Q2928="","",INDEX(상세표[성명],$Q2928)&amp;"")</f>
        <v/>
      </c>
      <c r="D2928">
        <f>IF($Q2928="","",INDEX(상세표[직위],$Q2928)&amp;"")</f>
        <v/>
      </c>
      <c r="E2928">
        <f>IF($Q2928="","",IF(ISNUMBER(INDEX(상세표[근무일자],$Q2928)),TEXT(INDEX(상세표[근무일자],$Q2928),"yyyy-mm-dd"),INDEX(상세표[근무일자],$Q2928)&amp;""))</f>
        <v/>
      </c>
      <c r="F2928">
        <f>IF($Q2928="","",IF(ISNUMBER(INDEX(상세표[시작],$Q2928)),TEXT(INDEX(상세표[시작],$Q2928),"yyyy-mm-dd hh:mm"),INDEX(상세표[시작],$Q2928)&amp;""))</f>
        <v/>
      </c>
      <c r="G2928">
        <f>IF($Q2928="","",IF(ISNUMBER(INDEX(상세표[블록종료],$Q2928)),TEXT(INDEX(상세표[블록종료],$Q2928),"yyyy-mm-dd hh:mm"),INDEX(상세표[블록종료],$Q2928)&amp;""))</f>
        <v/>
      </c>
      <c r="H2928">
        <f>IF($Q2928="","",CHOOSE(WEEKDAY(INDEX(상세표[시작],$Q2928)),"일","월","화","수","목","금","토"))</f>
        <v/>
      </c>
      <c r="I2928" s="20">
        <f>IF($Q2928="","",INDEX(상세표[연속 시간],$Q2928))</f>
        <v/>
      </c>
      <c r="J2928">
        <f>IF($Q2928="","",INDEX(상세표[기록 수],$Q2928))</f>
        <v/>
      </c>
      <c r="K2928" s="20">
        <f>IF($Q2928="","",INDEX(상세표[블록 06~07시],$Q2928))</f>
        <v/>
      </c>
      <c r="L2928" s="20">
        <f>IF($Q2928="","",INDEX(상세표[블록 07~18시],$Q2928))</f>
        <v/>
      </c>
      <c r="M2928" s="20">
        <f>IF($Q2928="","",INDEX(상세표[블록 18~22시],$Q2928))</f>
        <v/>
      </c>
      <c r="N2928" s="20">
        <f>IF($Q2928="","",INDEX(상세표[블록 22~06시],$Q2928))</f>
        <v/>
      </c>
      <c r="O2928">
        <f>IF($Q2928="","",INDEX(상세표[주말·휴일 포함],$Q2928)&amp;"")</f>
        <v/>
      </c>
      <c r="P2928">
        <f>IF($Q2928="","",INDEX(상세표[월 넘김 포함],$Q2928)&amp;"")</f>
        <v/>
      </c>
      <c r="Q2928" s="4">
        <f>IFERROR(MATCH(2923,상세표[연속순번],0),"")</f>
        <v/>
      </c>
    </row>
    <row r="2929">
      <c r="A2929">
        <f>IF($Q2929="","",INDEX(상세표[부서],$Q2929)&amp;"")</f>
        <v/>
      </c>
      <c r="B2929">
        <f>IF($Q2929="","",INDEX(상세표[사번],$Q2929)&amp;"")</f>
        <v/>
      </c>
      <c r="C2929">
        <f>IF($Q2929="","",INDEX(상세표[성명],$Q2929)&amp;"")</f>
        <v/>
      </c>
      <c r="D2929">
        <f>IF($Q2929="","",INDEX(상세표[직위],$Q2929)&amp;"")</f>
        <v/>
      </c>
      <c r="E2929">
        <f>IF($Q2929="","",IF(ISNUMBER(INDEX(상세표[근무일자],$Q2929)),TEXT(INDEX(상세표[근무일자],$Q2929),"yyyy-mm-dd"),INDEX(상세표[근무일자],$Q2929)&amp;""))</f>
        <v/>
      </c>
      <c r="F2929">
        <f>IF($Q2929="","",IF(ISNUMBER(INDEX(상세표[시작],$Q2929)),TEXT(INDEX(상세표[시작],$Q2929),"yyyy-mm-dd hh:mm"),INDEX(상세표[시작],$Q2929)&amp;""))</f>
        <v/>
      </c>
      <c r="G2929">
        <f>IF($Q2929="","",IF(ISNUMBER(INDEX(상세표[블록종료],$Q2929)),TEXT(INDEX(상세표[블록종료],$Q2929),"yyyy-mm-dd hh:mm"),INDEX(상세표[블록종료],$Q2929)&amp;""))</f>
        <v/>
      </c>
      <c r="H2929">
        <f>IF($Q2929="","",CHOOSE(WEEKDAY(INDEX(상세표[시작],$Q2929)),"일","월","화","수","목","금","토"))</f>
        <v/>
      </c>
      <c r="I2929" s="20">
        <f>IF($Q2929="","",INDEX(상세표[연속 시간],$Q2929))</f>
        <v/>
      </c>
      <c r="J2929">
        <f>IF($Q2929="","",INDEX(상세표[기록 수],$Q2929))</f>
        <v/>
      </c>
      <c r="K2929" s="20">
        <f>IF($Q2929="","",INDEX(상세표[블록 06~07시],$Q2929))</f>
        <v/>
      </c>
      <c r="L2929" s="20">
        <f>IF($Q2929="","",INDEX(상세표[블록 07~18시],$Q2929))</f>
        <v/>
      </c>
      <c r="M2929" s="20">
        <f>IF($Q2929="","",INDEX(상세표[블록 18~22시],$Q2929))</f>
        <v/>
      </c>
      <c r="N2929" s="20">
        <f>IF($Q2929="","",INDEX(상세표[블록 22~06시],$Q2929))</f>
        <v/>
      </c>
      <c r="O2929">
        <f>IF($Q2929="","",INDEX(상세표[주말·휴일 포함],$Q2929)&amp;"")</f>
        <v/>
      </c>
      <c r="P2929">
        <f>IF($Q2929="","",INDEX(상세표[월 넘김 포함],$Q2929)&amp;"")</f>
        <v/>
      </c>
      <c r="Q2929" s="4">
        <f>IFERROR(MATCH(2924,상세표[연속순번],0),"")</f>
        <v/>
      </c>
    </row>
    <row r="2930">
      <c r="A2930">
        <f>IF($Q2930="","",INDEX(상세표[부서],$Q2930)&amp;"")</f>
        <v/>
      </c>
      <c r="B2930">
        <f>IF($Q2930="","",INDEX(상세표[사번],$Q2930)&amp;"")</f>
        <v/>
      </c>
      <c r="C2930">
        <f>IF($Q2930="","",INDEX(상세표[성명],$Q2930)&amp;"")</f>
        <v/>
      </c>
      <c r="D2930">
        <f>IF($Q2930="","",INDEX(상세표[직위],$Q2930)&amp;"")</f>
        <v/>
      </c>
      <c r="E2930">
        <f>IF($Q2930="","",IF(ISNUMBER(INDEX(상세표[근무일자],$Q2930)),TEXT(INDEX(상세표[근무일자],$Q2930),"yyyy-mm-dd"),INDEX(상세표[근무일자],$Q2930)&amp;""))</f>
        <v/>
      </c>
      <c r="F2930">
        <f>IF($Q2930="","",IF(ISNUMBER(INDEX(상세표[시작],$Q2930)),TEXT(INDEX(상세표[시작],$Q2930),"yyyy-mm-dd hh:mm"),INDEX(상세표[시작],$Q2930)&amp;""))</f>
        <v/>
      </c>
      <c r="G2930">
        <f>IF($Q2930="","",IF(ISNUMBER(INDEX(상세표[블록종료],$Q2930)),TEXT(INDEX(상세표[블록종료],$Q2930),"yyyy-mm-dd hh:mm"),INDEX(상세표[블록종료],$Q2930)&amp;""))</f>
        <v/>
      </c>
      <c r="H2930">
        <f>IF($Q2930="","",CHOOSE(WEEKDAY(INDEX(상세표[시작],$Q2930)),"일","월","화","수","목","금","토"))</f>
        <v/>
      </c>
      <c r="I2930" s="20">
        <f>IF($Q2930="","",INDEX(상세표[연속 시간],$Q2930))</f>
        <v/>
      </c>
      <c r="J2930">
        <f>IF($Q2930="","",INDEX(상세표[기록 수],$Q2930))</f>
        <v/>
      </c>
      <c r="K2930" s="20">
        <f>IF($Q2930="","",INDEX(상세표[블록 06~07시],$Q2930))</f>
        <v/>
      </c>
      <c r="L2930" s="20">
        <f>IF($Q2930="","",INDEX(상세표[블록 07~18시],$Q2930))</f>
        <v/>
      </c>
      <c r="M2930" s="20">
        <f>IF($Q2930="","",INDEX(상세표[블록 18~22시],$Q2930))</f>
        <v/>
      </c>
      <c r="N2930" s="20">
        <f>IF($Q2930="","",INDEX(상세표[블록 22~06시],$Q2930))</f>
        <v/>
      </c>
      <c r="O2930">
        <f>IF($Q2930="","",INDEX(상세표[주말·휴일 포함],$Q2930)&amp;"")</f>
        <v/>
      </c>
      <c r="P2930">
        <f>IF($Q2930="","",INDEX(상세표[월 넘김 포함],$Q2930)&amp;"")</f>
        <v/>
      </c>
      <c r="Q2930" s="4">
        <f>IFERROR(MATCH(2925,상세표[연속순번],0),"")</f>
        <v/>
      </c>
    </row>
    <row r="2931">
      <c r="A2931">
        <f>IF($Q2931="","",INDEX(상세표[부서],$Q2931)&amp;"")</f>
        <v/>
      </c>
      <c r="B2931">
        <f>IF($Q2931="","",INDEX(상세표[사번],$Q2931)&amp;"")</f>
        <v/>
      </c>
      <c r="C2931">
        <f>IF($Q2931="","",INDEX(상세표[성명],$Q2931)&amp;"")</f>
        <v/>
      </c>
      <c r="D2931">
        <f>IF($Q2931="","",INDEX(상세표[직위],$Q2931)&amp;"")</f>
        <v/>
      </c>
      <c r="E2931">
        <f>IF($Q2931="","",IF(ISNUMBER(INDEX(상세표[근무일자],$Q2931)),TEXT(INDEX(상세표[근무일자],$Q2931),"yyyy-mm-dd"),INDEX(상세표[근무일자],$Q2931)&amp;""))</f>
        <v/>
      </c>
      <c r="F2931">
        <f>IF($Q2931="","",IF(ISNUMBER(INDEX(상세표[시작],$Q2931)),TEXT(INDEX(상세표[시작],$Q2931),"yyyy-mm-dd hh:mm"),INDEX(상세표[시작],$Q2931)&amp;""))</f>
        <v/>
      </c>
      <c r="G2931">
        <f>IF($Q2931="","",IF(ISNUMBER(INDEX(상세표[블록종료],$Q2931)),TEXT(INDEX(상세표[블록종료],$Q2931),"yyyy-mm-dd hh:mm"),INDEX(상세표[블록종료],$Q2931)&amp;""))</f>
        <v/>
      </c>
      <c r="H2931">
        <f>IF($Q2931="","",CHOOSE(WEEKDAY(INDEX(상세표[시작],$Q2931)),"일","월","화","수","목","금","토"))</f>
        <v/>
      </c>
      <c r="I2931" s="20">
        <f>IF($Q2931="","",INDEX(상세표[연속 시간],$Q2931))</f>
        <v/>
      </c>
      <c r="J2931">
        <f>IF($Q2931="","",INDEX(상세표[기록 수],$Q2931))</f>
        <v/>
      </c>
      <c r="K2931" s="20">
        <f>IF($Q2931="","",INDEX(상세표[블록 06~07시],$Q2931))</f>
        <v/>
      </c>
      <c r="L2931" s="20">
        <f>IF($Q2931="","",INDEX(상세표[블록 07~18시],$Q2931))</f>
        <v/>
      </c>
      <c r="M2931" s="20">
        <f>IF($Q2931="","",INDEX(상세표[블록 18~22시],$Q2931))</f>
        <v/>
      </c>
      <c r="N2931" s="20">
        <f>IF($Q2931="","",INDEX(상세표[블록 22~06시],$Q2931))</f>
        <v/>
      </c>
      <c r="O2931">
        <f>IF($Q2931="","",INDEX(상세표[주말·휴일 포함],$Q2931)&amp;"")</f>
        <v/>
      </c>
      <c r="P2931">
        <f>IF($Q2931="","",INDEX(상세표[월 넘김 포함],$Q2931)&amp;"")</f>
        <v/>
      </c>
      <c r="Q2931" s="4">
        <f>IFERROR(MATCH(2926,상세표[연속순번],0),"")</f>
        <v/>
      </c>
    </row>
    <row r="2932">
      <c r="A2932">
        <f>IF($Q2932="","",INDEX(상세표[부서],$Q2932)&amp;"")</f>
        <v/>
      </c>
      <c r="B2932">
        <f>IF($Q2932="","",INDEX(상세표[사번],$Q2932)&amp;"")</f>
        <v/>
      </c>
      <c r="C2932">
        <f>IF($Q2932="","",INDEX(상세표[성명],$Q2932)&amp;"")</f>
        <v/>
      </c>
      <c r="D2932">
        <f>IF($Q2932="","",INDEX(상세표[직위],$Q2932)&amp;"")</f>
        <v/>
      </c>
      <c r="E2932">
        <f>IF($Q2932="","",IF(ISNUMBER(INDEX(상세표[근무일자],$Q2932)),TEXT(INDEX(상세표[근무일자],$Q2932),"yyyy-mm-dd"),INDEX(상세표[근무일자],$Q2932)&amp;""))</f>
        <v/>
      </c>
      <c r="F2932">
        <f>IF($Q2932="","",IF(ISNUMBER(INDEX(상세표[시작],$Q2932)),TEXT(INDEX(상세표[시작],$Q2932),"yyyy-mm-dd hh:mm"),INDEX(상세표[시작],$Q2932)&amp;""))</f>
        <v/>
      </c>
      <c r="G2932">
        <f>IF($Q2932="","",IF(ISNUMBER(INDEX(상세표[블록종료],$Q2932)),TEXT(INDEX(상세표[블록종료],$Q2932),"yyyy-mm-dd hh:mm"),INDEX(상세표[블록종료],$Q2932)&amp;""))</f>
        <v/>
      </c>
      <c r="H2932">
        <f>IF($Q2932="","",CHOOSE(WEEKDAY(INDEX(상세표[시작],$Q2932)),"일","월","화","수","목","금","토"))</f>
        <v/>
      </c>
      <c r="I2932" s="20">
        <f>IF($Q2932="","",INDEX(상세표[연속 시간],$Q2932))</f>
        <v/>
      </c>
      <c r="J2932">
        <f>IF($Q2932="","",INDEX(상세표[기록 수],$Q2932))</f>
        <v/>
      </c>
      <c r="K2932" s="20">
        <f>IF($Q2932="","",INDEX(상세표[블록 06~07시],$Q2932))</f>
        <v/>
      </c>
      <c r="L2932" s="20">
        <f>IF($Q2932="","",INDEX(상세표[블록 07~18시],$Q2932))</f>
        <v/>
      </c>
      <c r="M2932" s="20">
        <f>IF($Q2932="","",INDEX(상세표[블록 18~22시],$Q2932))</f>
        <v/>
      </c>
      <c r="N2932" s="20">
        <f>IF($Q2932="","",INDEX(상세표[블록 22~06시],$Q2932))</f>
        <v/>
      </c>
      <c r="O2932">
        <f>IF($Q2932="","",INDEX(상세표[주말·휴일 포함],$Q2932)&amp;"")</f>
        <v/>
      </c>
      <c r="P2932">
        <f>IF($Q2932="","",INDEX(상세표[월 넘김 포함],$Q2932)&amp;"")</f>
        <v/>
      </c>
      <c r="Q2932" s="4">
        <f>IFERROR(MATCH(2927,상세표[연속순번],0),"")</f>
        <v/>
      </c>
    </row>
    <row r="2933">
      <c r="A2933">
        <f>IF($Q2933="","",INDEX(상세표[부서],$Q2933)&amp;"")</f>
        <v/>
      </c>
      <c r="B2933">
        <f>IF($Q2933="","",INDEX(상세표[사번],$Q2933)&amp;"")</f>
        <v/>
      </c>
      <c r="C2933">
        <f>IF($Q2933="","",INDEX(상세표[성명],$Q2933)&amp;"")</f>
        <v/>
      </c>
      <c r="D2933">
        <f>IF($Q2933="","",INDEX(상세표[직위],$Q2933)&amp;"")</f>
        <v/>
      </c>
      <c r="E2933">
        <f>IF($Q2933="","",IF(ISNUMBER(INDEX(상세표[근무일자],$Q2933)),TEXT(INDEX(상세표[근무일자],$Q2933),"yyyy-mm-dd"),INDEX(상세표[근무일자],$Q2933)&amp;""))</f>
        <v/>
      </c>
      <c r="F2933">
        <f>IF($Q2933="","",IF(ISNUMBER(INDEX(상세표[시작],$Q2933)),TEXT(INDEX(상세표[시작],$Q2933),"yyyy-mm-dd hh:mm"),INDEX(상세표[시작],$Q2933)&amp;""))</f>
        <v/>
      </c>
      <c r="G2933">
        <f>IF($Q2933="","",IF(ISNUMBER(INDEX(상세표[블록종료],$Q2933)),TEXT(INDEX(상세표[블록종료],$Q2933),"yyyy-mm-dd hh:mm"),INDEX(상세표[블록종료],$Q2933)&amp;""))</f>
        <v/>
      </c>
      <c r="H2933">
        <f>IF($Q2933="","",CHOOSE(WEEKDAY(INDEX(상세표[시작],$Q2933)),"일","월","화","수","목","금","토"))</f>
        <v/>
      </c>
      <c r="I2933" s="20">
        <f>IF($Q2933="","",INDEX(상세표[연속 시간],$Q2933))</f>
        <v/>
      </c>
      <c r="J2933">
        <f>IF($Q2933="","",INDEX(상세표[기록 수],$Q2933))</f>
        <v/>
      </c>
      <c r="K2933" s="20">
        <f>IF($Q2933="","",INDEX(상세표[블록 06~07시],$Q2933))</f>
        <v/>
      </c>
      <c r="L2933" s="20">
        <f>IF($Q2933="","",INDEX(상세표[블록 07~18시],$Q2933))</f>
        <v/>
      </c>
      <c r="M2933" s="20">
        <f>IF($Q2933="","",INDEX(상세표[블록 18~22시],$Q2933))</f>
        <v/>
      </c>
      <c r="N2933" s="20">
        <f>IF($Q2933="","",INDEX(상세표[블록 22~06시],$Q2933))</f>
        <v/>
      </c>
      <c r="O2933">
        <f>IF($Q2933="","",INDEX(상세표[주말·휴일 포함],$Q2933)&amp;"")</f>
        <v/>
      </c>
      <c r="P2933">
        <f>IF($Q2933="","",INDEX(상세표[월 넘김 포함],$Q2933)&amp;"")</f>
        <v/>
      </c>
      <c r="Q2933" s="4">
        <f>IFERROR(MATCH(2928,상세표[연속순번],0),"")</f>
        <v/>
      </c>
    </row>
    <row r="2934">
      <c r="A2934">
        <f>IF($Q2934="","",INDEX(상세표[부서],$Q2934)&amp;"")</f>
        <v/>
      </c>
      <c r="B2934">
        <f>IF($Q2934="","",INDEX(상세표[사번],$Q2934)&amp;"")</f>
        <v/>
      </c>
      <c r="C2934">
        <f>IF($Q2934="","",INDEX(상세표[성명],$Q2934)&amp;"")</f>
        <v/>
      </c>
      <c r="D2934">
        <f>IF($Q2934="","",INDEX(상세표[직위],$Q2934)&amp;"")</f>
        <v/>
      </c>
      <c r="E2934">
        <f>IF($Q2934="","",IF(ISNUMBER(INDEX(상세표[근무일자],$Q2934)),TEXT(INDEX(상세표[근무일자],$Q2934),"yyyy-mm-dd"),INDEX(상세표[근무일자],$Q2934)&amp;""))</f>
        <v/>
      </c>
      <c r="F2934">
        <f>IF($Q2934="","",IF(ISNUMBER(INDEX(상세표[시작],$Q2934)),TEXT(INDEX(상세표[시작],$Q2934),"yyyy-mm-dd hh:mm"),INDEX(상세표[시작],$Q2934)&amp;""))</f>
        <v/>
      </c>
      <c r="G2934">
        <f>IF($Q2934="","",IF(ISNUMBER(INDEX(상세표[블록종료],$Q2934)),TEXT(INDEX(상세표[블록종료],$Q2934),"yyyy-mm-dd hh:mm"),INDEX(상세표[블록종료],$Q2934)&amp;""))</f>
        <v/>
      </c>
      <c r="H2934">
        <f>IF($Q2934="","",CHOOSE(WEEKDAY(INDEX(상세표[시작],$Q2934)),"일","월","화","수","목","금","토"))</f>
        <v/>
      </c>
      <c r="I2934" s="20">
        <f>IF($Q2934="","",INDEX(상세표[연속 시간],$Q2934))</f>
        <v/>
      </c>
      <c r="J2934">
        <f>IF($Q2934="","",INDEX(상세표[기록 수],$Q2934))</f>
        <v/>
      </c>
      <c r="K2934" s="20">
        <f>IF($Q2934="","",INDEX(상세표[블록 06~07시],$Q2934))</f>
        <v/>
      </c>
      <c r="L2934" s="20">
        <f>IF($Q2934="","",INDEX(상세표[블록 07~18시],$Q2934))</f>
        <v/>
      </c>
      <c r="M2934" s="20">
        <f>IF($Q2934="","",INDEX(상세표[블록 18~22시],$Q2934))</f>
        <v/>
      </c>
      <c r="N2934" s="20">
        <f>IF($Q2934="","",INDEX(상세표[블록 22~06시],$Q2934))</f>
        <v/>
      </c>
      <c r="O2934">
        <f>IF($Q2934="","",INDEX(상세표[주말·휴일 포함],$Q2934)&amp;"")</f>
        <v/>
      </c>
      <c r="P2934">
        <f>IF($Q2934="","",INDEX(상세표[월 넘김 포함],$Q2934)&amp;"")</f>
        <v/>
      </c>
      <c r="Q2934" s="4">
        <f>IFERROR(MATCH(2929,상세표[연속순번],0),"")</f>
        <v/>
      </c>
    </row>
    <row r="2935">
      <c r="A2935">
        <f>IF($Q2935="","",INDEX(상세표[부서],$Q2935)&amp;"")</f>
        <v/>
      </c>
      <c r="B2935">
        <f>IF($Q2935="","",INDEX(상세표[사번],$Q2935)&amp;"")</f>
        <v/>
      </c>
      <c r="C2935">
        <f>IF($Q2935="","",INDEX(상세표[성명],$Q2935)&amp;"")</f>
        <v/>
      </c>
      <c r="D2935">
        <f>IF($Q2935="","",INDEX(상세표[직위],$Q2935)&amp;"")</f>
        <v/>
      </c>
      <c r="E2935">
        <f>IF($Q2935="","",IF(ISNUMBER(INDEX(상세표[근무일자],$Q2935)),TEXT(INDEX(상세표[근무일자],$Q2935),"yyyy-mm-dd"),INDEX(상세표[근무일자],$Q2935)&amp;""))</f>
        <v/>
      </c>
      <c r="F2935">
        <f>IF($Q2935="","",IF(ISNUMBER(INDEX(상세표[시작],$Q2935)),TEXT(INDEX(상세표[시작],$Q2935),"yyyy-mm-dd hh:mm"),INDEX(상세표[시작],$Q2935)&amp;""))</f>
        <v/>
      </c>
      <c r="G2935">
        <f>IF($Q2935="","",IF(ISNUMBER(INDEX(상세표[블록종료],$Q2935)),TEXT(INDEX(상세표[블록종료],$Q2935),"yyyy-mm-dd hh:mm"),INDEX(상세표[블록종료],$Q2935)&amp;""))</f>
        <v/>
      </c>
      <c r="H2935">
        <f>IF($Q2935="","",CHOOSE(WEEKDAY(INDEX(상세표[시작],$Q2935)),"일","월","화","수","목","금","토"))</f>
        <v/>
      </c>
      <c r="I2935" s="20">
        <f>IF($Q2935="","",INDEX(상세표[연속 시간],$Q2935))</f>
        <v/>
      </c>
      <c r="J2935">
        <f>IF($Q2935="","",INDEX(상세표[기록 수],$Q2935))</f>
        <v/>
      </c>
      <c r="K2935" s="20">
        <f>IF($Q2935="","",INDEX(상세표[블록 06~07시],$Q2935))</f>
        <v/>
      </c>
      <c r="L2935" s="20">
        <f>IF($Q2935="","",INDEX(상세표[블록 07~18시],$Q2935))</f>
        <v/>
      </c>
      <c r="M2935" s="20">
        <f>IF($Q2935="","",INDEX(상세표[블록 18~22시],$Q2935))</f>
        <v/>
      </c>
      <c r="N2935" s="20">
        <f>IF($Q2935="","",INDEX(상세표[블록 22~06시],$Q2935))</f>
        <v/>
      </c>
      <c r="O2935">
        <f>IF($Q2935="","",INDEX(상세표[주말·휴일 포함],$Q2935)&amp;"")</f>
        <v/>
      </c>
      <c r="P2935">
        <f>IF($Q2935="","",INDEX(상세표[월 넘김 포함],$Q2935)&amp;"")</f>
        <v/>
      </c>
      <c r="Q2935" s="4">
        <f>IFERROR(MATCH(2930,상세표[연속순번],0),"")</f>
        <v/>
      </c>
    </row>
    <row r="2936">
      <c r="A2936">
        <f>IF($Q2936="","",INDEX(상세표[부서],$Q2936)&amp;"")</f>
        <v/>
      </c>
      <c r="B2936">
        <f>IF($Q2936="","",INDEX(상세표[사번],$Q2936)&amp;"")</f>
        <v/>
      </c>
      <c r="C2936">
        <f>IF($Q2936="","",INDEX(상세표[성명],$Q2936)&amp;"")</f>
        <v/>
      </c>
      <c r="D2936">
        <f>IF($Q2936="","",INDEX(상세표[직위],$Q2936)&amp;"")</f>
        <v/>
      </c>
      <c r="E2936">
        <f>IF($Q2936="","",IF(ISNUMBER(INDEX(상세표[근무일자],$Q2936)),TEXT(INDEX(상세표[근무일자],$Q2936),"yyyy-mm-dd"),INDEX(상세표[근무일자],$Q2936)&amp;""))</f>
        <v/>
      </c>
      <c r="F2936">
        <f>IF($Q2936="","",IF(ISNUMBER(INDEX(상세표[시작],$Q2936)),TEXT(INDEX(상세표[시작],$Q2936),"yyyy-mm-dd hh:mm"),INDEX(상세표[시작],$Q2936)&amp;""))</f>
        <v/>
      </c>
      <c r="G2936">
        <f>IF($Q2936="","",IF(ISNUMBER(INDEX(상세표[블록종료],$Q2936)),TEXT(INDEX(상세표[블록종료],$Q2936),"yyyy-mm-dd hh:mm"),INDEX(상세표[블록종료],$Q2936)&amp;""))</f>
        <v/>
      </c>
      <c r="H2936">
        <f>IF($Q2936="","",CHOOSE(WEEKDAY(INDEX(상세표[시작],$Q2936)),"일","월","화","수","목","금","토"))</f>
        <v/>
      </c>
      <c r="I2936" s="20">
        <f>IF($Q2936="","",INDEX(상세표[연속 시간],$Q2936))</f>
        <v/>
      </c>
      <c r="J2936">
        <f>IF($Q2936="","",INDEX(상세표[기록 수],$Q2936))</f>
        <v/>
      </c>
      <c r="K2936" s="20">
        <f>IF($Q2936="","",INDEX(상세표[블록 06~07시],$Q2936))</f>
        <v/>
      </c>
      <c r="L2936" s="20">
        <f>IF($Q2936="","",INDEX(상세표[블록 07~18시],$Q2936))</f>
        <v/>
      </c>
      <c r="M2936" s="20">
        <f>IF($Q2936="","",INDEX(상세표[블록 18~22시],$Q2936))</f>
        <v/>
      </c>
      <c r="N2936" s="20">
        <f>IF($Q2936="","",INDEX(상세표[블록 22~06시],$Q2936))</f>
        <v/>
      </c>
      <c r="O2936">
        <f>IF($Q2936="","",INDEX(상세표[주말·휴일 포함],$Q2936)&amp;"")</f>
        <v/>
      </c>
      <c r="P2936">
        <f>IF($Q2936="","",INDEX(상세표[월 넘김 포함],$Q2936)&amp;"")</f>
        <v/>
      </c>
      <c r="Q2936" s="4">
        <f>IFERROR(MATCH(2931,상세표[연속순번],0),"")</f>
        <v/>
      </c>
    </row>
    <row r="2937">
      <c r="A2937">
        <f>IF($Q2937="","",INDEX(상세표[부서],$Q2937)&amp;"")</f>
        <v/>
      </c>
      <c r="B2937">
        <f>IF($Q2937="","",INDEX(상세표[사번],$Q2937)&amp;"")</f>
        <v/>
      </c>
      <c r="C2937">
        <f>IF($Q2937="","",INDEX(상세표[성명],$Q2937)&amp;"")</f>
        <v/>
      </c>
      <c r="D2937">
        <f>IF($Q2937="","",INDEX(상세표[직위],$Q2937)&amp;"")</f>
        <v/>
      </c>
      <c r="E2937">
        <f>IF($Q2937="","",IF(ISNUMBER(INDEX(상세표[근무일자],$Q2937)),TEXT(INDEX(상세표[근무일자],$Q2937),"yyyy-mm-dd"),INDEX(상세표[근무일자],$Q2937)&amp;""))</f>
        <v/>
      </c>
      <c r="F2937">
        <f>IF($Q2937="","",IF(ISNUMBER(INDEX(상세표[시작],$Q2937)),TEXT(INDEX(상세표[시작],$Q2937),"yyyy-mm-dd hh:mm"),INDEX(상세표[시작],$Q2937)&amp;""))</f>
        <v/>
      </c>
      <c r="G2937">
        <f>IF($Q2937="","",IF(ISNUMBER(INDEX(상세표[블록종료],$Q2937)),TEXT(INDEX(상세표[블록종료],$Q2937),"yyyy-mm-dd hh:mm"),INDEX(상세표[블록종료],$Q2937)&amp;""))</f>
        <v/>
      </c>
      <c r="H2937">
        <f>IF($Q2937="","",CHOOSE(WEEKDAY(INDEX(상세표[시작],$Q2937)),"일","월","화","수","목","금","토"))</f>
        <v/>
      </c>
      <c r="I2937" s="20">
        <f>IF($Q2937="","",INDEX(상세표[연속 시간],$Q2937))</f>
        <v/>
      </c>
      <c r="J2937">
        <f>IF($Q2937="","",INDEX(상세표[기록 수],$Q2937))</f>
        <v/>
      </c>
      <c r="K2937" s="20">
        <f>IF($Q2937="","",INDEX(상세표[블록 06~07시],$Q2937))</f>
        <v/>
      </c>
      <c r="L2937" s="20">
        <f>IF($Q2937="","",INDEX(상세표[블록 07~18시],$Q2937))</f>
        <v/>
      </c>
      <c r="M2937" s="20">
        <f>IF($Q2937="","",INDEX(상세표[블록 18~22시],$Q2937))</f>
        <v/>
      </c>
      <c r="N2937" s="20">
        <f>IF($Q2937="","",INDEX(상세표[블록 22~06시],$Q2937))</f>
        <v/>
      </c>
      <c r="O2937">
        <f>IF($Q2937="","",INDEX(상세표[주말·휴일 포함],$Q2937)&amp;"")</f>
        <v/>
      </c>
      <c r="P2937">
        <f>IF($Q2937="","",INDEX(상세표[월 넘김 포함],$Q2937)&amp;"")</f>
        <v/>
      </c>
      <c r="Q2937" s="4">
        <f>IFERROR(MATCH(2932,상세표[연속순번],0),"")</f>
        <v/>
      </c>
    </row>
    <row r="2938">
      <c r="A2938">
        <f>IF($Q2938="","",INDEX(상세표[부서],$Q2938)&amp;"")</f>
        <v/>
      </c>
      <c r="B2938">
        <f>IF($Q2938="","",INDEX(상세표[사번],$Q2938)&amp;"")</f>
        <v/>
      </c>
      <c r="C2938">
        <f>IF($Q2938="","",INDEX(상세표[성명],$Q2938)&amp;"")</f>
        <v/>
      </c>
      <c r="D2938">
        <f>IF($Q2938="","",INDEX(상세표[직위],$Q2938)&amp;"")</f>
        <v/>
      </c>
      <c r="E2938">
        <f>IF($Q2938="","",IF(ISNUMBER(INDEX(상세표[근무일자],$Q2938)),TEXT(INDEX(상세표[근무일자],$Q2938),"yyyy-mm-dd"),INDEX(상세표[근무일자],$Q2938)&amp;""))</f>
        <v/>
      </c>
      <c r="F2938">
        <f>IF($Q2938="","",IF(ISNUMBER(INDEX(상세표[시작],$Q2938)),TEXT(INDEX(상세표[시작],$Q2938),"yyyy-mm-dd hh:mm"),INDEX(상세표[시작],$Q2938)&amp;""))</f>
        <v/>
      </c>
      <c r="G2938">
        <f>IF($Q2938="","",IF(ISNUMBER(INDEX(상세표[블록종료],$Q2938)),TEXT(INDEX(상세표[블록종료],$Q2938),"yyyy-mm-dd hh:mm"),INDEX(상세표[블록종료],$Q2938)&amp;""))</f>
        <v/>
      </c>
      <c r="H2938">
        <f>IF($Q2938="","",CHOOSE(WEEKDAY(INDEX(상세표[시작],$Q2938)),"일","월","화","수","목","금","토"))</f>
        <v/>
      </c>
      <c r="I2938" s="20">
        <f>IF($Q2938="","",INDEX(상세표[연속 시간],$Q2938))</f>
        <v/>
      </c>
      <c r="J2938">
        <f>IF($Q2938="","",INDEX(상세표[기록 수],$Q2938))</f>
        <v/>
      </c>
      <c r="K2938" s="20">
        <f>IF($Q2938="","",INDEX(상세표[블록 06~07시],$Q2938))</f>
        <v/>
      </c>
      <c r="L2938" s="20">
        <f>IF($Q2938="","",INDEX(상세표[블록 07~18시],$Q2938))</f>
        <v/>
      </c>
      <c r="M2938" s="20">
        <f>IF($Q2938="","",INDEX(상세표[블록 18~22시],$Q2938))</f>
        <v/>
      </c>
      <c r="N2938" s="20">
        <f>IF($Q2938="","",INDEX(상세표[블록 22~06시],$Q2938))</f>
        <v/>
      </c>
      <c r="O2938">
        <f>IF($Q2938="","",INDEX(상세표[주말·휴일 포함],$Q2938)&amp;"")</f>
        <v/>
      </c>
      <c r="P2938">
        <f>IF($Q2938="","",INDEX(상세표[월 넘김 포함],$Q2938)&amp;"")</f>
        <v/>
      </c>
      <c r="Q2938" s="4">
        <f>IFERROR(MATCH(2933,상세표[연속순번],0),"")</f>
        <v/>
      </c>
    </row>
    <row r="2939">
      <c r="A2939">
        <f>IF($Q2939="","",INDEX(상세표[부서],$Q2939)&amp;"")</f>
        <v/>
      </c>
      <c r="B2939">
        <f>IF($Q2939="","",INDEX(상세표[사번],$Q2939)&amp;"")</f>
        <v/>
      </c>
      <c r="C2939">
        <f>IF($Q2939="","",INDEX(상세표[성명],$Q2939)&amp;"")</f>
        <v/>
      </c>
      <c r="D2939">
        <f>IF($Q2939="","",INDEX(상세표[직위],$Q2939)&amp;"")</f>
        <v/>
      </c>
      <c r="E2939">
        <f>IF($Q2939="","",IF(ISNUMBER(INDEX(상세표[근무일자],$Q2939)),TEXT(INDEX(상세표[근무일자],$Q2939),"yyyy-mm-dd"),INDEX(상세표[근무일자],$Q2939)&amp;""))</f>
        <v/>
      </c>
      <c r="F2939">
        <f>IF($Q2939="","",IF(ISNUMBER(INDEX(상세표[시작],$Q2939)),TEXT(INDEX(상세표[시작],$Q2939),"yyyy-mm-dd hh:mm"),INDEX(상세표[시작],$Q2939)&amp;""))</f>
        <v/>
      </c>
      <c r="G2939">
        <f>IF($Q2939="","",IF(ISNUMBER(INDEX(상세표[블록종료],$Q2939)),TEXT(INDEX(상세표[블록종료],$Q2939),"yyyy-mm-dd hh:mm"),INDEX(상세표[블록종료],$Q2939)&amp;""))</f>
        <v/>
      </c>
      <c r="H2939">
        <f>IF($Q2939="","",CHOOSE(WEEKDAY(INDEX(상세표[시작],$Q2939)),"일","월","화","수","목","금","토"))</f>
        <v/>
      </c>
      <c r="I2939" s="20">
        <f>IF($Q2939="","",INDEX(상세표[연속 시간],$Q2939))</f>
        <v/>
      </c>
      <c r="J2939">
        <f>IF($Q2939="","",INDEX(상세표[기록 수],$Q2939))</f>
        <v/>
      </c>
      <c r="K2939" s="20">
        <f>IF($Q2939="","",INDEX(상세표[블록 06~07시],$Q2939))</f>
        <v/>
      </c>
      <c r="L2939" s="20">
        <f>IF($Q2939="","",INDEX(상세표[블록 07~18시],$Q2939))</f>
        <v/>
      </c>
      <c r="M2939" s="20">
        <f>IF($Q2939="","",INDEX(상세표[블록 18~22시],$Q2939))</f>
        <v/>
      </c>
      <c r="N2939" s="20">
        <f>IF($Q2939="","",INDEX(상세표[블록 22~06시],$Q2939))</f>
        <v/>
      </c>
      <c r="O2939">
        <f>IF($Q2939="","",INDEX(상세표[주말·휴일 포함],$Q2939)&amp;"")</f>
        <v/>
      </c>
      <c r="P2939">
        <f>IF($Q2939="","",INDEX(상세표[월 넘김 포함],$Q2939)&amp;"")</f>
        <v/>
      </c>
      <c r="Q2939" s="4">
        <f>IFERROR(MATCH(2934,상세표[연속순번],0),"")</f>
        <v/>
      </c>
    </row>
    <row r="2940">
      <c r="A2940">
        <f>IF($Q2940="","",INDEX(상세표[부서],$Q2940)&amp;"")</f>
        <v/>
      </c>
      <c r="B2940">
        <f>IF($Q2940="","",INDEX(상세표[사번],$Q2940)&amp;"")</f>
        <v/>
      </c>
      <c r="C2940">
        <f>IF($Q2940="","",INDEX(상세표[성명],$Q2940)&amp;"")</f>
        <v/>
      </c>
      <c r="D2940">
        <f>IF($Q2940="","",INDEX(상세표[직위],$Q2940)&amp;"")</f>
        <v/>
      </c>
      <c r="E2940">
        <f>IF($Q2940="","",IF(ISNUMBER(INDEX(상세표[근무일자],$Q2940)),TEXT(INDEX(상세표[근무일자],$Q2940),"yyyy-mm-dd"),INDEX(상세표[근무일자],$Q2940)&amp;""))</f>
        <v/>
      </c>
      <c r="F2940">
        <f>IF($Q2940="","",IF(ISNUMBER(INDEX(상세표[시작],$Q2940)),TEXT(INDEX(상세표[시작],$Q2940),"yyyy-mm-dd hh:mm"),INDEX(상세표[시작],$Q2940)&amp;""))</f>
        <v/>
      </c>
      <c r="G2940">
        <f>IF($Q2940="","",IF(ISNUMBER(INDEX(상세표[블록종료],$Q2940)),TEXT(INDEX(상세표[블록종료],$Q2940),"yyyy-mm-dd hh:mm"),INDEX(상세표[블록종료],$Q2940)&amp;""))</f>
        <v/>
      </c>
      <c r="H2940">
        <f>IF($Q2940="","",CHOOSE(WEEKDAY(INDEX(상세표[시작],$Q2940)),"일","월","화","수","목","금","토"))</f>
        <v/>
      </c>
      <c r="I2940" s="20">
        <f>IF($Q2940="","",INDEX(상세표[연속 시간],$Q2940))</f>
        <v/>
      </c>
      <c r="J2940">
        <f>IF($Q2940="","",INDEX(상세표[기록 수],$Q2940))</f>
        <v/>
      </c>
      <c r="K2940" s="20">
        <f>IF($Q2940="","",INDEX(상세표[블록 06~07시],$Q2940))</f>
        <v/>
      </c>
      <c r="L2940" s="20">
        <f>IF($Q2940="","",INDEX(상세표[블록 07~18시],$Q2940))</f>
        <v/>
      </c>
      <c r="M2940" s="20">
        <f>IF($Q2940="","",INDEX(상세표[블록 18~22시],$Q2940))</f>
        <v/>
      </c>
      <c r="N2940" s="20">
        <f>IF($Q2940="","",INDEX(상세표[블록 22~06시],$Q2940))</f>
        <v/>
      </c>
      <c r="O2940">
        <f>IF($Q2940="","",INDEX(상세표[주말·휴일 포함],$Q2940)&amp;"")</f>
        <v/>
      </c>
      <c r="P2940">
        <f>IF($Q2940="","",INDEX(상세표[월 넘김 포함],$Q2940)&amp;"")</f>
        <v/>
      </c>
      <c r="Q2940" s="4">
        <f>IFERROR(MATCH(2935,상세표[연속순번],0),"")</f>
        <v/>
      </c>
    </row>
    <row r="2941">
      <c r="A2941">
        <f>IF($Q2941="","",INDEX(상세표[부서],$Q2941)&amp;"")</f>
        <v/>
      </c>
      <c r="B2941">
        <f>IF($Q2941="","",INDEX(상세표[사번],$Q2941)&amp;"")</f>
        <v/>
      </c>
      <c r="C2941">
        <f>IF($Q2941="","",INDEX(상세표[성명],$Q2941)&amp;"")</f>
        <v/>
      </c>
      <c r="D2941">
        <f>IF($Q2941="","",INDEX(상세표[직위],$Q2941)&amp;"")</f>
        <v/>
      </c>
      <c r="E2941">
        <f>IF($Q2941="","",IF(ISNUMBER(INDEX(상세표[근무일자],$Q2941)),TEXT(INDEX(상세표[근무일자],$Q2941),"yyyy-mm-dd"),INDEX(상세표[근무일자],$Q2941)&amp;""))</f>
        <v/>
      </c>
      <c r="F2941">
        <f>IF($Q2941="","",IF(ISNUMBER(INDEX(상세표[시작],$Q2941)),TEXT(INDEX(상세표[시작],$Q2941),"yyyy-mm-dd hh:mm"),INDEX(상세표[시작],$Q2941)&amp;""))</f>
        <v/>
      </c>
      <c r="G2941">
        <f>IF($Q2941="","",IF(ISNUMBER(INDEX(상세표[블록종료],$Q2941)),TEXT(INDEX(상세표[블록종료],$Q2941),"yyyy-mm-dd hh:mm"),INDEX(상세표[블록종료],$Q2941)&amp;""))</f>
        <v/>
      </c>
      <c r="H2941">
        <f>IF($Q2941="","",CHOOSE(WEEKDAY(INDEX(상세표[시작],$Q2941)),"일","월","화","수","목","금","토"))</f>
        <v/>
      </c>
      <c r="I2941" s="20">
        <f>IF($Q2941="","",INDEX(상세표[연속 시간],$Q2941))</f>
        <v/>
      </c>
      <c r="J2941">
        <f>IF($Q2941="","",INDEX(상세표[기록 수],$Q2941))</f>
        <v/>
      </c>
      <c r="K2941" s="20">
        <f>IF($Q2941="","",INDEX(상세표[블록 06~07시],$Q2941))</f>
        <v/>
      </c>
      <c r="L2941" s="20">
        <f>IF($Q2941="","",INDEX(상세표[블록 07~18시],$Q2941))</f>
        <v/>
      </c>
      <c r="M2941" s="20">
        <f>IF($Q2941="","",INDEX(상세표[블록 18~22시],$Q2941))</f>
        <v/>
      </c>
      <c r="N2941" s="20">
        <f>IF($Q2941="","",INDEX(상세표[블록 22~06시],$Q2941))</f>
        <v/>
      </c>
      <c r="O2941">
        <f>IF($Q2941="","",INDEX(상세표[주말·휴일 포함],$Q2941)&amp;"")</f>
        <v/>
      </c>
      <c r="P2941">
        <f>IF($Q2941="","",INDEX(상세표[월 넘김 포함],$Q2941)&amp;"")</f>
        <v/>
      </c>
      <c r="Q2941" s="4">
        <f>IFERROR(MATCH(2936,상세표[연속순번],0),"")</f>
        <v/>
      </c>
    </row>
    <row r="2942">
      <c r="A2942">
        <f>IF($Q2942="","",INDEX(상세표[부서],$Q2942)&amp;"")</f>
        <v/>
      </c>
      <c r="B2942">
        <f>IF($Q2942="","",INDEX(상세표[사번],$Q2942)&amp;"")</f>
        <v/>
      </c>
      <c r="C2942">
        <f>IF($Q2942="","",INDEX(상세표[성명],$Q2942)&amp;"")</f>
        <v/>
      </c>
      <c r="D2942">
        <f>IF($Q2942="","",INDEX(상세표[직위],$Q2942)&amp;"")</f>
        <v/>
      </c>
      <c r="E2942">
        <f>IF($Q2942="","",IF(ISNUMBER(INDEX(상세표[근무일자],$Q2942)),TEXT(INDEX(상세표[근무일자],$Q2942),"yyyy-mm-dd"),INDEX(상세표[근무일자],$Q2942)&amp;""))</f>
        <v/>
      </c>
      <c r="F2942">
        <f>IF($Q2942="","",IF(ISNUMBER(INDEX(상세표[시작],$Q2942)),TEXT(INDEX(상세표[시작],$Q2942),"yyyy-mm-dd hh:mm"),INDEX(상세표[시작],$Q2942)&amp;""))</f>
        <v/>
      </c>
      <c r="G2942">
        <f>IF($Q2942="","",IF(ISNUMBER(INDEX(상세표[블록종료],$Q2942)),TEXT(INDEX(상세표[블록종료],$Q2942),"yyyy-mm-dd hh:mm"),INDEX(상세표[블록종료],$Q2942)&amp;""))</f>
        <v/>
      </c>
      <c r="H2942">
        <f>IF($Q2942="","",CHOOSE(WEEKDAY(INDEX(상세표[시작],$Q2942)),"일","월","화","수","목","금","토"))</f>
        <v/>
      </c>
      <c r="I2942" s="20">
        <f>IF($Q2942="","",INDEX(상세표[연속 시간],$Q2942))</f>
        <v/>
      </c>
      <c r="J2942">
        <f>IF($Q2942="","",INDEX(상세표[기록 수],$Q2942))</f>
        <v/>
      </c>
      <c r="K2942" s="20">
        <f>IF($Q2942="","",INDEX(상세표[블록 06~07시],$Q2942))</f>
        <v/>
      </c>
      <c r="L2942" s="20">
        <f>IF($Q2942="","",INDEX(상세표[블록 07~18시],$Q2942))</f>
        <v/>
      </c>
      <c r="M2942" s="20">
        <f>IF($Q2942="","",INDEX(상세표[블록 18~22시],$Q2942))</f>
        <v/>
      </c>
      <c r="N2942" s="20">
        <f>IF($Q2942="","",INDEX(상세표[블록 22~06시],$Q2942))</f>
        <v/>
      </c>
      <c r="O2942">
        <f>IF($Q2942="","",INDEX(상세표[주말·휴일 포함],$Q2942)&amp;"")</f>
        <v/>
      </c>
      <c r="P2942">
        <f>IF($Q2942="","",INDEX(상세표[월 넘김 포함],$Q2942)&amp;"")</f>
        <v/>
      </c>
      <c r="Q2942" s="4">
        <f>IFERROR(MATCH(2937,상세표[연속순번],0),"")</f>
        <v/>
      </c>
    </row>
    <row r="2943">
      <c r="A2943">
        <f>IF($Q2943="","",INDEX(상세표[부서],$Q2943)&amp;"")</f>
        <v/>
      </c>
      <c r="B2943">
        <f>IF($Q2943="","",INDEX(상세표[사번],$Q2943)&amp;"")</f>
        <v/>
      </c>
      <c r="C2943">
        <f>IF($Q2943="","",INDEX(상세표[성명],$Q2943)&amp;"")</f>
        <v/>
      </c>
      <c r="D2943">
        <f>IF($Q2943="","",INDEX(상세표[직위],$Q2943)&amp;"")</f>
        <v/>
      </c>
      <c r="E2943">
        <f>IF($Q2943="","",IF(ISNUMBER(INDEX(상세표[근무일자],$Q2943)),TEXT(INDEX(상세표[근무일자],$Q2943),"yyyy-mm-dd"),INDEX(상세표[근무일자],$Q2943)&amp;""))</f>
        <v/>
      </c>
      <c r="F2943">
        <f>IF($Q2943="","",IF(ISNUMBER(INDEX(상세표[시작],$Q2943)),TEXT(INDEX(상세표[시작],$Q2943),"yyyy-mm-dd hh:mm"),INDEX(상세표[시작],$Q2943)&amp;""))</f>
        <v/>
      </c>
      <c r="G2943">
        <f>IF($Q2943="","",IF(ISNUMBER(INDEX(상세표[블록종료],$Q2943)),TEXT(INDEX(상세표[블록종료],$Q2943),"yyyy-mm-dd hh:mm"),INDEX(상세표[블록종료],$Q2943)&amp;""))</f>
        <v/>
      </c>
      <c r="H2943">
        <f>IF($Q2943="","",CHOOSE(WEEKDAY(INDEX(상세표[시작],$Q2943)),"일","월","화","수","목","금","토"))</f>
        <v/>
      </c>
      <c r="I2943" s="20">
        <f>IF($Q2943="","",INDEX(상세표[연속 시간],$Q2943))</f>
        <v/>
      </c>
      <c r="J2943">
        <f>IF($Q2943="","",INDEX(상세표[기록 수],$Q2943))</f>
        <v/>
      </c>
      <c r="K2943" s="20">
        <f>IF($Q2943="","",INDEX(상세표[블록 06~07시],$Q2943))</f>
        <v/>
      </c>
      <c r="L2943" s="20">
        <f>IF($Q2943="","",INDEX(상세표[블록 07~18시],$Q2943))</f>
        <v/>
      </c>
      <c r="M2943" s="20">
        <f>IF($Q2943="","",INDEX(상세표[블록 18~22시],$Q2943))</f>
        <v/>
      </c>
      <c r="N2943" s="20">
        <f>IF($Q2943="","",INDEX(상세표[블록 22~06시],$Q2943))</f>
        <v/>
      </c>
      <c r="O2943">
        <f>IF($Q2943="","",INDEX(상세표[주말·휴일 포함],$Q2943)&amp;"")</f>
        <v/>
      </c>
      <c r="P2943">
        <f>IF($Q2943="","",INDEX(상세표[월 넘김 포함],$Q2943)&amp;"")</f>
        <v/>
      </c>
      <c r="Q2943" s="4">
        <f>IFERROR(MATCH(2938,상세표[연속순번],0),"")</f>
        <v/>
      </c>
    </row>
    <row r="2944">
      <c r="A2944">
        <f>IF($Q2944="","",INDEX(상세표[부서],$Q2944)&amp;"")</f>
        <v/>
      </c>
      <c r="B2944">
        <f>IF($Q2944="","",INDEX(상세표[사번],$Q2944)&amp;"")</f>
        <v/>
      </c>
      <c r="C2944">
        <f>IF($Q2944="","",INDEX(상세표[성명],$Q2944)&amp;"")</f>
        <v/>
      </c>
      <c r="D2944">
        <f>IF($Q2944="","",INDEX(상세표[직위],$Q2944)&amp;"")</f>
        <v/>
      </c>
      <c r="E2944">
        <f>IF($Q2944="","",IF(ISNUMBER(INDEX(상세표[근무일자],$Q2944)),TEXT(INDEX(상세표[근무일자],$Q2944),"yyyy-mm-dd"),INDEX(상세표[근무일자],$Q2944)&amp;""))</f>
        <v/>
      </c>
      <c r="F2944">
        <f>IF($Q2944="","",IF(ISNUMBER(INDEX(상세표[시작],$Q2944)),TEXT(INDEX(상세표[시작],$Q2944),"yyyy-mm-dd hh:mm"),INDEX(상세표[시작],$Q2944)&amp;""))</f>
        <v/>
      </c>
      <c r="G2944">
        <f>IF($Q2944="","",IF(ISNUMBER(INDEX(상세표[블록종료],$Q2944)),TEXT(INDEX(상세표[블록종료],$Q2944),"yyyy-mm-dd hh:mm"),INDEX(상세표[블록종료],$Q2944)&amp;""))</f>
        <v/>
      </c>
      <c r="H2944">
        <f>IF($Q2944="","",CHOOSE(WEEKDAY(INDEX(상세표[시작],$Q2944)),"일","월","화","수","목","금","토"))</f>
        <v/>
      </c>
      <c r="I2944" s="20">
        <f>IF($Q2944="","",INDEX(상세표[연속 시간],$Q2944))</f>
        <v/>
      </c>
      <c r="J2944">
        <f>IF($Q2944="","",INDEX(상세표[기록 수],$Q2944))</f>
        <v/>
      </c>
      <c r="K2944" s="20">
        <f>IF($Q2944="","",INDEX(상세표[블록 06~07시],$Q2944))</f>
        <v/>
      </c>
      <c r="L2944" s="20">
        <f>IF($Q2944="","",INDEX(상세표[블록 07~18시],$Q2944))</f>
        <v/>
      </c>
      <c r="M2944" s="20">
        <f>IF($Q2944="","",INDEX(상세표[블록 18~22시],$Q2944))</f>
        <v/>
      </c>
      <c r="N2944" s="20">
        <f>IF($Q2944="","",INDEX(상세표[블록 22~06시],$Q2944))</f>
        <v/>
      </c>
      <c r="O2944">
        <f>IF($Q2944="","",INDEX(상세표[주말·휴일 포함],$Q2944)&amp;"")</f>
        <v/>
      </c>
      <c r="P2944">
        <f>IF($Q2944="","",INDEX(상세표[월 넘김 포함],$Q2944)&amp;"")</f>
        <v/>
      </c>
      <c r="Q2944" s="4">
        <f>IFERROR(MATCH(2939,상세표[연속순번],0),"")</f>
        <v/>
      </c>
    </row>
    <row r="2945">
      <c r="A2945">
        <f>IF($Q2945="","",INDEX(상세표[부서],$Q2945)&amp;"")</f>
        <v/>
      </c>
      <c r="B2945">
        <f>IF($Q2945="","",INDEX(상세표[사번],$Q2945)&amp;"")</f>
        <v/>
      </c>
      <c r="C2945">
        <f>IF($Q2945="","",INDEX(상세표[성명],$Q2945)&amp;"")</f>
        <v/>
      </c>
      <c r="D2945">
        <f>IF($Q2945="","",INDEX(상세표[직위],$Q2945)&amp;"")</f>
        <v/>
      </c>
      <c r="E2945">
        <f>IF($Q2945="","",IF(ISNUMBER(INDEX(상세표[근무일자],$Q2945)),TEXT(INDEX(상세표[근무일자],$Q2945),"yyyy-mm-dd"),INDEX(상세표[근무일자],$Q2945)&amp;""))</f>
        <v/>
      </c>
      <c r="F2945">
        <f>IF($Q2945="","",IF(ISNUMBER(INDEX(상세표[시작],$Q2945)),TEXT(INDEX(상세표[시작],$Q2945),"yyyy-mm-dd hh:mm"),INDEX(상세표[시작],$Q2945)&amp;""))</f>
        <v/>
      </c>
      <c r="G2945">
        <f>IF($Q2945="","",IF(ISNUMBER(INDEX(상세표[블록종료],$Q2945)),TEXT(INDEX(상세표[블록종료],$Q2945),"yyyy-mm-dd hh:mm"),INDEX(상세표[블록종료],$Q2945)&amp;""))</f>
        <v/>
      </c>
      <c r="H2945">
        <f>IF($Q2945="","",CHOOSE(WEEKDAY(INDEX(상세표[시작],$Q2945)),"일","월","화","수","목","금","토"))</f>
        <v/>
      </c>
      <c r="I2945" s="20">
        <f>IF($Q2945="","",INDEX(상세표[연속 시간],$Q2945))</f>
        <v/>
      </c>
      <c r="J2945">
        <f>IF($Q2945="","",INDEX(상세표[기록 수],$Q2945))</f>
        <v/>
      </c>
      <c r="K2945" s="20">
        <f>IF($Q2945="","",INDEX(상세표[블록 06~07시],$Q2945))</f>
        <v/>
      </c>
      <c r="L2945" s="20">
        <f>IF($Q2945="","",INDEX(상세표[블록 07~18시],$Q2945))</f>
        <v/>
      </c>
      <c r="M2945" s="20">
        <f>IF($Q2945="","",INDEX(상세표[블록 18~22시],$Q2945))</f>
        <v/>
      </c>
      <c r="N2945" s="20">
        <f>IF($Q2945="","",INDEX(상세표[블록 22~06시],$Q2945))</f>
        <v/>
      </c>
      <c r="O2945">
        <f>IF($Q2945="","",INDEX(상세표[주말·휴일 포함],$Q2945)&amp;"")</f>
        <v/>
      </c>
      <c r="P2945">
        <f>IF($Q2945="","",INDEX(상세표[월 넘김 포함],$Q2945)&amp;"")</f>
        <v/>
      </c>
      <c r="Q2945" s="4">
        <f>IFERROR(MATCH(2940,상세표[연속순번],0),"")</f>
        <v/>
      </c>
    </row>
    <row r="2946">
      <c r="A2946">
        <f>IF($Q2946="","",INDEX(상세표[부서],$Q2946)&amp;"")</f>
        <v/>
      </c>
      <c r="B2946">
        <f>IF($Q2946="","",INDEX(상세표[사번],$Q2946)&amp;"")</f>
        <v/>
      </c>
      <c r="C2946">
        <f>IF($Q2946="","",INDEX(상세표[성명],$Q2946)&amp;"")</f>
        <v/>
      </c>
      <c r="D2946">
        <f>IF($Q2946="","",INDEX(상세표[직위],$Q2946)&amp;"")</f>
        <v/>
      </c>
      <c r="E2946">
        <f>IF($Q2946="","",IF(ISNUMBER(INDEX(상세표[근무일자],$Q2946)),TEXT(INDEX(상세표[근무일자],$Q2946),"yyyy-mm-dd"),INDEX(상세표[근무일자],$Q2946)&amp;""))</f>
        <v/>
      </c>
      <c r="F2946">
        <f>IF($Q2946="","",IF(ISNUMBER(INDEX(상세표[시작],$Q2946)),TEXT(INDEX(상세표[시작],$Q2946),"yyyy-mm-dd hh:mm"),INDEX(상세표[시작],$Q2946)&amp;""))</f>
        <v/>
      </c>
      <c r="G2946">
        <f>IF($Q2946="","",IF(ISNUMBER(INDEX(상세표[블록종료],$Q2946)),TEXT(INDEX(상세표[블록종료],$Q2946),"yyyy-mm-dd hh:mm"),INDEX(상세표[블록종료],$Q2946)&amp;""))</f>
        <v/>
      </c>
      <c r="H2946">
        <f>IF($Q2946="","",CHOOSE(WEEKDAY(INDEX(상세표[시작],$Q2946)),"일","월","화","수","목","금","토"))</f>
        <v/>
      </c>
      <c r="I2946" s="20">
        <f>IF($Q2946="","",INDEX(상세표[연속 시간],$Q2946))</f>
        <v/>
      </c>
      <c r="J2946">
        <f>IF($Q2946="","",INDEX(상세표[기록 수],$Q2946))</f>
        <v/>
      </c>
      <c r="K2946" s="20">
        <f>IF($Q2946="","",INDEX(상세표[블록 06~07시],$Q2946))</f>
        <v/>
      </c>
      <c r="L2946" s="20">
        <f>IF($Q2946="","",INDEX(상세표[블록 07~18시],$Q2946))</f>
        <v/>
      </c>
      <c r="M2946" s="20">
        <f>IF($Q2946="","",INDEX(상세표[블록 18~22시],$Q2946))</f>
        <v/>
      </c>
      <c r="N2946" s="20">
        <f>IF($Q2946="","",INDEX(상세표[블록 22~06시],$Q2946))</f>
        <v/>
      </c>
      <c r="O2946">
        <f>IF($Q2946="","",INDEX(상세표[주말·휴일 포함],$Q2946)&amp;"")</f>
        <v/>
      </c>
      <c r="P2946">
        <f>IF($Q2946="","",INDEX(상세표[월 넘김 포함],$Q2946)&amp;"")</f>
        <v/>
      </c>
      <c r="Q2946" s="4">
        <f>IFERROR(MATCH(2941,상세표[연속순번],0),"")</f>
        <v/>
      </c>
    </row>
    <row r="2947">
      <c r="A2947">
        <f>IF($Q2947="","",INDEX(상세표[부서],$Q2947)&amp;"")</f>
        <v/>
      </c>
      <c r="B2947">
        <f>IF($Q2947="","",INDEX(상세표[사번],$Q2947)&amp;"")</f>
        <v/>
      </c>
      <c r="C2947">
        <f>IF($Q2947="","",INDEX(상세표[성명],$Q2947)&amp;"")</f>
        <v/>
      </c>
      <c r="D2947">
        <f>IF($Q2947="","",INDEX(상세표[직위],$Q2947)&amp;"")</f>
        <v/>
      </c>
      <c r="E2947">
        <f>IF($Q2947="","",IF(ISNUMBER(INDEX(상세표[근무일자],$Q2947)),TEXT(INDEX(상세표[근무일자],$Q2947),"yyyy-mm-dd"),INDEX(상세표[근무일자],$Q2947)&amp;""))</f>
        <v/>
      </c>
      <c r="F2947">
        <f>IF($Q2947="","",IF(ISNUMBER(INDEX(상세표[시작],$Q2947)),TEXT(INDEX(상세표[시작],$Q2947),"yyyy-mm-dd hh:mm"),INDEX(상세표[시작],$Q2947)&amp;""))</f>
        <v/>
      </c>
      <c r="G2947">
        <f>IF($Q2947="","",IF(ISNUMBER(INDEX(상세표[블록종료],$Q2947)),TEXT(INDEX(상세표[블록종료],$Q2947),"yyyy-mm-dd hh:mm"),INDEX(상세표[블록종료],$Q2947)&amp;""))</f>
        <v/>
      </c>
      <c r="H2947">
        <f>IF($Q2947="","",CHOOSE(WEEKDAY(INDEX(상세표[시작],$Q2947)),"일","월","화","수","목","금","토"))</f>
        <v/>
      </c>
      <c r="I2947" s="20">
        <f>IF($Q2947="","",INDEX(상세표[연속 시간],$Q2947))</f>
        <v/>
      </c>
      <c r="J2947">
        <f>IF($Q2947="","",INDEX(상세표[기록 수],$Q2947))</f>
        <v/>
      </c>
      <c r="K2947" s="20">
        <f>IF($Q2947="","",INDEX(상세표[블록 06~07시],$Q2947))</f>
        <v/>
      </c>
      <c r="L2947" s="20">
        <f>IF($Q2947="","",INDEX(상세표[블록 07~18시],$Q2947))</f>
        <v/>
      </c>
      <c r="M2947" s="20">
        <f>IF($Q2947="","",INDEX(상세표[블록 18~22시],$Q2947))</f>
        <v/>
      </c>
      <c r="N2947" s="20">
        <f>IF($Q2947="","",INDEX(상세표[블록 22~06시],$Q2947))</f>
        <v/>
      </c>
      <c r="O2947">
        <f>IF($Q2947="","",INDEX(상세표[주말·휴일 포함],$Q2947)&amp;"")</f>
        <v/>
      </c>
      <c r="P2947">
        <f>IF($Q2947="","",INDEX(상세표[월 넘김 포함],$Q2947)&amp;"")</f>
        <v/>
      </c>
      <c r="Q2947" s="4">
        <f>IFERROR(MATCH(2942,상세표[연속순번],0),"")</f>
        <v/>
      </c>
    </row>
    <row r="2948">
      <c r="A2948">
        <f>IF($Q2948="","",INDEX(상세표[부서],$Q2948)&amp;"")</f>
        <v/>
      </c>
      <c r="B2948">
        <f>IF($Q2948="","",INDEX(상세표[사번],$Q2948)&amp;"")</f>
        <v/>
      </c>
      <c r="C2948">
        <f>IF($Q2948="","",INDEX(상세표[성명],$Q2948)&amp;"")</f>
        <v/>
      </c>
      <c r="D2948">
        <f>IF($Q2948="","",INDEX(상세표[직위],$Q2948)&amp;"")</f>
        <v/>
      </c>
      <c r="E2948">
        <f>IF($Q2948="","",IF(ISNUMBER(INDEX(상세표[근무일자],$Q2948)),TEXT(INDEX(상세표[근무일자],$Q2948),"yyyy-mm-dd"),INDEX(상세표[근무일자],$Q2948)&amp;""))</f>
        <v/>
      </c>
      <c r="F2948">
        <f>IF($Q2948="","",IF(ISNUMBER(INDEX(상세표[시작],$Q2948)),TEXT(INDEX(상세표[시작],$Q2948),"yyyy-mm-dd hh:mm"),INDEX(상세표[시작],$Q2948)&amp;""))</f>
        <v/>
      </c>
      <c r="G2948">
        <f>IF($Q2948="","",IF(ISNUMBER(INDEX(상세표[블록종료],$Q2948)),TEXT(INDEX(상세표[블록종료],$Q2948),"yyyy-mm-dd hh:mm"),INDEX(상세표[블록종료],$Q2948)&amp;""))</f>
        <v/>
      </c>
      <c r="H2948">
        <f>IF($Q2948="","",CHOOSE(WEEKDAY(INDEX(상세표[시작],$Q2948)),"일","월","화","수","목","금","토"))</f>
        <v/>
      </c>
      <c r="I2948" s="20">
        <f>IF($Q2948="","",INDEX(상세표[연속 시간],$Q2948))</f>
        <v/>
      </c>
      <c r="J2948">
        <f>IF($Q2948="","",INDEX(상세표[기록 수],$Q2948))</f>
        <v/>
      </c>
      <c r="K2948" s="20">
        <f>IF($Q2948="","",INDEX(상세표[블록 06~07시],$Q2948))</f>
        <v/>
      </c>
      <c r="L2948" s="20">
        <f>IF($Q2948="","",INDEX(상세표[블록 07~18시],$Q2948))</f>
        <v/>
      </c>
      <c r="M2948" s="20">
        <f>IF($Q2948="","",INDEX(상세표[블록 18~22시],$Q2948))</f>
        <v/>
      </c>
      <c r="N2948" s="20">
        <f>IF($Q2948="","",INDEX(상세표[블록 22~06시],$Q2948))</f>
        <v/>
      </c>
      <c r="O2948">
        <f>IF($Q2948="","",INDEX(상세표[주말·휴일 포함],$Q2948)&amp;"")</f>
        <v/>
      </c>
      <c r="P2948">
        <f>IF($Q2948="","",INDEX(상세표[월 넘김 포함],$Q2948)&amp;"")</f>
        <v/>
      </c>
      <c r="Q2948" s="4">
        <f>IFERROR(MATCH(2943,상세표[연속순번],0),"")</f>
        <v/>
      </c>
    </row>
    <row r="2949">
      <c r="A2949">
        <f>IF($Q2949="","",INDEX(상세표[부서],$Q2949)&amp;"")</f>
        <v/>
      </c>
      <c r="B2949">
        <f>IF($Q2949="","",INDEX(상세표[사번],$Q2949)&amp;"")</f>
        <v/>
      </c>
      <c r="C2949">
        <f>IF($Q2949="","",INDEX(상세표[성명],$Q2949)&amp;"")</f>
        <v/>
      </c>
      <c r="D2949">
        <f>IF($Q2949="","",INDEX(상세표[직위],$Q2949)&amp;"")</f>
        <v/>
      </c>
      <c r="E2949">
        <f>IF($Q2949="","",IF(ISNUMBER(INDEX(상세표[근무일자],$Q2949)),TEXT(INDEX(상세표[근무일자],$Q2949),"yyyy-mm-dd"),INDEX(상세표[근무일자],$Q2949)&amp;""))</f>
        <v/>
      </c>
      <c r="F2949">
        <f>IF($Q2949="","",IF(ISNUMBER(INDEX(상세표[시작],$Q2949)),TEXT(INDEX(상세표[시작],$Q2949),"yyyy-mm-dd hh:mm"),INDEX(상세표[시작],$Q2949)&amp;""))</f>
        <v/>
      </c>
      <c r="G2949">
        <f>IF($Q2949="","",IF(ISNUMBER(INDEX(상세표[블록종료],$Q2949)),TEXT(INDEX(상세표[블록종료],$Q2949),"yyyy-mm-dd hh:mm"),INDEX(상세표[블록종료],$Q2949)&amp;""))</f>
        <v/>
      </c>
      <c r="H2949">
        <f>IF($Q2949="","",CHOOSE(WEEKDAY(INDEX(상세표[시작],$Q2949)),"일","월","화","수","목","금","토"))</f>
        <v/>
      </c>
      <c r="I2949" s="20">
        <f>IF($Q2949="","",INDEX(상세표[연속 시간],$Q2949))</f>
        <v/>
      </c>
      <c r="J2949">
        <f>IF($Q2949="","",INDEX(상세표[기록 수],$Q2949))</f>
        <v/>
      </c>
      <c r="K2949" s="20">
        <f>IF($Q2949="","",INDEX(상세표[블록 06~07시],$Q2949))</f>
        <v/>
      </c>
      <c r="L2949" s="20">
        <f>IF($Q2949="","",INDEX(상세표[블록 07~18시],$Q2949))</f>
        <v/>
      </c>
      <c r="M2949" s="20">
        <f>IF($Q2949="","",INDEX(상세표[블록 18~22시],$Q2949))</f>
        <v/>
      </c>
      <c r="N2949" s="20">
        <f>IF($Q2949="","",INDEX(상세표[블록 22~06시],$Q2949))</f>
        <v/>
      </c>
      <c r="O2949">
        <f>IF($Q2949="","",INDEX(상세표[주말·휴일 포함],$Q2949)&amp;"")</f>
        <v/>
      </c>
      <c r="P2949">
        <f>IF($Q2949="","",INDEX(상세표[월 넘김 포함],$Q2949)&amp;"")</f>
        <v/>
      </c>
      <c r="Q2949" s="4">
        <f>IFERROR(MATCH(2944,상세표[연속순번],0),"")</f>
        <v/>
      </c>
    </row>
    <row r="2950">
      <c r="A2950">
        <f>IF($Q2950="","",INDEX(상세표[부서],$Q2950)&amp;"")</f>
        <v/>
      </c>
      <c r="B2950">
        <f>IF($Q2950="","",INDEX(상세표[사번],$Q2950)&amp;"")</f>
        <v/>
      </c>
      <c r="C2950">
        <f>IF($Q2950="","",INDEX(상세표[성명],$Q2950)&amp;"")</f>
        <v/>
      </c>
      <c r="D2950">
        <f>IF($Q2950="","",INDEX(상세표[직위],$Q2950)&amp;"")</f>
        <v/>
      </c>
      <c r="E2950">
        <f>IF($Q2950="","",IF(ISNUMBER(INDEX(상세표[근무일자],$Q2950)),TEXT(INDEX(상세표[근무일자],$Q2950),"yyyy-mm-dd"),INDEX(상세표[근무일자],$Q2950)&amp;""))</f>
        <v/>
      </c>
      <c r="F2950">
        <f>IF($Q2950="","",IF(ISNUMBER(INDEX(상세표[시작],$Q2950)),TEXT(INDEX(상세표[시작],$Q2950),"yyyy-mm-dd hh:mm"),INDEX(상세표[시작],$Q2950)&amp;""))</f>
        <v/>
      </c>
      <c r="G2950">
        <f>IF($Q2950="","",IF(ISNUMBER(INDEX(상세표[블록종료],$Q2950)),TEXT(INDEX(상세표[블록종료],$Q2950),"yyyy-mm-dd hh:mm"),INDEX(상세표[블록종료],$Q2950)&amp;""))</f>
        <v/>
      </c>
      <c r="H2950">
        <f>IF($Q2950="","",CHOOSE(WEEKDAY(INDEX(상세표[시작],$Q2950)),"일","월","화","수","목","금","토"))</f>
        <v/>
      </c>
      <c r="I2950" s="20">
        <f>IF($Q2950="","",INDEX(상세표[연속 시간],$Q2950))</f>
        <v/>
      </c>
      <c r="J2950">
        <f>IF($Q2950="","",INDEX(상세표[기록 수],$Q2950))</f>
        <v/>
      </c>
      <c r="K2950" s="20">
        <f>IF($Q2950="","",INDEX(상세표[블록 06~07시],$Q2950))</f>
        <v/>
      </c>
      <c r="L2950" s="20">
        <f>IF($Q2950="","",INDEX(상세표[블록 07~18시],$Q2950))</f>
        <v/>
      </c>
      <c r="M2950" s="20">
        <f>IF($Q2950="","",INDEX(상세표[블록 18~22시],$Q2950))</f>
        <v/>
      </c>
      <c r="N2950" s="20">
        <f>IF($Q2950="","",INDEX(상세표[블록 22~06시],$Q2950))</f>
        <v/>
      </c>
      <c r="O2950">
        <f>IF($Q2950="","",INDEX(상세표[주말·휴일 포함],$Q2950)&amp;"")</f>
        <v/>
      </c>
      <c r="P2950">
        <f>IF($Q2950="","",INDEX(상세표[월 넘김 포함],$Q2950)&amp;"")</f>
        <v/>
      </c>
      <c r="Q2950" s="4">
        <f>IFERROR(MATCH(2945,상세표[연속순번],0),"")</f>
        <v/>
      </c>
    </row>
    <row r="2951">
      <c r="A2951">
        <f>IF($Q2951="","",INDEX(상세표[부서],$Q2951)&amp;"")</f>
        <v/>
      </c>
      <c r="B2951">
        <f>IF($Q2951="","",INDEX(상세표[사번],$Q2951)&amp;"")</f>
        <v/>
      </c>
      <c r="C2951">
        <f>IF($Q2951="","",INDEX(상세표[성명],$Q2951)&amp;"")</f>
        <v/>
      </c>
      <c r="D2951">
        <f>IF($Q2951="","",INDEX(상세표[직위],$Q2951)&amp;"")</f>
        <v/>
      </c>
      <c r="E2951">
        <f>IF($Q2951="","",IF(ISNUMBER(INDEX(상세표[근무일자],$Q2951)),TEXT(INDEX(상세표[근무일자],$Q2951),"yyyy-mm-dd"),INDEX(상세표[근무일자],$Q2951)&amp;""))</f>
        <v/>
      </c>
      <c r="F2951">
        <f>IF($Q2951="","",IF(ISNUMBER(INDEX(상세표[시작],$Q2951)),TEXT(INDEX(상세표[시작],$Q2951),"yyyy-mm-dd hh:mm"),INDEX(상세표[시작],$Q2951)&amp;""))</f>
        <v/>
      </c>
      <c r="G2951">
        <f>IF($Q2951="","",IF(ISNUMBER(INDEX(상세표[블록종료],$Q2951)),TEXT(INDEX(상세표[블록종료],$Q2951),"yyyy-mm-dd hh:mm"),INDEX(상세표[블록종료],$Q2951)&amp;""))</f>
        <v/>
      </c>
      <c r="H2951">
        <f>IF($Q2951="","",CHOOSE(WEEKDAY(INDEX(상세표[시작],$Q2951)),"일","월","화","수","목","금","토"))</f>
        <v/>
      </c>
      <c r="I2951" s="20">
        <f>IF($Q2951="","",INDEX(상세표[연속 시간],$Q2951))</f>
        <v/>
      </c>
      <c r="J2951">
        <f>IF($Q2951="","",INDEX(상세표[기록 수],$Q2951))</f>
        <v/>
      </c>
      <c r="K2951" s="20">
        <f>IF($Q2951="","",INDEX(상세표[블록 06~07시],$Q2951))</f>
        <v/>
      </c>
      <c r="L2951" s="20">
        <f>IF($Q2951="","",INDEX(상세표[블록 07~18시],$Q2951))</f>
        <v/>
      </c>
      <c r="M2951" s="20">
        <f>IF($Q2951="","",INDEX(상세표[블록 18~22시],$Q2951))</f>
        <v/>
      </c>
      <c r="N2951" s="20">
        <f>IF($Q2951="","",INDEX(상세표[블록 22~06시],$Q2951))</f>
        <v/>
      </c>
      <c r="O2951">
        <f>IF($Q2951="","",INDEX(상세표[주말·휴일 포함],$Q2951)&amp;"")</f>
        <v/>
      </c>
      <c r="P2951">
        <f>IF($Q2951="","",INDEX(상세표[월 넘김 포함],$Q2951)&amp;"")</f>
        <v/>
      </c>
      <c r="Q2951" s="4">
        <f>IFERROR(MATCH(2946,상세표[연속순번],0),"")</f>
        <v/>
      </c>
    </row>
    <row r="2952">
      <c r="A2952">
        <f>IF($Q2952="","",INDEX(상세표[부서],$Q2952)&amp;"")</f>
        <v/>
      </c>
      <c r="B2952">
        <f>IF($Q2952="","",INDEX(상세표[사번],$Q2952)&amp;"")</f>
        <v/>
      </c>
      <c r="C2952">
        <f>IF($Q2952="","",INDEX(상세표[성명],$Q2952)&amp;"")</f>
        <v/>
      </c>
      <c r="D2952">
        <f>IF($Q2952="","",INDEX(상세표[직위],$Q2952)&amp;"")</f>
        <v/>
      </c>
      <c r="E2952">
        <f>IF($Q2952="","",IF(ISNUMBER(INDEX(상세표[근무일자],$Q2952)),TEXT(INDEX(상세표[근무일자],$Q2952),"yyyy-mm-dd"),INDEX(상세표[근무일자],$Q2952)&amp;""))</f>
        <v/>
      </c>
      <c r="F2952">
        <f>IF($Q2952="","",IF(ISNUMBER(INDEX(상세표[시작],$Q2952)),TEXT(INDEX(상세표[시작],$Q2952),"yyyy-mm-dd hh:mm"),INDEX(상세표[시작],$Q2952)&amp;""))</f>
        <v/>
      </c>
      <c r="G2952">
        <f>IF($Q2952="","",IF(ISNUMBER(INDEX(상세표[블록종료],$Q2952)),TEXT(INDEX(상세표[블록종료],$Q2952),"yyyy-mm-dd hh:mm"),INDEX(상세표[블록종료],$Q2952)&amp;""))</f>
        <v/>
      </c>
      <c r="H2952">
        <f>IF($Q2952="","",CHOOSE(WEEKDAY(INDEX(상세표[시작],$Q2952)),"일","월","화","수","목","금","토"))</f>
        <v/>
      </c>
      <c r="I2952" s="20">
        <f>IF($Q2952="","",INDEX(상세표[연속 시간],$Q2952))</f>
        <v/>
      </c>
      <c r="J2952">
        <f>IF($Q2952="","",INDEX(상세표[기록 수],$Q2952))</f>
        <v/>
      </c>
      <c r="K2952" s="20">
        <f>IF($Q2952="","",INDEX(상세표[블록 06~07시],$Q2952))</f>
        <v/>
      </c>
      <c r="L2952" s="20">
        <f>IF($Q2952="","",INDEX(상세표[블록 07~18시],$Q2952))</f>
        <v/>
      </c>
      <c r="M2952" s="20">
        <f>IF($Q2952="","",INDEX(상세표[블록 18~22시],$Q2952))</f>
        <v/>
      </c>
      <c r="N2952" s="20">
        <f>IF($Q2952="","",INDEX(상세표[블록 22~06시],$Q2952))</f>
        <v/>
      </c>
      <c r="O2952">
        <f>IF($Q2952="","",INDEX(상세표[주말·휴일 포함],$Q2952)&amp;"")</f>
        <v/>
      </c>
      <c r="P2952">
        <f>IF($Q2952="","",INDEX(상세표[월 넘김 포함],$Q2952)&amp;"")</f>
        <v/>
      </c>
      <c r="Q2952" s="4">
        <f>IFERROR(MATCH(2947,상세표[연속순번],0),"")</f>
        <v/>
      </c>
    </row>
    <row r="2953">
      <c r="A2953">
        <f>IF($Q2953="","",INDEX(상세표[부서],$Q2953)&amp;"")</f>
        <v/>
      </c>
      <c r="B2953">
        <f>IF($Q2953="","",INDEX(상세표[사번],$Q2953)&amp;"")</f>
        <v/>
      </c>
      <c r="C2953">
        <f>IF($Q2953="","",INDEX(상세표[성명],$Q2953)&amp;"")</f>
        <v/>
      </c>
      <c r="D2953">
        <f>IF($Q2953="","",INDEX(상세표[직위],$Q2953)&amp;"")</f>
        <v/>
      </c>
      <c r="E2953">
        <f>IF($Q2953="","",IF(ISNUMBER(INDEX(상세표[근무일자],$Q2953)),TEXT(INDEX(상세표[근무일자],$Q2953),"yyyy-mm-dd"),INDEX(상세표[근무일자],$Q2953)&amp;""))</f>
        <v/>
      </c>
      <c r="F2953">
        <f>IF($Q2953="","",IF(ISNUMBER(INDEX(상세표[시작],$Q2953)),TEXT(INDEX(상세표[시작],$Q2953),"yyyy-mm-dd hh:mm"),INDEX(상세표[시작],$Q2953)&amp;""))</f>
        <v/>
      </c>
      <c r="G2953">
        <f>IF($Q2953="","",IF(ISNUMBER(INDEX(상세표[블록종료],$Q2953)),TEXT(INDEX(상세표[블록종료],$Q2953),"yyyy-mm-dd hh:mm"),INDEX(상세표[블록종료],$Q2953)&amp;""))</f>
        <v/>
      </c>
      <c r="H2953">
        <f>IF($Q2953="","",CHOOSE(WEEKDAY(INDEX(상세표[시작],$Q2953)),"일","월","화","수","목","금","토"))</f>
        <v/>
      </c>
      <c r="I2953" s="20">
        <f>IF($Q2953="","",INDEX(상세표[연속 시간],$Q2953))</f>
        <v/>
      </c>
      <c r="J2953">
        <f>IF($Q2953="","",INDEX(상세표[기록 수],$Q2953))</f>
        <v/>
      </c>
      <c r="K2953" s="20">
        <f>IF($Q2953="","",INDEX(상세표[블록 06~07시],$Q2953))</f>
        <v/>
      </c>
      <c r="L2953" s="20">
        <f>IF($Q2953="","",INDEX(상세표[블록 07~18시],$Q2953))</f>
        <v/>
      </c>
      <c r="M2953" s="20">
        <f>IF($Q2953="","",INDEX(상세표[블록 18~22시],$Q2953))</f>
        <v/>
      </c>
      <c r="N2953" s="20">
        <f>IF($Q2953="","",INDEX(상세표[블록 22~06시],$Q2953))</f>
        <v/>
      </c>
      <c r="O2953">
        <f>IF($Q2953="","",INDEX(상세표[주말·휴일 포함],$Q2953)&amp;"")</f>
        <v/>
      </c>
      <c r="P2953">
        <f>IF($Q2953="","",INDEX(상세표[월 넘김 포함],$Q2953)&amp;"")</f>
        <v/>
      </c>
      <c r="Q2953" s="4">
        <f>IFERROR(MATCH(2948,상세표[연속순번],0),"")</f>
        <v/>
      </c>
    </row>
    <row r="2954">
      <c r="A2954">
        <f>IF($Q2954="","",INDEX(상세표[부서],$Q2954)&amp;"")</f>
        <v/>
      </c>
      <c r="B2954">
        <f>IF($Q2954="","",INDEX(상세표[사번],$Q2954)&amp;"")</f>
        <v/>
      </c>
      <c r="C2954">
        <f>IF($Q2954="","",INDEX(상세표[성명],$Q2954)&amp;"")</f>
        <v/>
      </c>
      <c r="D2954">
        <f>IF($Q2954="","",INDEX(상세표[직위],$Q2954)&amp;"")</f>
        <v/>
      </c>
      <c r="E2954">
        <f>IF($Q2954="","",IF(ISNUMBER(INDEX(상세표[근무일자],$Q2954)),TEXT(INDEX(상세표[근무일자],$Q2954),"yyyy-mm-dd"),INDEX(상세표[근무일자],$Q2954)&amp;""))</f>
        <v/>
      </c>
      <c r="F2954">
        <f>IF($Q2954="","",IF(ISNUMBER(INDEX(상세표[시작],$Q2954)),TEXT(INDEX(상세표[시작],$Q2954),"yyyy-mm-dd hh:mm"),INDEX(상세표[시작],$Q2954)&amp;""))</f>
        <v/>
      </c>
      <c r="G2954">
        <f>IF($Q2954="","",IF(ISNUMBER(INDEX(상세표[블록종료],$Q2954)),TEXT(INDEX(상세표[블록종료],$Q2954),"yyyy-mm-dd hh:mm"),INDEX(상세표[블록종료],$Q2954)&amp;""))</f>
        <v/>
      </c>
      <c r="H2954">
        <f>IF($Q2954="","",CHOOSE(WEEKDAY(INDEX(상세표[시작],$Q2954)),"일","월","화","수","목","금","토"))</f>
        <v/>
      </c>
      <c r="I2954" s="20">
        <f>IF($Q2954="","",INDEX(상세표[연속 시간],$Q2954))</f>
        <v/>
      </c>
      <c r="J2954">
        <f>IF($Q2954="","",INDEX(상세표[기록 수],$Q2954))</f>
        <v/>
      </c>
      <c r="K2954" s="20">
        <f>IF($Q2954="","",INDEX(상세표[블록 06~07시],$Q2954))</f>
        <v/>
      </c>
      <c r="L2954" s="20">
        <f>IF($Q2954="","",INDEX(상세표[블록 07~18시],$Q2954))</f>
        <v/>
      </c>
      <c r="M2954" s="20">
        <f>IF($Q2954="","",INDEX(상세표[블록 18~22시],$Q2954))</f>
        <v/>
      </c>
      <c r="N2954" s="20">
        <f>IF($Q2954="","",INDEX(상세표[블록 22~06시],$Q2954))</f>
        <v/>
      </c>
      <c r="O2954">
        <f>IF($Q2954="","",INDEX(상세표[주말·휴일 포함],$Q2954)&amp;"")</f>
        <v/>
      </c>
      <c r="P2954">
        <f>IF($Q2954="","",INDEX(상세표[월 넘김 포함],$Q2954)&amp;"")</f>
        <v/>
      </c>
      <c r="Q2954" s="4">
        <f>IFERROR(MATCH(2949,상세표[연속순번],0),"")</f>
        <v/>
      </c>
    </row>
    <row r="2955">
      <c r="A2955">
        <f>IF($Q2955="","",INDEX(상세표[부서],$Q2955)&amp;"")</f>
        <v/>
      </c>
      <c r="B2955">
        <f>IF($Q2955="","",INDEX(상세표[사번],$Q2955)&amp;"")</f>
        <v/>
      </c>
      <c r="C2955">
        <f>IF($Q2955="","",INDEX(상세표[성명],$Q2955)&amp;"")</f>
        <v/>
      </c>
      <c r="D2955">
        <f>IF($Q2955="","",INDEX(상세표[직위],$Q2955)&amp;"")</f>
        <v/>
      </c>
      <c r="E2955">
        <f>IF($Q2955="","",IF(ISNUMBER(INDEX(상세표[근무일자],$Q2955)),TEXT(INDEX(상세표[근무일자],$Q2955),"yyyy-mm-dd"),INDEX(상세표[근무일자],$Q2955)&amp;""))</f>
        <v/>
      </c>
      <c r="F2955">
        <f>IF($Q2955="","",IF(ISNUMBER(INDEX(상세표[시작],$Q2955)),TEXT(INDEX(상세표[시작],$Q2955),"yyyy-mm-dd hh:mm"),INDEX(상세표[시작],$Q2955)&amp;""))</f>
        <v/>
      </c>
      <c r="G2955">
        <f>IF($Q2955="","",IF(ISNUMBER(INDEX(상세표[블록종료],$Q2955)),TEXT(INDEX(상세표[블록종료],$Q2955),"yyyy-mm-dd hh:mm"),INDEX(상세표[블록종료],$Q2955)&amp;""))</f>
        <v/>
      </c>
      <c r="H2955">
        <f>IF($Q2955="","",CHOOSE(WEEKDAY(INDEX(상세표[시작],$Q2955)),"일","월","화","수","목","금","토"))</f>
        <v/>
      </c>
      <c r="I2955" s="20">
        <f>IF($Q2955="","",INDEX(상세표[연속 시간],$Q2955))</f>
        <v/>
      </c>
      <c r="J2955">
        <f>IF($Q2955="","",INDEX(상세표[기록 수],$Q2955))</f>
        <v/>
      </c>
      <c r="K2955" s="20">
        <f>IF($Q2955="","",INDEX(상세표[블록 06~07시],$Q2955))</f>
        <v/>
      </c>
      <c r="L2955" s="20">
        <f>IF($Q2955="","",INDEX(상세표[블록 07~18시],$Q2955))</f>
        <v/>
      </c>
      <c r="M2955" s="20">
        <f>IF($Q2955="","",INDEX(상세표[블록 18~22시],$Q2955))</f>
        <v/>
      </c>
      <c r="N2955" s="20">
        <f>IF($Q2955="","",INDEX(상세표[블록 22~06시],$Q2955))</f>
        <v/>
      </c>
      <c r="O2955">
        <f>IF($Q2955="","",INDEX(상세표[주말·휴일 포함],$Q2955)&amp;"")</f>
        <v/>
      </c>
      <c r="P2955">
        <f>IF($Q2955="","",INDEX(상세표[월 넘김 포함],$Q2955)&amp;"")</f>
        <v/>
      </c>
      <c r="Q2955" s="4">
        <f>IFERROR(MATCH(2950,상세표[연속순번],0),"")</f>
        <v/>
      </c>
    </row>
    <row r="2956">
      <c r="A2956">
        <f>IF($Q2956="","",INDEX(상세표[부서],$Q2956)&amp;"")</f>
        <v/>
      </c>
      <c r="B2956">
        <f>IF($Q2956="","",INDEX(상세표[사번],$Q2956)&amp;"")</f>
        <v/>
      </c>
      <c r="C2956">
        <f>IF($Q2956="","",INDEX(상세표[성명],$Q2956)&amp;"")</f>
        <v/>
      </c>
      <c r="D2956">
        <f>IF($Q2956="","",INDEX(상세표[직위],$Q2956)&amp;"")</f>
        <v/>
      </c>
      <c r="E2956">
        <f>IF($Q2956="","",IF(ISNUMBER(INDEX(상세표[근무일자],$Q2956)),TEXT(INDEX(상세표[근무일자],$Q2956),"yyyy-mm-dd"),INDEX(상세표[근무일자],$Q2956)&amp;""))</f>
        <v/>
      </c>
      <c r="F2956">
        <f>IF($Q2956="","",IF(ISNUMBER(INDEX(상세표[시작],$Q2956)),TEXT(INDEX(상세표[시작],$Q2956),"yyyy-mm-dd hh:mm"),INDEX(상세표[시작],$Q2956)&amp;""))</f>
        <v/>
      </c>
      <c r="G2956">
        <f>IF($Q2956="","",IF(ISNUMBER(INDEX(상세표[블록종료],$Q2956)),TEXT(INDEX(상세표[블록종료],$Q2956),"yyyy-mm-dd hh:mm"),INDEX(상세표[블록종료],$Q2956)&amp;""))</f>
        <v/>
      </c>
      <c r="H2956">
        <f>IF($Q2956="","",CHOOSE(WEEKDAY(INDEX(상세표[시작],$Q2956)),"일","월","화","수","목","금","토"))</f>
        <v/>
      </c>
      <c r="I2956" s="20">
        <f>IF($Q2956="","",INDEX(상세표[연속 시간],$Q2956))</f>
        <v/>
      </c>
      <c r="J2956">
        <f>IF($Q2956="","",INDEX(상세표[기록 수],$Q2956))</f>
        <v/>
      </c>
      <c r="K2956" s="20">
        <f>IF($Q2956="","",INDEX(상세표[블록 06~07시],$Q2956))</f>
        <v/>
      </c>
      <c r="L2956" s="20">
        <f>IF($Q2956="","",INDEX(상세표[블록 07~18시],$Q2956))</f>
        <v/>
      </c>
      <c r="M2956" s="20">
        <f>IF($Q2956="","",INDEX(상세표[블록 18~22시],$Q2956))</f>
        <v/>
      </c>
      <c r="N2956" s="20">
        <f>IF($Q2956="","",INDEX(상세표[블록 22~06시],$Q2956))</f>
        <v/>
      </c>
      <c r="O2956">
        <f>IF($Q2956="","",INDEX(상세표[주말·휴일 포함],$Q2956)&amp;"")</f>
        <v/>
      </c>
      <c r="P2956">
        <f>IF($Q2956="","",INDEX(상세표[월 넘김 포함],$Q2956)&amp;"")</f>
        <v/>
      </c>
      <c r="Q2956" s="4">
        <f>IFERROR(MATCH(2951,상세표[연속순번],0),"")</f>
        <v/>
      </c>
    </row>
    <row r="2957">
      <c r="A2957">
        <f>IF($Q2957="","",INDEX(상세표[부서],$Q2957)&amp;"")</f>
        <v/>
      </c>
      <c r="B2957">
        <f>IF($Q2957="","",INDEX(상세표[사번],$Q2957)&amp;"")</f>
        <v/>
      </c>
      <c r="C2957">
        <f>IF($Q2957="","",INDEX(상세표[성명],$Q2957)&amp;"")</f>
        <v/>
      </c>
      <c r="D2957">
        <f>IF($Q2957="","",INDEX(상세표[직위],$Q2957)&amp;"")</f>
        <v/>
      </c>
      <c r="E2957">
        <f>IF($Q2957="","",IF(ISNUMBER(INDEX(상세표[근무일자],$Q2957)),TEXT(INDEX(상세표[근무일자],$Q2957),"yyyy-mm-dd"),INDEX(상세표[근무일자],$Q2957)&amp;""))</f>
        <v/>
      </c>
      <c r="F2957">
        <f>IF($Q2957="","",IF(ISNUMBER(INDEX(상세표[시작],$Q2957)),TEXT(INDEX(상세표[시작],$Q2957),"yyyy-mm-dd hh:mm"),INDEX(상세표[시작],$Q2957)&amp;""))</f>
        <v/>
      </c>
      <c r="G2957">
        <f>IF($Q2957="","",IF(ISNUMBER(INDEX(상세표[블록종료],$Q2957)),TEXT(INDEX(상세표[블록종료],$Q2957),"yyyy-mm-dd hh:mm"),INDEX(상세표[블록종료],$Q2957)&amp;""))</f>
        <v/>
      </c>
      <c r="H2957">
        <f>IF($Q2957="","",CHOOSE(WEEKDAY(INDEX(상세표[시작],$Q2957)),"일","월","화","수","목","금","토"))</f>
        <v/>
      </c>
      <c r="I2957" s="20">
        <f>IF($Q2957="","",INDEX(상세표[연속 시간],$Q2957))</f>
        <v/>
      </c>
      <c r="J2957">
        <f>IF($Q2957="","",INDEX(상세표[기록 수],$Q2957))</f>
        <v/>
      </c>
      <c r="K2957" s="20">
        <f>IF($Q2957="","",INDEX(상세표[블록 06~07시],$Q2957))</f>
        <v/>
      </c>
      <c r="L2957" s="20">
        <f>IF($Q2957="","",INDEX(상세표[블록 07~18시],$Q2957))</f>
        <v/>
      </c>
      <c r="M2957" s="20">
        <f>IF($Q2957="","",INDEX(상세표[블록 18~22시],$Q2957))</f>
        <v/>
      </c>
      <c r="N2957" s="20">
        <f>IF($Q2957="","",INDEX(상세표[블록 22~06시],$Q2957))</f>
        <v/>
      </c>
      <c r="O2957">
        <f>IF($Q2957="","",INDEX(상세표[주말·휴일 포함],$Q2957)&amp;"")</f>
        <v/>
      </c>
      <c r="P2957">
        <f>IF($Q2957="","",INDEX(상세표[월 넘김 포함],$Q2957)&amp;"")</f>
        <v/>
      </c>
      <c r="Q2957" s="4">
        <f>IFERROR(MATCH(2952,상세표[연속순번],0),"")</f>
        <v/>
      </c>
    </row>
    <row r="2958">
      <c r="A2958">
        <f>IF($Q2958="","",INDEX(상세표[부서],$Q2958)&amp;"")</f>
        <v/>
      </c>
      <c r="B2958">
        <f>IF($Q2958="","",INDEX(상세표[사번],$Q2958)&amp;"")</f>
        <v/>
      </c>
      <c r="C2958">
        <f>IF($Q2958="","",INDEX(상세표[성명],$Q2958)&amp;"")</f>
        <v/>
      </c>
      <c r="D2958">
        <f>IF($Q2958="","",INDEX(상세표[직위],$Q2958)&amp;"")</f>
        <v/>
      </c>
      <c r="E2958">
        <f>IF($Q2958="","",IF(ISNUMBER(INDEX(상세표[근무일자],$Q2958)),TEXT(INDEX(상세표[근무일자],$Q2958),"yyyy-mm-dd"),INDEX(상세표[근무일자],$Q2958)&amp;""))</f>
        <v/>
      </c>
      <c r="F2958">
        <f>IF($Q2958="","",IF(ISNUMBER(INDEX(상세표[시작],$Q2958)),TEXT(INDEX(상세표[시작],$Q2958),"yyyy-mm-dd hh:mm"),INDEX(상세표[시작],$Q2958)&amp;""))</f>
        <v/>
      </c>
      <c r="G2958">
        <f>IF($Q2958="","",IF(ISNUMBER(INDEX(상세표[블록종료],$Q2958)),TEXT(INDEX(상세표[블록종료],$Q2958),"yyyy-mm-dd hh:mm"),INDEX(상세표[블록종료],$Q2958)&amp;""))</f>
        <v/>
      </c>
      <c r="H2958">
        <f>IF($Q2958="","",CHOOSE(WEEKDAY(INDEX(상세표[시작],$Q2958)),"일","월","화","수","목","금","토"))</f>
        <v/>
      </c>
      <c r="I2958" s="20">
        <f>IF($Q2958="","",INDEX(상세표[연속 시간],$Q2958))</f>
        <v/>
      </c>
      <c r="J2958">
        <f>IF($Q2958="","",INDEX(상세표[기록 수],$Q2958))</f>
        <v/>
      </c>
      <c r="K2958" s="20">
        <f>IF($Q2958="","",INDEX(상세표[블록 06~07시],$Q2958))</f>
        <v/>
      </c>
      <c r="L2958" s="20">
        <f>IF($Q2958="","",INDEX(상세표[블록 07~18시],$Q2958))</f>
        <v/>
      </c>
      <c r="M2958" s="20">
        <f>IF($Q2958="","",INDEX(상세표[블록 18~22시],$Q2958))</f>
        <v/>
      </c>
      <c r="N2958" s="20">
        <f>IF($Q2958="","",INDEX(상세표[블록 22~06시],$Q2958))</f>
        <v/>
      </c>
      <c r="O2958">
        <f>IF($Q2958="","",INDEX(상세표[주말·휴일 포함],$Q2958)&amp;"")</f>
        <v/>
      </c>
      <c r="P2958">
        <f>IF($Q2958="","",INDEX(상세표[월 넘김 포함],$Q2958)&amp;"")</f>
        <v/>
      </c>
      <c r="Q2958" s="4">
        <f>IFERROR(MATCH(2953,상세표[연속순번],0),"")</f>
        <v/>
      </c>
    </row>
    <row r="2959">
      <c r="A2959">
        <f>IF($Q2959="","",INDEX(상세표[부서],$Q2959)&amp;"")</f>
        <v/>
      </c>
      <c r="B2959">
        <f>IF($Q2959="","",INDEX(상세표[사번],$Q2959)&amp;"")</f>
        <v/>
      </c>
      <c r="C2959">
        <f>IF($Q2959="","",INDEX(상세표[성명],$Q2959)&amp;"")</f>
        <v/>
      </c>
      <c r="D2959">
        <f>IF($Q2959="","",INDEX(상세표[직위],$Q2959)&amp;"")</f>
        <v/>
      </c>
      <c r="E2959">
        <f>IF($Q2959="","",IF(ISNUMBER(INDEX(상세표[근무일자],$Q2959)),TEXT(INDEX(상세표[근무일자],$Q2959),"yyyy-mm-dd"),INDEX(상세표[근무일자],$Q2959)&amp;""))</f>
        <v/>
      </c>
      <c r="F2959">
        <f>IF($Q2959="","",IF(ISNUMBER(INDEX(상세표[시작],$Q2959)),TEXT(INDEX(상세표[시작],$Q2959),"yyyy-mm-dd hh:mm"),INDEX(상세표[시작],$Q2959)&amp;""))</f>
        <v/>
      </c>
      <c r="G2959">
        <f>IF($Q2959="","",IF(ISNUMBER(INDEX(상세표[블록종료],$Q2959)),TEXT(INDEX(상세표[블록종료],$Q2959),"yyyy-mm-dd hh:mm"),INDEX(상세표[블록종료],$Q2959)&amp;""))</f>
        <v/>
      </c>
      <c r="H2959">
        <f>IF($Q2959="","",CHOOSE(WEEKDAY(INDEX(상세표[시작],$Q2959)),"일","월","화","수","목","금","토"))</f>
        <v/>
      </c>
      <c r="I2959" s="20">
        <f>IF($Q2959="","",INDEX(상세표[연속 시간],$Q2959))</f>
        <v/>
      </c>
      <c r="J2959">
        <f>IF($Q2959="","",INDEX(상세표[기록 수],$Q2959))</f>
        <v/>
      </c>
      <c r="K2959" s="20">
        <f>IF($Q2959="","",INDEX(상세표[블록 06~07시],$Q2959))</f>
        <v/>
      </c>
      <c r="L2959" s="20">
        <f>IF($Q2959="","",INDEX(상세표[블록 07~18시],$Q2959))</f>
        <v/>
      </c>
      <c r="M2959" s="20">
        <f>IF($Q2959="","",INDEX(상세표[블록 18~22시],$Q2959))</f>
        <v/>
      </c>
      <c r="N2959" s="20">
        <f>IF($Q2959="","",INDEX(상세표[블록 22~06시],$Q2959))</f>
        <v/>
      </c>
      <c r="O2959">
        <f>IF($Q2959="","",INDEX(상세표[주말·휴일 포함],$Q2959)&amp;"")</f>
        <v/>
      </c>
      <c r="P2959">
        <f>IF($Q2959="","",INDEX(상세표[월 넘김 포함],$Q2959)&amp;"")</f>
        <v/>
      </c>
      <c r="Q2959" s="4">
        <f>IFERROR(MATCH(2954,상세표[연속순번],0),"")</f>
        <v/>
      </c>
    </row>
    <row r="2960">
      <c r="A2960">
        <f>IF($Q2960="","",INDEX(상세표[부서],$Q2960)&amp;"")</f>
        <v/>
      </c>
      <c r="B2960">
        <f>IF($Q2960="","",INDEX(상세표[사번],$Q2960)&amp;"")</f>
        <v/>
      </c>
      <c r="C2960">
        <f>IF($Q2960="","",INDEX(상세표[성명],$Q2960)&amp;"")</f>
        <v/>
      </c>
      <c r="D2960">
        <f>IF($Q2960="","",INDEX(상세표[직위],$Q2960)&amp;"")</f>
        <v/>
      </c>
      <c r="E2960">
        <f>IF($Q2960="","",IF(ISNUMBER(INDEX(상세표[근무일자],$Q2960)),TEXT(INDEX(상세표[근무일자],$Q2960),"yyyy-mm-dd"),INDEX(상세표[근무일자],$Q2960)&amp;""))</f>
        <v/>
      </c>
      <c r="F2960">
        <f>IF($Q2960="","",IF(ISNUMBER(INDEX(상세표[시작],$Q2960)),TEXT(INDEX(상세표[시작],$Q2960),"yyyy-mm-dd hh:mm"),INDEX(상세표[시작],$Q2960)&amp;""))</f>
        <v/>
      </c>
      <c r="G2960">
        <f>IF($Q2960="","",IF(ISNUMBER(INDEX(상세표[블록종료],$Q2960)),TEXT(INDEX(상세표[블록종료],$Q2960),"yyyy-mm-dd hh:mm"),INDEX(상세표[블록종료],$Q2960)&amp;""))</f>
        <v/>
      </c>
      <c r="H2960">
        <f>IF($Q2960="","",CHOOSE(WEEKDAY(INDEX(상세표[시작],$Q2960)),"일","월","화","수","목","금","토"))</f>
        <v/>
      </c>
      <c r="I2960" s="20">
        <f>IF($Q2960="","",INDEX(상세표[연속 시간],$Q2960))</f>
        <v/>
      </c>
      <c r="J2960">
        <f>IF($Q2960="","",INDEX(상세표[기록 수],$Q2960))</f>
        <v/>
      </c>
      <c r="K2960" s="20">
        <f>IF($Q2960="","",INDEX(상세표[블록 06~07시],$Q2960))</f>
        <v/>
      </c>
      <c r="L2960" s="20">
        <f>IF($Q2960="","",INDEX(상세표[블록 07~18시],$Q2960))</f>
        <v/>
      </c>
      <c r="M2960" s="20">
        <f>IF($Q2960="","",INDEX(상세표[블록 18~22시],$Q2960))</f>
        <v/>
      </c>
      <c r="N2960" s="20">
        <f>IF($Q2960="","",INDEX(상세표[블록 22~06시],$Q2960))</f>
        <v/>
      </c>
      <c r="O2960">
        <f>IF($Q2960="","",INDEX(상세표[주말·휴일 포함],$Q2960)&amp;"")</f>
        <v/>
      </c>
      <c r="P2960">
        <f>IF($Q2960="","",INDEX(상세표[월 넘김 포함],$Q2960)&amp;"")</f>
        <v/>
      </c>
      <c r="Q2960" s="4">
        <f>IFERROR(MATCH(2955,상세표[연속순번],0),"")</f>
        <v/>
      </c>
    </row>
    <row r="2961">
      <c r="A2961">
        <f>IF($Q2961="","",INDEX(상세표[부서],$Q2961)&amp;"")</f>
        <v/>
      </c>
      <c r="B2961">
        <f>IF($Q2961="","",INDEX(상세표[사번],$Q2961)&amp;"")</f>
        <v/>
      </c>
      <c r="C2961">
        <f>IF($Q2961="","",INDEX(상세표[성명],$Q2961)&amp;"")</f>
        <v/>
      </c>
      <c r="D2961">
        <f>IF($Q2961="","",INDEX(상세표[직위],$Q2961)&amp;"")</f>
        <v/>
      </c>
      <c r="E2961">
        <f>IF($Q2961="","",IF(ISNUMBER(INDEX(상세표[근무일자],$Q2961)),TEXT(INDEX(상세표[근무일자],$Q2961),"yyyy-mm-dd"),INDEX(상세표[근무일자],$Q2961)&amp;""))</f>
        <v/>
      </c>
      <c r="F2961">
        <f>IF($Q2961="","",IF(ISNUMBER(INDEX(상세표[시작],$Q2961)),TEXT(INDEX(상세표[시작],$Q2961),"yyyy-mm-dd hh:mm"),INDEX(상세표[시작],$Q2961)&amp;""))</f>
        <v/>
      </c>
      <c r="G2961">
        <f>IF($Q2961="","",IF(ISNUMBER(INDEX(상세표[블록종료],$Q2961)),TEXT(INDEX(상세표[블록종료],$Q2961),"yyyy-mm-dd hh:mm"),INDEX(상세표[블록종료],$Q2961)&amp;""))</f>
        <v/>
      </c>
      <c r="H2961">
        <f>IF($Q2961="","",CHOOSE(WEEKDAY(INDEX(상세표[시작],$Q2961)),"일","월","화","수","목","금","토"))</f>
        <v/>
      </c>
      <c r="I2961" s="20">
        <f>IF($Q2961="","",INDEX(상세표[연속 시간],$Q2961))</f>
        <v/>
      </c>
      <c r="J2961">
        <f>IF($Q2961="","",INDEX(상세표[기록 수],$Q2961))</f>
        <v/>
      </c>
      <c r="K2961" s="20">
        <f>IF($Q2961="","",INDEX(상세표[블록 06~07시],$Q2961))</f>
        <v/>
      </c>
      <c r="L2961" s="20">
        <f>IF($Q2961="","",INDEX(상세표[블록 07~18시],$Q2961))</f>
        <v/>
      </c>
      <c r="M2961" s="20">
        <f>IF($Q2961="","",INDEX(상세표[블록 18~22시],$Q2961))</f>
        <v/>
      </c>
      <c r="N2961" s="20">
        <f>IF($Q2961="","",INDEX(상세표[블록 22~06시],$Q2961))</f>
        <v/>
      </c>
      <c r="O2961">
        <f>IF($Q2961="","",INDEX(상세표[주말·휴일 포함],$Q2961)&amp;"")</f>
        <v/>
      </c>
      <c r="P2961">
        <f>IF($Q2961="","",INDEX(상세표[월 넘김 포함],$Q2961)&amp;"")</f>
        <v/>
      </c>
      <c r="Q2961" s="4">
        <f>IFERROR(MATCH(2956,상세표[연속순번],0),"")</f>
        <v/>
      </c>
    </row>
    <row r="2962">
      <c r="A2962">
        <f>IF($Q2962="","",INDEX(상세표[부서],$Q2962)&amp;"")</f>
        <v/>
      </c>
      <c r="B2962">
        <f>IF($Q2962="","",INDEX(상세표[사번],$Q2962)&amp;"")</f>
        <v/>
      </c>
      <c r="C2962">
        <f>IF($Q2962="","",INDEX(상세표[성명],$Q2962)&amp;"")</f>
        <v/>
      </c>
      <c r="D2962">
        <f>IF($Q2962="","",INDEX(상세표[직위],$Q2962)&amp;"")</f>
        <v/>
      </c>
      <c r="E2962">
        <f>IF($Q2962="","",IF(ISNUMBER(INDEX(상세표[근무일자],$Q2962)),TEXT(INDEX(상세표[근무일자],$Q2962),"yyyy-mm-dd"),INDEX(상세표[근무일자],$Q2962)&amp;""))</f>
        <v/>
      </c>
      <c r="F2962">
        <f>IF($Q2962="","",IF(ISNUMBER(INDEX(상세표[시작],$Q2962)),TEXT(INDEX(상세표[시작],$Q2962),"yyyy-mm-dd hh:mm"),INDEX(상세표[시작],$Q2962)&amp;""))</f>
        <v/>
      </c>
      <c r="G2962">
        <f>IF($Q2962="","",IF(ISNUMBER(INDEX(상세표[블록종료],$Q2962)),TEXT(INDEX(상세표[블록종료],$Q2962),"yyyy-mm-dd hh:mm"),INDEX(상세표[블록종료],$Q2962)&amp;""))</f>
        <v/>
      </c>
      <c r="H2962">
        <f>IF($Q2962="","",CHOOSE(WEEKDAY(INDEX(상세표[시작],$Q2962)),"일","월","화","수","목","금","토"))</f>
        <v/>
      </c>
      <c r="I2962" s="20">
        <f>IF($Q2962="","",INDEX(상세표[연속 시간],$Q2962))</f>
        <v/>
      </c>
      <c r="J2962">
        <f>IF($Q2962="","",INDEX(상세표[기록 수],$Q2962))</f>
        <v/>
      </c>
      <c r="K2962" s="20">
        <f>IF($Q2962="","",INDEX(상세표[블록 06~07시],$Q2962))</f>
        <v/>
      </c>
      <c r="L2962" s="20">
        <f>IF($Q2962="","",INDEX(상세표[블록 07~18시],$Q2962))</f>
        <v/>
      </c>
      <c r="M2962" s="20">
        <f>IF($Q2962="","",INDEX(상세표[블록 18~22시],$Q2962))</f>
        <v/>
      </c>
      <c r="N2962" s="20">
        <f>IF($Q2962="","",INDEX(상세표[블록 22~06시],$Q2962))</f>
        <v/>
      </c>
      <c r="O2962">
        <f>IF($Q2962="","",INDEX(상세표[주말·휴일 포함],$Q2962)&amp;"")</f>
        <v/>
      </c>
      <c r="P2962">
        <f>IF($Q2962="","",INDEX(상세표[월 넘김 포함],$Q2962)&amp;"")</f>
        <v/>
      </c>
      <c r="Q2962" s="4">
        <f>IFERROR(MATCH(2957,상세표[연속순번],0),"")</f>
        <v/>
      </c>
    </row>
    <row r="2963">
      <c r="A2963">
        <f>IF($Q2963="","",INDEX(상세표[부서],$Q2963)&amp;"")</f>
        <v/>
      </c>
      <c r="B2963">
        <f>IF($Q2963="","",INDEX(상세표[사번],$Q2963)&amp;"")</f>
        <v/>
      </c>
      <c r="C2963">
        <f>IF($Q2963="","",INDEX(상세표[성명],$Q2963)&amp;"")</f>
        <v/>
      </c>
      <c r="D2963">
        <f>IF($Q2963="","",INDEX(상세표[직위],$Q2963)&amp;"")</f>
        <v/>
      </c>
      <c r="E2963">
        <f>IF($Q2963="","",IF(ISNUMBER(INDEX(상세표[근무일자],$Q2963)),TEXT(INDEX(상세표[근무일자],$Q2963),"yyyy-mm-dd"),INDEX(상세표[근무일자],$Q2963)&amp;""))</f>
        <v/>
      </c>
      <c r="F2963">
        <f>IF($Q2963="","",IF(ISNUMBER(INDEX(상세표[시작],$Q2963)),TEXT(INDEX(상세표[시작],$Q2963),"yyyy-mm-dd hh:mm"),INDEX(상세표[시작],$Q2963)&amp;""))</f>
        <v/>
      </c>
      <c r="G2963">
        <f>IF($Q2963="","",IF(ISNUMBER(INDEX(상세표[블록종료],$Q2963)),TEXT(INDEX(상세표[블록종료],$Q2963),"yyyy-mm-dd hh:mm"),INDEX(상세표[블록종료],$Q2963)&amp;""))</f>
        <v/>
      </c>
      <c r="H2963">
        <f>IF($Q2963="","",CHOOSE(WEEKDAY(INDEX(상세표[시작],$Q2963)),"일","월","화","수","목","금","토"))</f>
        <v/>
      </c>
      <c r="I2963" s="20">
        <f>IF($Q2963="","",INDEX(상세표[연속 시간],$Q2963))</f>
        <v/>
      </c>
      <c r="J2963">
        <f>IF($Q2963="","",INDEX(상세표[기록 수],$Q2963))</f>
        <v/>
      </c>
      <c r="K2963" s="20">
        <f>IF($Q2963="","",INDEX(상세표[블록 06~07시],$Q2963))</f>
        <v/>
      </c>
      <c r="L2963" s="20">
        <f>IF($Q2963="","",INDEX(상세표[블록 07~18시],$Q2963))</f>
        <v/>
      </c>
      <c r="M2963" s="20">
        <f>IF($Q2963="","",INDEX(상세표[블록 18~22시],$Q2963))</f>
        <v/>
      </c>
      <c r="N2963" s="20">
        <f>IF($Q2963="","",INDEX(상세표[블록 22~06시],$Q2963))</f>
        <v/>
      </c>
      <c r="O2963">
        <f>IF($Q2963="","",INDEX(상세표[주말·휴일 포함],$Q2963)&amp;"")</f>
        <v/>
      </c>
      <c r="P2963">
        <f>IF($Q2963="","",INDEX(상세표[월 넘김 포함],$Q2963)&amp;"")</f>
        <v/>
      </c>
      <c r="Q2963" s="4">
        <f>IFERROR(MATCH(2958,상세표[연속순번],0),"")</f>
        <v/>
      </c>
    </row>
    <row r="2964">
      <c r="A2964">
        <f>IF($Q2964="","",INDEX(상세표[부서],$Q2964)&amp;"")</f>
        <v/>
      </c>
      <c r="B2964">
        <f>IF($Q2964="","",INDEX(상세표[사번],$Q2964)&amp;"")</f>
        <v/>
      </c>
      <c r="C2964">
        <f>IF($Q2964="","",INDEX(상세표[성명],$Q2964)&amp;"")</f>
        <v/>
      </c>
      <c r="D2964">
        <f>IF($Q2964="","",INDEX(상세표[직위],$Q2964)&amp;"")</f>
        <v/>
      </c>
      <c r="E2964">
        <f>IF($Q2964="","",IF(ISNUMBER(INDEX(상세표[근무일자],$Q2964)),TEXT(INDEX(상세표[근무일자],$Q2964),"yyyy-mm-dd"),INDEX(상세표[근무일자],$Q2964)&amp;""))</f>
        <v/>
      </c>
      <c r="F2964">
        <f>IF($Q2964="","",IF(ISNUMBER(INDEX(상세표[시작],$Q2964)),TEXT(INDEX(상세표[시작],$Q2964),"yyyy-mm-dd hh:mm"),INDEX(상세표[시작],$Q2964)&amp;""))</f>
        <v/>
      </c>
      <c r="G2964">
        <f>IF($Q2964="","",IF(ISNUMBER(INDEX(상세표[블록종료],$Q2964)),TEXT(INDEX(상세표[블록종료],$Q2964),"yyyy-mm-dd hh:mm"),INDEX(상세표[블록종료],$Q2964)&amp;""))</f>
        <v/>
      </c>
      <c r="H2964">
        <f>IF($Q2964="","",CHOOSE(WEEKDAY(INDEX(상세표[시작],$Q2964)),"일","월","화","수","목","금","토"))</f>
        <v/>
      </c>
      <c r="I2964" s="20">
        <f>IF($Q2964="","",INDEX(상세표[연속 시간],$Q2964))</f>
        <v/>
      </c>
      <c r="J2964">
        <f>IF($Q2964="","",INDEX(상세표[기록 수],$Q2964))</f>
        <v/>
      </c>
      <c r="K2964" s="20">
        <f>IF($Q2964="","",INDEX(상세표[블록 06~07시],$Q2964))</f>
        <v/>
      </c>
      <c r="L2964" s="20">
        <f>IF($Q2964="","",INDEX(상세표[블록 07~18시],$Q2964))</f>
        <v/>
      </c>
      <c r="M2964" s="20">
        <f>IF($Q2964="","",INDEX(상세표[블록 18~22시],$Q2964))</f>
        <v/>
      </c>
      <c r="N2964" s="20">
        <f>IF($Q2964="","",INDEX(상세표[블록 22~06시],$Q2964))</f>
        <v/>
      </c>
      <c r="O2964">
        <f>IF($Q2964="","",INDEX(상세표[주말·휴일 포함],$Q2964)&amp;"")</f>
        <v/>
      </c>
      <c r="P2964">
        <f>IF($Q2964="","",INDEX(상세표[월 넘김 포함],$Q2964)&amp;"")</f>
        <v/>
      </c>
      <c r="Q2964" s="4">
        <f>IFERROR(MATCH(2959,상세표[연속순번],0),"")</f>
        <v/>
      </c>
    </row>
    <row r="2965">
      <c r="A2965">
        <f>IF($Q2965="","",INDEX(상세표[부서],$Q2965)&amp;"")</f>
        <v/>
      </c>
      <c r="B2965">
        <f>IF($Q2965="","",INDEX(상세표[사번],$Q2965)&amp;"")</f>
        <v/>
      </c>
      <c r="C2965">
        <f>IF($Q2965="","",INDEX(상세표[성명],$Q2965)&amp;"")</f>
        <v/>
      </c>
      <c r="D2965">
        <f>IF($Q2965="","",INDEX(상세표[직위],$Q2965)&amp;"")</f>
        <v/>
      </c>
      <c r="E2965">
        <f>IF($Q2965="","",IF(ISNUMBER(INDEX(상세표[근무일자],$Q2965)),TEXT(INDEX(상세표[근무일자],$Q2965),"yyyy-mm-dd"),INDEX(상세표[근무일자],$Q2965)&amp;""))</f>
        <v/>
      </c>
      <c r="F2965">
        <f>IF($Q2965="","",IF(ISNUMBER(INDEX(상세표[시작],$Q2965)),TEXT(INDEX(상세표[시작],$Q2965),"yyyy-mm-dd hh:mm"),INDEX(상세표[시작],$Q2965)&amp;""))</f>
        <v/>
      </c>
      <c r="G2965">
        <f>IF($Q2965="","",IF(ISNUMBER(INDEX(상세표[블록종료],$Q2965)),TEXT(INDEX(상세표[블록종료],$Q2965),"yyyy-mm-dd hh:mm"),INDEX(상세표[블록종료],$Q2965)&amp;""))</f>
        <v/>
      </c>
      <c r="H2965">
        <f>IF($Q2965="","",CHOOSE(WEEKDAY(INDEX(상세표[시작],$Q2965)),"일","월","화","수","목","금","토"))</f>
        <v/>
      </c>
      <c r="I2965" s="20">
        <f>IF($Q2965="","",INDEX(상세표[연속 시간],$Q2965))</f>
        <v/>
      </c>
      <c r="J2965">
        <f>IF($Q2965="","",INDEX(상세표[기록 수],$Q2965))</f>
        <v/>
      </c>
      <c r="K2965" s="20">
        <f>IF($Q2965="","",INDEX(상세표[블록 06~07시],$Q2965))</f>
        <v/>
      </c>
      <c r="L2965" s="20">
        <f>IF($Q2965="","",INDEX(상세표[블록 07~18시],$Q2965))</f>
        <v/>
      </c>
      <c r="M2965" s="20">
        <f>IF($Q2965="","",INDEX(상세표[블록 18~22시],$Q2965))</f>
        <v/>
      </c>
      <c r="N2965" s="20">
        <f>IF($Q2965="","",INDEX(상세표[블록 22~06시],$Q2965))</f>
        <v/>
      </c>
      <c r="O2965">
        <f>IF($Q2965="","",INDEX(상세표[주말·휴일 포함],$Q2965)&amp;"")</f>
        <v/>
      </c>
      <c r="P2965">
        <f>IF($Q2965="","",INDEX(상세표[월 넘김 포함],$Q2965)&amp;"")</f>
        <v/>
      </c>
      <c r="Q2965" s="4">
        <f>IFERROR(MATCH(2960,상세표[연속순번],0),"")</f>
        <v/>
      </c>
    </row>
    <row r="2966">
      <c r="A2966">
        <f>IF($Q2966="","",INDEX(상세표[부서],$Q2966)&amp;"")</f>
        <v/>
      </c>
      <c r="B2966">
        <f>IF($Q2966="","",INDEX(상세표[사번],$Q2966)&amp;"")</f>
        <v/>
      </c>
      <c r="C2966">
        <f>IF($Q2966="","",INDEX(상세표[성명],$Q2966)&amp;"")</f>
        <v/>
      </c>
      <c r="D2966">
        <f>IF($Q2966="","",INDEX(상세표[직위],$Q2966)&amp;"")</f>
        <v/>
      </c>
      <c r="E2966">
        <f>IF($Q2966="","",IF(ISNUMBER(INDEX(상세표[근무일자],$Q2966)),TEXT(INDEX(상세표[근무일자],$Q2966),"yyyy-mm-dd"),INDEX(상세표[근무일자],$Q2966)&amp;""))</f>
        <v/>
      </c>
      <c r="F2966">
        <f>IF($Q2966="","",IF(ISNUMBER(INDEX(상세표[시작],$Q2966)),TEXT(INDEX(상세표[시작],$Q2966),"yyyy-mm-dd hh:mm"),INDEX(상세표[시작],$Q2966)&amp;""))</f>
        <v/>
      </c>
      <c r="G2966">
        <f>IF($Q2966="","",IF(ISNUMBER(INDEX(상세표[블록종료],$Q2966)),TEXT(INDEX(상세표[블록종료],$Q2966),"yyyy-mm-dd hh:mm"),INDEX(상세표[블록종료],$Q2966)&amp;""))</f>
        <v/>
      </c>
      <c r="H2966">
        <f>IF($Q2966="","",CHOOSE(WEEKDAY(INDEX(상세표[시작],$Q2966)),"일","월","화","수","목","금","토"))</f>
        <v/>
      </c>
      <c r="I2966" s="20">
        <f>IF($Q2966="","",INDEX(상세표[연속 시간],$Q2966))</f>
        <v/>
      </c>
      <c r="J2966">
        <f>IF($Q2966="","",INDEX(상세표[기록 수],$Q2966))</f>
        <v/>
      </c>
      <c r="K2966" s="20">
        <f>IF($Q2966="","",INDEX(상세표[블록 06~07시],$Q2966))</f>
        <v/>
      </c>
      <c r="L2966" s="20">
        <f>IF($Q2966="","",INDEX(상세표[블록 07~18시],$Q2966))</f>
        <v/>
      </c>
      <c r="M2966" s="20">
        <f>IF($Q2966="","",INDEX(상세표[블록 18~22시],$Q2966))</f>
        <v/>
      </c>
      <c r="N2966" s="20">
        <f>IF($Q2966="","",INDEX(상세표[블록 22~06시],$Q2966))</f>
        <v/>
      </c>
      <c r="O2966">
        <f>IF($Q2966="","",INDEX(상세표[주말·휴일 포함],$Q2966)&amp;"")</f>
        <v/>
      </c>
      <c r="P2966">
        <f>IF($Q2966="","",INDEX(상세표[월 넘김 포함],$Q2966)&amp;"")</f>
        <v/>
      </c>
      <c r="Q2966" s="4">
        <f>IFERROR(MATCH(2961,상세표[연속순번],0),"")</f>
        <v/>
      </c>
    </row>
    <row r="2967">
      <c r="A2967">
        <f>IF($Q2967="","",INDEX(상세표[부서],$Q2967)&amp;"")</f>
        <v/>
      </c>
      <c r="B2967">
        <f>IF($Q2967="","",INDEX(상세표[사번],$Q2967)&amp;"")</f>
        <v/>
      </c>
      <c r="C2967">
        <f>IF($Q2967="","",INDEX(상세표[성명],$Q2967)&amp;"")</f>
        <v/>
      </c>
      <c r="D2967">
        <f>IF($Q2967="","",INDEX(상세표[직위],$Q2967)&amp;"")</f>
        <v/>
      </c>
      <c r="E2967">
        <f>IF($Q2967="","",IF(ISNUMBER(INDEX(상세표[근무일자],$Q2967)),TEXT(INDEX(상세표[근무일자],$Q2967),"yyyy-mm-dd"),INDEX(상세표[근무일자],$Q2967)&amp;""))</f>
        <v/>
      </c>
      <c r="F2967">
        <f>IF($Q2967="","",IF(ISNUMBER(INDEX(상세표[시작],$Q2967)),TEXT(INDEX(상세표[시작],$Q2967),"yyyy-mm-dd hh:mm"),INDEX(상세표[시작],$Q2967)&amp;""))</f>
        <v/>
      </c>
      <c r="G2967">
        <f>IF($Q2967="","",IF(ISNUMBER(INDEX(상세표[블록종료],$Q2967)),TEXT(INDEX(상세표[블록종료],$Q2967),"yyyy-mm-dd hh:mm"),INDEX(상세표[블록종료],$Q2967)&amp;""))</f>
        <v/>
      </c>
      <c r="H2967">
        <f>IF($Q2967="","",CHOOSE(WEEKDAY(INDEX(상세표[시작],$Q2967)),"일","월","화","수","목","금","토"))</f>
        <v/>
      </c>
      <c r="I2967" s="20">
        <f>IF($Q2967="","",INDEX(상세표[연속 시간],$Q2967))</f>
        <v/>
      </c>
      <c r="J2967">
        <f>IF($Q2967="","",INDEX(상세표[기록 수],$Q2967))</f>
        <v/>
      </c>
      <c r="K2967" s="20">
        <f>IF($Q2967="","",INDEX(상세표[블록 06~07시],$Q2967))</f>
        <v/>
      </c>
      <c r="L2967" s="20">
        <f>IF($Q2967="","",INDEX(상세표[블록 07~18시],$Q2967))</f>
        <v/>
      </c>
      <c r="M2967" s="20">
        <f>IF($Q2967="","",INDEX(상세표[블록 18~22시],$Q2967))</f>
        <v/>
      </c>
      <c r="N2967" s="20">
        <f>IF($Q2967="","",INDEX(상세표[블록 22~06시],$Q2967))</f>
        <v/>
      </c>
      <c r="O2967">
        <f>IF($Q2967="","",INDEX(상세표[주말·휴일 포함],$Q2967)&amp;"")</f>
        <v/>
      </c>
      <c r="P2967">
        <f>IF($Q2967="","",INDEX(상세표[월 넘김 포함],$Q2967)&amp;"")</f>
        <v/>
      </c>
      <c r="Q2967" s="4">
        <f>IFERROR(MATCH(2962,상세표[연속순번],0),"")</f>
        <v/>
      </c>
    </row>
    <row r="2968">
      <c r="A2968">
        <f>IF($Q2968="","",INDEX(상세표[부서],$Q2968)&amp;"")</f>
        <v/>
      </c>
      <c r="B2968">
        <f>IF($Q2968="","",INDEX(상세표[사번],$Q2968)&amp;"")</f>
        <v/>
      </c>
      <c r="C2968">
        <f>IF($Q2968="","",INDEX(상세표[성명],$Q2968)&amp;"")</f>
        <v/>
      </c>
      <c r="D2968">
        <f>IF($Q2968="","",INDEX(상세표[직위],$Q2968)&amp;"")</f>
        <v/>
      </c>
      <c r="E2968">
        <f>IF($Q2968="","",IF(ISNUMBER(INDEX(상세표[근무일자],$Q2968)),TEXT(INDEX(상세표[근무일자],$Q2968),"yyyy-mm-dd"),INDEX(상세표[근무일자],$Q2968)&amp;""))</f>
        <v/>
      </c>
      <c r="F2968">
        <f>IF($Q2968="","",IF(ISNUMBER(INDEX(상세표[시작],$Q2968)),TEXT(INDEX(상세표[시작],$Q2968),"yyyy-mm-dd hh:mm"),INDEX(상세표[시작],$Q2968)&amp;""))</f>
        <v/>
      </c>
      <c r="G2968">
        <f>IF($Q2968="","",IF(ISNUMBER(INDEX(상세표[블록종료],$Q2968)),TEXT(INDEX(상세표[블록종료],$Q2968),"yyyy-mm-dd hh:mm"),INDEX(상세표[블록종료],$Q2968)&amp;""))</f>
        <v/>
      </c>
      <c r="H2968">
        <f>IF($Q2968="","",CHOOSE(WEEKDAY(INDEX(상세표[시작],$Q2968)),"일","월","화","수","목","금","토"))</f>
        <v/>
      </c>
      <c r="I2968" s="20">
        <f>IF($Q2968="","",INDEX(상세표[연속 시간],$Q2968))</f>
        <v/>
      </c>
      <c r="J2968">
        <f>IF($Q2968="","",INDEX(상세표[기록 수],$Q2968))</f>
        <v/>
      </c>
      <c r="K2968" s="20">
        <f>IF($Q2968="","",INDEX(상세표[블록 06~07시],$Q2968))</f>
        <v/>
      </c>
      <c r="L2968" s="20">
        <f>IF($Q2968="","",INDEX(상세표[블록 07~18시],$Q2968))</f>
        <v/>
      </c>
      <c r="M2968" s="20">
        <f>IF($Q2968="","",INDEX(상세표[블록 18~22시],$Q2968))</f>
        <v/>
      </c>
      <c r="N2968" s="20">
        <f>IF($Q2968="","",INDEX(상세표[블록 22~06시],$Q2968))</f>
        <v/>
      </c>
      <c r="O2968">
        <f>IF($Q2968="","",INDEX(상세표[주말·휴일 포함],$Q2968)&amp;"")</f>
        <v/>
      </c>
      <c r="P2968">
        <f>IF($Q2968="","",INDEX(상세표[월 넘김 포함],$Q2968)&amp;"")</f>
        <v/>
      </c>
      <c r="Q2968" s="4">
        <f>IFERROR(MATCH(2963,상세표[연속순번],0),"")</f>
        <v/>
      </c>
    </row>
    <row r="2969">
      <c r="A2969">
        <f>IF($Q2969="","",INDEX(상세표[부서],$Q2969)&amp;"")</f>
        <v/>
      </c>
      <c r="B2969">
        <f>IF($Q2969="","",INDEX(상세표[사번],$Q2969)&amp;"")</f>
        <v/>
      </c>
      <c r="C2969">
        <f>IF($Q2969="","",INDEX(상세표[성명],$Q2969)&amp;"")</f>
        <v/>
      </c>
      <c r="D2969">
        <f>IF($Q2969="","",INDEX(상세표[직위],$Q2969)&amp;"")</f>
        <v/>
      </c>
      <c r="E2969">
        <f>IF($Q2969="","",IF(ISNUMBER(INDEX(상세표[근무일자],$Q2969)),TEXT(INDEX(상세표[근무일자],$Q2969),"yyyy-mm-dd"),INDEX(상세표[근무일자],$Q2969)&amp;""))</f>
        <v/>
      </c>
      <c r="F2969">
        <f>IF($Q2969="","",IF(ISNUMBER(INDEX(상세표[시작],$Q2969)),TEXT(INDEX(상세표[시작],$Q2969),"yyyy-mm-dd hh:mm"),INDEX(상세표[시작],$Q2969)&amp;""))</f>
        <v/>
      </c>
      <c r="G2969">
        <f>IF($Q2969="","",IF(ISNUMBER(INDEX(상세표[블록종료],$Q2969)),TEXT(INDEX(상세표[블록종료],$Q2969),"yyyy-mm-dd hh:mm"),INDEX(상세표[블록종료],$Q2969)&amp;""))</f>
        <v/>
      </c>
      <c r="H2969">
        <f>IF($Q2969="","",CHOOSE(WEEKDAY(INDEX(상세표[시작],$Q2969)),"일","월","화","수","목","금","토"))</f>
        <v/>
      </c>
      <c r="I2969" s="20">
        <f>IF($Q2969="","",INDEX(상세표[연속 시간],$Q2969))</f>
        <v/>
      </c>
      <c r="J2969">
        <f>IF($Q2969="","",INDEX(상세표[기록 수],$Q2969))</f>
        <v/>
      </c>
      <c r="K2969" s="20">
        <f>IF($Q2969="","",INDEX(상세표[블록 06~07시],$Q2969))</f>
        <v/>
      </c>
      <c r="L2969" s="20">
        <f>IF($Q2969="","",INDEX(상세표[블록 07~18시],$Q2969))</f>
        <v/>
      </c>
      <c r="M2969" s="20">
        <f>IF($Q2969="","",INDEX(상세표[블록 18~22시],$Q2969))</f>
        <v/>
      </c>
      <c r="N2969" s="20">
        <f>IF($Q2969="","",INDEX(상세표[블록 22~06시],$Q2969))</f>
        <v/>
      </c>
      <c r="O2969">
        <f>IF($Q2969="","",INDEX(상세표[주말·휴일 포함],$Q2969)&amp;"")</f>
        <v/>
      </c>
      <c r="P2969">
        <f>IF($Q2969="","",INDEX(상세표[월 넘김 포함],$Q2969)&amp;"")</f>
        <v/>
      </c>
      <c r="Q2969" s="4">
        <f>IFERROR(MATCH(2964,상세표[연속순번],0),"")</f>
        <v/>
      </c>
    </row>
    <row r="2970">
      <c r="A2970">
        <f>IF($Q2970="","",INDEX(상세표[부서],$Q2970)&amp;"")</f>
        <v/>
      </c>
      <c r="B2970">
        <f>IF($Q2970="","",INDEX(상세표[사번],$Q2970)&amp;"")</f>
        <v/>
      </c>
      <c r="C2970">
        <f>IF($Q2970="","",INDEX(상세표[성명],$Q2970)&amp;"")</f>
        <v/>
      </c>
      <c r="D2970">
        <f>IF($Q2970="","",INDEX(상세표[직위],$Q2970)&amp;"")</f>
        <v/>
      </c>
      <c r="E2970">
        <f>IF($Q2970="","",IF(ISNUMBER(INDEX(상세표[근무일자],$Q2970)),TEXT(INDEX(상세표[근무일자],$Q2970),"yyyy-mm-dd"),INDEX(상세표[근무일자],$Q2970)&amp;""))</f>
        <v/>
      </c>
      <c r="F2970">
        <f>IF($Q2970="","",IF(ISNUMBER(INDEX(상세표[시작],$Q2970)),TEXT(INDEX(상세표[시작],$Q2970),"yyyy-mm-dd hh:mm"),INDEX(상세표[시작],$Q2970)&amp;""))</f>
        <v/>
      </c>
      <c r="G2970">
        <f>IF($Q2970="","",IF(ISNUMBER(INDEX(상세표[블록종료],$Q2970)),TEXT(INDEX(상세표[블록종료],$Q2970),"yyyy-mm-dd hh:mm"),INDEX(상세표[블록종료],$Q2970)&amp;""))</f>
        <v/>
      </c>
      <c r="H2970">
        <f>IF($Q2970="","",CHOOSE(WEEKDAY(INDEX(상세표[시작],$Q2970)),"일","월","화","수","목","금","토"))</f>
        <v/>
      </c>
      <c r="I2970" s="20">
        <f>IF($Q2970="","",INDEX(상세표[연속 시간],$Q2970))</f>
        <v/>
      </c>
      <c r="J2970">
        <f>IF($Q2970="","",INDEX(상세표[기록 수],$Q2970))</f>
        <v/>
      </c>
      <c r="K2970" s="20">
        <f>IF($Q2970="","",INDEX(상세표[블록 06~07시],$Q2970))</f>
        <v/>
      </c>
      <c r="L2970" s="20">
        <f>IF($Q2970="","",INDEX(상세표[블록 07~18시],$Q2970))</f>
        <v/>
      </c>
      <c r="M2970" s="20">
        <f>IF($Q2970="","",INDEX(상세표[블록 18~22시],$Q2970))</f>
        <v/>
      </c>
      <c r="N2970" s="20">
        <f>IF($Q2970="","",INDEX(상세표[블록 22~06시],$Q2970))</f>
        <v/>
      </c>
      <c r="O2970">
        <f>IF($Q2970="","",INDEX(상세표[주말·휴일 포함],$Q2970)&amp;"")</f>
        <v/>
      </c>
      <c r="P2970">
        <f>IF($Q2970="","",INDEX(상세표[월 넘김 포함],$Q2970)&amp;"")</f>
        <v/>
      </c>
      <c r="Q2970" s="4">
        <f>IFERROR(MATCH(2965,상세표[연속순번],0),"")</f>
        <v/>
      </c>
    </row>
    <row r="2971">
      <c r="A2971">
        <f>IF($Q2971="","",INDEX(상세표[부서],$Q2971)&amp;"")</f>
        <v/>
      </c>
      <c r="B2971">
        <f>IF($Q2971="","",INDEX(상세표[사번],$Q2971)&amp;"")</f>
        <v/>
      </c>
      <c r="C2971">
        <f>IF($Q2971="","",INDEX(상세표[성명],$Q2971)&amp;"")</f>
        <v/>
      </c>
      <c r="D2971">
        <f>IF($Q2971="","",INDEX(상세표[직위],$Q2971)&amp;"")</f>
        <v/>
      </c>
      <c r="E2971">
        <f>IF($Q2971="","",IF(ISNUMBER(INDEX(상세표[근무일자],$Q2971)),TEXT(INDEX(상세표[근무일자],$Q2971),"yyyy-mm-dd"),INDEX(상세표[근무일자],$Q2971)&amp;""))</f>
        <v/>
      </c>
      <c r="F2971">
        <f>IF($Q2971="","",IF(ISNUMBER(INDEX(상세표[시작],$Q2971)),TEXT(INDEX(상세표[시작],$Q2971),"yyyy-mm-dd hh:mm"),INDEX(상세표[시작],$Q2971)&amp;""))</f>
        <v/>
      </c>
      <c r="G2971">
        <f>IF($Q2971="","",IF(ISNUMBER(INDEX(상세표[블록종료],$Q2971)),TEXT(INDEX(상세표[블록종료],$Q2971),"yyyy-mm-dd hh:mm"),INDEX(상세표[블록종료],$Q2971)&amp;""))</f>
        <v/>
      </c>
      <c r="H2971">
        <f>IF($Q2971="","",CHOOSE(WEEKDAY(INDEX(상세표[시작],$Q2971)),"일","월","화","수","목","금","토"))</f>
        <v/>
      </c>
      <c r="I2971" s="20">
        <f>IF($Q2971="","",INDEX(상세표[연속 시간],$Q2971))</f>
        <v/>
      </c>
      <c r="J2971">
        <f>IF($Q2971="","",INDEX(상세표[기록 수],$Q2971))</f>
        <v/>
      </c>
      <c r="K2971" s="20">
        <f>IF($Q2971="","",INDEX(상세표[블록 06~07시],$Q2971))</f>
        <v/>
      </c>
      <c r="L2971" s="20">
        <f>IF($Q2971="","",INDEX(상세표[블록 07~18시],$Q2971))</f>
        <v/>
      </c>
      <c r="M2971" s="20">
        <f>IF($Q2971="","",INDEX(상세표[블록 18~22시],$Q2971))</f>
        <v/>
      </c>
      <c r="N2971" s="20">
        <f>IF($Q2971="","",INDEX(상세표[블록 22~06시],$Q2971))</f>
        <v/>
      </c>
      <c r="O2971">
        <f>IF($Q2971="","",INDEX(상세표[주말·휴일 포함],$Q2971)&amp;"")</f>
        <v/>
      </c>
      <c r="P2971">
        <f>IF($Q2971="","",INDEX(상세표[월 넘김 포함],$Q2971)&amp;"")</f>
        <v/>
      </c>
      <c r="Q2971" s="4">
        <f>IFERROR(MATCH(2966,상세표[연속순번],0),"")</f>
        <v/>
      </c>
    </row>
    <row r="2972">
      <c r="A2972">
        <f>IF($Q2972="","",INDEX(상세표[부서],$Q2972)&amp;"")</f>
        <v/>
      </c>
      <c r="B2972">
        <f>IF($Q2972="","",INDEX(상세표[사번],$Q2972)&amp;"")</f>
        <v/>
      </c>
      <c r="C2972">
        <f>IF($Q2972="","",INDEX(상세표[성명],$Q2972)&amp;"")</f>
        <v/>
      </c>
      <c r="D2972">
        <f>IF($Q2972="","",INDEX(상세표[직위],$Q2972)&amp;"")</f>
        <v/>
      </c>
      <c r="E2972">
        <f>IF($Q2972="","",IF(ISNUMBER(INDEX(상세표[근무일자],$Q2972)),TEXT(INDEX(상세표[근무일자],$Q2972),"yyyy-mm-dd"),INDEX(상세표[근무일자],$Q2972)&amp;""))</f>
        <v/>
      </c>
      <c r="F2972">
        <f>IF($Q2972="","",IF(ISNUMBER(INDEX(상세표[시작],$Q2972)),TEXT(INDEX(상세표[시작],$Q2972),"yyyy-mm-dd hh:mm"),INDEX(상세표[시작],$Q2972)&amp;""))</f>
        <v/>
      </c>
      <c r="G2972">
        <f>IF($Q2972="","",IF(ISNUMBER(INDEX(상세표[블록종료],$Q2972)),TEXT(INDEX(상세표[블록종료],$Q2972),"yyyy-mm-dd hh:mm"),INDEX(상세표[블록종료],$Q2972)&amp;""))</f>
        <v/>
      </c>
      <c r="H2972">
        <f>IF($Q2972="","",CHOOSE(WEEKDAY(INDEX(상세표[시작],$Q2972)),"일","월","화","수","목","금","토"))</f>
        <v/>
      </c>
      <c r="I2972" s="20">
        <f>IF($Q2972="","",INDEX(상세표[연속 시간],$Q2972))</f>
        <v/>
      </c>
      <c r="J2972">
        <f>IF($Q2972="","",INDEX(상세표[기록 수],$Q2972))</f>
        <v/>
      </c>
      <c r="K2972" s="20">
        <f>IF($Q2972="","",INDEX(상세표[블록 06~07시],$Q2972))</f>
        <v/>
      </c>
      <c r="L2972" s="20">
        <f>IF($Q2972="","",INDEX(상세표[블록 07~18시],$Q2972))</f>
        <v/>
      </c>
      <c r="M2972" s="20">
        <f>IF($Q2972="","",INDEX(상세표[블록 18~22시],$Q2972))</f>
        <v/>
      </c>
      <c r="N2972" s="20">
        <f>IF($Q2972="","",INDEX(상세표[블록 22~06시],$Q2972))</f>
        <v/>
      </c>
      <c r="O2972">
        <f>IF($Q2972="","",INDEX(상세표[주말·휴일 포함],$Q2972)&amp;"")</f>
        <v/>
      </c>
      <c r="P2972">
        <f>IF($Q2972="","",INDEX(상세표[월 넘김 포함],$Q2972)&amp;"")</f>
        <v/>
      </c>
      <c r="Q2972" s="4">
        <f>IFERROR(MATCH(2967,상세표[연속순번],0),"")</f>
        <v/>
      </c>
    </row>
    <row r="2973">
      <c r="A2973">
        <f>IF($Q2973="","",INDEX(상세표[부서],$Q2973)&amp;"")</f>
        <v/>
      </c>
      <c r="B2973">
        <f>IF($Q2973="","",INDEX(상세표[사번],$Q2973)&amp;"")</f>
        <v/>
      </c>
      <c r="C2973">
        <f>IF($Q2973="","",INDEX(상세표[성명],$Q2973)&amp;"")</f>
        <v/>
      </c>
      <c r="D2973">
        <f>IF($Q2973="","",INDEX(상세표[직위],$Q2973)&amp;"")</f>
        <v/>
      </c>
      <c r="E2973">
        <f>IF($Q2973="","",IF(ISNUMBER(INDEX(상세표[근무일자],$Q2973)),TEXT(INDEX(상세표[근무일자],$Q2973),"yyyy-mm-dd"),INDEX(상세표[근무일자],$Q2973)&amp;""))</f>
        <v/>
      </c>
      <c r="F2973">
        <f>IF($Q2973="","",IF(ISNUMBER(INDEX(상세표[시작],$Q2973)),TEXT(INDEX(상세표[시작],$Q2973),"yyyy-mm-dd hh:mm"),INDEX(상세표[시작],$Q2973)&amp;""))</f>
        <v/>
      </c>
      <c r="G2973">
        <f>IF($Q2973="","",IF(ISNUMBER(INDEX(상세표[블록종료],$Q2973)),TEXT(INDEX(상세표[블록종료],$Q2973),"yyyy-mm-dd hh:mm"),INDEX(상세표[블록종료],$Q2973)&amp;""))</f>
        <v/>
      </c>
      <c r="H2973">
        <f>IF($Q2973="","",CHOOSE(WEEKDAY(INDEX(상세표[시작],$Q2973)),"일","월","화","수","목","금","토"))</f>
        <v/>
      </c>
      <c r="I2973" s="20">
        <f>IF($Q2973="","",INDEX(상세표[연속 시간],$Q2973))</f>
        <v/>
      </c>
      <c r="J2973">
        <f>IF($Q2973="","",INDEX(상세표[기록 수],$Q2973))</f>
        <v/>
      </c>
      <c r="K2973" s="20">
        <f>IF($Q2973="","",INDEX(상세표[블록 06~07시],$Q2973))</f>
        <v/>
      </c>
      <c r="L2973" s="20">
        <f>IF($Q2973="","",INDEX(상세표[블록 07~18시],$Q2973))</f>
        <v/>
      </c>
      <c r="M2973" s="20">
        <f>IF($Q2973="","",INDEX(상세표[블록 18~22시],$Q2973))</f>
        <v/>
      </c>
      <c r="N2973" s="20">
        <f>IF($Q2973="","",INDEX(상세표[블록 22~06시],$Q2973))</f>
        <v/>
      </c>
      <c r="O2973">
        <f>IF($Q2973="","",INDEX(상세표[주말·휴일 포함],$Q2973)&amp;"")</f>
        <v/>
      </c>
      <c r="P2973">
        <f>IF($Q2973="","",INDEX(상세표[월 넘김 포함],$Q2973)&amp;"")</f>
        <v/>
      </c>
      <c r="Q2973" s="4">
        <f>IFERROR(MATCH(2968,상세표[연속순번],0),"")</f>
        <v/>
      </c>
    </row>
    <row r="2974">
      <c r="A2974">
        <f>IF($Q2974="","",INDEX(상세표[부서],$Q2974)&amp;"")</f>
        <v/>
      </c>
      <c r="B2974">
        <f>IF($Q2974="","",INDEX(상세표[사번],$Q2974)&amp;"")</f>
        <v/>
      </c>
      <c r="C2974">
        <f>IF($Q2974="","",INDEX(상세표[성명],$Q2974)&amp;"")</f>
        <v/>
      </c>
      <c r="D2974">
        <f>IF($Q2974="","",INDEX(상세표[직위],$Q2974)&amp;"")</f>
        <v/>
      </c>
      <c r="E2974">
        <f>IF($Q2974="","",IF(ISNUMBER(INDEX(상세표[근무일자],$Q2974)),TEXT(INDEX(상세표[근무일자],$Q2974),"yyyy-mm-dd"),INDEX(상세표[근무일자],$Q2974)&amp;""))</f>
        <v/>
      </c>
      <c r="F2974">
        <f>IF($Q2974="","",IF(ISNUMBER(INDEX(상세표[시작],$Q2974)),TEXT(INDEX(상세표[시작],$Q2974),"yyyy-mm-dd hh:mm"),INDEX(상세표[시작],$Q2974)&amp;""))</f>
        <v/>
      </c>
      <c r="G2974">
        <f>IF($Q2974="","",IF(ISNUMBER(INDEX(상세표[블록종료],$Q2974)),TEXT(INDEX(상세표[블록종료],$Q2974),"yyyy-mm-dd hh:mm"),INDEX(상세표[블록종료],$Q2974)&amp;""))</f>
        <v/>
      </c>
      <c r="H2974">
        <f>IF($Q2974="","",CHOOSE(WEEKDAY(INDEX(상세표[시작],$Q2974)),"일","월","화","수","목","금","토"))</f>
        <v/>
      </c>
      <c r="I2974" s="20">
        <f>IF($Q2974="","",INDEX(상세표[연속 시간],$Q2974))</f>
        <v/>
      </c>
      <c r="J2974">
        <f>IF($Q2974="","",INDEX(상세표[기록 수],$Q2974))</f>
        <v/>
      </c>
      <c r="K2974" s="20">
        <f>IF($Q2974="","",INDEX(상세표[블록 06~07시],$Q2974))</f>
        <v/>
      </c>
      <c r="L2974" s="20">
        <f>IF($Q2974="","",INDEX(상세표[블록 07~18시],$Q2974))</f>
        <v/>
      </c>
      <c r="M2974" s="20">
        <f>IF($Q2974="","",INDEX(상세표[블록 18~22시],$Q2974))</f>
        <v/>
      </c>
      <c r="N2974" s="20">
        <f>IF($Q2974="","",INDEX(상세표[블록 22~06시],$Q2974))</f>
        <v/>
      </c>
      <c r="O2974">
        <f>IF($Q2974="","",INDEX(상세표[주말·휴일 포함],$Q2974)&amp;"")</f>
        <v/>
      </c>
      <c r="P2974">
        <f>IF($Q2974="","",INDEX(상세표[월 넘김 포함],$Q2974)&amp;"")</f>
        <v/>
      </c>
      <c r="Q2974" s="4">
        <f>IFERROR(MATCH(2969,상세표[연속순번],0),"")</f>
        <v/>
      </c>
    </row>
    <row r="2975">
      <c r="A2975">
        <f>IF($Q2975="","",INDEX(상세표[부서],$Q2975)&amp;"")</f>
        <v/>
      </c>
      <c r="B2975">
        <f>IF($Q2975="","",INDEX(상세표[사번],$Q2975)&amp;"")</f>
        <v/>
      </c>
      <c r="C2975">
        <f>IF($Q2975="","",INDEX(상세표[성명],$Q2975)&amp;"")</f>
        <v/>
      </c>
      <c r="D2975">
        <f>IF($Q2975="","",INDEX(상세표[직위],$Q2975)&amp;"")</f>
        <v/>
      </c>
      <c r="E2975">
        <f>IF($Q2975="","",IF(ISNUMBER(INDEX(상세표[근무일자],$Q2975)),TEXT(INDEX(상세표[근무일자],$Q2975),"yyyy-mm-dd"),INDEX(상세표[근무일자],$Q2975)&amp;""))</f>
        <v/>
      </c>
      <c r="F2975">
        <f>IF($Q2975="","",IF(ISNUMBER(INDEX(상세표[시작],$Q2975)),TEXT(INDEX(상세표[시작],$Q2975),"yyyy-mm-dd hh:mm"),INDEX(상세표[시작],$Q2975)&amp;""))</f>
        <v/>
      </c>
      <c r="G2975">
        <f>IF($Q2975="","",IF(ISNUMBER(INDEX(상세표[블록종료],$Q2975)),TEXT(INDEX(상세표[블록종료],$Q2975),"yyyy-mm-dd hh:mm"),INDEX(상세표[블록종료],$Q2975)&amp;""))</f>
        <v/>
      </c>
      <c r="H2975">
        <f>IF($Q2975="","",CHOOSE(WEEKDAY(INDEX(상세표[시작],$Q2975)),"일","월","화","수","목","금","토"))</f>
        <v/>
      </c>
      <c r="I2975" s="20">
        <f>IF($Q2975="","",INDEX(상세표[연속 시간],$Q2975))</f>
        <v/>
      </c>
      <c r="J2975">
        <f>IF($Q2975="","",INDEX(상세표[기록 수],$Q2975))</f>
        <v/>
      </c>
      <c r="K2975" s="20">
        <f>IF($Q2975="","",INDEX(상세표[블록 06~07시],$Q2975))</f>
        <v/>
      </c>
      <c r="L2975" s="20">
        <f>IF($Q2975="","",INDEX(상세표[블록 07~18시],$Q2975))</f>
        <v/>
      </c>
      <c r="M2975" s="20">
        <f>IF($Q2975="","",INDEX(상세표[블록 18~22시],$Q2975))</f>
        <v/>
      </c>
      <c r="N2975" s="20">
        <f>IF($Q2975="","",INDEX(상세표[블록 22~06시],$Q2975))</f>
        <v/>
      </c>
      <c r="O2975">
        <f>IF($Q2975="","",INDEX(상세표[주말·휴일 포함],$Q2975)&amp;"")</f>
        <v/>
      </c>
      <c r="P2975">
        <f>IF($Q2975="","",INDEX(상세표[월 넘김 포함],$Q2975)&amp;"")</f>
        <v/>
      </c>
      <c r="Q2975" s="4">
        <f>IFERROR(MATCH(2970,상세표[연속순번],0),"")</f>
        <v/>
      </c>
    </row>
    <row r="2976">
      <c r="A2976">
        <f>IF($Q2976="","",INDEX(상세표[부서],$Q2976)&amp;"")</f>
        <v/>
      </c>
      <c r="B2976">
        <f>IF($Q2976="","",INDEX(상세표[사번],$Q2976)&amp;"")</f>
        <v/>
      </c>
      <c r="C2976">
        <f>IF($Q2976="","",INDEX(상세표[성명],$Q2976)&amp;"")</f>
        <v/>
      </c>
      <c r="D2976">
        <f>IF($Q2976="","",INDEX(상세표[직위],$Q2976)&amp;"")</f>
        <v/>
      </c>
      <c r="E2976">
        <f>IF($Q2976="","",IF(ISNUMBER(INDEX(상세표[근무일자],$Q2976)),TEXT(INDEX(상세표[근무일자],$Q2976),"yyyy-mm-dd"),INDEX(상세표[근무일자],$Q2976)&amp;""))</f>
        <v/>
      </c>
      <c r="F2976">
        <f>IF($Q2976="","",IF(ISNUMBER(INDEX(상세표[시작],$Q2976)),TEXT(INDEX(상세표[시작],$Q2976),"yyyy-mm-dd hh:mm"),INDEX(상세표[시작],$Q2976)&amp;""))</f>
        <v/>
      </c>
      <c r="G2976">
        <f>IF($Q2976="","",IF(ISNUMBER(INDEX(상세표[블록종료],$Q2976)),TEXT(INDEX(상세표[블록종료],$Q2976),"yyyy-mm-dd hh:mm"),INDEX(상세표[블록종료],$Q2976)&amp;""))</f>
        <v/>
      </c>
      <c r="H2976">
        <f>IF($Q2976="","",CHOOSE(WEEKDAY(INDEX(상세표[시작],$Q2976)),"일","월","화","수","목","금","토"))</f>
        <v/>
      </c>
      <c r="I2976" s="20">
        <f>IF($Q2976="","",INDEX(상세표[연속 시간],$Q2976))</f>
        <v/>
      </c>
      <c r="J2976">
        <f>IF($Q2976="","",INDEX(상세표[기록 수],$Q2976))</f>
        <v/>
      </c>
      <c r="K2976" s="20">
        <f>IF($Q2976="","",INDEX(상세표[블록 06~07시],$Q2976))</f>
        <v/>
      </c>
      <c r="L2976" s="20">
        <f>IF($Q2976="","",INDEX(상세표[블록 07~18시],$Q2976))</f>
        <v/>
      </c>
      <c r="M2976" s="20">
        <f>IF($Q2976="","",INDEX(상세표[블록 18~22시],$Q2976))</f>
        <v/>
      </c>
      <c r="N2976" s="20">
        <f>IF($Q2976="","",INDEX(상세표[블록 22~06시],$Q2976))</f>
        <v/>
      </c>
      <c r="O2976">
        <f>IF($Q2976="","",INDEX(상세표[주말·휴일 포함],$Q2976)&amp;"")</f>
        <v/>
      </c>
      <c r="P2976">
        <f>IF($Q2976="","",INDEX(상세표[월 넘김 포함],$Q2976)&amp;"")</f>
        <v/>
      </c>
      <c r="Q2976" s="4">
        <f>IFERROR(MATCH(2971,상세표[연속순번],0),"")</f>
        <v/>
      </c>
    </row>
    <row r="2977">
      <c r="A2977">
        <f>IF($Q2977="","",INDEX(상세표[부서],$Q2977)&amp;"")</f>
        <v/>
      </c>
      <c r="B2977">
        <f>IF($Q2977="","",INDEX(상세표[사번],$Q2977)&amp;"")</f>
        <v/>
      </c>
      <c r="C2977">
        <f>IF($Q2977="","",INDEX(상세표[성명],$Q2977)&amp;"")</f>
        <v/>
      </c>
      <c r="D2977">
        <f>IF($Q2977="","",INDEX(상세표[직위],$Q2977)&amp;"")</f>
        <v/>
      </c>
      <c r="E2977">
        <f>IF($Q2977="","",IF(ISNUMBER(INDEX(상세표[근무일자],$Q2977)),TEXT(INDEX(상세표[근무일자],$Q2977),"yyyy-mm-dd"),INDEX(상세표[근무일자],$Q2977)&amp;""))</f>
        <v/>
      </c>
      <c r="F2977">
        <f>IF($Q2977="","",IF(ISNUMBER(INDEX(상세표[시작],$Q2977)),TEXT(INDEX(상세표[시작],$Q2977),"yyyy-mm-dd hh:mm"),INDEX(상세표[시작],$Q2977)&amp;""))</f>
        <v/>
      </c>
      <c r="G2977">
        <f>IF($Q2977="","",IF(ISNUMBER(INDEX(상세표[블록종료],$Q2977)),TEXT(INDEX(상세표[블록종료],$Q2977),"yyyy-mm-dd hh:mm"),INDEX(상세표[블록종료],$Q2977)&amp;""))</f>
        <v/>
      </c>
      <c r="H2977">
        <f>IF($Q2977="","",CHOOSE(WEEKDAY(INDEX(상세표[시작],$Q2977)),"일","월","화","수","목","금","토"))</f>
        <v/>
      </c>
      <c r="I2977" s="20">
        <f>IF($Q2977="","",INDEX(상세표[연속 시간],$Q2977))</f>
        <v/>
      </c>
      <c r="J2977">
        <f>IF($Q2977="","",INDEX(상세표[기록 수],$Q2977))</f>
        <v/>
      </c>
      <c r="K2977" s="20">
        <f>IF($Q2977="","",INDEX(상세표[블록 06~07시],$Q2977))</f>
        <v/>
      </c>
      <c r="L2977" s="20">
        <f>IF($Q2977="","",INDEX(상세표[블록 07~18시],$Q2977))</f>
        <v/>
      </c>
      <c r="M2977" s="20">
        <f>IF($Q2977="","",INDEX(상세표[블록 18~22시],$Q2977))</f>
        <v/>
      </c>
      <c r="N2977" s="20">
        <f>IF($Q2977="","",INDEX(상세표[블록 22~06시],$Q2977))</f>
        <v/>
      </c>
      <c r="O2977">
        <f>IF($Q2977="","",INDEX(상세표[주말·휴일 포함],$Q2977)&amp;"")</f>
        <v/>
      </c>
      <c r="P2977">
        <f>IF($Q2977="","",INDEX(상세표[월 넘김 포함],$Q2977)&amp;"")</f>
        <v/>
      </c>
      <c r="Q2977" s="4">
        <f>IFERROR(MATCH(2972,상세표[연속순번],0),"")</f>
        <v/>
      </c>
    </row>
    <row r="2978">
      <c r="A2978">
        <f>IF($Q2978="","",INDEX(상세표[부서],$Q2978)&amp;"")</f>
        <v/>
      </c>
      <c r="B2978">
        <f>IF($Q2978="","",INDEX(상세표[사번],$Q2978)&amp;"")</f>
        <v/>
      </c>
      <c r="C2978">
        <f>IF($Q2978="","",INDEX(상세표[성명],$Q2978)&amp;"")</f>
        <v/>
      </c>
      <c r="D2978">
        <f>IF($Q2978="","",INDEX(상세표[직위],$Q2978)&amp;"")</f>
        <v/>
      </c>
      <c r="E2978">
        <f>IF($Q2978="","",IF(ISNUMBER(INDEX(상세표[근무일자],$Q2978)),TEXT(INDEX(상세표[근무일자],$Q2978),"yyyy-mm-dd"),INDEX(상세표[근무일자],$Q2978)&amp;""))</f>
        <v/>
      </c>
      <c r="F2978">
        <f>IF($Q2978="","",IF(ISNUMBER(INDEX(상세표[시작],$Q2978)),TEXT(INDEX(상세표[시작],$Q2978),"yyyy-mm-dd hh:mm"),INDEX(상세표[시작],$Q2978)&amp;""))</f>
        <v/>
      </c>
      <c r="G2978">
        <f>IF($Q2978="","",IF(ISNUMBER(INDEX(상세표[블록종료],$Q2978)),TEXT(INDEX(상세표[블록종료],$Q2978),"yyyy-mm-dd hh:mm"),INDEX(상세표[블록종료],$Q2978)&amp;""))</f>
        <v/>
      </c>
      <c r="H2978">
        <f>IF($Q2978="","",CHOOSE(WEEKDAY(INDEX(상세표[시작],$Q2978)),"일","월","화","수","목","금","토"))</f>
        <v/>
      </c>
      <c r="I2978" s="20">
        <f>IF($Q2978="","",INDEX(상세표[연속 시간],$Q2978))</f>
        <v/>
      </c>
      <c r="J2978">
        <f>IF($Q2978="","",INDEX(상세표[기록 수],$Q2978))</f>
        <v/>
      </c>
      <c r="K2978" s="20">
        <f>IF($Q2978="","",INDEX(상세표[블록 06~07시],$Q2978))</f>
        <v/>
      </c>
      <c r="L2978" s="20">
        <f>IF($Q2978="","",INDEX(상세표[블록 07~18시],$Q2978))</f>
        <v/>
      </c>
      <c r="M2978" s="20">
        <f>IF($Q2978="","",INDEX(상세표[블록 18~22시],$Q2978))</f>
        <v/>
      </c>
      <c r="N2978" s="20">
        <f>IF($Q2978="","",INDEX(상세표[블록 22~06시],$Q2978))</f>
        <v/>
      </c>
      <c r="O2978">
        <f>IF($Q2978="","",INDEX(상세표[주말·휴일 포함],$Q2978)&amp;"")</f>
        <v/>
      </c>
      <c r="P2978">
        <f>IF($Q2978="","",INDEX(상세표[월 넘김 포함],$Q2978)&amp;"")</f>
        <v/>
      </c>
      <c r="Q2978" s="4">
        <f>IFERROR(MATCH(2973,상세표[연속순번],0),"")</f>
        <v/>
      </c>
    </row>
    <row r="2979">
      <c r="A2979">
        <f>IF($Q2979="","",INDEX(상세표[부서],$Q2979)&amp;"")</f>
        <v/>
      </c>
      <c r="B2979">
        <f>IF($Q2979="","",INDEX(상세표[사번],$Q2979)&amp;"")</f>
        <v/>
      </c>
      <c r="C2979">
        <f>IF($Q2979="","",INDEX(상세표[성명],$Q2979)&amp;"")</f>
        <v/>
      </c>
      <c r="D2979">
        <f>IF($Q2979="","",INDEX(상세표[직위],$Q2979)&amp;"")</f>
        <v/>
      </c>
      <c r="E2979">
        <f>IF($Q2979="","",IF(ISNUMBER(INDEX(상세표[근무일자],$Q2979)),TEXT(INDEX(상세표[근무일자],$Q2979),"yyyy-mm-dd"),INDEX(상세표[근무일자],$Q2979)&amp;""))</f>
        <v/>
      </c>
      <c r="F2979">
        <f>IF($Q2979="","",IF(ISNUMBER(INDEX(상세표[시작],$Q2979)),TEXT(INDEX(상세표[시작],$Q2979),"yyyy-mm-dd hh:mm"),INDEX(상세표[시작],$Q2979)&amp;""))</f>
        <v/>
      </c>
      <c r="G2979">
        <f>IF($Q2979="","",IF(ISNUMBER(INDEX(상세표[블록종료],$Q2979)),TEXT(INDEX(상세표[블록종료],$Q2979),"yyyy-mm-dd hh:mm"),INDEX(상세표[블록종료],$Q2979)&amp;""))</f>
        <v/>
      </c>
      <c r="H2979">
        <f>IF($Q2979="","",CHOOSE(WEEKDAY(INDEX(상세표[시작],$Q2979)),"일","월","화","수","목","금","토"))</f>
        <v/>
      </c>
      <c r="I2979" s="20">
        <f>IF($Q2979="","",INDEX(상세표[연속 시간],$Q2979))</f>
        <v/>
      </c>
      <c r="J2979">
        <f>IF($Q2979="","",INDEX(상세표[기록 수],$Q2979))</f>
        <v/>
      </c>
      <c r="K2979" s="20">
        <f>IF($Q2979="","",INDEX(상세표[블록 06~07시],$Q2979))</f>
        <v/>
      </c>
      <c r="L2979" s="20">
        <f>IF($Q2979="","",INDEX(상세표[블록 07~18시],$Q2979))</f>
        <v/>
      </c>
      <c r="M2979" s="20">
        <f>IF($Q2979="","",INDEX(상세표[블록 18~22시],$Q2979))</f>
        <v/>
      </c>
      <c r="N2979" s="20">
        <f>IF($Q2979="","",INDEX(상세표[블록 22~06시],$Q2979))</f>
        <v/>
      </c>
      <c r="O2979">
        <f>IF($Q2979="","",INDEX(상세표[주말·휴일 포함],$Q2979)&amp;"")</f>
        <v/>
      </c>
      <c r="P2979">
        <f>IF($Q2979="","",INDEX(상세표[월 넘김 포함],$Q2979)&amp;"")</f>
        <v/>
      </c>
      <c r="Q2979" s="4">
        <f>IFERROR(MATCH(2974,상세표[연속순번],0),"")</f>
        <v/>
      </c>
    </row>
    <row r="2980">
      <c r="A2980">
        <f>IF($Q2980="","",INDEX(상세표[부서],$Q2980)&amp;"")</f>
        <v/>
      </c>
      <c r="B2980">
        <f>IF($Q2980="","",INDEX(상세표[사번],$Q2980)&amp;"")</f>
        <v/>
      </c>
      <c r="C2980">
        <f>IF($Q2980="","",INDEX(상세표[성명],$Q2980)&amp;"")</f>
        <v/>
      </c>
      <c r="D2980">
        <f>IF($Q2980="","",INDEX(상세표[직위],$Q2980)&amp;"")</f>
        <v/>
      </c>
      <c r="E2980">
        <f>IF($Q2980="","",IF(ISNUMBER(INDEX(상세표[근무일자],$Q2980)),TEXT(INDEX(상세표[근무일자],$Q2980),"yyyy-mm-dd"),INDEX(상세표[근무일자],$Q2980)&amp;""))</f>
        <v/>
      </c>
      <c r="F2980">
        <f>IF($Q2980="","",IF(ISNUMBER(INDEX(상세표[시작],$Q2980)),TEXT(INDEX(상세표[시작],$Q2980),"yyyy-mm-dd hh:mm"),INDEX(상세표[시작],$Q2980)&amp;""))</f>
        <v/>
      </c>
      <c r="G2980">
        <f>IF($Q2980="","",IF(ISNUMBER(INDEX(상세표[블록종료],$Q2980)),TEXT(INDEX(상세표[블록종료],$Q2980),"yyyy-mm-dd hh:mm"),INDEX(상세표[블록종료],$Q2980)&amp;""))</f>
        <v/>
      </c>
      <c r="H2980">
        <f>IF($Q2980="","",CHOOSE(WEEKDAY(INDEX(상세표[시작],$Q2980)),"일","월","화","수","목","금","토"))</f>
        <v/>
      </c>
      <c r="I2980" s="20">
        <f>IF($Q2980="","",INDEX(상세표[연속 시간],$Q2980))</f>
        <v/>
      </c>
      <c r="J2980">
        <f>IF($Q2980="","",INDEX(상세표[기록 수],$Q2980))</f>
        <v/>
      </c>
      <c r="K2980" s="20">
        <f>IF($Q2980="","",INDEX(상세표[블록 06~07시],$Q2980))</f>
        <v/>
      </c>
      <c r="L2980" s="20">
        <f>IF($Q2980="","",INDEX(상세표[블록 07~18시],$Q2980))</f>
        <v/>
      </c>
      <c r="M2980" s="20">
        <f>IF($Q2980="","",INDEX(상세표[블록 18~22시],$Q2980))</f>
        <v/>
      </c>
      <c r="N2980" s="20">
        <f>IF($Q2980="","",INDEX(상세표[블록 22~06시],$Q2980))</f>
        <v/>
      </c>
      <c r="O2980">
        <f>IF($Q2980="","",INDEX(상세표[주말·휴일 포함],$Q2980)&amp;"")</f>
        <v/>
      </c>
      <c r="P2980">
        <f>IF($Q2980="","",INDEX(상세표[월 넘김 포함],$Q2980)&amp;"")</f>
        <v/>
      </c>
      <c r="Q2980" s="4">
        <f>IFERROR(MATCH(2975,상세표[연속순번],0),"")</f>
        <v/>
      </c>
    </row>
    <row r="2981">
      <c r="A2981">
        <f>IF($Q2981="","",INDEX(상세표[부서],$Q2981)&amp;"")</f>
        <v/>
      </c>
      <c r="B2981">
        <f>IF($Q2981="","",INDEX(상세표[사번],$Q2981)&amp;"")</f>
        <v/>
      </c>
      <c r="C2981">
        <f>IF($Q2981="","",INDEX(상세표[성명],$Q2981)&amp;"")</f>
        <v/>
      </c>
      <c r="D2981">
        <f>IF($Q2981="","",INDEX(상세표[직위],$Q2981)&amp;"")</f>
        <v/>
      </c>
      <c r="E2981">
        <f>IF($Q2981="","",IF(ISNUMBER(INDEX(상세표[근무일자],$Q2981)),TEXT(INDEX(상세표[근무일자],$Q2981),"yyyy-mm-dd"),INDEX(상세표[근무일자],$Q2981)&amp;""))</f>
        <v/>
      </c>
      <c r="F2981">
        <f>IF($Q2981="","",IF(ISNUMBER(INDEX(상세표[시작],$Q2981)),TEXT(INDEX(상세표[시작],$Q2981),"yyyy-mm-dd hh:mm"),INDEX(상세표[시작],$Q2981)&amp;""))</f>
        <v/>
      </c>
      <c r="G2981">
        <f>IF($Q2981="","",IF(ISNUMBER(INDEX(상세표[블록종료],$Q2981)),TEXT(INDEX(상세표[블록종료],$Q2981),"yyyy-mm-dd hh:mm"),INDEX(상세표[블록종료],$Q2981)&amp;""))</f>
        <v/>
      </c>
      <c r="H2981">
        <f>IF($Q2981="","",CHOOSE(WEEKDAY(INDEX(상세표[시작],$Q2981)),"일","월","화","수","목","금","토"))</f>
        <v/>
      </c>
      <c r="I2981" s="20">
        <f>IF($Q2981="","",INDEX(상세표[연속 시간],$Q2981))</f>
        <v/>
      </c>
      <c r="J2981">
        <f>IF($Q2981="","",INDEX(상세표[기록 수],$Q2981))</f>
        <v/>
      </c>
      <c r="K2981" s="20">
        <f>IF($Q2981="","",INDEX(상세표[블록 06~07시],$Q2981))</f>
        <v/>
      </c>
      <c r="L2981" s="20">
        <f>IF($Q2981="","",INDEX(상세표[블록 07~18시],$Q2981))</f>
        <v/>
      </c>
      <c r="M2981" s="20">
        <f>IF($Q2981="","",INDEX(상세표[블록 18~22시],$Q2981))</f>
        <v/>
      </c>
      <c r="N2981" s="20">
        <f>IF($Q2981="","",INDEX(상세표[블록 22~06시],$Q2981))</f>
        <v/>
      </c>
      <c r="O2981">
        <f>IF($Q2981="","",INDEX(상세표[주말·휴일 포함],$Q2981)&amp;"")</f>
        <v/>
      </c>
      <c r="P2981">
        <f>IF($Q2981="","",INDEX(상세표[월 넘김 포함],$Q2981)&amp;"")</f>
        <v/>
      </c>
      <c r="Q2981" s="4">
        <f>IFERROR(MATCH(2976,상세표[연속순번],0),"")</f>
        <v/>
      </c>
    </row>
    <row r="2982">
      <c r="A2982">
        <f>IF($Q2982="","",INDEX(상세표[부서],$Q2982)&amp;"")</f>
        <v/>
      </c>
      <c r="B2982">
        <f>IF($Q2982="","",INDEX(상세표[사번],$Q2982)&amp;"")</f>
        <v/>
      </c>
      <c r="C2982">
        <f>IF($Q2982="","",INDEX(상세표[성명],$Q2982)&amp;"")</f>
        <v/>
      </c>
      <c r="D2982">
        <f>IF($Q2982="","",INDEX(상세표[직위],$Q2982)&amp;"")</f>
        <v/>
      </c>
      <c r="E2982">
        <f>IF($Q2982="","",IF(ISNUMBER(INDEX(상세표[근무일자],$Q2982)),TEXT(INDEX(상세표[근무일자],$Q2982),"yyyy-mm-dd"),INDEX(상세표[근무일자],$Q2982)&amp;""))</f>
        <v/>
      </c>
      <c r="F2982">
        <f>IF($Q2982="","",IF(ISNUMBER(INDEX(상세표[시작],$Q2982)),TEXT(INDEX(상세표[시작],$Q2982),"yyyy-mm-dd hh:mm"),INDEX(상세표[시작],$Q2982)&amp;""))</f>
        <v/>
      </c>
      <c r="G2982">
        <f>IF($Q2982="","",IF(ISNUMBER(INDEX(상세표[블록종료],$Q2982)),TEXT(INDEX(상세표[블록종료],$Q2982),"yyyy-mm-dd hh:mm"),INDEX(상세표[블록종료],$Q2982)&amp;""))</f>
        <v/>
      </c>
      <c r="H2982">
        <f>IF($Q2982="","",CHOOSE(WEEKDAY(INDEX(상세표[시작],$Q2982)),"일","월","화","수","목","금","토"))</f>
        <v/>
      </c>
      <c r="I2982" s="20">
        <f>IF($Q2982="","",INDEX(상세표[연속 시간],$Q2982))</f>
        <v/>
      </c>
      <c r="J2982">
        <f>IF($Q2982="","",INDEX(상세표[기록 수],$Q2982))</f>
        <v/>
      </c>
      <c r="K2982" s="20">
        <f>IF($Q2982="","",INDEX(상세표[블록 06~07시],$Q2982))</f>
        <v/>
      </c>
      <c r="L2982" s="20">
        <f>IF($Q2982="","",INDEX(상세표[블록 07~18시],$Q2982))</f>
        <v/>
      </c>
      <c r="M2982" s="20">
        <f>IF($Q2982="","",INDEX(상세표[블록 18~22시],$Q2982))</f>
        <v/>
      </c>
      <c r="N2982" s="20">
        <f>IF($Q2982="","",INDEX(상세표[블록 22~06시],$Q2982))</f>
        <v/>
      </c>
      <c r="O2982">
        <f>IF($Q2982="","",INDEX(상세표[주말·휴일 포함],$Q2982)&amp;"")</f>
        <v/>
      </c>
      <c r="P2982">
        <f>IF($Q2982="","",INDEX(상세표[월 넘김 포함],$Q2982)&amp;"")</f>
        <v/>
      </c>
      <c r="Q2982" s="4">
        <f>IFERROR(MATCH(2977,상세표[연속순번],0),"")</f>
        <v/>
      </c>
    </row>
    <row r="2983">
      <c r="A2983">
        <f>IF($Q2983="","",INDEX(상세표[부서],$Q2983)&amp;"")</f>
        <v/>
      </c>
      <c r="B2983">
        <f>IF($Q2983="","",INDEX(상세표[사번],$Q2983)&amp;"")</f>
        <v/>
      </c>
      <c r="C2983">
        <f>IF($Q2983="","",INDEX(상세표[성명],$Q2983)&amp;"")</f>
        <v/>
      </c>
      <c r="D2983">
        <f>IF($Q2983="","",INDEX(상세표[직위],$Q2983)&amp;"")</f>
        <v/>
      </c>
      <c r="E2983">
        <f>IF($Q2983="","",IF(ISNUMBER(INDEX(상세표[근무일자],$Q2983)),TEXT(INDEX(상세표[근무일자],$Q2983),"yyyy-mm-dd"),INDEX(상세표[근무일자],$Q2983)&amp;""))</f>
        <v/>
      </c>
      <c r="F2983">
        <f>IF($Q2983="","",IF(ISNUMBER(INDEX(상세표[시작],$Q2983)),TEXT(INDEX(상세표[시작],$Q2983),"yyyy-mm-dd hh:mm"),INDEX(상세표[시작],$Q2983)&amp;""))</f>
        <v/>
      </c>
      <c r="G2983">
        <f>IF($Q2983="","",IF(ISNUMBER(INDEX(상세표[블록종료],$Q2983)),TEXT(INDEX(상세표[블록종료],$Q2983),"yyyy-mm-dd hh:mm"),INDEX(상세표[블록종료],$Q2983)&amp;""))</f>
        <v/>
      </c>
      <c r="H2983">
        <f>IF($Q2983="","",CHOOSE(WEEKDAY(INDEX(상세표[시작],$Q2983)),"일","월","화","수","목","금","토"))</f>
        <v/>
      </c>
      <c r="I2983" s="20">
        <f>IF($Q2983="","",INDEX(상세표[연속 시간],$Q2983))</f>
        <v/>
      </c>
      <c r="J2983">
        <f>IF($Q2983="","",INDEX(상세표[기록 수],$Q2983))</f>
        <v/>
      </c>
      <c r="K2983" s="20">
        <f>IF($Q2983="","",INDEX(상세표[블록 06~07시],$Q2983))</f>
        <v/>
      </c>
      <c r="L2983" s="20">
        <f>IF($Q2983="","",INDEX(상세표[블록 07~18시],$Q2983))</f>
        <v/>
      </c>
      <c r="M2983" s="20">
        <f>IF($Q2983="","",INDEX(상세표[블록 18~22시],$Q2983))</f>
        <v/>
      </c>
      <c r="N2983" s="20">
        <f>IF($Q2983="","",INDEX(상세표[블록 22~06시],$Q2983))</f>
        <v/>
      </c>
      <c r="O2983">
        <f>IF($Q2983="","",INDEX(상세표[주말·휴일 포함],$Q2983)&amp;"")</f>
        <v/>
      </c>
      <c r="P2983">
        <f>IF($Q2983="","",INDEX(상세표[월 넘김 포함],$Q2983)&amp;"")</f>
        <v/>
      </c>
      <c r="Q2983" s="4">
        <f>IFERROR(MATCH(2978,상세표[연속순번],0),"")</f>
        <v/>
      </c>
    </row>
    <row r="2984">
      <c r="A2984">
        <f>IF($Q2984="","",INDEX(상세표[부서],$Q2984)&amp;"")</f>
        <v/>
      </c>
      <c r="B2984">
        <f>IF($Q2984="","",INDEX(상세표[사번],$Q2984)&amp;"")</f>
        <v/>
      </c>
      <c r="C2984">
        <f>IF($Q2984="","",INDEX(상세표[성명],$Q2984)&amp;"")</f>
        <v/>
      </c>
      <c r="D2984">
        <f>IF($Q2984="","",INDEX(상세표[직위],$Q2984)&amp;"")</f>
        <v/>
      </c>
      <c r="E2984">
        <f>IF($Q2984="","",IF(ISNUMBER(INDEX(상세표[근무일자],$Q2984)),TEXT(INDEX(상세표[근무일자],$Q2984),"yyyy-mm-dd"),INDEX(상세표[근무일자],$Q2984)&amp;""))</f>
        <v/>
      </c>
      <c r="F2984">
        <f>IF($Q2984="","",IF(ISNUMBER(INDEX(상세표[시작],$Q2984)),TEXT(INDEX(상세표[시작],$Q2984),"yyyy-mm-dd hh:mm"),INDEX(상세표[시작],$Q2984)&amp;""))</f>
        <v/>
      </c>
      <c r="G2984">
        <f>IF($Q2984="","",IF(ISNUMBER(INDEX(상세표[블록종료],$Q2984)),TEXT(INDEX(상세표[블록종료],$Q2984),"yyyy-mm-dd hh:mm"),INDEX(상세표[블록종료],$Q2984)&amp;""))</f>
        <v/>
      </c>
      <c r="H2984">
        <f>IF($Q2984="","",CHOOSE(WEEKDAY(INDEX(상세표[시작],$Q2984)),"일","월","화","수","목","금","토"))</f>
        <v/>
      </c>
      <c r="I2984" s="20">
        <f>IF($Q2984="","",INDEX(상세표[연속 시간],$Q2984))</f>
        <v/>
      </c>
      <c r="J2984">
        <f>IF($Q2984="","",INDEX(상세표[기록 수],$Q2984))</f>
        <v/>
      </c>
      <c r="K2984" s="20">
        <f>IF($Q2984="","",INDEX(상세표[블록 06~07시],$Q2984))</f>
        <v/>
      </c>
      <c r="L2984" s="20">
        <f>IF($Q2984="","",INDEX(상세표[블록 07~18시],$Q2984))</f>
        <v/>
      </c>
      <c r="M2984" s="20">
        <f>IF($Q2984="","",INDEX(상세표[블록 18~22시],$Q2984))</f>
        <v/>
      </c>
      <c r="N2984" s="20">
        <f>IF($Q2984="","",INDEX(상세표[블록 22~06시],$Q2984))</f>
        <v/>
      </c>
      <c r="O2984">
        <f>IF($Q2984="","",INDEX(상세표[주말·휴일 포함],$Q2984)&amp;"")</f>
        <v/>
      </c>
      <c r="P2984">
        <f>IF($Q2984="","",INDEX(상세표[월 넘김 포함],$Q2984)&amp;"")</f>
        <v/>
      </c>
      <c r="Q2984" s="4">
        <f>IFERROR(MATCH(2979,상세표[연속순번],0),"")</f>
        <v/>
      </c>
    </row>
    <row r="2985">
      <c r="A2985">
        <f>IF($Q2985="","",INDEX(상세표[부서],$Q2985)&amp;"")</f>
        <v/>
      </c>
      <c r="B2985">
        <f>IF($Q2985="","",INDEX(상세표[사번],$Q2985)&amp;"")</f>
        <v/>
      </c>
      <c r="C2985">
        <f>IF($Q2985="","",INDEX(상세표[성명],$Q2985)&amp;"")</f>
        <v/>
      </c>
      <c r="D2985">
        <f>IF($Q2985="","",INDEX(상세표[직위],$Q2985)&amp;"")</f>
        <v/>
      </c>
      <c r="E2985">
        <f>IF($Q2985="","",IF(ISNUMBER(INDEX(상세표[근무일자],$Q2985)),TEXT(INDEX(상세표[근무일자],$Q2985),"yyyy-mm-dd"),INDEX(상세표[근무일자],$Q2985)&amp;""))</f>
        <v/>
      </c>
      <c r="F2985">
        <f>IF($Q2985="","",IF(ISNUMBER(INDEX(상세표[시작],$Q2985)),TEXT(INDEX(상세표[시작],$Q2985),"yyyy-mm-dd hh:mm"),INDEX(상세표[시작],$Q2985)&amp;""))</f>
        <v/>
      </c>
      <c r="G2985">
        <f>IF($Q2985="","",IF(ISNUMBER(INDEX(상세표[블록종료],$Q2985)),TEXT(INDEX(상세표[블록종료],$Q2985),"yyyy-mm-dd hh:mm"),INDEX(상세표[블록종료],$Q2985)&amp;""))</f>
        <v/>
      </c>
      <c r="H2985">
        <f>IF($Q2985="","",CHOOSE(WEEKDAY(INDEX(상세표[시작],$Q2985)),"일","월","화","수","목","금","토"))</f>
        <v/>
      </c>
      <c r="I2985" s="20">
        <f>IF($Q2985="","",INDEX(상세표[연속 시간],$Q2985))</f>
        <v/>
      </c>
      <c r="J2985">
        <f>IF($Q2985="","",INDEX(상세표[기록 수],$Q2985))</f>
        <v/>
      </c>
      <c r="K2985" s="20">
        <f>IF($Q2985="","",INDEX(상세표[블록 06~07시],$Q2985))</f>
        <v/>
      </c>
      <c r="L2985" s="20">
        <f>IF($Q2985="","",INDEX(상세표[블록 07~18시],$Q2985))</f>
        <v/>
      </c>
      <c r="M2985" s="20">
        <f>IF($Q2985="","",INDEX(상세표[블록 18~22시],$Q2985))</f>
        <v/>
      </c>
      <c r="N2985" s="20">
        <f>IF($Q2985="","",INDEX(상세표[블록 22~06시],$Q2985))</f>
        <v/>
      </c>
      <c r="O2985">
        <f>IF($Q2985="","",INDEX(상세표[주말·휴일 포함],$Q2985)&amp;"")</f>
        <v/>
      </c>
      <c r="P2985">
        <f>IF($Q2985="","",INDEX(상세표[월 넘김 포함],$Q2985)&amp;"")</f>
        <v/>
      </c>
      <c r="Q2985" s="4">
        <f>IFERROR(MATCH(2980,상세표[연속순번],0),"")</f>
        <v/>
      </c>
    </row>
    <row r="2986">
      <c r="A2986">
        <f>IF($Q2986="","",INDEX(상세표[부서],$Q2986)&amp;"")</f>
        <v/>
      </c>
      <c r="B2986">
        <f>IF($Q2986="","",INDEX(상세표[사번],$Q2986)&amp;"")</f>
        <v/>
      </c>
      <c r="C2986">
        <f>IF($Q2986="","",INDEX(상세표[성명],$Q2986)&amp;"")</f>
        <v/>
      </c>
      <c r="D2986">
        <f>IF($Q2986="","",INDEX(상세표[직위],$Q2986)&amp;"")</f>
        <v/>
      </c>
      <c r="E2986">
        <f>IF($Q2986="","",IF(ISNUMBER(INDEX(상세표[근무일자],$Q2986)),TEXT(INDEX(상세표[근무일자],$Q2986),"yyyy-mm-dd"),INDEX(상세표[근무일자],$Q2986)&amp;""))</f>
        <v/>
      </c>
      <c r="F2986">
        <f>IF($Q2986="","",IF(ISNUMBER(INDEX(상세표[시작],$Q2986)),TEXT(INDEX(상세표[시작],$Q2986),"yyyy-mm-dd hh:mm"),INDEX(상세표[시작],$Q2986)&amp;""))</f>
        <v/>
      </c>
      <c r="G2986">
        <f>IF($Q2986="","",IF(ISNUMBER(INDEX(상세표[블록종료],$Q2986)),TEXT(INDEX(상세표[블록종료],$Q2986),"yyyy-mm-dd hh:mm"),INDEX(상세표[블록종료],$Q2986)&amp;""))</f>
        <v/>
      </c>
      <c r="H2986">
        <f>IF($Q2986="","",CHOOSE(WEEKDAY(INDEX(상세표[시작],$Q2986)),"일","월","화","수","목","금","토"))</f>
        <v/>
      </c>
      <c r="I2986" s="20">
        <f>IF($Q2986="","",INDEX(상세표[연속 시간],$Q2986))</f>
        <v/>
      </c>
      <c r="J2986">
        <f>IF($Q2986="","",INDEX(상세표[기록 수],$Q2986))</f>
        <v/>
      </c>
      <c r="K2986" s="20">
        <f>IF($Q2986="","",INDEX(상세표[블록 06~07시],$Q2986))</f>
        <v/>
      </c>
      <c r="L2986" s="20">
        <f>IF($Q2986="","",INDEX(상세표[블록 07~18시],$Q2986))</f>
        <v/>
      </c>
      <c r="M2986" s="20">
        <f>IF($Q2986="","",INDEX(상세표[블록 18~22시],$Q2986))</f>
        <v/>
      </c>
      <c r="N2986" s="20">
        <f>IF($Q2986="","",INDEX(상세표[블록 22~06시],$Q2986))</f>
        <v/>
      </c>
      <c r="O2986">
        <f>IF($Q2986="","",INDEX(상세표[주말·휴일 포함],$Q2986)&amp;"")</f>
        <v/>
      </c>
      <c r="P2986">
        <f>IF($Q2986="","",INDEX(상세표[월 넘김 포함],$Q2986)&amp;"")</f>
        <v/>
      </c>
      <c r="Q2986" s="4">
        <f>IFERROR(MATCH(2981,상세표[연속순번],0),"")</f>
        <v/>
      </c>
    </row>
    <row r="2987">
      <c r="A2987">
        <f>IF($Q2987="","",INDEX(상세표[부서],$Q2987)&amp;"")</f>
        <v/>
      </c>
      <c r="B2987">
        <f>IF($Q2987="","",INDEX(상세표[사번],$Q2987)&amp;"")</f>
        <v/>
      </c>
      <c r="C2987">
        <f>IF($Q2987="","",INDEX(상세표[성명],$Q2987)&amp;"")</f>
        <v/>
      </c>
      <c r="D2987">
        <f>IF($Q2987="","",INDEX(상세표[직위],$Q2987)&amp;"")</f>
        <v/>
      </c>
      <c r="E2987">
        <f>IF($Q2987="","",IF(ISNUMBER(INDEX(상세표[근무일자],$Q2987)),TEXT(INDEX(상세표[근무일자],$Q2987),"yyyy-mm-dd"),INDEX(상세표[근무일자],$Q2987)&amp;""))</f>
        <v/>
      </c>
      <c r="F2987">
        <f>IF($Q2987="","",IF(ISNUMBER(INDEX(상세표[시작],$Q2987)),TEXT(INDEX(상세표[시작],$Q2987),"yyyy-mm-dd hh:mm"),INDEX(상세표[시작],$Q2987)&amp;""))</f>
        <v/>
      </c>
      <c r="G2987">
        <f>IF($Q2987="","",IF(ISNUMBER(INDEX(상세표[블록종료],$Q2987)),TEXT(INDEX(상세표[블록종료],$Q2987),"yyyy-mm-dd hh:mm"),INDEX(상세표[블록종료],$Q2987)&amp;""))</f>
        <v/>
      </c>
      <c r="H2987">
        <f>IF($Q2987="","",CHOOSE(WEEKDAY(INDEX(상세표[시작],$Q2987)),"일","월","화","수","목","금","토"))</f>
        <v/>
      </c>
      <c r="I2987" s="20">
        <f>IF($Q2987="","",INDEX(상세표[연속 시간],$Q2987))</f>
        <v/>
      </c>
      <c r="J2987">
        <f>IF($Q2987="","",INDEX(상세표[기록 수],$Q2987))</f>
        <v/>
      </c>
      <c r="K2987" s="20">
        <f>IF($Q2987="","",INDEX(상세표[블록 06~07시],$Q2987))</f>
        <v/>
      </c>
      <c r="L2987" s="20">
        <f>IF($Q2987="","",INDEX(상세표[블록 07~18시],$Q2987))</f>
        <v/>
      </c>
      <c r="M2987" s="20">
        <f>IF($Q2987="","",INDEX(상세표[블록 18~22시],$Q2987))</f>
        <v/>
      </c>
      <c r="N2987" s="20">
        <f>IF($Q2987="","",INDEX(상세표[블록 22~06시],$Q2987))</f>
        <v/>
      </c>
      <c r="O2987">
        <f>IF($Q2987="","",INDEX(상세표[주말·휴일 포함],$Q2987)&amp;"")</f>
        <v/>
      </c>
      <c r="P2987">
        <f>IF($Q2987="","",INDEX(상세표[월 넘김 포함],$Q2987)&amp;"")</f>
        <v/>
      </c>
      <c r="Q2987" s="4">
        <f>IFERROR(MATCH(2982,상세표[연속순번],0),"")</f>
        <v/>
      </c>
    </row>
    <row r="2988">
      <c r="A2988">
        <f>IF($Q2988="","",INDEX(상세표[부서],$Q2988)&amp;"")</f>
        <v/>
      </c>
      <c r="B2988">
        <f>IF($Q2988="","",INDEX(상세표[사번],$Q2988)&amp;"")</f>
        <v/>
      </c>
      <c r="C2988">
        <f>IF($Q2988="","",INDEX(상세표[성명],$Q2988)&amp;"")</f>
        <v/>
      </c>
      <c r="D2988">
        <f>IF($Q2988="","",INDEX(상세표[직위],$Q2988)&amp;"")</f>
        <v/>
      </c>
      <c r="E2988">
        <f>IF($Q2988="","",IF(ISNUMBER(INDEX(상세표[근무일자],$Q2988)),TEXT(INDEX(상세표[근무일자],$Q2988),"yyyy-mm-dd"),INDEX(상세표[근무일자],$Q2988)&amp;""))</f>
        <v/>
      </c>
      <c r="F2988">
        <f>IF($Q2988="","",IF(ISNUMBER(INDEX(상세표[시작],$Q2988)),TEXT(INDEX(상세표[시작],$Q2988),"yyyy-mm-dd hh:mm"),INDEX(상세표[시작],$Q2988)&amp;""))</f>
        <v/>
      </c>
      <c r="G2988">
        <f>IF($Q2988="","",IF(ISNUMBER(INDEX(상세표[블록종료],$Q2988)),TEXT(INDEX(상세표[블록종료],$Q2988),"yyyy-mm-dd hh:mm"),INDEX(상세표[블록종료],$Q2988)&amp;""))</f>
        <v/>
      </c>
      <c r="H2988">
        <f>IF($Q2988="","",CHOOSE(WEEKDAY(INDEX(상세표[시작],$Q2988)),"일","월","화","수","목","금","토"))</f>
        <v/>
      </c>
      <c r="I2988" s="20">
        <f>IF($Q2988="","",INDEX(상세표[연속 시간],$Q2988))</f>
        <v/>
      </c>
      <c r="J2988">
        <f>IF($Q2988="","",INDEX(상세표[기록 수],$Q2988))</f>
        <v/>
      </c>
      <c r="K2988" s="20">
        <f>IF($Q2988="","",INDEX(상세표[블록 06~07시],$Q2988))</f>
        <v/>
      </c>
      <c r="L2988" s="20">
        <f>IF($Q2988="","",INDEX(상세표[블록 07~18시],$Q2988))</f>
        <v/>
      </c>
      <c r="M2988" s="20">
        <f>IF($Q2988="","",INDEX(상세표[블록 18~22시],$Q2988))</f>
        <v/>
      </c>
      <c r="N2988" s="20">
        <f>IF($Q2988="","",INDEX(상세표[블록 22~06시],$Q2988))</f>
        <v/>
      </c>
      <c r="O2988">
        <f>IF($Q2988="","",INDEX(상세표[주말·휴일 포함],$Q2988)&amp;"")</f>
        <v/>
      </c>
      <c r="P2988">
        <f>IF($Q2988="","",INDEX(상세표[월 넘김 포함],$Q2988)&amp;"")</f>
        <v/>
      </c>
      <c r="Q2988" s="4">
        <f>IFERROR(MATCH(2983,상세표[연속순번],0),"")</f>
        <v/>
      </c>
    </row>
    <row r="2989">
      <c r="A2989">
        <f>IF($Q2989="","",INDEX(상세표[부서],$Q2989)&amp;"")</f>
        <v/>
      </c>
      <c r="B2989">
        <f>IF($Q2989="","",INDEX(상세표[사번],$Q2989)&amp;"")</f>
        <v/>
      </c>
      <c r="C2989">
        <f>IF($Q2989="","",INDEX(상세표[성명],$Q2989)&amp;"")</f>
        <v/>
      </c>
      <c r="D2989">
        <f>IF($Q2989="","",INDEX(상세표[직위],$Q2989)&amp;"")</f>
        <v/>
      </c>
      <c r="E2989">
        <f>IF($Q2989="","",IF(ISNUMBER(INDEX(상세표[근무일자],$Q2989)),TEXT(INDEX(상세표[근무일자],$Q2989),"yyyy-mm-dd"),INDEX(상세표[근무일자],$Q2989)&amp;""))</f>
        <v/>
      </c>
      <c r="F2989">
        <f>IF($Q2989="","",IF(ISNUMBER(INDEX(상세표[시작],$Q2989)),TEXT(INDEX(상세표[시작],$Q2989),"yyyy-mm-dd hh:mm"),INDEX(상세표[시작],$Q2989)&amp;""))</f>
        <v/>
      </c>
      <c r="G2989">
        <f>IF($Q2989="","",IF(ISNUMBER(INDEX(상세표[블록종료],$Q2989)),TEXT(INDEX(상세표[블록종료],$Q2989),"yyyy-mm-dd hh:mm"),INDEX(상세표[블록종료],$Q2989)&amp;""))</f>
        <v/>
      </c>
      <c r="H2989">
        <f>IF($Q2989="","",CHOOSE(WEEKDAY(INDEX(상세표[시작],$Q2989)),"일","월","화","수","목","금","토"))</f>
        <v/>
      </c>
      <c r="I2989" s="20">
        <f>IF($Q2989="","",INDEX(상세표[연속 시간],$Q2989))</f>
        <v/>
      </c>
      <c r="J2989">
        <f>IF($Q2989="","",INDEX(상세표[기록 수],$Q2989))</f>
        <v/>
      </c>
      <c r="K2989" s="20">
        <f>IF($Q2989="","",INDEX(상세표[블록 06~07시],$Q2989))</f>
        <v/>
      </c>
      <c r="L2989" s="20">
        <f>IF($Q2989="","",INDEX(상세표[블록 07~18시],$Q2989))</f>
        <v/>
      </c>
      <c r="M2989" s="20">
        <f>IF($Q2989="","",INDEX(상세표[블록 18~22시],$Q2989))</f>
        <v/>
      </c>
      <c r="N2989" s="20">
        <f>IF($Q2989="","",INDEX(상세표[블록 22~06시],$Q2989))</f>
        <v/>
      </c>
      <c r="O2989">
        <f>IF($Q2989="","",INDEX(상세표[주말·휴일 포함],$Q2989)&amp;"")</f>
        <v/>
      </c>
      <c r="P2989">
        <f>IF($Q2989="","",INDEX(상세표[월 넘김 포함],$Q2989)&amp;"")</f>
        <v/>
      </c>
      <c r="Q2989" s="4">
        <f>IFERROR(MATCH(2984,상세표[연속순번],0),"")</f>
        <v/>
      </c>
    </row>
    <row r="2990">
      <c r="A2990">
        <f>IF($Q2990="","",INDEX(상세표[부서],$Q2990)&amp;"")</f>
        <v/>
      </c>
      <c r="B2990">
        <f>IF($Q2990="","",INDEX(상세표[사번],$Q2990)&amp;"")</f>
        <v/>
      </c>
      <c r="C2990">
        <f>IF($Q2990="","",INDEX(상세표[성명],$Q2990)&amp;"")</f>
        <v/>
      </c>
      <c r="D2990">
        <f>IF($Q2990="","",INDEX(상세표[직위],$Q2990)&amp;"")</f>
        <v/>
      </c>
      <c r="E2990">
        <f>IF($Q2990="","",IF(ISNUMBER(INDEX(상세표[근무일자],$Q2990)),TEXT(INDEX(상세표[근무일자],$Q2990),"yyyy-mm-dd"),INDEX(상세표[근무일자],$Q2990)&amp;""))</f>
        <v/>
      </c>
      <c r="F2990">
        <f>IF($Q2990="","",IF(ISNUMBER(INDEX(상세표[시작],$Q2990)),TEXT(INDEX(상세표[시작],$Q2990),"yyyy-mm-dd hh:mm"),INDEX(상세표[시작],$Q2990)&amp;""))</f>
        <v/>
      </c>
      <c r="G2990">
        <f>IF($Q2990="","",IF(ISNUMBER(INDEX(상세표[블록종료],$Q2990)),TEXT(INDEX(상세표[블록종료],$Q2990),"yyyy-mm-dd hh:mm"),INDEX(상세표[블록종료],$Q2990)&amp;""))</f>
        <v/>
      </c>
      <c r="H2990">
        <f>IF($Q2990="","",CHOOSE(WEEKDAY(INDEX(상세표[시작],$Q2990)),"일","월","화","수","목","금","토"))</f>
        <v/>
      </c>
      <c r="I2990" s="20">
        <f>IF($Q2990="","",INDEX(상세표[연속 시간],$Q2990))</f>
        <v/>
      </c>
      <c r="J2990">
        <f>IF($Q2990="","",INDEX(상세표[기록 수],$Q2990))</f>
        <v/>
      </c>
      <c r="K2990" s="20">
        <f>IF($Q2990="","",INDEX(상세표[블록 06~07시],$Q2990))</f>
        <v/>
      </c>
      <c r="L2990" s="20">
        <f>IF($Q2990="","",INDEX(상세표[블록 07~18시],$Q2990))</f>
        <v/>
      </c>
      <c r="M2990" s="20">
        <f>IF($Q2990="","",INDEX(상세표[블록 18~22시],$Q2990))</f>
        <v/>
      </c>
      <c r="N2990" s="20">
        <f>IF($Q2990="","",INDEX(상세표[블록 22~06시],$Q2990))</f>
        <v/>
      </c>
      <c r="O2990">
        <f>IF($Q2990="","",INDEX(상세표[주말·휴일 포함],$Q2990)&amp;"")</f>
        <v/>
      </c>
      <c r="P2990">
        <f>IF($Q2990="","",INDEX(상세표[월 넘김 포함],$Q2990)&amp;"")</f>
        <v/>
      </c>
      <c r="Q2990" s="4">
        <f>IFERROR(MATCH(2985,상세표[연속순번],0),"")</f>
        <v/>
      </c>
    </row>
    <row r="2991">
      <c r="A2991">
        <f>IF($Q2991="","",INDEX(상세표[부서],$Q2991)&amp;"")</f>
        <v/>
      </c>
      <c r="B2991">
        <f>IF($Q2991="","",INDEX(상세표[사번],$Q2991)&amp;"")</f>
        <v/>
      </c>
      <c r="C2991">
        <f>IF($Q2991="","",INDEX(상세표[성명],$Q2991)&amp;"")</f>
        <v/>
      </c>
      <c r="D2991">
        <f>IF($Q2991="","",INDEX(상세표[직위],$Q2991)&amp;"")</f>
        <v/>
      </c>
      <c r="E2991">
        <f>IF($Q2991="","",IF(ISNUMBER(INDEX(상세표[근무일자],$Q2991)),TEXT(INDEX(상세표[근무일자],$Q2991),"yyyy-mm-dd"),INDEX(상세표[근무일자],$Q2991)&amp;""))</f>
        <v/>
      </c>
      <c r="F2991">
        <f>IF($Q2991="","",IF(ISNUMBER(INDEX(상세표[시작],$Q2991)),TEXT(INDEX(상세표[시작],$Q2991),"yyyy-mm-dd hh:mm"),INDEX(상세표[시작],$Q2991)&amp;""))</f>
        <v/>
      </c>
      <c r="G2991">
        <f>IF($Q2991="","",IF(ISNUMBER(INDEX(상세표[블록종료],$Q2991)),TEXT(INDEX(상세표[블록종료],$Q2991),"yyyy-mm-dd hh:mm"),INDEX(상세표[블록종료],$Q2991)&amp;""))</f>
        <v/>
      </c>
      <c r="H2991">
        <f>IF($Q2991="","",CHOOSE(WEEKDAY(INDEX(상세표[시작],$Q2991)),"일","월","화","수","목","금","토"))</f>
        <v/>
      </c>
      <c r="I2991" s="20">
        <f>IF($Q2991="","",INDEX(상세표[연속 시간],$Q2991))</f>
        <v/>
      </c>
      <c r="J2991">
        <f>IF($Q2991="","",INDEX(상세표[기록 수],$Q2991))</f>
        <v/>
      </c>
      <c r="K2991" s="20">
        <f>IF($Q2991="","",INDEX(상세표[블록 06~07시],$Q2991))</f>
        <v/>
      </c>
      <c r="L2991" s="20">
        <f>IF($Q2991="","",INDEX(상세표[블록 07~18시],$Q2991))</f>
        <v/>
      </c>
      <c r="M2991" s="20">
        <f>IF($Q2991="","",INDEX(상세표[블록 18~22시],$Q2991))</f>
        <v/>
      </c>
      <c r="N2991" s="20">
        <f>IF($Q2991="","",INDEX(상세표[블록 22~06시],$Q2991))</f>
        <v/>
      </c>
      <c r="O2991">
        <f>IF($Q2991="","",INDEX(상세표[주말·휴일 포함],$Q2991)&amp;"")</f>
        <v/>
      </c>
      <c r="P2991">
        <f>IF($Q2991="","",INDEX(상세표[월 넘김 포함],$Q2991)&amp;"")</f>
        <v/>
      </c>
      <c r="Q2991" s="4">
        <f>IFERROR(MATCH(2986,상세표[연속순번],0),"")</f>
        <v/>
      </c>
    </row>
    <row r="2992">
      <c r="A2992">
        <f>IF($Q2992="","",INDEX(상세표[부서],$Q2992)&amp;"")</f>
        <v/>
      </c>
      <c r="B2992">
        <f>IF($Q2992="","",INDEX(상세표[사번],$Q2992)&amp;"")</f>
        <v/>
      </c>
      <c r="C2992">
        <f>IF($Q2992="","",INDEX(상세표[성명],$Q2992)&amp;"")</f>
        <v/>
      </c>
      <c r="D2992">
        <f>IF($Q2992="","",INDEX(상세표[직위],$Q2992)&amp;"")</f>
        <v/>
      </c>
      <c r="E2992">
        <f>IF($Q2992="","",IF(ISNUMBER(INDEX(상세표[근무일자],$Q2992)),TEXT(INDEX(상세표[근무일자],$Q2992),"yyyy-mm-dd"),INDEX(상세표[근무일자],$Q2992)&amp;""))</f>
        <v/>
      </c>
      <c r="F2992">
        <f>IF($Q2992="","",IF(ISNUMBER(INDEX(상세표[시작],$Q2992)),TEXT(INDEX(상세표[시작],$Q2992),"yyyy-mm-dd hh:mm"),INDEX(상세표[시작],$Q2992)&amp;""))</f>
        <v/>
      </c>
      <c r="G2992">
        <f>IF($Q2992="","",IF(ISNUMBER(INDEX(상세표[블록종료],$Q2992)),TEXT(INDEX(상세표[블록종료],$Q2992),"yyyy-mm-dd hh:mm"),INDEX(상세표[블록종료],$Q2992)&amp;""))</f>
        <v/>
      </c>
      <c r="H2992">
        <f>IF($Q2992="","",CHOOSE(WEEKDAY(INDEX(상세표[시작],$Q2992)),"일","월","화","수","목","금","토"))</f>
        <v/>
      </c>
      <c r="I2992" s="20">
        <f>IF($Q2992="","",INDEX(상세표[연속 시간],$Q2992))</f>
        <v/>
      </c>
      <c r="J2992">
        <f>IF($Q2992="","",INDEX(상세표[기록 수],$Q2992))</f>
        <v/>
      </c>
      <c r="K2992" s="20">
        <f>IF($Q2992="","",INDEX(상세표[블록 06~07시],$Q2992))</f>
        <v/>
      </c>
      <c r="L2992" s="20">
        <f>IF($Q2992="","",INDEX(상세표[블록 07~18시],$Q2992))</f>
        <v/>
      </c>
      <c r="M2992" s="20">
        <f>IF($Q2992="","",INDEX(상세표[블록 18~22시],$Q2992))</f>
        <v/>
      </c>
      <c r="N2992" s="20">
        <f>IF($Q2992="","",INDEX(상세표[블록 22~06시],$Q2992))</f>
        <v/>
      </c>
      <c r="O2992">
        <f>IF($Q2992="","",INDEX(상세표[주말·휴일 포함],$Q2992)&amp;"")</f>
        <v/>
      </c>
      <c r="P2992">
        <f>IF($Q2992="","",INDEX(상세표[월 넘김 포함],$Q2992)&amp;"")</f>
        <v/>
      </c>
      <c r="Q2992" s="4">
        <f>IFERROR(MATCH(2987,상세표[연속순번],0),"")</f>
        <v/>
      </c>
    </row>
    <row r="2993">
      <c r="A2993">
        <f>IF($Q2993="","",INDEX(상세표[부서],$Q2993)&amp;"")</f>
        <v/>
      </c>
      <c r="B2993">
        <f>IF($Q2993="","",INDEX(상세표[사번],$Q2993)&amp;"")</f>
        <v/>
      </c>
      <c r="C2993">
        <f>IF($Q2993="","",INDEX(상세표[성명],$Q2993)&amp;"")</f>
        <v/>
      </c>
      <c r="D2993">
        <f>IF($Q2993="","",INDEX(상세표[직위],$Q2993)&amp;"")</f>
        <v/>
      </c>
      <c r="E2993">
        <f>IF($Q2993="","",IF(ISNUMBER(INDEX(상세표[근무일자],$Q2993)),TEXT(INDEX(상세표[근무일자],$Q2993),"yyyy-mm-dd"),INDEX(상세표[근무일자],$Q2993)&amp;""))</f>
        <v/>
      </c>
      <c r="F2993">
        <f>IF($Q2993="","",IF(ISNUMBER(INDEX(상세표[시작],$Q2993)),TEXT(INDEX(상세표[시작],$Q2993),"yyyy-mm-dd hh:mm"),INDEX(상세표[시작],$Q2993)&amp;""))</f>
        <v/>
      </c>
      <c r="G2993">
        <f>IF($Q2993="","",IF(ISNUMBER(INDEX(상세표[블록종료],$Q2993)),TEXT(INDEX(상세표[블록종료],$Q2993),"yyyy-mm-dd hh:mm"),INDEX(상세표[블록종료],$Q2993)&amp;""))</f>
        <v/>
      </c>
      <c r="H2993">
        <f>IF($Q2993="","",CHOOSE(WEEKDAY(INDEX(상세표[시작],$Q2993)),"일","월","화","수","목","금","토"))</f>
        <v/>
      </c>
      <c r="I2993" s="20">
        <f>IF($Q2993="","",INDEX(상세표[연속 시간],$Q2993))</f>
        <v/>
      </c>
      <c r="J2993">
        <f>IF($Q2993="","",INDEX(상세표[기록 수],$Q2993))</f>
        <v/>
      </c>
      <c r="K2993" s="20">
        <f>IF($Q2993="","",INDEX(상세표[블록 06~07시],$Q2993))</f>
        <v/>
      </c>
      <c r="L2993" s="20">
        <f>IF($Q2993="","",INDEX(상세표[블록 07~18시],$Q2993))</f>
        <v/>
      </c>
      <c r="M2993" s="20">
        <f>IF($Q2993="","",INDEX(상세표[블록 18~22시],$Q2993))</f>
        <v/>
      </c>
      <c r="N2993" s="20">
        <f>IF($Q2993="","",INDEX(상세표[블록 22~06시],$Q2993))</f>
        <v/>
      </c>
      <c r="O2993">
        <f>IF($Q2993="","",INDEX(상세표[주말·휴일 포함],$Q2993)&amp;"")</f>
        <v/>
      </c>
      <c r="P2993">
        <f>IF($Q2993="","",INDEX(상세표[월 넘김 포함],$Q2993)&amp;"")</f>
        <v/>
      </c>
      <c r="Q2993" s="4">
        <f>IFERROR(MATCH(2988,상세표[연속순번],0),"")</f>
        <v/>
      </c>
    </row>
    <row r="2994">
      <c r="A2994">
        <f>IF($Q2994="","",INDEX(상세표[부서],$Q2994)&amp;"")</f>
        <v/>
      </c>
      <c r="B2994">
        <f>IF($Q2994="","",INDEX(상세표[사번],$Q2994)&amp;"")</f>
        <v/>
      </c>
      <c r="C2994">
        <f>IF($Q2994="","",INDEX(상세표[성명],$Q2994)&amp;"")</f>
        <v/>
      </c>
      <c r="D2994">
        <f>IF($Q2994="","",INDEX(상세표[직위],$Q2994)&amp;"")</f>
        <v/>
      </c>
      <c r="E2994">
        <f>IF($Q2994="","",IF(ISNUMBER(INDEX(상세표[근무일자],$Q2994)),TEXT(INDEX(상세표[근무일자],$Q2994),"yyyy-mm-dd"),INDEX(상세표[근무일자],$Q2994)&amp;""))</f>
        <v/>
      </c>
      <c r="F2994">
        <f>IF($Q2994="","",IF(ISNUMBER(INDEX(상세표[시작],$Q2994)),TEXT(INDEX(상세표[시작],$Q2994),"yyyy-mm-dd hh:mm"),INDEX(상세표[시작],$Q2994)&amp;""))</f>
        <v/>
      </c>
      <c r="G2994">
        <f>IF($Q2994="","",IF(ISNUMBER(INDEX(상세표[블록종료],$Q2994)),TEXT(INDEX(상세표[블록종료],$Q2994),"yyyy-mm-dd hh:mm"),INDEX(상세표[블록종료],$Q2994)&amp;""))</f>
        <v/>
      </c>
      <c r="H2994">
        <f>IF($Q2994="","",CHOOSE(WEEKDAY(INDEX(상세표[시작],$Q2994)),"일","월","화","수","목","금","토"))</f>
        <v/>
      </c>
      <c r="I2994" s="20">
        <f>IF($Q2994="","",INDEX(상세표[연속 시간],$Q2994))</f>
        <v/>
      </c>
      <c r="J2994">
        <f>IF($Q2994="","",INDEX(상세표[기록 수],$Q2994))</f>
        <v/>
      </c>
      <c r="K2994" s="20">
        <f>IF($Q2994="","",INDEX(상세표[블록 06~07시],$Q2994))</f>
        <v/>
      </c>
      <c r="L2994" s="20">
        <f>IF($Q2994="","",INDEX(상세표[블록 07~18시],$Q2994))</f>
        <v/>
      </c>
      <c r="M2994" s="20">
        <f>IF($Q2994="","",INDEX(상세표[블록 18~22시],$Q2994))</f>
        <v/>
      </c>
      <c r="N2994" s="20">
        <f>IF($Q2994="","",INDEX(상세표[블록 22~06시],$Q2994))</f>
        <v/>
      </c>
      <c r="O2994">
        <f>IF($Q2994="","",INDEX(상세표[주말·휴일 포함],$Q2994)&amp;"")</f>
        <v/>
      </c>
      <c r="P2994">
        <f>IF($Q2994="","",INDEX(상세표[월 넘김 포함],$Q2994)&amp;"")</f>
        <v/>
      </c>
      <c r="Q2994" s="4">
        <f>IFERROR(MATCH(2989,상세표[연속순번],0),"")</f>
        <v/>
      </c>
    </row>
    <row r="2995">
      <c r="A2995">
        <f>IF($Q2995="","",INDEX(상세표[부서],$Q2995)&amp;"")</f>
        <v/>
      </c>
      <c r="B2995">
        <f>IF($Q2995="","",INDEX(상세표[사번],$Q2995)&amp;"")</f>
        <v/>
      </c>
      <c r="C2995">
        <f>IF($Q2995="","",INDEX(상세표[성명],$Q2995)&amp;"")</f>
        <v/>
      </c>
      <c r="D2995">
        <f>IF($Q2995="","",INDEX(상세표[직위],$Q2995)&amp;"")</f>
        <v/>
      </c>
      <c r="E2995">
        <f>IF($Q2995="","",IF(ISNUMBER(INDEX(상세표[근무일자],$Q2995)),TEXT(INDEX(상세표[근무일자],$Q2995),"yyyy-mm-dd"),INDEX(상세표[근무일자],$Q2995)&amp;""))</f>
        <v/>
      </c>
      <c r="F2995">
        <f>IF($Q2995="","",IF(ISNUMBER(INDEX(상세표[시작],$Q2995)),TEXT(INDEX(상세표[시작],$Q2995),"yyyy-mm-dd hh:mm"),INDEX(상세표[시작],$Q2995)&amp;""))</f>
        <v/>
      </c>
      <c r="G2995">
        <f>IF($Q2995="","",IF(ISNUMBER(INDEX(상세표[블록종료],$Q2995)),TEXT(INDEX(상세표[블록종료],$Q2995),"yyyy-mm-dd hh:mm"),INDEX(상세표[블록종료],$Q2995)&amp;""))</f>
        <v/>
      </c>
      <c r="H2995">
        <f>IF($Q2995="","",CHOOSE(WEEKDAY(INDEX(상세표[시작],$Q2995)),"일","월","화","수","목","금","토"))</f>
        <v/>
      </c>
      <c r="I2995" s="20">
        <f>IF($Q2995="","",INDEX(상세표[연속 시간],$Q2995))</f>
        <v/>
      </c>
      <c r="J2995">
        <f>IF($Q2995="","",INDEX(상세표[기록 수],$Q2995))</f>
        <v/>
      </c>
      <c r="K2995" s="20">
        <f>IF($Q2995="","",INDEX(상세표[블록 06~07시],$Q2995))</f>
        <v/>
      </c>
      <c r="L2995" s="20">
        <f>IF($Q2995="","",INDEX(상세표[블록 07~18시],$Q2995))</f>
        <v/>
      </c>
      <c r="M2995" s="20">
        <f>IF($Q2995="","",INDEX(상세표[블록 18~22시],$Q2995))</f>
        <v/>
      </c>
      <c r="N2995" s="20">
        <f>IF($Q2995="","",INDEX(상세표[블록 22~06시],$Q2995))</f>
        <v/>
      </c>
      <c r="O2995">
        <f>IF($Q2995="","",INDEX(상세표[주말·휴일 포함],$Q2995)&amp;"")</f>
        <v/>
      </c>
      <c r="P2995">
        <f>IF($Q2995="","",INDEX(상세표[월 넘김 포함],$Q2995)&amp;"")</f>
        <v/>
      </c>
      <c r="Q2995" s="4">
        <f>IFERROR(MATCH(2990,상세표[연속순번],0),"")</f>
        <v/>
      </c>
    </row>
    <row r="2996">
      <c r="A2996">
        <f>IF($Q2996="","",INDEX(상세표[부서],$Q2996)&amp;"")</f>
        <v/>
      </c>
      <c r="B2996">
        <f>IF($Q2996="","",INDEX(상세표[사번],$Q2996)&amp;"")</f>
        <v/>
      </c>
      <c r="C2996">
        <f>IF($Q2996="","",INDEX(상세표[성명],$Q2996)&amp;"")</f>
        <v/>
      </c>
      <c r="D2996">
        <f>IF($Q2996="","",INDEX(상세표[직위],$Q2996)&amp;"")</f>
        <v/>
      </c>
      <c r="E2996">
        <f>IF($Q2996="","",IF(ISNUMBER(INDEX(상세표[근무일자],$Q2996)),TEXT(INDEX(상세표[근무일자],$Q2996),"yyyy-mm-dd"),INDEX(상세표[근무일자],$Q2996)&amp;""))</f>
        <v/>
      </c>
      <c r="F2996">
        <f>IF($Q2996="","",IF(ISNUMBER(INDEX(상세표[시작],$Q2996)),TEXT(INDEX(상세표[시작],$Q2996),"yyyy-mm-dd hh:mm"),INDEX(상세표[시작],$Q2996)&amp;""))</f>
        <v/>
      </c>
      <c r="G2996">
        <f>IF($Q2996="","",IF(ISNUMBER(INDEX(상세표[블록종료],$Q2996)),TEXT(INDEX(상세표[블록종료],$Q2996),"yyyy-mm-dd hh:mm"),INDEX(상세표[블록종료],$Q2996)&amp;""))</f>
        <v/>
      </c>
      <c r="H2996">
        <f>IF($Q2996="","",CHOOSE(WEEKDAY(INDEX(상세표[시작],$Q2996)),"일","월","화","수","목","금","토"))</f>
        <v/>
      </c>
      <c r="I2996" s="20">
        <f>IF($Q2996="","",INDEX(상세표[연속 시간],$Q2996))</f>
        <v/>
      </c>
      <c r="J2996">
        <f>IF($Q2996="","",INDEX(상세표[기록 수],$Q2996))</f>
        <v/>
      </c>
      <c r="K2996" s="20">
        <f>IF($Q2996="","",INDEX(상세표[블록 06~07시],$Q2996))</f>
        <v/>
      </c>
      <c r="L2996" s="20">
        <f>IF($Q2996="","",INDEX(상세표[블록 07~18시],$Q2996))</f>
        <v/>
      </c>
      <c r="M2996" s="20">
        <f>IF($Q2996="","",INDEX(상세표[블록 18~22시],$Q2996))</f>
        <v/>
      </c>
      <c r="N2996" s="20">
        <f>IF($Q2996="","",INDEX(상세표[블록 22~06시],$Q2996))</f>
        <v/>
      </c>
      <c r="O2996">
        <f>IF($Q2996="","",INDEX(상세표[주말·휴일 포함],$Q2996)&amp;"")</f>
        <v/>
      </c>
      <c r="P2996">
        <f>IF($Q2996="","",INDEX(상세표[월 넘김 포함],$Q2996)&amp;"")</f>
        <v/>
      </c>
      <c r="Q2996" s="4">
        <f>IFERROR(MATCH(2991,상세표[연속순번],0),"")</f>
        <v/>
      </c>
    </row>
    <row r="2997">
      <c r="A2997">
        <f>IF($Q2997="","",INDEX(상세표[부서],$Q2997)&amp;"")</f>
        <v/>
      </c>
      <c r="B2997">
        <f>IF($Q2997="","",INDEX(상세표[사번],$Q2997)&amp;"")</f>
        <v/>
      </c>
      <c r="C2997">
        <f>IF($Q2997="","",INDEX(상세표[성명],$Q2997)&amp;"")</f>
        <v/>
      </c>
      <c r="D2997">
        <f>IF($Q2997="","",INDEX(상세표[직위],$Q2997)&amp;"")</f>
        <v/>
      </c>
      <c r="E2997">
        <f>IF($Q2997="","",IF(ISNUMBER(INDEX(상세표[근무일자],$Q2997)),TEXT(INDEX(상세표[근무일자],$Q2997),"yyyy-mm-dd"),INDEX(상세표[근무일자],$Q2997)&amp;""))</f>
        <v/>
      </c>
      <c r="F2997">
        <f>IF($Q2997="","",IF(ISNUMBER(INDEX(상세표[시작],$Q2997)),TEXT(INDEX(상세표[시작],$Q2997),"yyyy-mm-dd hh:mm"),INDEX(상세표[시작],$Q2997)&amp;""))</f>
        <v/>
      </c>
      <c r="G2997">
        <f>IF($Q2997="","",IF(ISNUMBER(INDEX(상세표[블록종료],$Q2997)),TEXT(INDEX(상세표[블록종료],$Q2997),"yyyy-mm-dd hh:mm"),INDEX(상세표[블록종료],$Q2997)&amp;""))</f>
        <v/>
      </c>
      <c r="H2997">
        <f>IF($Q2997="","",CHOOSE(WEEKDAY(INDEX(상세표[시작],$Q2997)),"일","월","화","수","목","금","토"))</f>
        <v/>
      </c>
      <c r="I2997" s="20">
        <f>IF($Q2997="","",INDEX(상세표[연속 시간],$Q2997))</f>
        <v/>
      </c>
      <c r="J2997">
        <f>IF($Q2997="","",INDEX(상세표[기록 수],$Q2997))</f>
        <v/>
      </c>
      <c r="K2997" s="20">
        <f>IF($Q2997="","",INDEX(상세표[블록 06~07시],$Q2997))</f>
        <v/>
      </c>
      <c r="L2997" s="20">
        <f>IF($Q2997="","",INDEX(상세표[블록 07~18시],$Q2997))</f>
        <v/>
      </c>
      <c r="M2997" s="20">
        <f>IF($Q2997="","",INDEX(상세표[블록 18~22시],$Q2997))</f>
        <v/>
      </c>
      <c r="N2997" s="20">
        <f>IF($Q2997="","",INDEX(상세표[블록 22~06시],$Q2997))</f>
        <v/>
      </c>
      <c r="O2997">
        <f>IF($Q2997="","",INDEX(상세표[주말·휴일 포함],$Q2997)&amp;"")</f>
        <v/>
      </c>
      <c r="P2997">
        <f>IF($Q2997="","",INDEX(상세표[월 넘김 포함],$Q2997)&amp;"")</f>
        <v/>
      </c>
      <c r="Q2997" s="4">
        <f>IFERROR(MATCH(2992,상세표[연속순번],0),"")</f>
        <v/>
      </c>
    </row>
    <row r="2998">
      <c r="A2998">
        <f>IF($Q2998="","",INDEX(상세표[부서],$Q2998)&amp;"")</f>
        <v/>
      </c>
      <c r="B2998">
        <f>IF($Q2998="","",INDEX(상세표[사번],$Q2998)&amp;"")</f>
        <v/>
      </c>
      <c r="C2998">
        <f>IF($Q2998="","",INDEX(상세표[성명],$Q2998)&amp;"")</f>
        <v/>
      </c>
      <c r="D2998">
        <f>IF($Q2998="","",INDEX(상세표[직위],$Q2998)&amp;"")</f>
        <v/>
      </c>
      <c r="E2998">
        <f>IF($Q2998="","",IF(ISNUMBER(INDEX(상세표[근무일자],$Q2998)),TEXT(INDEX(상세표[근무일자],$Q2998),"yyyy-mm-dd"),INDEX(상세표[근무일자],$Q2998)&amp;""))</f>
        <v/>
      </c>
      <c r="F2998">
        <f>IF($Q2998="","",IF(ISNUMBER(INDEX(상세표[시작],$Q2998)),TEXT(INDEX(상세표[시작],$Q2998),"yyyy-mm-dd hh:mm"),INDEX(상세표[시작],$Q2998)&amp;""))</f>
        <v/>
      </c>
      <c r="G2998">
        <f>IF($Q2998="","",IF(ISNUMBER(INDEX(상세표[블록종료],$Q2998)),TEXT(INDEX(상세표[블록종료],$Q2998),"yyyy-mm-dd hh:mm"),INDEX(상세표[블록종료],$Q2998)&amp;""))</f>
        <v/>
      </c>
      <c r="H2998">
        <f>IF($Q2998="","",CHOOSE(WEEKDAY(INDEX(상세표[시작],$Q2998)),"일","월","화","수","목","금","토"))</f>
        <v/>
      </c>
      <c r="I2998" s="20">
        <f>IF($Q2998="","",INDEX(상세표[연속 시간],$Q2998))</f>
        <v/>
      </c>
      <c r="J2998">
        <f>IF($Q2998="","",INDEX(상세표[기록 수],$Q2998))</f>
        <v/>
      </c>
      <c r="K2998" s="20">
        <f>IF($Q2998="","",INDEX(상세표[블록 06~07시],$Q2998))</f>
        <v/>
      </c>
      <c r="L2998" s="20">
        <f>IF($Q2998="","",INDEX(상세표[블록 07~18시],$Q2998))</f>
        <v/>
      </c>
      <c r="M2998" s="20">
        <f>IF($Q2998="","",INDEX(상세표[블록 18~22시],$Q2998))</f>
        <v/>
      </c>
      <c r="N2998" s="20">
        <f>IF($Q2998="","",INDEX(상세표[블록 22~06시],$Q2998))</f>
        <v/>
      </c>
      <c r="O2998">
        <f>IF($Q2998="","",INDEX(상세표[주말·휴일 포함],$Q2998)&amp;"")</f>
        <v/>
      </c>
      <c r="P2998">
        <f>IF($Q2998="","",INDEX(상세표[월 넘김 포함],$Q2998)&amp;"")</f>
        <v/>
      </c>
      <c r="Q2998" s="4">
        <f>IFERROR(MATCH(2993,상세표[연속순번],0),"")</f>
        <v/>
      </c>
    </row>
    <row r="2999">
      <c r="A2999">
        <f>IF($Q2999="","",INDEX(상세표[부서],$Q2999)&amp;"")</f>
        <v/>
      </c>
      <c r="B2999">
        <f>IF($Q2999="","",INDEX(상세표[사번],$Q2999)&amp;"")</f>
        <v/>
      </c>
      <c r="C2999">
        <f>IF($Q2999="","",INDEX(상세표[성명],$Q2999)&amp;"")</f>
        <v/>
      </c>
      <c r="D2999">
        <f>IF($Q2999="","",INDEX(상세표[직위],$Q2999)&amp;"")</f>
        <v/>
      </c>
      <c r="E2999">
        <f>IF($Q2999="","",IF(ISNUMBER(INDEX(상세표[근무일자],$Q2999)),TEXT(INDEX(상세표[근무일자],$Q2999),"yyyy-mm-dd"),INDEX(상세표[근무일자],$Q2999)&amp;""))</f>
        <v/>
      </c>
      <c r="F2999">
        <f>IF($Q2999="","",IF(ISNUMBER(INDEX(상세표[시작],$Q2999)),TEXT(INDEX(상세표[시작],$Q2999),"yyyy-mm-dd hh:mm"),INDEX(상세표[시작],$Q2999)&amp;""))</f>
        <v/>
      </c>
      <c r="G2999">
        <f>IF($Q2999="","",IF(ISNUMBER(INDEX(상세표[블록종료],$Q2999)),TEXT(INDEX(상세표[블록종료],$Q2999),"yyyy-mm-dd hh:mm"),INDEX(상세표[블록종료],$Q2999)&amp;""))</f>
        <v/>
      </c>
      <c r="H2999">
        <f>IF($Q2999="","",CHOOSE(WEEKDAY(INDEX(상세표[시작],$Q2999)),"일","월","화","수","목","금","토"))</f>
        <v/>
      </c>
      <c r="I2999" s="20">
        <f>IF($Q2999="","",INDEX(상세표[연속 시간],$Q2999))</f>
        <v/>
      </c>
      <c r="J2999">
        <f>IF($Q2999="","",INDEX(상세표[기록 수],$Q2999))</f>
        <v/>
      </c>
      <c r="K2999" s="20">
        <f>IF($Q2999="","",INDEX(상세표[블록 06~07시],$Q2999))</f>
        <v/>
      </c>
      <c r="L2999" s="20">
        <f>IF($Q2999="","",INDEX(상세표[블록 07~18시],$Q2999))</f>
        <v/>
      </c>
      <c r="M2999" s="20">
        <f>IF($Q2999="","",INDEX(상세표[블록 18~22시],$Q2999))</f>
        <v/>
      </c>
      <c r="N2999" s="20">
        <f>IF($Q2999="","",INDEX(상세표[블록 22~06시],$Q2999))</f>
        <v/>
      </c>
      <c r="O2999">
        <f>IF($Q2999="","",INDEX(상세표[주말·휴일 포함],$Q2999)&amp;"")</f>
        <v/>
      </c>
      <c r="P2999">
        <f>IF($Q2999="","",INDEX(상세표[월 넘김 포함],$Q2999)&amp;"")</f>
        <v/>
      </c>
      <c r="Q2999" s="4">
        <f>IFERROR(MATCH(2994,상세표[연속순번],0),"")</f>
        <v/>
      </c>
    </row>
    <row r="3000">
      <c r="A3000">
        <f>IF($Q3000="","",INDEX(상세표[부서],$Q3000)&amp;"")</f>
        <v/>
      </c>
      <c r="B3000">
        <f>IF($Q3000="","",INDEX(상세표[사번],$Q3000)&amp;"")</f>
        <v/>
      </c>
      <c r="C3000">
        <f>IF($Q3000="","",INDEX(상세표[성명],$Q3000)&amp;"")</f>
        <v/>
      </c>
      <c r="D3000">
        <f>IF($Q3000="","",INDEX(상세표[직위],$Q3000)&amp;"")</f>
        <v/>
      </c>
      <c r="E3000">
        <f>IF($Q3000="","",IF(ISNUMBER(INDEX(상세표[근무일자],$Q3000)),TEXT(INDEX(상세표[근무일자],$Q3000),"yyyy-mm-dd"),INDEX(상세표[근무일자],$Q3000)&amp;""))</f>
        <v/>
      </c>
      <c r="F3000">
        <f>IF($Q3000="","",IF(ISNUMBER(INDEX(상세표[시작],$Q3000)),TEXT(INDEX(상세표[시작],$Q3000),"yyyy-mm-dd hh:mm"),INDEX(상세표[시작],$Q3000)&amp;""))</f>
        <v/>
      </c>
      <c r="G3000">
        <f>IF($Q3000="","",IF(ISNUMBER(INDEX(상세표[블록종료],$Q3000)),TEXT(INDEX(상세표[블록종료],$Q3000),"yyyy-mm-dd hh:mm"),INDEX(상세표[블록종료],$Q3000)&amp;""))</f>
        <v/>
      </c>
      <c r="H3000">
        <f>IF($Q3000="","",CHOOSE(WEEKDAY(INDEX(상세표[시작],$Q3000)),"일","월","화","수","목","금","토"))</f>
        <v/>
      </c>
      <c r="I3000" s="20">
        <f>IF($Q3000="","",INDEX(상세표[연속 시간],$Q3000))</f>
        <v/>
      </c>
      <c r="J3000">
        <f>IF($Q3000="","",INDEX(상세표[기록 수],$Q3000))</f>
        <v/>
      </c>
      <c r="K3000" s="20">
        <f>IF($Q3000="","",INDEX(상세표[블록 06~07시],$Q3000))</f>
        <v/>
      </c>
      <c r="L3000" s="20">
        <f>IF($Q3000="","",INDEX(상세표[블록 07~18시],$Q3000))</f>
        <v/>
      </c>
      <c r="M3000" s="20">
        <f>IF($Q3000="","",INDEX(상세표[블록 18~22시],$Q3000))</f>
        <v/>
      </c>
      <c r="N3000" s="20">
        <f>IF($Q3000="","",INDEX(상세표[블록 22~06시],$Q3000))</f>
        <v/>
      </c>
      <c r="O3000">
        <f>IF($Q3000="","",INDEX(상세표[주말·휴일 포함],$Q3000)&amp;"")</f>
        <v/>
      </c>
      <c r="P3000">
        <f>IF($Q3000="","",INDEX(상세표[월 넘김 포함],$Q3000)&amp;"")</f>
        <v/>
      </c>
      <c r="Q3000" s="4">
        <f>IFERROR(MATCH(2995,상세표[연속순번],0),"")</f>
        <v/>
      </c>
    </row>
    <row r="3001">
      <c r="A3001">
        <f>IF($Q3001="","",INDEX(상세표[부서],$Q3001)&amp;"")</f>
        <v/>
      </c>
      <c r="B3001">
        <f>IF($Q3001="","",INDEX(상세표[사번],$Q3001)&amp;"")</f>
        <v/>
      </c>
      <c r="C3001">
        <f>IF($Q3001="","",INDEX(상세표[성명],$Q3001)&amp;"")</f>
        <v/>
      </c>
      <c r="D3001">
        <f>IF($Q3001="","",INDEX(상세표[직위],$Q3001)&amp;"")</f>
        <v/>
      </c>
      <c r="E3001">
        <f>IF($Q3001="","",IF(ISNUMBER(INDEX(상세표[근무일자],$Q3001)),TEXT(INDEX(상세표[근무일자],$Q3001),"yyyy-mm-dd"),INDEX(상세표[근무일자],$Q3001)&amp;""))</f>
        <v/>
      </c>
      <c r="F3001">
        <f>IF($Q3001="","",IF(ISNUMBER(INDEX(상세표[시작],$Q3001)),TEXT(INDEX(상세표[시작],$Q3001),"yyyy-mm-dd hh:mm"),INDEX(상세표[시작],$Q3001)&amp;""))</f>
        <v/>
      </c>
      <c r="G3001">
        <f>IF($Q3001="","",IF(ISNUMBER(INDEX(상세표[블록종료],$Q3001)),TEXT(INDEX(상세표[블록종료],$Q3001),"yyyy-mm-dd hh:mm"),INDEX(상세표[블록종료],$Q3001)&amp;""))</f>
        <v/>
      </c>
      <c r="H3001">
        <f>IF($Q3001="","",CHOOSE(WEEKDAY(INDEX(상세표[시작],$Q3001)),"일","월","화","수","목","금","토"))</f>
        <v/>
      </c>
      <c r="I3001" s="20">
        <f>IF($Q3001="","",INDEX(상세표[연속 시간],$Q3001))</f>
        <v/>
      </c>
      <c r="J3001">
        <f>IF($Q3001="","",INDEX(상세표[기록 수],$Q3001))</f>
        <v/>
      </c>
      <c r="K3001" s="20">
        <f>IF($Q3001="","",INDEX(상세표[블록 06~07시],$Q3001))</f>
        <v/>
      </c>
      <c r="L3001" s="20">
        <f>IF($Q3001="","",INDEX(상세표[블록 07~18시],$Q3001))</f>
        <v/>
      </c>
      <c r="M3001" s="20">
        <f>IF($Q3001="","",INDEX(상세표[블록 18~22시],$Q3001))</f>
        <v/>
      </c>
      <c r="N3001" s="20">
        <f>IF($Q3001="","",INDEX(상세표[블록 22~06시],$Q3001))</f>
        <v/>
      </c>
      <c r="O3001">
        <f>IF($Q3001="","",INDEX(상세표[주말·휴일 포함],$Q3001)&amp;"")</f>
        <v/>
      </c>
      <c r="P3001">
        <f>IF($Q3001="","",INDEX(상세표[월 넘김 포함],$Q3001)&amp;"")</f>
        <v/>
      </c>
      <c r="Q3001" s="4">
        <f>IFERROR(MATCH(2996,상세표[연속순번],0),"")</f>
        <v/>
      </c>
    </row>
    <row r="3002">
      <c r="A3002">
        <f>IF($Q3002="","",INDEX(상세표[부서],$Q3002)&amp;"")</f>
        <v/>
      </c>
      <c r="B3002">
        <f>IF($Q3002="","",INDEX(상세표[사번],$Q3002)&amp;"")</f>
        <v/>
      </c>
      <c r="C3002">
        <f>IF($Q3002="","",INDEX(상세표[성명],$Q3002)&amp;"")</f>
        <v/>
      </c>
      <c r="D3002">
        <f>IF($Q3002="","",INDEX(상세표[직위],$Q3002)&amp;"")</f>
        <v/>
      </c>
      <c r="E3002">
        <f>IF($Q3002="","",IF(ISNUMBER(INDEX(상세표[근무일자],$Q3002)),TEXT(INDEX(상세표[근무일자],$Q3002),"yyyy-mm-dd"),INDEX(상세표[근무일자],$Q3002)&amp;""))</f>
        <v/>
      </c>
      <c r="F3002">
        <f>IF($Q3002="","",IF(ISNUMBER(INDEX(상세표[시작],$Q3002)),TEXT(INDEX(상세표[시작],$Q3002),"yyyy-mm-dd hh:mm"),INDEX(상세표[시작],$Q3002)&amp;""))</f>
        <v/>
      </c>
      <c r="G3002">
        <f>IF($Q3002="","",IF(ISNUMBER(INDEX(상세표[블록종료],$Q3002)),TEXT(INDEX(상세표[블록종료],$Q3002),"yyyy-mm-dd hh:mm"),INDEX(상세표[블록종료],$Q3002)&amp;""))</f>
        <v/>
      </c>
      <c r="H3002">
        <f>IF($Q3002="","",CHOOSE(WEEKDAY(INDEX(상세표[시작],$Q3002)),"일","월","화","수","목","금","토"))</f>
        <v/>
      </c>
      <c r="I3002" s="20">
        <f>IF($Q3002="","",INDEX(상세표[연속 시간],$Q3002))</f>
        <v/>
      </c>
      <c r="J3002">
        <f>IF($Q3002="","",INDEX(상세표[기록 수],$Q3002))</f>
        <v/>
      </c>
      <c r="K3002" s="20">
        <f>IF($Q3002="","",INDEX(상세표[블록 06~07시],$Q3002))</f>
        <v/>
      </c>
      <c r="L3002" s="20">
        <f>IF($Q3002="","",INDEX(상세표[블록 07~18시],$Q3002))</f>
        <v/>
      </c>
      <c r="M3002" s="20">
        <f>IF($Q3002="","",INDEX(상세표[블록 18~22시],$Q3002))</f>
        <v/>
      </c>
      <c r="N3002" s="20">
        <f>IF($Q3002="","",INDEX(상세표[블록 22~06시],$Q3002))</f>
        <v/>
      </c>
      <c r="O3002">
        <f>IF($Q3002="","",INDEX(상세표[주말·휴일 포함],$Q3002)&amp;"")</f>
        <v/>
      </c>
      <c r="P3002">
        <f>IF($Q3002="","",INDEX(상세표[월 넘김 포함],$Q3002)&amp;"")</f>
        <v/>
      </c>
      <c r="Q3002" s="4">
        <f>IFERROR(MATCH(2997,상세표[연속순번],0),"")</f>
        <v/>
      </c>
    </row>
    <row r="3003">
      <c r="A3003">
        <f>IF($Q3003="","",INDEX(상세표[부서],$Q3003)&amp;"")</f>
        <v/>
      </c>
      <c r="B3003">
        <f>IF($Q3003="","",INDEX(상세표[사번],$Q3003)&amp;"")</f>
        <v/>
      </c>
      <c r="C3003">
        <f>IF($Q3003="","",INDEX(상세표[성명],$Q3003)&amp;"")</f>
        <v/>
      </c>
      <c r="D3003">
        <f>IF($Q3003="","",INDEX(상세표[직위],$Q3003)&amp;"")</f>
        <v/>
      </c>
      <c r="E3003">
        <f>IF($Q3003="","",IF(ISNUMBER(INDEX(상세표[근무일자],$Q3003)),TEXT(INDEX(상세표[근무일자],$Q3003),"yyyy-mm-dd"),INDEX(상세표[근무일자],$Q3003)&amp;""))</f>
        <v/>
      </c>
      <c r="F3003">
        <f>IF($Q3003="","",IF(ISNUMBER(INDEX(상세표[시작],$Q3003)),TEXT(INDEX(상세표[시작],$Q3003),"yyyy-mm-dd hh:mm"),INDEX(상세표[시작],$Q3003)&amp;""))</f>
        <v/>
      </c>
      <c r="G3003">
        <f>IF($Q3003="","",IF(ISNUMBER(INDEX(상세표[블록종료],$Q3003)),TEXT(INDEX(상세표[블록종료],$Q3003),"yyyy-mm-dd hh:mm"),INDEX(상세표[블록종료],$Q3003)&amp;""))</f>
        <v/>
      </c>
      <c r="H3003">
        <f>IF($Q3003="","",CHOOSE(WEEKDAY(INDEX(상세표[시작],$Q3003)),"일","월","화","수","목","금","토"))</f>
        <v/>
      </c>
      <c r="I3003" s="20">
        <f>IF($Q3003="","",INDEX(상세표[연속 시간],$Q3003))</f>
        <v/>
      </c>
      <c r="J3003">
        <f>IF($Q3003="","",INDEX(상세표[기록 수],$Q3003))</f>
        <v/>
      </c>
      <c r="K3003" s="20">
        <f>IF($Q3003="","",INDEX(상세표[블록 06~07시],$Q3003))</f>
        <v/>
      </c>
      <c r="L3003" s="20">
        <f>IF($Q3003="","",INDEX(상세표[블록 07~18시],$Q3003))</f>
        <v/>
      </c>
      <c r="M3003" s="20">
        <f>IF($Q3003="","",INDEX(상세표[블록 18~22시],$Q3003))</f>
        <v/>
      </c>
      <c r="N3003" s="20">
        <f>IF($Q3003="","",INDEX(상세표[블록 22~06시],$Q3003))</f>
        <v/>
      </c>
      <c r="O3003">
        <f>IF($Q3003="","",INDEX(상세표[주말·휴일 포함],$Q3003)&amp;"")</f>
        <v/>
      </c>
      <c r="P3003">
        <f>IF($Q3003="","",INDEX(상세표[월 넘김 포함],$Q3003)&amp;"")</f>
        <v/>
      </c>
      <c r="Q3003" s="4">
        <f>IFERROR(MATCH(2998,상세표[연속순번],0),"")</f>
        <v/>
      </c>
    </row>
    <row r="3004">
      <c r="A3004">
        <f>IF($Q3004="","",INDEX(상세표[부서],$Q3004)&amp;"")</f>
        <v/>
      </c>
      <c r="B3004">
        <f>IF($Q3004="","",INDEX(상세표[사번],$Q3004)&amp;"")</f>
        <v/>
      </c>
      <c r="C3004">
        <f>IF($Q3004="","",INDEX(상세표[성명],$Q3004)&amp;"")</f>
        <v/>
      </c>
      <c r="D3004">
        <f>IF($Q3004="","",INDEX(상세표[직위],$Q3004)&amp;"")</f>
        <v/>
      </c>
      <c r="E3004">
        <f>IF($Q3004="","",IF(ISNUMBER(INDEX(상세표[근무일자],$Q3004)),TEXT(INDEX(상세표[근무일자],$Q3004),"yyyy-mm-dd"),INDEX(상세표[근무일자],$Q3004)&amp;""))</f>
        <v/>
      </c>
      <c r="F3004">
        <f>IF($Q3004="","",IF(ISNUMBER(INDEX(상세표[시작],$Q3004)),TEXT(INDEX(상세표[시작],$Q3004),"yyyy-mm-dd hh:mm"),INDEX(상세표[시작],$Q3004)&amp;""))</f>
        <v/>
      </c>
      <c r="G3004">
        <f>IF($Q3004="","",IF(ISNUMBER(INDEX(상세표[블록종료],$Q3004)),TEXT(INDEX(상세표[블록종료],$Q3004),"yyyy-mm-dd hh:mm"),INDEX(상세표[블록종료],$Q3004)&amp;""))</f>
        <v/>
      </c>
      <c r="H3004">
        <f>IF($Q3004="","",CHOOSE(WEEKDAY(INDEX(상세표[시작],$Q3004)),"일","월","화","수","목","금","토"))</f>
        <v/>
      </c>
      <c r="I3004" s="20">
        <f>IF($Q3004="","",INDEX(상세표[연속 시간],$Q3004))</f>
        <v/>
      </c>
      <c r="J3004">
        <f>IF($Q3004="","",INDEX(상세표[기록 수],$Q3004))</f>
        <v/>
      </c>
      <c r="K3004" s="20">
        <f>IF($Q3004="","",INDEX(상세표[블록 06~07시],$Q3004))</f>
        <v/>
      </c>
      <c r="L3004" s="20">
        <f>IF($Q3004="","",INDEX(상세표[블록 07~18시],$Q3004))</f>
        <v/>
      </c>
      <c r="M3004" s="20">
        <f>IF($Q3004="","",INDEX(상세표[블록 18~22시],$Q3004))</f>
        <v/>
      </c>
      <c r="N3004" s="20">
        <f>IF($Q3004="","",INDEX(상세표[블록 22~06시],$Q3004))</f>
        <v/>
      </c>
      <c r="O3004">
        <f>IF($Q3004="","",INDEX(상세표[주말·휴일 포함],$Q3004)&amp;"")</f>
        <v/>
      </c>
      <c r="P3004">
        <f>IF($Q3004="","",INDEX(상세표[월 넘김 포함],$Q3004)&amp;"")</f>
        <v/>
      </c>
      <c r="Q3004" s="4">
        <f>IFERROR(MATCH(2999,상세표[연속순번],0),"")</f>
        <v/>
      </c>
    </row>
    <row r="3005">
      <c r="A3005">
        <f>IF($Q3005="","",INDEX(상세표[부서],$Q3005)&amp;"")</f>
        <v/>
      </c>
      <c r="B3005">
        <f>IF($Q3005="","",INDEX(상세표[사번],$Q3005)&amp;"")</f>
        <v/>
      </c>
      <c r="C3005">
        <f>IF($Q3005="","",INDEX(상세표[성명],$Q3005)&amp;"")</f>
        <v/>
      </c>
      <c r="D3005">
        <f>IF($Q3005="","",INDEX(상세표[직위],$Q3005)&amp;"")</f>
        <v/>
      </c>
      <c r="E3005">
        <f>IF($Q3005="","",IF(ISNUMBER(INDEX(상세표[근무일자],$Q3005)),TEXT(INDEX(상세표[근무일자],$Q3005),"yyyy-mm-dd"),INDEX(상세표[근무일자],$Q3005)&amp;""))</f>
        <v/>
      </c>
      <c r="F3005">
        <f>IF($Q3005="","",IF(ISNUMBER(INDEX(상세표[시작],$Q3005)),TEXT(INDEX(상세표[시작],$Q3005),"yyyy-mm-dd hh:mm"),INDEX(상세표[시작],$Q3005)&amp;""))</f>
        <v/>
      </c>
      <c r="G3005">
        <f>IF($Q3005="","",IF(ISNUMBER(INDEX(상세표[블록종료],$Q3005)),TEXT(INDEX(상세표[블록종료],$Q3005),"yyyy-mm-dd hh:mm"),INDEX(상세표[블록종료],$Q3005)&amp;""))</f>
        <v/>
      </c>
      <c r="H3005">
        <f>IF($Q3005="","",CHOOSE(WEEKDAY(INDEX(상세표[시작],$Q3005)),"일","월","화","수","목","금","토"))</f>
        <v/>
      </c>
      <c r="I3005" s="20">
        <f>IF($Q3005="","",INDEX(상세표[연속 시간],$Q3005))</f>
        <v/>
      </c>
      <c r="J3005">
        <f>IF($Q3005="","",INDEX(상세표[기록 수],$Q3005))</f>
        <v/>
      </c>
      <c r="K3005" s="20">
        <f>IF($Q3005="","",INDEX(상세표[블록 06~07시],$Q3005))</f>
        <v/>
      </c>
      <c r="L3005" s="20">
        <f>IF($Q3005="","",INDEX(상세표[블록 07~18시],$Q3005))</f>
        <v/>
      </c>
      <c r="M3005" s="20">
        <f>IF($Q3005="","",INDEX(상세표[블록 18~22시],$Q3005))</f>
        <v/>
      </c>
      <c r="N3005" s="20">
        <f>IF($Q3005="","",INDEX(상세표[블록 22~06시],$Q3005))</f>
        <v/>
      </c>
      <c r="O3005">
        <f>IF($Q3005="","",INDEX(상세표[주말·휴일 포함],$Q3005)&amp;"")</f>
        <v/>
      </c>
      <c r="P3005">
        <f>IF($Q3005="","",INDEX(상세표[월 넘김 포함],$Q3005)&amp;"")</f>
        <v/>
      </c>
      <c r="Q3005" s="4">
        <f>IFERROR(MATCH(3000,상세표[연속순번],0),"")</f>
        <v/>
      </c>
    </row>
  </sheetData>
  <conditionalFormatting sqref="H3">
    <cfRule type="expression" priority="1" dxfId="1">
      <formula>H3&gt;0</formula>
    </cfRule>
  </conditionalFormatting>
  <conditionalFormatting sqref="J3">
    <cfRule type="expression" priority="2" dxfId="1">
      <formula>J3&gt;0</formula>
    </cfRule>
  </conditionalFormatting>
  <conditionalFormatting sqref="A6:P3005">
    <cfRule type="expression" priority="3" dxfId="1">
      <formula>AND(ISNUMBER($I6),$I6&gt;36)</formula>
    </cfRule>
    <cfRule type="expression" priority="4" dxfId="2">
      <formula>$P6="포함"</formula>
    </cfRule>
    <cfRule type="expression" priority="5" dxfId="3">
      <formula>$O6="포함"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10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3.6" customWidth="1" min="3" max="3"/>
    <col width="16.6" customWidth="1" min="4" max="4"/>
    <col width="16" customWidth="1" min="5" max="5"/>
    <col width="8" customWidth="1" min="6" max="6"/>
    <col width="14.6" customWidth="1" min="7" max="7"/>
    <col width="11" customWidth="1" min="8" max="8"/>
    <col width="26" customWidth="1" min="9" max="9"/>
    <col width="9" customWidth="1" min="10" max="10"/>
    <col width="26" customWidth="1" min="11" max="11"/>
    <col width="9" customWidth="1" min="12" max="12"/>
  </cols>
  <sheetData>
    <row r="1">
      <c r="A1" s="1" t="inlineStr">
        <is>
          <t>월을 넘는 당직 (전월 말일→이번 달, 이번 달 말일→익월)</t>
        </is>
      </c>
    </row>
    <row r="2">
      <c r="A2" s="4" t="inlineStr">
        <is>
          <t>※ 같은 기관이면 시작한 달에 반영. 서울↔구리는 시작한 달의 15일 이상 근무 기관(그 달 급여지급병원)에 반영. 말일 근무는 모두 시작한 달(말일이 속한 달) 급여. 그 밖의 조합(창원→서울 등)은 말일 근무를 한 익월 기관에 반영.</t>
        </is>
      </c>
    </row>
    <row r="3">
      <c r="A3" s="16" t="inlineStr">
        <is>
          <t>월 넘김 당직</t>
        </is>
      </c>
      <c r="B3" s="17">
        <f>SUM(상세표[경계표시])</f>
        <v/>
      </c>
      <c r="C3" s="16" t="inlineStr">
        <is>
          <t>전월→이번 달</t>
        </is>
      </c>
      <c r="D3" s="17">
        <f>COUNTIFS(상세표[경계표시],1,상세표[종료월],대상월키)</f>
        <v/>
      </c>
      <c r="E3" s="16" t="inlineStr">
        <is>
          <t>이번 달→익월</t>
        </is>
      </c>
      <c r="F3" s="17">
        <f>COUNTIFS(상세표[경계표시],1,상세표[기록월],대상월키)</f>
        <v/>
      </c>
      <c r="G3" s="16" t="inlineStr">
        <is>
          <t>익월 기관에 반영</t>
        </is>
      </c>
      <c r="H3" s="17">
        <f>COUNTIFS(상세표[경계표시],1,상세표[월경계 판정],"말일 근무: 근무한*")</f>
        <v/>
      </c>
      <c r="I3" s="16" t="inlineStr">
        <is>
          <t>기관 정보 없음·확인 필요</t>
        </is>
      </c>
      <c r="J3" s="17">
        <f>COUNTIFS(상세표[경계표시],1,상세표[월경계 판정],"기관*")+COUNTIFS(상세표[경계표시],1,상세표[월경계 판정],"말일 근무: 익월 기관 정보 없음*")</f>
        <v/>
      </c>
      <c r="K3" s="18">
        <f>IF(B3&gt;1000,"⚠ 표시 한도(1000건) 초과","")</f>
        <v/>
      </c>
    </row>
    <row r="4"/>
    <row r="5" ht="30" customHeight="1">
      <c r="A5" s="5" t="inlineStr">
        <is>
          <t>사번</t>
        </is>
      </c>
      <c r="B5" s="5" t="inlineStr">
        <is>
          <t>성명</t>
        </is>
      </c>
      <c r="C5" s="5" t="inlineStr">
        <is>
          <t>구분</t>
        </is>
      </c>
      <c r="D5" s="5" t="inlineStr">
        <is>
          <t>시작</t>
        </is>
      </c>
      <c r="E5" s="5" t="inlineStr">
        <is>
          <t>종료</t>
        </is>
      </c>
      <c r="F5" s="5" t="inlineStr">
        <is>
          <t>시간외 시간</t>
        </is>
      </c>
      <c r="G5" s="5" t="inlineStr">
        <is>
          <t>시작월 기관</t>
        </is>
      </c>
      <c r="H5" s="5" t="inlineStr">
        <is>
          <t>종료월 기관</t>
        </is>
      </c>
      <c r="I5" s="5" t="inlineStr">
        <is>
          <t>판정</t>
        </is>
      </c>
      <c r="J5" s="5" t="inlineStr">
        <is>
          <t>반영 급여월</t>
        </is>
      </c>
      <c r="K5" s="5" t="inlineStr">
        <is>
          <t>반영 기관</t>
        </is>
      </c>
      <c r="L5" s="5" t="inlineStr">
        <is>
          <t>기관 출처</t>
        </is>
      </c>
      <c r="M5" s="19" t="inlineStr">
        <is>
          <t>(행)</t>
        </is>
      </c>
    </row>
    <row r="6">
      <c r="A6">
        <f>IF($M6="",IF(SUM(상세표[경계표시])=0,"월을 넘는 당직 없음",""),INDEX(상세표[사번],$M6)&amp;"")</f>
        <v/>
      </c>
      <c r="B6">
        <f>IF($M6="","",INDEX(상세표[성명],$M6)&amp;"")</f>
        <v/>
      </c>
      <c r="C6">
        <f>IF($M6="","",IF(INDEX(상세표[종료월],$M6)=대상월키,"전월→이번 달","이번 달→익월"))</f>
        <v/>
      </c>
      <c r="D6">
        <f>IF($M6="","",IF(ISNUMBER(INDEX(상세표[시작],$M6)),TEXT(INDEX(상세표[시작],$M6),"yyyy-mm-dd hh:mm"),INDEX(상세표[시작],$M6)&amp;""))</f>
        <v/>
      </c>
      <c r="E6">
        <f>IF($M6="","",IF(ISNUMBER(INDEX(상세표[종료],$M6)),TEXT(INDEX(상세표[종료],$M6),"yyyy-mm-dd hh:mm"),INDEX(상세표[종료],$M6)&amp;""))</f>
        <v/>
      </c>
      <c r="F6" s="20">
        <f>IF($M6="","",INDEX(상세표[기록 시간외],$M6))</f>
        <v/>
      </c>
      <c r="G6">
        <f>IF($M6="","",INDEX(상세표[시작월 기관],$M6)&amp;"")</f>
        <v/>
      </c>
      <c r="H6">
        <f>IF($M6="","",INDEX(상세표[종료월 기관],$M6)&amp;"")</f>
        <v/>
      </c>
      <c r="I6">
        <f>IF($M6="","",INDEX(상세표[월경계 판정],$M6)&amp;"")</f>
        <v/>
      </c>
      <c r="J6">
        <f>IF($M6="","",INDEX(상세표[반영월],$M6)&amp;"")</f>
        <v/>
      </c>
      <c r="K6">
        <f>IF($M6="","",INDEX(상세표[반영 기관],$M6)&amp;"")</f>
        <v/>
      </c>
      <c r="L6">
        <f>IF($M6="","",INDEX(상세표[기관 출처],$M6)&amp;"")</f>
        <v/>
      </c>
      <c r="M6" s="4">
        <f>IFERROR(MATCH(1,상세표[경계순번],0),"")</f>
        <v/>
      </c>
    </row>
    <row r="7">
      <c r="A7">
        <f>IF($M7="","",INDEX(상세표[사번],$M7)&amp;"")</f>
        <v/>
      </c>
      <c r="B7">
        <f>IF($M7="","",INDEX(상세표[성명],$M7)&amp;"")</f>
        <v/>
      </c>
      <c r="C7">
        <f>IF($M7="","",IF(INDEX(상세표[종료월],$M7)=대상월키,"전월→이번 달","이번 달→익월"))</f>
        <v/>
      </c>
      <c r="D7">
        <f>IF($M7="","",IF(ISNUMBER(INDEX(상세표[시작],$M7)),TEXT(INDEX(상세표[시작],$M7),"yyyy-mm-dd hh:mm"),INDEX(상세표[시작],$M7)&amp;""))</f>
        <v/>
      </c>
      <c r="E7">
        <f>IF($M7="","",IF(ISNUMBER(INDEX(상세표[종료],$M7)),TEXT(INDEX(상세표[종료],$M7),"yyyy-mm-dd hh:mm"),INDEX(상세표[종료],$M7)&amp;""))</f>
        <v/>
      </c>
      <c r="F7" s="20">
        <f>IF($M7="","",INDEX(상세표[기록 시간외],$M7))</f>
        <v/>
      </c>
      <c r="G7">
        <f>IF($M7="","",INDEX(상세표[시작월 기관],$M7)&amp;"")</f>
        <v/>
      </c>
      <c r="H7">
        <f>IF($M7="","",INDEX(상세표[종료월 기관],$M7)&amp;"")</f>
        <v/>
      </c>
      <c r="I7">
        <f>IF($M7="","",INDEX(상세표[월경계 판정],$M7)&amp;"")</f>
        <v/>
      </c>
      <c r="J7">
        <f>IF($M7="","",INDEX(상세표[반영월],$M7)&amp;"")</f>
        <v/>
      </c>
      <c r="K7">
        <f>IF($M7="","",INDEX(상세표[반영 기관],$M7)&amp;"")</f>
        <v/>
      </c>
      <c r="L7">
        <f>IF($M7="","",INDEX(상세표[기관 출처],$M7)&amp;"")</f>
        <v/>
      </c>
      <c r="M7" s="4">
        <f>IFERROR(MATCH(2,상세표[경계순번],0),"")</f>
        <v/>
      </c>
    </row>
    <row r="8">
      <c r="A8">
        <f>IF($M8="","",INDEX(상세표[사번],$M8)&amp;"")</f>
        <v/>
      </c>
      <c r="B8">
        <f>IF($M8="","",INDEX(상세표[성명],$M8)&amp;"")</f>
        <v/>
      </c>
      <c r="C8">
        <f>IF($M8="","",IF(INDEX(상세표[종료월],$M8)=대상월키,"전월→이번 달","이번 달→익월"))</f>
        <v/>
      </c>
      <c r="D8">
        <f>IF($M8="","",IF(ISNUMBER(INDEX(상세표[시작],$M8)),TEXT(INDEX(상세표[시작],$M8),"yyyy-mm-dd hh:mm"),INDEX(상세표[시작],$M8)&amp;""))</f>
        <v/>
      </c>
      <c r="E8">
        <f>IF($M8="","",IF(ISNUMBER(INDEX(상세표[종료],$M8)),TEXT(INDEX(상세표[종료],$M8),"yyyy-mm-dd hh:mm"),INDEX(상세표[종료],$M8)&amp;""))</f>
        <v/>
      </c>
      <c r="F8" s="20">
        <f>IF($M8="","",INDEX(상세표[기록 시간외],$M8))</f>
        <v/>
      </c>
      <c r="G8">
        <f>IF($M8="","",INDEX(상세표[시작월 기관],$M8)&amp;"")</f>
        <v/>
      </c>
      <c r="H8">
        <f>IF($M8="","",INDEX(상세표[종료월 기관],$M8)&amp;"")</f>
        <v/>
      </c>
      <c r="I8">
        <f>IF($M8="","",INDEX(상세표[월경계 판정],$M8)&amp;"")</f>
        <v/>
      </c>
      <c r="J8">
        <f>IF($M8="","",INDEX(상세표[반영월],$M8)&amp;"")</f>
        <v/>
      </c>
      <c r="K8">
        <f>IF($M8="","",INDEX(상세표[반영 기관],$M8)&amp;"")</f>
        <v/>
      </c>
      <c r="L8">
        <f>IF($M8="","",INDEX(상세표[기관 출처],$M8)&amp;"")</f>
        <v/>
      </c>
      <c r="M8" s="4">
        <f>IFERROR(MATCH(3,상세표[경계순번],0),"")</f>
        <v/>
      </c>
    </row>
    <row r="9">
      <c r="A9">
        <f>IF($M9="","",INDEX(상세표[사번],$M9)&amp;"")</f>
        <v/>
      </c>
      <c r="B9">
        <f>IF($M9="","",INDEX(상세표[성명],$M9)&amp;"")</f>
        <v/>
      </c>
      <c r="C9">
        <f>IF($M9="","",IF(INDEX(상세표[종료월],$M9)=대상월키,"전월→이번 달","이번 달→익월"))</f>
        <v/>
      </c>
      <c r="D9">
        <f>IF($M9="","",IF(ISNUMBER(INDEX(상세표[시작],$M9)),TEXT(INDEX(상세표[시작],$M9),"yyyy-mm-dd hh:mm"),INDEX(상세표[시작],$M9)&amp;""))</f>
        <v/>
      </c>
      <c r="E9">
        <f>IF($M9="","",IF(ISNUMBER(INDEX(상세표[종료],$M9)),TEXT(INDEX(상세표[종료],$M9),"yyyy-mm-dd hh:mm"),INDEX(상세표[종료],$M9)&amp;""))</f>
        <v/>
      </c>
      <c r="F9" s="20">
        <f>IF($M9="","",INDEX(상세표[기록 시간외],$M9))</f>
        <v/>
      </c>
      <c r="G9">
        <f>IF($M9="","",INDEX(상세표[시작월 기관],$M9)&amp;"")</f>
        <v/>
      </c>
      <c r="H9">
        <f>IF($M9="","",INDEX(상세표[종료월 기관],$M9)&amp;"")</f>
        <v/>
      </c>
      <c r="I9">
        <f>IF($M9="","",INDEX(상세표[월경계 판정],$M9)&amp;"")</f>
        <v/>
      </c>
      <c r="J9">
        <f>IF($M9="","",INDEX(상세표[반영월],$M9)&amp;"")</f>
        <v/>
      </c>
      <c r="K9">
        <f>IF($M9="","",INDEX(상세표[반영 기관],$M9)&amp;"")</f>
        <v/>
      </c>
      <c r="L9">
        <f>IF($M9="","",INDEX(상세표[기관 출처],$M9)&amp;"")</f>
        <v/>
      </c>
      <c r="M9" s="4">
        <f>IFERROR(MATCH(4,상세표[경계순번],0),"")</f>
        <v/>
      </c>
    </row>
    <row r="10">
      <c r="A10">
        <f>IF($M10="","",INDEX(상세표[사번],$M10)&amp;"")</f>
        <v/>
      </c>
      <c r="B10">
        <f>IF($M10="","",INDEX(상세표[성명],$M10)&amp;"")</f>
        <v/>
      </c>
      <c r="C10">
        <f>IF($M10="","",IF(INDEX(상세표[종료월],$M10)=대상월키,"전월→이번 달","이번 달→익월"))</f>
        <v/>
      </c>
      <c r="D10">
        <f>IF($M10="","",IF(ISNUMBER(INDEX(상세표[시작],$M10)),TEXT(INDEX(상세표[시작],$M10),"yyyy-mm-dd hh:mm"),INDEX(상세표[시작],$M10)&amp;""))</f>
        <v/>
      </c>
      <c r="E10">
        <f>IF($M10="","",IF(ISNUMBER(INDEX(상세표[종료],$M10)),TEXT(INDEX(상세표[종료],$M10),"yyyy-mm-dd hh:mm"),INDEX(상세표[종료],$M10)&amp;""))</f>
        <v/>
      </c>
      <c r="F10" s="20">
        <f>IF($M10="","",INDEX(상세표[기록 시간외],$M10))</f>
        <v/>
      </c>
      <c r="G10">
        <f>IF($M10="","",INDEX(상세표[시작월 기관],$M10)&amp;"")</f>
        <v/>
      </c>
      <c r="H10">
        <f>IF($M10="","",INDEX(상세표[종료월 기관],$M10)&amp;"")</f>
        <v/>
      </c>
      <c r="I10">
        <f>IF($M10="","",INDEX(상세표[월경계 판정],$M10)&amp;"")</f>
        <v/>
      </c>
      <c r="J10">
        <f>IF($M10="","",INDEX(상세표[반영월],$M10)&amp;"")</f>
        <v/>
      </c>
      <c r="K10">
        <f>IF($M10="","",INDEX(상세표[반영 기관],$M10)&amp;"")</f>
        <v/>
      </c>
      <c r="L10">
        <f>IF($M10="","",INDEX(상세표[기관 출처],$M10)&amp;"")</f>
        <v/>
      </c>
      <c r="M10" s="4">
        <f>IFERROR(MATCH(5,상세표[경계순번],0),"")</f>
        <v/>
      </c>
    </row>
    <row r="11">
      <c r="A11">
        <f>IF($M11="","",INDEX(상세표[사번],$M11)&amp;"")</f>
        <v/>
      </c>
      <c r="B11">
        <f>IF($M11="","",INDEX(상세표[성명],$M11)&amp;"")</f>
        <v/>
      </c>
      <c r="C11">
        <f>IF($M11="","",IF(INDEX(상세표[종료월],$M11)=대상월키,"전월→이번 달","이번 달→익월"))</f>
        <v/>
      </c>
      <c r="D11">
        <f>IF($M11="","",IF(ISNUMBER(INDEX(상세표[시작],$M11)),TEXT(INDEX(상세표[시작],$M11),"yyyy-mm-dd hh:mm"),INDEX(상세표[시작],$M11)&amp;""))</f>
        <v/>
      </c>
      <c r="E11">
        <f>IF($M11="","",IF(ISNUMBER(INDEX(상세표[종료],$M11)),TEXT(INDEX(상세표[종료],$M11),"yyyy-mm-dd hh:mm"),INDEX(상세표[종료],$M11)&amp;""))</f>
        <v/>
      </c>
      <c r="F11" s="20">
        <f>IF($M11="","",INDEX(상세표[기록 시간외],$M11))</f>
        <v/>
      </c>
      <c r="G11">
        <f>IF($M11="","",INDEX(상세표[시작월 기관],$M11)&amp;"")</f>
        <v/>
      </c>
      <c r="H11">
        <f>IF($M11="","",INDEX(상세표[종료월 기관],$M11)&amp;"")</f>
        <v/>
      </c>
      <c r="I11">
        <f>IF($M11="","",INDEX(상세표[월경계 판정],$M11)&amp;"")</f>
        <v/>
      </c>
      <c r="J11">
        <f>IF($M11="","",INDEX(상세표[반영월],$M11)&amp;"")</f>
        <v/>
      </c>
      <c r="K11">
        <f>IF($M11="","",INDEX(상세표[반영 기관],$M11)&amp;"")</f>
        <v/>
      </c>
      <c r="L11">
        <f>IF($M11="","",INDEX(상세표[기관 출처],$M11)&amp;"")</f>
        <v/>
      </c>
      <c r="M11" s="4">
        <f>IFERROR(MATCH(6,상세표[경계순번],0),"")</f>
        <v/>
      </c>
    </row>
    <row r="12">
      <c r="A12">
        <f>IF($M12="","",INDEX(상세표[사번],$M12)&amp;"")</f>
        <v/>
      </c>
      <c r="B12">
        <f>IF($M12="","",INDEX(상세표[성명],$M12)&amp;"")</f>
        <v/>
      </c>
      <c r="C12">
        <f>IF($M12="","",IF(INDEX(상세표[종료월],$M12)=대상월키,"전월→이번 달","이번 달→익월"))</f>
        <v/>
      </c>
      <c r="D12">
        <f>IF($M12="","",IF(ISNUMBER(INDEX(상세표[시작],$M12)),TEXT(INDEX(상세표[시작],$M12),"yyyy-mm-dd hh:mm"),INDEX(상세표[시작],$M12)&amp;""))</f>
        <v/>
      </c>
      <c r="E12">
        <f>IF($M12="","",IF(ISNUMBER(INDEX(상세표[종료],$M12)),TEXT(INDEX(상세표[종료],$M12),"yyyy-mm-dd hh:mm"),INDEX(상세표[종료],$M12)&amp;""))</f>
        <v/>
      </c>
      <c r="F12" s="20">
        <f>IF($M12="","",INDEX(상세표[기록 시간외],$M12))</f>
        <v/>
      </c>
      <c r="G12">
        <f>IF($M12="","",INDEX(상세표[시작월 기관],$M12)&amp;"")</f>
        <v/>
      </c>
      <c r="H12">
        <f>IF($M12="","",INDEX(상세표[종료월 기관],$M12)&amp;"")</f>
        <v/>
      </c>
      <c r="I12">
        <f>IF($M12="","",INDEX(상세표[월경계 판정],$M12)&amp;"")</f>
        <v/>
      </c>
      <c r="J12">
        <f>IF($M12="","",INDEX(상세표[반영월],$M12)&amp;"")</f>
        <v/>
      </c>
      <c r="K12">
        <f>IF($M12="","",INDEX(상세표[반영 기관],$M12)&amp;"")</f>
        <v/>
      </c>
      <c r="L12">
        <f>IF($M12="","",INDEX(상세표[기관 출처],$M12)&amp;"")</f>
        <v/>
      </c>
      <c r="M12" s="4">
        <f>IFERROR(MATCH(7,상세표[경계순번],0),"")</f>
        <v/>
      </c>
    </row>
    <row r="13">
      <c r="A13">
        <f>IF($M13="","",INDEX(상세표[사번],$M13)&amp;"")</f>
        <v/>
      </c>
      <c r="B13">
        <f>IF($M13="","",INDEX(상세표[성명],$M13)&amp;"")</f>
        <v/>
      </c>
      <c r="C13">
        <f>IF($M13="","",IF(INDEX(상세표[종료월],$M13)=대상월키,"전월→이번 달","이번 달→익월"))</f>
        <v/>
      </c>
      <c r="D13">
        <f>IF($M13="","",IF(ISNUMBER(INDEX(상세표[시작],$M13)),TEXT(INDEX(상세표[시작],$M13),"yyyy-mm-dd hh:mm"),INDEX(상세표[시작],$M13)&amp;""))</f>
        <v/>
      </c>
      <c r="E13">
        <f>IF($M13="","",IF(ISNUMBER(INDEX(상세표[종료],$M13)),TEXT(INDEX(상세표[종료],$M13),"yyyy-mm-dd hh:mm"),INDEX(상세표[종료],$M13)&amp;""))</f>
        <v/>
      </c>
      <c r="F13" s="20">
        <f>IF($M13="","",INDEX(상세표[기록 시간외],$M13))</f>
        <v/>
      </c>
      <c r="G13">
        <f>IF($M13="","",INDEX(상세표[시작월 기관],$M13)&amp;"")</f>
        <v/>
      </c>
      <c r="H13">
        <f>IF($M13="","",INDEX(상세표[종료월 기관],$M13)&amp;"")</f>
        <v/>
      </c>
      <c r="I13">
        <f>IF($M13="","",INDEX(상세표[월경계 판정],$M13)&amp;"")</f>
        <v/>
      </c>
      <c r="J13">
        <f>IF($M13="","",INDEX(상세표[반영월],$M13)&amp;"")</f>
        <v/>
      </c>
      <c r="K13">
        <f>IF($M13="","",INDEX(상세표[반영 기관],$M13)&amp;"")</f>
        <v/>
      </c>
      <c r="L13">
        <f>IF($M13="","",INDEX(상세표[기관 출처],$M13)&amp;"")</f>
        <v/>
      </c>
      <c r="M13" s="4">
        <f>IFERROR(MATCH(8,상세표[경계순번],0),"")</f>
        <v/>
      </c>
    </row>
    <row r="14">
      <c r="A14">
        <f>IF($M14="","",INDEX(상세표[사번],$M14)&amp;"")</f>
        <v/>
      </c>
      <c r="B14">
        <f>IF($M14="","",INDEX(상세표[성명],$M14)&amp;"")</f>
        <v/>
      </c>
      <c r="C14">
        <f>IF($M14="","",IF(INDEX(상세표[종료월],$M14)=대상월키,"전월→이번 달","이번 달→익월"))</f>
        <v/>
      </c>
      <c r="D14">
        <f>IF($M14="","",IF(ISNUMBER(INDEX(상세표[시작],$M14)),TEXT(INDEX(상세표[시작],$M14),"yyyy-mm-dd hh:mm"),INDEX(상세표[시작],$M14)&amp;""))</f>
        <v/>
      </c>
      <c r="E14">
        <f>IF($M14="","",IF(ISNUMBER(INDEX(상세표[종료],$M14)),TEXT(INDEX(상세표[종료],$M14),"yyyy-mm-dd hh:mm"),INDEX(상세표[종료],$M14)&amp;""))</f>
        <v/>
      </c>
      <c r="F14" s="20">
        <f>IF($M14="","",INDEX(상세표[기록 시간외],$M14))</f>
        <v/>
      </c>
      <c r="G14">
        <f>IF($M14="","",INDEX(상세표[시작월 기관],$M14)&amp;"")</f>
        <v/>
      </c>
      <c r="H14">
        <f>IF($M14="","",INDEX(상세표[종료월 기관],$M14)&amp;"")</f>
        <v/>
      </c>
      <c r="I14">
        <f>IF($M14="","",INDEX(상세표[월경계 판정],$M14)&amp;"")</f>
        <v/>
      </c>
      <c r="J14">
        <f>IF($M14="","",INDEX(상세표[반영월],$M14)&amp;"")</f>
        <v/>
      </c>
      <c r="K14">
        <f>IF($M14="","",INDEX(상세표[반영 기관],$M14)&amp;"")</f>
        <v/>
      </c>
      <c r="L14">
        <f>IF($M14="","",INDEX(상세표[기관 출처],$M14)&amp;"")</f>
        <v/>
      </c>
      <c r="M14" s="4">
        <f>IFERROR(MATCH(9,상세표[경계순번],0),"")</f>
        <v/>
      </c>
    </row>
    <row r="15">
      <c r="A15">
        <f>IF($M15="","",INDEX(상세표[사번],$M15)&amp;"")</f>
        <v/>
      </c>
      <c r="B15">
        <f>IF($M15="","",INDEX(상세표[성명],$M15)&amp;"")</f>
        <v/>
      </c>
      <c r="C15">
        <f>IF($M15="","",IF(INDEX(상세표[종료월],$M15)=대상월키,"전월→이번 달","이번 달→익월"))</f>
        <v/>
      </c>
      <c r="D15">
        <f>IF($M15="","",IF(ISNUMBER(INDEX(상세표[시작],$M15)),TEXT(INDEX(상세표[시작],$M15),"yyyy-mm-dd hh:mm"),INDEX(상세표[시작],$M15)&amp;""))</f>
        <v/>
      </c>
      <c r="E15">
        <f>IF($M15="","",IF(ISNUMBER(INDEX(상세표[종료],$M15)),TEXT(INDEX(상세표[종료],$M15),"yyyy-mm-dd hh:mm"),INDEX(상세표[종료],$M15)&amp;""))</f>
        <v/>
      </c>
      <c r="F15" s="20">
        <f>IF($M15="","",INDEX(상세표[기록 시간외],$M15))</f>
        <v/>
      </c>
      <c r="G15">
        <f>IF($M15="","",INDEX(상세표[시작월 기관],$M15)&amp;"")</f>
        <v/>
      </c>
      <c r="H15">
        <f>IF($M15="","",INDEX(상세표[종료월 기관],$M15)&amp;"")</f>
        <v/>
      </c>
      <c r="I15">
        <f>IF($M15="","",INDEX(상세표[월경계 판정],$M15)&amp;"")</f>
        <v/>
      </c>
      <c r="J15">
        <f>IF($M15="","",INDEX(상세표[반영월],$M15)&amp;"")</f>
        <v/>
      </c>
      <c r="K15">
        <f>IF($M15="","",INDEX(상세표[반영 기관],$M15)&amp;"")</f>
        <v/>
      </c>
      <c r="L15">
        <f>IF($M15="","",INDEX(상세표[기관 출처],$M15)&amp;"")</f>
        <v/>
      </c>
      <c r="M15" s="4">
        <f>IFERROR(MATCH(10,상세표[경계순번],0),"")</f>
        <v/>
      </c>
    </row>
    <row r="16">
      <c r="A16">
        <f>IF($M16="","",INDEX(상세표[사번],$M16)&amp;"")</f>
        <v/>
      </c>
      <c r="B16">
        <f>IF($M16="","",INDEX(상세표[성명],$M16)&amp;"")</f>
        <v/>
      </c>
      <c r="C16">
        <f>IF($M16="","",IF(INDEX(상세표[종료월],$M16)=대상월키,"전월→이번 달","이번 달→익월"))</f>
        <v/>
      </c>
      <c r="D16">
        <f>IF($M16="","",IF(ISNUMBER(INDEX(상세표[시작],$M16)),TEXT(INDEX(상세표[시작],$M16),"yyyy-mm-dd hh:mm"),INDEX(상세표[시작],$M16)&amp;""))</f>
        <v/>
      </c>
      <c r="E16">
        <f>IF($M16="","",IF(ISNUMBER(INDEX(상세표[종료],$M16)),TEXT(INDEX(상세표[종료],$M16),"yyyy-mm-dd hh:mm"),INDEX(상세표[종료],$M16)&amp;""))</f>
        <v/>
      </c>
      <c r="F16" s="20">
        <f>IF($M16="","",INDEX(상세표[기록 시간외],$M16))</f>
        <v/>
      </c>
      <c r="G16">
        <f>IF($M16="","",INDEX(상세표[시작월 기관],$M16)&amp;"")</f>
        <v/>
      </c>
      <c r="H16">
        <f>IF($M16="","",INDEX(상세표[종료월 기관],$M16)&amp;"")</f>
        <v/>
      </c>
      <c r="I16">
        <f>IF($M16="","",INDEX(상세표[월경계 판정],$M16)&amp;"")</f>
        <v/>
      </c>
      <c r="J16">
        <f>IF($M16="","",INDEX(상세표[반영월],$M16)&amp;"")</f>
        <v/>
      </c>
      <c r="K16">
        <f>IF($M16="","",INDEX(상세표[반영 기관],$M16)&amp;"")</f>
        <v/>
      </c>
      <c r="L16">
        <f>IF($M16="","",INDEX(상세표[기관 출처],$M16)&amp;"")</f>
        <v/>
      </c>
      <c r="M16" s="4">
        <f>IFERROR(MATCH(11,상세표[경계순번],0),"")</f>
        <v/>
      </c>
    </row>
    <row r="17">
      <c r="A17">
        <f>IF($M17="","",INDEX(상세표[사번],$M17)&amp;"")</f>
        <v/>
      </c>
      <c r="B17">
        <f>IF($M17="","",INDEX(상세표[성명],$M17)&amp;"")</f>
        <v/>
      </c>
      <c r="C17">
        <f>IF($M17="","",IF(INDEX(상세표[종료월],$M17)=대상월키,"전월→이번 달","이번 달→익월"))</f>
        <v/>
      </c>
      <c r="D17">
        <f>IF($M17="","",IF(ISNUMBER(INDEX(상세표[시작],$M17)),TEXT(INDEX(상세표[시작],$M17),"yyyy-mm-dd hh:mm"),INDEX(상세표[시작],$M17)&amp;""))</f>
        <v/>
      </c>
      <c r="E17">
        <f>IF($M17="","",IF(ISNUMBER(INDEX(상세표[종료],$M17)),TEXT(INDEX(상세표[종료],$M17),"yyyy-mm-dd hh:mm"),INDEX(상세표[종료],$M17)&amp;""))</f>
        <v/>
      </c>
      <c r="F17" s="20">
        <f>IF($M17="","",INDEX(상세표[기록 시간외],$M17))</f>
        <v/>
      </c>
      <c r="G17">
        <f>IF($M17="","",INDEX(상세표[시작월 기관],$M17)&amp;"")</f>
        <v/>
      </c>
      <c r="H17">
        <f>IF($M17="","",INDEX(상세표[종료월 기관],$M17)&amp;"")</f>
        <v/>
      </c>
      <c r="I17">
        <f>IF($M17="","",INDEX(상세표[월경계 판정],$M17)&amp;"")</f>
        <v/>
      </c>
      <c r="J17">
        <f>IF($M17="","",INDEX(상세표[반영월],$M17)&amp;"")</f>
        <v/>
      </c>
      <c r="K17">
        <f>IF($M17="","",INDEX(상세표[반영 기관],$M17)&amp;"")</f>
        <v/>
      </c>
      <c r="L17">
        <f>IF($M17="","",INDEX(상세표[기관 출처],$M17)&amp;"")</f>
        <v/>
      </c>
      <c r="M17" s="4">
        <f>IFERROR(MATCH(12,상세표[경계순번],0),"")</f>
        <v/>
      </c>
    </row>
    <row r="18">
      <c r="A18">
        <f>IF($M18="","",INDEX(상세표[사번],$M18)&amp;"")</f>
        <v/>
      </c>
      <c r="B18">
        <f>IF($M18="","",INDEX(상세표[성명],$M18)&amp;"")</f>
        <v/>
      </c>
      <c r="C18">
        <f>IF($M18="","",IF(INDEX(상세표[종료월],$M18)=대상월키,"전월→이번 달","이번 달→익월"))</f>
        <v/>
      </c>
      <c r="D18">
        <f>IF($M18="","",IF(ISNUMBER(INDEX(상세표[시작],$M18)),TEXT(INDEX(상세표[시작],$M18),"yyyy-mm-dd hh:mm"),INDEX(상세표[시작],$M18)&amp;""))</f>
        <v/>
      </c>
      <c r="E18">
        <f>IF($M18="","",IF(ISNUMBER(INDEX(상세표[종료],$M18)),TEXT(INDEX(상세표[종료],$M18),"yyyy-mm-dd hh:mm"),INDEX(상세표[종료],$M18)&amp;""))</f>
        <v/>
      </c>
      <c r="F18" s="20">
        <f>IF($M18="","",INDEX(상세표[기록 시간외],$M18))</f>
        <v/>
      </c>
      <c r="G18">
        <f>IF($M18="","",INDEX(상세표[시작월 기관],$M18)&amp;"")</f>
        <v/>
      </c>
      <c r="H18">
        <f>IF($M18="","",INDEX(상세표[종료월 기관],$M18)&amp;"")</f>
        <v/>
      </c>
      <c r="I18">
        <f>IF($M18="","",INDEX(상세표[월경계 판정],$M18)&amp;"")</f>
        <v/>
      </c>
      <c r="J18">
        <f>IF($M18="","",INDEX(상세표[반영월],$M18)&amp;"")</f>
        <v/>
      </c>
      <c r="K18">
        <f>IF($M18="","",INDEX(상세표[반영 기관],$M18)&amp;"")</f>
        <v/>
      </c>
      <c r="L18">
        <f>IF($M18="","",INDEX(상세표[기관 출처],$M18)&amp;"")</f>
        <v/>
      </c>
      <c r="M18" s="4">
        <f>IFERROR(MATCH(13,상세표[경계순번],0),"")</f>
        <v/>
      </c>
    </row>
    <row r="19">
      <c r="A19">
        <f>IF($M19="","",INDEX(상세표[사번],$M19)&amp;"")</f>
        <v/>
      </c>
      <c r="B19">
        <f>IF($M19="","",INDEX(상세표[성명],$M19)&amp;"")</f>
        <v/>
      </c>
      <c r="C19">
        <f>IF($M19="","",IF(INDEX(상세표[종료월],$M19)=대상월키,"전월→이번 달","이번 달→익월"))</f>
        <v/>
      </c>
      <c r="D19">
        <f>IF($M19="","",IF(ISNUMBER(INDEX(상세표[시작],$M19)),TEXT(INDEX(상세표[시작],$M19),"yyyy-mm-dd hh:mm"),INDEX(상세표[시작],$M19)&amp;""))</f>
        <v/>
      </c>
      <c r="E19">
        <f>IF($M19="","",IF(ISNUMBER(INDEX(상세표[종료],$M19)),TEXT(INDEX(상세표[종료],$M19),"yyyy-mm-dd hh:mm"),INDEX(상세표[종료],$M19)&amp;""))</f>
        <v/>
      </c>
      <c r="F19" s="20">
        <f>IF($M19="","",INDEX(상세표[기록 시간외],$M19))</f>
        <v/>
      </c>
      <c r="G19">
        <f>IF($M19="","",INDEX(상세표[시작월 기관],$M19)&amp;"")</f>
        <v/>
      </c>
      <c r="H19">
        <f>IF($M19="","",INDEX(상세표[종료월 기관],$M19)&amp;"")</f>
        <v/>
      </c>
      <c r="I19">
        <f>IF($M19="","",INDEX(상세표[월경계 판정],$M19)&amp;"")</f>
        <v/>
      </c>
      <c r="J19">
        <f>IF($M19="","",INDEX(상세표[반영월],$M19)&amp;"")</f>
        <v/>
      </c>
      <c r="K19">
        <f>IF($M19="","",INDEX(상세표[반영 기관],$M19)&amp;"")</f>
        <v/>
      </c>
      <c r="L19">
        <f>IF($M19="","",INDEX(상세표[기관 출처],$M19)&amp;"")</f>
        <v/>
      </c>
      <c r="M19" s="4">
        <f>IFERROR(MATCH(14,상세표[경계순번],0),"")</f>
        <v/>
      </c>
    </row>
    <row r="20">
      <c r="A20">
        <f>IF($M20="","",INDEX(상세표[사번],$M20)&amp;"")</f>
        <v/>
      </c>
      <c r="B20">
        <f>IF($M20="","",INDEX(상세표[성명],$M20)&amp;"")</f>
        <v/>
      </c>
      <c r="C20">
        <f>IF($M20="","",IF(INDEX(상세표[종료월],$M20)=대상월키,"전월→이번 달","이번 달→익월"))</f>
        <v/>
      </c>
      <c r="D20">
        <f>IF($M20="","",IF(ISNUMBER(INDEX(상세표[시작],$M20)),TEXT(INDEX(상세표[시작],$M20),"yyyy-mm-dd hh:mm"),INDEX(상세표[시작],$M20)&amp;""))</f>
        <v/>
      </c>
      <c r="E20">
        <f>IF($M20="","",IF(ISNUMBER(INDEX(상세표[종료],$M20)),TEXT(INDEX(상세표[종료],$M20),"yyyy-mm-dd hh:mm"),INDEX(상세표[종료],$M20)&amp;""))</f>
        <v/>
      </c>
      <c r="F20" s="20">
        <f>IF($M20="","",INDEX(상세표[기록 시간외],$M20))</f>
        <v/>
      </c>
      <c r="G20">
        <f>IF($M20="","",INDEX(상세표[시작월 기관],$M20)&amp;"")</f>
        <v/>
      </c>
      <c r="H20">
        <f>IF($M20="","",INDEX(상세표[종료월 기관],$M20)&amp;"")</f>
        <v/>
      </c>
      <c r="I20">
        <f>IF($M20="","",INDEX(상세표[월경계 판정],$M20)&amp;"")</f>
        <v/>
      </c>
      <c r="J20">
        <f>IF($M20="","",INDEX(상세표[반영월],$M20)&amp;"")</f>
        <v/>
      </c>
      <c r="K20">
        <f>IF($M20="","",INDEX(상세표[반영 기관],$M20)&amp;"")</f>
        <v/>
      </c>
      <c r="L20">
        <f>IF($M20="","",INDEX(상세표[기관 출처],$M20)&amp;"")</f>
        <v/>
      </c>
      <c r="M20" s="4">
        <f>IFERROR(MATCH(15,상세표[경계순번],0),"")</f>
        <v/>
      </c>
    </row>
    <row r="21">
      <c r="A21">
        <f>IF($M21="","",INDEX(상세표[사번],$M21)&amp;"")</f>
        <v/>
      </c>
      <c r="B21">
        <f>IF($M21="","",INDEX(상세표[성명],$M21)&amp;"")</f>
        <v/>
      </c>
      <c r="C21">
        <f>IF($M21="","",IF(INDEX(상세표[종료월],$M21)=대상월키,"전월→이번 달","이번 달→익월"))</f>
        <v/>
      </c>
      <c r="D21">
        <f>IF($M21="","",IF(ISNUMBER(INDEX(상세표[시작],$M21)),TEXT(INDEX(상세표[시작],$M21),"yyyy-mm-dd hh:mm"),INDEX(상세표[시작],$M21)&amp;""))</f>
        <v/>
      </c>
      <c r="E21">
        <f>IF($M21="","",IF(ISNUMBER(INDEX(상세표[종료],$M21)),TEXT(INDEX(상세표[종료],$M21),"yyyy-mm-dd hh:mm"),INDEX(상세표[종료],$M21)&amp;""))</f>
        <v/>
      </c>
      <c r="F21" s="20">
        <f>IF($M21="","",INDEX(상세표[기록 시간외],$M21))</f>
        <v/>
      </c>
      <c r="G21">
        <f>IF($M21="","",INDEX(상세표[시작월 기관],$M21)&amp;"")</f>
        <v/>
      </c>
      <c r="H21">
        <f>IF($M21="","",INDEX(상세표[종료월 기관],$M21)&amp;"")</f>
        <v/>
      </c>
      <c r="I21">
        <f>IF($M21="","",INDEX(상세표[월경계 판정],$M21)&amp;"")</f>
        <v/>
      </c>
      <c r="J21">
        <f>IF($M21="","",INDEX(상세표[반영월],$M21)&amp;"")</f>
        <v/>
      </c>
      <c r="K21">
        <f>IF($M21="","",INDEX(상세표[반영 기관],$M21)&amp;"")</f>
        <v/>
      </c>
      <c r="L21">
        <f>IF($M21="","",INDEX(상세표[기관 출처],$M21)&amp;"")</f>
        <v/>
      </c>
      <c r="M21" s="4">
        <f>IFERROR(MATCH(16,상세표[경계순번],0),"")</f>
        <v/>
      </c>
    </row>
    <row r="22">
      <c r="A22">
        <f>IF($M22="","",INDEX(상세표[사번],$M22)&amp;"")</f>
        <v/>
      </c>
      <c r="B22">
        <f>IF($M22="","",INDEX(상세표[성명],$M22)&amp;"")</f>
        <v/>
      </c>
      <c r="C22">
        <f>IF($M22="","",IF(INDEX(상세표[종료월],$M22)=대상월키,"전월→이번 달","이번 달→익월"))</f>
        <v/>
      </c>
      <c r="D22">
        <f>IF($M22="","",IF(ISNUMBER(INDEX(상세표[시작],$M22)),TEXT(INDEX(상세표[시작],$M22),"yyyy-mm-dd hh:mm"),INDEX(상세표[시작],$M22)&amp;""))</f>
        <v/>
      </c>
      <c r="E22">
        <f>IF($M22="","",IF(ISNUMBER(INDEX(상세표[종료],$M22)),TEXT(INDEX(상세표[종료],$M22),"yyyy-mm-dd hh:mm"),INDEX(상세표[종료],$M22)&amp;""))</f>
        <v/>
      </c>
      <c r="F22" s="20">
        <f>IF($M22="","",INDEX(상세표[기록 시간외],$M22))</f>
        <v/>
      </c>
      <c r="G22">
        <f>IF($M22="","",INDEX(상세표[시작월 기관],$M22)&amp;"")</f>
        <v/>
      </c>
      <c r="H22">
        <f>IF($M22="","",INDEX(상세표[종료월 기관],$M22)&amp;"")</f>
        <v/>
      </c>
      <c r="I22">
        <f>IF($M22="","",INDEX(상세표[월경계 판정],$M22)&amp;"")</f>
        <v/>
      </c>
      <c r="J22">
        <f>IF($M22="","",INDEX(상세표[반영월],$M22)&amp;"")</f>
        <v/>
      </c>
      <c r="K22">
        <f>IF($M22="","",INDEX(상세표[반영 기관],$M22)&amp;"")</f>
        <v/>
      </c>
      <c r="L22">
        <f>IF($M22="","",INDEX(상세표[기관 출처],$M22)&amp;"")</f>
        <v/>
      </c>
      <c r="M22" s="4">
        <f>IFERROR(MATCH(17,상세표[경계순번],0),"")</f>
        <v/>
      </c>
    </row>
    <row r="23">
      <c r="A23">
        <f>IF($M23="","",INDEX(상세표[사번],$M23)&amp;"")</f>
        <v/>
      </c>
      <c r="B23">
        <f>IF($M23="","",INDEX(상세표[성명],$M23)&amp;"")</f>
        <v/>
      </c>
      <c r="C23">
        <f>IF($M23="","",IF(INDEX(상세표[종료월],$M23)=대상월키,"전월→이번 달","이번 달→익월"))</f>
        <v/>
      </c>
      <c r="D23">
        <f>IF($M23="","",IF(ISNUMBER(INDEX(상세표[시작],$M23)),TEXT(INDEX(상세표[시작],$M23),"yyyy-mm-dd hh:mm"),INDEX(상세표[시작],$M23)&amp;""))</f>
        <v/>
      </c>
      <c r="E23">
        <f>IF($M23="","",IF(ISNUMBER(INDEX(상세표[종료],$M23)),TEXT(INDEX(상세표[종료],$M23),"yyyy-mm-dd hh:mm"),INDEX(상세표[종료],$M23)&amp;""))</f>
        <v/>
      </c>
      <c r="F23" s="20">
        <f>IF($M23="","",INDEX(상세표[기록 시간외],$M23))</f>
        <v/>
      </c>
      <c r="G23">
        <f>IF($M23="","",INDEX(상세표[시작월 기관],$M23)&amp;"")</f>
        <v/>
      </c>
      <c r="H23">
        <f>IF($M23="","",INDEX(상세표[종료월 기관],$M23)&amp;"")</f>
        <v/>
      </c>
      <c r="I23">
        <f>IF($M23="","",INDEX(상세표[월경계 판정],$M23)&amp;"")</f>
        <v/>
      </c>
      <c r="J23">
        <f>IF($M23="","",INDEX(상세표[반영월],$M23)&amp;"")</f>
        <v/>
      </c>
      <c r="K23">
        <f>IF($M23="","",INDEX(상세표[반영 기관],$M23)&amp;"")</f>
        <v/>
      </c>
      <c r="L23">
        <f>IF($M23="","",INDEX(상세표[기관 출처],$M23)&amp;"")</f>
        <v/>
      </c>
      <c r="M23" s="4">
        <f>IFERROR(MATCH(18,상세표[경계순번],0),"")</f>
        <v/>
      </c>
    </row>
    <row r="24">
      <c r="A24">
        <f>IF($M24="","",INDEX(상세표[사번],$M24)&amp;"")</f>
        <v/>
      </c>
      <c r="B24">
        <f>IF($M24="","",INDEX(상세표[성명],$M24)&amp;"")</f>
        <v/>
      </c>
      <c r="C24">
        <f>IF($M24="","",IF(INDEX(상세표[종료월],$M24)=대상월키,"전월→이번 달","이번 달→익월"))</f>
        <v/>
      </c>
      <c r="D24">
        <f>IF($M24="","",IF(ISNUMBER(INDEX(상세표[시작],$M24)),TEXT(INDEX(상세표[시작],$M24),"yyyy-mm-dd hh:mm"),INDEX(상세표[시작],$M24)&amp;""))</f>
        <v/>
      </c>
      <c r="E24">
        <f>IF($M24="","",IF(ISNUMBER(INDEX(상세표[종료],$M24)),TEXT(INDEX(상세표[종료],$M24),"yyyy-mm-dd hh:mm"),INDEX(상세표[종료],$M24)&amp;""))</f>
        <v/>
      </c>
      <c r="F24" s="20">
        <f>IF($M24="","",INDEX(상세표[기록 시간외],$M24))</f>
        <v/>
      </c>
      <c r="G24">
        <f>IF($M24="","",INDEX(상세표[시작월 기관],$M24)&amp;"")</f>
        <v/>
      </c>
      <c r="H24">
        <f>IF($M24="","",INDEX(상세표[종료월 기관],$M24)&amp;"")</f>
        <v/>
      </c>
      <c r="I24">
        <f>IF($M24="","",INDEX(상세표[월경계 판정],$M24)&amp;"")</f>
        <v/>
      </c>
      <c r="J24">
        <f>IF($M24="","",INDEX(상세표[반영월],$M24)&amp;"")</f>
        <v/>
      </c>
      <c r="K24">
        <f>IF($M24="","",INDEX(상세표[반영 기관],$M24)&amp;"")</f>
        <v/>
      </c>
      <c r="L24">
        <f>IF($M24="","",INDEX(상세표[기관 출처],$M24)&amp;"")</f>
        <v/>
      </c>
      <c r="M24" s="4">
        <f>IFERROR(MATCH(19,상세표[경계순번],0),"")</f>
        <v/>
      </c>
    </row>
    <row r="25">
      <c r="A25">
        <f>IF($M25="","",INDEX(상세표[사번],$M25)&amp;"")</f>
        <v/>
      </c>
      <c r="B25">
        <f>IF($M25="","",INDEX(상세표[성명],$M25)&amp;"")</f>
        <v/>
      </c>
      <c r="C25">
        <f>IF($M25="","",IF(INDEX(상세표[종료월],$M25)=대상월키,"전월→이번 달","이번 달→익월"))</f>
        <v/>
      </c>
      <c r="D25">
        <f>IF($M25="","",IF(ISNUMBER(INDEX(상세표[시작],$M25)),TEXT(INDEX(상세표[시작],$M25),"yyyy-mm-dd hh:mm"),INDEX(상세표[시작],$M25)&amp;""))</f>
        <v/>
      </c>
      <c r="E25">
        <f>IF($M25="","",IF(ISNUMBER(INDEX(상세표[종료],$M25)),TEXT(INDEX(상세표[종료],$M25),"yyyy-mm-dd hh:mm"),INDEX(상세표[종료],$M25)&amp;""))</f>
        <v/>
      </c>
      <c r="F25" s="20">
        <f>IF($M25="","",INDEX(상세표[기록 시간외],$M25))</f>
        <v/>
      </c>
      <c r="G25">
        <f>IF($M25="","",INDEX(상세표[시작월 기관],$M25)&amp;"")</f>
        <v/>
      </c>
      <c r="H25">
        <f>IF($M25="","",INDEX(상세표[종료월 기관],$M25)&amp;"")</f>
        <v/>
      </c>
      <c r="I25">
        <f>IF($M25="","",INDEX(상세표[월경계 판정],$M25)&amp;"")</f>
        <v/>
      </c>
      <c r="J25">
        <f>IF($M25="","",INDEX(상세표[반영월],$M25)&amp;"")</f>
        <v/>
      </c>
      <c r="K25">
        <f>IF($M25="","",INDEX(상세표[반영 기관],$M25)&amp;"")</f>
        <v/>
      </c>
      <c r="L25">
        <f>IF($M25="","",INDEX(상세표[기관 출처],$M25)&amp;"")</f>
        <v/>
      </c>
      <c r="M25" s="4">
        <f>IFERROR(MATCH(20,상세표[경계순번],0),"")</f>
        <v/>
      </c>
    </row>
    <row r="26">
      <c r="A26">
        <f>IF($M26="","",INDEX(상세표[사번],$M26)&amp;"")</f>
        <v/>
      </c>
      <c r="B26">
        <f>IF($M26="","",INDEX(상세표[성명],$M26)&amp;"")</f>
        <v/>
      </c>
      <c r="C26">
        <f>IF($M26="","",IF(INDEX(상세표[종료월],$M26)=대상월키,"전월→이번 달","이번 달→익월"))</f>
        <v/>
      </c>
      <c r="D26">
        <f>IF($M26="","",IF(ISNUMBER(INDEX(상세표[시작],$M26)),TEXT(INDEX(상세표[시작],$M26),"yyyy-mm-dd hh:mm"),INDEX(상세표[시작],$M26)&amp;""))</f>
        <v/>
      </c>
      <c r="E26">
        <f>IF($M26="","",IF(ISNUMBER(INDEX(상세표[종료],$M26)),TEXT(INDEX(상세표[종료],$M26),"yyyy-mm-dd hh:mm"),INDEX(상세표[종료],$M26)&amp;""))</f>
        <v/>
      </c>
      <c r="F26" s="20">
        <f>IF($M26="","",INDEX(상세표[기록 시간외],$M26))</f>
        <v/>
      </c>
      <c r="G26">
        <f>IF($M26="","",INDEX(상세표[시작월 기관],$M26)&amp;"")</f>
        <v/>
      </c>
      <c r="H26">
        <f>IF($M26="","",INDEX(상세표[종료월 기관],$M26)&amp;"")</f>
        <v/>
      </c>
      <c r="I26">
        <f>IF($M26="","",INDEX(상세표[월경계 판정],$M26)&amp;"")</f>
        <v/>
      </c>
      <c r="J26">
        <f>IF($M26="","",INDEX(상세표[반영월],$M26)&amp;"")</f>
        <v/>
      </c>
      <c r="K26">
        <f>IF($M26="","",INDEX(상세표[반영 기관],$M26)&amp;"")</f>
        <v/>
      </c>
      <c r="L26">
        <f>IF($M26="","",INDEX(상세표[기관 출처],$M26)&amp;"")</f>
        <v/>
      </c>
      <c r="M26" s="4">
        <f>IFERROR(MATCH(21,상세표[경계순번],0),"")</f>
        <v/>
      </c>
    </row>
    <row r="27">
      <c r="A27">
        <f>IF($M27="","",INDEX(상세표[사번],$M27)&amp;"")</f>
        <v/>
      </c>
      <c r="B27">
        <f>IF($M27="","",INDEX(상세표[성명],$M27)&amp;"")</f>
        <v/>
      </c>
      <c r="C27">
        <f>IF($M27="","",IF(INDEX(상세표[종료월],$M27)=대상월키,"전월→이번 달","이번 달→익월"))</f>
        <v/>
      </c>
      <c r="D27">
        <f>IF($M27="","",IF(ISNUMBER(INDEX(상세표[시작],$M27)),TEXT(INDEX(상세표[시작],$M27),"yyyy-mm-dd hh:mm"),INDEX(상세표[시작],$M27)&amp;""))</f>
        <v/>
      </c>
      <c r="E27">
        <f>IF($M27="","",IF(ISNUMBER(INDEX(상세표[종료],$M27)),TEXT(INDEX(상세표[종료],$M27),"yyyy-mm-dd hh:mm"),INDEX(상세표[종료],$M27)&amp;""))</f>
        <v/>
      </c>
      <c r="F27" s="20">
        <f>IF($M27="","",INDEX(상세표[기록 시간외],$M27))</f>
        <v/>
      </c>
      <c r="G27">
        <f>IF($M27="","",INDEX(상세표[시작월 기관],$M27)&amp;"")</f>
        <v/>
      </c>
      <c r="H27">
        <f>IF($M27="","",INDEX(상세표[종료월 기관],$M27)&amp;"")</f>
        <v/>
      </c>
      <c r="I27">
        <f>IF($M27="","",INDEX(상세표[월경계 판정],$M27)&amp;"")</f>
        <v/>
      </c>
      <c r="J27">
        <f>IF($M27="","",INDEX(상세표[반영월],$M27)&amp;"")</f>
        <v/>
      </c>
      <c r="K27">
        <f>IF($M27="","",INDEX(상세표[반영 기관],$M27)&amp;"")</f>
        <v/>
      </c>
      <c r="L27">
        <f>IF($M27="","",INDEX(상세표[기관 출처],$M27)&amp;"")</f>
        <v/>
      </c>
      <c r="M27" s="4">
        <f>IFERROR(MATCH(22,상세표[경계순번],0),"")</f>
        <v/>
      </c>
    </row>
    <row r="28">
      <c r="A28">
        <f>IF($M28="","",INDEX(상세표[사번],$M28)&amp;"")</f>
        <v/>
      </c>
      <c r="B28">
        <f>IF($M28="","",INDEX(상세표[성명],$M28)&amp;"")</f>
        <v/>
      </c>
      <c r="C28">
        <f>IF($M28="","",IF(INDEX(상세표[종료월],$M28)=대상월키,"전월→이번 달","이번 달→익월"))</f>
        <v/>
      </c>
      <c r="D28">
        <f>IF($M28="","",IF(ISNUMBER(INDEX(상세표[시작],$M28)),TEXT(INDEX(상세표[시작],$M28),"yyyy-mm-dd hh:mm"),INDEX(상세표[시작],$M28)&amp;""))</f>
        <v/>
      </c>
      <c r="E28">
        <f>IF($M28="","",IF(ISNUMBER(INDEX(상세표[종료],$M28)),TEXT(INDEX(상세표[종료],$M28),"yyyy-mm-dd hh:mm"),INDEX(상세표[종료],$M28)&amp;""))</f>
        <v/>
      </c>
      <c r="F28" s="20">
        <f>IF($M28="","",INDEX(상세표[기록 시간외],$M28))</f>
        <v/>
      </c>
      <c r="G28">
        <f>IF($M28="","",INDEX(상세표[시작월 기관],$M28)&amp;"")</f>
        <v/>
      </c>
      <c r="H28">
        <f>IF($M28="","",INDEX(상세표[종료월 기관],$M28)&amp;"")</f>
        <v/>
      </c>
      <c r="I28">
        <f>IF($M28="","",INDEX(상세표[월경계 판정],$M28)&amp;"")</f>
        <v/>
      </c>
      <c r="J28">
        <f>IF($M28="","",INDEX(상세표[반영월],$M28)&amp;"")</f>
        <v/>
      </c>
      <c r="K28">
        <f>IF($M28="","",INDEX(상세표[반영 기관],$M28)&amp;"")</f>
        <v/>
      </c>
      <c r="L28">
        <f>IF($M28="","",INDEX(상세표[기관 출처],$M28)&amp;"")</f>
        <v/>
      </c>
      <c r="M28" s="4">
        <f>IFERROR(MATCH(23,상세표[경계순번],0),"")</f>
        <v/>
      </c>
    </row>
    <row r="29">
      <c r="A29">
        <f>IF($M29="","",INDEX(상세표[사번],$M29)&amp;"")</f>
        <v/>
      </c>
      <c r="B29">
        <f>IF($M29="","",INDEX(상세표[성명],$M29)&amp;"")</f>
        <v/>
      </c>
      <c r="C29">
        <f>IF($M29="","",IF(INDEX(상세표[종료월],$M29)=대상월키,"전월→이번 달","이번 달→익월"))</f>
        <v/>
      </c>
      <c r="D29">
        <f>IF($M29="","",IF(ISNUMBER(INDEX(상세표[시작],$M29)),TEXT(INDEX(상세표[시작],$M29),"yyyy-mm-dd hh:mm"),INDEX(상세표[시작],$M29)&amp;""))</f>
        <v/>
      </c>
      <c r="E29">
        <f>IF($M29="","",IF(ISNUMBER(INDEX(상세표[종료],$M29)),TEXT(INDEX(상세표[종료],$M29),"yyyy-mm-dd hh:mm"),INDEX(상세표[종료],$M29)&amp;""))</f>
        <v/>
      </c>
      <c r="F29" s="20">
        <f>IF($M29="","",INDEX(상세표[기록 시간외],$M29))</f>
        <v/>
      </c>
      <c r="G29">
        <f>IF($M29="","",INDEX(상세표[시작월 기관],$M29)&amp;"")</f>
        <v/>
      </c>
      <c r="H29">
        <f>IF($M29="","",INDEX(상세표[종료월 기관],$M29)&amp;"")</f>
        <v/>
      </c>
      <c r="I29">
        <f>IF($M29="","",INDEX(상세표[월경계 판정],$M29)&amp;"")</f>
        <v/>
      </c>
      <c r="J29">
        <f>IF($M29="","",INDEX(상세표[반영월],$M29)&amp;"")</f>
        <v/>
      </c>
      <c r="K29">
        <f>IF($M29="","",INDEX(상세표[반영 기관],$M29)&amp;"")</f>
        <v/>
      </c>
      <c r="L29">
        <f>IF($M29="","",INDEX(상세표[기관 출처],$M29)&amp;"")</f>
        <v/>
      </c>
      <c r="M29" s="4">
        <f>IFERROR(MATCH(24,상세표[경계순번],0),"")</f>
        <v/>
      </c>
    </row>
    <row r="30">
      <c r="A30">
        <f>IF($M30="","",INDEX(상세표[사번],$M30)&amp;"")</f>
        <v/>
      </c>
      <c r="B30">
        <f>IF($M30="","",INDEX(상세표[성명],$M30)&amp;"")</f>
        <v/>
      </c>
      <c r="C30">
        <f>IF($M30="","",IF(INDEX(상세표[종료월],$M30)=대상월키,"전월→이번 달","이번 달→익월"))</f>
        <v/>
      </c>
      <c r="D30">
        <f>IF($M30="","",IF(ISNUMBER(INDEX(상세표[시작],$M30)),TEXT(INDEX(상세표[시작],$M30),"yyyy-mm-dd hh:mm"),INDEX(상세표[시작],$M30)&amp;""))</f>
        <v/>
      </c>
      <c r="E30">
        <f>IF($M30="","",IF(ISNUMBER(INDEX(상세표[종료],$M30)),TEXT(INDEX(상세표[종료],$M30),"yyyy-mm-dd hh:mm"),INDEX(상세표[종료],$M30)&amp;""))</f>
        <v/>
      </c>
      <c r="F30" s="20">
        <f>IF($M30="","",INDEX(상세표[기록 시간외],$M30))</f>
        <v/>
      </c>
      <c r="G30">
        <f>IF($M30="","",INDEX(상세표[시작월 기관],$M30)&amp;"")</f>
        <v/>
      </c>
      <c r="H30">
        <f>IF($M30="","",INDEX(상세표[종료월 기관],$M30)&amp;"")</f>
        <v/>
      </c>
      <c r="I30">
        <f>IF($M30="","",INDEX(상세표[월경계 판정],$M30)&amp;"")</f>
        <v/>
      </c>
      <c r="J30">
        <f>IF($M30="","",INDEX(상세표[반영월],$M30)&amp;"")</f>
        <v/>
      </c>
      <c r="K30">
        <f>IF($M30="","",INDEX(상세표[반영 기관],$M30)&amp;"")</f>
        <v/>
      </c>
      <c r="L30">
        <f>IF($M30="","",INDEX(상세표[기관 출처],$M30)&amp;"")</f>
        <v/>
      </c>
      <c r="M30" s="4">
        <f>IFERROR(MATCH(25,상세표[경계순번],0),"")</f>
        <v/>
      </c>
    </row>
    <row r="31">
      <c r="A31">
        <f>IF($M31="","",INDEX(상세표[사번],$M31)&amp;"")</f>
        <v/>
      </c>
      <c r="B31">
        <f>IF($M31="","",INDEX(상세표[성명],$M31)&amp;"")</f>
        <v/>
      </c>
      <c r="C31">
        <f>IF($M31="","",IF(INDEX(상세표[종료월],$M31)=대상월키,"전월→이번 달","이번 달→익월"))</f>
        <v/>
      </c>
      <c r="D31">
        <f>IF($M31="","",IF(ISNUMBER(INDEX(상세표[시작],$M31)),TEXT(INDEX(상세표[시작],$M31),"yyyy-mm-dd hh:mm"),INDEX(상세표[시작],$M31)&amp;""))</f>
        <v/>
      </c>
      <c r="E31">
        <f>IF($M31="","",IF(ISNUMBER(INDEX(상세표[종료],$M31)),TEXT(INDEX(상세표[종료],$M31),"yyyy-mm-dd hh:mm"),INDEX(상세표[종료],$M31)&amp;""))</f>
        <v/>
      </c>
      <c r="F31" s="20">
        <f>IF($M31="","",INDEX(상세표[기록 시간외],$M31))</f>
        <v/>
      </c>
      <c r="G31">
        <f>IF($M31="","",INDEX(상세표[시작월 기관],$M31)&amp;"")</f>
        <v/>
      </c>
      <c r="H31">
        <f>IF($M31="","",INDEX(상세표[종료월 기관],$M31)&amp;"")</f>
        <v/>
      </c>
      <c r="I31">
        <f>IF($M31="","",INDEX(상세표[월경계 판정],$M31)&amp;"")</f>
        <v/>
      </c>
      <c r="J31">
        <f>IF($M31="","",INDEX(상세표[반영월],$M31)&amp;"")</f>
        <v/>
      </c>
      <c r="K31">
        <f>IF($M31="","",INDEX(상세표[반영 기관],$M31)&amp;"")</f>
        <v/>
      </c>
      <c r="L31">
        <f>IF($M31="","",INDEX(상세표[기관 출처],$M31)&amp;"")</f>
        <v/>
      </c>
      <c r="M31" s="4">
        <f>IFERROR(MATCH(26,상세표[경계순번],0),"")</f>
        <v/>
      </c>
    </row>
    <row r="32">
      <c r="A32">
        <f>IF($M32="","",INDEX(상세표[사번],$M32)&amp;"")</f>
        <v/>
      </c>
      <c r="B32">
        <f>IF($M32="","",INDEX(상세표[성명],$M32)&amp;"")</f>
        <v/>
      </c>
      <c r="C32">
        <f>IF($M32="","",IF(INDEX(상세표[종료월],$M32)=대상월키,"전월→이번 달","이번 달→익월"))</f>
        <v/>
      </c>
      <c r="D32">
        <f>IF($M32="","",IF(ISNUMBER(INDEX(상세표[시작],$M32)),TEXT(INDEX(상세표[시작],$M32),"yyyy-mm-dd hh:mm"),INDEX(상세표[시작],$M32)&amp;""))</f>
        <v/>
      </c>
      <c r="E32">
        <f>IF($M32="","",IF(ISNUMBER(INDEX(상세표[종료],$M32)),TEXT(INDEX(상세표[종료],$M32),"yyyy-mm-dd hh:mm"),INDEX(상세표[종료],$M32)&amp;""))</f>
        <v/>
      </c>
      <c r="F32" s="20">
        <f>IF($M32="","",INDEX(상세표[기록 시간외],$M32))</f>
        <v/>
      </c>
      <c r="G32">
        <f>IF($M32="","",INDEX(상세표[시작월 기관],$M32)&amp;"")</f>
        <v/>
      </c>
      <c r="H32">
        <f>IF($M32="","",INDEX(상세표[종료월 기관],$M32)&amp;"")</f>
        <v/>
      </c>
      <c r="I32">
        <f>IF($M32="","",INDEX(상세표[월경계 판정],$M32)&amp;"")</f>
        <v/>
      </c>
      <c r="J32">
        <f>IF($M32="","",INDEX(상세표[반영월],$M32)&amp;"")</f>
        <v/>
      </c>
      <c r="K32">
        <f>IF($M32="","",INDEX(상세표[반영 기관],$M32)&amp;"")</f>
        <v/>
      </c>
      <c r="L32">
        <f>IF($M32="","",INDEX(상세표[기관 출처],$M32)&amp;"")</f>
        <v/>
      </c>
      <c r="M32" s="4">
        <f>IFERROR(MATCH(27,상세표[경계순번],0),"")</f>
        <v/>
      </c>
    </row>
    <row r="33">
      <c r="A33">
        <f>IF($M33="","",INDEX(상세표[사번],$M33)&amp;"")</f>
        <v/>
      </c>
      <c r="B33">
        <f>IF($M33="","",INDEX(상세표[성명],$M33)&amp;"")</f>
        <v/>
      </c>
      <c r="C33">
        <f>IF($M33="","",IF(INDEX(상세표[종료월],$M33)=대상월키,"전월→이번 달","이번 달→익월"))</f>
        <v/>
      </c>
      <c r="D33">
        <f>IF($M33="","",IF(ISNUMBER(INDEX(상세표[시작],$M33)),TEXT(INDEX(상세표[시작],$M33),"yyyy-mm-dd hh:mm"),INDEX(상세표[시작],$M33)&amp;""))</f>
        <v/>
      </c>
      <c r="E33">
        <f>IF($M33="","",IF(ISNUMBER(INDEX(상세표[종료],$M33)),TEXT(INDEX(상세표[종료],$M33),"yyyy-mm-dd hh:mm"),INDEX(상세표[종료],$M33)&amp;""))</f>
        <v/>
      </c>
      <c r="F33" s="20">
        <f>IF($M33="","",INDEX(상세표[기록 시간외],$M33))</f>
        <v/>
      </c>
      <c r="G33">
        <f>IF($M33="","",INDEX(상세표[시작월 기관],$M33)&amp;"")</f>
        <v/>
      </c>
      <c r="H33">
        <f>IF($M33="","",INDEX(상세표[종료월 기관],$M33)&amp;"")</f>
        <v/>
      </c>
      <c r="I33">
        <f>IF($M33="","",INDEX(상세표[월경계 판정],$M33)&amp;"")</f>
        <v/>
      </c>
      <c r="J33">
        <f>IF($M33="","",INDEX(상세표[반영월],$M33)&amp;"")</f>
        <v/>
      </c>
      <c r="K33">
        <f>IF($M33="","",INDEX(상세표[반영 기관],$M33)&amp;"")</f>
        <v/>
      </c>
      <c r="L33">
        <f>IF($M33="","",INDEX(상세표[기관 출처],$M33)&amp;"")</f>
        <v/>
      </c>
      <c r="M33" s="4">
        <f>IFERROR(MATCH(28,상세표[경계순번],0),"")</f>
        <v/>
      </c>
    </row>
    <row r="34">
      <c r="A34">
        <f>IF($M34="","",INDEX(상세표[사번],$M34)&amp;"")</f>
        <v/>
      </c>
      <c r="B34">
        <f>IF($M34="","",INDEX(상세표[성명],$M34)&amp;"")</f>
        <v/>
      </c>
      <c r="C34">
        <f>IF($M34="","",IF(INDEX(상세표[종료월],$M34)=대상월키,"전월→이번 달","이번 달→익월"))</f>
        <v/>
      </c>
      <c r="D34">
        <f>IF($M34="","",IF(ISNUMBER(INDEX(상세표[시작],$M34)),TEXT(INDEX(상세표[시작],$M34),"yyyy-mm-dd hh:mm"),INDEX(상세표[시작],$M34)&amp;""))</f>
        <v/>
      </c>
      <c r="E34">
        <f>IF($M34="","",IF(ISNUMBER(INDEX(상세표[종료],$M34)),TEXT(INDEX(상세표[종료],$M34),"yyyy-mm-dd hh:mm"),INDEX(상세표[종료],$M34)&amp;""))</f>
        <v/>
      </c>
      <c r="F34" s="20">
        <f>IF($M34="","",INDEX(상세표[기록 시간외],$M34))</f>
        <v/>
      </c>
      <c r="G34">
        <f>IF($M34="","",INDEX(상세표[시작월 기관],$M34)&amp;"")</f>
        <v/>
      </c>
      <c r="H34">
        <f>IF($M34="","",INDEX(상세표[종료월 기관],$M34)&amp;"")</f>
        <v/>
      </c>
      <c r="I34">
        <f>IF($M34="","",INDEX(상세표[월경계 판정],$M34)&amp;"")</f>
        <v/>
      </c>
      <c r="J34">
        <f>IF($M34="","",INDEX(상세표[반영월],$M34)&amp;"")</f>
        <v/>
      </c>
      <c r="K34">
        <f>IF($M34="","",INDEX(상세표[반영 기관],$M34)&amp;"")</f>
        <v/>
      </c>
      <c r="L34">
        <f>IF($M34="","",INDEX(상세표[기관 출처],$M34)&amp;"")</f>
        <v/>
      </c>
      <c r="M34" s="4">
        <f>IFERROR(MATCH(29,상세표[경계순번],0),"")</f>
        <v/>
      </c>
    </row>
    <row r="35">
      <c r="A35">
        <f>IF($M35="","",INDEX(상세표[사번],$M35)&amp;"")</f>
        <v/>
      </c>
      <c r="B35">
        <f>IF($M35="","",INDEX(상세표[성명],$M35)&amp;"")</f>
        <v/>
      </c>
      <c r="C35">
        <f>IF($M35="","",IF(INDEX(상세표[종료월],$M35)=대상월키,"전월→이번 달","이번 달→익월"))</f>
        <v/>
      </c>
      <c r="D35">
        <f>IF($M35="","",IF(ISNUMBER(INDEX(상세표[시작],$M35)),TEXT(INDEX(상세표[시작],$M35),"yyyy-mm-dd hh:mm"),INDEX(상세표[시작],$M35)&amp;""))</f>
        <v/>
      </c>
      <c r="E35">
        <f>IF($M35="","",IF(ISNUMBER(INDEX(상세표[종료],$M35)),TEXT(INDEX(상세표[종료],$M35),"yyyy-mm-dd hh:mm"),INDEX(상세표[종료],$M35)&amp;""))</f>
        <v/>
      </c>
      <c r="F35" s="20">
        <f>IF($M35="","",INDEX(상세표[기록 시간외],$M35))</f>
        <v/>
      </c>
      <c r="G35">
        <f>IF($M35="","",INDEX(상세표[시작월 기관],$M35)&amp;"")</f>
        <v/>
      </c>
      <c r="H35">
        <f>IF($M35="","",INDEX(상세표[종료월 기관],$M35)&amp;"")</f>
        <v/>
      </c>
      <c r="I35">
        <f>IF($M35="","",INDEX(상세표[월경계 판정],$M35)&amp;"")</f>
        <v/>
      </c>
      <c r="J35">
        <f>IF($M35="","",INDEX(상세표[반영월],$M35)&amp;"")</f>
        <v/>
      </c>
      <c r="K35">
        <f>IF($M35="","",INDEX(상세표[반영 기관],$M35)&amp;"")</f>
        <v/>
      </c>
      <c r="L35">
        <f>IF($M35="","",INDEX(상세표[기관 출처],$M35)&amp;"")</f>
        <v/>
      </c>
      <c r="M35" s="4">
        <f>IFERROR(MATCH(30,상세표[경계순번],0),"")</f>
        <v/>
      </c>
    </row>
    <row r="36">
      <c r="A36">
        <f>IF($M36="","",INDEX(상세표[사번],$M36)&amp;"")</f>
        <v/>
      </c>
      <c r="B36">
        <f>IF($M36="","",INDEX(상세표[성명],$M36)&amp;"")</f>
        <v/>
      </c>
      <c r="C36">
        <f>IF($M36="","",IF(INDEX(상세표[종료월],$M36)=대상월키,"전월→이번 달","이번 달→익월"))</f>
        <v/>
      </c>
      <c r="D36">
        <f>IF($M36="","",IF(ISNUMBER(INDEX(상세표[시작],$M36)),TEXT(INDEX(상세표[시작],$M36),"yyyy-mm-dd hh:mm"),INDEX(상세표[시작],$M36)&amp;""))</f>
        <v/>
      </c>
      <c r="E36">
        <f>IF($M36="","",IF(ISNUMBER(INDEX(상세표[종료],$M36)),TEXT(INDEX(상세표[종료],$M36),"yyyy-mm-dd hh:mm"),INDEX(상세표[종료],$M36)&amp;""))</f>
        <v/>
      </c>
      <c r="F36" s="20">
        <f>IF($M36="","",INDEX(상세표[기록 시간외],$M36))</f>
        <v/>
      </c>
      <c r="G36">
        <f>IF($M36="","",INDEX(상세표[시작월 기관],$M36)&amp;"")</f>
        <v/>
      </c>
      <c r="H36">
        <f>IF($M36="","",INDEX(상세표[종료월 기관],$M36)&amp;"")</f>
        <v/>
      </c>
      <c r="I36">
        <f>IF($M36="","",INDEX(상세표[월경계 판정],$M36)&amp;"")</f>
        <v/>
      </c>
      <c r="J36">
        <f>IF($M36="","",INDEX(상세표[반영월],$M36)&amp;"")</f>
        <v/>
      </c>
      <c r="K36">
        <f>IF($M36="","",INDEX(상세표[반영 기관],$M36)&amp;"")</f>
        <v/>
      </c>
      <c r="L36">
        <f>IF($M36="","",INDEX(상세표[기관 출처],$M36)&amp;"")</f>
        <v/>
      </c>
      <c r="M36" s="4">
        <f>IFERROR(MATCH(31,상세표[경계순번],0),"")</f>
        <v/>
      </c>
    </row>
    <row r="37">
      <c r="A37">
        <f>IF($M37="","",INDEX(상세표[사번],$M37)&amp;"")</f>
        <v/>
      </c>
      <c r="B37">
        <f>IF($M37="","",INDEX(상세표[성명],$M37)&amp;"")</f>
        <v/>
      </c>
      <c r="C37">
        <f>IF($M37="","",IF(INDEX(상세표[종료월],$M37)=대상월키,"전월→이번 달","이번 달→익월"))</f>
        <v/>
      </c>
      <c r="D37">
        <f>IF($M37="","",IF(ISNUMBER(INDEX(상세표[시작],$M37)),TEXT(INDEX(상세표[시작],$M37),"yyyy-mm-dd hh:mm"),INDEX(상세표[시작],$M37)&amp;""))</f>
        <v/>
      </c>
      <c r="E37">
        <f>IF($M37="","",IF(ISNUMBER(INDEX(상세표[종료],$M37)),TEXT(INDEX(상세표[종료],$M37),"yyyy-mm-dd hh:mm"),INDEX(상세표[종료],$M37)&amp;""))</f>
        <v/>
      </c>
      <c r="F37" s="20">
        <f>IF($M37="","",INDEX(상세표[기록 시간외],$M37))</f>
        <v/>
      </c>
      <c r="G37">
        <f>IF($M37="","",INDEX(상세표[시작월 기관],$M37)&amp;"")</f>
        <v/>
      </c>
      <c r="H37">
        <f>IF($M37="","",INDEX(상세표[종료월 기관],$M37)&amp;"")</f>
        <v/>
      </c>
      <c r="I37">
        <f>IF($M37="","",INDEX(상세표[월경계 판정],$M37)&amp;"")</f>
        <v/>
      </c>
      <c r="J37">
        <f>IF($M37="","",INDEX(상세표[반영월],$M37)&amp;"")</f>
        <v/>
      </c>
      <c r="K37">
        <f>IF($M37="","",INDEX(상세표[반영 기관],$M37)&amp;"")</f>
        <v/>
      </c>
      <c r="L37">
        <f>IF($M37="","",INDEX(상세표[기관 출처],$M37)&amp;"")</f>
        <v/>
      </c>
      <c r="M37" s="4">
        <f>IFERROR(MATCH(32,상세표[경계순번],0),"")</f>
        <v/>
      </c>
    </row>
    <row r="38">
      <c r="A38">
        <f>IF($M38="","",INDEX(상세표[사번],$M38)&amp;"")</f>
        <v/>
      </c>
      <c r="B38">
        <f>IF($M38="","",INDEX(상세표[성명],$M38)&amp;"")</f>
        <v/>
      </c>
      <c r="C38">
        <f>IF($M38="","",IF(INDEX(상세표[종료월],$M38)=대상월키,"전월→이번 달","이번 달→익월"))</f>
        <v/>
      </c>
      <c r="D38">
        <f>IF($M38="","",IF(ISNUMBER(INDEX(상세표[시작],$M38)),TEXT(INDEX(상세표[시작],$M38),"yyyy-mm-dd hh:mm"),INDEX(상세표[시작],$M38)&amp;""))</f>
        <v/>
      </c>
      <c r="E38">
        <f>IF($M38="","",IF(ISNUMBER(INDEX(상세표[종료],$M38)),TEXT(INDEX(상세표[종료],$M38),"yyyy-mm-dd hh:mm"),INDEX(상세표[종료],$M38)&amp;""))</f>
        <v/>
      </c>
      <c r="F38" s="20">
        <f>IF($M38="","",INDEX(상세표[기록 시간외],$M38))</f>
        <v/>
      </c>
      <c r="G38">
        <f>IF($M38="","",INDEX(상세표[시작월 기관],$M38)&amp;"")</f>
        <v/>
      </c>
      <c r="H38">
        <f>IF($M38="","",INDEX(상세표[종료월 기관],$M38)&amp;"")</f>
        <v/>
      </c>
      <c r="I38">
        <f>IF($M38="","",INDEX(상세표[월경계 판정],$M38)&amp;"")</f>
        <v/>
      </c>
      <c r="J38">
        <f>IF($M38="","",INDEX(상세표[반영월],$M38)&amp;"")</f>
        <v/>
      </c>
      <c r="K38">
        <f>IF($M38="","",INDEX(상세표[반영 기관],$M38)&amp;"")</f>
        <v/>
      </c>
      <c r="L38">
        <f>IF($M38="","",INDEX(상세표[기관 출처],$M38)&amp;"")</f>
        <v/>
      </c>
      <c r="M38" s="4">
        <f>IFERROR(MATCH(33,상세표[경계순번],0),"")</f>
        <v/>
      </c>
    </row>
    <row r="39">
      <c r="A39">
        <f>IF($M39="","",INDEX(상세표[사번],$M39)&amp;"")</f>
        <v/>
      </c>
      <c r="B39">
        <f>IF($M39="","",INDEX(상세표[성명],$M39)&amp;"")</f>
        <v/>
      </c>
      <c r="C39">
        <f>IF($M39="","",IF(INDEX(상세표[종료월],$M39)=대상월키,"전월→이번 달","이번 달→익월"))</f>
        <v/>
      </c>
      <c r="D39">
        <f>IF($M39="","",IF(ISNUMBER(INDEX(상세표[시작],$M39)),TEXT(INDEX(상세표[시작],$M39),"yyyy-mm-dd hh:mm"),INDEX(상세표[시작],$M39)&amp;""))</f>
        <v/>
      </c>
      <c r="E39">
        <f>IF($M39="","",IF(ISNUMBER(INDEX(상세표[종료],$M39)),TEXT(INDEX(상세표[종료],$M39),"yyyy-mm-dd hh:mm"),INDEX(상세표[종료],$M39)&amp;""))</f>
        <v/>
      </c>
      <c r="F39" s="20">
        <f>IF($M39="","",INDEX(상세표[기록 시간외],$M39))</f>
        <v/>
      </c>
      <c r="G39">
        <f>IF($M39="","",INDEX(상세표[시작월 기관],$M39)&amp;"")</f>
        <v/>
      </c>
      <c r="H39">
        <f>IF($M39="","",INDEX(상세표[종료월 기관],$M39)&amp;"")</f>
        <v/>
      </c>
      <c r="I39">
        <f>IF($M39="","",INDEX(상세표[월경계 판정],$M39)&amp;"")</f>
        <v/>
      </c>
      <c r="J39">
        <f>IF($M39="","",INDEX(상세표[반영월],$M39)&amp;"")</f>
        <v/>
      </c>
      <c r="K39">
        <f>IF($M39="","",INDEX(상세표[반영 기관],$M39)&amp;"")</f>
        <v/>
      </c>
      <c r="L39">
        <f>IF($M39="","",INDEX(상세표[기관 출처],$M39)&amp;"")</f>
        <v/>
      </c>
      <c r="M39" s="4">
        <f>IFERROR(MATCH(34,상세표[경계순번],0),"")</f>
        <v/>
      </c>
    </row>
    <row r="40">
      <c r="A40">
        <f>IF($M40="","",INDEX(상세표[사번],$M40)&amp;"")</f>
        <v/>
      </c>
      <c r="B40">
        <f>IF($M40="","",INDEX(상세표[성명],$M40)&amp;"")</f>
        <v/>
      </c>
      <c r="C40">
        <f>IF($M40="","",IF(INDEX(상세표[종료월],$M40)=대상월키,"전월→이번 달","이번 달→익월"))</f>
        <v/>
      </c>
      <c r="D40">
        <f>IF($M40="","",IF(ISNUMBER(INDEX(상세표[시작],$M40)),TEXT(INDEX(상세표[시작],$M40),"yyyy-mm-dd hh:mm"),INDEX(상세표[시작],$M40)&amp;""))</f>
        <v/>
      </c>
      <c r="E40">
        <f>IF($M40="","",IF(ISNUMBER(INDEX(상세표[종료],$M40)),TEXT(INDEX(상세표[종료],$M40),"yyyy-mm-dd hh:mm"),INDEX(상세표[종료],$M40)&amp;""))</f>
        <v/>
      </c>
      <c r="F40" s="20">
        <f>IF($M40="","",INDEX(상세표[기록 시간외],$M40))</f>
        <v/>
      </c>
      <c r="G40">
        <f>IF($M40="","",INDEX(상세표[시작월 기관],$M40)&amp;"")</f>
        <v/>
      </c>
      <c r="H40">
        <f>IF($M40="","",INDEX(상세표[종료월 기관],$M40)&amp;"")</f>
        <v/>
      </c>
      <c r="I40">
        <f>IF($M40="","",INDEX(상세표[월경계 판정],$M40)&amp;"")</f>
        <v/>
      </c>
      <c r="J40">
        <f>IF($M40="","",INDEX(상세표[반영월],$M40)&amp;"")</f>
        <v/>
      </c>
      <c r="K40">
        <f>IF($M40="","",INDEX(상세표[반영 기관],$M40)&amp;"")</f>
        <v/>
      </c>
      <c r="L40">
        <f>IF($M40="","",INDEX(상세표[기관 출처],$M40)&amp;"")</f>
        <v/>
      </c>
      <c r="M40" s="4">
        <f>IFERROR(MATCH(35,상세표[경계순번],0),"")</f>
        <v/>
      </c>
    </row>
    <row r="41">
      <c r="A41">
        <f>IF($M41="","",INDEX(상세표[사번],$M41)&amp;"")</f>
        <v/>
      </c>
      <c r="B41">
        <f>IF($M41="","",INDEX(상세표[성명],$M41)&amp;"")</f>
        <v/>
      </c>
      <c r="C41">
        <f>IF($M41="","",IF(INDEX(상세표[종료월],$M41)=대상월키,"전월→이번 달","이번 달→익월"))</f>
        <v/>
      </c>
      <c r="D41">
        <f>IF($M41="","",IF(ISNUMBER(INDEX(상세표[시작],$M41)),TEXT(INDEX(상세표[시작],$M41),"yyyy-mm-dd hh:mm"),INDEX(상세표[시작],$M41)&amp;""))</f>
        <v/>
      </c>
      <c r="E41">
        <f>IF($M41="","",IF(ISNUMBER(INDEX(상세표[종료],$M41)),TEXT(INDEX(상세표[종료],$M41),"yyyy-mm-dd hh:mm"),INDEX(상세표[종료],$M41)&amp;""))</f>
        <v/>
      </c>
      <c r="F41" s="20">
        <f>IF($M41="","",INDEX(상세표[기록 시간외],$M41))</f>
        <v/>
      </c>
      <c r="G41">
        <f>IF($M41="","",INDEX(상세표[시작월 기관],$M41)&amp;"")</f>
        <v/>
      </c>
      <c r="H41">
        <f>IF($M41="","",INDEX(상세표[종료월 기관],$M41)&amp;"")</f>
        <v/>
      </c>
      <c r="I41">
        <f>IF($M41="","",INDEX(상세표[월경계 판정],$M41)&amp;"")</f>
        <v/>
      </c>
      <c r="J41">
        <f>IF($M41="","",INDEX(상세표[반영월],$M41)&amp;"")</f>
        <v/>
      </c>
      <c r="K41">
        <f>IF($M41="","",INDEX(상세표[반영 기관],$M41)&amp;"")</f>
        <v/>
      </c>
      <c r="L41">
        <f>IF($M41="","",INDEX(상세표[기관 출처],$M41)&amp;"")</f>
        <v/>
      </c>
      <c r="M41" s="4">
        <f>IFERROR(MATCH(36,상세표[경계순번],0),"")</f>
        <v/>
      </c>
    </row>
    <row r="42">
      <c r="A42">
        <f>IF($M42="","",INDEX(상세표[사번],$M42)&amp;"")</f>
        <v/>
      </c>
      <c r="B42">
        <f>IF($M42="","",INDEX(상세표[성명],$M42)&amp;"")</f>
        <v/>
      </c>
      <c r="C42">
        <f>IF($M42="","",IF(INDEX(상세표[종료월],$M42)=대상월키,"전월→이번 달","이번 달→익월"))</f>
        <v/>
      </c>
      <c r="D42">
        <f>IF($M42="","",IF(ISNUMBER(INDEX(상세표[시작],$M42)),TEXT(INDEX(상세표[시작],$M42),"yyyy-mm-dd hh:mm"),INDEX(상세표[시작],$M42)&amp;""))</f>
        <v/>
      </c>
      <c r="E42">
        <f>IF($M42="","",IF(ISNUMBER(INDEX(상세표[종료],$M42)),TEXT(INDEX(상세표[종료],$M42),"yyyy-mm-dd hh:mm"),INDEX(상세표[종료],$M42)&amp;""))</f>
        <v/>
      </c>
      <c r="F42" s="20">
        <f>IF($M42="","",INDEX(상세표[기록 시간외],$M42))</f>
        <v/>
      </c>
      <c r="G42">
        <f>IF($M42="","",INDEX(상세표[시작월 기관],$M42)&amp;"")</f>
        <v/>
      </c>
      <c r="H42">
        <f>IF($M42="","",INDEX(상세표[종료월 기관],$M42)&amp;"")</f>
        <v/>
      </c>
      <c r="I42">
        <f>IF($M42="","",INDEX(상세표[월경계 판정],$M42)&amp;"")</f>
        <v/>
      </c>
      <c r="J42">
        <f>IF($M42="","",INDEX(상세표[반영월],$M42)&amp;"")</f>
        <v/>
      </c>
      <c r="K42">
        <f>IF($M42="","",INDEX(상세표[반영 기관],$M42)&amp;"")</f>
        <v/>
      </c>
      <c r="L42">
        <f>IF($M42="","",INDEX(상세표[기관 출처],$M42)&amp;"")</f>
        <v/>
      </c>
      <c r="M42" s="4">
        <f>IFERROR(MATCH(37,상세표[경계순번],0),"")</f>
        <v/>
      </c>
    </row>
    <row r="43">
      <c r="A43">
        <f>IF($M43="","",INDEX(상세표[사번],$M43)&amp;"")</f>
        <v/>
      </c>
      <c r="B43">
        <f>IF($M43="","",INDEX(상세표[성명],$M43)&amp;"")</f>
        <v/>
      </c>
      <c r="C43">
        <f>IF($M43="","",IF(INDEX(상세표[종료월],$M43)=대상월키,"전월→이번 달","이번 달→익월"))</f>
        <v/>
      </c>
      <c r="D43">
        <f>IF($M43="","",IF(ISNUMBER(INDEX(상세표[시작],$M43)),TEXT(INDEX(상세표[시작],$M43),"yyyy-mm-dd hh:mm"),INDEX(상세표[시작],$M43)&amp;""))</f>
        <v/>
      </c>
      <c r="E43">
        <f>IF($M43="","",IF(ISNUMBER(INDEX(상세표[종료],$M43)),TEXT(INDEX(상세표[종료],$M43),"yyyy-mm-dd hh:mm"),INDEX(상세표[종료],$M43)&amp;""))</f>
        <v/>
      </c>
      <c r="F43" s="20">
        <f>IF($M43="","",INDEX(상세표[기록 시간외],$M43))</f>
        <v/>
      </c>
      <c r="G43">
        <f>IF($M43="","",INDEX(상세표[시작월 기관],$M43)&amp;"")</f>
        <v/>
      </c>
      <c r="H43">
        <f>IF($M43="","",INDEX(상세표[종료월 기관],$M43)&amp;"")</f>
        <v/>
      </c>
      <c r="I43">
        <f>IF($M43="","",INDEX(상세표[월경계 판정],$M43)&amp;"")</f>
        <v/>
      </c>
      <c r="J43">
        <f>IF($M43="","",INDEX(상세표[반영월],$M43)&amp;"")</f>
        <v/>
      </c>
      <c r="K43">
        <f>IF($M43="","",INDEX(상세표[반영 기관],$M43)&amp;"")</f>
        <v/>
      </c>
      <c r="L43">
        <f>IF($M43="","",INDEX(상세표[기관 출처],$M43)&amp;"")</f>
        <v/>
      </c>
      <c r="M43" s="4">
        <f>IFERROR(MATCH(38,상세표[경계순번],0),"")</f>
        <v/>
      </c>
    </row>
    <row r="44">
      <c r="A44">
        <f>IF($M44="","",INDEX(상세표[사번],$M44)&amp;"")</f>
        <v/>
      </c>
      <c r="B44">
        <f>IF($M44="","",INDEX(상세표[성명],$M44)&amp;"")</f>
        <v/>
      </c>
      <c r="C44">
        <f>IF($M44="","",IF(INDEX(상세표[종료월],$M44)=대상월키,"전월→이번 달","이번 달→익월"))</f>
        <v/>
      </c>
      <c r="D44">
        <f>IF($M44="","",IF(ISNUMBER(INDEX(상세표[시작],$M44)),TEXT(INDEX(상세표[시작],$M44),"yyyy-mm-dd hh:mm"),INDEX(상세표[시작],$M44)&amp;""))</f>
        <v/>
      </c>
      <c r="E44">
        <f>IF($M44="","",IF(ISNUMBER(INDEX(상세표[종료],$M44)),TEXT(INDEX(상세표[종료],$M44),"yyyy-mm-dd hh:mm"),INDEX(상세표[종료],$M44)&amp;""))</f>
        <v/>
      </c>
      <c r="F44" s="20">
        <f>IF($M44="","",INDEX(상세표[기록 시간외],$M44))</f>
        <v/>
      </c>
      <c r="G44">
        <f>IF($M44="","",INDEX(상세표[시작월 기관],$M44)&amp;"")</f>
        <v/>
      </c>
      <c r="H44">
        <f>IF($M44="","",INDEX(상세표[종료월 기관],$M44)&amp;"")</f>
        <v/>
      </c>
      <c r="I44">
        <f>IF($M44="","",INDEX(상세표[월경계 판정],$M44)&amp;"")</f>
        <v/>
      </c>
      <c r="J44">
        <f>IF($M44="","",INDEX(상세표[반영월],$M44)&amp;"")</f>
        <v/>
      </c>
      <c r="K44">
        <f>IF($M44="","",INDEX(상세표[반영 기관],$M44)&amp;"")</f>
        <v/>
      </c>
      <c r="L44">
        <f>IF($M44="","",INDEX(상세표[기관 출처],$M44)&amp;"")</f>
        <v/>
      </c>
      <c r="M44" s="4">
        <f>IFERROR(MATCH(39,상세표[경계순번],0),"")</f>
        <v/>
      </c>
    </row>
    <row r="45">
      <c r="A45">
        <f>IF($M45="","",INDEX(상세표[사번],$M45)&amp;"")</f>
        <v/>
      </c>
      <c r="B45">
        <f>IF($M45="","",INDEX(상세표[성명],$M45)&amp;"")</f>
        <v/>
      </c>
      <c r="C45">
        <f>IF($M45="","",IF(INDEX(상세표[종료월],$M45)=대상월키,"전월→이번 달","이번 달→익월"))</f>
        <v/>
      </c>
      <c r="D45">
        <f>IF($M45="","",IF(ISNUMBER(INDEX(상세표[시작],$M45)),TEXT(INDEX(상세표[시작],$M45),"yyyy-mm-dd hh:mm"),INDEX(상세표[시작],$M45)&amp;""))</f>
        <v/>
      </c>
      <c r="E45">
        <f>IF($M45="","",IF(ISNUMBER(INDEX(상세표[종료],$M45)),TEXT(INDEX(상세표[종료],$M45),"yyyy-mm-dd hh:mm"),INDEX(상세표[종료],$M45)&amp;""))</f>
        <v/>
      </c>
      <c r="F45" s="20">
        <f>IF($M45="","",INDEX(상세표[기록 시간외],$M45))</f>
        <v/>
      </c>
      <c r="G45">
        <f>IF($M45="","",INDEX(상세표[시작월 기관],$M45)&amp;"")</f>
        <v/>
      </c>
      <c r="H45">
        <f>IF($M45="","",INDEX(상세표[종료월 기관],$M45)&amp;"")</f>
        <v/>
      </c>
      <c r="I45">
        <f>IF($M45="","",INDEX(상세표[월경계 판정],$M45)&amp;"")</f>
        <v/>
      </c>
      <c r="J45">
        <f>IF($M45="","",INDEX(상세표[반영월],$M45)&amp;"")</f>
        <v/>
      </c>
      <c r="K45">
        <f>IF($M45="","",INDEX(상세표[반영 기관],$M45)&amp;"")</f>
        <v/>
      </c>
      <c r="L45">
        <f>IF($M45="","",INDEX(상세표[기관 출처],$M45)&amp;"")</f>
        <v/>
      </c>
      <c r="M45" s="4">
        <f>IFERROR(MATCH(40,상세표[경계순번],0),"")</f>
        <v/>
      </c>
    </row>
    <row r="46">
      <c r="A46">
        <f>IF($M46="","",INDEX(상세표[사번],$M46)&amp;"")</f>
        <v/>
      </c>
      <c r="B46">
        <f>IF($M46="","",INDEX(상세표[성명],$M46)&amp;"")</f>
        <v/>
      </c>
      <c r="C46">
        <f>IF($M46="","",IF(INDEX(상세표[종료월],$M46)=대상월키,"전월→이번 달","이번 달→익월"))</f>
        <v/>
      </c>
      <c r="D46">
        <f>IF($M46="","",IF(ISNUMBER(INDEX(상세표[시작],$M46)),TEXT(INDEX(상세표[시작],$M46),"yyyy-mm-dd hh:mm"),INDEX(상세표[시작],$M46)&amp;""))</f>
        <v/>
      </c>
      <c r="E46">
        <f>IF($M46="","",IF(ISNUMBER(INDEX(상세표[종료],$M46)),TEXT(INDEX(상세표[종료],$M46),"yyyy-mm-dd hh:mm"),INDEX(상세표[종료],$M46)&amp;""))</f>
        <v/>
      </c>
      <c r="F46" s="20">
        <f>IF($M46="","",INDEX(상세표[기록 시간외],$M46))</f>
        <v/>
      </c>
      <c r="G46">
        <f>IF($M46="","",INDEX(상세표[시작월 기관],$M46)&amp;"")</f>
        <v/>
      </c>
      <c r="H46">
        <f>IF($M46="","",INDEX(상세표[종료월 기관],$M46)&amp;"")</f>
        <v/>
      </c>
      <c r="I46">
        <f>IF($M46="","",INDEX(상세표[월경계 판정],$M46)&amp;"")</f>
        <v/>
      </c>
      <c r="J46">
        <f>IF($M46="","",INDEX(상세표[반영월],$M46)&amp;"")</f>
        <v/>
      </c>
      <c r="K46">
        <f>IF($M46="","",INDEX(상세표[반영 기관],$M46)&amp;"")</f>
        <v/>
      </c>
      <c r="L46">
        <f>IF($M46="","",INDEX(상세표[기관 출처],$M46)&amp;"")</f>
        <v/>
      </c>
      <c r="M46" s="4">
        <f>IFERROR(MATCH(41,상세표[경계순번],0),"")</f>
        <v/>
      </c>
    </row>
    <row r="47">
      <c r="A47">
        <f>IF($M47="","",INDEX(상세표[사번],$M47)&amp;"")</f>
        <v/>
      </c>
      <c r="B47">
        <f>IF($M47="","",INDEX(상세표[성명],$M47)&amp;"")</f>
        <v/>
      </c>
      <c r="C47">
        <f>IF($M47="","",IF(INDEX(상세표[종료월],$M47)=대상월키,"전월→이번 달","이번 달→익월"))</f>
        <v/>
      </c>
      <c r="D47">
        <f>IF($M47="","",IF(ISNUMBER(INDEX(상세표[시작],$M47)),TEXT(INDEX(상세표[시작],$M47),"yyyy-mm-dd hh:mm"),INDEX(상세표[시작],$M47)&amp;""))</f>
        <v/>
      </c>
      <c r="E47">
        <f>IF($M47="","",IF(ISNUMBER(INDEX(상세표[종료],$M47)),TEXT(INDEX(상세표[종료],$M47),"yyyy-mm-dd hh:mm"),INDEX(상세표[종료],$M47)&amp;""))</f>
        <v/>
      </c>
      <c r="F47" s="20">
        <f>IF($M47="","",INDEX(상세표[기록 시간외],$M47))</f>
        <v/>
      </c>
      <c r="G47">
        <f>IF($M47="","",INDEX(상세표[시작월 기관],$M47)&amp;"")</f>
        <v/>
      </c>
      <c r="H47">
        <f>IF($M47="","",INDEX(상세표[종료월 기관],$M47)&amp;"")</f>
        <v/>
      </c>
      <c r="I47">
        <f>IF($M47="","",INDEX(상세표[월경계 판정],$M47)&amp;"")</f>
        <v/>
      </c>
      <c r="J47">
        <f>IF($M47="","",INDEX(상세표[반영월],$M47)&amp;"")</f>
        <v/>
      </c>
      <c r="K47">
        <f>IF($M47="","",INDEX(상세표[반영 기관],$M47)&amp;"")</f>
        <v/>
      </c>
      <c r="L47">
        <f>IF($M47="","",INDEX(상세표[기관 출처],$M47)&amp;"")</f>
        <v/>
      </c>
      <c r="M47" s="4">
        <f>IFERROR(MATCH(42,상세표[경계순번],0),"")</f>
        <v/>
      </c>
    </row>
    <row r="48">
      <c r="A48">
        <f>IF($M48="","",INDEX(상세표[사번],$M48)&amp;"")</f>
        <v/>
      </c>
      <c r="B48">
        <f>IF($M48="","",INDEX(상세표[성명],$M48)&amp;"")</f>
        <v/>
      </c>
      <c r="C48">
        <f>IF($M48="","",IF(INDEX(상세표[종료월],$M48)=대상월키,"전월→이번 달","이번 달→익월"))</f>
        <v/>
      </c>
      <c r="D48">
        <f>IF($M48="","",IF(ISNUMBER(INDEX(상세표[시작],$M48)),TEXT(INDEX(상세표[시작],$M48),"yyyy-mm-dd hh:mm"),INDEX(상세표[시작],$M48)&amp;""))</f>
        <v/>
      </c>
      <c r="E48">
        <f>IF($M48="","",IF(ISNUMBER(INDEX(상세표[종료],$M48)),TEXT(INDEX(상세표[종료],$M48),"yyyy-mm-dd hh:mm"),INDEX(상세표[종료],$M48)&amp;""))</f>
        <v/>
      </c>
      <c r="F48" s="20">
        <f>IF($M48="","",INDEX(상세표[기록 시간외],$M48))</f>
        <v/>
      </c>
      <c r="G48">
        <f>IF($M48="","",INDEX(상세표[시작월 기관],$M48)&amp;"")</f>
        <v/>
      </c>
      <c r="H48">
        <f>IF($M48="","",INDEX(상세표[종료월 기관],$M48)&amp;"")</f>
        <v/>
      </c>
      <c r="I48">
        <f>IF($M48="","",INDEX(상세표[월경계 판정],$M48)&amp;"")</f>
        <v/>
      </c>
      <c r="J48">
        <f>IF($M48="","",INDEX(상세표[반영월],$M48)&amp;"")</f>
        <v/>
      </c>
      <c r="K48">
        <f>IF($M48="","",INDEX(상세표[반영 기관],$M48)&amp;"")</f>
        <v/>
      </c>
      <c r="L48">
        <f>IF($M48="","",INDEX(상세표[기관 출처],$M48)&amp;"")</f>
        <v/>
      </c>
      <c r="M48" s="4">
        <f>IFERROR(MATCH(43,상세표[경계순번],0),"")</f>
        <v/>
      </c>
    </row>
    <row r="49">
      <c r="A49">
        <f>IF($M49="","",INDEX(상세표[사번],$M49)&amp;"")</f>
        <v/>
      </c>
      <c r="B49">
        <f>IF($M49="","",INDEX(상세표[성명],$M49)&amp;"")</f>
        <v/>
      </c>
      <c r="C49">
        <f>IF($M49="","",IF(INDEX(상세표[종료월],$M49)=대상월키,"전월→이번 달","이번 달→익월"))</f>
        <v/>
      </c>
      <c r="D49">
        <f>IF($M49="","",IF(ISNUMBER(INDEX(상세표[시작],$M49)),TEXT(INDEX(상세표[시작],$M49),"yyyy-mm-dd hh:mm"),INDEX(상세표[시작],$M49)&amp;""))</f>
        <v/>
      </c>
      <c r="E49">
        <f>IF($M49="","",IF(ISNUMBER(INDEX(상세표[종료],$M49)),TEXT(INDEX(상세표[종료],$M49),"yyyy-mm-dd hh:mm"),INDEX(상세표[종료],$M49)&amp;""))</f>
        <v/>
      </c>
      <c r="F49" s="20">
        <f>IF($M49="","",INDEX(상세표[기록 시간외],$M49))</f>
        <v/>
      </c>
      <c r="G49">
        <f>IF($M49="","",INDEX(상세표[시작월 기관],$M49)&amp;"")</f>
        <v/>
      </c>
      <c r="H49">
        <f>IF($M49="","",INDEX(상세표[종료월 기관],$M49)&amp;"")</f>
        <v/>
      </c>
      <c r="I49">
        <f>IF($M49="","",INDEX(상세표[월경계 판정],$M49)&amp;"")</f>
        <v/>
      </c>
      <c r="J49">
        <f>IF($M49="","",INDEX(상세표[반영월],$M49)&amp;"")</f>
        <v/>
      </c>
      <c r="K49">
        <f>IF($M49="","",INDEX(상세표[반영 기관],$M49)&amp;"")</f>
        <v/>
      </c>
      <c r="L49">
        <f>IF($M49="","",INDEX(상세표[기관 출처],$M49)&amp;"")</f>
        <v/>
      </c>
      <c r="M49" s="4">
        <f>IFERROR(MATCH(44,상세표[경계순번],0),"")</f>
        <v/>
      </c>
    </row>
    <row r="50">
      <c r="A50">
        <f>IF($M50="","",INDEX(상세표[사번],$M50)&amp;"")</f>
        <v/>
      </c>
      <c r="B50">
        <f>IF($M50="","",INDEX(상세표[성명],$M50)&amp;"")</f>
        <v/>
      </c>
      <c r="C50">
        <f>IF($M50="","",IF(INDEX(상세표[종료월],$M50)=대상월키,"전월→이번 달","이번 달→익월"))</f>
        <v/>
      </c>
      <c r="D50">
        <f>IF($M50="","",IF(ISNUMBER(INDEX(상세표[시작],$M50)),TEXT(INDEX(상세표[시작],$M50),"yyyy-mm-dd hh:mm"),INDEX(상세표[시작],$M50)&amp;""))</f>
        <v/>
      </c>
      <c r="E50">
        <f>IF($M50="","",IF(ISNUMBER(INDEX(상세표[종료],$M50)),TEXT(INDEX(상세표[종료],$M50),"yyyy-mm-dd hh:mm"),INDEX(상세표[종료],$M50)&amp;""))</f>
        <v/>
      </c>
      <c r="F50" s="20">
        <f>IF($M50="","",INDEX(상세표[기록 시간외],$M50))</f>
        <v/>
      </c>
      <c r="G50">
        <f>IF($M50="","",INDEX(상세표[시작월 기관],$M50)&amp;"")</f>
        <v/>
      </c>
      <c r="H50">
        <f>IF($M50="","",INDEX(상세표[종료월 기관],$M50)&amp;"")</f>
        <v/>
      </c>
      <c r="I50">
        <f>IF($M50="","",INDEX(상세표[월경계 판정],$M50)&amp;"")</f>
        <v/>
      </c>
      <c r="J50">
        <f>IF($M50="","",INDEX(상세표[반영월],$M50)&amp;"")</f>
        <v/>
      </c>
      <c r="K50">
        <f>IF($M50="","",INDEX(상세표[반영 기관],$M50)&amp;"")</f>
        <v/>
      </c>
      <c r="L50">
        <f>IF($M50="","",INDEX(상세표[기관 출처],$M50)&amp;"")</f>
        <v/>
      </c>
      <c r="M50" s="4">
        <f>IFERROR(MATCH(45,상세표[경계순번],0),"")</f>
        <v/>
      </c>
    </row>
    <row r="51">
      <c r="A51">
        <f>IF($M51="","",INDEX(상세표[사번],$M51)&amp;"")</f>
        <v/>
      </c>
      <c r="B51">
        <f>IF($M51="","",INDEX(상세표[성명],$M51)&amp;"")</f>
        <v/>
      </c>
      <c r="C51">
        <f>IF($M51="","",IF(INDEX(상세표[종료월],$M51)=대상월키,"전월→이번 달","이번 달→익월"))</f>
        <v/>
      </c>
      <c r="D51">
        <f>IF($M51="","",IF(ISNUMBER(INDEX(상세표[시작],$M51)),TEXT(INDEX(상세표[시작],$M51),"yyyy-mm-dd hh:mm"),INDEX(상세표[시작],$M51)&amp;""))</f>
        <v/>
      </c>
      <c r="E51">
        <f>IF($M51="","",IF(ISNUMBER(INDEX(상세표[종료],$M51)),TEXT(INDEX(상세표[종료],$M51),"yyyy-mm-dd hh:mm"),INDEX(상세표[종료],$M51)&amp;""))</f>
        <v/>
      </c>
      <c r="F51" s="20">
        <f>IF($M51="","",INDEX(상세표[기록 시간외],$M51))</f>
        <v/>
      </c>
      <c r="G51">
        <f>IF($M51="","",INDEX(상세표[시작월 기관],$M51)&amp;"")</f>
        <v/>
      </c>
      <c r="H51">
        <f>IF($M51="","",INDEX(상세표[종료월 기관],$M51)&amp;"")</f>
        <v/>
      </c>
      <c r="I51">
        <f>IF($M51="","",INDEX(상세표[월경계 판정],$M51)&amp;"")</f>
        <v/>
      </c>
      <c r="J51">
        <f>IF($M51="","",INDEX(상세표[반영월],$M51)&amp;"")</f>
        <v/>
      </c>
      <c r="K51">
        <f>IF($M51="","",INDEX(상세표[반영 기관],$M51)&amp;"")</f>
        <v/>
      </c>
      <c r="L51">
        <f>IF($M51="","",INDEX(상세표[기관 출처],$M51)&amp;"")</f>
        <v/>
      </c>
      <c r="M51" s="4">
        <f>IFERROR(MATCH(46,상세표[경계순번],0),"")</f>
        <v/>
      </c>
    </row>
    <row r="52">
      <c r="A52">
        <f>IF($M52="","",INDEX(상세표[사번],$M52)&amp;"")</f>
        <v/>
      </c>
      <c r="B52">
        <f>IF($M52="","",INDEX(상세표[성명],$M52)&amp;"")</f>
        <v/>
      </c>
      <c r="C52">
        <f>IF($M52="","",IF(INDEX(상세표[종료월],$M52)=대상월키,"전월→이번 달","이번 달→익월"))</f>
        <v/>
      </c>
      <c r="D52">
        <f>IF($M52="","",IF(ISNUMBER(INDEX(상세표[시작],$M52)),TEXT(INDEX(상세표[시작],$M52),"yyyy-mm-dd hh:mm"),INDEX(상세표[시작],$M52)&amp;""))</f>
        <v/>
      </c>
      <c r="E52">
        <f>IF($M52="","",IF(ISNUMBER(INDEX(상세표[종료],$M52)),TEXT(INDEX(상세표[종료],$M52),"yyyy-mm-dd hh:mm"),INDEX(상세표[종료],$M52)&amp;""))</f>
        <v/>
      </c>
      <c r="F52" s="20">
        <f>IF($M52="","",INDEX(상세표[기록 시간외],$M52))</f>
        <v/>
      </c>
      <c r="G52">
        <f>IF($M52="","",INDEX(상세표[시작월 기관],$M52)&amp;"")</f>
        <v/>
      </c>
      <c r="H52">
        <f>IF($M52="","",INDEX(상세표[종료월 기관],$M52)&amp;"")</f>
        <v/>
      </c>
      <c r="I52">
        <f>IF($M52="","",INDEX(상세표[월경계 판정],$M52)&amp;"")</f>
        <v/>
      </c>
      <c r="J52">
        <f>IF($M52="","",INDEX(상세표[반영월],$M52)&amp;"")</f>
        <v/>
      </c>
      <c r="K52">
        <f>IF($M52="","",INDEX(상세표[반영 기관],$M52)&amp;"")</f>
        <v/>
      </c>
      <c r="L52">
        <f>IF($M52="","",INDEX(상세표[기관 출처],$M52)&amp;"")</f>
        <v/>
      </c>
      <c r="M52" s="4">
        <f>IFERROR(MATCH(47,상세표[경계순번],0),"")</f>
        <v/>
      </c>
    </row>
    <row r="53">
      <c r="A53">
        <f>IF($M53="","",INDEX(상세표[사번],$M53)&amp;"")</f>
        <v/>
      </c>
      <c r="B53">
        <f>IF($M53="","",INDEX(상세표[성명],$M53)&amp;"")</f>
        <v/>
      </c>
      <c r="C53">
        <f>IF($M53="","",IF(INDEX(상세표[종료월],$M53)=대상월키,"전월→이번 달","이번 달→익월"))</f>
        <v/>
      </c>
      <c r="D53">
        <f>IF($M53="","",IF(ISNUMBER(INDEX(상세표[시작],$M53)),TEXT(INDEX(상세표[시작],$M53),"yyyy-mm-dd hh:mm"),INDEX(상세표[시작],$M53)&amp;""))</f>
        <v/>
      </c>
      <c r="E53">
        <f>IF($M53="","",IF(ISNUMBER(INDEX(상세표[종료],$M53)),TEXT(INDEX(상세표[종료],$M53),"yyyy-mm-dd hh:mm"),INDEX(상세표[종료],$M53)&amp;""))</f>
        <v/>
      </c>
      <c r="F53" s="20">
        <f>IF($M53="","",INDEX(상세표[기록 시간외],$M53))</f>
        <v/>
      </c>
      <c r="G53">
        <f>IF($M53="","",INDEX(상세표[시작월 기관],$M53)&amp;"")</f>
        <v/>
      </c>
      <c r="H53">
        <f>IF($M53="","",INDEX(상세표[종료월 기관],$M53)&amp;"")</f>
        <v/>
      </c>
      <c r="I53">
        <f>IF($M53="","",INDEX(상세표[월경계 판정],$M53)&amp;"")</f>
        <v/>
      </c>
      <c r="J53">
        <f>IF($M53="","",INDEX(상세표[반영월],$M53)&amp;"")</f>
        <v/>
      </c>
      <c r="K53">
        <f>IF($M53="","",INDEX(상세표[반영 기관],$M53)&amp;"")</f>
        <v/>
      </c>
      <c r="L53">
        <f>IF($M53="","",INDEX(상세표[기관 출처],$M53)&amp;"")</f>
        <v/>
      </c>
      <c r="M53" s="4">
        <f>IFERROR(MATCH(48,상세표[경계순번],0),"")</f>
        <v/>
      </c>
    </row>
    <row r="54">
      <c r="A54">
        <f>IF($M54="","",INDEX(상세표[사번],$M54)&amp;"")</f>
        <v/>
      </c>
      <c r="B54">
        <f>IF($M54="","",INDEX(상세표[성명],$M54)&amp;"")</f>
        <v/>
      </c>
      <c r="C54">
        <f>IF($M54="","",IF(INDEX(상세표[종료월],$M54)=대상월키,"전월→이번 달","이번 달→익월"))</f>
        <v/>
      </c>
      <c r="D54">
        <f>IF($M54="","",IF(ISNUMBER(INDEX(상세표[시작],$M54)),TEXT(INDEX(상세표[시작],$M54),"yyyy-mm-dd hh:mm"),INDEX(상세표[시작],$M54)&amp;""))</f>
        <v/>
      </c>
      <c r="E54">
        <f>IF($M54="","",IF(ISNUMBER(INDEX(상세표[종료],$M54)),TEXT(INDEX(상세표[종료],$M54),"yyyy-mm-dd hh:mm"),INDEX(상세표[종료],$M54)&amp;""))</f>
        <v/>
      </c>
      <c r="F54" s="20">
        <f>IF($M54="","",INDEX(상세표[기록 시간외],$M54))</f>
        <v/>
      </c>
      <c r="G54">
        <f>IF($M54="","",INDEX(상세표[시작월 기관],$M54)&amp;"")</f>
        <v/>
      </c>
      <c r="H54">
        <f>IF($M54="","",INDEX(상세표[종료월 기관],$M54)&amp;"")</f>
        <v/>
      </c>
      <c r="I54">
        <f>IF($M54="","",INDEX(상세표[월경계 판정],$M54)&amp;"")</f>
        <v/>
      </c>
      <c r="J54">
        <f>IF($M54="","",INDEX(상세표[반영월],$M54)&amp;"")</f>
        <v/>
      </c>
      <c r="K54">
        <f>IF($M54="","",INDEX(상세표[반영 기관],$M54)&amp;"")</f>
        <v/>
      </c>
      <c r="L54">
        <f>IF($M54="","",INDEX(상세표[기관 출처],$M54)&amp;"")</f>
        <v/>
      </c>
      <c r="M54" s="4">
        <f>IFERROR(MATCH(49,상세표[경계순번],0),"")</f>
        <v/>
      </c>
    </row>
    <row r="55">
      <c r="A55">
        <f>IF($M55="","",INDEX(상세표[사번],$M55)&amp;"")</f>
        <v/>
      </c>
      <c r="B55">
        <f>IF($M55="","",INDEX(상세표[성명],$M55)&amp;"")</f>
        <v/>
      </c>
      <c r="C55">
        <f>IF($M55="","",IF(INDEX(상세표[종료월],$M55)=대상월키,"전월→이번 달","이번 달→익월"))</f>
        <v/>
      </c>
      <c r="D55">
        <f>IF($M55="","",IF(ISNUMBER(INDEX(상세표[시작],$M55)),TEXT(INDEX(상세표[시작],$M55),"yyyy-mm-dd hh:mm"),INDEX(상세표[시작],$M55)&amp;""))</f>
        <v/>
      </c>
      <c r="E55">
        <f>IF($M55="","",IF(ISNUMBER(INDEX(상세표[종료],$M55)),TEXT(INDEX(상세표[종료],$M55),"yyyy-mm-dd hh:mm"),INDEX(상세표[종료],$M55)&amp;""))</f>
        <v/>
      </c>
      <c r="F55" s="20">
        <f>IF($M55="","",INDEX(상세표[기록 시간외],$M55))</f>
        <v/>
      </c>
      <c r="G55">
        <f>IF($M55="","",INDEX(상세표[시작월 기관],$M55)&amp;"")</f>
        <v/>
      </c>
      <c r="H55">
        <f>IF($M55="","",INDEX(상세표[종료월 기관],$M55)&amp;"")</f>
        <v/>
      </c>
      <c r="I55">
        <f>IF($M55="","",INDEX(상세표[월경계 판정],$M55)&amp;"")</f>
        <v/>
      </c>
      <c r="J55">
        <f>IF($M55="","",INDEX(상세표[반영월],$M55)&amp;"")</f>
        <v/>
      </c>
      <c r="K55">
        <f>IF($M55="","",INDEX(상세표[반영 기관],$M55)&amp;"")</f>
        <v/>
      </c>
      <c r="L55">
        <f>IF($M55="","",INDEX(상세표[기관 출처],$M55)&amp;"")</f>
        <v/>
      </c>
      <c r="M55" s="4">
        <f>IFERROR(MATCH(50,상세표[경계순번],0),"")</f>
        <v/>
      </c>
    </row>
    <row r="56">
      <c r="A56">
        <f>IF($M56="","",INDEX(상세표[사번],$M56)&amp;"")</f>
        <v/>
      </c>
      <c r="B56">
        <f>IF($M56="","",INDEX(상세표[성명],$M56)&amp;"")</f>
        <v/>
      </c>
      <c r="C56">
        <f>IF($M56="","",IF(INDEX(상세표[종료월],$M56)=대상월키,"전월→이번 달","이번 달→익월"))</f>
        <v/>
      </c>
      <c r="D56">
        <f>IF($M56="","",IF(ISNUMBER(INDEX(상세표[시작],$M56)),TEXT(INDEX(상세표[시작],$M56),"yyyy-mm-dd hh:mm"),INDEX(상세표[시작],$M56)&amp;""))</f>
        <v/>
      </c>
      <c r="E56">
        <f>IF($M56="","",IF(ISNUMBER(INDEX(상세표[종료],$M56)),TEXT(INDEX(상세표[종료],$M56),"yyyy-mm-dd hh:mm"),INDEX(상세표[종료],$M56)&amp;""))</f>
        <v/>
      </c>
      <c r="F56" s="20">
        <f>IF($M56="","",INDEX(상세표[기록 시간외],$M56))</f>
        <v/>
      </c>
      <c r="G56">
        <f>IF($M56="","",INDEX(상세표[시작월 기관],$M56)&amp;"")</f>
        <v/>
      </c>
      <c r="H56">
        <f>IF($M56="","",INDEX(상세표[종료월 기관],$M56)&amp;"")</f>
        <v/>
      </c>
      <c r="I56">
        <f>IF($M56="","",INDEX(상세표[월경계 판정],$M56)&amp;"")</f>
        <v/>
      </c>
      <c r="J56">
        <f>IF($M56="","",INDEX(상세표[반영월],$M56)&amp;"")</f>
        <v/>
      </c>
      <c r="K56">
        <f>IF($M56="","",INDEX(상세표[반영 기관],$M56)&amp;"")</f>
        <v/>
      </c>
      <c r="L56">
        <f>IF($M56="","",INDEX(상세표[기관 출처],$M56)&amp;"")</f>
        <v/>
      </c>
      <c r="M56" s="4">
        <f>IFERROR(MATCH(51,상세표[경계순번],0),"")</f>
        <v/>
      </c>
    </row>
    <row r="57">
      <c r="A57">
        <f>IF($M57="","",INDEX(상세표[사번],$M57)&amp;"")</f>
        <v/>
      </c>
      <c r="B57">
        <f>IF($M57="","",INDEX(상세표[성명],$M57)&amp;"")</f>
        <v/>
      </c>
      <c r="C57">
        <f>IF($M57="","",IF(INDEX(상세표[종료월],$M57)=대상월키,"전월→이번 달","이번 달→익월"))</f>
        <v/>
      </c>
      <c r="D57">
        <f>IF($M57="","",IF(ISNUMBER(INDEX(상세표[시작],$M57)),TEXT(INDEX(상세표[시작],$M57),"yyyy-mm-dd hh:mm"),INDEX(상세표[시작],$M57)&amp;""))</f>
        <v/>
      </c>
      <c r="E57">
        <f>IF($M57="","",IF(ISNUMBER(INDEX(상세표[종료],$M57)),TEXT(INDEX(상세표[종료],$M57),"yyyy-mm-dd hh:mm"),INDEX(상세표[종료],$M57)&amp;""))</f>
        <v/>
      </c>
      <c r="F57" s="20">
        <f>IF($M57="","",INDEX(상세표[기록 시간외],$M57))</f>
        <v/>
      </c>
      <c r="G57">
        <f>IF($M57="","",INDEX(상세표[시작월 기관],$M57)&amp;"")</f>
        <v/>
      </c>
      <c r="H57">
        <f>IF($M57="","",INDEX(상세표[종료월 기관],$M57)&amp;"")</f>
        <v/>
      </c>
      <c r="I57">
        <f>IF($M57="","",INDEX(상세표[월경계 판정],$M57)&amp;"")</f>
        <v/>
      </c>
      <c r="J57">
        <f>IF($M57="","",INDEX(상세표[반영월],$M57)&amp;"")</f>
        <v/>
      </c>
      <c r="K57">
        <f>IF($M57="","",INDEX(상세표[반영 기관],$M57)&amp;"")</f>
        <v/>
      </c>
      <c r="L57">
        <f>IF($M57="","",INDEX(상세표[기관 출처],$M57)&amp;"")</f>
        <v/>
      </c>
      <c r="M57" s="4">
        <f>IFERROR(MATCH(52,상세표[경계순번],0),"")</f>
        <v/>
      </c>
    </row>
    <row r="58">
      <c r="A58">
        <f>IF($M58="","",INDEX(상세표[사번],$M58)&amp;"")</f>
        <v/>
      </c>
      <c r="B58">
        <f>IF($M58="","",INDEX(상세표[성명],$M58)&amp;"")</f>
        <v/>
      </c>
      <c r="C58">
        <f>IF($M58="","",IF(INDEX(상세표[종료월],$M58)=대상월키,"전월→이번 달","이번 달→익월"))</f>
        <v/>
      </c>
      <c r="D58">
        <f>IF($M58="","",IF(ISNUMBER(INDEX(상세표[시작],$M58)),TEXT(INDEX(상세표[시작],$M58),"yyyy-mm-dd hh:mm"),INDEX(상세표[시작],$M58)&amp;""))</f>
        <v/>
      </c>
      <c r="E58">
        <f>IF($M58="","",IF(ISNUMBER(INDEX(상세표[종료],$M58)),TEXT(INDEX(상세표[종료],$M58),"yyyy-mm-dd hh:mm"),INDEX(상세표[종료],$M58)&amp;""))</f>
        <v/>
      </c>
      <c r="F58" s="20">
        <f>IF($M58="","",INDEX(상세표[기록 시간외],$M58))</f>
        <v/>
      </c>
      <c r="G58">
        <f>IF($M58="","",INDEX(상세표[시작월 기관],$M58)&amp;"")</f>
        <v/>
      </c>
      <c r="H58">
        <f>IF($M58="","",INDEX(상세표[종료월 기관],$M58)&amp;"")</f>
        <v/>
      </c>
      <c r="I58">
        <f>IF($M58="","",INDEX(상세표[월경계 판정],$M58)&amp;"")</f>
        <v/>
      </c>
      <c r="J58">
        <f>IF($M58="","",INDEX(상세표[반영월],$M58)&amp;"")</f>
        <v/>
      </c>
      <c r="K58">
        <f>IF($M58="","",INDEX(상세표[반영 기관],$M58)&amp;"")</f>
        <v/>
      </c>
      <c r="L58">
        <f>IF($M58="","",INDEX(상세표[기관 출처],$M58)&amp;"")</f>
        <v/>
      </c>
      <c r="M58" s="4">
        <f>IFERROR(MATCH(53,상세표[경계순번],0),"")</f>
        <v/>
      </c>
    </row>
    <row r="59">
      <c r="A59">
        <f>IF($M59="","",INDEX(상세표[사번],$M59)&amp;"")</f>
        <v/>
      </c>
      <c r="B59">
        <f>IF($M59="","",INDEX(상세표[성명],$M59)&amp;"")</f>
        <v/>
      </c>
      <c r="C59">
        <f>IF($M59="","",IF(INDEX(상세표[종료월],$M59)=대상월키,"전월→이번 달","이번 달→익월"))</f>
        <v/>
      </c>
      <c r="D59">
        <f>IF($M59="","",IF(ISNUMBER(INDEX(상세표[시작],$M59)),TEXT(INDEX(상세표[시작],$M59),"yyyy-mm-dd hh:mm"),INDEX(상세표[시작],$M59)&amp;""))</f>
        <v/>
      </c>
      <c r="E59">
        <f>IF($M59="","",IF(ISNUMBER(INDEX(상세표[종료],$M59)),TEXT(INDEX(상세표[종료],$M59),"yyyy-mm-dd hh:mm"),INDEX(상세표[종료],$M59)&amp;""))</f>
        <v/>
      </c>
      <c r="F59" s="20">
        <f>IF($M59="","",INDEX(상세표[기록 시간외],$M59))</f>
        <v/>
      </c>
      <c r="G59">
        <f>IF($M59="","",INDEX(상세표[시작월 기관],$M59)&amp;"")</f>
        <v/>
      </c>
      <c r="H59">
        <f>IF($M59="","",INDEX(상세표[종료월 기관],$M59)&amp;"")</f>
        <v/>
      </c>
      <c r="I59">
        <f>IF($M59="","",INDEX(상세표[월경계 판정],$M59)&amp;"")</f>
        <v/>
      </c>
      <c r="J59">
        <f>IF($M59="","",INDEX(상세표[반영월],$M59)&amp;"")</f>
        <v/>
      </c>
      <c r="K59">
        <f>IF($M59="","",INDEX(상세표[반영 기관],$M59)&amp;"")</f>
        <v/>
      </c>
      <c r="L59">
        <f>IF($M59="","",INDEX(상세표[기관 출처],$M59)&amp;"")</f>
        <v/>
      </c>
      <c r="M59" s="4">
        <f>IFERROR(MATCH(54,상세표[경계순번],0),"")</f>
        <v/>
      </c>
    </row>
    <row r="60">
      <c r="A60">
        <f>IF($M60="","",INDEX(상세표[사번],$M60)&amp;"")</f>
        <v/>
      </c>
      <c r="B60">
        <f>IF($M60="","",INDEX(상세표[성명],$M60)&amp;"")</f>
        <v/>
      </c>
      <c r="C60">
        <f>IF($M60="","",IF(INDEX(상세표[종료월],$M60)=대상월키,"전월→이번 달","이번 달→익월"))</f>
        <v/>
      </c>
      <c r="D60">
        <f>IF($M60="","",IF(ISNUMBER(INDEX(상세표[시작],$M60)),TEXT(INDEX(상세표[시작],$M60),"yyyy-mm-dd hh:mm"),INDEX(상세표[시작],$M60)&amp;""))</f>
        <v/>
      </c>
      <c r="E60">
        <f>IF($M60="","",IF(ISNUMBER(INDEX(상세표[종료],$M60)),TEXT(INDEX(상세표[종료],$M60),"yyyy-mm-dd hh:mm"),INDEX(상세표[종료],$M60)&amp;""))</f>
        <v/>
      </c>
      <c r="F60" s="20">
        <f>IF($M60="","",INDEX(상세표[기록 시간외],$M60))</f>
        <v/>
      </c>
      <c r="G60">
        <f>IF($M60="","",INDEX(상세표[시작월 기관],$M60)&amp;"")</f>
        <v/>
      </c>
      <c r="H60">
        <f>IF($M60="","",INDEX(상세표[종료월 기관],$M60)&amp;"")</f>
        <v/>
      </c>
      <c r="I60">
        <f>IF($M60="","",INDEX(상세표[월경계 판정],$M60)&amp;"")</f>
        <v/>
      </c>
      <c r="J60">
        <f>IF($M60="","",INDEX(상세표[반영월],$M60)&amp;"")</f>
        <v/>
      </c>
      <c r="K60">
        <f>IF($M60="","",INDEX(상세표[반영 기관],$M60)&amp;"")</f>
        <v/>
      </c>
      <c r="L60">
        <f>IF($M60="","",INDEX(상세표[기관 출처],$M60)&amp;"")</f>
        <v/>
      </c>
      <c r="M60" s="4">
        <f>IFERROR(MATCH(55,상세표[경계순번],0),"")</f>
        <v/>
      </c>
    </row>
    <row r="61">
      <c r="A61">
        <f>IF($M61="","",INDEX(상세표[사번],$M61)&amp;"")</f>
        <v/>
      </c>
      <c r="B61">
        <f>IF($M61="","",INDEX(상세표[성명],$M61)&amp;"")</f>
        <v/>
      </c>
      <c r="C61">
        <f>IF($M61="","",IF(INDEX(상세표[종료월],$M61)=대상월키,"전월→이번 달","이번 달→익월"))</f>
        <v/>
      </c>
      <c r="D61">
        <f>IF($M61="","",IF(ISNUMBER(INDEX(상세표[시작],$M61)),TEXT(INDEX(상세표[시작],$M61),"yyyy-mm-dd hh:mm"),INDEX(상세표[시작],$M61)&amp;""))</f>
        <v/>
      </c>
      <c r="E61">
        <f>IF($M61="","",IF(ISNUMBER(INDEX(상세표[종료],$M61)),TEXT(INDEX(상세표[종료],$M61),"yyyy-mm-dd hh:mm"),INDEX(상세표[종료],$M61)&amp;""))</f>
        <v/>
      </c>
      <c r="F61" s="20">
        <f>IF($M61="","",INDEX(상세표[기록 시간외],$M61))</f>
        <v/>
      </c>
      <c r="G61">
        <f>IF($M61="","",INDEX(상세표[시작월 기관],$M61)&amp;"")</f>
        <v/>
      </c>
      <c r="H61">
        <f>IF($M61="","",INDEX(상세표[종료월 기관],$M61)&amp;"")</f>
        <v/>
      </c>
      <c r="I61">
        <f>IF($M61="","",INDEX(상세표[월경계 판정],$M61)&amp;"")</f>
        <v/>
      </c>
      <c r="J61">
        <f>IF($M61="","",INDEX(상세표[반영월],$M61)&amp;"")</f>
        <v/>
      </c>
      <c r="K61">
        <f>IF($M61="","",INDEX(상세표[반영 기관],$M61)&amp;"")</f>
        <v/>
      </c>
      <c r="L61">
        <f>IF($M61="","",INDEX(상세표[기관 출처],$M61)&amp;"")</f>
        <v/>
      </c>
      <c r="M61" s="4">
        <f>IFERROR(MATCH(56,상세표[경계순번],0),"")</f>
        <v/>
      </c>
    </row>
    <row r="62">
      <c r="A62">
        <f>IF($M62="","",INDEX(상세표[사번],$M62)&amp;"")</f>
        <v/>
      </c>
      <c r="B62">
        <f>IF($M62="","",INDEX(상세표[성명],$M62)&amp;"")</f>
        <v/>
      </c>
      <c r="C62">
        <f>IF($M62="","",IF(INDEX(상세표[종료월],$M62)=대상월키,"전월→이번 달","이번 달→익월"))</f>
        <v/>
      </c>
      <c r="D62">
        <f>IF($M62="","",IF(ISNUMBER(INDEX(상세표[시작],$M62)),TEXT(INDEX(상세표[시작],$M62),"yyyy-mm-dd hh:mm"),INDEX(상세표[시작],$M62)&amp;""))</f>
        <v/>
      </c>
      <c r="E62">
        <f>IF($M62="","",IF(ISNUMBER(INDEX(상세표[종료],$M62)),TEXT(INDEX(상세표[종료],$M62),"yyyy-mm-dd hh:mm"),INDEX(상세표[종료],$M62)&amp;""))</f>
        <v/>
      </c>
      <c r="F62" s="20">
        <f>IF($M62="","",INDEX(상세표[기록 시간외],$M62))</f>
        <v/>
      </c>
      <c r="G62">
        <f>IF($M62="","",INDEX(상세표[시작월 기관],$M62)&amp;"")</f>
        <v/>
      </c>
      <c r="H62">
        <f>IF($M62="","",INDEX(상세표[종료월 기관],$M62)&amp;"")</f>
        <v/>
      </c>
      <c r="I62">
        <f>IF($M62="","",INDEX(상세표[월경계 판정],$M62)&amp;"")</f>
        <v/>
      </c>
      <c r="J62">
        <f>IF($M62="","",INDEX(상세표[반영월],$M62)&amp;"")</f>
        <v/>
      </c>
      <c r="K62">
        <f>IF($M62="","",INDEX(상세표[반영 기관],$M62)&amp;"")</f>
        <v/>
      </c>
      <c r="L62">
        <f>IF($M62="","",INDEX(상세표[기관 출처],$M62)&amp;"")</f>
        <v/>
      </c>
      <c r="M62" s="4">
        <f>IFERROR(MATCH(57,상세표[경계순번],0),"")</f>
        <v/>
      </c>
    </row>
    <row r="63">
      <c r="A63">
        <f>IF($M63="","",INDEX(상세표[사번],$M63)&amp;"")</f>
        <v/>
      </c>
      <c r="B63">
        <f>IF($M63="","",INDEX(상세표[성명],$M63)&amp;"")</f>
        <v/>
      </c>
      <c r="C63">
        <f>IF($M63="","",IF(INDEX(상세표[종료월],$M63)=대상월키,"전월→이번 달","이번 달→익월"))</f>
        <v/>
      </c>
      <c r="D63">
        <f>IF($M63="","",IF(ISNUMBER(INDEX(상세표[시작],$M63)),TEXT(INDEX(상세표[시작],$M63),"yyyy-mm-dd hh:mm"),INDEX(상세표[시작],$M63)&amp;""))</f>
        <v/>
      </c>
      <c r="E63">
        <f>IF($M63="","",IF(ISNUMBER(INDEX(상세표[종료],$M63)),TEXT(INDEX(상세표[종료],$M63),"yyyy-mm-dd hh:mm"),INDEX(상세표[종료],$M63)&amp;""))</f>
        <v/>
      </c>
      <c r="F63" s="20">
        <f>IF($M63="","",INDEX(상세표[기록 시간외],$M63))</f>
        <v/>
      </c>
      <c r="G63">
        <f>IF($M63="","",INDEX(상세표[시작월 기관],$M63)&amp;"")</f>
        <v/>
      </c>
      <c r="H63">
        <f>IF($M63="","",INDEX(상세표[종료월 기관],$M63)&amp;"")</f>
        <v/>
      </c>
      <c r="I63">
        <f>IF($M63="","",INDEX(상세표[월경계 판정],$M63)&amp;"")</f>
        <v/>
      </c>
      <c r="J63">
        <f>IF($M63="","",INDEX(상세표[반영월],$M63)&amp;"")</f>
        <v/>
      </c>
      <c r="K63">
        <f>IF($M63="","",INDEX(상세표[반영 기관],$M63)&amp;"")</f>
        <v/>
      </c>
      <c r="L63">
        <f>IF($M63="","",INDEX(상세표[기관 출처],$M63)&amp;"")</f>
        <v/>
      </c>
      <c r="M63" s="4">
        <f>IFERROR(MATCH(58,상세표[경계순번],0),"")</f>
        <v/>
      </c>
    </row>
    <row r="64">
      <c r="A64">
        <f>IF($M64="","",INDEX(상세표[사번],$M64)&amp;"")</f>
        <v/>
      </c>
      <c r="B64">
        <f>IF($M64="","",INDEX(상세표[성명],$M64)&amp;"")</f>
        <v/>
      </c>
      <c r="C64">
        <f>IF($M64="","",IF(INDEX(상세표[종료월],$M64)=대상월키,"전월→이번 달","이번 달→익월"))</f>
        <v/>
      </c>
      <c r="D64">
        <f>IF($M64="","",IF(ISNUMBER(INDEX(상세표[시작],$M64)),TEXT(INDEX(상세표[시작],$M64),"yyyy-mm-dd hh:mm"),INDEX(상세표[시작],$M64)&amp;""))</f>
        <v/>
      </c>
      <c r="E64">
        <f>IF($M64="","",IF(ISNUMBER(INDEX(상세표[종료],$M64)),TEXT(INDEX(상세표[종료],$M64),"yyyy-mm-dd hh:mm"),INDEX(상세표[종료],$M64)&amp;""))</f>
        <v/>
      </c>
      <c r="F64" s="20">
        <f>IF($M64="","",INDEX(상세표[기록 시간외],$M64))</f>
        <v/>
      </c>
      <c r="G64">
        <f>IF($M64="","",INDEX(상세표[시작월 기관],$M64)&amp;"")</f>
        <v/>
      </c>
      <c r="H64">
        <f>IF($M64="","",INDEX(상세표[종료월 기관],$M64)&amp;"")</f>
        <v/>
      </c>
      <c r="I64">
        <f>IF($M64="","",INDEX(상세표[월경계 판정],$M64)&amp;"")</f>
        <v/>
      </c>
      <c r="J64">
        <f>IF($M64="","",INDEX(상세표[반영월],$M64)&amp;"")</f>
        <v/>
      </c>
      <c r="K64">
        <f>IF($M64="","",INDEX(상세표[반영 기관],$M64)&amp;"")</f>
        <v/>
      </c>
      <c r="L64">
        <f>IF($M64="","",INDEX(상세표[기관 출처],$M64)&amp;"")</f>
        <v/>
      </c>
      <c r="M64" s="4">
        <f>IFERROR(MATCH(59,상세표[경계순번],0),"")</f>
        <v/>
      </c>
    </row>
    <row r="65">
      <c r="A65">
        <f>IF($M65="","",INDEX(상세표[사번],$M65)&amp;"")</f>
        <v/>
      </c>
      <c r="B65">
        <f>IF($M65="","",INDEX(상세표[성명],$M65)&amp;"")</f>
        <v/>
      </c>
      <c r="C65">
        <f>IF($M65="","",IF(INDEX(상세표[종료월],$M65)=대상월키,"전월→이번 달","이번 달→익월"))</f>
        <v/>
      </c>
      <c r="D65">
        <f>IF($M65="","",IF(ISNUMBER(INDEX(상세표[시작],$M65)),TEXT(INDEX(상세표[시작],$M65),"yyyy-mm-dd hh:mm"),INDEX(상세표[시작],$M65)&amp;""))</f>
        <v/>
      </c>
      <c r="E65">
        <f>IF($M65="","",IF(ISNUMBER(INDEX(상세표[종료],$M65)),TEXT(INDEX(상세표[종료],$M65),"yyyy-mm-dd hh:mm"),INDEX(상세표[종료],$M65)&amp;""))</f>
        <v/>
      </c>
      <c r="F65" s="20">
        <f>IF($M65="","",INDEX(상세표[기록 시간외],$M65))</f>
        <v/>
      </c>
      <c r="G65">
        <f>IF($M65="","",INDEX(상세표[시작월 기관],$M65)&amp;"")</f>
        <v/>
      </c>
      <c r="H65">
        <f>IF($M65="","",INDEX(상세표[종료월 기관],$M65)&amp;"")</f>
        <v/>
      </c>
      <c r="I65">
        <f>IF($M65="","",INDEX(상세표[월경계 판정],$M65)&amp;"")</f>
        <v/>
      </c>
      <c r="J65">
        <f>IF($M65="","",INDEX(상세표[반영월],$M65)&amp;"")</f>
        <v/>
      </c>
      <c r="K65">
        <f>IF($M65="","",INDEX(상세표[반영 기관],$M65)&amp;"")</f>
        <v/>
      </c>
      <c r="L65">
        <f>IF($M65="","",INDEX(상세표[기관 출처],$M65)&amp;"")</f>
        <v/>
      </c>
      <c r="M65" s="4">
        <f>IFERROR(MATCH(60,상세표[경계순번],0),"")</f>
        <v/>
      </c>
    </row>
    <row r="66">
      <c r="A66">
        <f>IF($M66="","",INDEX(상세표[사번],$M66)&amp;"")</f>
        <v/>
      </c>
      <c r="B66">
        <f>IF($M66="","",INDEX(상세표[성명],$M66)&amp;"")</f>
        <v/>
      </c>
      <c r="C66">
        <f>IF($M66="","",IF(INDEX(상세표[종료월],$M66)=대상월키,"전월→이번 달","이번 달→익월"))</f>
        <v/>
      </c>
      <c r="D66">
        <f>IF($M66="","",IF(ISNUMBER(INDEX(상세표[시작],$M66)),TEXT(INDEX(상세표[시작],$M66),"yyyy-mm-dd hh:mm"),INDEX(상세표[시작],$M66)&amp;""))</f>
        <v/>
      </c>
      <c r="E66">
        <f>IF($M66="","",IF(ISNUMBER(INDEX(상세표[종료],$M66)),TEXT(INDEX(상세표[종료],$M66),"yyyy-mm-dd hh:mm"),INDEX(상세표[종료],$M66)&amp;""))</f>
        <v/>
      </c>
      <c r="F66" s="20">
        <f>IF($M66="","",INDEX(상세표[기록 시간외],$M66))</f>
        <v/>
      </c>
      <c r="G66">
        <f>IF($M66="","",INDEX(상세표[시작월 기관],$M66)&amp;"")</f>
        <v/>
      </c>
      <c r="H66">
        <f>IF($M66="","",INDEX(상세표[종료월 기관],$M66)&amp;"")</f>
        <v/>
      </c>
      <c r="I66">
        <f>IF($M66="","",INDEX(상세표[월경계 판정],$M66)&amp;"")</f>
        <v/>
      </c>
      <c r="J66">
        <f>IF($M66="","",INDEX(상세표[반영월],$M66)&amp;"")</f>
        <v/>
      </c>
      <c r="K66">
        <f>IF($M66="","",INDEX(상세표[반영 기관],$M66)&amp;"")</f>
        <v/>
      </c>
      <c r="L66">
        <f>IF($M66="","",INDEX(상세표[기관 출처],$M66)&amp;"")</f>
        <v/>
      </c>
      <c r="M66" s="4">
        <f>IFERROR(MATCH(61,상세표[경계순번],0),"")</f>
        <v/>
      </c>
    </row>
    <row r="67">
      <c r="A67">
        <f>IF($M67="","",INDEX(상세표[사번],$M67)&amp;"")</f>
        <v/>
      </c>
      <c r="B67">
        <f>IF($M67="","",INDEX(상세표[성명],$M67)&amp;"")</f>
        <v/>
      </c>
      <c r="C67">
        <f>IF($M67="","",IF(INDEX(상세표[종료월],$M67)=대상월키,"전월→이번 달","이번 달→익월"))</f>
        <v/>
      </c>
      <c r="D67">
        <f>IF($M67="","",IF(ISNUMBER(INDEX(상세표[시작],$M67)),TEXT(INDEX(상세표[시작],$M67),"yyyy-mm-dd hh:mm"),INDEX(상세표[시작],$M67)&amp;""))</f>
        <v/>
      </c>
      <c r="E67">
        <f>IF($M67="","",IF(ISNUMBER(INDEX(상세표[종료],$M67)),TEXT(INDEX(상세표[종료],$M67),"yyyy-mm-dd hh:mm"),INDEX(상세표[종료],$M67)&amp;""))</f>
        <v/>
      </c>
      <c r="F67" s="20">
        <f>IF($M67="","",INDEX(상세표[기록 시간외],$M67))</f>
        <v/>
      </c>
      <c r="G67">
        <f>IF($M67="","",INDEX(상세표[시작월 기관],$M67)&amp;"")</f>
        <v/>
      </c>
      <c r="H67">
        <f>IF($M67="","",INDEX(상세표[종료월 기관],$M67)&amp;"")</f>
        <v/>
      </c>
      <c r="I67">
        <f>IF($M67="","",INDEX(상세표[월경계 판정],$M67)&amp;"")</f>
        <v/>
      </c>
      <c r="J67">
        <f>IF($M67="","",INDEX(상세표[반영월],$M67)&amp;"")</f>
        <v/>
      </c>
      <c r="K67">
        <f>IF($M67="","",INDEX(상세표[반영 기관],$M67)&amp;"")</f>
        <v/>
      </c>
      <c r="L67">
        <f>IF($M67="","",INDEX(상세표[기관 출처],$M67)&amp;"")</f>
        <v/>
      </c>
      <c r="M67" s="4">
        <f>IFERROR(MATCH(62,상세표[경계순번],0),"")</f>
        <v/>
      </c>
    </row>
    <row r="68">
      <c r="A68">
        <f>IF($M68="","",INDEX(상세표[사번],$M68)&amp;"")</f>
        <v/>
      </c>
      <c r="B68">
        <f>IF($M68="","",INDEX(상세표[성명],$M68)&amp;"")</f>
        <v/>
      </c>
      <c r="C68">
        <f>IF($M68="","",IF(INDEX(상세표[종료월],$M68)=대상월키,"전월→이번 달","이번 달→익월"))</f>
        <v/>
      </c>
      <c r="D68">
        <f>IF($M68="","",IF(ISNUMBER(INDEX(상세표[시작],$M68)),TEXT(INDEX(상세표[시작],$M68),"yyyy-mm-dd hh:mm"),INDEX(상세표[시작],$M68)&amp;""))</f>
        <v/>
      </c>
      <c r="E68">
        <f>IF($M68="","",IF(ISNUMBER(INDEX(상세표[종료],$M68)),TEXT(INDEX(상세표[종료],$M68),"yyyy-mm-dd hh:mm"),INDEX(상세표[종료],$M68)&amp;""))</f>
        <v/>
      </c>
      <c r="F68" s="20">
        <f>IF($M68="","",INDEX(상세표[기록 시간외],$M68))</f>
        <v/>
      </c>
      <c r="G68">
        <f>IF($M68="","",INDEX(상세표[시작월 기관],$M68)&amp;"")</f>
        <v/>
      </c>
      <c r="H68">
        <f>IF($M68="","",INDEX(상세표[종료월 기관],$M68)&amp;"")</f>
        <v/>
      </c>
      <c r="I68">
        <f>IF($M68="","",INDEX(상세표[월경계 판정],$M68)&amp;"")</f>
        <v/>
      </c>
      <c r="J68">
        <f>IF($M68="","",INDEX(상세표[반영월],$M68)&amp;"")</f>
        <v/>
      </c>
      <c r="K68">
        <f>IF($M68="","",INDEX(상세표[반영 기관],$M68)&amp;"")</f>
        <v/>
      </c>
      <c r="L68">
        <f>IF($M68="","",INDEX(상세표[기관 출처],$M68)&amp;"")</f>
        <v/>
      </c>
      <c r="M68" s="4">
        <f>IFERROR(MATCH(63,상세표[경계순번],0),"")</f>
        <v/>
      </c>
    </row>
    <row r="69">
      <c r="A69">
        <f>IF($M69="","",INDEX(상세표[사번],$M69)&amp;"")</f>
        <v/>
      </c>
      <c r="B69">
        <f>IF($M69="","",INDEX(상세표[성명],$M69)&amp;"")</f>
        <v/>
      </c>
      <c r="C69">
        <f>IF($M69="","",IF(INDEX(상세표[종료월],$M69)=대상월키,"전월→이번 달","이번 달→익월"))</f>
        <v/>
      </c>
      <c r="D69">
        <f>IF($M69="","",IF(ISNUMBER(INDEX(상세표[시작],$M69)),TEXT(INDEX(상세표[시작],$M69),"yyyy-mm-dd hh:mm"),INDEX(상세표[시작],$M69)&amp;""))</f>
        <v/>
      </c>
      <c r="E69">
        <f>IF($M69="","",IF(ISNUMBER(INDEX(상세표[종료],$M69)),TEXT(INDEX(상세표[종료],$M69),"yyyy-mm-dd hh:mm"),INDEX(상세표[종료],$M69)&amp;""))</f>
        <v/>
      </c>
      <c r="F69" s="20">
        <f>IF($M69="","",INDEX(상세표[기록 시간외],$M69))</f>
        <v/>
      </c>
      <c r="G69">
        <f>IF($M69="","",INDEX(상세표[시작월 기관],$M69)&amp;"")</f>
        <v/>
      </c>
      <c r="H69">
        <f>IF($M69="","",INDEX(상세표[종료월 기관],$M69)&amp;"")</f>
        <v/>
      </c>
      <c r="I69">
        <f>IF($M69="","",INDEX(상세표[월경계 판정],$M69)&amp;"")</f>
        <v/>
      </c>
      <c r="J69">
        <f>IF($M69="","",INDEX(상세표[반영월],$M69)&amp;"")</f>
        <v/>
      </c>
      <c r="K69">
        <f>IF($M69="","",INDEX(상세표[반영 기관],$M69)&amp;"")</f>
        <v/>
      </c>
      <c r="L69">
        <f>IF($M69="","",INDEX(상세표[기관 출처],$M69)&amp;"")</f>
        <v/>
      </c>
      <c r="M69" s="4">
        <f>IFERROR(MATCH(64,상세표[경계순번],0),"")</f>
        <v/>
      </c>
    </row>
    <row r="70">
      <c r="A70">
        <f>IF($M70="","",INDEX(상세표[사번],$M70)&amp;"")</f>
        <v/>
      </c>
      <c r="B70">
        <f>IF($M70="","",INDEX(상세표[성명],$M70)&amp;"")</f>
        <v/>
      </c>
      <c r="C70">
        <f>IF($M70="","",IF(INDEX(상세표[종료월],$M70)=대상월키,"전월→이번 달","이번 달→익월"))</f>
        <v/>
      </c>
      <c r="D70">
        <f>IF($M70="","",IF(ISNUMBER(INDEX(상세표[시작],$M70)),TEXT(INDEX(상세표[시작],$M70),"yyyy-mm-dd hh:mm"),INDEX(상세표[시작],$M70)&amp;""))</f>
        <v/>
      </c>
      <c r="E70">
        <f>IF($M70="","",IF(ISNUMBER(INDEX(상세표[종료],$M70)),TEXT(INDEX(상세표[종료],$M70),"yyyy-mm-dd hh:mm"),INDEX(상세표[종료],$M70)&amp;""))</f>
        <v/>
      </c>
      <c r="F70" s="20">
        <f>IF($M70="","",INDEX(상세표[기록 시간외],$M70))</f>
        <v/>
      </c>
      <c r="G70">
        <f>IF($M70="","",INDEX(상세표[시작월 기관],$M70)&amp;"")</f>
        <v/>
      </c>
      <c r="H70">
        <f>IF($M70="","",INDEX(상세표[종료월 기관],$M70)&amp;"")</f>
        <v/>
      </c>
      <c r="I70">
        <f>IF($M70="","",INDEX(상세표[월경계 판정],$M70)&amp;"")</f>
        <v/>
      </c>
      <c r="J70">
        <f>IF($M70="","",INDEX(상세표[반영월],$M70)&amp;"")</f>
        <v/>
      </c>
      <c r="K70">
        <f>IF($M70="","",INDEX(상세표[반영 기관],$M70)&amp;"")</f>
        <v/>
      </c>
      <c r="L70">
        <f>IF($M70="","",INDEX(상세표[기관 출처],$M70)&amp;"")</f>
        <v/>
      </c>
      <c r="M70" s="4">
        <f>IFERROR(MATCH(65,상세표[경계순번],0),"")</f>
        <v/>
      </c>
    </row>
    <row r="71">
      <c r="A71">
        <f>IF($M71="","",INDEX(상세표[사번],$M71)&amp;"")</f>
        <v/>
      </c>
      <c r="B71">
        <f>IF($M71="","",INDEX(상세표[성명],$M71)&amp;"")</f>
        <v/>
      </c>
      <c r="C71">
        <f>IF($M71="","",IF(INDEX(상세표[종료월],$M71)=대상월키,"전월→이번 달","이번 달→익월"))</f>
        <v/>
      </c>
      <c r="D71">
        <f>IF($M71="","",IF(ISNUMBER(INDEX(상세표[시작],$M71)),TEXT(INDEX(상세표[시작],$M71),"yyyy-mm-dd hh:mm"),INDEX(상세표[시작],$M71)&amp;""))</f>
        <v/>
      </c>
      <c r="E71">
        <f>IF($M71="","",IF(ISNUMBER(INDEX(상세표[종료],$M71)),TEXT(INDEX(상세표[종료],$M71),"yyyy-mm-dd hh:mm"),INDEX(상세표[종료],$M71)&amp;""))</f>
        <v/>
      </c>
      <c r="F71" s="20">
        <f>IF($M71="","",INDEX(상세표[기록 시간외],$M71))</f>
        <v/>
      </c>
      <c r="G71">
        <f>IF($M71="","",INDEX(상세표[시작월 기관],$M71)&amp;"")</f>
        <v/>
      </c>
      <c r="H71">
        <f>IF($M71="","",INDEX(상세표[종료월 기관],$M71)&amp;"")</f>
        <v/>
      </c>
      <c r="I71">
        <f>IF($M71="","",INDEX(상세표[월경계 판정],$M71)&amp;"")</f>
        <v/>
      </c>
      <c r="J71">
        <f>IF($M71="","",INDEX(상세표[반영월],$M71)&amp;"")</f>
        <v/>
      </c>
      <c r="K71">
        <f>IF($M71="","",INDEX(상세표[반영 기관],$M71)&amp;"")</f>
        <v/>
      </c>
      <c r="L71">
        <f>IF($M71="","",INDEX(상세표[기관 출처],$M71)&amp;"")</f>
        <v/>
      </c>
      <c r="M71" s="4">
        <f>IFERROR(MATCH(66,상세표[경계순번],0),"")</f>
        <v/>
      </c>
    </row>
    <row r="72">
      <c r="A72">
        <f>IF($M72="","",INDEX(상세표[사번],$M72)&amp;"")</f>
        <v/>
      </c>
      <c r="B72">
        <f>IF($M72="","",INDEX(상세표[성명],$M72)&amp;"")</f>
        <v/>
      </c>
      <c r="C72">
        <f>IF($M72="","",IF(INDEX(상세표[종료월],$M72)=대상월키,"전월→이번 달","이번 달→익월"))</f>
        <v/>
      </c>
      <c r="D72">
        <f>IF($M72="","",IF(ISNUMBER(INDEX(상세표[시작],$M72)),TEXT(INDEX(상세표[시작],$M72),"yyyy-mm-dd hh:mm"),INDEX(상세표[시작],$M72)&amp;""))</f>
        <v/>
      </c>
      <c r="E72">
        <f>IF($M72="","",IF(ISNUMBER(INDEX(상세표[종료],$M72)),TEXT(INDEX(상세표[종료],$M72),"yyyy-mm-dd hh:mm"),INDEX(상세표[종료],$M72)&amp;""))</f>
        <v/>
      </c>
      <c r="F72" s="20">
        <f>IF($M72="","",INDEX(상세표[기록 시간외],$M72))</f>
        <v/>
      </c>
      <c r="G72">
        <f>IF($M72="","",INDEX(상세표[시작월 기관],$M72)&amp;"")</f>
        <v/>
      </c>
      <c r="H72">
        <f>IF($M72="","",INDEX(상세표[종료월 기관],$M72)&amp;"")</f>
        <v/>
      </c>
      <c r="I72">
        <f>IF($M72="","",INDEX(상세표[월경계 판정],$M72)&amp;"")</f>
        <v/>
      </c>
      <c r="J72">
        <f>IF($M72="","",INDEX(상세표[반영월],$M72)&amp;"")</f>
        <v/>
      </c>
      <c r="K72">
        <f>IF($M72="","",INDEX(상세표[반영 기관],$M72)&amp;"")</f>
        <v/>
      </c>
      <c r="L72">
        <f>IF($M72="","",INDEX(상세표[기관 출처],$M72)&amp;"")</f>
        <v/>
      </c>
      <c r="M72" s="4">
        <f>IFERROR(MATCH(67,상세표[경계순번],0),"")</f>
        <v/>
      </c>
    </row>
    <row r="73">
      <c r="A73">
        <f>IF($M73="","",INDEX(상세표[사번],$M73)&amp;"")</f>
        <v/>
      </c>
      <c r="B73">
        <f>IF($M73="","",INDEX(상세표[성명],$M73)&amp;"")</f>
        <v/>
      </c>
      <c r="C73">
        <f>IF($M73="","",IF(INDEX(상세표[종료월],$M73)=대상월키,"전월→이번 달","이번 달→익월"))</f>
        <v/>
      </c>
      <c r="D73">
        <f>IF($M73="","",IF(ISNUMBER(INDEX(상세표[시작],$M73)),TEXT(INDEX(상세표[시작],$M73),"yyyy-mm-dd hh:mm"),INDEX(상세표[시작],$M73)&amp;""))</f>
        <v/>
      </c>
      <c r="E73">
        <f>IF($M73="","",IF(ISNUMBER(INDEX(상세표[종료],$M73)),TEXT(INDEX(상세표[종료],$M73),"yyyy-mm-dd hh:mm"),INDEX(상세표[종료],$M73)&amp;""))</f>
        <v/>
      </c>
      <c r="F73" s="20">
        <f>IF($M73="","",INDEX(상세표[기록 시간외],$M73))</f>
        <v/>
      </c>
      <c r="G73">
        <f>IF($M73="","",INDEX(상세표[시작월 기관],$M73)&amp;"")</f>
        <v/>
      </c>
      <c r="H73">
        <f>IF($M73="","",INDEX(상세표[종료월 기관],$M73)&amp;"")</f>
        <v/>
      </c>
      <c r="I73">
        <f>IF($M73="","",INDEX(상세표[월경계 판정],$M73)&amp;"")</f>
        <v/>
      </c>
      <c r="J73">
        <f>IF($M73="","",INDEX(상세표[반영월],$M73)&amp;"")</f>
        <v/>
      </c>
      <c r="K73">
        <f>IF($M73="","",INDEX(상세표[반영 기관],$M73)&amp;"")</f>
        <v/>
      </c>
      <c r="L73">
        <f>IF($M73="","",INDEX(상세표[기관 출처],$M73)&amp;"")</f>
        <v/>
      </c>
      <c r="M73" s="4">
        <f>IFERROR(MATCH(68,상세표[경계순번],0),"")</f>
        <v/>
      </c>
    </row>
    <row r="74">
      <c r="A74">
        <f>IF($M74="","",INDEX(상세표[사번],$M74)&amp;"")</f>
        <v/>
      </c>
      <c r="B74">
        <f>IF($M74="","",INDEX(상세표[성명],$M74)&amp;"")</f>
        <v/>
      </c>
      <c r="C74">
        <f>IF($M74="","",IF(INDEX(상세표[종료월],$M74)=대상월키,"전월→이번 달","이번 달→익월"))</f>
        <v/>
      </c>
      <c r="D74">
        <f>IF($M74="","",IF(ISNUMBER(INDEX(상세표[시작],$M74)),TEXT(INDEX(상세표[시작],$M74),"yyyy-mm-dd hh:mm"),INDEX(상세표[시작],$M74)&amp;""))</f>
        <v/>
      </c>
      <c r="E74">
        <f>IF($M74="","",IF(ISNUMBER(INDEX(상세표[종료],$M74)),TEXT(INDEX(상세표[종료],$M74),"yyyy-mm-dd hh:mm"),INDEX(상세표[종료],$M74)&amp;""))</f>
        <v/>
      </c>
      <c r="F74" s="20">
        <f>IF($M74="","",INDEX(상세표[기록 시간외],$M74))</f>
        <v/>
      </c>
      <c r="G74">
        <f>IF($M74="","",INDEX(상세표[시작월 기관],$M74)&amp;"")</f>
        <v/>
      </c>
      <c r="H74">
        <f>IF($M74="","",INDEX(상세표[종료월 기관],$M74)&amp;"")</f>
        <v/>
      </c>
      <c r="I74">
        <f>IF($M74="","",INDEX(상세표[월경계 판정],$M74)&amp;"")</f>
        <v/>
      </c>
      <c r="J74">
        <f>IF($M74="","",INDEX(상세표[반영월],$M74)&amp;"")</f>
        <v/>
      </c>
      <c r="K74">
        <f>IF($M74="","",INDEX(상세표[반영 기관],$M74)&amp;"")</f>
        <v/>
      </c>
      <c r="L74">
        <f>IF($M74="","",INDEX(상세표[기관 출처],$M74)&amp;"")</f>
        <v/>
      </c>
      <c r="M74" s="4">
        <f>IFERROR(MATCH(69,상세표[경계순번],0),"")</f>
        <v/>
      </c>
    </row>
    <row r="75">
      <c r="A75">
        <f>IF($M75="","",INDEX(상세표[사번],$M75)&amp;"")</f>
        <v/>
      </c>
      <c r="B75">
        <f>IF($M75="","",INDEX(상세표[성명],$M75)&amp;"")</f>
        <v/>
      </c>
      <c r="C75">
        <f>IF($M75="","",IF(INDEX(상세표[종료월],$M75)=대상월키,"전월→이번 달","이번 달→익월"))</f>
        <v/>
      </c>
      <c r="D75">
        <f>IF($M75="","",IF(ISNUMBER(INDEX(상세표[시작],$M75)),TEXT(INDEX(상세표[시작],$M75),"yyyy-mm-dd hh:mm"),INDEX(상세표[시작],$M75)&amp;""))</f>
        <v/>
      </c>
      <c r="E75">
        <f>IF($M75="","",IF(ISNUMBER(INDEX(상세표[종료],$M75)),TEXT(INDEX(상세표[종료],$M75),"yyyy-mm-dd hh:mm"),INDEX(상세표[종료],$M75)&amp;""))</f>
        <v/>
      </c>
      <c r="F75" s="20">
        <f>IF($M75="","",INDEX(상세표[기록 시간외],$M75))</f>
        <v/>
      </c>
      <c r="G75">
        <f>IF($M75="","",INDEX(상세표[시작월 기관],$M75)&amp;"")</f>
        <v/>
      </c>
      <c r="H75">
        <f>IF($M75="","",INDEX(상세표[종료월 기관],$M75)&amp;"")</f>
        <v/>
      </c>
      <c r="I75">
        <f>IF($M75="","",INDEX(상세표[월경계 판정],$M75)&amp;"")</f>
        <v/>
      </c>
      <c r="J75">
        <f>IF($M75="","",INDEX(상세표[반영월],$M75)&amp;"")</f>
        <v/>
      </c>
      <c r="K75">
        <f>IF($M75="","",INDEX(상세표[반영 기관],$M75)&amp;"")</f>
        <v/>
      </c>
      <c r="L75">
        <f>IF($M75="","",INDEX(상세표[기관 출처],$M75)&amp;"")</f>
        <v/>
      </c>
      <c r="M75" s="4">
        <f>IFERROR(MATCH(70,상세표[경계순번],0),"")</f>
        <v/>
      </c>
    </row>
    <row r="76">
      <c r="A76">
        <f>IF($M76="","",INDEX(상세표[사번],$M76)&amp;"")</f>
        <v/>
      </c>
      <c r="B76">
        <f>IF($M76="","",INDEX(상세표[성명],$M76)&amp;"")</f>
        <v/>
      </c>
      <c r="C76">
        <f>IF($M76="","",IF(INDEX(상세표[종료월],$M76)=대상월키,"전월→이번 달","이번 달→익월"))</f>
        <v/>
      </c>
      <c r="D76">
        <f>IF($M76="","",IF(ISNUMBER(INDEX(상세표[시작],$M76)),TEXT(INDEX(상세표[시작],$M76),"yyyy-mm-dd hh:mm"),INDEX(상세표[시작],$M76)&amp;""))</f>
        <v/>
      </c>
      <c r="E76">
        <f>IF($M76="","",IF(ISNUMBER(INDEX(상세표[종료],$M76)),TEXT(INDEX(상세표[종료],$M76),"yyyy-mm-dd hh:mm"),INDEX(상세표[종료],$M76)&amp;""))</f>
        <v/>
      </c>
      <c r="F76" s="20">
        <f>IF($M76="","",INDEX(상세표[기록 시간외],$M76))</f>
        <v/>
      </c>
      <c r="G76">
        <f>IF($M76="","",INDEX(상세표[시작월 기관],$M76)&amp;"")</f>
        <v/>
      </c>
      <c r="H76">
        <f>IF($M76="","",INDEX(상세표[종료월 기관],$M76)&amp;"")</f>
        <v/>
      </c>
      <c r="I76">
        <f>IF($M76="","",INDEX(상세표[월경계 판정],$M76)&amp;"")</f>
        <v/>
      </c>
      <c r="J76">
        <f>IF($M76="","",INDEX(상세표[반영월],$M76)&amp;"")</f>
        <v/>
      </c>
      <c r="K76">
        <f>IF($M76="","",INDEX(상세표[반영 기관],$M76)&amp;"")</f>
        <v/>
      </c>
      <c r="L76">
        <f>IF($M76="","",INDEX(상세표[기관 출처],$M76)&amp;"")</f>
        <v/>
      </c>
      <c r="M76" s="4">
        <f>IFERROR(MATCH(71,상세표[경계순번],0),"")</f>
        <v/>
      </c>
    </row>
    <row r="77">
      <c r="A77">
        <f>IF($M77="","",INDEX(상세표[사번],$M77)&amp;"")</f>
        <v/>
      </c>
      <c r="B77">
        <f>IF($M77="","",INDEX(상세표[성명],$M77)&amp;"")</f>
        <v/>
      </c>
      <c r="C77">
        <f>IF($M77="","",IF(INDEX(상세표[종료월],$M77)=대상월키,"전월→이번 달","이번 달→익월"))</f>
        <v/>
      </c>
      <c r="D77">
        <f>IF($M77="","",IF(ISNUMBER(INDEX(상세표[시작],$M77)),TEXT(INDEX(상세표[시작],$M77),"yyyy-mm-dd hh:mm"),INDEX(상세표[시작],$M77)&amp;""))</f>
        <v/>
      </c>
      <c r="E77">
        <f>IF($M77="","",IF(ISNUMBER(INDEX(상세표[종료],$M77)),TEXT(INDEX(상세표[종료],$M77),"yyyy-mm-dd hh:mm"),INDEX(상세표[종료],$M77)&amp;""))</f>
        <v/>
      </c>
      <c r="F77" s="20">
        <f>IF($M77="","",INDEX(상세표[기록 시간외],$M77))</f>
        <v/>
      </c>
      <c r="G77">
        <f>IF($M77="","",INDEX(상세표[시작월 기관],$M77)&amp;"")</f>
        <v/>
      </c>
      <c r="H77">
        <f>IF($M77="","",INDEX(상세표[종료월 기관],$M77)&amp;"")</f>
        <v/>
      </c>
      <c r="I77">
        <f>IF($M77="","",INDEX(상세표[월경계 판정],$M77)&amp;"")</f>
        <v/>
      </c>
      <c r="J77">
        <f>IF($M77="","",INDEX(상세표[반영월],$M77)&amp;"")</f>
        <v/>
      </c>
      <c r="K77">
        <f>IF($M77="","",INDEX(상세표[반영 기관],$M77)&amp;"")</f>
        <v/>
      </c>
      <c r="L77">
        <f>IF($M77="","",INDEX(상세표[기관 출처],$M77)&amp;"")</f>
        <v/>
      </c>
      <c r="M77" s="4">
        <f>IFERROR(MATCH(72,상세표[경계순번],0),"")</f>
        <v/>
      </c>
    </row>
    <row r="78">
      <c r="A78">
        <f>IF($M78="","",INDEX(상세표[사번],$M78)&amp;"")</f>
        <v/>
      </c>
      <c r="B78">
        <f>IF($M78="","",INDEX(상세표[성명],$M78)&amp;"")</f>
        <v/>
      </c>
      <c r="C78">
        <f>IF($M78="","",IF(INDEX(상세표[종료월],$M78)=대상월키,"전월→이번 달","이번 달→익월"))</f>
        <v/>
      </c>
      <c r="D78">
        <f>IF($M78="","",IF(ISNUMBER(INDEX(상세표[시작],$M78)),TEXT(INDEX(상세표[시작],$M78),"yyyy-mm-dd hh:mm"),INDEX(상세표[시작],$M78)&amp;""))</f>
        <v/>
      </c>
      <c r="E78">
        <f>IF($M78="","",IF(ISNUMBER(INDEX(상세표[종료],$M78)),TEXT(INDEX(상세표[종료],$M78),"yyyy-mm-dd hh:mm"),INDEX(상세표[종료],$M78)&amp;""))</f>
        <v/>
      </c>
      <c r="F78" s="20">
        <f>IF($M78="","",INDEX(상세표[기록 시간외],$M78))</f>
        <v/>
      </c>
      <c r="G78">
        <f>IF($M78="","",INDEX(상세표[시작월 기관],$M78)&amp;"")</f>
        <v/>
      </c>
      <c r="H78">
        <f>IF($M78="","",INDEX(상세표[종료월 기관],$M78)&amp;"")</f>
        <v/>
      </c>
      <c r="I78">
        <f>IF($M78="","",INDEX(상세표[월경계 판정],$M78)&amp;"")</f>
        <v/>
      </c>
      <c r="J78">
        <f>IF($M78="","",INDEX(상세표[반영월],$M78)&amp;"")</f>
        <v/>
      </c>
      <c r="K78">
        <f>IF($M78="","",INDEX(상세표[반영 기관],$M78)&amp;"")</f>
        <v/>
      </c>
      <c r="L78">
        <f>IF($M78="","",INDEX(상세표[기관 출처],$M78)&amp;"")</f>
        <v/>
      </c>
      <c r="M78" s="4">
        <f>IFERROR(MATCH(73,상세표[경계순번],0),"")</f>
        <v/>
      </c>
    </row>
    <row r="79">
      <c r="A79">
        <f>IF($M79="","",INDEX(상세표[사번],$M79)&amp;"")</f>
        <v/>
      </c>
      <c r="B79">
        <f>IF($M79="","",INDEX(상세표[성명],$M79)&amp;"")</f>
        <v/>
      </c>
      <c r="C79">
        <f>IF($M79="","",IF(INDEX(상세표[종료월],$M79)=대상월키,"전월→이번 달","이번 달→익월"))</f>
        <v/>
      </c>
      <c r="D79">
        <f>IF($M79="","",IF(ISNUMBER(INDEX(상세표[시작],$M79)),TEXT(INDEX(상세표[시작],$M79),"yyyy-mm-dd hh:mm"),INDEX(상세표[시작],$M79)&amp;""))</f>
        <v/>
      </c>
      <c r="E79">
        <f>IF($M79="","",IF(ISNUMBER(INDEX(상세표[종료],$M79)),TEXT(INDEX(상세표[종료],$M79),"yyyy-mm-dd hh:mm"),INDEX(상세표[종료],$M79)&amp;""))</f>
        <v/>
      </c>
      <c r="F79" s="20">
        <f>IF($M79="","",INDEX(상세표[기록 시간외],$M79))</f>
        <v/>
      </c>
      <c r="G79">
        <f>IF($M79="","",INDEX(상세표[시작월 기관],$M79)&amp;"")</f>
        <v/>
      </c>
      <c r="H79">
        <f>IF($M79="","",INDEX(상세표[종료월 기관],$M79)&amp;"")</f>
        <v/>
      </c>
      <c r="I79">
        <f>IF($M79="","",INDEX(상세표[월경계 판정],$M79)&amp;"")</f>
        <v/>
      </c>
      <c r="J79">
        <f>IF($M79="","",INDEX(상세표[반영월],$M79)&amp;"")</f>
        <v/>
      </c>
      <c r="K79">
        <f>IF($M79="","",INDEX(상세표[반영 기관],$M79)&amp;"")</f>
        <v/>
      </c>
      <c r="L79">
        <f>IF($M79="","",INDEX(상세표[기관 출처],$M79)&amp;"")</f>
        <v/>
      </c>
      <c r="M79" s="4">
        <f>IFERROR(MATCH(74,상세표[경계순번],0),"")</f>
        <v/>
      </c>
    </row>
    <row r="80">
      <c r="A80">
        <f>IF($M80="","",INDEX(상세표[사번],$M80)&amp;"")</f>
        <v/>
      </c>
      <c r="B80">
        <f>IF($M80="","",INDEX(상세표[성명],$M80)&amp;"")</f>
        <v/>
      </c>
      <c r="C80">
        <f>IF($M80="","",IF(INDEX(상세표[종료월],$M80)=대상월키,"전월→이번 달","이번 달→익월"))</f>
        <v/>
      </c>
      <c r="D80">
        <f>IF($M80="","",IF(ISNUMBER(INDEX(상세표[시작],$M80)),TEXT(INDEX(상세표[시작],$M80),"yyyy-mm-dd hh:mm"),INDEX(상세표[시작],$M80)&amp;""))</f>
        <v/>
      </c>
      <c r="E80">
        <f>IF($M80="","",IF(ISNUMBER(INDEX(상세표[종료],$M80)),TEXT(INDEX(상세표[종료],$M80),"yyyy-mm-dd hh:mm"),INDEX(상세표[종료],$M80)&amp;""))</f>
        <v/>
      </c>
      <c r="F80" s="20">
        <f>IF($M80="","",INDEX(상세표[기록 시간외],$M80))</f>
        <v/>
      </c>
      <c r="G80">
        <f>IF($M80="","",INDEX(상세표[시작월 기관],$M80)&amp;"")</f>
        <v/>
      </c>
      <c r="H80">
        <f>IF($M80="","",INDEX(상세표[종료월 기관],$M80)&amp;"")</f>
        <v/>
      </c>
      <c r="I80">
        <f>IF($M80="","",INDEX(상세표[월경계 판정],$M80)&amp;"")</f>
        <v/>
      </c>
      <c r="J80">
        <f>IF($M80="","",INDEX(상세표[반영월],$M80)&amp;"")</f>
        <v/>
      </c>
      <c r="K80">
        <f>IF($M80="","",INDEX(상세표[반영 기관],$M80)&amp;"")</f>
        <v/>
      </c>
      <c r="L80">
        <f>IF($M80="","",INDEX(상세표[기관 출처],$M80)&amp;"")</f>
        <v/>
      </c>
      <c r="M80" s="4">
        <f>IFERROR(MATCH(75,상세표[경계순번],0),"")</f>
        <v/>
      </c>
    </row>
    <row r="81">
      <c r="A81">
        <f>IF($M81="","",INDEX(상세표[사번],$M81)&amp;"")</f>
        <v/>
      </c>
      <c r="B81">
        <f>IF($M81="","",INDEX(상세표[성명],$M81)&amp;"")</f>
        <v/>
      </c>
      <c r="C81">
        <f>IF($M81="","",IF(INDEX(상세표[종료월],$M81)=대상월키,"전월→이번 달","이번 달→익월"))</f>
        <v/>
      </c>
      <c r="D81">
        <f>IF($M81="","",IF(ISNUMBER(INDEX(상세표[시작],$M81)),TEXT(INDEX(상세표[시작],$M81),"yyyy-mm-dd hh:mm"),INDEX(상세표[시작],$M81)&amp;""))</f>
        <v/>
      </c>
      <c r="E81">
        <f>IF($M81="","",IF(ISNUMBER(INDEX(상세표[종료],$M81)),TEXT(INDEX(상세표[종료],$M81),"yyyy-mm-dd hh:mm"),INDEX(상세표[종료],$M81)&amp;""))</f>
        <v/>
      </c>
      <c r="F81" s="20">
        <f>IF($M81="","",INDEX(상세표[기록 시간외],$M81))</f>
        <v/>
      </c>
      <c r="G81">
        <f>IF($M81="","",INDEX(상세표[시작월 기관],$M81)&amp;"")</f>
        <v/>
      </c>
      <c r="H81">
        <f>IF($M81="","",INDEX(상세표[종료월 기관],$M81)&amp;"")</f>
        <v/>
      </c>
      <c r="I81">
        <f>IF($M81="","",INDEX(상세표[월경계 판정],$M81)&amp;"")</f>
        <v/>
      </c>
      <c r="J81">
        <f>IF($M81="","",INDEX(상세표[반영월],$M81)&amp;"")</f>
        <v/>
      </c>
      <c r="K81">
        <f>IF($M81="","",INDEX(상세표[반영 기관],$M81)&amp;"")</f>
        <v/>
      </c>
      <c r="L81">
        <f>IF($M81="","",INDEX(상세표[기관 출처],$M81)&amp;"")</f>
        <v/>
      </c>
      <c r="M81" s="4">
        <f>IFERROR(MATCH(76,상세표[경계순번],0),"")</f>
        <v/>
      </c>
    </row>
    <row r="82">
      <c r="A82">
        <f>IF($M82="","",INDEX(상세표[사번],$M82)&amp;"")</f>
        <v/>
      </c>
      <c r="B82">
        <f>IF($M82="","",INDEX(상세표[성명],$M82)&amp;"")</f>
        <v/>
      </c>
      <c r="C82">
        <f>IF($M82="","",IF(INDEX(상세표[종료월],$M82)=대상월키,"전월→이번 달","이번 달→익월"))</f>
        <v/>
      </c>
      <c r="D82">
        <f>IF($M82="","",IF(ISNUMBER(INDEX(상세표[시작],$M82)),TEXT(INDEX(상세표[시작],$M82),"yyyy-mm-dd hh:mm"),INDEX(상세표[시작],$M82)&amp;""))</f>
        <v/>
      </c>
      <c r="E82">
        <f>IF($M82="","",IF(ISNUMBER(INDEX(상세표[종료],$M82)),TEXT(INDEX(상세표[종료],$M82),"yyyy-mm-dd hh:mm"),INDEX(상세표[종료],$M82)&amp;""))</f>
        <v/>
      </c>
      <c r="F82" s="20">
        <f>IF($M82="","",INDEX(상세표[기록 시간외],$M82))</f>
        <v/>
      </c>
      <c r="G82">
        <f>IF($M82="","",INDEX(상세표[시작월 기관],$M82)&amp;"")</f>
        <v/>
      </c>
      <c r="H82">
        <f>IF($M82="","",INDEX(상세표[종료월 기관],$M82)&amp;"")</f>
        <v/>
      </c>
      <c r="I82">
        <f>IF($M82="","",INDEX(상세표[월경계 판정],$M82)&amp;"")</f>
        <v/>
      </c>
      <c r="J82">
        <f>IF($M82="","",INDEX(상세표[반영월],$M82)&amp;"")</f>
        <v/>
      </c>
      <c r="K82">
        <f>IF($M82="","",INDEX(상세표[반영 기관],$M82)&amp;"")</f>
        <v/>
      </c>
      <c r="L82">
        <f>IF($M82="","",INDEX(상세표[기관 출처],$M82)&amp;"")</f>
        <v/>
      </c>
      <c r="M82" s="4">
        <f>IFERROR(MATCH(77,상세표[경계순번],0),"")</f>
        <v/>
      </c>
    </row>
    <row r="83">
      <c r="A83">
        <f>IF($M83="","",INDEX(상세표[사번],$M83)&amp;"")</f>
        <v/>
      </c>
      <c r="B83">
        <f>IF($M83="","",INDEX(상세표[성명],$M83)&amp;"")</f>
        <v/>
      </c>
      <c r="C83">
        <f>IF($M83="","",IF(INDEX(상세표[종료월],$M83)=대상월키,"전월→이번 달","이번 달→익월"))</f>
        <v/>
      </c>
      <c r="D83">
        <f>IF($M83="","",IF(ISNUMBER(INDEX(상세표[시작],$M83)),TEXT(INDEX(상세표[시작],$M83),"yyyy-mm-dd hh:mm"),INDEX(상세표[시작],$M83)&amp;""))</f>
        <v/>
      </c>
      <c r="E83">
        <f>IF($M83="","",IF(ISNUMBER(INDEX(상세표[종료],$M83)),TEXT(INDEX(상세표[종료],$M83),"yyyy-mm-dd hh:mm"),INDEX(상세표[종료],$M83)&amp;""))</f>
        <v/>
      </c>
      <c r="F83" s="20">
        <f>IF($M83="","",INDEX(상세표[기록 시간외],$M83))</f>
        <v/>
      </c>
      <c r="G83">
        <f>IF($M83="","",INDEX(상세표[시작월 기관],$M83)&amp;"")</f>
        <v/>
      </c>
      <c r="H83">
        <f>IF($M83="","",INDEX(상세표[종료월 기관],$M83)&amp;"")</f>
        <v/>
      </c>
      <c r="I83">
        <f>IF($M83="","",INDEX(상세표[월경계 판정],$M83)&amp;"")</f>
        <v/>
      </c>
      <c r="J83">
        <f>IF($M83="","",INDEX(상세표[반영월],$M83)&amp;"")</f>
        <v/>
      </c>
      <c r="K83">
        <f>IF($M83="","",INDEX(상세표[반영 기관],$M83)&amp;"")</f>
        <v/>
      </c>
      <c r="L83">
        <f>IF($M83="","",INDEX(상세표[기관 출처],$M83)&amp;"")</f>
        <v/>
      </c>
      <c r="M83" s="4">
        <f>IFERROR(MATCH(78,상세표[경계순번],0),"")</f>
        <v/>
      </c>
    </row>
    <row r="84">
      <c r="A84">
        <f>IF($M84="","",INDEX(상세표[사번],$M84)&amp;"")</f>
        <v/>
      </c>
      <c r="B84">
        <f>IF($M84="","",INDEX(상세표[성명],$M84)&amp;"")</f>
        <v/>
      </c>
      <c r="C84">
        <f>IF($M84="","",IF(INDEX(상세표[종료월],$M84)=대상월키,"전월→이번 달","이번 달→익월"))</f>
        <v/>
      </c>
      <c r="D84">
        <f>IF($M84="","",IF(ISNUMBER(INDEX(상세표[시작],$M84)),TEXT(INDEX(상세표[시작],$M84),"yyyy-mm-dd hh:mm"),INDEX(상세표[시작],$M84)&amp;""))</f>
        <v/>
      </c>
      <c r="E84">
        <f>IF($M84="","",IF(ISNUMBER(INDEX(상세표[종료],$M84)),TEXT(INDEX(상세표[종료],$M84),"yyyy-mm-dd hh:mm"),INDEX(상세표[종료],$M84)&amp;""))</f>
        <v/>
      </c>
      <c r="F84" s="20">
        <f>IF($M84="","",INDEX(상세표[기록 시간외],$M84))</f>
        <v/>
      </c>
      <c r="G84">
        <f>IF($M84="","",INDEX(상세표[시작월 기관],$M84)&amp;"")</f>
        <v/>
      </c>
      <c r="H84">
        <f>IF($M84="","",INDEX(상세표[종료월 기관],$M84)&amp;"")</f>
        <v/>
      </c>
      <c r="I84">
        <f>IF($M84="","",INDEX(상세표[월경계 판정],$M84)&amp;"")</f>
        <v/>
      </c>
      <c r="J84">
        <f>IF($M84="","",INDEX(상세표[반영월],$M84)&amp;"")</f>
        <v/>
      </c>
      <c r="K84">
        <f>IF($M84="","",INDEX(상세표[반영 기관],$M84)&amp;"")</f>
        <v/>
      </c>
      <c r="L84">
        <f>IF($M84="","",INDEX(상세표[기관 출처],$M84)&amp;"")</f>
        <v/>
      </c>
      <c r="M84" s="4">
        <f>IFERROR(MATCH(79,상세표[경계순번],0),"")</f>
        <v/>
      </c>
    </row>
    <row r="85">
      <c r="A85">
        <f>IF($M85="","",INDEX(상세표[사번],$M85)&amp;"")</f>
        <v/>
      </c>
      <c r="B85">
        <f>IF($M85="","",INDEX(상세표[성명],$M85)&amp;"")</f>
        <v/>
      </c>
      <c r="C85">
        <f>IF($M85="","",IF(INDEX(상세표[종료월],$M85)=대상월키,"전월→이번 달","이번 달→익월"))</f>
        <v/>
      </c>
      <c r="D85">
        <f>IF($M85="","",IF(ISNUMBER(INDEX(상세표[시작],$M85)),TEXT(INDEX(상세표[시작],$M85),"yyyy-mm-dd hh:mm"),INDEX(상세표[시작],$M85)&amp;""))</f>
        <v/>
      </c>
      <c r="E85">
        <f>IF($M85="","",IF(ISNUMBER(INDEX(상세표[종료],$M85)),TEXT(INDEX(상세표[종료],$M85),"yyyy-mm-dd hh:mm"),INDEX(상세표[종료],$M85)&amp;""))</f>
        <v/>
      </c>
      <c r="F85" s="20">
        <f>IF($M85="","",INDEX(상세표[기록 시간외],$M85))</f>
        <v/>
      </c>
      <c r="G85">
        <f>IF($M85="","",INDEX(상세표[시작월 기관],$M85)&amp;"")</f>
        <v/>
      </c>
      <c r="H85">
        <f>IF($M85="","",INDEX(상세표[종료월 기관],$M85)&amp;"")</f>
        <v/>
      </c>
      <c r="I85">
        <f>IF($M85="","",INDEX(상세표[월경계 판정],$M85)&amp;"")</f>
        <v/>
      </c>
      <c r="J85">
        <f>IF($M85="","",INDEX(상세표[반영월],$M85)&amp;"")</f>
        <v/>
      </c>
      <c r="K85">
        <f>IF($M85="","",INDEX(상세표[반영 기관],$M85)&amp;"")</f>
        <v/>
      </c>
      <c r="L85">
        <f>IF($M85="","",INDEX(상세표[기관 출처],$M85)&amp;"")</f>
        <v/>
      </c>
      <c r="M85" s="4">
        <f>IFERROR(MATCH(80,상세표[경계순번],0),"")</f>
        <v/>
      </c>
    </row>
    <row r="86">
      <c r="A86">
        <f>IF($M86="","",INDEX(상세표[사번],$M86)&amp;"")</f>
        <v/>
      </c>
      <c r="B86">
        <f>IF($M86="","",INDEX(상세표[성명],$M86)&amp;"")</f>
        <v/>
      </c>
      <c r="C86">
        <f>IF($M86="","",IF(INDEX(상세표[종료월],$M86)=대상월키,"전월→이번 달","이번 달→익월"))</f>
        <v/>
      </c>
      <c r="D86">
        <f>IF($M86="","",IF(ISNUMBER(INDEX(상세표[시작],$M86)),TEXT(INDEX(상세표[시작],$M86),"yyyy-mm-dd hh:mm"),INDEX(상세표[시작],$M86)&amp;""))</f>
        <v/>
      </c>
      <c r="E86">
        <f>IF($M86="","",IF(ISNUMBER(INDEX(상세표[종료],$M86)),TEXT(INDEX(상세표[종료],$M86),"yyyy-mm-dd hh:mm"),INDEX(상세표[종료],$M86)&amp;""))</f>
        <v/>
      </c>
      <c r="F86" s="20">
        <f>IF($M86="","",INDEX(상세표[기록 시간외],$M86))</f>
        <v/>
      </c>
      <c r="G86">
        <f>IF($M86="","",INDEX(상세표[시작월 기관],$M86)&amp;"")</f>
        <v/>
      </c>
      <c r="H86">
        <f>IF($M86="","",INDEX(상세표[종료월 기관],$M86)&amp;"")</f>
        <v/>
      </c>
      <c r="I86">
        <f>IF($M86="","",INDEX(상세표[월경계 판정],$M86)&amp;"")</f>
        <v/>
      </c>
      <c r="J86">
        <f>IF($M86="","",INDEX(상세표[반영월],$M86)&amp;"")</f>
        <v/>
      </c>
      <c r="K86">
        <f>IF($M86="","",INDEX(상세표[반영 기관],$M86)&amp;"")</f>
        <v/>
      </c>
      <c r="L86">
        <f>IF($M86="","",INDEX(상세표[기관 출처],$M86)&amp;"")</f>
        <v/>
      </c>
      <c r="M86" s="4">
        <f>IFERROR(MATCH(81,상세표[경계순번],0),"")</f>
        <v/>
      </c>
    </row>
    <row r="87">
      <c r="A87">
        <f>IF($M87="","",INDEX(상세표[사번],$M87)&amp;"")</f>
        <v/>
      </c>
      <c r="B87">
        <f>IF($M87="","",INDEX(상세표[성명],$M87)&amp;"")</f>
        <v/>
      </c>
      <c r="C87">
        <f>IF($M87="","",IF(INDEX(상세표[종료월],$M87)=대상월키,"전월→이번 달","이번 달→익월"))</f>
        <v/>
      </c>
      <c r="D87">
        <f>IF($M87="","",IF(ISNUMBER(INDEX(상세표[시작],$M87)),TEXT(INDEX(상세표[시작],$M87),"yyyy-mm-dd hh:mm"),INDEX(상세표[시작],$M87)&amp;""))</f>
        <v/>
      </c>
      <c r="E87">
        <f>IF($M87="","",IF(ISNUMBER(INDEX(상세표[종료],$M87)),TEXT(INDEX(상세표[종료],$M87),"yyyy-mm-dd hh:mm"),INDEX(상세표[종료],$M87)&amp;""))</f>
        <v/>
      </c>
      <c r="F87" s="20">
        <f>IF($M87="","",INDEX(상세표[기록 시간외],$M87))</f>
        <v/>
      </c>
      <c r="G87">
        <f>IF($M87="","",INDEX(상세표[시작월 기관],$M87)&amp;"")</f>
        <v/>
      </c>
      <c r="H87">
        <f>IF($M87="","",INDEX(상세표[종료월 기관],$M87)&amp;"")</f>
        <v/>
      </c>
      <c r="I87">
        <f>IF($M87="","",INDEX(상세표[월경계 판정],$M87)&amp;"")</f>
        <v/>
      </c>
      <c r="J87">
        <f>IF($M87="","",INDEX(상세표[반영월],$M87)&amp;"")</f>
        <v/>
      </c>
      <c r="K87">
        <f>IF($M87="","",INDEX(상세표[반영 기관],$M87)&amp;"")</f>
        <v/>
      </c>
      <c r="L87">
        <f>IF($M87="","",INDEX(상세표[기관 출처],$M87)&amp;"")</f>
        <v/>
      </c>
      <c r="M87" s="4">
        <f>IFERROR(MATCH(82,상세표[경계순번],0),"")</f>
        <v/>
      </c>
    </row>
    <row r="88">
      <c r="A88">
        <f>IF($M88="","",INDEX(상세표[사번],$M88)&amp;"")</f>
        <v/>
      </c>
      <c r="B88">
        <f>IF($M88="","",INDEX(상세표[성명],$M88)&amp;"")</f>
        <v/>
      </c>
      <c r="C88">
        <f>IF($M88="","",IF(INDEX(상세표[종료월],$M88)=대상월키,"전월→이번 달","이번 달→익월"))</f>
        <v/>
      </c>
      <c r="D88">
        <f>IF($M88="","",IF(ISNUMBER(INDEX(상세표[시작],$M88)),TEXT(INDEX(상세표[시작],$M88),"yyyy-mm-dd hh:mm"),INDEX(상세표[시작],$M88)&amp;""))</f>
        <v/>
      </c>
      <c r="E88">
        <f>IF($M88="","",IF(ISNUMBER(INDEX(상세표[종료],$M88)),TEXT(INDEX(상세표[종료],$M88),"yyyy-mm-dd hh:mm"),INDEX(상세표[종료],$M88)&amp;""))</f>
        <v/>
      </c>
      <c r="F88" s="20">
        <f>IF($M88="","",INDEX(상세표[기록 시간외],$M88))</f>
        <v/>
      </c>
      <c r="G88">
        <f>IF($M88="","",INDEX(상세표[시작월 기관],$M88)&amp;"")</f>
        <v/>
      </c>
      <c r="H88">
        <f>IF($M88="","",INDEX(상세표[종료월 기관],$M88)&amp;"")</f>
        <v/>
      </c>
      <c r="I88">
        <f>IF($M88="","",INDEX(상세표[월경계 판정],$M88)&amp;"")</f>
        <v/>
      </c>
      <c r="J88">
        <f>IF($M88="","",INDEX(상세표[반영월],$M88)&amp;"")</f>
        <v/>
      </c>
      <c r="K88">
        <f>IF($M88="","",INDEX(상세표[반영 기관],$M88)&amp;"")</f>
        <v/>
      </c>
      <c r="L88">
        <f>IF($M88="","",INDEX(상세표[기관 출처],$M88)&amp;"")</f>
        <v/>
      </c>
      <c r="M88" s="4">
        <f>IFERROR(MATCH(83,상세표[경계순번],0),"")</f>
        <v/>
      </c>
    </row>
    <row r="89">
      <c r="A89">
        <f>IF($M89="","",INDEX(상세표[사번],$M89)&amp;"")</f>
        <v/>
      </c>
      <c r="B89">
        <f>IF($M89="","",INDEX(상세표[성명],$M89)&amp;"")</f>
        <v/>
      </c>
      <c r="C89">
        <f>IF($M89="","",IF(INDEX(상세표[종료월],$M89)=대상월키,"전월→이번 달","이번 달→익월"))</f>
        <v/>
      </c>
      <c r="D89">
        <f>IF($M89="","",IF(ISNUMBER(INDEX(상세표[시작],$M89)),TEXT(INDEX(상세표[시작],$M89),"yyyy-mm-dd hh:mm"),INDEX(상세표[시작],$M89)&amp;""))</f>
        <v/>
      </c>
      <c r="E89">
        <f>IF($M89="","",IF(ISNUMBER(INDEX(상세표[종료],$M89)),TEXT(INDEX(상세표[종료],$M89),"yyyy-mm-dd hh:mm"),INDEX(상세표[종료],$M89)&amp;""))</f>
        <v/>
      </c>
      <c r="F89" s="20">
        <f>IF($M89="","",INDEX(상세표[기록 시간외],$M89))</f>
        <v/>
      </c>
      <c r="G89">
        <f>IF($M89="","",INDEX(상세표[시작월 기관],$M89)&amp;"")</f>
        <v/>
      </c>
      <c r="H89">
        <f>IF($M89="","",INDEX(상세표[종료월 기관],$M89)&amp;"")</f>
        <v/>
      </c>
      <c r="I89">
        <f>IF($M89="","",INDEX(상세표[월경계 판정],$M89)&amp;"")</f>
        <v/>
      </c>
      <c r="J89">
        <f>IF($M89="","",INDEX(상세표[반영월],$M89)&amp;"")</f>
        <v/>
      </c>
      <c r="K89">
        <f>IF($M89="","",INDEX(상세표[반영 기관],$M89)&amp;"")</f>
        <v/>
      </c>
      <c r="L89">
        <f>IF($M89="","",INDEX(상세표[기관 출처],$M89)&amp;"")</f>
        <v/>
      </c>
      <c r="M89" s="4">
        <f>IFERROR(MATCH(84,상세표[경계순번],0),"")</f>
        <v/>
      </c>
    </row>
    <row r="90">
      <c r="A90">
        <f>IF($M90="","",INDEX(상세표[사번],$M90)&amp;"")</f>
        <v/>
      </c>
      <c r="B90">
        <f>IF($M90="","",INDEX(상세표[성명],$M90)&amp;"")</f>
        <v/>
      </c>
      <c r="C90">
        <f>IF($M90="","",IF(INDEX(상세표[종료월],$M90)=대상월키,"전월→이번 달","이번 달→익월"))</f>
        <v/>
      </c>
      <c r="D90">
        <f>IF($M90="","",IF(ISNUMBER(INDEX(상세표[시작],$M90)),TEXT(INDEX(상세표[시작],$M90),"yyyy-mm-dd hh:mm"),INDEX(상세표[시작],$M90)&amp;""))</f>
        <v/>
      </c>
      <c r="E90">
        <f>IF($M90="","",IF(ISNUMBER(INDEX(상세표[종료],$M90)),TEXT(INDEX(상세표[종료],$M90),"yyyy-mm-dd hh:mm"),INDEX(상세표[종료],$M90)&amp;""))</f>
        <v/>
      </c>
      <c r="F90" s="20">
        <f>IF($M90="","",INDEX(상세표[기록 시간외],$M90))</f>
        <v/>
      </c>
      <c r="G90">
        <f>IF($M90="","",INDEX(상세표[시작월 기관],$M90)&amp;"")</f>
        <v/>
      </c>
      <c r="H90">
        <f>IF($M90="","",INDEX(상세표[종료월 기관],$M90)&amp;"")</f>
        <v/>
      </c>
      <c r="I90">
        <f>IF($M90="","",INDEX(상세표[월경계 판정],$M90)&amp;"")</f>
        <v/>
      </c>
      <c r="J90">
        <f>IF($M90="","",INDEX(상세표[반영월],$M90)&amp;"")</f>
        <v/>
      </c>
      <c r="K90">
        <f>IF($M90="","",INDEX(상세표[반영 기관],$M90)&amp;"")</f>
        <v/>
      </c>
      <c r="L90">
        <f>IF($M90="","",INDEX(상세표[기관 출처],$M90)&amp;"")</f>
        <v/>
      </c>
      <c r="M90" s="4">
        <f>IFERROR(MATCH(85,상세표[경계순번],0),"")</f>
        <v/>
      </c>
    </row>
    <row r="91">
      <c r="A91">
        <f>IF($M91="","",INDEX(상세표[사번],$M91)&amp;"")</f>
        <v/>
      </c>
      <c r="B91">
        <f>IF($M91="","",INDEX(상세표[성명],$M91)&amp;"")</f>
        <v/>
      </c>
      <c r="C91">
        <f>IF($M91="","",IF(INDEX(상세표[종료월],$M91)=대상월키,"전월→이번 달","이번 달→익월"))</f>
        <v/>
      </c>
      <c r="D91">
        <f>IF($M91="","",IF(ISNUMBER(INDEX(상세표[시작],$M91)),TEXT(INDEX(상세표[시작],$M91),"yyyy-mm-dd hh:mm"),INDEX(상세표[시작],$M91)&amp;""))</f>
        <v/>
      </c>
      <c r="E91">
        <f>IF($M91="","",IF(ISNUMBER(INDEX(상세표[종료],$M91)),TEXT(INDEX(상세표[종료],$M91),"yyyy-mm-dd hh:mm"),INDEX(상세표[종료],$M91)&amp;""))</f>
        <v/>
      </c>
      <c r="F91" s="20">
        <f>IF($M91="","",INDEX(상세표[기록 시간외],$M91))</f>
        <v/>
      </c>
      <c r="G91">
        <f>IF($M91="","",INDEX(상세표[시작월 기관],$M91)&amp;"")</f>
        <v/>
      </c>
      <c r="H91">
        <f>IF($M91="","",INDEX(상세표[종료월 기관],$M91)&amp;"")</f>
        <v/>
      </c>
      <c r="I91">
        <f>IF($M91="","",INDEX(상세표[월경계 판정],$M91)&amp;"")</f>
        <v/>
      </c>
      <c r="J91">
        <f>IF($M91="","",INDEX(상세표[반영월],$M91)&amp;"")</f>
        <v/>
      </c>
      <c r="K91">
        <f>IF($M91="","",INDEX(상세표[반영 기관],$M91)&amp;"")</f>
        <v/>
      </c>
      <c r="L91">
        <f>IF($M91="","",INDEX(상세표[기관 출처],$M91)&amp;"")</f>
        <v/>
      </c>
      <c r="M91" s="4">
        <f>IFERROR(MATCH(86,상세표[경계순번],0),"")</f>
        <v/>
      </c>
    </row>
    <row r="92">
      <c r="A92">
        <f>IF($M92="","",INDEX(상세표[사번],$M92)&amp;"")</f>
        <v/>
      </c>
      <c r="B92">
        <f>IF($M92="","",INDEX(상세표[성명],$M92)&amp;"")</f>
        <v/>
      </c>
      <c r="C92">
        <f>IF($M92="","",IF(INDEX(상세표[종료월],$M92)=대상월키,"전월→이번 달","이번 달→익월"))</f>
        <v/>
      </c>
      <c r="D92">
        <f>IF($M92="","",IF(ISNUMBER(INDEX(상세표[시작],$M92)),TEXT(INDEX(상세표[시작],$M92),"yyyy-mm-dd hh:mm"),INDEX(상세표[시작],$M92)&amp;""))</f>
        <v/>
      </c>
      <c r="E92">
        <f>IF($M92="","",IF(ISNUMBER(INDEX(상세표[종료],$M92)),TEXT(INDEX(상세표[종료],$M92),"yyyy-mm-dd hh:mm"),INDEX(상세표[종료],$M92)&amp;""))</f>
        <v/>
      </c>
      <c r="F92" s="20">
        <f>IF($M92="","",INDEX(상세표[기록 시간외],$M92))</f>
        <v/>
      </c>
      <c r="G92">
        <f>IF($M92="","",INDEX(상세표[시작월 기관],$M92)&amp;"")</f>
        <v/>
      </c>
      <c r="H92">
        <f>IF($M92="","",INDEX(상세표[종료월 기관],$M92)&amp;"")</f>
        <v/>
      </c>
      <c r="I92">
        <f>IF($M92="","",INDEX(상세표[월경계 판정],$M92)&amp;"")</f>
        <v/>
      </c>
      <c r="J92">
        <f>IF($M92="","",INDEX(상세표[반영월],$M92)&amp;"")</f>
        <v/>
      </c>
      <c r="K92">
        <f>IF($M92="","",INDEX(상세표[반영 기관],$M92)&amp;"")</f>
        <v/>
      </c>
      <c r="L92">
        <f>IF($M92="","",INDEX(상세표[기관 출처],$M92)&amp;"")</f>
        <v/>
      </c>
      <c r="M92" s="4">
        <f>IFERROR(MATCH(87,상세표[경계순번],0),"")</f>
        <v/>
      </c>
    </row>
    <row r="93">
      <c r="A93">
        <f>IF($M93="","",INDEX(상세표[사번],$M93)&amp;"")</f>
        <v/>
      </c>
      <c r="B93">
        <f>IF($M93="","",INDEX(상세표[성명],$M93)&amp;"")</f>
        <v/>
      </c>
      <c r="C93">
        <f>IF($M93="","",IF(INDEX(상세표[종료월],$M93)=대상월키,"전월→이번 달","이번 달→익월"))</f>
        <v/>
      </c>
      <c r="D93">
        <f>IF($M93="","",IF(ISNUMBER(INDEX(상세표[시작],$M93)),TEXT(INDEX(상세표[시작],$M93),"yyyy-mm-dd hh:mm"),INDEX(상세표[시작],$M93)&amp;""))</f>
        <v/>
      </c>
      <c r="E93">
        <f>IF($M93="","",IF(ISNUMBER(INDEX(상세표[종료],$M93)),TEXT(INDEX(상세표[종료],$M93),"yyyy-mm-dd hh:mm"),INDEX(상세표[종료],$M93)&amp;""))</f>
        <v/>
      </c>
      <c r="F93" s="20">
        <f>IF($M93="","",INDEX(상세표[기록 시간외],$M93))</f>
        <v/>
      </c>
      <c r="G93">
        <f>IF($M93="","",INDEX(상세표[시작월 기관],$M93)&amp;"")</f>
        <v/>
      </c>
      <c r="H93">
        <f>IF($M93="","",INDEX(상세표[종료월 기관],$M93)&amp;"")</f>
        <v/>
      </c>
      <c r="I93">
        <f>IF($M93="","",INDEX(상세표[월경계 판정],$M93)&amp;"")</f>
        <v/>
      </c>
      <c r="J93">
        <f>IF($M93="","",INDEX(상세표[반영월],$M93)&amp;"")</f>
        <v/>
      </c>
      <c r="K93">
        <f>IF($M93="","",INDEX(상세표[반영 기관],$M93)&amp;"")</f>
        <v/>
      </c>
      <c r="L93">
        <f>IF($M93="","",INDEX(상세표[기관 출처],$M93)&amp;"")</f>
        <v/>
      </c>
      <c r="M93" s="4">
        <f>IFERROR(MATCH(88,상세표[경계순번],0),"")</f>
        <v/>
      </c>
    </row>
    <row r="94">
      <c r="A94">
        <f>IF($M94="","",INDEX(상세표[사번],$M94)&amp;"")</f>
        <v/>
      </c>
      <c r="B94">
        <f>IF($M94="","",INDEX(상세표[성명],$M94)&amp;"")</f>
        <v/>
      </c>
      <c r="C94">
        <f>IF($M94="","",IF(INDEX(상세표[종료월],$M94)=대상월키,"전월→이번 달","이번 달→익월"))</f>
        <v/>
      </c>
      <c r="D94">
        <f>IF($M94="","",IF(ISNUMBER(INDEX(상세표[시작],$M94)),TEXT(INDEX(상세표[시작],$M94),"yyyy-mm-dd hh:mm"),INDEX(상세표[시작],$M94)&amp;""))</f>
        <v/>
      </c>
      <c r="E94">
        <f>IF($M94="","",IF(ISNUMBER(INDEX(상세표[종료],$M94)),TEXT(INDEX(상세표[종료],$M94),"yyyy-mm-dd hh:mm"),INDEX(상세표[종료],$M94)&amp;""))</f>
        <v/>
      </c>
      <c r="F94" s="20">
        <f>IF($M94="","",INDEX(상세표[기록 시간외],$M94))</f>
        <v/>
      </c>
      <c r="G94">
        <f>IF($M94="","",INDEX(상세표[시작월 기관],$M94)&amp;"")</f>
        <v/>
      </c>
      <c r="H94">
        <f>IF($M94="","",INDEX(상세표[종료월 기관],$M94)&amp;"")</f>
        <v/>
      </c>
      <c r="I94">
        <f>IF($M94="","",INDEX(상세표[월경계 판정],$M94)&amp;"")</f>
        <v/>
      </c>
      <c r="J94">
        <f>IF($M94="","",INDEX(상세표[반영월],$M94)&amp;"")</f>
        <v/>
      </c>
      <c r="K94">
        <f>IF($M94="","",INDEX(상세표[반영 기관],$M94)&amp;"")</f>
        <v/>
      </c>
      <c r="L94">
        <f>IF($M94="","",INDEX(상세표[기관 출처],$M94)&amp;"")</f>
        <v/>
      </c>
      <c r="M94" s="4">
        <f>IFERROR(MATCH(89,상세표[경계순번],0),"")</f>
        <v/>
      </c>
    </row>
    <row r="95">
      <c r="A95">
        <f>IF($M95="","",INDEX(상세표[사번],$M95)&amp;"")</f>
        <v/>
      </c>
      <c r="B95">
        <f>IF($M95="","",INDEX(상세표[성명],$M95)&amp;"")</f>
        <v/>
      </c>
      <c r="C95">
        <f>IF($M95="","",IF(INDEX(상세표[종료월],$M95)=대상월키,"전월→이번 달","이번 달→익월"))</f>
        <v/>
      </c>
      <c r="D95">
        <f>IF($M95="","",IF(ISNUMBER(INDEX(상세표[시작],$M95)),TEXT(INDEX(상세표[시작],$M95),"yyyy-mm-dd hh:mm"),INDEX(상세표[시작],$M95)&amp;""))</f>
        <v/>
      </c>
      <c r="E95">
        <f>IF($M95="","",IF(ISNUMBER(INDEX(상세표[종료],$M95)),TEXT(INDEX(상세표[종료],$M95),"yyyy-mm-dd hh:mm"),INDEX(상세표[종료],$M95)&amp;""))</f>
        <v/>
      </c>
      <c r="F95" s="20">
        <f>IF($M95="","",INDEX(상세표[기록 시간외],$M95))</f>
        <v/>
      </c>
      <c r="G95">
        <f>IF($M95="","",INDEX(상세표[시작월 기관],$M95)&amp;"")</f>
        <v/>
      </c>
      <c r="H95">
        <f>IF($M95="","",INDEX(상세표[종료월 기관],$M95)&amp;"")</f>
        <v/>
      </c>
      <c r="I95">
        <f>IF($M95="","",INDEX(상세표[월경계 판정],$M95)&amp;"")</f>
        <v/>
      </c>
      <c r="J95">
        <f>IF($M95="","",INDEX(상세표[반영월],$M95)&amp;"")</f>
        <v/>
      </c>
      <c r="K95">
        <f>IF($M95="","",INDEX(상세표[반영 기관],$M95)&amp;"")</f>
        <v/>
      </c>
      <c r="L95">
        <f>IF($M95="","",INDEX(상세표[기관 출처],$M95)&amp;"")</f>
        <v/>
      </c>
      <c r="M95" s="4">
        <f>IFERROR(MATCH(90,상세표[경계순번],0),"")</f>
        <v/>
      </c>
    </row>
    <row r="96">
      <c r="A96">
        <f>IF($M96="","",INDEX(상세표[사번],$M96)&amp;"")</f>
        <v/>
      </c>
      <c r="B96">
        <f>IF($M96="","",INDEX(상세표[성명],$M96)&amp;"")</f>
        <v/>
      </c>
      <c r="C96">
        <f>IF($M96="","",IF(INDEX(상세표[종료월],$M96)=대상월키,"전월→이번 달","이번 달→익월"))</f>
        <v/>
      </c>
      <c r="D96">
        <f>IF($M96="","",IF(ISNUMBER(INDEX(상세표[시작],$M96)),TEXT(INDEX(상세표[시작],$M96),"yyyy-mm-dd hh:mm"),INDEX(상세표[시작],$M96)&amp;""))</f>
        <v/>
      </c>
      <c r="E96">
        <f>IF($M96="","",IF(ISNUMBER(INDEX(상세표[종료],$M96)),TEXT(INDEX(상세표[종료],$M96),"yyyy-mm-dd hh:mm"),INDEX(상세표[종료],$M96)&amp;""))</f>
        <v/>
      </c>
      <c r="F96" s="20">
        <f>IF($M96="","",INDEX(상세표[기록 시간외],$M96))</f>
        <v/>
      </c>
      <c r="G96">
        <f>IF($M96="","",INDEX(상세표[시작월 기관],$M96)&amp;"")</f>
        <v/>
      </c>
      <c r="H96">
        <f>IF($M96="","",INDEX(상세표[종료월 기관],$M96)&amp;"")</f>
        <v/>
      </c>
      <c r="I96">
        <f>IF($M96="","",INDEX(상세표[월경계 판정],$M96)&amp;"")</f>
        <v/>
      </c>
      <c r="J96">
        <f>IF($M96="","",INDEX(상세표[반영월],$M96)&amp;"")</f>
        <v/>
      </c>
      <c r="K96">
        <f>IF($M96="","",INDEX(상세표[반영 기관],$M96)&amp;"")</f>
        <v/>
      </c>
      <c r="L96">
        <f>IF($M96="","",INDEX(상세표[기관 출처],$M96)&amp;"")</f>
        <v/>
      </c>
      <c r="M96" s="4">
        <f>IFERROR(MATCH(91,상세표[경계순번],0),"")</f>
        <v/>
      </c>
    </row>
    <row r="97">
      <c r="A97">
        <f>IF($M97="","",INDEX(상세표[사번],$M97)&amp;"")</f>
        <v/>
      </c>
      <c r="B97">
        <f>IF($M97="","",INDEX(상세표[성명],$M97)&amp;"")</f>
        <v/>
      </c>
      <c r="C97">
        <f>IF($M97="","",IF(INDEX(상세표[종료월],$M97)=대상월키,"전월→이번 달","이번 달→익월"))</f>
        <v/>
      </c>
      <c r="D97">
        <f>IF($M97="","",IF(ISNUMBER(INDEX(상세표[시작],$M97)),TEXT(INDEX(상세표[시작],$M97),"yyyy-mm-dd hh:mm"),INDEX(상세표[시작],$M97)&amp;""))</f>
        <v/>
      </c>
      <c r="E97">
        <f>IF($M97="","",IF(ISNUMBER(INDEX(상세표[종료],$M97)),TEXT(INDEX(상세표[종료],$M97),"yyyy-mm-dd hh:mm"),INDEX(상세표[종료],$M97)&amp;""))</f>
        <v/>
      </c>
      <c r="F97" s="20">
        <f>IF($M97="","",INDEX(상세표[기록 시간외],$M97))</f>
        <v/>
      </c>
      <c r="G97">
        <f>IF($M97="","",INDEX(상세표[시작월 기관],$M97)&amp;"")</f>
        <v/>
      </c>
      <c r="H97">
        <f>IF($M97="","",INDEX(상세표[종료월 기관],$M97)&amp;"")</f>
        <v/>
      </c>
      <c r="I97">
        <f>IF($M97="","",INDEX(상세표[월경계 판정],$M97)&amp;"")</f>
        <v/>
      </c>
      <c r="J97">
        <f>IF($M97="","",INDEX(상세표[반영월],$M97)&amp;"")</f>
        <v/>
      </c>
      <c r="K97">
        <f>IF($M97="","",INDEX(상세표[반영 기관],$M97)&amp;"")</f>
        <v/>
      </c>
      <c r="L97">
        <f>IF($M97="","",INDEX(상세표[기관 출처],$M97)&amp;"")</f>
        <v/>
      </c>
      <c r="M97" s="4">
        <f>IFERROR(MATCH(92,상세표[경계순번],0),"")</f>
        <v/>
      </c>
    </row>
    <row r="98">
      <c r="A98">
        <f>IF($M98="","",INDEX(상세표[사번],$M98)&amp;"")</f>
        <v/>
      </c>
      <c r="B98">
        <f>IF($M98="","",INDEX(상세표[성명],$M98)&amp;"")</f>
        <v/>
      </c>
      <c r="C98">
        <f>IF($M98="","",IF(INDEX(상세표[종료월],$M98)=대상월키,"전월→이번 달","이번 달→익월"))</f>
        <v/>
      </c>
      <c r="D98">
        <f>IF($M98="","",IF(ISNUMBER(INDEX(상세표[시작],$M98)),TEXT(INDEX(상세표[시작],$M98),"yyyy-mm-dd hh:mm"),INDEX(상세표[시작],$M98)&amp;""))</f>
        <v/>
      </c>
      <c r="E98">
        <f>IF($M98="","",IF(ISNUMBER(INDEX(상세표[종료],$M98)),TEXT(INDEX(상세표[종료],$M98),"yyyy-mm-dd hh:mm"),INDEX(상세표[종료],$M98)&amp;""))</f>
        <v/>
      </c>
      <c r="F98" s="20">
        <f>IF($M98="","",INDEX(상세표[기록 시간외],$M98))</f>
        <v/>
      </c>
      <c r="G98">
        <f>IF($M98="","",INDEX(상세표[시작월 기관],$M98)&amp;"")</f>
        <v/>
      </c>
      <c r="H98">
        <f>IF($M98="","",INDEX(상세표[종료월 기관],$M98)&amp;"")</f>
        <v/>
      </c>
      <c r="I98">
        <f>IF($M98="","",INDEX(상세표[월경계 판정],$M98)&amp;"")</f>
        <v/>
      </c>
      <c r="J98">
        <f>IF($M98="","",INDEX(상세표[반영월],$M98)&amp;"")</f>
        <v/>
      </c>
      <c r="K98">
        <f>IF($M98="","",INDEX(상세표[반영 기관],$M98)&amp;"")</f>
        <v/>
      </c>
      <c r="L98">
        <f>IF($M98="","",INDEX(상세표[기관 출처],$M98)&amp;"")</f>
        <v/>
      </c>
      <c r="M98" s="4">
        <f>IFERROR(MATCH(93,상세표[경계순번],0),"")</f>
        <v/>
      </c>
    </row>
    <row r="99">
      <c r="A99">
        <f>IF($M99="","",INDEX(상세표[사번],$M99)&amp;"")</f>
        <v/>
      </c>
      <c r="B99">
        <f>IF($M99="","",INDEX(상세표[성명],$M99)&amp;"")</f>
        <v/>
      </c>
      <c r="C99">
        <f>IF($M99="","",IF(INDEX(상세표[종료월],$M99)=대상월키,"전월→이번 달","이번 달→익월"))</f>
        <v/>
      </c>
      <c r="D99">
        <f>IF($M99="","",IF(ISNUMBER(INDEX(상세표[시작],$M99)),TEXT(INDEX(상세표[시작],$M99),"yyyy-mm-dd hh:mm"),INDEX(상세표[시작],$M99)&amp;""))</f>
        <v/>
      </c>
      <c r="E99">
        <f>IF($M99="","",IF(ISNUMBER(INDEX(상세표[종료],$M99)),TEXT(INDEX(상세표[종료],$M99),"yyyy-mm-dd hh:mm"),INDEX(상세표[종료],$M99)&amp;""))</f>
        <v/>
      </c>
      <c r="F99" s="20">
        <f>IF($M99="","",INDEX(상세표[기록 시간외],$M99))</f>
        <v/>
      </c>
      <c r="G99">
        <f>IF($M99="","",INDEX(상세표[시작월 기관],$M99)&amp;"")</f>
        <v/>
      </c>
      <c r="H99">
        <f>IF($M99="","",INDEX(상세표[종료월 기관],$M99)&amp;"")</f>
        <v/>
      </c>
      <c r="I99">
        <f>IF($M99="","",INDEX(상세표[월경계 판정],$M99)&amp;"")</f>
        <v/>
      </c>
      <c r="J99">
        <f>IF($M99="","",INDEX(상세표[반영월],$M99)&amp;"")</f>
        <v/>
      </c>
      <c r="K99">
        <f>IF($M99="","",INDEX(상세표[반영 기관],$M99)&amp;"")</f>
        <v/>
      </c>
      <c r="L99">
        <f>IF($M99="","",INDEX(상세표[기관 출처],$M99)&amp;"")</f>
        <v/>
      </c>
      <c r="M99" s="4">
        <f>IFERROR(MATCH(94,상세표[경계순번],0),"")</f>
        <v/>
      </c>
    </row>
    <row r="100">
      <c r="A100">
        <f>IF($M100="","",INDEX(상세표[사번],$M100)&amp;"")</f>
        <v/>
      </c>
      <c r="B100">
        <f>IF($M100="","",INDEX(상세표[성명],$M100)&amp;"")</f>
        <v/>
      </c>
      <c r="C100">
        <f>IF($M100="","",IF(INDEX(상세표[종료월],$M100)=대상월키,"전월→이번 달","이번 달→익월"))</f>
        <v/>
      </c>
      <c r="D100">
        <f>IF($M100="","",IF(ISNUMBER(INDEX(상세표[시작],$M100)),TEXT(INDEX(상세표[시작],$M100),"yyyy-mm-dd hh:mm"),INDEX(상세표[시작],$M100)&amp;""))</f>
        <v/>
      </c>
      <c r="E100">
        <f>IF($M100="","",IF(ISNUMBER(INDEX(상세표[종료],$M100)),TEXT(INDEX(상세표[종료],$M100),"yyyy-mm-dd hh:mm"),INDEX(상세표[종료],$M100)&amp;""))</f>
        <v/>
      </c>
      <c r="F100" s="20">
        <f>IF($M100="","",INDEX(상세표[기록 시간외],$M100))</f>
        <v/>
      </c>
      <c r="G100">
        <f>IF($M100="","",INDEX(상세표[시작월 기관],$M100)&amp;"")</f>
        <v/>
      </c>
      <c r="H100">
        <f>IF($M100="","",INDEX(상세표[종료월 기관],$M100)&amp;"")</f>
        <v/>
      </c>
      <c r="I100">
        <f>IF($M100="","",INDEX(상세표[월경계 판정],$M100)&amp;"")</f>
        <v/>
      </c>
      <c r="J100">
        <f>IF($M100="","",INDEX(상세표[반영월],$M100)&amp;"")</f>
        <v/>
      </c>
      <c r="K100">
        <f>IF($M100="","",INDEX(상세표[반영 기관],$M100)&amp;"")</f>
        <v/>
      </c>
      <c r="L100">
        <f>IF($M100="","",INDEX(상세표[기관 출처],$M100)&amp;"")</f>
        <v/>
      </c>
      <c r="M100" s="4">
        <f>IFERROR(MATCH(95,상세표[경계순번],0),"")</f>
        <v/>
      </c>
    </row>
    <row r="101">
      <c r="A101">
        <f>IF($M101="","",INDEX(상세표[사번],$M101)&amp;"")</f>
        <v/>
      </c>
      <c r="B101">
        <f>IF($M101="","",INDEX(상세표[성명],$M101)&amp;"")</f>
        <v/>
      </c>
      <c r="C101">
        <f>IF($M101="","",IF(INDEX(상세표[종료월],$M101)=대상월키,"전월→이번 달","이번 달→익월"))</f>
        <v/>
      </c>
      <c r="D101">
        <f>IF($M101="","",IF(ISNUMBER(INDEX(상세표[시작],$M101)),TEXT(INDEX(상세표[시작],$M101),"yyyy-mm-dd hh:mm"),INDEX(상세표[시작],$M101)&amp;""))</f>
        <v/>
      </c>
      <c r="E101">
        <f>IF($M101="","",IF(ISNUMBER(INDEX(상세표[종료],$M101)),TEXT(INDEX(상세표[종료],$M101),"yyyy-mm-dd hh:mm"),INDEX(상세표[종료],$M101)&amp;""))</f>
        <v/>
      </c>
      <c r="F101" s="20">
        <f>IF($M101="","",INDEX(상세표[기록 시간외],$M101))</f>
        <v/>
      </c>
      <c r="G101">
        <f>IF($M101="","",INDEX(상세표[시작월 기관],$M101)&amp;"")</f>
        <v/>
      </c>
      <c r="H101">
        <f>IF($M101="","",INDEX(상세표[종료월 기관],$M101)&amp;"")</f>
        <v/>
      </c>
      <c r="I101">
        <f>IF($M101="","",INDEX(상세표[월경계 판정],$M101)&amp;"")</f>
        <v/>
      </c>
      <c r="J101">
        <f>IF($M101="","",INDEX(상세표[반영월],$M101)&amp;"")</f>
        <v/>
      </c>
      <c r="K101">
        <f>IF($M101="","",INDEX(상세표[반영 기관],$M101)&amp;"")</f>
        <v/>
      </c>
      <c r="L101">
        <f>IF($M101="","",INDEX(상세표[기관 출처],$M101)&amp;"")</f>
        <v/>
      </c>
      <c r="M101" s="4">
        <f>IFERROR(MATCH(96,상세표[경계순번],0),"")</f>
        <v/>
      </c>
    </row>
    <row r="102">
      <c r="A102">
        <f>IF($M102="","",INDEX(상세표[사번],$M102)&amp;"")</f>
        <v/>
      </c>
      <c r="B102">
        <f>IF($M102="","",INDEX(상세표[성명],$M102)&amp;"")</f>
        <v/>
      </c>
      <c r="C102">
        <f>IF($M102="","",IF(INDEX(상세표[종료월],$M102)=대상월키,"전월→이번 달","이번 달→익월"))</f>
        <v/>
      </c>
      <c r="D102">
        <f>IF($M102="","",IF(ISNUMBER(INDEX(상세표[시작],$M102)),TEXT(INDEX(상세표[시작],$M102),"yyyy-mm-dd hh:mm"),INDEX(상세표[시작],$M102)&amp;""))</f>
        <v/>
      </c>
      <c r="E102">
        <f>IF($M102="","",IF(ISNUMBER(INDEX(상세표[종료],$M102)),TEXT(INDEX(상세표[종료],$M102),"yyyy-mm-dd hh:mm"),INDEX(상세표[종료],$M102)&amp;""))</f>
        <v/>
      </c>
      <c r="F102" s="20">
        <f>IF($M102="","",INDEX(상세표[기록 시간외],$M102))</f>
        <v/>
      </c>
      <c r="G102">
        <f>IF($M102="","",INDEX(상세표[시작월 기관],$M102)&amp;"")</f>
        <v/>
      </c>
      <c r="H102">
        <f>IF($M102="","",INDEX(상세표[종료월 기관],$M102)&amp;"")</f>
        <v/>
      </c>
      <c r="I102">
        <f>IF($M102="","",INDEX(상세표[월경계 판정],$M102)&amp;"")</f>
        <v/>
      </c>
      <c r="J102">
        <f>IF($M102="","",INDEX(상세표[반영월],$M102)&amp;"")</f>
        <v/>
      </c>
      <c r="K102">
        <f>IF($M102="","",INDEX(상세표[반영 기관],$M102)&amp;"")</f>
        <v/>
      </c>
      <c r="L102">
        <f>IF($M102="","",INDEX(상세표[기관 출처],$M102)&amp;"")</f>
        <v/>
      </c>
      <c r="M102" s="4">
        <f>IFERROR(MATCH(97,상세표[경계순번],0),"")</f>
        <v/>
      </c>
    </row>
    <row r="103">
      <c r="A103">
        <f>IF($M103="","",INDEX(상세표[사번],$M103)&amp;"")</f>
        <v/>
      </c>
      <c r="B103">
        <f>IF($M103="","",INDEX(상세표[성명],$M103)&amp;"")</f>
        <v/>
      </c>
      <c r="C103">
        <f>IF($M103="","",IF(INDEX(상세표[종료월],$M103)=대상월키,"전월→이번 달","이번 달→익월"))</f>
        <v/>
      </c>
      <c r="D103">
        <f>IF($M103="","",IF(ISNUMBER(INDEX(상세표[시작],$M103)),TEXT(INDEX(상세표[시작],$M103),"yyyy-mm-dd hh:mm"),INDEX(상세표[시작],$M103)&amp;""))</f>
        <v/>
      </c>
      <c r="E103">
        <f>IF($M103="","",IF(ISNUMBER(INDEX(상세표[종료],$M103)),TEXT(INDEX(상세표[종료],$M103),"yyyy-mm-dd hh:mm"),INDEX(상세표[종료],$M103)&amp;""))</f>
        <v/>
      </c>
      <c r="F103" s="20">
        <f>IF($M103="","",INDEX(상세표[기록 시간외],$M103))</f>
        <v/>
      </c>
      <c r="G103">
        <f>IF($M103="","",INDEX(상세표[시작월 기관],$M103)&amp;"")</f>
        <v/>
      </c>
      <c r="H103">
        <f>IF($M103="","",INDEX(상세표[종료월 기관],$M103)&amp;"")</f>
        <v/>
      </c>
      <c r="I103">
        <f>IF($M103="","",INDEX(상세표[월경계 판정],$M103)&amp;"")</f>
        <v/>
      </c>
      <c r="J103">
        <f>IF($M103="","",INDEX(상세표[반영월],$M103)&amp;"")</f>
        <v/>
      </c>
      <c r="K103">
        <f>IF($M103="","",INDEX(상세표[반영 기관],$M103)&amp;"")</f>
        <v/>
      </c>
      <c r="L103">
        <f>IF($M103="","",INDEX(상세표[기관 출처],$M103)&amp;"")</f>
        <v/>
      </c>
      <c r="M103" s="4">
        <f>IFERROR(MATCH(98,상세표[경계순번],0),"")</f>
        <v/>
      </c>
    </row>
    <row r="104">
      <c r="A104">
        <f>IF($M104="","",INDEX(상세표[사번],$M104)&amp;"")</f>
        <v/>
      </c>
      <c r="B104">
        <f>IF($M104="","",INDEX(상세표[성명],$M104)&amp;"")</f>
        <v/>
      </c>
      <c r="C104">
        <f>IF($M104="","",IF(INDEX(상세표[종료월],$M104)=대상월키,"전월→이번 달","이번 달→익월"))</f>
        <v/>
      </c>
      <c r="D104">
        <f>IF($M104="","",IF(ISNUMBER(INDEX(상세표[시작],$M104)),TEXT(INDEX(상세표[시작],$M104),"yyyy-mm-dd hh:mm"),INDEX(상세표[시작],$M104)&amp;""))</f>
        <v/>
      </c>
      <c r="E104">
        <f>IF($M104="","",IF(ISNUMBER(INDEX(상세표[종료],$M104)),TEXT(INDEX(상세표[종료],$M104),"yyyy-mm-dd hh:mm"),INDEX(상세표[종료],$M104)&amp;""))</f>
        <v/>
      </c>
      <c r="F104" s="20">
        <f>IF($M104="","",INDEX(상세표[기록 시간외],$M104))</f>
        <v/>
      </c>
      <c r="G104">
        <f>IF($M104="","",INDEX(상세표[시작월 기관],$M104)&amp;"")</f>
        <v/>
      </c>
      <c r="H104">
        <f>IF($M104="","",INDEX(상세표[종료월 기관],$M104)&amp;"")</f>
        <v/>
      </c>
      <c r="I104">
        <f>IF($M104="","",INDEX(상세표[월경계 판정],$M104)&amp;"")</f>
        <v/>
      </c>
      <c r="J104">
        <f>IF($M104="","",INDEX(상세표[반영월],$M104)&amp;"")</f>
        <v/>
      </c>
      <c r="K104">
        <f>IF($M104="","",INDEX(상세표[반영 기관],$M104)&amp;"")</f>
        <v/>
      </c>
      <c r="L104">
        <f>IF($M104="","",INDEX(상세표[기관 출처],$M104)&amp;"")</f>
        <v/>
      </c>
      <c r="M104" s="4">
        <f>IFERROR(MATCH(99,상세표[경계순번],0),"")</f>
        <v/>
      </c>
    </row>
    <row r="105">
      <c r="A105">
        <f>IF($M105="","",INDEX(상세표[사번],$M105)&amp;"")</f>
        <v/>
      </c>
      <c r="B105">
        <f>IF($M105="","",INDEX(상세표[성명],$M105)&amp;"")</f>
        <v/>
      </c>
      <c r="C105">
        <f>IF($M105="","",IF(INDEX(상세표[종료월],$M105)=대상월키,"전월→이번 달","이번 달→익월"))</f>
        <v/>
      </c>
      <c r="D105">
        <f>IF($M105="","",IF(ISNUMBER(INDEX(상세표[시작],$M105)),TEXT(INDEX(상세표[시작],$M105),"yyyy-mm-dd hh:mm"),INDEX(상세표[시작],$M105)&amp;""))</f>
        <v/>
      </c>
      <c r="E105">
        <f>IF($M105="","",IF(ISNUMBER(INDEX(상세표[종료],$M105)),TEXT(INDEX(상세표[종료],$M105),"yyyy-mm-dd hh:mm"),INDEX(상세표[종료],$M105)&amp;""))</f>
        <v/>
      </c>
      <c r="F105" s="20">
        <f>IF($M105="","",INDEX(상세표[기록 시간외],$M105))</f>
        <v/>
      </c>
      <c r="G105">
        <f>IF($M105="","",INDEX(상세표[시작월 기관],$M105)&amp;"")</f>
        <v/>
      </c>
      <c r="H105">
        <f>IF($M105="","",INDEX(상세표[종료월 기관],$M105)&amp;"")</f>
        <v/>
      </c>
      <c r="I105">
        <f>IF($M105="","",INDEX(상세표[월경계 판정],$M105)&amp;"")</f>
        <v/>
      </c>
      <c r="J105">
        <f>IF($M105="","",INDEX(상세표[반영월],$M105)&amp;"")</f>
        <v/>
      </c>
      <c r="K105">
        <f>IF($M105="","",INDEX(상세표[반영 기관],$M105)&amp;"")</f>
        <v/>
      </c>
      <c r="L105">
        <f>IF($M105="","",INDEX(상세표[기관 출처],$M105)&amp;"")</f>
        <v/>
      </c>
      <c r="M105" s="4">
        <f>IFERROR(MATCH(100,상세표[경계순번],0),"")</f>
        <v/>
      </c>
    </row>
    <row r="106">
      <c r="A106">
        <f>IF($M106="","",INDEX(상세표[사번],$M106)&amp;"")</f>
        <v/>
      </c>
      <c r="B106">
        <f>IF($M106="","",INDEX(상세표[성명],$M106)&amp;"")</f>
        <v/>
      </c>
      <c r="C106">
        <f>IF($M106="","",IF(INDEX(상세표[종료월],$M106)=대상월키,"전월→이번 달","이번 달→익월"))</f>
        <v/>
      </c>
      <c r="D106">
        <f>IF($M106="","",IF(ISNUMBER(INDEX(상세표[시작],$M106)),TEXT(INDEX(상세표[시작],$M106),"yyyy-mm-dd hh:mm"),INDEX(상세표[시작],$M106)&amp;""))</f>
        <v/>
      </c>
      <c r="E106">
        <f>IF($M106="","",IF(ISNUMBER(INDEX(상세표[종료],$M106)),TEXT(INDEX(상세표[종료],$M106),"yyyy-mm-dd hh:mm"),INDEX(상세표[종료],$M106)&amp;""))</f>
        <v/>
      </c>
      <c r="F106" s="20">
        <f>IF($M106="","",INDEX(상세표[기록 시간외],$M106))</f>
        <v/>
      </c>
      <c r="G106">
        <f>IF($M106="","",INDEX(상세표[시작월 기관],$M106)&amp;"")</f>
        <v/>
      </c>
      <c r="H106">
        <f>IF($M106="","",INDEX(상세표[종료월 기관],$M106)&amp;"")</f>
        <v/>
      </c>
      <c r="I106">
        <f>IF($M106="","",INDEX(상세표[월경계 판정],$M106)&amp;"")</f>
        <v/>
      </c>
      <c r="J106">
        <f>IF($M106="","",INDEX(상세표[반영월],$M106)&amp;"")</f>
        <v/>
      </c>
      <c r="K106">
        <f>IF($M106="","",INDEX(상세표[반영 기관],$M106)&amp;"")</f>
        <v/>
      </c>
      <c r="L106">
        <f>IF($M106="","",INDEX(상세표[기관 출처],$M106)&amp;"")</f>
        <v/>
      </c>
      <c r="M106" s="4">
        <f>IFERROR(MATCH(101,상세표[경계순번],0),"")</f>
        <v/>
      </c>
    </row>
    <row r="107">
      <c r="A107">
        <f>IF($M107="","",INDEX(상세표[사번],$M107)&amp;"")</f>
        <v/>
      </c>
      <c r="B107">
        <f>IF($M107="","",INDEX(상세표[성명],$M107)&amp;"")</f>
        <v/>
      </c>
      <c r="C107">
        <f>IF($M107="","",IF(INDEX(상세표[종료월],$M107)=대상월키,"전월→이번 달","이번 달→익월"))</f>
        <v/>
      </c>
      <c r="D107">
        <f>IF($M107="","",IF(ISNUMBER(INDEX(상세표[시작],$M107)),TEXT(INDEX(상세표[시작],$M107),"yyyy-mm-dd hh:mm"),INDEX(상세표[시작],$M107)&amp;""))</f>
        <v/>
      </c>
      <c r="E107">
        <f>IF($M107="","",IF(ISNUMBER(INDEX(상세표[종료],$M107)),TEXT(INDEX(상세표[종료],$M107),"yyyy-mm-dd hh:mm"),INDEX(상세표[종료],$M107)&amp;""))</f>
        <v/>
      </c>
      <c r="F107" s="20">
        <f>IF($M107="","",INDEX(상세표[기록 시간외],$M107))</f>
        <v/>
      </c>
      <c r="G107">
        <f>IF($M107="","",INDEX(상세표[시작월 기관],$M107)&amp;"")</f>
        <v/>
      </c>
      <c r="H107">
        <f>IF($M107="","",INDEX(상세표[종료월 기관],$M107)&amp;"")</f>
        <v/>
      </c>
      <c r="I107">
        <f>IF($M107="","",INDEX(상세표[월경계 판정],$M107)&amp;"")</f>
        <v/>
      </c>
      <c r="J107">
        <f>IF($M107="","",INDEX(상세표[반영월],$M107)&amp;"")</f>
        <v/>
      </c>
      <c r="K107">
        <f>IF($M107="","",INDEX(상세표[반영 기관],$M107)&amp;"")</f>
        <v/>
      </c>
      <c r="L107">
        <f>IF($M107="","",INDEX(상세표[기관 출처],$M107)&amp;"")</f>
        <v/>
      </c>
      <c r="M107" s="4">
        <f>IFERROR(MATCH(102,상세표[경계순번],0),"")</f>
        <v/>
      </c>
    </row>
    <row r="108">
      <c r="A108">
        <f>IF($M108="","",INDEX(상세표[사번],$M108)&amp;"")</f>
        <v/>
      </c>
      <c r="B108">
        <f>IF($M108="","",INDEX(상세표[성명],$M108)&amp;"")</f>
        <v/>
      </c>
      <c r="C108">
        <f>IF($M108="","",IF(INDEX(상세표[종료월],$M108)=대상월키,"전월→이번 달","이번 달→익월"))</f>
        <v/>
      </c>
      <c r="D108">
        <f>IF($M108="","",IF(ISNUMBER(INDEX(상세표[시작],$M108)),TEXT(INDEX(상세표[시작],$M108),"yyyy-mm-dd hh:mm"),INDEX(상세표[시작],$M108)&amp;""))</f>
        <v/>
      </c>
      <c r="E108">
        <f>IF($M108="","",IF(ISNUMBER(INDEX(상세표[종료],$M108)),TEXT(INDEX(상세표[종료],$M108),"yyyy-mm-dd hh:mm"),INDEX(상세표[종료],$M108)&amp;""))</f>
        <v/>
      </c>
      <c r="F108" s="20">
        <f>IF($M108="","",INDEX(상세표[기록 시간외],$M108))</f>
        <v/>
      </c>
      <c r="G108">
        <f>IF($M108="","",INDEX(상세표[시작월 기관],$M108)&amp;"")</f>
        <v/>
      </c>
      <c r="H108">
        <f>IF($M108="","",INDEX(상세표[종료월 기관],$M108)&amp;"")</f>
        <v/>
      </c>
      <c r="I108">
        <f>IF($M108="","",INDEX(상세표[월경계 판정],$M108)&amp;"")</f>
        <v/>
      </c>
      <c r="J108">
        <f>IF($M108="","",INDEX(상세표[반영월],$M108)&amp;"")</f>
        <v/>
      </c>
      <c r="K108">
        <f>IF($M108="","",INDEX(상세표[반영 기관],$M108)&amp;"")</f>
        <v/>
      </c>
      <c r="L108">
        <f>IF($M108="","",INDEX(상세표[기관 출처],$M108)&amp;"")</f>
        <v/>
      </c>
      <c r="M108" s="4">
        <f>IFERROR(MATCH(103,상세표[경계순번],0),"")</f>
        <v/>
      </c>
    </row>
    <row r="109">
      <c r="A109">
        <f>IF($M109="","",INDEX(상세표[사번],$M109)&amp;"")</f>
        <v/>
      </c>
      <c r="B109">
        <f>IF($M109="","",INDEX(상세표[성명],$M109)&amp;"")</f>
        <v/>
      </c>
      <c r="C109">
        <f>IF($M109="","",IF(INDEX(상세표[종료월],$M109)=대상월키,"전월→이번 달","이번 달→익월"))</f>
        <v/>
      </c>
      <c r="D109">
        <f>IF($M109="","",IF(ISNUMBER(INDEX(상세표[시작],$M109)),TEXT(INDEX(상세표[시작],$M109),"yyyy-mm-dd hh:mm"),INDEX(상세표[시작],$M109)&amp;""))</f>
        <v/>
      </c>
      <c r="E109">
        <f>IF($M109="","",IF(ISNUMBER(INDEX(상세표[종료],$M109)),TEXT(INDEX(상세표[종료],$M109),"yyyy-mm-dd hh:mm"),INDEX(상세표[종료],$M109)&amp;""))</f>
        <v/>
      </c>
      <c r="F109" s="20">
        <f>IF($M109="","",INDEX(상세표[기록 시간외],$M109))</f>
        <v/>
      </c>
      <c r="G109">
        <f>IF($M109="","",INDEX(상세표[시작월 기관],$M109)&amp;"")</f>
        <v/>
      </c>
      <c r="H109">
        <f>IF($M109="","",INDEX(상세표[종료월 기관],$M109)&amp;"")</f>
        <v/>
      </c>
      <c r="I109">
        <f>IF($M109="","",INDEX(상세표[월경계 판정],$M109)&amp;"")</f>
        <v/>
      </c>
      <c r="J109">
        <f>IF($M109="","",INDEX(상세표[반영월],$M109)&amp;"")</f>
        <v/>
      </c>
      <c r="K109">
        <f>IF($M109="","",INDEX(상세표[반영 기관],$M109)&amp;"")</f>
        <v/>
      </c>
      <c r="L109">
        <f>IF($M109="","",INDEX(상세표[기관 출처],$M109)&amp;"")</f>
        <v/>
      </c>
      <c r="M109" s="4">
        <f>IFERROR(MATCH(104,상세표[경계순번],0),"")</f>
        <v/>
      </c>
    </row>
    <row r="110">
      <c r="A110">
        <f>IF($M110="","",INDEX(상세표[사번],$M110)&amp;"")</f>
        <v/>
      </c>
      <c r="B110">
        <f>IF($M110="","",INDEX(상세표[성명],$M110)&amp;"")</f>
        <v/>
      </c>
      <c r="C110">
        <f>IF($M110="","",IF(INDEX(상세표[종료월],$M110)=대상월키,"전월→이번 달","이번 달→익월"))</f>
        <v/>
      </c>
      <c r="D110">
        <f>IF($M110="","",IF(ISNUMBER(INDEX(상세표[시작],$M110)),TEXT(INDEX(상세표[시작],$M110),"yyyy-mm-dd hh:mm"),INDEX(상세표[시작],$M110)&amp;""))</f>
        <v/>
      </c>
      <c r="E110">
        <f>IF($M110="","",IF(ISNUMBER(INDEX(상세표[종료],$M110)),TEXT(INDEX(상세표[종료],$M110),"yyyy-mm-dd hh:mm"),INDEX(상세표[종료],$M110)&amp;""))</f>
        <v/>
      </c>
      <c r="F110" s="20">
        <f>IF($M110="","",INDEX(상세표[기록 시간외],$M110))</f>
        <v/>
      </c>
      <c r="G110">
        <f>IF($M110="","",INDEX(상세표[시작월 기관],$M110)&amp;"")</f>
        <v/>
      </c>
      <c r="H110">
        <f>IF($M110="","",INDEX(상세표[종료월 기관],$M110)&amp;"")</f>
        <v/>
      </c>
      <c r="I110">
        <f>IF($M110="","",INDEX(상세표[월경계 판정],$M110)&amp;"")</f>
        <v/>
      </c>
      <c r="J110">
        <f>IF($M110="","",INDEX(상세표[반영월],$M110)&amp;"")</f>
        <v/>
      </c>
      <c r="K110">
        <f>IF($M110="","",INDEX(상세표[반영 기관],$M110)&amp;"")</f>
        <v/>
      </c>
      <c r="L110">
        <f>IF($M110="","",INDEX(상세표[기관 출처],$M110)&amp;"")</f>
        <v/>
      </c>
      <c r="M110" s="4">
        <f>IFERROR(MATCH(105,상세표[경계순번],0),"")</f>
        <v/>
      </c>
    </row>
    <row r="111">
      <c r="A111">
        <f>IF($M111="","",INDEX(상세표[사번],$M111)&amp;"")</f>
        <v/>
      </c>
      <c r="B111">
        <f>IF($M111="","",INDEX(상세표[성명],$M111)&amp;"")</f>
        <v/>
      </c>
      <c r="C111">
        <f>IF($M111="","",IF(INDEX(상세표[종료월],$M111)=대상월키,"전월→이번 달","이번 달→익월"))</f>
        <v/>
      </c>
      <c r="D111">
        <f>IF($M111="","",IF(ISNUMBER(INDEX(상세표[시작],$M111)),TEXT(INDEX(상세표[시작],$M111),"yyyy-mm-dd hh:mm"),INDEX(상세표[시작],$M111)&amp;""))</f>
        <v/>
      </c>
      <c r="E111">
        <f>IF($M111="","",IF(ISNUMBER(INDEX(상세표[종료],$M111)),TEXT(INDEX(상세표[종료],$M111),"yyyy-mm-dd hh:mm"),INDEX(상세표[종료],$M111)&amp;""))</f>
        <v/>
      </c>
      <c r="F111" s="20">
        <f>IF($M111="","",INDEX(상세표[기록 시간외],$M111))</f>
        <v/>
      </c>
      <c r="G111">
        <f>IF($M111="","",INDEX(상세표[시작월 기관],$M111)&amp;"")</f>
        <v/>
      </c>
      <c r="H111">
        <f>IF($M111="","",INDEX(상세표[종료월 기관],$M111)&amp;"")</f>
        <v/>
      </c>
      <c r="I111">
        <f>IF($M111="","",INDEX(상세표[월경계 판정],$M111)&amp;"")</f>
        <v/>
      </c>
      <c r="J111">
        <f>IF($M111="","",INDEX(상세표[반영월],$M111)&amp;"")</f>
        <v/>
      </c>
      <c r="K111">
        <f>IF($M111="","",INDEX(상세표[반영 기관],$M111)&amp;"")</f>
        <v/>
      </c>
      <c r="L111">
        <f>IF($M111="","",INDEX(상세표[기관 출처],$M111)&amp;"")</f>
        <v/>
      </c>
      <c r="M111" s="4">
        <f>IFERROR(MATCH(106,상세표[경계순번],0),"")</f>
        <v/>
      </c>
    </row>
    <row r="112">
      <c r="A112">
        <f>IF($M112="","",INDEX(상세표[사번],$M112)&amp;"")</f>
        <v/>
      </c>
      <c r="B112">
        <f>IF($M112="","",INDEX(상세표[성명],$M112)&amp;"")</f>
        <v/>
      </c>
      <c r="C112">
        <f>IF($M112="","",IF(INDEX(상세표[종료월],$M112)=대상월키,"전월→이번 달","이번 달→익월"))</f>
        <v/>
      </c>
      <c r="D112">
        <f>IF($M112="","",IF(ISNUMBER(INDEX(상세표[시작],$M112)),TEXT(INDEX(상세표[시작],$M112),"yyyy-mm-dd hh:mm"),INDEX(상세표[시작],$M112)&amp;""))</f>
        <v/>
      </c>
      <c r="E112">
        <f>IF($M112="","",IF(ISNUMBER(INDEX(상세표[종료],$M112)),TEXT(INDEX(상세표[종료],$M112),"yyyy-mm-dd hh:mm"),INDEX(상세표[종료],$M112)&amp;""))</f>
        <v/>
      </c>
      <c r="F112" s="20">
        <f>IF($M112="","",INDEX(상세표[기록 시간외],$M112))</f>
        <v/>
      </c>
      <c r="G112">
        <f>IF($M112="","",INDEX(상세표[시작월 기관],$M112)&amp;"")</f>
        <v/>
      </c>
      <c r="H112">
        <f>IF($M112="","",INDEX(상세표[종료월 기관],$M112)&amp;"")</f>
        <v/>
      </c>
      <c r="I112">
        <f>IF($M112="","",INDEX(상세표[월경계 판정],$M112)&amp;"")</f>
        <v/>
      </c>
      <c r="J112">
        <f>IF($M112="","",INDEX(상세표[반영월],$M112)&amp;"")</f>
        <v/>
      </c>
      <c r="K112">
        <f>IF($M112="","",INDEX(상세표[반영 기관],$M112)&amp;"")</f>
        <v/>
      </c>
      <c r="L112">
        <f>IF($M112="","",INDEX(상세표[기관 출처],$M112)&amp;"")</f>
        <v/>
      </c>
      <c r="M112" s="4">
        <f>IFERROR(MATCH(107,상세표[경계순번],0),"")</f>
        <v/>
      </c>
    </row>
    <row r="113">
      <c r="A113">
        <f>IF($M113="","",INDEX(상세표[사번],$M113)&amp;"")</f>
        <v/>
      </c>
      <c r="B113">
        <f>IF($M113="","",INDEX(상세표[성명],$M113)&amp;"")</f>
        <v/>
      </c>
      <c r="C113">
        <f>IF($M113="","",IF(INDEX(상세표[종료월],$M113)=대상월키,"전월→이번 달","이번 달→익월"))</f>
        <v/>
      </c>
      <c r="D113">
        <f>IF($M113="","",IF(ISNUMBER(INDEX(상세표[시작],$M113)),TEXT(INDEX(상세표[시작],$M113),"yyyy-mm-dd hh:mm"),INDEX(상세표[시작],$M113)&amp;""))</f>
        <v/>
      </c>
      <c r="E113">
        <f>IF($M113="","",IF(ISNUMBER(INDEX(상세표[종료],$M113)),TEXT(INDEX(상세표[종료],$M113),"yyyy-mm-dd hh:mm"),INDEX(상세표[종료],$M113)&amp;""))</f>
        <v/>
      </c>
      <c r="F113" s="20">
        <f>IF($M113="","",INDEX(상세표[기록 시간외],$M113))</f>
        <v/>
      </c>
      <c r="G113">
        <f>IF($M113="","",INDEX(상세표[시작월 기관],$M113)&amp;"")</f>
        <v/>
      </c>
      <c r="H113">
        <f>IF($M113="","",INDEX(상세표[종료월 기관],$M113)&amp;"")</f>
        <v/>
      </c>
      <c r="I113">
        <f>IF($M113="","",INDEX(상세표[월경계 판정],$M113)&amp;"")</f>
        <v/>
      </c>
      <c r="J113">
        <f>IF($M113="","",INDEX(상세표[반영월],$M113)&amp;"")</f>
        <v/>
      </c>
      <c r="K113">
        <f>IF($M113="","",INDEX(상세표[반영 기관],$M113)&amp;"")</f>
        <v/>
      </c>
      <c r="L113">
        <f>IF($M113="","",INDEX(상세표[기관 출처],$M113)&amp;"")</f>
        <v/>
      </c>
      <c r="M113" s="4">
        <f>IFERROR(MATCH(108,상세표[경계순번],0),"")</f>
        <v/>
      </c>
    </row>
    <row r="114">
      <c r="A114">
        <f>IF($M114="","",INDEX(상세표[사번],$M114)&amp;"")</f>
        <v/>
      </c>
      <c r="B114">
        <f>IF($M114="","",INDEX(상세표[성명],$M114)&amp;"")</f>
        <v/>
      </c>
      <c r="C114">
        <f>IF($M114="","",IF(INDEX(상세표[종료월],$M114)=대상월키,"전월→이번 달","이번 달→익월"))</f>
        <v/>
      </c>
      <c r="D114">
        <f>IF($M114="","",IF(ISNUMBER(INDEX(상세표[시작],$M114)),TEXT(INDEX(상세표[시작],$M114),"yyyy-mm-dd hh:mm"),INDEX(상세표[시작],$M114)&amp;""))</f>
        <v/>
      </c>
      <c r="E114">
        <f>IF($M114="","",IF(ISNUMBER(INDEX(상세표[종료],$M114)),TEXT(INDEX(상세표[종료],$M114),"yyyy-mm-dd hh:mm"),INDEX(상세표[종료],$M114)&amp;""))</f>
        <v/>
      </c>
      <c r="F114" s="20">
        <f>IF($M114="","",INDEX(상세표[기록 시간외],$M114))</f>
        <v/>
      </c>
      <c r="G114">
        <f>IF($M114="","",INDEX(상세표[시작월 기관],$M114)&amp;"")</f>
        <v/>
      </c>
      <c r="H114">
        <f>IF($M114="","",INDEX(상세표[종료월 기관],$M114)&amp;"")</f>
        <v/>
      </c>
      <c r="I114">
        <f>IF($M114="","",INDEX(상세표[월경계 판정],$M114)&amp;"")</f>
        <v/>
      </c>
      <c r="J114">
        <f>IF($M114="","",INDEX(상세표[반영월],$M114)&amp;"")</f>
        <v/>
      </c>
      <c r="K114">
        <f>IF($M114="","",INDEX(상세표[반영 기관],$M114)&amp;"")</f>
        <v/>
      </c>
      <c r="L114">
        <f>IF($M114="","",INDEX(상세표[기관 출처],$M114)&amp;"")</f>
        <v/>
      </c>
      <c r="M114" s="4">
        <f>IFERROR(MATCH(109,상세표[경계순번],0),"")</f>
        <v/>
      </c>
    </row>
    <row r="115">
      <c r="A115">
        <f>IF($M115="","",INDEX(상세표[사번],$M115)&amp;"")</f>
        <v/>
      </c>
      <c r="B115">
        <f>IF($M115="","",INDEX(상세표[성명],$M115)&amp;"")</f>
        <v/>
      </c>
      <c r="C115">
        <f>IF($M115="","",IF(INDEX(상세표[종료월],$M115)=대상월키,"전월→이번 달","이번 달→익월"))</f>
        <v/>
      </c>
      <c r="D115">
        <f>IF($M115="","",IF(ISNUMBER(INDEX(상세표[시작],$M115)),TEXT(INDEX(상세표[시작],$M115),"yyyy-mm-dd hh:mm"),INDEX(상세표[시작],$M115)&amp;""))</f>
        <v/>
      </c>
      <c r="E115">
        <f>IF($M115="","",IF(ISNUMBER(INDEX(상세표[종료],$M115)),TEXT(INDEX(상세표[종료],$M115),"yyyy-mm-dd hh:mm"),INDEX(상세표[종료],$M115)&amp;""))</f>
        <v/>
      </c>
      <c r="F115" s="20">
        <f>IF($M115="","",INDEX(상세표[기록 시간외],$M115))</f>
        <v/>
      </c>
      <c r="G115">
        <f>IF($M115="","",INDEX(상세표[시작월 기관],$M115)&amp;"")</f>
        <v/>
      </c>
      <c r="H115">
        <f>IF($M115="","",INDEX(상세표[종료월 기관],$M115)&amp;"")</f>
        <v/>
      </c>
      <c r="I115">
        <f>IF($M115="","",INDEX(상세표[월경계 판정],$M115)&amp;"")</f>
        <v/>
      </c>
      <c r="J115">
        <f>IF($M115="","",INDEX(상세표[반영월],$M115)&amp;"")</f>
        <v/>
      </c>
      <c r="K115">
        <f>IF($M115="","",INDEX(상세표[반영 기관],$M115)&amp;"")</f>
        <v/>
      </c>
      <c r="L115">
        <f>IF($M115="","",INDEX(상세표[기관 출처],$M115)&amp;"")</f>
        <v/>
      </c>
      <c r="M115" s="4">
        <f>IFERROR(MATCH(110,상세표[경계순번],0),"")</f>
        <v/>
      </c>
    </row>
    <row r="116">
      <c r="A116">
        <f>IF($M116="","",INDEX(상세표[사번],$M116)&amp;"")</f>
        <v/>
      </c>
      <c r="B116">
        <f>IF($M116="","",INDEX(상세표[성명],$M116)&amp;"")</f>
        <v/>
      </c>
      <c r="C116">
        <f>IF($M116="","",IF(INDEX(상세표[종료월],$M116)=대상월키,"전월→이번 달","이번 달→익월"))</f>
        <v/>
      </c>
      <c r="D116">
        <f>IF($M116="","",IF(ISNUMBER(INDEX(상세표[시작],$M116)),TEXT(INDEX(상세표[시작],$M116),"yyyy-mm-dd hh:mm"),INDEX(상세표[시작],$M116)&amp;""))</f>
        <v/>
      </c>
      <c r="E116">
        <f>IF($M116="","",IF(ISNUMBER(INDEX(상세표[종료],$M116)),TEXT(INDEX(상세표[종료],$M116),"yyyy-mm-dd hh:mm"),INDEX(상세표[종료],$M116)&amp;""))</f>
        <v/>
      </c>
      <c r="F116" s="20">
        <f>IF($M116="","",INDEX(상세표[기록 시간외],$M116))</f>
        <v/>
      </c>
      <c r="G116">
        <f>IF($M116="","",INDEX(상세표[시작월 기관],$M116)&amp;"")</f>
        <v/>
      </c>
      <c r="H116">
        <f>IF($M116="","",INDEX(상세표[종료월 기관],$M116)&amp;"")</f>
        <v/>
      </c>
      <c r="I116">
        <f>IF($M116="","",INDEX(상세표[월경계 판정],$M116)&amp;"")</f>
        <v/>
      </c>
      <c r="J116">
        <f>IF($M116="","",INDEX(상세표[반영월],$M116)&amp;"")</f>
        <v/>
      </c>
      <c r="K116">
        <f>IF($M116="","",INDEX(상세표[반영 기관],$M116)&amp;"")</f>
        <v/>
      </c>
      <c r="L116">
        <f>IF($M116="","",INDEX(상세표[기관 출처],$M116)&amp;"")</f>
        <v/>
      </c>
      <c r="M116" s="4">
        <f>IFERROR(MATCH(111,상세표[경계순번],0),"")</f>
        <v/>
      </c>
    </row>
    <row r="117">
      <c r="A117">
        <f>IF($M117="","",INDEX(상세표[사번],$M117)&amp;"")</f>
        <v/>
      </c>
      <c r="B117">
        <f>IF($M117="","",INDEX(상세표[성명],$M117)&amp;"")</f>
        <v/>
      </c>
      <c r="C117">
        <f>IF($M117="","",IF(INDEX(상세표[종료월],$M117)=대상월키,"전월→이번 달","이번 달→익월"))</f>
        <v/>
      </c>
      <c r="D117">
        <f>IF($M117="","",IF(ISNUMBER(INDEX(상세표[시작],$M117)),TEXT(INDEX(상세표[시작],$M117),"yyyy-mm-dd hh:mm"),INDEX(상세표[시작],$M117)&amp;""))</f>
        <v/>
      </c>
      <c r="E117">
        <f>IF($M117="","",IF(ISNUMBER(INDEX(상세표[종료],$M117)),TEXT(INDEX(상세표[종료],$M117),"yyyy-mm-dd hh:mm"),INDEX(상세표[종료],$M117)&amp;""))</f>
        <v/>
      </c>
      <c r="F117" s="20">
        <f>IF($M117="","",INDEX(상세표[기록 시간외],$M117))</f>
        <v/>
      </c>
      <c r="G117">
        <f>IF($M117="","",INDEX(상세표[시작월 기관],$M117)&amp;"")</f>
        <v/>
      </c>
      <c r="H117">
        <f>IF($M117="","",INDEX(상세표[종료월 기관],$M117)&amp;"")</f>
        <v/>
      </c>
      <c r="I117">
        <f>IF($M117="","",INDEX(상세표[월경계 판정],$M117)&amp;"")</f>
        <v/>
      </c>
      <c r="J117">
        <f>IF($M117="","",INDEX(상세표[반영월],$M117)&amp;"")</f>
        <v/>
      </c>
      <c r="K117">
        <f>IF($M117="","",INDEX(상세표[반영 기관],$M117)&amp;"")</f>
        <v/>
      </c>
      <c r="L117">
        <f>IF($M117="","",INDEX(상세표[기관 출처],$M117)&amp;"")</f>
        <v/>
      </c>
      <c r="M117" s="4">
        <f>IFERROR(MATCH(112,상세표[경계순번],0),"")</f>
        <v/>
      </c>
    </row>
    <row r="118">
      <c r="A118">
        <f>IF($M118="","",INDEX(상세표[사번],$M118)&amp;"")</f>
        <v/>
      </c>
      <c r="B118">
        <f>IF($M118="","",INDEX(상세표[성명],$M118)&amp;"")</f>
        <v/>
      </c>
      <c r="C118">
        <f>IF($M118="","",IF(INDEX(상세표[종료월],$M118)=대상월키,"전월→이번 달","이번 달→익월"))</f>
        <v/>
      </c>
      <c r="D118">
        <f>IF($M118="","",IF(ISNUMBER(INDEX(상세표[시작],$M118)),TEXT(INDEX(상세표[시작],$M118),"yyyy-mm-dd hh:mm"),INDEX(상세표[시작],$M118)&amp;""))</f>
        <v/>
      </c>
      <c r="E118">
        <f>IF($M118="","",IF(ISNUMBER(INDEX(상세표[종료],$M118)),TEXT(INDEX(상세표[종료],$M118),"yyyy-mm-dd hh:mm"),INDEX(상세표[종료],$M118)&amp;""))</f>
        <v/>
      </c>
      <c r="F118" s="20">
        <f>IF($M118="","",INDEX(상세표[기록 시간외],$M118))</f>
        <v/>
      </c>
      <c r="G118">
        <f>IF($M118="","",INDEX(상세표[시작월 기관],$M118)&amp;"")</f>
        <v/>
      </c>
      <c r="H118">
        <f>IF($M118="","",INDEX(상세표[종료월 기관],$M118)&amp;"")</f>
        <v/>
      </c>
      <c r="I118">
        <f>IF($M118="","",INDEX(상세표[월경계 판정],$M118)&amp;"")</f>
        <v/>
      </c>
      <c r="J118">
        <f>IF($M118="","",INDEX(상세표[반영월],$M118)&amp;"")</f>
        <v/>
      </c>
      <c r="K118">
        <f>IF($M118="","",INDEX(상세표[반영 기관],$M118)&amp;"")</f>
        <v/>
      </c>
      <c r="L118">
        <f>IF($M118="","",INDEX(상세표[기관 출처],$M118)&amp;"")</f>
        <v/>
      </c>
      <c r="M118" s="4">
        <f>IFERROR(MATCH(113,상세표[경계순번],0),"")</f>
        <v/>
      </c>
    </row>
    <row r="119">
      <c r="A119">
        <f>IF($M119="","",INDEX(상세표[사번],$M119)&amp;"")</f>
        <v/>
      </c>
      <c r="B119">
        <f>IF($M119="","",INDEX(상세표[성명],$M119)&amp;"")</f>
        <v/>
      </c>
      <c r="C119">
        <f>IF($M119="","",IF(INDEX(상세표[종료월],$M119)=대상월키,"전월→이번 달","이번 달→익월"))</f>
        <v/>
      </c>
      <c r="D119">
        <f>IF($M119="","",IF(ISNUMBER(INDEX(상세표[시작],$M119)),TEXT(INDEX(상세표[시작],$M119),"yyyy-mm-dd hh:mm"),INDEX(상세표[시작],$M119)&amp;""))</f>
        <v/>
      </c>
      <c r="E119">
        <f>IF($M119="","",IF(ISNUMBER(INDEX(상세표[종료],$M119)),TEXT(INDEX(상세표[종료],$M119),"yyyy-mm-dd hh:mm"),INDEX(상세표[종료],$M119)&amp;""))</f>
        <v/>
      </c>
      <c r="F119" s="20">
        <f>IF($M119="","",INDEX(상세표[기록 시간외],$M119))</f>
        <v/>
      </c>
      <c r="G119">
        <f>IF($M119="","",INDEX(상세표[시작월 기관],$M119)&amp;"")</f>
        <v/>
      </c>
      <c r="H119">
        <f>IF($M119="","",INDEX(상세표[종료월 기관],$M119)&amp;"")</f>
        <v/>
      </c>
      <c r="I119">
        <f>IF($M119="","",INDEX(상세표[월경계 판정],$M119)&amp;"")</f>
        <v/>
      </c>
      <c r="J119">
        <f>IF($M119="","",INDEX(상세표[반영월],$M119)&amp;"")</f>
        <v/>
      </c>
      <c r="K119">
        <f>IF($M119="","",INDEX(상세표[반영 기관],$M119)&amp;"")</f>
        <v/>
      </c>
      <c r="L119">
        <f>IF($M119="","",INDEX(상세표[기관 출처],$M119)&amp;"")</f>
        <v/>
      </c>
      <c r="M119" s="4">
        <f>IFERROR(MATCH(114,상세표[경계순번],0),"")</f>
        <v/>
      </c>
    </row>
    <row r="120">
      <c r="A120">
        <f>IF($M120="","",INDEX(상세표[사번],$M120)&amp;"")</f>
        <v/>
      </c>
      <c r="B120">
        <f>IF($M120="","",INDEX(상세표[성명],$M120)&amp;"")</f>
        <v/>
      </c>
      <c r="C120">
        <f>IF($M120="","",IF(INDEX(상세표[종료월],$M120)=대상월키,"전월→이번 달","이번 달→익월"))</f>
        <v/>
      </c>
      <c r="D120">
        <f>IF($M120="","",IF(ISNUMBER(INDEX(상세표[시작],$M120)),TEXT(INDEX(상세표[시작],$M120),"yyyy-mm-dd hh:mm"),INDEX(상세표[시작],$M120)&amp;""))</f>
        <v/>
      </c>
      <c r="E120">
        <f>IF($M120="","",IF(ISNUMBER(INDEX(상세표[종료],$M120)),TEXT(INDEX(상세표[종료],$M120),"yyyy-mm-dd hh:mm"),INDEX(상세표[종료],$M120)&amp;""))</f>
        <v/>
      </c>
      <c r="F120" s="20">
        <f>IF($M120="","",INDEX(상세표[기록 시간외],$M120))</f>
        <v/>
      </c>
      <c r="G120">
        <f>IF($M120="","",INDEX(상세표[시작월 기관],$M120)&amp;"")</f>
        <v/>
      </c>
      <c r="H120">
        <f>IF($M120="","",INDEX(상세표[종료월 기관],$M120)&amp;"")</f>
        <v/>
      </c>
      <c r="I120">
        <f>IF($M120="","",INDEX(상세표[월경계 판정],$M120)&amp;"")</f>
        <v/>
      </c>
      <c r="J120">
        <f>IF($M120="","",INDEX(상세표[반영월],$M120)&amp;"")</f>
        <v/>
      </c>
      <c r="K120">
        <f>IF($M120="","",INDEX(상세표[반영 기관],$M120)&amp;"")</f>
        <v/>
      </c>
      <c r="L120">
        <f>IF($M120="","",INDEX(상세표[기관 출처],$M120)&amp;"")</f>
        <v/>
      </c>
      <c r="M120" s="4">
        <f>IFERROR(MATCH(115,상세표[경계순번],0),"")</f>
        <v/>
      </c>
    </row>
    <row r="121">
      <c r="A121">
        <f>IF($M121="","",INDEX(상세표[사번],$M121)&amp;"")</f>
        <v/>
      </c>
      <c r="B121">
        <f>IF($M121="","",INDEX(상세표[성명],$M121)&amp;"")</f>
        <v/>
      </c>
      <c r="C121">
        <f>IF($M121="","",IF(INDEX(상세표[종료월],$M121)=대상월키,"전월→이번 달","이번 달→익월"))</f>
        <v/>
      </c>
      <c r="D121">
        <f>IF($M121="","",IF(ISNUMBER(INDEX(상세표[시작],$M121)),TEXT(INDEX(상세표[시작],$M121),"yyyy-mm-dd hh:mm"),INDEX(상세표[시작],$M121)&amp;""))</f>
        <v/>
      </c>
      <c r="E121">
        <f>IF($M121="","",IF(ISNUMBER(INDEX(상세표[종료],$M121)),TEXT(INDEX(상세표[종료],$M121),"yyyy-mm-dd hh:mm"),INDEX(상세표[종료],$M121)&amp;""))</f>
        <v/>
      </c>
      <c r="F121" s="20">
        <f>IF($M121="","",INDEX(상세표[기록 시간외],$M121))</f>
        <v/>
      </c>
      <c r="G121">
        <f>IF($M121="","",INDEX(상세표[시작월 기관],$M121)&amp;"")</f>
        <v/>
      </c>
      <c r="H121">
        <f>IF($M121="","",INDEX(상세표[종료월 기관],$M121)&amp;"")</f>
        <v/>
      </c>
      <c r="I121">
        <f>IF($M121="","",INDEX(상세표[월경계 판정],$M121)&amp;"")</f>
        <v/>
      </c>
      <c r="J121">
        <f>IF($M121="","",INDEX(상세표[반영월],$M121)&amp;"")</f>
        <v/>
      </c>
      <c r="K121">
        <f>IF($M121="","",INDEX(상세표[반영 기관],$M121)&amp;"")</f>
        <v/>
      </c>
      <c r="L121">
        <f>IF($M121="","",INDEX(상세표[기관 출처],$M121)&amp;"")</f>
        <v/>
      </c>
      <c r="M121" s="4">
        <f>IFERROR(MATCH(116,상세표[경계순번],0),"")</f>
        <v/>
      </c>
    </row>
    <row r="122">
      <c r="A122">
        <f>IF($M122="","",INDEX(상세표[사번],$M122)&amp;"")</f>
        <v/>
      </c>
      <c r="B122">
        <f>IF($M122="","",INDEX(상세표[성명],$M122)&amp;"")</f>
        <v/>
      </c>
      <c r="C122">
        <f>IF($M122="","",IF(INDEX(상세표[종료월],$M122)=대상월키,"전월→이번 달","이번 달→익월"))</f>
        <v/>
      </c>
      <c r="D122">
        <f>IF($M122="","",IF(ISNUMBER(INDEX(상세표[시작],$M122)),TEXT(INDEX(상세표[시작],$M122),"yyyy-mm-dd hh:mm"),INDEX(상세표[시작],$M122)&amp;""))</f>
        <v/>
      </c>
      <c r="E122">
        <f>IF($M122="","",IF(ISNUMBER(INDEX(상세표[종료],$M122)),TEXT(INDEX(상세표[종료],$M122),"yyyy-mm-dd hh:mm"),INDEX(상세표[종료],$M122)&amp;""))</f>
        <v/>
      </c>
      <c r="F122" s="20">
        <f>IF($M122="","",INDEX(상세표[기록 시간외],$M122))</f>
        <v/>
      </c>
      <c r="G122">
        <f>IF($M122="","",INDEX(상세표[시작월 기관],$M122)&amp;"")</f>
        <v/>
      </c>
      <c r="H122">
        <f>IF($M122="","",INDEX(상세표[종료월 기관],$M122)&amp;"")</f>
        <v/>
      </c>
      <c r="I122">
        <f>IF($M122="","",INDEX(상세표[월경계 판정],$M122)&amp;"")</f>
        <v/>
      </c>
      <c r="J122">
        <f>IF($M122="","",INDEX(상세표[반영월],$M122)&amp;"")</f>
        <v/>
      </c>
      <c r="K122">
        <f>IF($M122="","",INDEX(상세표[반영 기관],$M122)&amp;"")</f>
        <v/>
      </c>
      <c r="L122">
        <f>IF($M122="","",INDEX(상세표[기관 출처],$M122)&amp;"")</f>
        <v/>
      </c>
      <c r="M122" s="4">
        <f>IFERROR(MATCH(117,상세표[경계순번],0),"")</f>
        <v/>
      </c>
    </row>
    <row r="123">
      <c r="A123">
        <f>IF($M123="","",INDEX(상세표[사번],$M123)&amp;"")</f>
        <v/>
      </c>
      <c r="B123">
        <f>IF($M123="","",INDEX(상세표[성명],$M123)&amp;"")</f>
        <v/>
      </c>
      <c r="C123">
        <f>IF($M123="","",IF(INDEX(상세표[종료월],$M123)=대상월키,"전월→이번 달","이번 달→익월"))</f>
        <v/>
      </c>
      <c r="D123">
        <f>IF($M123="","",IF(ISNUMBER(INDEX(상세표[시작],$M123)),TEXT(INDEX(상세표[시작],$M123),"yyyy-mm-dd hh:mm"),INDEX(상세표[시작],$M123)&amp;""))</f>
        <v/>
      </c>
      <c r="E123">
        <f>IF($M123="","",IF(ISNUMBER(INDEX(상세표[종료],$M123)),TEXT(INDEX(상세표[종료],$M123),"yyyy-mm-dd hh:mm"),INDEX(상세표[종료],$M123)&amp;""))</f>
        <v/>
      </c>
      <c r="F123" s="20">
        <f>IF($M123="","",INDEX(상세표[기록 시간외],$M123))</f>
        <v/>
      </c>
      <c r="G123">
        <f>IF($M123="","",INDEX(상세표[시작월 기관],$M123)&amp;"")</f>
        <v/>
      </c>
      <c r="H123">
        <f>IF($M123="","",INDEX(상세표[종료월 기관],$M123)&amp;"")</f>
        <v/>
      </c>
      <c r="I123">
        <f>IF($M123="","",INDEX(상세표[월경계 판정],$M123)&amp;"")</f>
        <v/>
      </c>
      <c r="J123">
        <f>IF($M123="","",INDEX(상세표[반영월],$M123)&amp;"")</f>
        <v/>
      </c>
      <c r="K123">
        <f>IF($M123="","",INDEX(상세표[반영 기관],$M123)&amp;"")</f>
        <v/>
      </c>
      <c r="L123">
        <f>IF($M123="","",INDEX(상세표[기관 출처],$M123)&amp;"")</f>
        <v/>
      </c>
      <c r="M123" s="4">
        <f>IFERROR(MATCH(118,상세표[경계순번],0),"")</f>
        <v/>
      </c>
    </row>
    <row r="124">
      <c r="A124">
        <f>IF($M124="","",INDEX(상세표[사번],$M124)&amp;"")</f>
        <v/>
      </c>
      <c r="B124">
        <f>IF($M124="","",INDEX(상세표[성명],$M124)&amp;"")</f>
        <v/>
      </c>
      <c r="C124">
        <f>IF($M124="","",IF(INDEX(상세표[종료월],$M124)=대상월키,"전월→이번 달","이번 달→익월"))</f>
        <v/>
      </c>
      <c r="D124">
        <f>IF($M124="","",IF(ISNUMBER(INDEX(상세표[시작],$M124)),TEXT(INDEX(상세표[시작],$M124),"yyyy-mm-dd hh:mm"),INDEX(상세표[시작],$M124)&amp;""))</f>
        <v/>
      </c>
      <c r="E124">
        <f>IF($M124="","",IF(ISNUMBER(INDEX(상세표[종료],$M124)),TEXT(INDEX(상세표[종료],$M124),"yyyy-mm-dd hh:mm"),INDEX(상세표[종료],$M124)&amp;""))</f>
        <v/>
      </c>
      <c r="F124" s="20">
        <f>IF($M124="","",INDEX(상세표[기록 시간외],$M124))</f>
        <v/>
      </c>
      <c r="G124">
        <f>IF($M124="","",INDEX(상세표[시작월 기관],$M124)&amp;"")</f>
        <v/>
      </c>
      <c r="H124">
        <f>IF($M124="","",INDEX(상세표[종료월 기관],$M124)&amp;"")</f>
        <v/>
      </c>
      <c r="I124">
        <f>IF($M124="","",INDEX(상세표[월경계 판정],$M124)&amp;"")</f>
        <v/>
      </c>
      <c r="J124">
        <f>IF($M124="","",INDEX(상세표[반영월],$M124)&amp;"")</f>
        <v/>
      </c>
      <c r="K124">
        <f>IF($M124="","",INDEX(상세표[반영 기관],$M124)&amp;"")</f>
        <v/>
      </c>
      <c r="L124">
        <f>IF($M124="","",INDEX(상세표[기관 출처],$M124)&amp;"")</f>
        <v/>
      </c>
      <c r="M124" s="4">
        <f>IFERROR(MATCH(119,상세표[경계순번],0),"")</f>
        <v/>
      </c>
    </row>
    <row r="125">
      <c r="A125">
        <f>IF($M125="","",INDEX(상세표[사번],$M125)&amp;"")</f>
        <v/>
      </c>
      <c r="B125">
        <f>IF($M125="","",INDEX(상세표[성명],$M125)&amp;"")</f>
        <v/>
      </c>
      <c r="C125">
        <f>IF($M125="","",IF(INDEX(상세표[종료월],$M125)=대상월키,"전월→이번 달","이번 달→익월"))</f>
        <v/>
      </c>
      <c r="D125">
        <f>IF($M125="","",IF(ISNUMBER(INDEX(상세표[시작],$M125)),TEXT(INDEX(상세표[시작],$M125),"yyyy-mm-dd hh:mm"),INDEX(상세표[시작],$M125)&amp;""))</f>
        <v/>
      </c>
      <c r="E125">
        <f>IF($M125="","",IF(ISNUMBER(INDEX(상세표[종료],$M125)),TEXT(INDEX(상세표[종료],$M125),"yyyy-mm-dd hh:mm"),INDEX(상세표[종료],$M125)&amp;""))</f>
        <v/>
      </c>
      <c r="F125" s="20">
        <f>IF($M125="","",INDEX(상세표[기록 시간외],$M125))</f>
        <v/>
      </c>
      <c r="G125">
        <f>IF($M125="","",INDEX(상세표[시작월 기관],$M125)&amp;"")</f>
        <v/>
      </c>
      <c r="H125">
        <f>IF($M125="","",INDEX(상세표[종료월 기관],$M125)&amp;"")</f>
        <v/>
      </c>
      <c r="I125">
        <f>IF($M125="","",INDEX(상세표[월경계 판정],$M125)&amp;"")</f>
        <v/>
      </c>
      <c r="J125">
        <f>IF($M125="","",INDEX(상세표[반영월],$M125)&amp;"")</f>
        <v/>
      </c>
      <c r="K125">
        <f>IF($M125="","",INDEX(상세표[반영 기관],$M125)&amp;"")</f>
        <v/>
      </c>
      <c r="L125">
        <f>IF($M125="","",INDEX(상세표[기관 출처],$M125)&amp;"")</f>
        <v/>
      </c>
      <c r="M125" s="4">
        <f>IFERROR(MATCH(120,상세표[경계순번],0),"")</f>
        <v/>
      </c>
    </row>
    <row r="126">
      <c r="A126">
        <f>IF($M126="","",INDEX(상세표[사번],$M126)&amp;"")</f>
        <v/>
      </c>
      <c r="B126">
        <f>IF($M126="","",INDEX(상세표[성명],$M126)&amp;"")</f>
        <v/>
      </c>
      <c r="C126">
        <f>IF($M126="","",IF(INDEX(상세표[종료월],$M126)=대상월키,"전월→이번 달","이번 달→익월"))</f>
        <v/>
      </c>
      <c r="D126">
        <f>IF($M126="","",IF(ISNUMBER(INDEX(상세표[시작],$M126)),TEXT(INDEX(상세표[시작],$M126),"yyyy-mm-dd hh:mm"),INDEX(상세표[시작],$M126)&amp;""))</f>
        <v/>
      </c>
      <c r="E126">
        <f>IF($M126="","",IF(ISNUMBER(INDEX(상세표[종료],$M126)),TEXT(INDEX(상세표[종료],$M126),"yyyy-mm-dd hh:mm"),INDEX(상세표[종료],$M126)&amp;""))</f>
        <v/>
      </c>
      <c r="F126" s="20">
        <f>IF($M126="","",INDEX(상세표[기록 시간외],$M126))</f>
        <v/>
      </c>
      <c r="G126">
        <f>IF($M126="","",INDEX(상세표[시작월 기관],$M126)&amp;"")</f>
        <v/>
      </c>
      <c r="H126">
        <f>IF($M126="","",INDEX(상세표[종료월 기관],$M126)&amp;"")</f>
        <v/>
      </c>
      <c r="I126">
        <f>IF($M126="","",INDEX(상세표[월경계 판정],$M126)&amp;"")</f>
        <v/>
      </c>
      <c r="J126">
        <f>IF($M126="","",INDEX(상세표[반영월],$M126)&amp;"")</f>
        <v/>
      </c>
      <c r="K126">
        <f>IF($M126="","",INDEX(상세표[반영 기관],$M126)&amp;"")</f>
        <v/>
      </c>
      <c r="L126">
        <f>IF($M126="","",INDEX(상세표[기관 출처],$M126)&amp;"")</f>
        <v/>
      </c>
      <c r="M126" s="4">
        <f>IFERROR(MATCH(121,상세표[경계순번],0),"")</f>
        <v/>
      </c>
    </row>
    <row r="127">
      <c r="A127">
        <f>IF($M127="","",INDEX(상세표[사번],$M127)&amp;"")</f>
        <v/>
      </c>
      <c r="B127">
        <f>IF($M127="","",INDEX(상세표[성명],$M127)&amp;"")</f>
        <v/>
      </c>
      <c r="C127">
        <f>IF($M127="","",IF(INDEX(상세표[종료월],$M127)=대상월키,"전월→이번 달","이번 달→익월"))</f>
        <v/>
      </c>
      <c r="D127">
        <f>IF($M127="","",IF(ISNUMBER(INDEX(상세표[시작],$M127)),TEXT(INDEX(상세표[시작],$M127),"yyyy-mm-dd hh:mm"),INDEX(상세표[시작],$M127)&amp;""))</f>
        <v/>
      </c>
      <c r="E127">
        <f>IF($M127="","",IF(ISNUMBER(INDEX(상세표[종료],$M127)),TEXT(INDEX(상세표[종료],$M127),"yyyy-mm-dd hh:mm"),INDEX(상세표[종료],$M127)&amp;""))</f>
        <v/>
      </c>
      <c r="F127" s="20">
        <f>IF($M127="","",INDEX(상세표[기록 시간외],$M127))</f>
        <v/>
      </c>
      <c r="G127">
        <f>IF($M127="","",INDEX(상세표[시작월 기관],$M127)&amp;"")</f>
        <v/>
      </c>
      <c r="H127">
        <f>IF($M127="","",INDEX(상세표[종료월 기관],$M127)&amp;"")</f>
        <v/>
      </c>
      <c r="I127">
        <f>IF($M127="","",INDEX(상세표[월경계 판정],$M127)&amp;"")</f>
        <v/>
      </c>
      <c r="J127">
        <f>IF($M127="","",INDEX(상세표[반영월],$M127)&amp;"")</f>
        <v/>
      </c>
      <c r="K127">
        <f>IF($M127="","",INDEX(상세표[반영 기관],$M127)&amp;"")</f>
        <v/>
      </c>
      <c r="L127">
        <f>IF($M127="","",INDEX(상세표[기관 출처],$M127)&amp;"")</f>
        <v/>
      </c>
      <c r="M127" s="4">
        <f>IFERROR(MATCH(122,상세표[경계순번],0),"")</f>
        <v/>
      </c>
    </row>
    <row r="128">
      <c r="A128">
        <f>IF($M128="","",INDEX(상세표[사번],$M128)&amp;"")</f>
        <v/>
      </c>
      <c r="B128">
        <f>IF($M128="","",INDEX(상세표[성명],$M128)&amp;"")</f>
        <v/>
      </c>
      <c r="C128">
        <f>IF($M128="","",IF(INDEX(상세표[종료월],$M128)=대상월키,"전월→이번 달","이번 달→익월"))</f>
        <v/>
      </c>
      <c r="D128">
        <f>IF($M128="","",IF(ISNUMBER(INDEX(상세표[시작],$M128)),TEXT(INDEX(상세표[시작],$M128),"yyyy-mm-dd hh:mm"),INDEX(상세표[시작],$M128)&amp;""))</f>
        <v/>
      </c>
      <c r="E128">
        <f>IF($M128="","",IF(ISNUMBER(INDEX(상세표[종료],$M128)),TEXT(INDEX(상세표[종료],$M128),"yyyy-mm-dd hh:mm"),INDEX(상세표[종료],$M128)&amp;""))</f>
        <v/>
      </c>
      <c r="F128" s="20">
        <f>IF($M128="","",INDEX(상세표[기록 시간외],$M128))</f>
        <v/>
      </c>
      <c r="G128">
        <f>IF($M128="","",INDEX(상세표[시작월 기관],$M128)&amp;"")</f>
        <v/>
      </c>
      <c r="H128">
        <f>IF($M128="","",INDEX(상세표[종료월 기관],$M128)&amp;"")</f>
        <v/>
      </c>
      <c r="I128">
        <f>IF($M128="","",INDEX(상세표[월경계 판정],$M128)&amp;"")</f>
        <v/>
      </c>
      <c r="J128">
        <f>IF($M128="","",INDEX(상세표[반영월],$M128)&amp;"")</f>
        <v/>
      </c>
      <c r="K128">
        <f>IF($M128="","",INDEX(상세표[반영 기관],$M128)&amp;"")</f>
        <v/>
      </c>
      <c r="L128">
        <f>IF($M128="","",INDEX(상세표[기관 출처],$M128)&amp;"")</f>
        <v/>
      </c>
      <c r="M128" s="4">
        <f>IFERROR(MATCH(123,상세표[경계순번],0),"")</f>
        <v/>
      </c>
    </row>
    <row r="129">
      <c r="A129">
        <f>IF($M129="","",INDEX(상세표[사번],$M129)&amp;"")</f>
        <v/>
      </c>
      <c r="B129">
        <f>IF($M129="","",INDEX(상세표[성명],$M129)&amp;"")</f>
        <v/>
      </c>
      <c r="C129">
        <f>IF($M129="","",IF(INDEX(상세표[종료월],$M129)=대상월키,"전월→이번 달","이번 달→익월"))</f>
        <v/>
      </c>
      <c r="D129">
        <f>IF($M129="","",IF(ISNUMBER(INDEX(상세표[시작],$M129)),TEXT(INDEX(상세표[시작],$M129),"yyyy-mm-dd hh:mm"),INDEX(상세표[시작],$M129)&amp;""))</f>
        <v/>
      </c>
      <c r="E129">
        <f>IF($M129="","",IF(ISNUMBER(INDEX(상세표[종료],$M129)),TEXT(INDEX(상세표[종료],$M129),"yyyy-mm-dd hh:mm"),INDEX(상세표[종료],$M129)&amp;""))</f>
        <v/>
      </c>
      <c r="F129" s="20">
        <f>IF($M129="","",INDEX(상세표[기록 시간외],$M129))</f>
        <v/>
      </c>
      <c r="G129">
        <f>IF($M129="","",INDEX(상세표[시작월 기관],$M129)&amp;"")</f>
        <v/>
      </c>
      <c r="H129">
        <f>IF($M129="","",INDEX(상세표[종료월 기관],$M129)&amp;"")</f>
        <v/>
      </c>
      <c r="I129">
        <f>IF($M129="","",INDEX(상세표[월경계 판정],$M129)&amp;"")</f>
        <v/>
      </c>
      <c r="J129">
        <f>IF($M129="","",INDEX(상세표[반영월],$M129)&amp;"")</f>
        <v/>
      </c>
      <c r="K129">
        <f>IF($M129="","",INDEX(상세표[반영 기관],$M129)&amp;"")</f>
        <v/>
      </c>
      <c r="L129">
        <f>IF($M129="","",INDEX(상세표[기관 출처],$M129)&amp;"")</f>
        <v/>
      </c>
      <c r="M129" s="4">
        <f>IFERROR(MATCH(124,상세표[경계순번],0),"")</f>
        <v/>
      </c>
    </row>
    <row r="130">
      <c r="A130">
        <f>IF($M130="","",INDEX(상세표[사번],$M130)&amp;"")</f>
        <v/>
      </c>
      <c r="B130">
        <f>IF($M130="","",INDEX(상세표[성명],$M130)&amp;"")</f>
        <v/>
      </c>
      <c r="C130">
        <f>IF($M130="","",IF(INDEX(상세표[종료월],$M130)=대상월키,"전월→이번 달","이번 달→익월"))</f>
        <v/>
      </c>
      <c r="D130">
        <f>IF($M130="","",IF(ISNUMBER(INDEX(상세표[시작],$M130)),TEXT(INDEX(상세표[시작],$M130),"yyyy-mm-dd hh:mm"),INDEX(상세표[시작],$M130)&amp;""))</f>
        <v/>
      </c>
      <c r="E130">
        <f>IF($M130="","",IF(ISNUMBER(INDEX(상세표[종료],$M130)),TEXT(INDEX(상세표[종료],$M130),"yyyy-mm-dd hh:mm"),INDEX(상세표[종료],$M130)&amp;""))</f>
        <v/>
      </c>
      <c r="F130" s="20">
        <f>IF($M130="","",INDEX(상세표[기록 시간외],$M130))</f>
        <v/>
      </c>
      <c r="G130">
        <f>IF($M130="","",INDEX(상세표[시작월 기관],$M130)&amp;"")</f>
        <v/>
      </c>
      <c r="H130">
        <f>IF($M130="","",INDEX(상세표[종료월 기관],$M130)&amp;"")</f>
        <v/>
      </c>
      <c r="I130">
        <f>IF($M130="","",INDEX(상세표[월경계 판정],$M130)&amp;"")</f>
        <v/>
      </c>
      <c r="J130">
        <f>IF($M130="","",INDEX(상세표[반영월],$M130)&amp;"")</f>
        <v/>
      </c>
      <c r="K130">
        <f>IF($M130="","",INDEX(상세표[반영 기관],$M130)&amp;"")</f>
        <v/>
      </c>
      <c r="L130">
        <f>IF($M130="","",INDEX(상세표[기관 출처],$M130)&amp;"")</f>
        <v/>
      </c>
      <c r="M130" s="4">
        <f>IFERROR(MATCH(125,상세표[경계순번],0),"")</f>
        <v/>
      </c>
    </row>
    <row r="131">
      <c r="A131">
        <f>IF($M131="","",INDEX(상세표[사번],$M131)&amp;"")</f>
        <v/>
      </c>
      <c r="B131">
        <f>IF($M131="","",INDEX(상세표[성명],$M131)&amp;"")</f>
        <v/>
      </c>
      <c r="C131">
        <f>IF($M131="","",IF(INDEX(상세표[종료월],$M131)=대상월키,"전월→이번 달","이번 달→익월"))</f>
        <v/>
      </c>
      <c r="D131">
        <f>IF($M131="","",IF(ISNUMBER(INDEX(상세표[시작],$M131)),TEXT(INDEX(상세표[시작],$M131),"yyyy-mm-dd hh:mm"),INDEX(상세표[시작],$M131)&amp;""))</f>
        <v/>
      </c>
      <c r="E131">
        <f>IF($M131="","",IF(ISNUMBER(INDEX(상세표[종료],$M131)),TEXT(INDEX(상세표[종료],$M131),"yyyy-mm-dd hh:mm"),INDEX(상세표[종료],$M131)&amp;""))</f>
        <v/>
      </c>
      <c r="F131" s="20">
        <f>IF($M131="","",INDEX(상세표[기록 시간외],$M131))</f>
        <v/>
      </c>
      <c r="G131">
        <f>IF($M131="","",INDEX(상세표[시작월 기관],$M131)&amp;"")</f>
        <v/>
      </c>
      <c r="H131">
        <f>IF($M131="","",INDEX(상세표[종료월 기관],$M131)&amp;"")</f>
        <v/>
      </c>
      <c r="I131">
        <f>IF($M131="","",INDEX(상세표[월경계 판정],$M131)&amp;"")</f>
        <v/>
      </c>
      <c r="J131">
        <f>IF($M131="","",INDEX(상세표[반영월],$M131)&amp;"")</f>
        <v/>
      </c>
      <c r="K131">
        <f>IF($M131="","",INDEX(상세표[반영 기관],$M131)&amp;"")</f>
        <v/>
      </c>
      <c r="L131">
        <f>IF($M131="","",INDEX(상세표[기관 출처],$M131)&amp;"")</f>
        <v/>
      </c>
      <c r="M131" s="4">
        <f>IFERROR(MATCH(126,상세표[경계순번],0),"")</f>
        <v/>
      </c>
    </row>
    <row r="132">
      <c r="A132">
        <f>IF($M132="","",INDEX(상세표[사번],$M132)&amp;"")</f>
        <v/>
      </c>
      <c r="B132">
        <f>IF($M132="","",INDEX(상세표[성명],$M132)&amp;"")</f>
        <v/>
      </c>
      <c r="C132">
        <f>IF($M132="","",IF(INDEX(상세표[종료월],$M132)=대상월키,"전월→이번 달","이번 달→익월"))</f>
        <v/>
      </c>
      <c r="D132">
        <f>IF($M132="","",IF(ISNUMBER(INDEX(상세표[시작],$M132)),TEXT(INDEX(상세표[시작],$M132),"yyyy-mm-dd hh:mm"),INDEX(상세표[시작],$M132)&amp;""))</f>
        <v/>
      </c>
      <c r="E132">
        <f>IF($M132="","",IF(ISNUMBER(INDEX(상세표[종료],$M132)),TEXT(INDEX(상세표[종료],$M132),"yyyy-mm-dd hh:mm"),INDEX(상세표[종료],$M132)&amp;""))</f>
        <v/>
      </c>
      <c r="F132" s="20">
        <f>IF($M132="","",INDEX(상세표[기록 시간외],$M132))</f>
        <v/>
      </c>
      <c r="G132">
        <f>IF($M132="","",INDEX(상세표[시작월 기관],$M132)&amp;"")</f>
        <v/>
      </c>
      <c r="H132">
        <f>IF($M132="","",INDEX(상세표[종료월 기관],$M132)&amp;"")</f>
        <v/>
      </c>
      <c r="I132">
        <f>IF($M132="","",INDEX(상세표[월경계 판정],$M132)&amp;"")</f>
        <v/>
      </c>
      <c r="J132">
        <f>IF($M132="","",INDEX(상세표[반영월],$M132)&amp;"")</f>
        <v/>
      </c>
      <c r="K132">
        <f>IF($M132="","",INDEX(상세표[반영 기관],$M132)&amp;"")</f>
        <v/>
      </c>
      <c r="L132">
        <f>IF($M132="","",INDEX(상세표[기관 출처],$M132)&amp;"")</f>
        <v/>
      </c>
      <c r="M132" s="4">
        <f>IFERROR(MATCH(127,상세표[경계순번],0),"")</f>
        <v/>
      </c>
    </row>
    <row r="133">
      <c r="A133">
        <f>IF($M133="","",INDEX(상세표[사번],$M133)&amp;"")</f>
        <v/>
      </c>
      <c r="B133">
        <f>IF($M133="","",INDEX(상세표[성명],$M133)&amp;"")</f>
        <v/>
      </c>
      <c r="C133">
        <f>IF($M133="","",IF(INDEX(상세표[종료월],$M133)=대상월키,"전월→이번 달","이번 달→익월"))</f>
        <v/>
      </c>
      <c r="D133">
        <f>IF($M133="","",IF(ISNUMBER(INDEX(상세표[시작],$M133)),TEXT(INDEX(상세표[시작],$M133),"yyyy-mm-dd hh:mm"),INDEX(상세표[시작],$M133)&amp;""))</f>
        <v/>
      </c>
      <c r="E133">
        <f>IF($M133="","",IF(ISNUMBER(INDEX(상세표[종료],$M133)),TEXT(INDEX(상세표[종료],$M133),"yyyy-mm-dd hh:mm"),INDEX(상세표[종료],$M133)&amp;""))</f>
        <v/>
      </c>
      <c r="F133" s="20">
        <f>IF($M133="","",INDEX(상세표[기록 시간외],$M133))</f>
        <v/>
      </c>
      <c r="G133">
        <f>IF($M133="","",INDEX(상세표[시작월 기관],$M133)&amp;"")</f>
        <v/>
      </c>
      <c r="H133">
        <f>IF($M133="","",INDEX(상세표[종료월 기관],$M133)&amp;"")</f>
        <v/>
      </c>
      <c r="I133">
        <f>IF($M133="","",INDEX(상세표[월경계 판정],$M133)&amp;"")</f>
        <v/>
      </c>
      <c r="J133">
        <f>IF($M133="","",INDEX(상세표[반영월],$M133)&amp;"")</f>
        <v/>
      </c>
      <c r="K133">
        <f>IF($M133="","",INDEX(상세표[반영 기관],$M133)&amp;"")</f>
        <v/>
      </c>
      <c r="L133">
        <f>IF($M133="","",INDEX(상세표[기관 출처],$M133)&amp;"")</f>
        <v/>
      </c>
      <c r="M133" s="4">
        <f>IFERROR(MATCH(128,상세표[경계순번],0),"")</f>
        <v/>
      </c>
    </row>
    <row r="134">
      <c r="A134">
        <f>IF($M134="","",INDEX(상세표[사번],$M134)&amp;"")</f>
        <v/>
      </c>
      <c r="B134">
        <f>IF($M134="","",INDEX(상세표[성명],$M134)&amp;"")</f>
        <v/>
      </c>
      <c r="C134">
        <f>IF($M134="","",IF(INDEX(상세표[종료월],$M134)=대상월키,"전월→이번 달","이번 달→익월"))</f>
        <v/>
      </c>
      <c r="D134">
        <f>IF($M134="","",IF(ISNUMBER(INDEX(상세표[시작],$M134)),TEXT(INDEX(상세표[시작],$M134),"yyyy-mm-dd hh:mm"),INDEX(상세표[시작],$M134)&amp;""))</f>
        <v/>
      </c>
      <c r="E134">
        <f>IF($M134="","",IF(ISNUMBER(INDEX(상세표[종료],$M134)),TEXT(INDEX(상세표[종료],$M134),"yyyy-mm-dd hh:mm"),INDEX(상세표[종료],$M134)&amp;""))</f>
        <v/>
      </c>
      <c r="F134" s="20">
        <f>IF($M134="","",INDEX(상세표[기록 시간외],$M134))</f>
        <v/>
      </c>
      <c r="G134">
        <f>IF($M134="","",INDEX(상세표[시작월 기관],$M134)&amp;"")</f>
        <v/>
      </c>
      <c r="H134">
        <f>IF($M134="","",INDEX(상세표[종료월 기관],$M134)&amp;"")</f>
        <v/>
      </c>
      <c r="I134">
        <f>IF($M134="","",INDEX(상세표[월경계 판정],$M134)&amp;"")</f>
        <v/>
      </c>
      <c r="J134">
        <f>IF($M134="","",INDEX(상세표[반영월],$M134)&amp;"")</f>
        <v/>
      </c>
      <c r="K134">
        <f>IF($M134="","",INDEX(상세표[반영 기관],$M134)&amp;"")</f>
        <v/>
      </c>
      <c r="L134">
        <f>IF($M134="","",INDEX(상세표[기관 출처],$M134)&amp;"")</f>
        <v/>
      </c>
      <c r="M134" s="4">
        <f>IFERROR(MATCH(129,상세표[경계순번],0),"")</f>
        <v/>
      </c>
    </row>
    <row r="135">
      <c r="A135">
        <f>IF($M135="","",INDEX(상세표[사번],$M135)&amp;"")</f>
        <v/>
      </c>
      <c r="B135">
        <f>IF($M135="","",INDEX(상세표[성명],$M135)&amp;"")</f>
        <v/>
      </c>
      <c r="C135">
        <f>IF($M135="","",IF(INDEX(상세표[종료월],$M135)=대상월키,"전월→이번 달","이번 달→익월"))</f>
        <v/>
      </c>
      <c r="D135">
        <f>IF($M135="","",IF(ISNUMBER(INDEX(상세표[시작],$M135)),TEXT(INDEX(상세표[시작],$M135),"yyyy-mm-dd hh:mm"),INDEX(상세표[시작],$M135)&amp;""))</f>
        <v/>
      </c>
      <c r="E135">
        <f>IF($M135="","",IF(ISNUMBER(INDEX(상세표[종료],$M135)),TEXT(INDEX(상세표[종료],$M135),"yyyy-mm-dd hh:mm"),INDEX(상세표[종료],$M135)&amp;""))</f>
        <v/>
      </c>
      <c r="F135" s="20">
        <f>IF($M135="","",INDEX(상세표[기록 시간외],$M135))</f>
        <v/>
      </c>
      <c r="G135">
        <f>IF($M135="","",INDEX(상세표[시작월 기관],$M135)&amp;"")</f>
        <v/>
      </c>
      <c r="H135">
        <f>IF($M135="","",INDEX(상세표[종료월 기관],$M135)&amp;"")</f>
        <v/>
      </c>
      <c r="I135">
        <f>IF($M135="","",INDEX(상세표[월경계 판정],$M135)&amp;"")</f>
        <v/>
      </c>
      <c r="J135">
        <f>IF($M135="","",INDEX(상세표[반영월],$M135)&amp;"")</f>
        <v/>
      </c>
      <c r="K135">
        <f>IF($M135="","",INDEX(상세표[반영 기관],$M135)&amp;"")</f>
        <v/>
      </c>
      <c r="L135">
        <f>IF($M135="","",INDEX(상세표[기관 출처],$M135)&amp;"")</f>
        <v/>
      </c>
      <c r="M135" s="4">
        <f>IFERROR(MATCH(130,상세표[경계순번],0),"")</f>
        <v/>
      </c>
    </row>
    <row r="136">
      <c r="A136">
        <f>IF($M136="","",INDEX(상세표[사번],$M136)&amp;"")</f>
        <v/>
      </c>
      <c r="B136">
        <f>IF($M136="","",INDEX(상세표[성명],$M136)&amp;"")</f>
        <v/>
      </c>
      <c r="C136">
        <f>IF($M136="","",IF(INDEX(상세표[종료월],$M136)=대상월키,"전월→이번 달","이번 달→익월"))</f>
        <v/>
      </c>
      <c r="D136">
        <f>IF($M136="","",IF(ISNUMBER(INDEX(상세표[시작],$M136)),TEXT(INDEX(상세표[시작],$M136),"yyyy-mm-dd hh:mm"),INDEX(상세표[시작],$M136)&amp;""))</f>
        <v/>
      </c>
      <c r="E136">
        <f>IF($M136="","",IF(ISNUMBER(INDEX(상세표[종료],$M136)),TEXT(INDEX(상세표[종료],$M136),"yyyy-mm-dd hh:mm"),INDEX(상세표[종료],$M136)&amp;""))</f>
        <v/>
      </c>
      <c r="F136" s="20">
        <f>IF($M136="","",INDEX(상세표[기록 시간외],$M136))</f>
        <v/>
      </c>
      <c r="G136">
        <f>IF($M136="","",INDEX(상세표[시작월 기관],$M136)&amp;"")</f>
        <v/>
      </c>
      <c r="H136">
        <f>IF($M136="","",INDEX(상세표[종료월 기관],$M136)&amp;"")</f>
        <v/>
      </c>
      <c r="I136">
        <f>IF($M136="","",INDEX(상세표[월경계 판정],$M136)&amp;"")</f>
        <v/>
      </c>
      <c r="J136">
        <f>IF($M136="","",INDEX(상세표[반영월],$M136)&amp;"")</f>
        <v/>
      </c>
      <c r="K136">
        <f>IF($M136="","",INDEX(상세표[반영 기관],$M136)&amp;"")</f>
        <v/>
      </c>
      <c r="L136">
        <f>IF($M136="","",INDEX(상세표[기관 출처],$M136)&amp;"")</f>
        <v/>
      </c>
      <c r="M136" s="4">
        <f>IFERROR(MATCH(131,상세표[경계순번],0),"")</f>
        <v/>
      </c>
    </row>
    <row r="137">
      <c r="A137">
        <f>IF($M137="","",INDEX(상세표[사번],$M137)&amp;"")</f>
        <v/>
      </c>
      <c r="B137">
        <f>IF($M137="","",INDEX(상세표[성명],$M137)&amp;"")</f>
        <v/>
      </c>
      <c r="C137">
        <f>IF($M137="","",IF(INDEX(상세표[종료월],$M137)=대상월키,"전월→이번 달","이번 달→익월"))</f>
        <v/>
      </c>
      <c r="D137">
        <f>IF($M137="","",IF(ISNUMBER(INDEX(상세표[시작],$M137)),TEXT(INDEX(상세표[시작],$M137),"yyyy-mm-dd hh:mm"),INDEX(상세표[시작],$M137)&amp;""))</f>
        <v/>
      </c>
      <c r="E137">
        <f>IF($M137="","",IF(ISNUMBER(INDEX(상세표[종료],$M137)),TEXT(INDEX(상세표[종료],$M137),"yyyy-mm-dd hh:mm"),INDEX(상세표[종료],$M137)&amp;""))</f>
        <v/>
      </c>
      <c r="F137" s="20">
        <f>IF($M137="","",INDEX(상세표[기록 시간외],$M137))</f>
        <v/>
      </c>
      <c r="G137">
        <f>IF($M137="","",INDEX(상세표[시작월 기관],$M137)&amp;"")</f>
        <v/>
      </c>
      <c r="H137">
        <f>IF($M137="","",INDEX(상세표[종료월 기관],$M137)&amp;"")</f>
        <v/>
      </c>
      <c r="I137">
        <f>IF($M137="","",INDEX(상세표[월경계 판정],$M137)&amp;"")</f>
        <v/>
      </c>
      <c r="J137">
        <f>IF($M137="","",INDEX(상세표[반영월],$M137)&amp;"")</f>
        <v/>
      </c>
      <c r="K137">
        <f>IF($M137="","",INDEX(상세표[반영 기관],$M137)&amp;"")</f>
        <v/>
      </c>
      <c r="L137">
        <f>IF($M137="","",INDEX(상세표[기관 출처],$M137)&amp;"")</f>
        <v/>
      </c>
      <c r="M137" s="4">
        <f>IFERROR(MATCH(132,상세표[경계순번],0),"")</f>
        <v/>
      </c>
    </row>
    <row r="138">
      <c r="A138">
        <f>IF($M138="","",INDEX(상세표[사번],$M138)&amp;"")</f>
        <v/>
      </c>
      <c r="B138">
        <f>IF($M138="","",INDEX(상세표[성명],$M138)&amp;"")</f>
        <v/>
      </c>
      <c r="C138">
        <f>IF($M138="","",IF(INDEX(상세표[종료월],$M138)=대상월키,"전월→이번 달","이번 달→익월"))</f>
        <v/>
      </c>
      <c r="D138">
        <f>IF($M138="","",IF(ISNUMBER(INDEX(상세표[시작],$M138)),TEXT(INDEX(상세표[시작],$M138),"yyyy-mm-dd hh:mm"),INDEX(상세표[시작],$M138)&amp;""))</f>
        <v/>
      </c>
      <c r="E138">
        <f>IF($M138="","",IF(ISNUMBER(INDEX(상세표[종료],$M138)),TEXT(INDEX(상세표[종료],$M138),"yyyy-mm-dd hh:mm"),INDEX(상세표[종료],$M138)&amp;""))</f>
        <v/>
      </c>
      <c r="F138" s="20">
        <f>IF($M138="","",INDEX(상세표[기록 시간외],$M138))</f>
        <v/>
      </c>
      <c r="G138">
        <f>IF($M138="","",INDEX(상세표[시작월 기관],$M138)&amp;"")</f>
        <v/>
      </c>
      <c r="H138">
        <f>IF($M138="","",INDEX(상세표[종료월 기관],$M138)&amp;"")</f>
        <v/>
      </c>
      <c r="I138">
        <f>IF($M138="","",INDEX(상세표[월경계 판정],$M138)&amp;"")</f>
        <v/>
      </c>
      <c r="J138">
        <f>IF($M138="","",INDEX(상세표[반영월],$M138)&amp;"")</f>
        <v/>
      </c>
      <c r="K138">
        <f>IF($M138="","",INDEX(상세표[반영 기관],$M138)&amp;"")</f>
        <v/>
      </c>
      <c r="L138">
        <f>IF($M138="","",INDEX(상세표[기관 출처],$M138)&amp;"")</f>
        <v/>
      </c>
      <c r="M138" s="4">
        <f>IFERROR(MATCH(133,상세표[경계순번],0),"")</f>
        <v/>
      </c>
    </row>
    <row r="139">
      <c r="A139">
        <f>IF($M139="","",INDEX(상세표[사번],$M139)&amp;"")</f>
        <v/>
      </c>
      <c r="B139">
        <f>IF($M139="","",INDEX(상세표[성명],$M139)&amp;"")</f>
        <v/>
      </c>
      <c r="C139">
        <f>IF($M139="","",IF(INDEX(상세표[종료월],$M139)=대상월키,"전월→이번 달","이번 달→익월"))</f>
        <v/>
      </c>
      <c r="D139">
        <f>IF($M139="","",IF(ISNUMBER(INDEX(상세표[시작],$M139)),TEXT(INDEX(상세표[시작],$M139),"yyyy-mm-dd hh:mm"),INDEX(상세표[시작],$M139)&amp;""))</f>
        <v/>
      </c>
      <c r="E139">
        <f>IF($M139="","",IF(ISNUMBER(INDEX(상세표[종료],$M139)),TEXT(INDEX(상세표[종료],$M139),"yyyy-mm-dd hh:mm"),INDEX(상세표[종료],$M139)&amp;""))</f>
        <v/>
      </c>
      <c r="F139" s="20">
        <f>IF($M139="","",INDEX(상세표[기록 시간외],$M139))</f>
        <v/>
      </c>
      <c r="G139">
        <f>IF($M139="","",INDEX(상세표[시작월 기관],$M139)&amp;"")</f>
        <v/>
      </c>
      <c r="H139">
        <f>IF($M139="","",INDEX(상세표[종료월 기관],$M139)&amp;"")</f>
        <v/>
      </c>
      <c r="I139">
        <f>IF($M139="","",INDEX(상세표[월경계 판정],$M139)&amp;"")</f>
        <v/>
      </c>
      <c r="J139">
        <f>IF($M139="","",INDEX(상세표[반영월],$M139)&amp;"")</f>
        <v/>
      </c>
      <c r="K139">
        <f>IF($M139="","",INDEX(상세표[반영 기관],$M139)&amp;"")</f>
        <v/>
      </c>
      <c r="L139">
        <f>IF($M139="","",INDEX(상세표[기관 출처],$M139)&amp;"")</f>
        <v/>
      </c>
      <c r="M139" s="4">
        <f>IFERROR(MATCH(134,상세표[경계순번],0),"")</f>
        <v/>
      </c>
    </row>
    <row r="140">
      <c r="A140">
        <f>IF($M140="","",INDEX(상세표[사번],$M140)&amp;"")</f>
        <v/>
      </c>
      <c r="B140">
        <f>IF($M140="","",INDEX(상세표[성명],$M140)&amp;"")</f>
        <v/>
      </c>
      <c r="C140">
        <f>IF($M140="","",IF(INDEX(상세표[종료월],$M140)=대상월키,"전월→이번 달","이번 달→익월"))</f>
        <v/>
      </c>
      <c r="D140">
        <f>IF($M140="","",IF(ISNUMBER(INDEX(상세표[시작],$M140)),TEXT(INDEX(상세표[시작],$M140),"yyyy-mm-dd hh:mm"),INDEX(상세표[시작],$M140)&amp;""))</f>
        <v/>
      </c>
      <c r="E140">
        <f>IF($M140="","",IF(ISNUMBER(INDEX(상세표[종료],$M140)),TEXT(INDEX(상세표[종료],$M140),"yyyy-mm-dd hh:mm"),INDEX(상세표[종료],$M140)&amp;""))</f>
        <v/>
      </c>
      <c r="F140" s="20">
        <f>IF($M140="","",INDEX(상세표[기록 시간외],$M140))</f>
        <v/>
      </c>
      <c r="G140">
        <f>IF($M140="","",INDEX(상세표[시작월 기관],$M140)&amp;"")</f>
        <v/>
      </c>
      <c r="H140">
        <f>IF($M140="","",INDEX(상세표[종료월 기관],$M140)&amp;"")</f>
        <v/>
      </c>
      <c r="I140">
        <f>IF($M140="","",INDEX(상세표[월경계 판정],$M140)&amp;"")</f>
        <v/>
      </c>
      <c r="J140">
        <f>IF($M140="","",INDEX(상세표[반영월],$M140)&amp;"")</f>
        <v/>
      </c>
      <c r="K140">
        <f>IF($M140="","",INDEX(상세표[반영 기관],$M140)&amp;"")</f>
        <v/>
      </c>
      <c r="L140">
        <f>IF($M140="","",INDEX(상세표[기관 출처],$M140)&amp;"")</f>
        <v/>
      </c>
      <c r="M140" s="4">
        <f>IFERROR(MATCH(135,상세표[경계순번],0),"")</f>
        <v/>
      </c>
    </row>
    <row r="141">
      <c r="A141">
        <f>IF($M141="","",INDEX(상세표[사번],$M141)&amp;"")</f>
        <v/>
      </c>
      <c r="B141">
        <f>IF($M141="","",INDEX(상세표[성명],$M141)&amp;"")</f>
        <v/>
      </c>
      <c r="C141">
        <f>IF($M141="","",IF(INDEX(상세표[종료월],$M141)=대상월키,"전월→이번 달","이번 달→익월"))</f>
        <v/>
      </c>
      <c r="D141">
        <f>IF($M141="","",IF(ISNUMBER(INDEX(상세표[시작],$M141)),TEXT(INDEX(상세표[시작],$M141),"yyyy-mm-dd hh:mm"),INDEX(상세표[시작],$M141)&amp;""))</f>
        <v/>
      </c>
      <c r="E141">
        <f>IF($M141="","",IF(ISNUMBER(INDEX(상세표[종료],$M141)),TEXT(INDEX(상세표[종료],$M141),"yyyy-mm-dd hh:mm"),INDEX(상세표[종료],$M141)&amp;""))</f>
        <v/>
      </c>
      <c r="F141" s="20">
        <f>IF($M141="","",INDEX(상세표[기록 시간외],$M141))</f>
        <v/>
      </c>
      <c r="G141">
        <f>IF($M141="","",INDEX(상세표[시작월 기관],$M141)&amp;"")</f>
        <v/>
      </c>
      <c r="H141">
        <f>IF($M141="","",INDEX(상세표[종료월 기관],$M141)&amp;"")</f>
        <v/>
      </c>
      <c r="I141">
        <f>IF($M141="","",INDEX(상세표[월경계 판정],$M141)&amp;"")</f>
        <v/>
      </c>
      <c r="J141">
        <f>IF($M141="","",INDEX(상세표[반영월],$M141)&amp;"")</f>
        <v/>
      </c>
      <c r="K141">
        <f>IF($M141="","",INDEX(상세표[반영 기관],$M141)&amp;"")</f>
        <v/>
      </c>
      <c r="L141">
        <f>IF($M141="","",INDEX(상세표[기관 출처],$M141)&amp;"")</f>
        <v/>
      </c>
      <c r="M141" s="4">
        <f>IFERROR(MATCH(136,상세표[경계순번],0),"")</f>
        <v/>
      </c>
    </row>
    <row r="142">
      <c r="A142">
        <f>IF($M142="","",INDEX(상세표[사번],$M142)&amp;"")</f>
        <v/>
      </c>
      <c r="B142">
        <f>IF($M142="","",INDEX(상세표[성명],$M142)&amp;"")</f>
        <v/>
      </c>
      <c r="C142">
        <f>IF($M142="","",IF(INDEX(상세표[종료월],$M142)=대상월키,"전월→이번 달","이번 달→익월"))</f>
        <v/>
      </c>
      <c r="D142">
        <f>IF($M142="","",IF(ISNUMBER(INDEX(상세표[시작],$M142)),TEXT(INDEX(상세표[시작],$M142),"yyyy-mm-dd hh:mm"),INDEX(상세표[시작],$M142)&amp;""))</f>
        <v/>
      </c>
      <c r="E142">
        <f>IF($M142="","",IF(ISNUMBER(INDEX(상세표[종료],$M142)),TEXT(INDEX(상세표[종료],$M142),"yyyy-mm-dd hh:mm"),INDEX(상세표[종료],$M142)&amp;""))</f>
        <v/>
      </c>
      <c r="F142" s="20">
        <f>IF($M142="","",INDEX(상세표[기록 시간외],$M142))</f>
        <v/>
      </c>
      <c r="G142">
        <f>IF($M142="","",INDEX(상세표[시작월 기관],$M142)&amp;"")</f>
        <v/>
      </c>
      <c r="H142">
        <f>IF($M142="","",INDEX(상세표[종료월 기관],$M142)&amp;"")</f>
        <v/>
      </c>
      <c r="I142">
        <f>IF($M142="","",INDEX(상세표[월경계 판정],$M142)&amp;"")</f>
        <v/>
      </c>
      <c r="J142">
        <f>IF($M142="","",INDEX(상세표[반영월],$M142)&amp;"")</f>
        <v/>
      </c>
      <c r="K142">
        <f>IF($M142="","",INDEX(상세표[반영 기관],$M142)&amp;"")</f>
        <v/>
      </c>
      <c r="L142">
        <f>IF($M142="","",INDEX(상세표[기관 출처],$M142)&amp;"")</f>
        <v/>
      </c>
      <c r="M142" s="4">
        <f>IFERROR(MATCH(137,상세표[경계순번],0),"")</f>
        <v/>
      </c>
    </row>
    <row r="143">
      <c r="A143">
        <f>IF($M143="","",INDEX(상세표[사번],$M143)&amp;"")</f>
        <v/>
      </c>
      <c r="B143">
        <f>IF($M143="","",INDEX(상세표[성명],$M143)&amp;"")</f>
        <v/>
      </c>
      <c r="C143">
        <f>IF($M143="","",IF(INDEX(상세표[종료월],$M143)=대상월키,"전월→이번 달","이번 달→익월"))</f>
        <v/>
      </c>
      <c r="D143">
        <f>IF($M143="","",IF(ISNUMBER(INDEX(상세표[시작],$M143)),TEXT(INDEX(상세표[시작],$M143),"yyyy-mm-dd hh:mm"),INDEX(상세표[시작],$M143)&amp;""))</f>
        <v/>
      </c>
      <c r="E143">
        <f>IF($M143="","",IF(ISNUMBER(INDEX(상세표[종료],$M143)),TEXT(INDEX(상세표[종료],$M143),"yyyy-mm-dd hh:mm"),INDEX(상세표[종료],$M143)&amp;""))</f>
        <v/>
      </c>
      <c r="F143" s="20">
        <f>IF($M143="","",INDEX(상세표[기록 시간외],$M143))</f>
        <v/>
      </c>
      <c r="G143">
        <f>IF($M143="","",INDEX(상세표[시작월 기관],$M143)&amp;"")</f>
        <v/>
      </c>
      <c r="H143">
        <f>IF($M143="","",INDEX(상세표[종료월 기관],$M143)&amp;"")</f>
        <v/>
      </c>
      <c r="I143">
        <f>IF($M143="","",INDEX(상세표[월경계 판정],$M143)&amp;"")</f>
        <v/>
      </c>
      <c r="J143">
        <f>IF($M143="","",INDEX(상세표[반영월],$M143)&amp;"")</f>
        <v/>
      </c>
      <c r="K143">
        <f>IF($M143="","",INDEX(상세표[반영 기관],$M143)&amp;"")</f>
        <v/>
      </c>
      <c r="L143">
        <f>IF($M143="","",INDEX(상세표[기관 출처],$M143)&amp;"")</f>
        <v/>
      </c>
      <c r="M143" s="4">
        <f>IFERROR(MATCH(138,상세표[경계순번],0),"")</f>
        <v/>
      </c>
    </row>
    <row r="144">
      <c r="A144">
        <f>IF($M144="","",INDEX(상세표[사번],$M144)&amp;"")</f>
        <v/>
      </c>
      <c r="B144">
        <f>IF($M144="","",INDEX(상세표[성명],$M144)&amp;"")</f>
        <v/>
      </c>
      <c r="C144">
        <f>IF($M144="","",IF(INDEX(상세표[종료월],$M144)=대상월키,"전월→이번 달","이번 달→익월"))</f>
        <v/>
      </c>
      <c r="D144">
        <f>IF($M144="","",IF(ISNUMBER(INDEX(상세표[시작],$M144)),TEXT(INDEX(상세표[시작],$M144),"yyyy-mm-dd hh:mm"),INDEX(상세표[시작],$M144)&amp;""))</f>
        <v/>
      </c>
      <c r="E144">
        <f>IF($M144="","",IF(ISNUMBER(INDEX(상세표[종료],$M144)),TEXT(INDEX(상세표[종료],$M144),"yyyy-mm-dd hh:mm"),INDEX(상세표[종료],$M144)&amp;""))</f>
        <v/>
      </c>
      <c r="F144" s="20">
        <f>IF($M144="","",INDEX(상세표[기록 시간외],$M144))</f>
        <v/>
      </c>
      <c r="G144">
        <f>IF($M144="","",INDEX(상세표[시작월 기관],$M144)&amp;"")</f>
        <v/>
      </c>
      <c r="H144">
        <f>IF($M144="","",INDEX(상세표[종료월 기관],$M144)&amp;"")</f>
        <v/>
      </c>
      <c r="I144">
        <f>IF($M144="","",INDEX(상세표[월경계 판정],$M144)&amp;"")</f>
        <v/>
      </c>
      <c r="J144">
        <f>IF($M144="","",INDEX(상세표[반영월],$M144)&amp;"")</f>
        <v/>
      </c>
      <c r="K144">
        <f>IF($M144="","",INDEX(상세표[반영 기관],$M144)&amp;"")</f>
        <v/>
      </c>
      <c r="L144">
        <f>IF($M144="","",INDEX(상세표[기관 출처],$M144)&amp;"")</f>
        <v/>
      </c>
      <c r="M144" s="4">
        <f>IFERROR(MATCH(139,상세표[경계순번],0),"")</f>
        <v/>
      </c>
    </row>
    <row r="145">
      <c r="A145">
        <f>IF($M145="","",INDEX(상세표[사번],$M145)&amp;"")</f>
        <v/>
      </c>
      <c r="B145">
        <f>IF($M145="","",INDEX(상세표[성명],$M145)&amp;"")</f>
        <v/>
      </c>
      <c r="C145">
        <f>IF($M145="","",IF(INDEX(상세표[종료월],$M145)=대상월키,"전월→이번 달","이번 달→익월"))</f>
        <v/>
      </c>
      <c r="D145">
        <f>IF($M145="","",IF(ISNUMBER(INDEX(상세표[시작],$M145)),TEXT(INDEX(상세표[시작],$M145),"yyyy-mm-dd hh:mm"),INDEX(상세표[시작],$M145)&amp;""))</f>
        <v/>
      </c>
      <c r="E145">
        <f>IF($M145="","",IF(ISNUMBER(INDEX(상세표[종료],$M145)),TEXT(INDEX(상세표[종료],$M145),"yyyy-mm-dd hh:mm"),INDEX(상세표[종료],$M145)&amp;""))</f>
        <v/>
      </c>
      <c r="F145" s="20">
        <f>IF($M145="","",INDEX(상세표[기록 시간외],$M145))</f>
        <v/>
      </c>
      <c r="G145">
        <f>IF($M145="","",INDEX(상세표[시작월 기관],$M145)&amp;"")</f>
        <v/>
      </c>
      <c r="H145">
        <f>IF($M145="","",INDEX(상세표[종료월 기관],$M145)&amp;"")</f>
        <v/>
      </c>
      <c r="I145">
        <f>IF($M145="","",INDEX(상세표[월경계 판정],$M145)&amp;"")</f>
        <v/>
      </c>
      <c r="J145">
        <f>IF($M145="","",INDEX(상세표[반영월],$M145)&amp;"")</f>
        <v/>
      </c>
      <c r="K145">
        <f>IF($M145="","",INDEX(상세표[반영 기관],$M145)&amp;"")</f>
        <v/>
      </c>
      <c r="L145">
        <f>IF($M145="","",INDEX(상세표[기관 출처],$M145)&amp;"")</f>
        <v/>
      </c>
      <c r="M145" s="4">
        <f>IFERROR(MATCH(140,상세표[경계순번],0),"")</f>
        <v/>
      </c>
    </row>
    <row r="146">
      <c r="A146">
        <f>IF($M146="","",INDEX(상세표[사번],$M146)&amp;"")</f>
        <v/>
      </c>
      <c r="B146">
        <f>IF($M146="","",INDEX(상세표[성명],$M146)&amp;"")</f>
        <v/>
      </c>
      <c r="C146">
        <f>IF($M146="","",IF(INDEX(상세표[종료월],$M146)=대상월키,"전월→이번 달","이번 달→익월"))</f>
        <v/>
      </c>
      <c r="D146">
        <f>IF($M146="","",IF(ISNUMBER(INDEX(상세표[시작],$M146)),TEXT(INDEX(상세표[시작],$M146),"yyyy-mm-dd hh:mm"),INDEX(상세표[시작],$M146)&amp;""))</f>
        <v/>
      </c>
      <c r="E146">
        <f>IF($M146="","",IF(ISNUMBER(INDEX(상세표[종료],$M146)),TEXT(INDEX(상세표[종료],$M146),"yyyy-mm-dd hh:mm"),INDEX(상세표[종료],$M146)&amp;""))</f>
        <v/>
      </c>
      <c r="F146" s="20">
        <f>IF($M146="","",INDEX(상세표[기록 시간외],$M146))</f>
        <v/>
      </c>
      <c r="G146">
        <f>IF($M146="","",INDEX(상세표[시작월 기관],$M146)&amp;"")</f>
        <v/>
      </c>
      <c r="H146">
        <f>IF($M146="","",INDEX(상세표[종료월 기관],$M146)&amp;"")</f>
        <v/>
      </c>
      <c r="I146">
        <f>IF($M146="","",INDEX(상세표[월경계 판정],$M146)&amp;"")</f>
        <v/>
      </c>
      <c r="J146">
        <f>IF($M146="","",INDEX(상세표[반영월],$M146)&amp;"")</f>
        <v/>
      </c>
      <c r="K146">
        <f>IF($M146="","",INDEX(상세표[반영 기관],$M146)&amp;"")</f>
        <v/>
      </c>
      <c r="L146">
        <f>IF($M146="","",INDEX(상세표[기관 출처],$M146)&amp;"")</f>
        <v/>
      </c>
      <c r="M146" s="4">
        <f>IFERROR(MATCH(141,상세표[경계순번],0),"")</f>
        <v/>
      </c>
    </row>
    <row r="147">
      <c r="A147">
        <f>IF($M147="","",INDEX(상세표[사번],$M147)&amp;"")</f>
        <v/>
      </c>
      <c r="B147">
        <f>IF($M147="","",INDEX(상세표[성명],$M147)&amp;"")</f>
        <v/>
      </c>
      <c r="C147">
        <f>IF($M147="","",IF(INDEX(상세표[종료월],$M147)=대상월키,"전월→이번 달","이번 달→익월"))</f>
        <v/>
      </c>
      <c r="D147">
        <f>IF($M147="","",IF(ISNUMBER(INDEX(상세표[시작],$M147)),TEXT(INDEX(상세표[시작],$M147),"yyyy-mm-dd hh:mm"),INDEX(상세표[시작],$M147)&amp;""))</f>
        <v/>
      </c>
      <c r="E147">
        <f>IF($M147="","",IF(ISNUMBER(INDEX(상세표[종료],$M147)),TEXT(INDEX(상세표[종료],$M147),"yyyy-mm-dd hh:mm"),INDEX(상세표[종료],$M147)&amp;""))</f>
        <v/>
      </c>
      <c r="F147" s="20">
        <f>IF($M147="","",INDEX(상세표[기록 시간외],$M147))</f>
        <v/>
      </c>
      <c r="G147">
        <f>IF($M147="","",INDEX(상세표[시작월 기관],$M147)&amp;"")</f>
        <v/>
      </c>
      <c r="H147">
        <f>IF($M147="","",INDEX(상세표[종료월 기관],$M147)&amp;"")</f>
        <v/>
      </c>
      <c r="I147">
        <f>IF($M147="","",INDEX(상세표[월경계 판정],$M147)&amp;"")</f>
        <v/>
      </c>
      <c r="J147">
        <f>IF($M147="","",INDEX(상세표[반영월],$M147)&amp;"")</f>
        <v/>
      </c>
      <c r="K147">
        <f>IF($M147="","",INDEX(상세표[반영 기관],$M147)&amp;"")</f>
        <v/>
      </c>
      <c r="L147">
        <f>IF($M147="","",INDEX(상세표[기관 출처],$M147)&amp;"")</f>
        <v/>
      </c>
      <c r="M147" s="4">
        <f>IFERROR(MATCH(142,상세표[경계순번],0),"")</f>
        <v/>
      </c>
    </row>
    <row r="148">
      <c r="A148">
        <f>IF($M148="","",INDEX(상세표[사번],$M148)&amp;"")</f>
        <v/>
      </c>
      <c r="B148">
        <f>IF($M148="","",INDEX(상세표[성명],$M148)&amp;"")</f>
        <v/>
      </c>
      <c r="C148">
        <f>IF($M148="","",IF(INDEX(상세표[종료월],$M148)=대상월키,"전월→이번 달","이번 달→익월"))</f>
        <v/>
      </c>
      <c r="D148">
        <f>IF($M148="","",IF(ISNUMBER(INDEX(상세표[시작],$M148)),TEXT(INDEX(상세표[시작],$M148),"yyyy-mm-dd hh:mm"),INDEX(상세표[시작],$M148)&amp;""))</f>
        <v/>
      </c>
      <c r="E148">
        <f>IF($M148="","",IF(ISNUMBER(INDEX(상세표[종료],$M148)),TEXT(INDEX(상세표[종료],$M148),"yyyy-mm-dd hh:mm"),INDEX(상세표[종료],$M148)&amp;""))</f>
        <v/>
      </c>
      <c r="F148" s="20">
        <f>IF($M148="","",INDEX(상세표[기록 시간외],$M148))</f>
        <v/>
      </c>
      <c r="G148">
        <f>IF($M148="","",INDEX(상세표[시작월 기관],$M148)&amp;"")</f>
        <v/>
      </c>
      <c r="H148">
        <f>IF($M148="","",INDEX(상세표[종료월 기관],$M148)&amp;"")</f>
        <v/>
      </c>
      <c r="I148">
        <f>IF($M148="","",INDEX(상세표[월경계 판정],$M148)&amp;"")</f>
        <v/>
      </c>
      <c r="J148">
        <f>IF($M148="","",INDEX(상세표[반영월],$M148)&amp;"")</f>
        <v/>
      </c>
      <c r="K148">
        <f>IF($M148="","",INDEX(상세표[반영 기관],$M148)&amp;"")</f>
        <v/>
      </c>
      <c r="L148">
        <f>IF($M148="","",INDEX(상세표[기관 출처],$M148)&amp;"")</f>
        <v/>
      </c>
      <c r="M148" s="4">
        <f>IFERROR(MATCH(143,상세표[경계순번],0),"")</f>
        <v/>
      </c>
    </row>
    <row r="149">
      <c r="A149">
        <f>IF($M149="","",INDEX(상세표[사번],$M149)&amp;"")</f>
        <v/>
      </c>
      <c r="B149">
        <f>IF($M149="","",INDEX(상세표[성명],$M149)&amp;"")</f>
        <v/>
      </c>
      <c r="C149">
        <f>IF($M149="","",IF(INDEX(상세표[종료월],$M149)=대상월키,"전월→이번 달","이번 달→익월"))</f>
        <v/>
      </c>
      <c r="D149">
        <f>IF($M149="","",IF(ISNUMBER(INDEX(상세표[시작],$M149)),TEXT(INDEX(상세표[시작],$M149),"yyyy-mm-dd hh:mm"),INDEX(상세표[시작],$M149)&amp;""))</f>
        <v/>
      </c>
      <c r="E149">
        <f>IF($M149="","",IF(ISNUMBER(INDEX(상세표[종료],$M149)),TEXT(INDEX(상세표[종료],$M149),"yyyy-mm-dd hh:mm"),INDEX(상세표[종료],$M149)&amp;""))</f>
        <v/>
      </c>
      <c r="F149" s="20">
        <f>IF($M149="","",INDEX(상세표[기록 시간외],$M149))</f>
        <v/>
      </c>
      <c r="G149">
        <f>IF($M149="","",INDEX(상세표[시작월 기관],$M149)&amp;"")</f>
        <v/>
      </c>
      <c r="H149">
        <f>IF($M149="","",INDEX(상세표[종료월 기관],$M149)&amp;"")</f>
        <v/>
      </c>
      <c r="I149">
        <f>IF($M149="","",INDEX(상세표[월경계 판정],$M149)&amp;"")</f>
        <v/>
      </c>
      <c r="J149">
        <f>IF($M149="","",INDEX(상세표[반영월],$M149)&amp;"")</f>
        <v/>
      </c>
      <c r="K149">
        <f>IF($M149="","",INDEX(상세표[반영 기관],$M149)&amp;"")</f>
        <v/>
      </c>
      <c r="L149">
        <f>IF($M149="","",INDEX(상세표[기관 출처],$M149)&amp;"")</f>
        <v/>
      </c>
      <c r="M149" s="4">
        <f>IFERROR(MATCH(144,상세표[경계순번],0),"")</f>
        <v/>
      </c>
    </row>
    <row r="150">
      <c r="A150">
        <f>IF($M150="","",INDEX(상세표[사번],$M150)&amp;"")</f>
        <v/>
      </c>
      <c r="B150">
        <f>IF($M150="","",INDEX(상세표[성명],$M150)&amp;"")</f>
        <v/>
      </c>
      <c r="C150">
        <f>IF($M150="","",IF(INDEX(상세표[종료월],$M150)=대상월키,"전월→이번 달","이번 달→익월"))</f>
        <v/>
      </c>
      <c r="D150">
        <f>IF($M150="","",IF(ISNUMBER(INDEX(상세표[시작],$M150)),TEXT(INDEX(상세표[시작],$M150),"yyyy-mm-dd hh:mm"),INDEX(상세표[시작],$M150)&amp;""))</f>
        <v/>
      </c>
      <c r="E150">
        <f>IF($M150="","",IF(ISNUMBER(INDEX(상세표[종료],$M150)),TEXT(INDEX(상세표[종료],$M150),"yyyy-mm-dd hh:mm"),INDEX(상세표[종료],$M150)&amp;""))</f>
        <v/>
      </c>
      <c r="F150" s="20">
        <f>IF($M150="","",INDEX(상세표[기록 시간외],$M150))</f>
        <v/>
      </c>
      <c r="G150">
        <f>IF($M150="","",INDEX(상세표[시작월 기관],$M150)&amp;"")</f>
        <v/>
      </c>
      <c r="H150">
        <f>IF($M150="","",INDEX(상세표[종료월 기관],$M150)&amp;"")</f>
        <v/>
      </c>
      <c r="I150">
        <f>IF($M150="","",INDEX(상세표[월경계 판정],$M150)&amp;"")</f>
        <v/>
      </c>
      <c r="J150">
        <f>IF($M150="","",INDEX(상세표[반영월],$M150)&amp;"")</f>
        <v/>
      </c>
      <c r="K150">
        <f>IF($M150="","",INDEX(상세표[반영 기관],$M150)&amp;"")</f>
        <v/>
      </c>
      <c r="L150">
        <f>IF($M150="","",INDEX(상세표[기관 출처],$M150)&amp;"")</f>
        <v/>
      </c>
      <c r="M150" s="4">
        <f>IFERROR(MATCH(145,상세표[경계순번],0),"")</f>
        <v/>
      </c>
    </row>
    <row r="151">
      <c r="A151">
        <f>IF($M151="","",INDEX(상세표[사번],$M151)&amp;"")</f>
        <v/>
      </c>
      <c r="B151">
        <f>IF($M151="","",INDEX(상세표[성명],$M151)&amp;"")</f>
        <v/>
      </c>
      <c r="C151">
        <f>IF($M151="","",IF(INDEX(상세표[종료월],$M151)=대상월키,"전월→이번 달","이번 달→익월"))</f>
        <v/>
      </c>
      <c r="D151">
        <f>IF($M151="","",IF(ISNUMBER(INDEX(상세표[시작],$M151)),TEXT(INDEX(상세표[시작],$M151),"yyyy-mm-dd hh:mm"),INDEX(상세표[시작],$M151)&amp;""))</f>
        <v/>
      </c>
      <c r="E151">
        <f>IF($M151="","",IF(ISNUMBER(INDEX(상세표[종료],$M151)),TEXT(INDEX(상세표[종료],$M151),"yyyy-mm-dd hh:mm"),INDEX(상세표[종료],$M151)&amp;""))</f>
        <v/>
      </c>
      <c r="F151" s="20">
        <f>IF($M151="","",INDEX(상세표[기록 시간외],$M151))</f>
        <v/>
      </c>
      <c r="G151">
        <f>IF($M151="","",INDEX(상세표[시작월 기관],$M151)&amp;"")</f>
        <v/>
      </c>
      <c r="H151">
        <f>IF($M151="","",INDEX(상세표[종료월 기관],$M151)&amp;"")</f>
        <v/>
      </c>
      <c r="I151">
        <f>IF($M151="","",INDEX(상세표[월경계 판정],$M151)&amp;"")</f>
        <v/>
      </c>
      <c r="J151">
        <f>IF($M151="","",INDEX(상세표[반영월],$M151)&amp;"")</f>
        <v/>
      </c>
      <c r="K151">
        <f>IF($M151="","",INDEX(상세표[반영 기관],$M151)&amp;"")</f>
        <v/>
      </c>
      <c r="L151">
        <f>IF($M151="","",INDEX(상세표[기관 출처],$M151)&amp;"")</f>
        <v/>
      </c>
      <c r="M151" s="4">
        <f>IFERROR(MATCH(146,상세표[경계순번],0),"")</f>
        <v/>
      </c>
    </row>
    <row r="152">
      <c r="A152">
        <f>IF($M152="","",INDEX(상세표[사번],$M152)&amp;"")</f>
        <v/>
      </c>
      <c r="B152">
        <f>IF($M152="","",INDEX(상세표[성명],$M152)&amp;"")</f>
        <v/>
      </c>
      <c r="C152">
        <f>IF($M152="","",IF(INDEX(상세표[종료월],$M152)=대상월키,"전월→이번 달","이번 달→익월"))</f>
        <v/>
      </c>
      <c r="D152">
        <f>IF($M152="","",IF(ISNUMBER(INDEX(상세표[시작],$M152)),TEXT(INDEX(상세표[시작],$M152),"yyyy-mm-dd hh:mm"),INDEX(상세표[시작],$M152)&amp;""))</f>
        <v/>
      </c>
      <c r="E152">
        <f>IF($M152="","",IF(ISNUMBER(INDEX(상세표[종료],$M152)),TEXT(INDEX(상세표[종료],$M152),"yyyy-mm-dd hh:mm"),INDEX(상세표[종료],$M152)&amp;""))</f>
        <v/>
      </c>
      <c r="F152" s="20">
        <f>IF($M152="","",INDEX(상세표[기록 시간외],$M152))</f>
        <v/>
      </c>
      <c r="G152">
        <f>IF($M152="","",INDEX(상세표[시작월 기관],$M152)&amp;"")</f>
        <v/>
      </c>
      <c r="H152">
        <f>IF($M152="","",INDEX(상세표[종료월 기관],$M152)&amp;"")</f>
        <v/>
      </c>
      <c r="I152">
        <f>IF($M152="","",INDEX(상세표[월경계 판정],$M152)&amp;"")</f>
        <v/>
      </c>
      <c r="J152">
        <f>IF($M152="","",INDEX(상세표[반영월],$M152)&amp;"")</f>
        <v/>
      </c>
      <c r="K152">
        <f>IF($M152="","",INDEX(상세표[반영 기관],$M152)&amp;"")</f>
        <v/>
      </c>
      <c r="L152">
        <f>IF($M152="","",INDEX(상세표[기관 출처],$M152)&amp;"")</f>
        <v/>
      </c>
      <c r="M152" s="4">
        <f>IFERROR(MATCH(147,상세표[경계순번],0),"")</f>
        <v/>
      </c>
    </row>
    <row r="153">
      <c r="A153">
        <f>IF($M153="","",INDEX(상세표[사번],$M153)&amp;"")</f>
        <v/>
      </c>
      <c r="B153">
        <f>IF($M153="","",INDEX(상세표[성명],$M153)&amp;"")</f>
        <v/>
      </c>
      <c r="C153">
        <f>IF($M153="","",IF(INDEX(상세표[종료월],$M153)=대상월키,"전월→이번 달","이번 달→익월"))</f>
        <v/>
      </c>
      <c r="D153">
        <f>IF($M153="","",IF(ISNUMBER(INDEX(상세표[시작],$M153)),TEXT(INDEX(상세표[시작],$M153),"yyyy-mm-dd hh:mm"),INDEX(상세표[시작],$M153)&amp;""))</f>
        <v/>
      </c>
      <c r="E153">
        <f>IF($M153="","",IF(ISNUMBER(INDEX(상세표[종료],$M153)),TEXT(INDEX(상세표[종료],$M153),"yyyy-mm-dd hh:mm"),INDEX(상세표[종료],$M153)&amp;""))</f>
        <v/>
      </c>
      <c r="F153" s="20">
        <f>IF($M153="","",INDEX(상세표[기록 시간외],$M153))</f>
        <v/>
      </c>
      <c r="G153">
        <f>IF($M153="","",INDEX(상세표[시작월 기관],$M153)&amp;"")</f>
        <v/>
      </c>
      <c r="H153">
        <f>IF($M153="","",INDEX(상세표[종료월 기관],$M153)&amp;"")</f>
        <v/>
      </c>
      <c r="I153">
        <f>IF($M153="","",INDEX(상세표[월경계 판정],$M153)&amp;"")</f>
        <v/>
      </c>
      <c r="J153">
        <f>IF($M153="","",INDEX(상세표[반영월],$M153)&amp;"")</f>
        <v/>
      </c>
      <c r="K153">
        <f>IF($M153="","",INDEX(상세표[반영 기관],$M153)&amp;"")</f>
        <v/>
      </c>
      <c r="L153">
        <f>IF($M153="","",INDEX(상세표[기관 출처],$M153)&amp;"")</f>
        <v/>
      </c>
      <c r="M153" s="4">
        <f>IFERROR(MATCH(148,상세표[경계순번],0),"")</f>
        <v/>
      </c>
    </row>
    <row r="154">
      <c r="A154">
        <f>IF($M154="","",INDEX(상세표[사번],$M154)&amp;"")</f>
        <v/>
      </c>
      <c r="B154">
        <f>IF($M154="","",INDEX(상세표[성명],$M154)&amp;"")</f>
        <v/>
      </c>
      <c r="C154">
        <f>IF($M154="","",IF(INDEX(상세표[종료월],$M154)=대상월키,"전월→이번 달","이번 달→익월"))</f>
        <v/>
      </c>
      <c r="D154">
        <f>IF($M154="","",IF(ISNUMBER(INDEX(상세표[시작],$M154)),TEXT(INDEX(상세표[시작],$M154),"yyyy-mm-dd hh:mm"),INDEX(상세표[시작],$M154)&amp;""))</f>
        <v/>
      </c>
      <c r="E154">
        <f>IF($M154="","",IF(ISNUMBER(INDEX(상세표[종료],$M154)),TEXT(INDEX(상세표[종료],$M154),"yyyy-mm-dd hh:mm"),INDEX(상세표[종료],$M154)&amp;""))</f>
        <v/>
      </c>
      <c r="F154" s="20">
        <f>IF($M154="","",INDEX(상세표[기록 시간외],$M154))</f>
        <v/>
      </c>
      <c r="G154">
        <f>IF($M154="","",INDEX(상세표[시작월 기관],$M154)&amp;"")</f>
        <v/>
      </c>
      <c r="H154">
        <f>IF($M154="","",INDEX(상세표[종료월 기관],$M154)&amp;"")</f>
        <v/>
      </c>
      <c r="I154">
        <f>IF($M154="","",INDEX(상세표[월경계 판정],$M154)&amp;"")</f>
        <v/>
      </c>
      <c r="J154">
        <f>IF($M154="","",INDEX(상세표[반영월],$M154)&amp;"")</f>
        <v/>
      </c>
      <c r="K154">
        <f>IF($M154="","",INDEX(상세표[반영 기관],$M154)&amp;"")</f>
        <v/>
      </c>
      <c r="L154">
        <f>IF($M154="","",INDEX(상세표[기관 출처],$M154)&amp;"")</f>
        <v/>
      </c>
      <c r="M154" s="4">
        <f>IFERROR(MATCH(149,상세표[경계순번],0),"")</f>
        <v/>
      </c>
    </row>
    <row r="155">
      <c r="A155">
        <f>IF($M155="","",INDEX(상세표[사번],$M155)&amp;"")</f>
        <v/>
      </c>
      <c r="B155">
        <f>IF($M155="","",INDEX(상세표[성명],$M155)&amp;"")</f>
        <v/>
      </c>
      <c r="C155">
        <f>IF($M155="","",IF(INDEX(상세표[종료월],$M155)=대상월키,"전월→이번 달","이번 달→익월"))</f>
        <v/>
      </c>
      <c r="D155">
        <f>IF($M155="","",IF(ISNUMBER(INDEX(상세표[시작],$M155)),TEXT(INDEX(상세표[시작],$M155),"yyyy-mm-dd hh:mm"),INDEX(상세표[시작],$M155)&amp;""))</f>
        <v/>
      </c>
      <c r="E155">
        <f>IF($M155="","",IF(ISNUMBER(INDEX(상세표[종료],$M155)),TEXT(INDEX(상세표[종료],$M155),"yyyy-mm-dd hh:mm"),INDEX(상세표[종료],$M155)&amp;""))</f>
        <v/>
      </c>
      <c r="F155" s="20">
        <f>IF($M155="","",INDEX(상세표[기록 시간외],$M155))</f>
        <v/>
      </c>
      <c r="G155">
        <f>IF($M155="","",INDEX(상세표[시작월 기관],$M155)&amp;"")</f>
        <v/>
      </c>
      <c r="H155">
        <f>IF($M155="","",INDEX(상세표[종료월 기관],$M155)&amp;"")</f>
        <v/>
      </c>
      <c r="I155">
        <f>IF($M155="","",INDEX(상세표[월경계 판정],$M155)&amp;"")</f>
        <v/>
      </c>
      <c r="J155">
        <f>IF($M155="","",INDEX(상세표[반영월],$M155)&amp;"")</f>
        <v/>
      </c>
      <c r="K155">
        <f>IF($M155="","",INDEX(상세표[반영 기관],$M155)&amp;"")</f>
        <v/>
      </c>
      <c r="L155">
        <f>IF($M155="","",INDEX(상세표[기관 출처],$M155)&amp;"")</f>
        <v/>
      </c>
      <c r="M155" s="4">
        <f>IFERROR(MATCH(150,상세표[경계순번],0),"")</f>
        <v/>
      </c>
    </row>
    <row r="156">
      <c r="A156">
        <f>IF($M156="","",INDEX(상세표[사번],$M156)&amp;"")</f>
        <v/>
      </c>
      <c r="B156">
        <f>IF($M156="","",INDEX(상세표[성명],$M156)&amp;"")</f>
        <v/>
      </c>
      <c r="C156">
        <f>IF($M156="","",IF(INDEX(상세표[종료월],$M156)=대상월키,"전월→이번 달","이번 달→익월"))</f>
        <v/>
      </c>
      <c r="D156">
        <f>IF($M156="","",IF(ISNUMBER(INDEX(상세표[시작],$M156)),TEXT(INDEX(상세표[시작],$M156),"yyyy-mm-dd hh:mm"),INDEX(상세표[시작],$M156)&amp;""))</f>
        <v/>
      </c>
      <c r="E156">
        <f>IF($M156="","",IF(ISNUMBER(INDEX(상세표[종료],$M156)),TEXT(INDEX(상세표[종료],$M156),"yyyy-mm-dd hh:mm"),INDEX(상세표[종료],$M156)&amp;""))</f>
        <v/>
      </c>
      <c r="F156" s="20">
        <f>IF($M156="","",INDEX(상세표[기록 시간외],$M156))</f>
        <v/>
      </c>
      <c r="G156">
        <f>IF($M156="","",INDEX(상세표[시작월 기관],$M156)&amp;"")</f>
        <v/>
      </c>
      <c r="H156">
        <f>IF($M156="","",INDEX(상세표[종료월 기관],$M156)&amp;"")</f>
        <v/>
      </c>
      <c r="I156">
        <f>IF($M156="","",INDEX(상세표[월경계 판정],$M156)&amp;"")</f>
        <v/>
      </c>
      <c r="J156">
        <f>IF($M156="","",INDEX(상세표[반영월],$M156)&amp;"")</f>
        <v/>
      </c>
      <c r="K156">
        <f>IF($M156="","",INDEX(상세표[반영 기관],$M156)&amp;"")</f>
        <v/>
      </c>
      <c r="L156">
        <f>IF($M156="","",INDEX(상세표[기관 출처],$M156)&amp;"")</f>
        <v/>
      </c>
      <c r="M156" s="4">
        <f>IFERROR(MATCH(151,상세표[경계순번],0),"")</f>
        <v/>
      </c>
    </row>
    <row r="157">
      <c r="A157">
        <f>IF($M157="","",INDEX(상세표[사번],$M157)&amp;"")</f>
        <v/>
      </c>
      <c r="B157">
        <f>IF($M157="","",INDEX(상세표[성명],$M157)&amp;"")</f>
        <v/>
      </c>
      <c r="C157">
        <f>IF($M157="","",IF(INDEX(상세표[종료월],$M157)=대상월키,"전월→이번 달","이번 달→익월"))</f>
        <v/>
      </c>
      <c r="D157">
        <f>IF($M157="","",IF(ISNUMBER(INDEX(상세표[시작],$M157)),TEXT(INDEX(상세표[시작],$M157),"yyyy-mm-dd hh:mm"),INDEX(상세표[시작],$M157)&amp;""))</f>
        <v/>
      </c>
      <c r="E157">
        <f>IF($M157="","",IF(ISNUMBER(INDEX(상세표[종료],$M157)),TEXT(INDEX(상세표[종료],$M157),"yyyy-mm-dd hh:mm"),INDEX(상세표[종료],$M157)&amp;""))</f>
        <v/>
      </c>
      <c r="F157" s="20">
        <f>IF($M157="","",INDEX(상세표[기록 시간외],$M157))</f>
        <v/>
      </c>
      <c r="G157">
        <f>IF($M157="","",INDEX(상세표[시작월 기관],$M157)&amp;"")</f>
        <v/>
      </c>
      <c r="H157">
        <f>IF($M157="","",INDEX(상세표[종료월 기관],$M157)&amp;"")</f>
        <v/>
      </c>
      <c r="I157">
        <f>IF($M157="","",INDEX(상세표[월경계 판정],$M157)&amp;"")</f>
        <v/>
      </c>
      <c r="J157">
        <f>IF($M157="","",INDEX(상세표[반영월],$M157)&amp;"")</f>
        <v/>
      </c>
      <c r="K157">
        <f>IF($M157="","",INDEX(상세표[반영 기관],$M157)&amp;"")</f>
        <v/>
      </c>
      <c r="L157">
        <f>IF($M157="","",INDEX(상세표[기관 출처],$M157)&amp;"")</f>
        <v/>
      </c>
      <c r="M157" s="4">
        <f>IFERROR(MATCH(152,상세표[경계순번],0),"")</f>
        <v/>
      </c>
    </row>
    <row r="158">
      <c r="A158">
        <f>IF($M158="","",INDEX(상세표[사번],$M158)&amp;"")</f>
        <v/>
      </c>
      <c r="B158">
        <f>IF($M158="","",INDEX(상세표[성명],$M158)&amp;"")</f>
        <v/>
      </c>
      <c r="C158">
        <f>IF($M158="","",IF(INDEX(상세표[종료월],$M158)=대상월키,"전월→이번 달","이번 달→익월"))</f>
        <v/>
      </c>
      <c r="D158">
        <f>IF($M158="","",IF(ISNUMBER(INDEX(상세표[시작],$M158)),TEXT(INDEX(상세표[시작],$M158),"yyyy-mm-dd hh:mm"),INDEX(상세표[시작],$M158)&amp;""))</f>
        <v/>
      </c>
      <c r="E158">
        <f>IF($M158="","",IF(ISNUMBER(INDEX(상세표[종료],$M158)),TEXT(INDEX(상세표[종료],$M158),"yyyy-mm-dd hh:mm"),INDEX(상세표[종료],$M158)&amp;""))</f>
        <v/>
      </c>
      <c r="F158" s="20">
        <f>IF($M158="","",INDEX(상세표[기록 시간외],$M158))</f>
        <v/>
      </c>
      <c r="G158">
        <f>IF($M158="","",INDEX(상세표[시작월 기관],$M158)&amp;"")</f>
        <v/>
      </c>
      <c r="H158">
        <f>IF($M158="","",INDEX(상세표[종료월 기관],$M158)&amp;"")</f>
        <v/>
      </c>
      <c r="I158">
        <f>IF($M158="","",INDEX(상세표[월경계 판정],$M158)&amp;"")</f>
        <v/>
      </c>
      <c r="J158">
        <f>IF($M158="","",INDEX(상세표[반영월],$M158)&amp;"")</f>
        <v/>
      </c>
      <c r="K158">
        <f>IF($M158="","",INDEX(상세표[반영 기관],$M158)&amp;"")</f>
        <v/>
      </c>
      <c r="L158">
        <f>IF($M158="","",INDEX(상세표[기관 출처],$M158)&amp;"")</f>
        <v/>
      </c>
      <c r="M158" s="4">
        <f>IFERROR(MATCH(153,상세표[경계순번],0),"")</f>
        <v/>
      </c>
    </row>
    <row r="159">
      <c r="A159">
        <f>IF($M159="","",INDEX(상세표[사번],$M159)&amp;"")</f>
        <v/>
      </c>
      <c r="B159">
        <f>IF($M159="","",INDEX(상세표[성명],$M159)&amp;"")</f>
        <v/>
      </c>
      <c r="C159">
        <f>IF($M159="","",IF(INDEX(상세표[종료월],$M159)=대상월키,"전월→이번 달","이번 달→익월"))</f>
        <v/>
      </c>
      <c r="D159">
        <f>IF($M159="","",IF(ISNUMBER(INDEX(상세표[시작],$M159)),TEXT(INDEX(상세표[시작],$M159),"yyyy-mm-dd hh:mm"),INDEX(상세표[시작],$M159)&amp;""))</f>
        <v/>
      </c>
      <c r="E159">
        <f>IF($M159="","",IF(ISNUMBER(INDEX(상세표[종료],$M159)),TEXT(INDEX(상세표[종료],$M159),"yyyy-mm-dd hh:mm"),INDEX(상세표[종료],$M159)&amp;""))</f>
        <v/>
      </c>
      <c r="F159" s="20">
        <f>IF($M159="","",INDEX(상세표[기록 시간외],$M159))</f>
        <v/>
      </c>
      <c r="G159">
        <f>IF($M159="","",INDEX(상세표[시작월 기관],$M159)&amp;"")</f>
        <v/>
      </c>
      <c r="H159">
        <f>IF($M159="","",INDEX(상세표[종료월 기관],$M159)&amp;"")</f>
        <v/>
      </c>
      <c r="I159">
        <f>IF($M159="","",INDEX(상세표[월경계 판정],$M159)&amp;"")</f>
        <v/>
      </c>
      <c r="J159">
        <f>IF($M159="","",INDEX(상세표[반영월],$M159)&amp;"")</f>
        <v/>
      </c>
      <c r="K159">
        <f>IF($M159="","",INDEX(상세표[반영 기관],$M159)&amp;"")</f>
        <v/>
      </c>
      <c r="L159">
        <f>IF($M159="","",INDEX(상세표[기관 출처],$M159)&amp;"")</f>
        <v/>
      </c>
      <c r="M159" s="4">
        <f>IFERROR(MATCH(154,상세표[경계순번],0),"")</f>
        <v/>
      </c>
    </row>
    <row r="160">
      <c r="A160">
        <f>IF($M160="","",INDEX(상세표[사번],$M160)&amp;"")</f>
        <v/>
      </c>
      <c r="B160">
        <f>IF($M160="","",INDEX(상세표[성명],$M160)&amp;"")</f>
        <v/>
      </c>
      <c r="C160">
        <f>IF($M160="","",IF(INDEX(상세표[종료월],$M160)=대상월키,"전월→이번 달","이번 달→익월"))</f>
        <v/>
      </c>
      <c r="D160">
        <f>IF($M160="","",IF(ISNUMBER(INDEX(상세표[시작],$M160)),TEXT(INDEX(상세표[시작],$M160),"yyyy-mm-dd hh:mm"),INDEX(상세표[시작],$M160)&amp;""))</f>
        <v/>
      </c>
      <c r="E160">
        <f>IF($M160="","",IF(ISNUMBER(INDEX(상세표[종료],$M160)),TEXT(INDEX(상세표[종료],$M160),"yyyy-mm-dd hh:mm"),INDEX(상세표[종료],$M160)&amp;""))</f>
        <v/>
      </c>
      <c r="F160" s="20">
        <f>IF($M160="","",INDEX(상세표[기록 시간외],$M160))</f>
        <v/>
      </c>
      <c r="G160">
        <f>IF($M160="","",INDEX(상세표[시작월 기관],$M160)&amp;"")</f>
        <v/>
      </c>
      <c r="H160">
        <f>IF($M160="","",INDEX(상세표[종료월 기관],$M160)&amp;"")</f>
        <v/>
      </c>
      <c r="I160">
        <f>IF($M160="","",INDEX(상세표[월경계 판정],$M160)&amp;"")</f>
        <v/>
      </c>
      <c r="J160">
        <f>IF($M160="","",INDEX(상세표[반영월],$M160)&amp;"")</f>
        <v/>
      </c>
      <c r="K160">
        <f>IF($M160="","",INDEX(상세표[반영 기관],$M160)&amp;"")</f>
        <v/>
      </c>
      <c r="L160">
        <f>IF($M160="","",INDEX(상세표[기관 출처],$M160)&amp;"")</f>
        <v/>
      </c>
      <c r="M160" s="4">
        <f>IFERROR(MATCH(155,상세표[경계순번],0),"")</f>
        <v/>
      </c>
    </row>
    <row r="161">
      <c r="A161">
        <f>IF($M161="","",INDEX(상세표[사번],$M161)&amp;"")</f>
        <v/>
      </c>
      <c r="B161">
        <f>IF($M161="","",INDEX(상세표[성명],$M161)&amp;"")</f>
        <v/>
      </c>
      <c r="C161">
        <f>IF($M161="","",IF(INDEX(상세표[종료월],$M161)=대상월키,"전월→이번 달","이번 달→익월"))</f>
        <v/>
      </c>
      <c r="D161">
        <f>IF($M161="","",IF(ISNUMBER(INDEX(상세표[시작],$M161)),TEXT(INDEX(상세표[시작],$M161),"yyyy-mm-dd hh:mm"),INDEX(상세표[시작],$M161)&amp;""))</f>
        <v/>
      </c>
      <c r="E161">
        <f>IF($M161="","",IF(ISNUMBER(INDEX(상세표[종료],$M161)),TEXT(INDEX(상세표[종료],$M161),"yyyy-mm-dd hh:mm"),INDEX(상세표[종료],$M161)&amp;""))</f>
        <v/>
      </c>
      <c r="F161" s="20">
        <f>IF($M161="","",INDEX(상세표[기록 시간외],$M161))</f>
        <v/>
      </c>
      <c r="G161">
        <f>IF($M161="","",INDEX(상세표[시작월 기관],$M161)&amp;"")</f>
        <v/>
      </c>
      <c r="H161">
        <f>IF($M161="","",INDEX(상세표[종료월 기관],$M161)&amp;"")</f>
        <v/>
      </c>
      <c r="I161">
        <f>IF($M161="","",INDEX(상세표[월경계 판정],$M161)&amp;"")</f>
        <v/>
      </c>
      <c r="J161">
        <f>IF($M161="","",INDEX(상세표[반영월],$M161)&amp;"")</f>
        <v/>
      </c>
      <c r="K161">
        <f>IF($M161="","",INDEX(상세표[반영 기관],$M161)&amp;"")</f>
        <v/>
      </c>
      <c r="L161">
        <f>IF($M161="","",INDEX(상세표[기관 출처],$M161)&amp;"")</f>
        <v/>
      </c>
      <c r="M161" s="4">
        <f>IFERROR(MATCH(156,상세표[경계순번],0),"")</f>
        <v/>
      </c>
    </row>
    <row r="162">
      <c r="A162">
        <f>IF($M162="","",INDEX(상세표[사번],$M162)&amp;"")</f>
        <v/>
      </c>
      <c r="B162">
        <f>IF($M162="","",INDEX(상세표[성명],$M162)&amp;"")</f>
        <v/>
      </c>
      <c r="C162">
        <f>IF($M162="","",IF(INDEX(상세표[종료월],$M162)=대상월키,"전월→이번 달","이번 달→익월"))</f>
        <v/>
      </c>
      <c r="D162">
        <f>IF($M162="","",IF(ISNUMBER(INDEX(상세표[시작],$M162)),TEXT(INDEX(상세표[시작],$M162),"yyyy-mm-dd hh:mm"),INDEX(상세표[시작],$M162)&amp;""))</f>
        <v/>
      </c>
      <c r="E162">
        <f>IF($M162="","",IF(ISNUMBER(INDEX(상세표[종료],$M162)),TEXT(INDEX(상세표[종료],$M162),"yyyy-mm-dd hh:mm"),INDEX(상세표[종료],$M162)&amp;""))</f>
        <v/>
      </c>
      <c r="F162" s="20">
        <f>IF($M162="","",INDEX(상세표[기록 시간외],$M162))</f>
        <v/>
      </c>
      <c r="G162">
        <f>IF($M162="","",INDEX(상세표[시작월 기관],$M162)&amp;"")</f>
        <v/>
      </c>
      <c r="H162">
        <f>IF($M162="","",INDEX(상세표[종료월 기관],$M162)&amp;"")</f>
        <v/>
      </c>
      <c r="I162">
        <f>IF($M162="","",INDEX(상세표[월경계 판정],$M162)&amp;"")</f>
        <v/>
      </c>
      <c r="J162">
        <f>IF($M162="","",INDEX(상세표[반영월],$M162)&amp;"")</f>
        <v/>
      </c>
      <c r="K162">
        <f>IF($M162="","",INDEX(상세표[반영 기관],$M162)&amp;"")</f>
        <v/>
      </c>
      <c r="L162">
        <f>IF($M162="","",INDEX(상세표[기관 출처],$M162)&amp;"")</f>
        <v/>
      </c>
      <c r="M162" s="4">
        <f>IFERROR(MATCH(157,상세표[경계순번],0),"")</f>
        <v/>
      </c>
    </row>
    <row r="163">
      <c r="A163">
        <f>IF($M163="","",INDEX(상세표[사번],$M163)&amp;"")</f>
        <v/>
      </c>
      <c r="B163">
        <f>IF($M163="","",INDEX(상세표[성명],$M163)&amp;"")</f>
        <v/>
      </c>
      <c r="C163">
        <f>IF($M163="","",IF(INDEX(상세표[종료월],$M163)=대상월키,"전월→이번 달","이번 달→익월"))</f>
        <v/>
      </c>
      <c r="D163">
        <f>IF($M163="","",IF(ISNUMBER(INDEX(상세표[시작],$M163)),TEXT(INDEX(상세표[시작],$M163),"yyyy-mm-dd hh:mm"),INDEX(상세표[시작],$M163)&amp;""))</f>
        <v/>
      </c>
      <c r="E163">
        <f>IF($M163="","",IF(ISNUMBER(INDEX(상세표[종료],$M163)),TEXT(INDEX(상세표[종료],$M163),"yyyy-mm-dd hh:mm"),INDEX(상세표[종료],$M163)&amp;""))</f>
        <v/>
      </c>
      <c r="F163" s="20">
        <f>IF($M163="","",INDEX(상세표[기록 시간외],$M163))</f>
        <v/>
      </c>
      <c r="G163">
        <f>IF($M163="","",INDEX(상세표[시작월 기관],$M163)&amp;"")</f>
        <v/>
      </c>
      <c r="H163">
        <f>IF($M163="","",INDEX(상세표[종료월 기관],$M163)&amp;"")</f>
        <v/>
      </c>
      <c r="I163">
        <f>IF($M163="","",INDEX(상세표[월경계 판정],$M163)&amp;"")</f>
        <v/>
      </c>
      <c r="J163">
        <f>IF($M163="","",INDEX(상세표[반영월],$M163)&amp;"")</f>
        <v/>
      </c>
      <c r="K163">
        <f>IF($M163="","",INDEX(상세표[반영 기관],$M163)&amp;"")</f>
        <v/>
      </c>
      <c r="L163">
        <f>IF($M163="","",INDEX(상세표[기관 출처],$M163)&amp;"")</f>
        <v/>
      </c>
      <c r="M163" s="4">
        <f>IFERROR(MATCH(158,상세표[경계순번],0),"")</f>
        <v/>
      </c>
    </row>
    <row r="164">
      <c r="A164">
        <f>IF($M164="","",INDEX(상세표[사번],$M164)&amp;"")</f>
        <v/>
      </c>
      <c r="B164">
        <f>IF($M164="","",INDEX(상세표[성명],$M164)&amp;"")</f>
        <v/>
      </c>
      <c r="C164">
        <f>IF($M164="","",IF(INDEX(상세표[종료월],$M164)=대상월키,"전월→이번 달","이번 달→익월"))</f>
        <v/>
      </c>
      <c r="D164">
        <f>IF($M164="","",IF(ISNUMBER(INDEX(상세표[시작],$M164)),TEXT(INDEX(상세표[시작],$M164),"yyyy-mm-dd hh:mm"),INDEX(상세표[시작],$M164)&amp;""))</f>
        <v/>
      </c>
      <c r="E164">
        <f>IF($M164="","",IF(ISNUMBER(INDEX(상세표[종료],$M164)),TEXT(INDEX(상세표[종료],$M164),"yyyy-mm-dd hh:mm"),INDEX(상세표[종료],$M164)&amp;""))</f>
        <v/>
      </c>
      <c r="F164" s="20">
        <f>IF($M164="","",INDEX(상세표[기록 시간외],$M164))</f>
        <v/>
      </c>
      <c r="G164">
        <f>IF($M164="","",INDEX(상세표[시작월 기관],$M164)&amp;"")</f>
        <v/>
      </c>
      <c r="H164">
        <f>IF($M164="","",INDEX(상세표[종료월 기관],$M164)&amp;"")</f>
        <v/>
      </c>
      <c r="I164">
        <f>IF($M164="","",INDEX(상세표[월경계 판정],$M164)&amp;"")</f>
        <v/>
      </c>
      <c r="J164">
        <f>IF($M164="","",INDEX(상세표[반영월],$M164)&amp;"")</f>
        <v/>
      </c>
      <c r="K164">
        <f>IF($M164="","",INDEX(상세표[반영 기관],$M164)&amp;"")</f>
        <v/>
      </c>
      <c r="L164">
        <f>IF($M164="","",INDEX(상세표[기관 출처],$M164)&amp;"")</f>
        <v/>
      </c>
      <c r="M164" s="4">
        <f>IFERROR(MATCH(159,상세표[경계순번],0),"")</f>
        <v/>
      </c>
    </row>
    <row r="165">
      <c r="A165">
        <f>IF($M165="","",INDEX(상세표[사번],$M165)&amp;"")</f>
        <v/>
      </c>
      <c r="B165">
        <f>IF($M165="","",INDEX(상세표[성명],$M165)&amp;"")</f>
        <v/>
      </c>
      <c r="C165">
        <f>IF($M165="","",IF(INDEX(상세표[종료월],$M165)=대상월키,"전월→이번 달","이번 달→익월"))</f>
        <v/>
      </c>
      <c r="D165">
        <f>IF($M165="","",IF(ISNUMBER(INDEX(상세표[시작],$M165)),TEXT(INDEX(상세표[시작],$M165),"yyyy-mm-dd hh:mm"),INDEX(상세표[시작],$M165)&amp;""))</f>
        <v/>
      </c>
      <c r="E165">
        <f>IF($M165="","",IF(ISNUMBER(INDEX(상세표[종료],$M165)),TEXT(INDEX(상세표[종료],$M165),"yyyy-mm-dd hh:mm"),INDEX(상세표[종료],$M165)&amp;""))</f>
        <v/>
      </c>
      <c r="F165" s="20">
        <f>IF($M165="","",INDEX(상세표[기록 시간외],$M165))</f>
        <v/>
      </c>
      <c r="G165">
        <f>IF($M165="","",INDEX(상세표[시작월 기관],$M165)&amp;"")</f>
        <v/>
      </c>
      <c r="H165">
        <f>IF($M165="","",INDEX(상세표[종료월 기관],$M165)&amp;"")</f>
        <v/>
      </c>
      <c r="I165">
        <f>IF($M165="","",INDEX(상세표[월경계 판정],$M165)&amp;"")</f>
        <v/>
      </c>
      <c r="J165">
        <f>IF($M165="","",INDEX(상세표[반영월],$M165)&amp;"")</f>
        <v/>
      </c>
      <c r="K165">
        <f>IF($M165="","",INDEX(상세표[반영 기관],$M165)&amp;"")</f>
        <v/>
      </c>
      <c r="L165">
        <f>IF($M165="","",INDEX(상세표[기관 출처],$M165)&amp;"")</f>
        <v/>
      </c>
      <c r="M165" s="4">
        <f>IFERROR(MATCH(160,상세표[경계순번],0),"")</f>
        <v/>
      </c>
    </row>
    <row r="166">
      <c r="A166">
        <f>IF($M166="","",INDEX(상세표[사번],$M166)&amp;"")</f>
        <v/>
      </c>
      <c r="B166">
        <f>IF($M166="","",INDEX(상세표[성명],$M166)&amp;"")</f>
        <v/>
      </c>
      <c r="C166">
        <f>IF($M166="","",IF(INDEX(상세표[종료월],$M166)=대상월키,"전월→이번 달","이번 달→익월"))</f>
        <v/>
      </c>
      <c r="D166">
        <f>IF($M166="","",IF(ISNUMBER(INDEX(상세표[시작],$M166)),TEXT(INDEX(상세표[시작],$M166),"yyyy-mm-dd hh:mm"),INDEX(상세표[시작],$M166)&amp;""))</f>
        <v/>
      </c>
      <c r="E166">
        <f>IF($M166="","",IF(ISNUMBER(INDEX(상세표[종료],$M166)),TEXT(INDEX(상세표[종료],$M166),"yyyy-mm-dd hh:mm"),INDEX(상세표[종료],$M166)&amp;""))</f>
        <v/>
      </c>
      <c r="F166" s="20">
        <f>IF($M166="","",INDEX(상세표[기록 시간외],$M166))</f>
        <v/>
      </c>
      <c r="G166">
        <f>IF($M166="","",INDEX(상세표[시작월 기관],$M166)&amp;"")</f>
        <v/>
      </c>
      <c r="H166">
        <f>IF($M166="","",INDEX(상세표[종료월 기관],$M166)&amp;"")</f>
        <v/>
      </c>
      <c r="I166">
        <f>IF($M166="","",INDEX(상세표[월경계 판정],$M166)&amp;"")</f>
        <v/>
      </c>
      <c r="J166">
        <f>IF($M166="","",INDEX(상세표[반영월],$M166)&amp;"")</f>
        <v/>
      </c>
      <c r="K166">
        <f>IF($M166="","",INDEX(상세표[반영 기관],$M166)&amp;"")</f>
        <v/>
      </c>
      <c r="L166">
        <f>IF($M166="","",INDEX(상세표[기관 출처],$M166)&amp;"")</f>
        <v/>
      </c>
      <c r="M166" s="4">
        <f>IFERROR(MATCH(161,상세표[경계순번],0),"")</f>
        <v/>
      </c>
    </row>
    <row r="167">
      <c r="A167">
        <f>IF($M167="","",INDEX(상세표[사번],$M167)&amp;"")</f>
        <v/>
      </c>
      <c r="B167">
        <f>IF($M167="","",INDEX(상세표[성명],$M167)&amp;"")</f>
        <v/>
      </c>
      <c r="C167">
        <f>IF($M167="","",IF(INDEX(상세표[종료월],$M167)=대상월키,"전월→이번 달","이번 달→익월"))</f>
        <v/>
      </c>
      <c r="D167">
        <f>IF($M167="","",IF(ISNUMBER(INDEX(상세표[시작],$M167)),TEXT(INDEX(상세표[시작],$M167),"yyyy-mm-dd hh:mm"),INDEX(상세표[시작],$M167)&amp;""))</f>
        <v/>
      </c>
      <c r="E167">
        <f>IF($M167="","",IF(ISNUMBER(INDEX(상세표[종료],$M167)),TEXT(INDEX(상세표[종료],$M167),"yyyy-mm-dd hh:mm"),INDEX(상세표[종료],$M167)&amp;""))</f>
        <v/>
      </c>
      <c r="F167" s="20">
        <f>IF($M167="","",INDEX(상세표[기록 시간외],$M167))</f>
        <v/>
      </c>
      <c r="G167">
        <f>IF($M167="","",INDEX(상세표[시작월 기관],$M167)&amp;"")</f>
        <v/>
      </c>
      <c r="H167">
        <f>IF($M167="","",INDEX(상세표[종료월 기관],$M167)&amp;"")</f>
        <v/>
      </c>
      <c r="I167">
        <f>IF($M167="","",INDEX(상세표[월경계 판정],$M167)&amp;"")</f>
        <v/>
      </c>
      <c r="J167">
        <f>IF($M167="","",INDEX(상세표[반영월],$M167)&amp;"")</f>
        <v/>
      </c>
      <c r="K167">
        <f>IF($M167="","",INDEX(상세표[반영 기관],$M167)&amp;"")</f>
        <v/>
      </c>
      <c r="L167">
        <f>IF($M167="","",INDEX(상세표[기관 출처],$M167)&amp;"")</f>
        <v/>
      </c>
      <c r="M167" s="4">
        <f>IFERROR(MATCH(162,상세표[경계순번],0),"")</f>
        <v/>
      </c>
    </row>
    <row r="168">
      <c r="A168">
        <f>IF($M168="","",INDEX(상세표[사번],$M168)&amp;"")</f>
        <v/>
      </c>
      <c r="B168">
        <f>IF($M168="","",INDEX(상세표[성명],$M168)&amp;"")</f>
        <v/>
      </c>
      <c r="C168">
        <f>IF($M168="","",IF(INDEX(상세표[종료월],$M168)=대상월키,"전월→이번 달","이번 달→익월"))</f>
        <v/>
      </c>
      <c r="D168">
        <f>IF($M168="","",IF(ISNUMBER(INDEX(상세표[시작],$M168)),TEXT(INDEX(상세표[시작],$M168),"yyyy-mm-dd hh:mm"),INDEX(상세표[시작],$M168)&amp;""))</f>
        <v/>
      </c>
      <c r="E168">
        <f>IF($M168="","",IF(ISNUMBER(INDEX(상세표[종료],$M168)),TEXT(INDEX(상세표[종료],$M168),"yyyy-mm-dd hh:mm"),INDEX(상세표[종료],$M168)&amp;""))</f>
        <v/>
      </c>
      <c r="F168" s="20">
        <f>IF($M168="","",INDEX(상세표[기록 시간외],$M168))</f>
        <v/>
      </c>
      <c r="G168">
        <f>IF($M168="","",INDEX(상세표[시작월 기관],$M168)&amp;"")</f>
        <v/>
      </c>
      <c r="H168">
        <f>IF($M168="","",INDEX(상세표[종료월 기관],$M168)&amp;"")</f>
        <v/>
      </c>
      <c r="I168">
        <f>IF($M168="","",INDEX(상세표[월경계 판정],$M168)&amp;"")</f>
        <v/>
      </c>
      <c r="J168">
        <f>IF($M168="","",INDEX(상세표[반영월],$M168)&amp;"")</f>
        <v/>
      </c>
      <c r="K168">
        <f>IF($M168="","",INDEX(상세표[반영 기관],$M168)&amp;"")</f>
        <v/>
      </c>
      <c r="L168">
        <f>IF($M168="","",INDEX(상세표[기관 출처],$M168)&amp;"")</f>
        <v/>
      </c>
      <c r="M168" s="4">
        <f>IFERROR(MATCH(163,상세표[경계순번],0),"")</f>
        <v/>
      </c>
    </row>
    <row r="169">
      <c r="A169">
        <f>IF($M169="","",INDEX(상세표[사번],$M169)&amp;"")</f>
        <v/>
      </c>
      <c r="B169">
        <f>IF($M169="","",INDEX(상세표[성명],$M169)&amp;"")</f>
        <v/>
      </c>
      <c r="C169">
        <f>IF($M169="","",IF(INDEX(상세표[종료월],$M169)=대상월키,"전월→이번 달","이번 달→익월"))</f>
        <v/>
      </c>
      <c r="D169">
        <f>IF($M169="","",IF(ISNUMBER(INDEX(상세표[시작],$M169)),TEXT(INDEX(상세표[시작],$M169),"yyyy-mm-dd hh:mm"),INDEX(상세표[시작],$M169)&amp;""))</f>
        <v/>
      </c>
      <c r="E169">
        <f>IF($M169="","",IF(ISNUMBER(INDEX(상세표[종료],$M169)),TEXT(INDEX(상세표[종료],$M169),"yyyy-mm-dd hh:mm"),INDEX(상세표[종료],$M169)&amp;""))</f>
        <v/>
      </c>
      <c r="F169" s="20">
        <f>IF($M169="","",INDEX(상세표[기록 시간외],$M169))</f>
        <v/>
      </c>
      <c r="G169">
        <f>IF($M169="","",INDEX(상세표[시작월 기관],$M169)&amp;"")</f>
        <v/>
      </c>
      <c r="H169">
        <f>IF($M169="","",INDEX(상세표[종료월 기관],$M169)&amp;"")</f>
        <v/>
      </c>
      <c r="I169">
        <f>IF($M169="","",INDEX(상세표[월경계 판정],$M169)&amp;"")</f>
        <v/>
      </c>
      <c r="J169">
        <f>IF($M169="","",INDEX(상세표[반영월],$M169)&amp;"")</f>
        <v/>
      </c>
      <c r="K169">
        <f>IF($M169="","",INDEX(상세표[반영 기관],$M169)&amp;"")</f>
        <v/>
      </c>
      <c r="L169">
        <f>IF($M169="","",INDEX(상세표[기관 출처],$M169)&amp;"")</f>
        <v/>
      </c>
      <c r="M169" s="4">
        <f>IFERROR(MATCH(164,상세표[경계순번],0),"")</f>
        <v/>
      </c>
    </row>
    <row r="170">
      <c r="A170">
        <f>IF($M170="","",INDEX(상세표[사번],$M170)&amp;"")</f>
        <v/>
      </c>
      <c r="B170">
        <f>IF($M170="","",INDEX(상세표[성명],$M170)&amp;"")</f>
        <v/>
      </c>
      <c r="C170">
        <f>IF($M170="","",IF(INDEX(상세표[종료월],$M170)=대상월키,"전월→이번 달","이번 달→익월"))</f>
        <v/>
      </c>
      <c r="D170">
        <f>IF($M170="","",IF(ISNUMBER(INDEX(상세표[시작],$M170)),TEXT(INDEX(상세표[시작],$M170),"yyyy-mm-dd hh:mm"),INDEX(상세표[시작],$M170)&amp;""))</f>
        <v/>
      </c>
      <c r="E170">
        <f>IF($M170="","",IF(ISNUMBER(INDEX(상세표[종료],$M170)),TEXT(INDEX(상세표[종료],$M170),"yyyy-mm-dd hh:mm"),INDEX(상세표[종료],$M170)&amp;""))</f>
        <v/>
      </c>
      <c r="F170" s="20">
        <f>IF($M170="","",INDEX(상세표[기록 시간외],$M170))</f>
        <v/>
      </c>
      <c r="G170">
        <f>IF($M170="","",INDEX(상세표[시작월 기관],$M170)&amp;"")</f>
        <v/>
      </c>
      <c r="H170">
        <f>IF($M170="","",INDEX(상세표[종료월 기관],$M170)&amp;"")</f>
        <v/>
      </c>
      <c r="I170">
        <f>IF($M170="","",INDEX(상세표[월경계 판정],$M170)&amp;"")</f>
        <v/>
      </c>
      <c r="J170">
        <f>IF($M170="","",INDEX(상세표[반영월],$M170)&amp;"")</f>
        <v/>
      </c>
      <c r="K170">
        <f>IF($M170="","",INDEX(상세표[반영 기관],$M170)&amp;"")</f>
        <v/>
      </c>
      <c r="L170">
        <f>IF($M170="","",INDEX(상세표[기관 출처],$M170)&amp;"")</f>
        <v/>
      </c>
      <c r="M170" s="4">
        <f>IFERROR(MATCH(165,상세표[경계순번],0),"")</f>
        <v/>
      </c>
    </row>
    <row r="171">
      <c r="A171">
        <f>IF($M171="","",INDEX(상세표[사번],$M171)&amp;"")</f>
        <v/>
      </c>
      <c r="B171">
        <f>IF($M171="","",INDEX(상세표[성명],$M171)&amp;"")</f>
        <v/>
      </c>
      <c r="C171">
        <f>IF($M171="","",IF(INDEX(상세표[종료월],$M171)=대상월키,"전월→이번 달","이번 달→익월"))</f>
        <v/>
      </c>
      <c r="D171">
        <f>IF($M171="","",IF(ISNUMBER(INDEX(상세표[시작],$M171)),TEXT(INDEX(상세표[시작],$M171),"yyyy-mm-dd hh:mm"),INDEX(상세표[시작],$M171)&amp;""))</f>
        <v/>
      </c>
      <c r="E171">
        <f>IF($M171="","",IF(ISNUMBER(INDEX(상세표[종료],$M171)),TEXT(INDEX(상세표[종료],$M171),"yyyy-mm-dd hh:mm"),INDEX(상세표[종료],$M171)&amp;""))</f>
        <v/>
      </c>
      <c r="F171" s="20">
        <f>IF($M171="","",INDEX(상세표[기록 시간외],$M171))</f>
        <v/>
      </c>
      <c r="G171">
        <f>IF($M171="","",INDEX(상세표[시작월 기관],$M171)&amp;"")</f>
        <v/>
      </c>
      <c r="H171">
        <f>IF($M171="","",INDEX(상세표[종료월 기관],$M171)&amp;"")</f>
        <v/>
      </c>
      <c r="I171">
        <f>IF($M171="","",INDEX(상세표[월경계 판정],$M171)&amp;"")</f>
        <v/>
      </c>
      <c r="J171">
        <f>IF($M171="","",INDEX(상세표[반영월],$M171)&amp;"")</f>
        <v/>
      </c>
      <c r="K171">
        <f>IF($M171="","",INDEX(상세표[반영 기관],$M171)&amp;"")</f>
        <v/>
      </c>
      <c r="L171">
        <f>IF($M171="","",INDEX(상세표[기관 출처],$M171)&amp;"")</f>
        <v/>
      </c>
      <c r="M171" s="4">
        <f>IFERROR(MATCH(166,상세표[경계순번],0),"")</f>
        <v/>
      </c>
    </row>
    <row r="172">
      <c r="A172">
        <f>IF($M172="","",INDEX(상세표[사번],$M172)&amp;"")</f>
        <v/>
      </c>
      <c r="B172">
        <f>IF($M172="","",INDEX(상세표[성명],$M172)&amp;"")</f>
        <v/>
      </c>
      <c r="C172">
        <f>IF($M172="","",IF(INDEX(상세표[종료월],$M172)=대상월키,"전월→이번 달","이번 달→익월"))</f>
        <v/>
      </c>
      <c r="D172">
        <f>IF($M172="","",IF(ISNUMBER(INDEX(상세표[시작],$M172)),TEXT(INDEX(상세표[시작],$M172),"yyyy-mm-dd hh:mm"),INDEX(상세표[시작],$M172)&amp;""))</f>
        <v/>
      </c>
      <c r="E172">
        <f>IF($M172="","",IF(ISNUMBER(INDEX(상세표[종료],$M172)),TEXT(INDEX(상세표[종료],$M172),"yyyy-mm-dd hh:mm"),INDEX(상세표[종료],$M172)&amp;""))</f>
        <v/>
      </c>
      <c r="F172" s="20">
        <f>IF($M172="","",INDEX(상세표[기록 시간외],$M172))</f>
        <v/>
      </c>
      <c r="G172">
        <f>IF($M172="","",INDEX(상세표[시작월 기관],$M172)&amp;"")</f>
        <v/>
      </c>
      <c r="H172">
        <f>IF($M172="","",INDEX(상세표[종료월 기관],$M172)&amp;"")</f>
        <v/>
      </c>
      <c r="I172">
        <f>IF($M172="","",INDEX(상세표[월경계 판정],$M172)&amp;"")</f>
        <v/>
      </c>
      <c r="J172">
        <f>IF($M172="","",INDEX(상세표[반영월],$M172)&amp;"")</f>
        <v/>
      </c>
      <c r="K172">
        <f>IF($M172="","",INDEX(상세표[반영 기관],$M172)&amp;"")</f>
        <v/>
      </c>
      <c r="L172">
        <f>IF($M172="","",INDEX(상세표[기관 출처],$M172)&amp;"")</f>
        <v/>
      </c>
      <c r="M172" s="4">
        <f>IFERROR(MATCH(167,상세표[경계순번],0),"")</f>
        <v/>
      </c>
    </row>
    <row r="173">
      <c r="A173">
        <f>IF($M173="","",INDEX(상세표[사번],$M173)&amp;"")</f>
        <v/>
      </c>
      <c r="B173">
        <f>IF($M173="","",INDEX(상세표[성명],$M173)&amp;"")</f>
        <v/>
      </c>
      <c r="C173">
        <f>IF($M173="","",IF(INDEX(상세표[종료월],$M173)=대상월키,"전월→이번 달","이번 달→익월"))</f>
        <v/>
      </c>
      <c r="D173">
        <f>IF($M173="","",IF(ISNUMBER(INDEX(상세표[시작],$M173)),TEXT(INDEX(상세표[시작],$M173),"yyyy-mm-dd hh:mm"),INDEX(상세표[시작],$M173)&amp;""))</f>
        <v/>
      </c>
      <c r="E173">
        <f>IF($M173="","",IF(ISNUMBER(INDEX(상세표[종료],$M173)),TEXT(INDEX(상세표[종료],$M173),"yyyy-mm-dd hh:mm"),INDEX(상세표[종료],$M173)&amp;""))</f>
        <v/>
      </c>
      <c r="F173" s="20">
        <f>IF($M173="","",INDEX(상세표[기록 시간외],$M173))</f>
        <v/>
      </c>
      <c r="G173">
        <f>IF($M173="","",INDEX(상세표[시작월 기관],$M173)&amp;"")</f>
        <v/>
      </c>
      <c r="H173">
        <f>IF($M173="","",INDEX(상세표[종료월 기관],$M173)&amp;"")</f>
        <v/>
      </c>
      <c r="I173">
        <f>IF($M173="","",INDEX(상세표[월경계 판정],$M173)&amp;"")</f>
        <v/>
      </c>
      <c r="J173">
        <f>IF($M173="","",INDEX(상세표[반영월],$M173)&amp;"")</f>
        <v/>
      </c>
      <c r="K173">
        <f>IF($M173="","",INDEX(상세표[반영 기관],$M173)&amp;"")</f>
        <v/>
      </c>
      <c r="L173">
        <f>IF($M173="","",INDEX(상세표[기관 출처],$M173)&amp;"")</f>
        <v/>
      </c>
      <c r="M173" s="4">
        <f>IFERROR(MATCH(168,상세표[경계순번],0),"")</f>
        <v/>
      </c>
    </row>
    <row r="174">
      <c r="A174">
        <f>IF($M174="","",INDEX(상세표[사번],$M174)&amp;"")</f>
        <v/>
      </c>
      <c r="B174">
        <f>IF($M174="","",INDEX(상세표[성명],$M174)&amp;"")</f>
        <v/>
      </c>
      <c r="C174">
        <f>IF($M174="","",IF(INDEX(상세표[종료월],$M174)=대상월키,"전월→이번 달","이번 달→익월"))</f>
        <v/>
      </c>
      <c r="D174">
        <f>IF($M174="","",IF(ISNUMBER(INDEX(상세표[시작],$M174)),TEXT(INDEX(상세표[시작],$M174),"yyyy-mm-dd hh:mm"),INDEX(상세표[시작],$M174)&amp;""))</f>
        <v/>
      </c>
      <c r="E174">
        <f>IF($M174="","",IF(ISNUMBER(INDEX(상세표[종료],$M174)),TEXT(INDEX(상세표[종료],$M174),"yyyy-mm-dd hh:mm"),INDEX(상세표[종료],$M174)&amp;""))</f>
        <v/>
      </c>
      <c r="F174" s="20">
        <f>IF($M174="","",INDEX(상세표[기록 시간외],$M174))</f>
        <v/>
      </c>
      <c r="G174">
        <f>IF($M174="","",INDEX(상세표[시작월 기관],$M174)&amp;"")</f>
        <v/>
      </c>
      <c r="H174">
        <f>IF($M174="","",INDEX(상세표[종료월 기관],$M174)&amp;"")</f>
        <v/>
      </c>
      <c r="I174">
        <f>IF($M174="","",INDEX(상세표[월경계 판정],$M174)&amp;"")</f>
        <v/>
      </c>
      <c r="J174">
        <f>IF($M174="","",INDEX(상세표[반영월],$M174)&amp;"")</f>
        <v/>
      </c>
      <c r="K174">
        <f>IF($M174="","",INDEX(상세표[반영 기관],$M174)&amp;"")</f>
        <v/>
      </c>
      <c r="L174">
        <f>IF($M174="","",INDEX(상세표[기관 출처],$M174)&amp;"")</f>
        <v/>
      </c>
      <c r="M174" s="4">
        <f>IFERROR(MATCH(169,상세표[경계순번],0),"")</f>
        <v/>
      </c>
    </row>
    <row r="175">
      <c r="A175">
        <f>IF($M175="","",INDEX(상세표[사번],$M175)&amp;"")</f>
        <v/>
      </c>
      <c r="B175">
        <f>IF($M175="","",INDEX(상세표[성명],$M175)&amp;"")</f>
        <v/>
      </c>
      <c r="C175">
        <f>IF($M175="","",IF(INDEX(상세표[종료월],$M175)=대상월키,"전월→이번 달","이번 달→익월"))</f>
        <v/>
      </c>
      <c r="D175">
        <f>IF($M175="","",IF(ISNUMBER(INDEX(상세표[시작],$M175)),TEXT(INDEX(상세표[시작],$M175),"yyyy-mm-dd hh:mm"),INDEX(상세표[시작],$M175)&amp;""))</f>
        <v/>
      </c>
      <c r="E175">
        <f>IF($M175="","",IF(ISNUMBER(INDEX(상세표[종료],$M175)),TEXT(INDEX(상세표[종료],$M175),"yyyy-mm-dd hh:mm"),INDEX(상세표[종료],$M175)&amp;""))</f>
        <v/>
      </c>
      <c r="F175" s="20">
        <f>IF($M175="","",INDEX(상세표[기록 시간외],$M175))</f>
        <v/>
      </c>
      <c r="G175">
        <f>IF($M175="","",INDEX(상세표[시작월 기관],$M175)&amp;"")</f>
        <v/>
      </c>
      <c r="H175">
        <f>IF($M175="","",INDEX(상세표[종료월 기관],$M175)&amp;"")</f>
        <v/>
      </c>
      <c r="I175">
        <f>IF($M175="","",INDEX(상세표[월경계 판정],$M175)&amp;"")</f>
        <v/>
      </c>
      <c r="J175">
        <f>IF($M175="","",INDEX(상세표[반영월],$M175)&amp;"")</f>
        <v/>
      </c>
      <c r="K175">
        <f>IF($M175="","",INDEX(상세표[반영 기관],$M175)&amp;"")</f>
        <v/>
      </c>
      <c r="L175">
        <f>IF($M175="","",INDEX(상세표[기관 출처],$M175)&amp;"")</f>
        <v/>
      </c>
      <c r="M175" s="4">
        <f>IFERROR(MATCH(170,상세표[경계순번],0),"")</f>
        <v/>
      </c>
    </row>
    <row r="176">
      <c r="A176">
        <f>IF($M176="","",INDEX(상세표[사번],$M176)&amp;"")</f>
        <v/>
      </c>
      <c r="B176">
        <f>IF($M176="","",INDEX(상세표[성명],$M176)&amp;"")</f>
        <v/>
      </c>
      <c r="C176">
        <f>IF($M176="","",IF(INDEX(상세표[종료월],$M176)=대상월키,"전월→이번 달","이번 달→익월"))</f>
        <v/>
      </c>
      <c r="D176">
        <f>IF($M176="","",IF(ISNUMBER(INDEX(상세표[시작],$M176)),TEXT(INDEX(상세표[시작],$M176),"yyyy-mm-dd hh:mm"),INDEX(상세표[시작],$M176)&amp;""))</f>
        <v/>
      </c>
      <c r="E176">
        <f>IF($M176="","",IF(ISNUMBER(INDEX(상세표[종료],$M176)),TEXT(INDEX(상세표[종료],$M176),"yyyy-mm-dd hh:mm"),INDEX(상세표[종료],$M176)&amp;""))</f>
        <v/>
      </c>
      <c r="F176" s="20">
        <f>IF($M176="","",INDEX(상세표[기록 시간외],$M176))</f>
        <v/>
      </c>
      <c r="G176">
        <f>IF($M176="","",INDEX(상세표[시작월 기관],$M176)&amp;"")</f>
        <v/>
      </c>
      <c r="H176">
        <f>IF($M176="","",INDEX(상세표[종료월 기관],$M176)&amp;"")</f>
        <v/>
      </c>
      <c r="I176">
        <f>IF($M176="","",INDEX(상세표[월경계 판정],$M176)&amp;"")</f>
        <v/>
      </c>
      <c r="J176">
        <f>IF($M176="","",INDEX(상세표[반영월],$M176)&amp;"")</f>
        <v/>
      </c>
      <c r="K176">
        <f>IF($M176="","",INDEX(상세표[반영 기관],$M176)&amp;"")</f>
        <v/>
      </c>
      <c r="L176">
        <f>IF($M176="","",INDEX(상세표[기관 출처],$M176)&amp;"")</f>
        <v/>
      </c>
      <c r="M176" s="4">
        <f>IFERROR(MATCH(171,상세표[경계순번],0),"")</f>
        <v/>
      </c>
    </row>
    <row r="177">
      <c r="A177">
        <f>IF($M177="","",INDEX(상세표[사번],$M177)&amp;"")</f>
        <v/>
      </c>
      <c r="B177">
        <f>IF($M177="","",INDEX(상세표[성명],$M177)&amp;"")</f>
        <v/>
      </c>
      <c r="C177">
        <f>IF($M177="","",IF(INDEX(상세표[종료월],$M177)=대상월키,"전월→이번 달","이번 달→익월"))</f>
        <v/>
      </c>
      <c r="D177">
        <f>IF($M177="","",IF(ISNUMBER(INDEX(상세표[시작],$M177)),TEXT(INDEX(상세표[시작],$M177),"yyyy-mm-dd hh:mm"),INDEX(상세표[시작],$M177)&amp;""))</f>
        <v/>
      </c>
      <c r="E177">
        <f>IF($M177="","",IF(ISNUMBER(INDEX(상세표[종료],$M177)),TEXT(INDEX(상세표[종료],$M177),"yyyy-mm-dd hh:mm"),INDEX(상세표[종료],$M177)&amp;""))</f>
        <v/>
      </c>
      <c r="F177" s="20">
        <f>IF($M177="","",INDEX(상세표[기록 시간외],$M177))</f>
        <v/>
      </c>
      <c r="G177">
        <f>IF($M177="","",INDEX(상세표[시작월 기관],$M177)&amp;"")</f>
        <v/>
      </c>
      <c r="H177">
        <f>IF($M177="","",INDEX(상세표[종료월 기관],$M177)&amp;"")</f>
        <v/>
      </c>
      <c r="I177">
        <f>IF($M177="","",INDEX(상세표[월경계 판정],$M177)&amp;"")</f>
        <v/>
      </c>
      <c r="J177">
        <f>IF($M177="","",INDEX(상세표[반영월],$M177)&amp;"")</f>
        <v/>
      </c>
      <c r="K177">
        <f>IF($M177="","",INDEX(상세표[반영 기관],$M177)&amp;"")</f>
        <v/>
      </c>
      <c r="L177">
        <f>IF($M177="","",INDEX(상세표[기관 출처],$M177)&amp;"")</f>
        <v/>
      </c>
      <c r="M177" s="4">
        <f>IFERROR(MATCH(172,상세표[경계순번],0),"")</f>
        <v/>
      </c>
    </row>
    <row r="178">
      <c r="A178">
        <f>IF($M178="","",INDEX(상세표[사번],$M178)&amp;"")</f>
        <v/>
      </c>
      <c r="B178">
        <f>IF($M178="","",INDEX(상세표[성명],$M178)&amp;"")</f>
        <v/>
      </c>
      <c r="C178">
        <f>IF($M178="","",IF(INDEX(상세표[종료월],$M178)=대상월키,"전월→이번 달","이번 달→익월"))</f>
        <v/>
      </c>
      <c r="D178">
        <f>IF($M178="","",IF(ISNUMBER(INDEX(상세표[시작],$M178)),TEXT(INDEX(상세표[시작],$M178),"yyyy-mm-dd hh:mm"),INDEX(상세표[시작],$M178)&amp;""))</f>
        <v/>
      </c>
      <c r="E178">
        <f>IF($M178="","",IF(ISNUMBER(INDEX(상세표[종료],$M178)),TEXT(INDEX(상세표[종료],$M178),"yyyy-mm-dd hh:mm"),INDEX(상세표[종료],$M178)&amp;""))</f>
        <v/>
      </c>
      <c r="F178" s="20">
        <f>IF($M178="","",INDEX(상세표[기록 시간외],$M178))</f>
        <v/>
      </c>
      <c r="G178">
        <f>IF($M178="","",INDEX(상세표[시작월 기관],$M178)&amp;"")</f>
        <v/>
      </c>
      <c r="H178">
        <f>IF($M178="","",INDEX(상세표[종료월 기관],$M178)&amp;"")</f>
        <v/>
      </c>
      <c r="I178">
        <f>IF($M178="","",INDEX(상세표[월경계 판정],$M178)&amp;"")</f>
        <v/>
      </c>
      <c r="J178">
        <f>IF($M178="","",INDEX(상세표[반영월],$M178)&amp;"")</f>
        <v/>
      </c>
      <c r="K178">
        <f>IF($M178="","",INDEX(상세표[반영 기관],$M178)&amp;"")</f>
        <v/>
      </c>
      <c r="L178">
        <f>IF($M178="","",INDEX(상세표[기관 출처],$M178)&amp;"")</f>
        <v/>
      </c>
      <c r="M178" s="4">
        <f>IFERROR(MATCH(173,상세표[경계순번],0),"")</f>
        <v/>
      </c>
    </row>
    <row r="179">
      <c r="A179">
        <f>IF($M179="","",INDEX(상세표[사번],$M179)&amp;"")</f>
        <v/>
      </c>
      <c r="B179">
        <f>IF($M179="","",INDEX(상세표[성명],$M179)&amp;"")</f>
        <v/>
      </c>
      <c r="C179">
        <f>IF($M179="","",IF(INDEX(상세표[종료월],$M179)=대상월키,"전월→이번 달","이번 달→익월"))</f>
        <v/>
      </c>
      <c r="D179">
        <f>IF($M179="","",IF(ISNUMBER(INDEX(상세표[시작],$M179)),TEXT(INDEX(상세표[시작],$M179),"yyyy-mm-dd hh:mm"),INDEX(상세표[시작],$M179)&amp;""))</f>
        <v/>
      </c>
      <c r="E179">
        <f>IF($M179="","",IF(ISNUMBER(INDEX(상세표[종료],$M179)),TEXT(INDEX(상세표[종료],$M179),"yyyy-mm-dd hh:mm"),INDEX(상세표[종료],$M179)&amp;""))</f>
        <v/>
      </c>
      <c r="F179" s="20">
        <f>IF($M179="","",INDEX(상세표[기록 시간외],$M179))</f>
        <v/>
      </c>
      <c r="G179">
        <f>IF($M179="","",INDEX(상세표[시작월 기관],$M179)&amp;"")</f>
        <v/>
      </c>
      <c r="H179">
        <f>IF($M179="","",INDEX(상세표[종료월 기관],$M179)&amp;"")</f>
        <v/>
      </c>
      <c r="I179">
        <f>IF($M179="","",INDEX(상세표[월경계 판정],$M179)&amp;"")</f>
        <v/>
      </c>
      <c r="J179">
        <f>IF($M179="","",INDEX(상세표[반영월],$M179)&amp;"")</f>
        <v/>
      </c>
      <c r="K179">
        <f>IF($M179="","",INDEX(상세표[반영 기관],$M179)&amp;"")</f>
        <v/>
      </c>
      <c r="L179">
        <f>IF($M179="","",INDEX(상세표[기관 출처],$M179)&amp;"")</f>
        <v/>
      </c>
      <c r="M179" s="4">
        <f>IFERROR(MATCH(174,상세표[경계순번],0),"")</f>
        <v/>
      </c>
    </row>
    <row r="180">
      <c r="A180">
        <f>IF($M180="","",INDEX(상세표[사번],$M180)&amp;"")</f>
        <v/>
      </c>
      <c r="B180">
        <f>IF($M180="","",INDEX(상세표[성명],$M180)&amp;"")</f>
        <v/>
      </c>
      <c r="C180">
        <f>IF($M180="","",IF(INDEX(상세표[종료월],$M180)=대상월키,"전월→이번 달","이번 달→익월"))</f>
        <v/>
      </c>
      <c r="D180">
        <f>IF($M180="","",IF(ISNUMBER(INDEX(상세표[시작],$M180)),TEXT(INDEX(상세표[시작],$M180),"yyyy-mm-dd hh:mm"),INDEX(상세표[시작],$M180)&amp;""))</f>
        <v/>
      </c>
      <c r="E180">
        <f>IF($M180="","",IF(ISNUMBER(INDEX(상세표[종료],$M180)),TEXT(INDEX(상세표[종료],$M180),"yyyy-mm-dd hh:mm"),INDEX(상세표[종료],$M180)&amp;""))</f>
        <v/>
      </c>
      <c r="F180" s="20">
        <f>IF($M180="","",INDEX(상세표[기록 시간외],$M180))</f>
        <v/>
      </c>
      <c r="G180">
        <f>IF($M180="","",INDEX(상세표[시작월 기관],$M180)&amp;"")</f>
        <v/>
      </c>
      <c r="H180">
        <f>IF($M180="","",INDEX(상세표[종료월 기관],$M180)&amp;"")</f>
        <v/>
      </c>
      <c r="I180">
        <f>IF($M180="","",INDEX(상세표[월경계 판정],$M180)&amp;"")</f>
        <v/>
      </c>
      <c r="J180">
        <f>IF($M180="","",INDEX(상세표[반영월],$M180)&amp;"")</f>
        <v/>
      </c>
      <c r="K180">
        <f>IF($M180="","",INDEX(상세표[반영 기관],$M180)&amp;"")</f>
        <v/>
      </c>
      <c r="L180">
        <f>IF($M180="","",INDEX(상세표[기관 출처],$M180)&amp;"")</f>
        <v/>
      </c>
      <c r="M180" s="4">
        <f>IFERROR(MATCH(175,상세표[경계순번],0),"")</f>
        <v/>
      </c>
    </row>
    <row r="181">
      <c r="A181">
        <f>IF($M181="","",INDEX(상세표[사번],$M181)&amp;"")</f>
        <v/>
      </c>
      <c r="B181">
        <f>IF($M181="","",INDEX(상세표[성명],$M181)&amp;"")</f>
        <v/>
      </c>
      <c r="C181">
        <f>IF($M181="","",IF(INDEX(상세표[종료월],$M181)=대상월키,"전월→이번 달","이번 달→익월"))</f>
        <v/>
      </c>
      <c r="D181">
        <f>IF($M181="","",IF(ISNUMBER(INDEX(상세표[시작],$M181)),TEXT(INDEX(상세표[시작],$M181),"yyyy-mm-dd hh:mm"),INDEX(상세표[시작],$M181)&amp;""))</f>
        <v/>
      </c>
      <c r="E181">
        <f>IF($M181="","",IF(ISNUMBER(INDEX(상세표[종료],$M181)),TEXT(INDEX(상세표[종료],$M181),"yyyy-mm-dd hh:mm"),INDEX(상세표[종료],$M181)&amp;""))</f>
        <v/>
      </c>
      <c r="F181" s="20">
        <f>IF($M181="","",INDEX(상세표[기록 시간외],$M181))</f>
        <v/>
      </c>
      <c r="G181">
        <f>IF($M181="","",INDEX(상세표[시작월 기관],$M181)&amp;"")</f>
        <v/>
      </c>
      <c r="H181">
        <f>IF($M181="","",INDEX(상세표[종료월 기관],$M181)&amp;"")</f>
        <v/>
      </c>
      <c r="I181">
        <f>IF($M181="","",INDEX(상세표[월경계 판정],$M181)&amp;"")</f>
        <v/>
      </c>
      <c r="J181">
        <f>IF($M181="","",INDEX(상세표[반영월],$M181)&amp;"")</f>
        <v/>
      </c>
      <c r="K181">
        <f>IF($M181="","",INDEX(상세표[반영 기관],$M181)&amp;"")</f>
        <v/>
      </c>
      <c r="L181">
        <f>IF($M181="","",INDEX(상세표[기관 출처],$M181)&amp;"")</f>
        <v/>
      </c>
      <c r="M181" s="4">
        <f>IFERROR(MATCH(176,상세표[경계순번],0),"")</f>
        <v/>
      </c>
    </row>
    <row r="182">
      <c r="A182">
        <f>IF($M182="","",INDEX(상세표[사번],$M182)&amp;"")</f>
        <v/>
      </c>
      <c r="B182">
        <f>IF($M182="","",INDEX(상세표[성명],$M182)&amp;"")</f>
        <v/>
      </c>
      <c r="C182">
        <f>IF($M182="","",IF(INDEX(상세표[종료월],$M182)=대상월키,"전월→이번 달","이번 달→익월"))</f>
        <v/>
      </c>
      <c r="D182">
        <f>IF($M182="","",IF(ISNUMBER(INDEX(상세표[시작],$M182)),TEXT(INDEX(상세표[시작],$M182),"yyyy-mm-dd hh:mm"),INDEX(상세표[시작],$M182)&amp;""))</f>
        <v/>
      </c>
      <c r="E182">
        <f>IF($M182="","",IF(ISNUMBER(INDEX(상세표[종료],$M182)),TEXT(INDEX(상세표[종료],$M182),"yyyy-mm-dd hh:mm"),INDEX(상세표[종료],$M182)&amp;""))</f>
        <v/>
      </c>
      <c r="F182" s="20">
        <f>IF($M182="","",INDEX(상세표[기록 시간외],$M182))</f>
        <v/>
      </c>
      <c r="G182">
        <f>IF($M182="","",INDEX(상세표[시작월 기관],$M182)&amp;"")</f>
        <v/>
      </c>
      <c r="H182">
        <f>IF($M182="","",INDEX(상세표[종료월 기관],$M182)&amp;"")</f>
        <v/>
      </c>
      <c r="I182">
        <f>IF($M182="","",INDEX(상세표[월경계 판정],$M182)&amp;"")</f>
        <v/>
      </c>
      <c r="J182">
        <f>IF($M182="","",INDEX(상세표[반영월],$M182)&amp;"")</f>
        <v/>
      </c>
      <c r="K182">
        <f>IF($M182="","",INDEX(상세표[반영 기관],$M182)&amp;"")</f>
        <v/>
      </c>
      <c r="L182">
        <f>IF($M182="","",INDEX(상세표[기관 출처],$M182)&amp;"")</f>
        <v/>
      </c>
      <c r="M182" s="4">
        <f>IFERROR(MATCH(177,상세표[경계순번],0),"")</f>
        <v/>
      </c>
    </row>
    <row r="183">
      <c r="A183">
        <f>IF($M183="","",INDEX(상세표[사번],$M183)&amp;"")</f>
        <v/>
      </c>
      <c r="B183">
        <f>IF($M183="","",INDEX(상세표[성명],$M183)&amp;"")</f>
        <v/>
      </c>
      <c r="C183">
        <f>IF($M183="","",IF(INDEX(상세표[종료월],$M183)=대상월키,"전월→이번 달","이번 달→익월"))</f>
        <v/>
      </c>
      <c r="D183">
        <f>IF($M183="","",IF(ISNUMBER(INDEX(상세표[시작],$M183)),TEXT(INDEX(상세표[시작],$M183),"yyyy-mm-dd hh:mm"),INDEX(상세표[시작],$M183)&amp;""))</f>
        <v/>
      </c>
      <c r="E183">
        <f>IF($M183="","",IF(ISNUMBER(INDEX(상세표[종료],$M183)),TEXT(INDEX(상세표[종료],$M183),"yyyy-mm-dd hh:mm"),INDEX(상세표[종료],$M183)&amp;""))</f>
        <v/>
      </c>
      <c r="F183" s="20">
        <f>IF($M183="","",INDEX(상세표[기록 시간외],$M183))</f>
        <v/>
      </c>
      <c r="G183">
        <f>IF($M183="","",INDEX(상세표[시작월 기관],$M183)&amp;"")</f>
        <v/>
      </c>
      <c r="H183">
        <f>IF($M183="","",INDEX(상세표[종료월 기관],$M183)&amp;"")</f>
        <v/>
      </c>
      <c r="I183">
        <f>IF($M183="","",INDEX(상세표[월경계 판정],$M183)&amp;"")</f>
        <v/>
      </c>
      <c r="J183">
        <f>IF($M183="","",INDEX(상세표[반영월],$M183)&amp;"")</f>
        <v/>
      </c>
      <c r="K183">
        <f>IF($M183="","",INDEX(상세표[반영 기관],$M183)&amp;"")</f>
        <v/>
      </c>
      <c r="L183">
        <f>IF($M183="","",INDEX(상세표[기관 출처],$M183)&amp;"")</f>
        <v/>
      </c>
      <c r="M183" s="4">
        <f>IFERROR(MATCH(178,상세표[경계순번],0),"")</f>
        <v/>
      </c>
    </row>
    <row r="184">
      <c r="A184">
        <f>IF($M184="","",INDEX(상세표[사번],$M184)&amp;"")</f>
        <v/>
      </c>
      <c r="B184">
        <f>IF($M184="","",INDEX(상세표[성명],$M184)&amp;"")</f>
        <v/>
      </c>
      <c r="C184">
        <f>IF($M184="","",IF(INDEX(상세표[종료월],$M184)=대상월키,"전월→이번 달","이번 달→익월"))</f>
        <v/>
      </c>
      <c r="D184">
        <f>IF($M184="","",IF(ISNUMBER(INDEX(상세표[시작],$M184)),TEXT(INDEX(상세표[시작],$M184),"yyyy-mm-dd hh:mm"),INDEX(상세표[시작],$M184)&amp;""))</f>
        <v/>
      </c>
      <c r="E184">
        <f>IF($M184="","",IF(ISNUMBER(INDEX(상세표[종료],$M184)),TEXT(INDEX(상세표[종료],$M184),"yyyy-mm-dd hh:mm"),INDEX(상세표[종료],$M184)&amp;""))</f>
        <v/>
      </c>
      <c r="F184" s="20">
        <f>IF($M184="","",INDEX(상세표[기록 시간외],$M184))</f>
        <v/>
      </c>
      <c r="G184">
        <f>IF($M184="","",INDEX(상세표[시작월 기관],$M184)&amp;"")</f>
        <v/>
      </c>
      <c r="H184">
        <f>IF($M184="","",INDEX(상세표[종료월 기관],$M184)&amp;"")</f>
        <v/>
      </c>
      <c r="I184">
        <f>IF($M184="","",INDEX(상세표[월경계 판정],$M184)&amp;"")</f>
        <v/>
      </c>
      <c r="J184">
        <f>IF($M184="","",INDEX(상세표[반영월],$M184)&amp;"")</f>
        <v/>
      </c>
      <c r="K184">
        <f>IF($M184="","",INDEX(상세표[반영 기관],$M184)&amp;"")</f>
        <v/>
      </c>
      <c r="L184">
        <f>IF($M184="","",INDEX(상세표[기관 출처],$M184)&amp;"")</f>
        <v/>
      </c>
      <c r="M184" s="4">
        <f>IFERROR(MATCH(179,상세표[경계순번],0),"")</f>
        <v/>
      </c>
    </row>
    <row r="185">
      <c r="A185">
        <f>IF($M185="","",INDEX(상세표[사번],$M185)&amp;"")</f>
        <v/>
      </c>
      <c r="B185">
        <f>IF($M185="","",INDEX(상세표[성명],$M185)&amp;"")</f>
        <v/>
      </c>
      <c r="C185">
        <f>IF($M185="","",IF(INDEX(상세표[종료월],$M185)=대상월키,"전월→이번 달","이번 달→익월"))</f>
        <v/>
      </c>
      <c r="D185">
        <f>IF($M185="","",IF(ISNUMBER(INDEX(상세표[시작],$M185)),TEXT(INDEX(상세표[시작],$M185),"yyyy-mm-dd hh:mm"),INDEX(상세표[시작],$M185)&amp;""))</f>
        <v/>
      </c>
      <c r="E185">
        <f>IF($M185="","",IF(ISNUMBER(INDEX(상세표[종료],$M185)),TEXT(INDEX(상세표[종료],$M185),"yyyy-mm-dd hh:mm"),INDEX(상세표[종료],$M185)&amp;""))</f>
        <v/>
      </c>
      <c r="F185" s="20">
        <f>IF($M185="","",INDEX(상세표[기록 시간외],$M185))</f>
        <v/>
      </c>
      <c r="G185">
        <f>IF($M185="","",INDEX(상세표[시작월 기관],$M185)&amp;"")</f>
        <v/>
      </c>
      <c r="H185">
        <f>IF($M185="","",INDEX(상세표[종료월 기관],$M185)&amp;"")</f>
        <v/>
      </c>
      <c r="I185">
        <f>IF($M185="","",INDEX(상세표[월경계 판정],$M185)&amp;"")</f>
        <v/>
      </c>
      <c r="J185">
        <f>IF($M185="","",INDEX(상세표[반영월],$M185)&amp;"")</f>
        <v/>
      </c>
      <c r="K185">
        <f>IF($M185="","",INDEX(상세표[반영 기관],$M185)&amp;"")</f>
        <v/>
      </c>
      <c r="L185">
        <f>IF($M185="","",INDEX(상세표[기관 출처],$M185)&amp;"")</f>
        <v/>
      </c>
      <c r="M185" s="4">
        <f>IFERROR(MATCH(180,상세표[경계순번],0),"")</f>
        <v/>
      </c>
    </row>
    <row r="186">
      <c r="A186">
        <f>IF($M186="","",INDEX(상세표[사번],$M186)&amp;"")</f>
        <v/>
      </c>
      <c r="B186">
        <f>IF($M186="","",INDEX(상세표[성명],$M186)&amp;"")</f>
        <v/>
      </c>
      <c r="C186">
        <f>IF($M186="","",IF(INDEX(상세표[종료월],$M186)=대상월키,"전월→이번 달","이번 달→익월"))</f>
        <v/>
      </c>
      <c r="D186">
        <f>IF($M186="","",IF(ISNUMBER(INDEX(상세표[시작],$M186)),TEXT(INDEX(상세표[시작],$M186),"yyyy-mm-dd hh:mm"),INDEX(상세표[시작],$M186)&amp;""))</f>
        <v/>
      </c>
      <c r="E186">
        <f>IF($M186="","",IF(ISNUMBER(INDEX(상세표[종료],$M186)),TEXT(INDEX(상세표[종료],$M186),"yyyy-mm-dd hh:mm"),INDEX(상세표[종료],$M186)&amp;""))</f>
        <v/>
      </c>
      <c r="F186" s="20">
        <f>IF($M186="","",INDEX(상세표[기록 시간외],$M186))</f>
        <v/>
      </c>
      <c r="G186">
        <f>IF($M186="","",INDEX(상세표[시작월 기관],$M186)&amp;"")</f>
        <v/>
      </c>
      <c r="H186">
        <f>IF($M186="","",INDEX(상세표[종료월 기관],$M186)&amp;"")</f>
        <v/>
      </c>
      <c r="I186">
        <f>IF($M186="","",INDEX(상세표[월경계 판정],$M186)&amp;"")</f>
        <v/>
      </c>
      <c r="J186">
        <f>IF($M186="","",INDEX(상세표[반영월],$M186)&amp;"")</f>
        <v/>
      </c>
      <c r="K186">
        <f>IF($M186="","",INDEX(상세표[반영 기관],$M186)&amp;"")</f>
        <v/>
      </c>
      <c r="L186">
        <f>IF($M186="","",INDEX(상세표[기관 출처],$M186)&amp;"")</f>
        <v/>
      </c>
      <c r="M186" s="4">
        <f>IFERROR(MATCH(181,상세표[경계순번],0),"")</f>
        <v/>
      </c>
    </row>
    <row r="187">
      <c r="A187">
        <f>IF($M187="","",INDEX(상세표[사번],$M187)&amp;"")</f>
        <v/>
      </c>
      <c r="B187">
        <f>IF($M187="","",INDEX(상세표[성명],$M187)&amp;"")</f>
        <v/>
      </c>
      <c r="C187">
        <f>IF($M187="","",IF(INDEX(상세표[종료월],$M187)=대상월키,"전월→이번 달","이번 달→익월"))</f>
        <v/>
      </c>
      <c r="D187">
        <f>IF($M187="","",IF(ISNUMBER(INDEX(상세표[시작],$M187)),TEXT(INDEX(상세표[시작],$M187),"yyyy-mm-dd hh:mm"),INDEX(상세표[시작],$M187)&amp;""))</f>
        <v/>
      </c>
      <c r="E187">
        <f>IF($M187="","",IF(ISNUMBER(INDEX(상세표[종료],$M187)),TEXT(INDEX(상세표[종료],$M187),"yyyy-mm-dd hh:mm"),INDEX(상세표[종료],$M187)&amp;""))</f>
        <v/>
      </c>
      <c r="F187" s="20">
        <f>IF($M187="","",INDEX(상세표[기록 시간외],$M187))</f>
        <v/>
      </c>
      <c r="G187">
        <f>IF($M187="","",INDEX(상세표[시작월 기관],$M187)&amp;"")</f>
        <v/>
      </c>
      <c r="H187">
        <f>IF($M187="","",INDEX(상세표[종료월 기관],$M187)&amp;"")</f>
        <v/>
      </c>
      <c r="I187">
        <f>IF($M187="","",INDEX(상세표[월경계 판정],$M187)&amp;"")</f>
        <v/>
      </c>
      <c r="J187">
        <f>IF($M187="","",INDEX(상세표[반영월],$M187)&amp;"")</f>
        <v/>
      </c>
      <c r="K187">
        <f>IF($M187="","",INDEX(상세표[반영 기관],$M187)&amp;"")</f>
        <v/>
      </c>
      <c r="L187">
        <f>IF($M187="","",INDEX(상세표[기관 출처],$M187)&amp;"")</f>
        <v/>
      </c>
      <c r="M187" s="4">
        <f>IFERROR(MATCH(182,상세표[경계순번],0),"")</f>
        <v/>
      </c>
    </row>
    <row r="188">
      <c r="A188">
        <f>IF($M188="","",INDEX(상세표[사번],$M188)&amp;"")</f>
        <v/>
      </c>
      <c r="B188">
        <f>IF($M188="","",INDEX(상세표[성명],$M188)&amp;"")</f>
        <v/>
      </c>
      <c r="C188">
        <f>IF($M188="","",IF(INDEX(상세표[종료월],$M188)=대상월키,"전월→이번 달","이번 달→익월"))</f>
        <v/>
      </c>
      <c r="D188">
        <f>IF($M188="","",IF(ISNUMBER(INDEX(상세표[시작],$M188)),TEXT(INDEX(상세표[시작],$M188),"yyyy-mm-dd hh:mm"),INDEX(상세표[시작],$M188)&amp;""))</f>
        <v/>
      </c>
      <c r="E188">
        <f>IF($M188="","",IF(ISNUMBER(INDEX(상세표[종료],$M188)),TEXT(INDEX(상세표[종료],$M188),"yyyy-mm-dd hh:mm"),INDEX(상세표[종료],$M188)&amp;""))</f>
        <v/>
      </c>
      <c r="F188" s="20">
        <f>IF($M188="","",INDEX(상세표[기록 시간외],$M188))</f>
        <v/>
      </c>
      <c r="G188">
        <f>IF($M188="","",INDEX(상세표[시작월 기관],$M188)&amp;"")</f>
        <v/>
      </c>
      <c r="H188">
        <f>IF($M188="","",INDEX(상세표[종료월 기관],$M188)&amp;"")</f>
        <v/>
      </c>
      <c r="I188">
        <f>IF($M188="","",INDEX(상세표[월경계 판정],$M188)&amp;"")</f>
        <v/>
      </c>
      <c r="J188">
        <f>IF($M188="","",INDEX(상세표[반영월],$M188)&amp;"")</f>
        <v/>
      </c>
      <c r="K188">
        <f>IF($M188="","",INDEX(상세표[반영 기관],$M188)&amp;"")</f>
        <v/>
      </c>
      <c r="L188">
        <f>IF($M188="","",INDEX(상세표[기관 출처],$M188)&amp;"")</f>
        <v/>
      </c>
      <c r="M188" s="4">
        <f>IFERROR(MATCH(183,상세표[경계순번],0),"")</f>
        <v/>
      </c>
    </row>
    <row r="189">
      <c r="A189">
        <f>IF($M189="","",INDEX(상세표[사번],$M189)&amp;"")</f>
        <v/>
      </c>
      <c r="B189">
        <f>IF($M189="","",INDEX(상세표[성명],$M189)&amp;"")</f>
        <v/>
      </c>
      <c r="C189">
        <f>IF($M189="","",IF(INDEX(상세표[종료월],$M189)=대상월키,"전월→이번 달","이번 달→익월"))</f>
        <v/>
      </c>
      <c r="D189">
        <f>IF($M189="","",IF(ISNUMBER(INDEX(상세표[시작],$M189)),TEXT(INDEX(상세표[시작],$M189),"yyyy-mm-dd hh:mm"),INDEX(상세표[시작],$M189)&amp;""))</f>
        <v/>
      </c>
      <c r="E189">
        <f>IF($M189="","",IF(ISNUMBER(INDEX(상세표[종료],$M189)),TEXT(INDEX(상세표[종료],$M189),"yyyy-mm-dd hh:mm"),INDEX(상세표[종료],$M189)&amp;""))</f>
        <v/>
      </c>
      <c r="F189" s="20">
        <f>IF($M189="","",INDEX(상세표[기록 시간외],$M189))</f>
        <v/>
      </c>
      <c r="G189">
        <f>IF($M189="","",INDEX(상세표[시작월 기관],$M189)&amp;"")</f>
        <v/>
      </c>
      <c r="H189">
        <f>IF($M189="","",INDEX(상세표[종료월 기관],$M189)&amp;"")</f>
        <v/>
      </c>
      <c r="I189">
        <f>IF($M189="","",INDEX(상세표[월경계 판정],$M189)&amp;"")</f>
        <v/>
      </c>
      <c r="J189">
        <f>IF($M189="","",INDEX(상세표[반영월],$M189)&amp;"")</f>
        <v/>
      </c>
      <c r="K189">
        <f>IF($M189="","",INDEX(상세표[반영 기관],$M189)&amp;"")</f>
        <v/>
      </c>
      <c r="L189">
        <f>IF($M189="","",INDEX(상세표[기관 출처],$M189)&amp;"")</f>
        <v/>
      </c>
      <c r="M189" s="4">
        <f>IFERROR(MATCH(184,상세표[경계순번],0),"")</f>
        <v/>
      </c>
    </row>
    <row r="190">
      <c r="A190">
        <f>IF($M190="","",INDEX(상세표[사번],$M190)&amp;"")</f>
        <v/>
      </c>
      <c r="B190">
        <f>IF($M190="","",INDEX(상세표[성명],$M190)&amp;"")</f>
        <v/>
      </c>
      <c r="C190">
        <f>IF($M190="","",IF(INDEX(상세표[종료월],$M190)=대상월키,"전월→이번 달","이번 달→익월"))</f>
        <v/>
      </c>
      <c r="D190">
        <f>IF($M190="","",IF(ISNUMBER(INDEX(상세표[시작],$M190)),TEXT(INDEX(상세표[시작],$M190),"yyyy-mm-dd hh:mm"),INDEX(상세표[시작],$M190)&amp;""))</f>
        <v/>
      </c>
      <c r="E190">
        <f>IF($M190="","",IF(ISNUMBER(INDEX(상세표[종료],$M190)),TEXT(INDEX(상세표[종료],$M190),"yyyy-mm-dd hh:mm"),INDEX(상세표[종료],$M190)&amp;""))</f>
        <v/>
      </c>
      <c r="F190" s="20">
        <f>IF($M190="","",INDEX(상세표[기록 시간외],$M190))</f>
        <v/>
      </c>
      <c r="G190">
        <f>IF($M190="","",INDEX(상세표[시작월 기관],$M190)&amp;"")</f>
        <v/>
      </c>
      <c r="H190">
        <f>IF($M190="","",INDEX(상세표[종료월 기관],$M190)&amp;"")</f>
        <v/>
      </c>
      <c r="I190">
        <f>IF($M190="","",INDEX(상세표[월경계 판정],$M190)&amp;"")</f>
        <v/>
      </c>
      <c r="J190">
        <f>IF($M190="","",INDEX(상세표[반영월],$M190)&amp;"")</f>
        <v/>
      </c>
      <c r="K190">
        <f>IF($M190="","",INDEX(상세표[반영 기관],$M190)&amp;"")</f>
        <v/>
      </c>
      <c r="L190">
        <f>IF($M190="","",INDEX(상세표[기관 출처],$M190)&amp;"")</f>
        <v/>
      </c>
      <c r="M190" s="4">
        <f>IFERROR(MATCH(185,상세표[경계순번],0),"")</f>
        <v/>
      </c>
    </row>
    <row r="191">
      <c r="A191">
        <f>IF($M191="","",INDEX(상세표[사번],$M191)&amp;"")</f>
        <v/>
      </c>
      <c r="B191">
        <f>IF($M191="","",INDEX(상세표[성명],$M191)&amp;"")</f>
        <v/>
      </c>
      <c r="C191">
        <f>IF($M191="","",IF(INDEX(상세표[종료월],$M191)=대상월키,"전월→이번 달","이번 달→익월"))</f>
        <v/>
      </c>
      <c r="D191">
        <f>IF($M191="","",IF(ISNUMBER(INDEX(상세표[시작],$M191)),TEXT(INDEX(상세표[시작],$M191),"yyyy-mm-dd hh:mm"),INDEX(상세표[시작],$M191)&amp;""))</f>
        <v/>
      </c>
      <c r="E191">
        <f>IF($M191="","",IF(ISNUMBER(INDEX(상세표[종료],$M191)),TEXT(INDEX(상세표[종료],$M191),"yyyy-mm-dd hh:mm"),INDEX(상세표[종료],$M191)&amp;""))</f>
        <v/>
      </c>
      <c r="F191" s="20">
        <f>IF($M191="","",INDEX(상세표[기록 시간외],$M191))</f>
        <v/>
      </c>
      <c r="G191">
        <f>IF($M191="","",INDEX(상세표[시작월 기관],$M191)&amp;"")</f>
        <v/>
      </c>
      <c r="H191">
        <f>IF($M191="","",INDEX(상세표[종료월 기관],$M191)&amp;"")</f>
        <v/>
      </c>
      <c r="I191">
        <f>IF($M191="","",INDEX(상세표[월경계 판정],$M191)&amp;"")</f>
        <v/>
      </c>
      <c r="J191">
        <f>IF($M191="","",INDEX(상세표[반영월],$M191)&amp;"")</f>
        <v/>
      </c>
      <c r="K191">
        <f>IF($M191="","",INDEX(상세표[반영 기관],$M191)&amp;"")</f>
        <v/>
      </c>
      <c r="L191">
        <f>IF($M191="","",INDEX(상세표[기관 출처],$M191)&amp;"")</f>
        <v/>
      </c>
      <c r="M191" s="4">
        <f>IFERROR(MATCH(186,상세표[경계순번],0),"")</f>
        <v/>
      </c>
    </row>
    <row r="192">
      <c r="A192">
        <f>IF($M192="","",INDEX(상세표[사번],$M192)&amp;"")</f>
        <v/>
      </c>
      <c r="B192">
        <f>IF($M192="","",INDEX(상세표[성명],$M192)&amp;"")</f>
        <v/>
      </c>
      <c r="C192">
        <f>IF($M192="","",IF(INDEX(상세표[종료월],$M192)=대상월키,"전월→이번 달","이번 달→익월"))</f>
        <v/>
      </c>
      <c r="D192">
        <f>IF($M192="","",IF(ISNUMBER(INDEX(상세표[시작],$M192)),TEXT(INDEX(상세표[시작],$M192),"yyyy-mm-dd hh:mm"),INDEX(상세표[시작],$M192)&amp;""))</f>
        <v/>
      </c>
      <c r="E192">
        <f>IF($M192="","",IF(ISNUMBER(INDEX(상세표[종료],$M192)),TEXT(INDEX(상세표[종료],$M192),"yyyy-mm-dd hh:mm"),INDEX(상세표[종료],$M192)&amp;""))</f>
        <v/>
      </c>
      <c r="F192" s="20">
        <f>IF($M192="","",INDEX(상세표[기록 시간외],$M192))</f>
        <v/>
      </c>
      <c r="G192">
        <f>IF($M192="","",INDEX(상세표[시작월 기관],$M192)&amp;"")</f>
        <v/>
      </c>
      <c r="H192">
        <f>IF($M192="","",INDEX(상세표[종료월 기관],$M192)&amp;"")</f>
        <v/>
      </c>
      <c r="I192">
        <f>IF($M192="","",INDEX(상세표[월경계 판정],$M192)&amp;"")</f>
        <v/>
      </c>
      <c r="J192">
        <f>IF($M192="","",INDEX(상세표[반영월],$M192)&amp;"")</f>
        <v/>
      </c>
      <c r="K192">
        <f>IF($M192="","",INDEX(상세표[반영 기관],$M192)&amp;"")</f>
        <v/>
      </c>
      <c r="L192">
        <f>IF($M192="","",INDEX(상세표[기관 출처],$M192)&amp;"")</f>
        <v/>
      </c>
      <c r="M192" s="4">
        <f>IFERROR(MATCH(187,상세표[경계순번],0),"")</f>
        <v/>
      </c>
    </row>
    <row r="193">
      <c r="A193">
        <f>IF($M193="","",INDEX(상세표[사번],$M193)&amp;"")</f>
        <v/>
      </c>
      <c r="B193">
        <f>IF($M193="","",INDEX(상세표[성명],$M193)&amp;"")</f>
        <v/>
      </c>
      <c r="C193">
        <f>IF($M193="","",IF(INDEX(상세표[종료월],$M193)=대상월키,"전월→이번 달","이번 달→익월"))</f>
        <v/>
      </c>
      <c r="D193">
        <f>IF($M193="","",IF(ISNUMBER(INDEX(상세표[시작],$M193)),TEXT(INDEX(상세표[시작],$M193),"yyyy-mm-dd hh:mm"),INDEX(상세표[시작],$M193)&amp;""))</f>
        <v/>
      </c>
      <c r="E193">
        <f>IF($M193="","",IF(ISNUMBER(INDEX(상세표[종료],$M193)),TEXT(INDEX(상세표[종료],$M193),"yyyy-mm-dd hh:mm"),INDEX(상세표[종료],$M193)&amp;""))</f>
        <v/>
      </c>
      <c r="F193" s="20">
        <f>IF($M193="","",INDEX(상세표[기록 시간외],$M193))</f>
        <v/>
      </c>
      <c r="G193">
        <f>IF($M193="","",INDEX(상세표[시작월 기관],$M193)&amp;"")</f>
        <v/>
      </c>
      <c r="H193">
        <f>IF($M193="","",INDEX(상세표[종료월 기관],$M193)&amp;"")</f>
        <v/>
      </c>
      <c r="I193">
        <f>IF($M193="","",INDEX(상세표[월경계 판정],$M193)&amp;"")</f>
        <v/>
      </c>
      <c r="J193">
        <f>IF($M193="","",INDEX(상세표[반영월],$M193)&amp;"")</f>
        <v/>
      </c>
      <c r="K193">
        <f>IF($M193="","",INDEX(상세표[반영 기관],$M193)&amp;"")</f>
        <v/>
      </c>
      <c r="L193">
        <f>IF($M193="","",INDEX(상세표[기관 출처],$M193)&amp;"")</f>
        <v/>
      </c>
      <c r="M193" s="4">
        <f>IFERROR(MATCH(188,상세표[경계순번],0),"")</f>
        <v/>
      </c>
    </row>
    <row r="194">
      <c r="A194">
        <f>IF($M194="","",INDEX(상세표[사번],$M194)&amp;"")</f>
        <v/>
      </c>
      <c r="B194">
        <f>IF($M194="","",INDEX(상세표[성명],$M194)&amp;"")</f>
        <v/>
      </c>
      <c r="C194">
        <f>IF($M194="","",IF(INDEX(상세표[종료월],$M194)=대상월키,"전월→이번 달","이번 달→익월"))</f>
        <v/>
      </c>
      <c r="D194">
        <f>IF($M194="","",IF(ISNUMBER(INDEX(상세표[시작],$M194)),TEXT(INDEX(상세표[시작],$M194),"yyyy-mm-dd hh:mm"),INDEX(상세표[시작],$M194)&amp;""))</f>
        <v/>
      </c>
      <c r="E194">
        <f>IF($M194="","",IF(ISNUMBER(INDEX(상세표[종료],$M194)),TEXT(INDEX(상세표[종료],$M194),"yyyy-mm-dd hh:mm"),INDEX(상세표[종료],$M194)&amp;""))</f>
        <v/>
      </c>
      <c r="F194" s="20">
        <f>IF($M194="","",INDEX(상세표[기록 시간외],$M194))</f>
        <v/>
      </c>
      <c r="G194">
        <f>IF($M194="","",INDEX(상세표[시작월 기관],$M194)&amp;"")</f>
        <v/>
      </c>
      <c r="H194">
        <f>IF($M194="","",INDEX(상세표[종료월 기관],$M194)&amp;"")</f>
        <v/>
      </c>
      <c r="I194">
        <f>IF($M194="","",INDEX(상세표[월경계 판정],$M194)&amp;"")</f>
        <v/>
      </c>
      <c r="J194">
        <f>IF($M194="","",INDEX(상세표[반영월],$M194)&amp;"")</f>
        <v/>
      </c>
      <c r="K194">
        <f>IF($M194="","",INDEX(상세표[반영 기관],$M194)&amp;"")</f>
        <v/>
      </c>
      <c r="L194">
        <f>IF($M194="","",INDEX(상세표[기관 출처],$M194)&amp;"")</f>
        <v/>
      </c>
      <c r="M194" s="4">
        <f>IFERROR(MATCH(189,상세표[경계순번],0),"")</f>
        <v/>
      </c>
    </row>
    <row r="195">
      <c r="A195">
        <f>IF($M195="","",INDEX(상세표[사번],$M195)&amp;"")</f>
        <v/>
      </c>
      <c r="B195">
        <f>IF($M195="","",INDEX(상세표[성명],$M195)&amp;"")</f>
        <v/>
      </c>
      <c r="C195">
        <f>IF($M195="","",IF(INDEX(상세표[종료월],$M195)=대상월키,"전월→이번 달","이번 달→익월"))</f>
        <v/>
      </c>
      <c r="D195">
        <f>IF($M195="","",IF(ISNUMBER(INDEX(상세표[시작],$M195)),TEXT(INDEX(상세표[시작],$M195),"yyyy-mm-dd hh:mm"),INDEX(상세표[시작],$M195)&amp;""))</f>
        <v/>
      </c>
      <c r="E195">
        <f>IF($M195="","",IF(ISNUMBER(INDEX(상세표[종료],$M195)),TEXT(INDEX(상세표[종료],$M195),"yyyy-mm-dd hh:mm"),INDEX(상세표[종료],$M195)&amp;""))</f>
        <v/>
      </c>
      <c r="F195" s="20">
        <f>IF($M195="","",INDEX(상세표[기록 시간외],$M195))</f>
        <v/>
      </c>
      <c r="G195">
        <f>IF($M195="","",INDEX(상세표[시작월 기관],$M195)&amp;"")</f>
        <v/>
      </c>
      <c r="H195">
        <f>IF($M195="","",INDEX(상세표[종료월 기관],$M195)&amp;"")</f>
        <v/>
      </c>
      <c r="I195">
        <f>IF($M195="","",INDEX(상세표[월경계 판정],$M195)&amp;"")</f>
        <v/>
      </c>
      <c r="J195">
        <f>IF($M195="","",INDEX(상세표[반영월],$M195)&amp;"")</f>
        <v/>
      </c>
      <c r="K195">
        <f>IF($M195="","",INDEX(상세표[반영 기관],$M195)&amp;"")</f>
        <v/>
      </c>
      <c r="L195">
        <f>IF($M195="","",INDEX(상세표[기관 출처],$M195)&amp;"")</f>
        <v/>
      </c>
      <c r="M195" s="4">
        <f>IFERROR(MATCH(190,상세표[경계순번],0),"")</f>
        <v/>
      </c>
    </row>
    <row r="196">
      <c r="A196">
        <f>IF($M196="","",INDEX(상세표[사번],$M196)&amp;"")</f>
        <v/>
      </c>
      <c r="B196">
        <f>IF($M196="","",INDEX(상세표[성명],$M196)&amp;"")</f>
        <v/>
      </c>
      <c r="C196">
        <f>IF($M196="","",IF(INDEX(상세표[종료월],$M196)=대상월키,"전월→이번 달","이번 달→익월"))</f>
        <v/>
      </c>
      <c r="D196">
        <f>IF($M196="","",IF(ISNUMBER(INDEX(상세표[시작],$M196)),TEXT(INDEX(상세표[시작],$M196),"yyyy-mm-dd hh:mm"),INDEX(상세표[시작],$M196)&amp;""))</f>
        <v/>
      </c>
      <c r="E196">
        <f>IF($M196="","",IF(ISNUMBER(INDEX(상세표[종료],$M196)),TEXT(INDEX(상세표[종료],$M196),"yyyy-mm-dd hh:mm"),INDEX(상세표[종료],$M196)&amp;""))</f>
        <v/>
      </c>
      <c r="F196" s="20">
        <f>IF($M196="","",INDEX(상세표[기록 시간외],$M196))</f>
        <v/>
      </c>
      <c r="G196">
        <f>IF($M196="","",INDEX(상세표[시작월 기관],$M196)&amp;"")</f>
        <v/>
      </c>
      <c r="H196">
        <f>IF($M196="","",INDEX(상세표[종료월 기관],$M196)&amp;"")</f>
        <v/>
      </c>
      <c r="I196">
        <f>IF($M196="","",INDEX(상세표[월경계 판정],$M196)&amp;"")</f>
        <v/>
      </c>
      <c r="J196">
        <f>IF($M196="","",INDEX(상세표[반영월],$M196)&amp;"")</f>
        <v/>
      </c>
      <c r="K196">
        <f>IF($M196="","",INDEX(상세표[반영 기관],$M196)&amp;"")</f>
        <v/>
      </c>
      <c r="L196">
        <f>IF($M196="","",INDEX(상세표[기관 출처],$M196)&amp;"")</f>
        <v/>
      </c>
      <c r="M196" s="4">
        <f>IFERROR(MATCH(191,상세표[경계순번],0),"")</f>
        <v/>
      </c>
    </row>
    <row r="197">
      <c r="A197">
        <f>IF($M197="","",INDEX(상세표[사번],$M197)&amp;"")</f>
        <v/>
      </c>
      <c r="B197">
        <f>IF($M197="","",INDEX(상세표[성명],$M197)&amp;"")</f>
        <v/>
      </c>
      <c r="C197">
        <f>IF($M197="","",IF(INDEX(상세표[종료월],$M197)=대상월키,"전월→이번 달","이번 달→익월"))</f>
        <v/>
      </c>
      <c r="D197">
        <f>IF($M197="","",IF(ISNUMBER(INDEX(상세표[시작],$M197)),TEXT(INDEX(상세표[시작],$M197),"yyyy-mm-dd hh:mm"),INDEX(상세표[시작],$M197)&amp;""))</f>
        <v/>
      </c>
      <c r="E197">
        <f>IF($M197="","",IF(ISNUMBER(INDEX(상세표[종료],$M197)),TEXT(INDEX(상세표[종료],$M197),"yyyy-mm-dd hh:mm"),INDEX(상세표[종료],$M197)&amp;""))</f>
        <v/>
      </c>
      <c r="F197" s="20">
        <f>IF($M197="","",INDEX(상세표[기록 시간외],$M197))</f>
        <v/>
      </c>
      <c r="G197">
        <f>IF($M197="","",INDEX(상세표[시작월 기관],$M197)&amp;"")</f>
        <v/>
      </c>
      <c r="H197">
        <f>IF($M197="","",INDEX(상세표[종료월 기관],$M197)&amp;"")</f>
        <v/>
      </c>
      <c r="I197">
        <f>IF($M197="","",INDEX(상세표[월경계 판정],$M197)&amp;"")</f>
        <v/>
      </c>
      <c r="J197">
        <f>IF($M197="","",INDEX(상세표[반영월],$M197)&amp;"")</f>
        <v/>
      </c>
      <c r="K197">
        <f>IF($M197="","",INDEX(상세표[반영 기관],$M197)&amp;"")</f>
        <v/>
      </c>
      <c r="L197">
        <f>IF($M197="","",INDEX(상세표[기관 출처],$M197)&amp;"")</f>
        <v/>
      </c>
      <c r="M197" s="4">
        <f>IFERROR(MATCH(192,상세표[경계순번],0),"")</f>
        <v/>
      </c>
    </row>
    <row r="198">
      <c r="A198">
        <f>IF($M198="","",INDEX(상세표[사번],$M198)&amp;"")</f>
        <v/>
      </c>
      <c r="B198">
        <f>IF($M198="","",INDEX(상세표[성명],$M198)&amp;"")</f>
        <v/>
      </c>
      <c r="C198">
        <f>IF($M198="","",IF(INDEX(상세표[종료월],$M198)=대상월키,"전월→이번 달","이번 달→익월"))</f>
        <v/>
      </c>
      <c r="D198">
        <f>IF($M198="","",IF(ISNUMBER(INDEX(상세표[시작],$M198)),TEXT(INDEX(상세표[시작],$M198),"yyyy-mm-dd hh:mm"),INDEX(상세표[시작],$M198)&amp;""))</f>
        <v/>
      </c>
      <c r="E198">
        <f>IF($M198="","",IF(ISNUMBER(INDEX(상세표[종료],$M198)),TEXT(INDEX(상세표[종료],$M198),"yyyy-mm-dd hh:mm"),INDEX(상세표[종료],$M198)&amp;""))</f>
        <v/>
      </c>
      <c r="F198" s="20">
        <f>IF($M198="","",INDEX(상세표[기록 시간외],$M198))</f>
        <v/>
      </c>
      <c r="G198">
        <f>IF($M198="","",INDEX(상세표[시작월 기관],$M198)&amp;"")</f>
        <v/>
      </c>
      <c r="H198">
        <f>IF($M198="","",INDEX(상세표[종료월 기관],$M198)&amp;"")</f>
        <v/>
      </c>
      <c r="I198">
        <f>IF($M198="","",INDEX(상세표[월경계 판정],$M198)&amp;"")</f>
        <v/>
      </c>
      <c r="J198">
        <f>IF($M198="","",INDEX(상세표[반영월],$M198)&amp;"")</f>
        <v/>
      </c>
      <c r="K198">
        <f>IF($M198="","",INDEX(상세표[반영 기관],$M198)&amp;"")</f>
        <v/>
      </c>
      <c r="L198">
        <f>IF($M198="","",INDEX(상세표[기관 출처],$M198)&amp;"")</f>
        <v/>
      </c>
      <c r="M198" s="4">
        <f>IFERROR(MATCH(193,상세표[경계순번],0),"")</f>
        <v/>
      </c>
    </row>
    <row r="199">
      <c r="A199">
        <f>IF($M199="","",INDEX(상세표[사번],$M199)&amp;"")</f>
        <v/>
      </c>
      <c r="B199">
        <f>IF($M199="","",INDEX(상세표[성명],$M199)&amp;"")</f>
        <v/>
      </c>
      <c r="C199">
        <f>IF($M199="","",IF(INDEX(상세표[종료월],$M199)=대상월키,"전월→이번 달","이번 달→익월"))</f>
        <v/>
      </c>
      <c r="D199">
        <f>IF($M199="","",IF(ISNUMBER(INDEX(상세표[시작],$M199)),TEXT(INDEX(상세표[시작],$M199),"yyyy-mm-dd hh:mm"),INDEX(상세표[시작],$M199)&amp;""))</f>
        <v/>
      </c>
      <c r="E199">
        <f>IF($M199="","",IF(ISNUMBER(INDEX(상세표[종료],$M199)),TEXT(INDEX(상세표[종료],$M199),"yyyy-mm-dd hh:mm"),INDEX(상세표[종료],$M199)&amp;""))</f>
        <v/>
      </c>
      <c r="F199" s="20">
        <f>IF($M199="","",INDEX(상세표[기록 시간외],$M199))</f>
        <v/>
      </c>
      <c r="G199">
        <f>IF($M199="","",INDEX(상세표[시작월 기관],$M199)&amp;"")</f>
        <v/>
      </c>
      <c r="H199">
        <f>IF($M199="","",INDEX(상세표[종료월 기관],$M199)&amp;"")</f>
        <v/>
      </c>
      <c r="I199">
        <f>IF($M199="","",INDEX(상세표[월경계 판정],$M199)&amp;"")</f>
        <v/>
      </c>
      <c r="J199">
        <f>IF($M199="","",INDEX(상세표[반영월],$M199)&amp;"")</f>
        <v/>
      </c>
      <c r="K199">
        <f>IF($M199="","",INDEX(상세표[반영 기관],$M199)&amp;"")</f>
        <v/>
      </c>
      <c r="L199">
        <f>IF($M199="","",INDEX(상세표[기관 출처],$M199)&amp;"")</f>
        <v/>
      </c>
      <c r="M199" s="4">
        <f>IFERROR(MATCH(194,상세표[경계순번],0),"")</f>
        <v/>
      </c>
    </row>
    <row r="200">
      <c r="A200">
        <f>IF($M200="","",INDEX(상세표[사번],$M200)&amp;"")</f>
        <v/>
      </c>
      <c r="B200">
        <f>IF($M200="","",INDEX(상세표[성명],$M200)&amp;"")</f>
        <v/>
      </c>
      <c r="C200">
        <f>IF($M200="","",IF(INDEX(상세표[종료월],$M200)=대상월키,"전월→이번 달","이번 달→익월"))</f>
        <v/>
      </c>
      <c r="D200">
        <f>IF($M200="","",IF(ISNUMBER(INDEX(상세표[시작],$M200)),TEXT(INDEX(상세표[시작],$M200),"yyyy-mm-dd hh:mm"),INDEX(상세표[시작],$M200)&amp;""))</f>
        <v/>
      </c>
      <c r="E200">
        <f>IF($M200="","",IF(ISNUMBER(INDEX(상세표[종료],$M200)),TEXT(INDEX(상세표[종료],$M200),"yyyy-mm-dd hh:mm"),INDEX(상세표[종료],$M200)&amp;""))</f>
        <v/>
      </c>
      <c r="F200" s="20">
        <f>IF($M200="","",INDEX(상세표[기록 시간외],$M200))</f>
        <v/>
      </c>
      <c r="G200">
        <f>IF($M200="","",INDEX(상세표[시작월 기관],$M200)&amp;"")</f>
        <v/>
      </c>
      <c r="H200">
        <f>IF($M200="","",INDEX(상세표[종료월 기관],$M200)&amp;"")</f>
        <v/>
      </c>
      <c r="I200">
        <f>IF($M200="","",INDEX(상세표[월경계 판정],$M200)&amp;"")</f>
        <v/>
      </c>
      <c r="J200">
        <f>IF($M200="","",INDEX(상세표[반영월],$M200)&amp;"")</f>
        <v/>
      </c>
      <c r="K200">
        <f>IF($M200="","",INDEX(상세표[반영 기관],$M200)&amp;"")</f>
        <v/>
      </c>
      <c r="L200">
        <f>IF($M200="","",INDEX(상세표[기관 출처],$M200)&amp;"")</f>
        <v/>
      </c>
      <c r="M200" s="4">
        <f>IFERROR(MATCH(195,상세표[경계순번],0),"")</f>
        <v/>
      </c>
    </row>
    <row r="201">
      <c r="A201">
        <f>IF($M201="","",INDEX(상세표[사번],$M201)&amp;"")</f>
        <v/>
      </c>
      <c r="B201">
        <f>IF($M201="","",INDEX(상세표[성명],$M201)&amp;"")</f>
        <v/>
      </c>
      <c r="C201">
        <f>IF($M201="","",IF(INDEX(상세표[종료월],$M201)=대상월키,"전월→이번 달","이번 달→익월"))</f>
        <v/>
      </c>
      <c r="D201">
        <f>IF($M201="","",IF(ISNUMBER(INDEX(상세표[시작],$M201)),TEXT(INDEX(상세표[시작],$M201),"yyyy-mm-dd hh:mm"),INDEX(상세표[시작],$M201)&amp;""))</f>
        <v/>
      </c>
      <c r="E201">
        <f>IF($M201="","",IF(ISNUMBER(INDEX(상세표[종료],$M201)),TEXT(INDEX(상세표[종료],$M201),"yyyy-mm-dd hh:mm"),INDEX(상세표[종료],$M201)&amp;""))</f>
        <v/>
      </c>
      <c r="F201" s="20">
        <f>IF($M201="","",INDEX(상세표[기록 시간외],$M201))</f>
        <v/>
      </c>
      <c r="G201">
        <f>IF($M201="","",INDEX(상세표[시작월 기관],$M201)&amp;"")</f>
        <v/>
      </c>
      <c r="H201">
        <f>IF($M201="","",INDEX(상세표[종료월 기관],$M201)&amp;"")</f>
        <v/>
      </c>
      <c r="I201">
        <f>IF($M201="","",INDEX(상세표[월경계 판정],$M201)&amp;"")</f>
        <v/>
      </c>
      <c r="J201">
        <f>IF($M201="","",INDEX(상세표[반영월],$M201)&amp;"")</f>
        <v/>
      </c>
      <c r="K201">
        <f>IF($M201="","",INDEX(상세표[반영 기관],$M201)&amp;"")</f>
        <v/>
      </c>
      <c r="L201">
        <f>IF($M201="","",INDEX(상세표[기관 출처],$M201)&amp;"")</f>
        <v/>
      </c>
      <c r="M201" s="4">
        <f>IFERROR(MATCH(196,상세표[경계순번],0),"")</f>
        <v/>
      </c>
    </row>
    <row r="202">
      <c r="A202">
        <f>IF($M202="","",INDEX(상세표[사번],$M202)&amp;"")</f>
        <v/>
      </c>
      <c r="B202">
        <f>IF($M202="","",INDEX(상세표[성명],$M202)&amp;"")</f>
        <v/>
      </c>
      <c r="C202">
        <f>IF($M202="","",IF(INDEX(상세표[종료월],$M202)=대상월키,"전월→이번 달","이번 달→익월"))</f>
        <v/>
      </c>
      <c r="D202">
        <f>IF($M202="","",IF(ISNUMBER(INDEX(상세표[시작],$M202)),TEXT(INDEX(상세표[시작],$M202),"yyyy-mm-dd hh:mm"),INDEX(상세표[시작],$M202)&amp;""))</f>
        <v/>
      </c>
      <c r="E202">
        <f>IF($M202="","",IF(ISNUMBER(INDEX(상세표[종료],$M202)),TEXT(INDEX(상세표[종료],$M202),"yyyy-mm-dd hh:mm"),INDEX(상세표[종료],$M202)&amp;""))</f>
        <v/>
      </c>
      <c r="F202" s="20">
        <f>IF($M202="","",INDEX(상세표[기록 시간외],$M202))</f>
        <v/>
      </c>
      <c r="G202">
        <f>IF($M202="","",INDEX(상세표[시작월 기관],$M202)&amp;"")</f>
        <v/>
      </c>
      <c r="H202">
        <f>IF($M202="","",INDEX(상세표[종료월 기관],$M202)&amp;"")</f>
        <v/>
      </c>
      <c r="I202">
        <f>IF($M202="","",INDEX(상세표[월경계 판정],$M202)&amp;"")</f>
        <v/>
      </c>
      <c r="J202">
        <f>IF($M202="","",INDEX(상세표[반영월],$M202)&amp;"")</f>
        <v/>
      </c>
      <c r="K202">
        <f>IF($M202="","",INDEX(상세표[반영 기관],$M202)&amp;"")</f>
        <v/>
      </c>
      <c r="L202">
        <f>IF($M202="","",INDEX(상세표[기관 출처],$M202)&amp;"")</f>
        <v/>
      </c>
      <c r="M202" s="4">
        <f>IFERROR(MATCH(197,상세표[경계순번],0),"")</f>
        <v/>
      </c>
    </row>
    <row r="203">
      <c r="A203">
        <f>IF($M203="","",INDEX(상세표[사번],$M203)&amp;"")</f>
        <v/>
      </c>
      <c r="B203">
        <f>IF($M203="","",INDEX(상세표[성명],$M203)&amp;"")</f>
        <v/>
      </c>
      <c r="C203">
        <f>IF($M203="","",IF(INDEX(상세표[종료월],$M203)=대상월키,"전월→이번 달","이번 달→익월"))</f>
        <v/>
      </c>
      <c r="D203">
        <f>IF($M203="","",IF(ISNUMBER(INDEX(상세표[시작],$M203)),TEXT(INDEX(상세표[시작],$M203),"yyyy-mm-dd hh:mm"),INDEX(상세표[시작],$M203)&amp;""))</f>
        <v/>
      </c>
      <c r="E203">
        <f>IF($M203="","",IF(ISNUMBER(INDEX(상세표[종료],$M203)),TEXT(INDEX(상세표[종료],$M203),"yyyy-mm-dd hh:mm"),INDEX(상세표[종료],$M203)&amp;""))</f>
        <v/>
      </c>
      <c r="F203" s="20">
        <f>IF($M203="","",INDEX(상세표[기록 시간외],$M203))</f>
        <v/>
      </c>
      <c r="G203">
        <f>IF($M203="","",INDEX(상세표[시작월 기관],$M203)&amp;"")</f>
        <v/>
      </c>
      <c r="H203">
        <f>IF($M203="","",INDEX(상세표[종료월 기관],$M203)&amp;"")</f>
        <v/>
      </c>
      <c r="I203">
        <f>IF($M203="","",INDEX(상세표[월경계 판정],$M203)&amp;"")</f>
        <v/>
      </c>
      <c r="J203">
        <f>IF($M203="","",INDEX(상세표[반영월],$M203)&amp;"")</f>
        <v/>
      </c>
      <c r="K203">
        <f>IF($M203="","",INDEX(상세표[반영 기관],$M203)&amp;"")</f>
        <v/>
      </c>
      <c r="L203">
        <f>IF($M203="","",INDEX(상세표[기관 출처],$M203)&amp;"")</f>
        <v/>
      </c>
      <c r="M203" s="4">
        <f>IFERROR(MATCH(198,상세표[경계순번],0),"")</f>
        <v/>
      </c>
    </row>
    <row r="204">
      <c r="A204">
        <f>IF($M204="","",INDEX(상세표[사번],$M204)&amp;"")</f>
        <v/>
      </c>
      <c r="B204">
        <f>IF($M204="","",INDEX(상세표[성명],$M204)&amp;"")</f>
        <v/>
      </c>
      <c r="C204">
        <f>IF($M204="","",IF(INDEX(상세표[종료월],$M204)=대상월키,"전월→이번 달","이번 달→익월"))</f>
        <v/>
      </c>
      <c r="D204">
        <f>IF($M204="","",IF(ISNUMBER(INDEX(상세표[시작],$M204)),TEXT(INDEX(상세표[시작],$M204),"yyyy-mm-dd hh:mm"),INDEX(상세표[시작],$M204)&amp;""))</f>
        <v/>
      </c>
      <c r="E204">
        <f>IF($M204="","",IF(ISNUMBER(INDEX(상세표[종료],$M204)),TEXT(INDEX(상세표[종료],$M204),"yyyy-mm-dd hh:mm"),INDEX(상세표[종료],$M204)&amp;""))</f>
        <v/>
      </c>
      <c r="F204" s="20">
        <f>IF($M204="","",INDEX(상세표[기록 시간외],$M204))</f>
        <v/>
      </c>
      <c r="G204">
        <f>IF($M204="","",INDEX(상세표[시작월 기관],$M204)&amp;"")</f>
        <v/>
      </c>
      <c r="H204">
        <f>IF($M204="","",INDEX(상세표[종료월 기관],$M204)&amp;"")</f>
        <v/>
      </c>
      <c r="I204">
        <f>IF($M204="","",INDEX(상세표[월경계 판정],$M204)&amp;"")</f>
        <v/>
      </c>
      <c r="J204">
        <f>IF($M204="","",INDEX(상세표[반영월],$M204)&amp;"")</f>
        <v/>
      </c>
      <c r="K204">
        <f>IF($M204="","",INDEX(상세표[반영 기관],$M204)&amp;"")</f>
        <v/>
      </c>
      <c r="L204">
        <f>IF($M204="","",INDEX(상세표[기관 출처],$M204)&amp;"")</f>
        <v/>
      </c>
      <c r="M204" s="4">
        <f>IFERROR(MATCH(199,상세표[경계순번],0),"")</f>
        <v/>
      </c>
    </row>
    <row r="205">
      <c r="A205">
        <f>IF($M205="","",INDEX(상세표[사번],$M205)&amp;"")</f>
        <v/>
      </c>
      <c r="B205">
        <f>IF($M205="","",INDEX(상세표[성명],$M205)&amp;"")</f>
        <v/>
      </c>
      <c r="C205">
        <f>IF($M205="","",IF(INDEX(상세표[종료월],$M205)=대상월키,"전월→이번 달","이번 달→익월"))</f>
        <v/>
      </c>
      <c r="D205">
        <f>IF($M205="","",IF(ISNUMBER(INDEX(상세표[시작],$M205)),TEXT(INDEX(상세표[시작],$M205),"yyyy-mm-dd hh:mm"),INDEX(상세표[시작],$M205)&amp;""))</f>
        <v/>
      </c>
      <c r="E205">
        <f>IF($M205="","",IF(ISNUMBER(INDEX(상세표[종료],$M205)),TEXT(INDEX(상세표[종료],$M205),"yyyy-mm-dd hh:mm"),INDEX(상세표[종료],$M205)&amp;""))</f>
        <v/>
      </c>
      <c r="F205" s="20">
        <f>IF($M205="","",INDEX(상세표[기록 시간외],$M205))</f>
        <v/>
      </c>
      <c r="G205">
        <f>IF($M205="","",INDEX(상세표[시작월 기관],$M205)&amp;"")</f>
        <v/>
      </c>
      <c r="H205">
        <f>IF($M205="","",INDEX(상세표[종료월 기관],$M205)&amp;"")</f>
        <v/>
      </c>
      <c r="I205">
        <f>IF($M205="","",INDEX(상세표[월경계 판정],$M205)&amp;"")</f>
        <v/>
      </c>
      <c r="J205">
        <f>IF($M205="","",INDEX(상세표[반영월],$M205)&amp;"")</f>
        <v/>
      </c>
      <c r="K205">
        <f>IF($M205="","",INDEX(상세표[반영 기관],$M205)&amp;"")</f>
        <v/>
      </c>
      <c r="L205">
        <f>IF($M205="","",INDEX(상세표[기관 출처],$M205)&amp;"")</f>
        <v/>
      </c>
      <c r="M205" s="4">
        <f>IFERROR(MATCH(200,상세표[경계순번],0),"")</f>
        <v/>
      </c>
    </row>
    <row r="206">
      <c r="A206">
        <f>IF($M206="","",INDEX(상세표[사번],$M206)&amp;"")</f>
        <v/>
      </c>
      <c r="B206">
        <f>IF($M206="","",INDEX(상세표[성명],$M206)&amp;"")</f>
        <v/>
      </c>
      <c r="C206">
        <f>IF($M206="","",IF(INDEX(상세표[종료월],$M206)=대상월키,"전월→이번 달","이번 달→익월"))</f>
        <v/>
      </c>
      <c r="D206">
        <f>IF($M206="","",IF(ISNUMBER(INDEX(상세표[시작],$M206)),TEXT(INDEX(상세표[시작],$M206),"yyyy-mm-dd hh:mm"),INDEX(상세표[시작],$M206)&amp;""))</f>
        <v/>
      </c>
      <c r="E206">
        <f>IF($M206="","",IF(ISNUMBER(INDEX(상세표[종료],$M206)),TEXT(INDEX(상세표[종료],$M206),"yyyy-mm-dd hh:mm"),INDEX(상세표[종료],$M206)&amp;""))</f>
        <v/>
      </c>
      <c r="F206" s="20">
        <f>IF($M206="","",INDEX(상세표[기록 시간외],$M206))</f>
        <v/>
      </c>
      <c r="G206">
        <f>IF($M206="","",INDEX(상세표[시작월 기관],$M206)&amp;"")</f>
        <v/>
      </c>
      <c r="H206">
        <f>IF($M206="","",INDEX(상세표[종료월 기관],$M206)&amp;"")</f>
        <v/>
      </c>
      <c r="I206">
        <f>IF($M206="","",INDEX(상세표[월경계 판정],$M206)&amp;"")</f>
        <v/>
      </c>
      <c r="J206">
        <f>IF($M206="","",INDEX(상세표[반영월],$M206)&amp;"")</f>
        <v/>
      </c>
      <c r="K206">
        <f>IF($M206="","",INDEX(상세표[반영 기관],$M206)&amp;"")</f>
        <v/>
      </c>
      <c r="L206">
        <f>IF($M206="","",INDEX(상세표[기관 출처],$M206)&amp;"")</f>
        <v/>
      </c>
      <c r="M206" s="4">
        <f>IFERROR(MATCH(201,상세표[경계순번],0),"")</f>
        <v/>
      </c>
    </row>
    <row r="207">
      <c r="A207">
        <f>IF($M207="","",INDEX(상세표[사번],$M207)&amp;"")</f>
        <v/>
      </c>
      <c r="B207">
        <f>IF($M207="","",INDEX(상세표[성명],$M207)&amp;"")</f>
        <v/>
      </c>
      <c r="C207">
        <f>IF($M207="","",IF(INDEX(상세표[종료월],$M207)=대상월키,"전월→이번 달","이번 달→익월"))</f>
        <v/>
      </c>
      <c r="D207">
        <f>IF($M207="","",IF(ISNUMBER(INDEX(상세표[시작],$M207)),TEXT(INDEX(상세표[시작],$M207),"yyyy-mm-dd hh:mm"),INDEX(상세표[시작],$M207)&amp;""))</f>
        <v/>
      </c>
      <c r="E207">
        <f>IF($M207="","",IF(ISNUMBER(INDEX(상세표[종료],$M207)),TEXT(INDEX(상세표[종료],$M207),"yyyy-mm-dd hh:mm"),INDEX(상세표[종료],$M207)&amp;""))</f>
        <v/>
      </c>
      <c r="F207" s="20">
        <f>IF($M207="","",INDEX(상세표[기록 시간외],$M207))</f>
        <v/>
      </c>
      <c r="G207">
        <f>IF($M207="","",INDEX(상세표[시작월 기관],$M207)&amp;"")</f>
        <v/>
      </c>
      <c r="H207">
        <f>IF($M207="","",INDEX(상세표[종료월 기관],$M207)&amp;"")</f>
        <v/>
      </c>
      <c r="I207">
        <f>IF($M207="","",INDEX(상세표[월경계 판정],$M207)&amp;"")</f>
        <v/>
      </c>
      <c r="J207">
        <f>IF($M207="","",INDEX(상세표[반영월],$M207)&amp;"")</f>
        <v/>
      </c>
      <c r="K207">
        <f>IF($M207="","",INDEX(상세표[반영 기관],$M207)&amp;"")</f>
        <v/>
      </c>
      <c r="L207">
        <f>IF($M207="","",INDEX(상세표[기관 출처],$M207)&amp;"")</f>
        <v/>
      </c>
      <c r="M207" s="4">
        <f>IFERROR(MATCH(202,상세표[경계순번],0),"")</f>
        <v/>
      </c>
    </row>
    <row r="208">
      <c r="A208">
        <f>IF($M208="","",INDEX(상세표[사번],$M208)&amp;"")</f>
        <v/>
      </c>
      <c r="B208">
        <f>IF($M208="","",INDEX(상세표[성명],$M208)&amp;"")</f>
        <v/>
      </c>
      <c r="C208">
        <f>IF($M208="","",IF(INDEX(상세표[종료월],$M208)=대상월키,"전월→이번 달","이번 달→익월"))</f>
        <v/>
      </c>
      <c r="D208">
        <f>IF($M208="","",IF(ISNUMBER(INDEX(상세표[시작],$M208)),TEXT(INDEX(상세표[시작],$M208),"yyyy-mm-dd hh:mm"),INDEX(상세표[시작],$M208)&amp;""))</f>
        <v/>
      </c>
      <c r="E208">
        <f>IF($M208="","",IF(ISNUMBER(INDEX(상세표[종료],$M208)),TEXT(INDEX(상세표[종료],$M208),"yyyy-mm-dd hh:mm"),INDEX(상세표[종료],$M208)&amp;""))</f>
        <v/>
      </c>
      <c r="F208" s="20">
        <f>IF($M208="","",INDEX(상세표[기록 시간외],$M208))</f>
        <v/>
      </c>
      <c r="G208">
        <f>IF($M208="","",INDEX(상세표[시작월 기관],$M208)&amp;"")</f>
        <v/>
      </c>
      <c r="H208">
        <f>IF($M208="","",INDEX(상세표[종료월 기관],$M208)&amp;"")</f>
        <v/>
      </c>
      <c r="I208">
        <f>IF($M208="","",INDEX(상세표[월경계 판정],$M208)&amp;"")</f>
        <v/>
      </c>
      <c r="J208">
        <f>IF($M208="","",INDEX(상세표[반영월],$M208)&amp;"")</f>
        <v/>
      </c>
      <c r="K208">
        <f>IF($M208="","",INDEX(상세표[반영 기관],$M208)&amp;"")</f>
        <v/>
      </c>
      <c r="L208">
        <f>IF($M208="","",INDEX(상세표[기관 출처],$M208)&amp;"")</f>
        <v/>
      </c>
      <c r="M208" s="4">
        <f>IFERROR(MATCH(203,상세표[경계순번],0),"")</f>
        <v/>
      </c>
    </row>
    <row r="209">
      <c r="A209">
        <f>IF($M209="","",INDEX(상세표[사번],$M209)&amp;"")</f>
        <v/>
      </c>
      <c r="B209">
        <f>IF($M209="","",INDEX(상세표[성명],$M209)&amp;"")</f>
        <v/>
      </c>
      <c r="C209">
        <f>IF($M209="","",IF(INDEX(상세표[종료월],$M209)=대상월키,"전월→이번 달","이번 달→익월"))</f>
        <v/>
      </c>
      <c r="D209">
        <f>IF($M209="","",IF(ISNUMBER(INDEX(상세표[시작],$M209)),TEXT(INDEX(상세표[시작],$M209),"yyyy-mm-dd hh:mm"),INDEX(상세표[시작],$M209)&amp;""))</f>
        <v/>
      </c>
      <c r="E209">
        <f>IF($M209="","",IF(ISNUMBER(INDEX(상세표[종료],$M209)),TEXT(INDEX(상세표[종료],$M209),"yyyy-mm-dd hh:mm"),INDEX(상세표[종료],$M209)&amp;""))</f>
        <v/>
      </c>
      <c r="F209" s="20">
        <f>IF($M209="","",INDEX(상세표[기록 시간외],$M209))</f>
        <v/>
      </c>
      <c r="G209">
        <f>IF($M209="","",INDEX(상세표[시작월 기관],$M209)&amp;"")</f>
        <v/>
      </c>
      <c r="H209">
        <f>IF($M209="","",INDEX(상세표[종료월 기관],$M209)&amp;"")</f>
        <v/>
      </c>
      <c r="I209">
        <f>IF($M209="","",INDEX(상세표[월경계 판정],$M209)&amp;"")</f>
        <v/>
      </c>
      <c r="J209">
        <f>IF($M209="","",INDEX(상세표[반영월],$M209)&amp;"")</f>
        <v/>
      </c>
      <c r="K209">
        <f>IF($M209="","",INDEX(상세표[반영 기관],$M209)&amp;"")</f>
        <v/>
      </c>
      <c r="L209">
        <f>IF($M209="","",INDEX(상세표[기관 출처],$M209)&amp;"")</f>
        <v/>
      </c>
      <c r="M209" s="4">
        <f>IFERROR(MATCH(204,상세표[경계순번],0),"")</f>
        <v/>
      </c>
    </row>
    <row r="210">
      <c r="A210">
        <f>IF($M210="","",INDEX(상세표[사번],$M210)&amp;"")</f>
        <v/>
      </c>
      <c r="B210">
        <f>IF($M210="","",INDEX(상세표[성명],$M210)&amp;"")</f>
        <v/>
      </c>
      <c r="C210">
        <f>IF($M210="","",IF(INDEX(상세표[종료월],$M210)=대상월키,"전월→이번 달","이번 달→익월"))</f>
        <v/>
      </c>
      <c r="D210">
        <f>IF($M210="","",IF(ISNUMBER(INDEX(상세표[시작],$M210)),TEXT(INDEX(상세표[시작],$M210),"yyyy-mm-dd hh:mm"),INDEX(상세표[시작],$M210)&amp;""))</f>
        <v/>
      </c>
      <c r="E210">
        <f>IF($M210="","",IF(ISNUMBER(INDEX(상세표[종료],$M210)),TEXT(INDEX(상세표[종료],$M210),"yyyy-mm-dd hh:mm"),INDEX(상세표[종료],$M210)&amp;""))</f>
        <v/>
      </c>
      <c r="F210" s="20">
        <f>IF($M210="","",INDEX(상세표[기록 시간외],$M210))</f>
        <v/>
      </c>
      <c r="G210">
        <f>IF($M210="","",INDEX(상세표[시작월 기관],$M210)&amp;"")</f>
        <v/>
      </c>
      <c r="H210">
        <f>IF($M210="","",INDEX(상세표[종료월 기관],$M210)&amp;"")</f>
        <v/>
      </c>
      <c r="I210">
        <f>IF($M210="","",INDEX(상세표[월경계 판정],$M210)&amp;"")</f>
        <v/>
      </c>
      <c r="J210">
        <f>IF($M210="","",INDEX(상세표[반영월],$M210)&amp;"")</f>
        <v/>
      </c>
      <c r="K210">
        <f>IF($M210="","",INDEX(상세표[반영 기관],$M210)&amp;"")</f>
        <v/>
      </c>
      <c r="L210">
        <f>IF($M210="","",INDEX(상세표[기관 출처],$M210)&amp;"")</f>
        <v/>
      </c>
      <c r="M210" s="4">
        <f>IFERROR(MATCH(205,상세표[경계순번],0),"")</f>
        <v/>
      </c>
    </row>
    <row r="211">
      <c r="A211">
        <f>IF($M211="","",INDEX(상세표[사번],$M211)&amp;"")</f>
        <v/>
      </c>
      <c r="B211">
        <f>IF($M211="","",INDEX(상세표[성명],$M211)&amp;"")</f>
        <v/>
      </c>
      <c r="C211">
        <f>IF($M211="","",IF(INDEX(상세표[종료월],$M211)=대상월키,"전월→이번 달","이번 달→익월"))</f>
        <v/>
      </c>
      <c r="D211">
        <f>IF($M211="","",IF(ISNUMBER(INDEX(상세표[시작],$M211)),TEXT(INDEX(상세표[시작],$M211),"yyyy-mm-dd hh:mm"),INDEX(상세표[시작],$M211)&amp;""))</f>
        <v/>
      </c>
      <c r="E211">
        <f>IF($M211="","",IF(ISNUMBER(INDEX(상세표[종료],$M211)),TEXT(INDEX(상세표[종료],$M211),"yyyy-mm-dd hh:mm"),INDEX(상세표[종료],$M211)&amp;""))</f>
        <v/>
      </c>
      <c r="F211" s="20">
        <f>IF($M211="","",INDEX(상세표[기록 시간외],$M211))</f>
        <v/>
      </c>
      <c r="G211">
        <f>IF($M211="","",INDEX(상세표[시작월 기관],$M211)&amp;"")</f>
        <v/>
      </c>
      <c r="H211">
        <f>IF($M211="","",INDEX(상세표[종료월 기관],$M211)&amp;"")</f>
        <v/>
      </c>
      <c r="I211">
        <f>IF($M211="","",INDEX(상세표[월경계 판정],$M211)&amp;"")</f>
        <v/>
      </c>
      <c r="J211">
        <f>IF($M211="","",INDEX(상세표[반영월],$M211)&amp;"")</f>
        <v/>
      </c>
      <c r="K211">
        <f>IF($M211="","",INDEX(상세표[반영 기관],$M211)&amp;"")</f>
        <v/>
      </c>
      <c r="L211">
        <f>IF($M211="","",INDEX(상세표[기관 출처],$M211)&amp;"")</f>
        <v/>
      </c>
      <c r="M211" s="4">
        <f>IFERROR(MATCH(206,상세표[경계순번],0),"")</f>
        <v/>
      </c>
    </row>
    <row r="212">
      <c r="A212">
        <f>IF($M212="","",INDEX(상세표[사번],$M212)&amp;"")</f>
        <v/>
      </c>
      <c r="B212">
        <f>IF($M212="","",INDEX(상세표[성명],$M212)&amp;"")</f>
        <v/>
      </c>
      <c r="C212">
        <f>IF($M212="","",IF(INDEX(상세표[종료월],$M212)=대상월키,"전월→이번 달","이번 달→익월"))</f>
        <v/>
      </c>
      <c r="D212">
        <f>IF($M212="","",IF(ISNUMBER(INDEX(상세표[시작],$M212)),TEXT(INDEX(상세표[시작],$M212),"yyyy-mm-dd hh:mm"),INDEX(상세표[시작],$M212)&amp;""))</f>
        <v/>
      </c>
      <c r="E212">
        <f>IF($M212="","",IF(ISNUMBER(INDEX(상세표[종료],$M212)),TEXT(INDEX(상세표[종료],$M212),"yyyy-mm-dd hh:mm"),INDEX(상세표[종료],$M212)&amp;""))</f>
        <v/>
      </c>
      <c r="F212" s="20">
        <f>IF($M212="","",INDEX(상세표[기록 시간외],$M212))</f>
        <v/>
      </c>
      <c r="G212">
        <f>IF($M212="","",INDEX(상세표[시작월 기관],$M212)&amp;"")</f>
        <v/>
      </c>
      <c r="H212">
        <f>IF($M212="","",INDEX(상세표[종료월 기관],$M212)&amp;"")</f>
        <v/>
      </c>
      <c r="I212">
        <f>IF($M212="","",INDEX(상세표[월경계 판정],$M212)&amp;"")</f>
        <v/>
      </c>
      <c r="J212">
        <f>IF($M212="","",INDEX(상세표[반영월],$M212)&amp;"")</f>
        <v/>
      </c>
      <c r="K212">
        <f>IF($M212="","",INDEX(상세표[반영 기관],$M212)&amp;"")</f>
        <v/>
      </c>
      <c r="L212">
        <f>IF($M212="","",INDEX(상세표[기관 출처],$M212)&amp;"")</f>
        <v/>
      </c>
      <c r="M212" s="4">
        <f>IFERROR(MATCH(207,상세표[경계순번],0),"")</f>
        <v/>
      </c>
    </row>
    <row r="213">
      <c r="A213">
        <f>IF($M213="","",INDEX(상세표[사번],$M213)&amp;"")</f>
        <v/>
      </c>
      <c r="B213">
        <f>IF($M213="","",INDEX(상세표[성명],$M213)&amp;"")</f>
        <v/>
      </c>
      <c r="C213">
        <f>IF($M213="","",IF(INDEX(상세표[종료월],$M213)=대상월키,"전월→이번 달","이번 달→익월"))</f>
        <v/>
      </c>
      <c r="D213">
        <f>IF($M213="","",IF(ISNUMBER(INDEX(상세표[시작],$M213)),TEXT(INDEX(상세표[시작],$M213),"yyyy-mm-dd hh:mm"),INDEX(상세표[시작],$M213)&amp;""))</f>
        <v/>
      </c>
      <c r="E213">
        <f>IF($M213="","",IF(ISNUMBER(INDEX(상세표[종료],$M213)),TEXT(INDEX(상세표[종료],$M213),"yyyy-mm-dd hh:mm"),INDEX(상세표[종료],$M213)&amp;""))</f>
        <v/>
      </c>
      <c r="F213" s="20">
        <f>IF($M213="","",INDEX(상세표[기록 시간외],$M213))</f>
        <v/>
      </c>
      <c r="G213">
        <f>IF($M213="","",INDEX(상세표[시작월 기관],$M213)&amp;"")</f>
        <v/>
      </c>
      <c r="H213">
        <f>IF($M213="","",INDEX(상세표[종료월 기관],$M213)&amp;"")</f>
        <v/>
      </c>
      <c r="I213">
        <f>IF($M213="","",INDEX(상세표[월경계 판정],$M213)&amp;"")</f>
        <v/>
      </c>
      <c r="J213">
        <f>IF($M213="","",INDEX(상세표[반영월],$M213)&amp;"")</f>
        <v/>
      </c>
      <c r="K213">
        <f>IF($M213="","",INDEX(상세표[반영 기관],$M213)&amp;"")</f>
        <v/>
      </c>
      <c r="L213">
        <f>IF($M213="","",INDEX(상세표[기관 출처],$M213)&amp;"")</f>
        <v/>
      </c>
      <c r="M213" s="4">
        <f>IFERROR(MATCH(208,상세표[경계순번],0),"")</f>
        <v/>
      </c>
    </row>
    <row r="214">
      <c r="A214">
        <f>IF($M214="","",INDEX(상세표[사번],$M214)&amp;"")</f>
        <v/>
      </c>
      <c r="B214">
        <f>IF($M214="","",INDEX(상세표[성명],$M214)&amp;"")</f>
        <v/>
      </c>
      <c r="C214">
        <f>IF($M214="","",IF(INDEX(상세표[종료월],$M214)=대상월키,"전월→이번 달","이번 달→익월"))</f>
        <v/>
      </c>
      <c r="D214">
        <f>IF($M214="","",IF(ISNUMBER(INDEX(상세표[시작],$M214)),TEXT(INDEX(상세표[시작],$M214),"yyyy-mm-dd hh:mm"),INDEX(상세표[시작],$M214)&amp;""))</f>
        <v/>
      </c>
      <c r="E214">
        <f>IF($M214="","",IF(ISNUMBER(INDEX(상세표[종료],$M214)),TEXT(INDEX(상세표[종료],$M214),"yyyy-mm-dd hh:mm"),INDEX(상세표[종료],$M214)&amp;""))</f>
        <v/>
      </c>
      <c r="F214" s="20">
        <f>IF($M214="","",INDEX(상세표[기록 시간외],$M214))</f>
        <v/>
      </c>
      <c r="G214">
        <f>IF($M214="","",INDEX(상세표[시작월 기관],$M214)&amp;"")</f>
        <v/>
      </c>
      <c r="H214">
        <f>IF($M214="","",INDEX(상세표[종료월 기관],$M214)&amp;"")</f>
        <v/>
      </c>
      <c r="I214">
        <f>IF($M214="","",INDEX(상세표[월경계 판정],$M214)&amp;"")</f>
        <v/>
      </c>
      <c r="J214">
        <f>IF($M214="","",INDEX(상세표[반영월],$M214)&amp;"")</f>
        <v/>
      </c>
      <c r="K214">
        <f>IF($M214="","",INDEX(상세표[반영 기관],$M214)&amp;"")</f>
        <v/>
      </c>
      <c r="L214">
        <f>IF($M214="","",INDEX(상세표[기관 출처],$M214)&amp;"")</f>
        <v/>
      </c>
      <c r="M214" s="4">
        <f>IFERROR(MATCH(209,상세표[경계순번],0),"")</f>
        <v/>
      </c>
    </row>
    <row r="215">
      <c r="A215">
        <f>IF($M215="","",INDEX(상세표[사번],$M215)&amp;"")</f>
        <v/>
      </c>
      <c r="B215">
        <f>IF($M215="","",INDEX(상세표[성명],$M215)&amp;"")</f>
        <v/>
      </c>
      <c r="C215">
        <f>IF($M215="","",IF(INDEX(상세표[종료월],$M215)=대상월키,"전월→이번 달","이번 달→익월"))</f>
        <v/>
      </c>
      <c r="D215">
        <f>IF($M215="","",IF(ISNUMBER(INDEX(상세표[시작],$M215)),TEXT(INDEX(상세표[시작],$M215),"yyyy-mm-dd hh:mm"),INDEX(상세표[시작],$M215)&amp;""))</f>
        <v/>
      </c>
      <c r="E215">
        <f>IF($M215="","",IF(ISNUMBER(INDEX(상세표[종료],$M215)),TEXT(INDEX(상세표[종료],$M215),"yyyy-mm-dd hh:mm"),INDEX(상세표[종료],$M215)&amp;""))</f>
        <v/>
      </c>
      <c r="F215" s="20">
        <f>IF($M215="","",INDEX(상세표[기록 시간외],$M215))</f>
        <v/>
      </c>
      <c r="G215">
        <f>IF($M215="","",INDEX(상세표[시작월 기관],$M215)&amp;"")</f>
        <v/>
      </c>
      <c r="H215">
        <f>IF($M215="","",INDEX(상세표[종료월 기관],$M215)&amp;"")</f>
        <v/>
      </c>
      <c r="I215">
        <f>IF($M215="","",INDEX(상세표[월경계 판정],$M215)&amp;"")</f>
        <v/>
      </c>
      <c r="J215">
        <f>IF($M215="","",INDEX(상세표[반영월],$M215)&amp;"")</f>
        <v/>
      </c>
      <c r="K215">
        <f>IF($M215="","",INDEX(상세표[반영 기관],$M215)&amp;"")</f>
        <v/>
      </c>
      <c r="L215">
        <f>IF($M215="","",INDEX(상세표[기관 출처],$M215)&amp;"")</f>
        <v/>
      </c>
      <c r="M215" s="4">
        <f>IFERROR(MATCH(210,상세표[경계순번],0),"")</f>
        <v/>
      </c>
    </row>
    <row r="216">
      <c r="A216">
        <f>IF($M216="","",INDEX(상세표[사번],$M216)&amp;"")</f>
        <v/>
      </c>
      <c r="B216">
        <f>IF($M216="","",INDEX(상세표[성명],$M216)&amp;"")</f>
        <v/>
      </c>
      <c r="C216">
        <f>IF($M216="","",IF(INDEX(상세표[종료월],$M216)=대상월키,"전월→이번 달","이번 달→익월"))</f>
        <v/>
      </c>
      <c r="D216">
        <f>IF($M216="","",IF(ISNUMBER(INDEX(상세표[시작],$M216)),TEXT(INDEX(상세표[시작],$M216),"yyyy-mm-dd hh:mm"),INDEX(상세표[시작],$M216)&amp;""))</f>
        <v/>
      </c>
      <c r="E216">
        <f>IF($M216="","",IF(ISNUMBER(INDEX(상세표[종료],$M216)),TEXT(INDEX(상세표[종료],$M216),"yyyy-mm-dd hh:mm"),INDEX(상세표[종료],$M216)&amp;""))</f>
        <v/>
      </c>
      <c r="F216" s="20">
        <f>IF($M216="","",INDEX(상세표[기록 시간외],$M216))</f>
        <v/>
      </c>
      <c r="G216">
        <f>IF($M216="","",INDEX(상세표[시작월 기관],$M216)&amp;"")</f>
        <v/>
      </c>
      <c r="H216">
        <f>IF($M216="","",INDEX(상세표[종료월 기관],$M216)&amp;"")</f>
        <v/>
      </c>
      <c r="I216">
        <f>IF($M216="","",INDEX(상세표[월경계 판정],$M216)&amp;"")</f>
        <v/>
      </c>
      <c r="J216">
        <f>IF($M216="","",INDEX(상세표[반영월],$M216)&amp;"")</f>
        <v/>
      </c>
      <c r="K216">
        <f>IF($M216="","",INDEX(상세표[반영 기관],$M216)&amp;"")</f>
        <v/>
      </c>
      <c r="L216">
        <f>IF($M216="","",INDEX(상세표[기관 출처],$M216)&amp;"")</f>
        <v/>
      </c>
      <c r="M216" s="4">
        <f>IFERROR(MATCH(211,상세표[경계순번],0),"")</f>
        <v/>
      </c>
    </row>
    <row r="217">
      <c r="A217">
        <f>IF($M217="","",INDEX(상세표[사번],$M217)&amp;"")</f>
        <v/>
      </c>
      <c r="B217">
        <f>IF($M217="","",INDEX(상세표[성명],$M217)&amp;"")</f>
        <v/>
      </c>
      <c r="C217">
        <f>IF($M217="","",IF(INDEX(상세표[종료월],$M217)=대상월키,"전월→이번 달","이번 달→익월"))</f>
        <v/>
      </c>
      <c r="D217">
        <f>IF($M217="","",IF(ISNUMBER(INDEX(상세표[시작],$M217)),TEXT(INDEX(상세표[시작],$M217),"yyyy-mm-dd hh:mm"),INDEX(상세표[시작],$M217)&amp;""))</f>
        <v/>
      </c>
      <c r="E217">
        <f>IF($M217="","",IF(ISNUMBER(INDEX(상세표[종료],$M217)),TEXT(INDEX(상세표[종료],$M217),"yyyy-mm-dd hh:mm"),INDEX(상세표[종료],$M217)&amp;""))</f>
        <v/>
      </c>
      <c r="F217" s="20">
        <f>IF($M217="","",INDEX(상세표[기록 시간외],$M217))</f>
        <v/>
      </c>
      <c r="G217">
        <f>IF($M217="","",INDEX(상세표[시작월 기관],$M217)&amp;"")</f>
        <v/>
      </c>
      <c r="H217">
        <f>IF($M217="","",INDEX(상세표[종료월 기관],$M217)&amp;"")</f>
        <v/>
      </c>
      <c r="I217">
        <f>IF($M217="","",INDEX(상세표[월경계 판정],$M217)&amp;"")</f>
        <v/>
      </c>
      <c r="J217">
        <f>IF($M217="","",INDEX(상세표[반영월],$M217)&amp;"")</f>
        <v/>
      </c>
      <c r="K217">
        <f>IF($M217="","",INDEX(상세표[반영 기관],$M217)&amp;"")</f>
        <v/>
      </c>
      <c r="L217">
        <f>IF($M217="","",INDEX(상세표[기관 출처],$M217)&amp;"")</f>
        <v/>
      </c>
      <c r="M217" s="4">
        <f>IFERROR(MATCH(212,상세표[경계순번],0),"")</f>
        <v/>
      </c>
    </row>
    <row r="218">
      <c r="A218">
        <f>IF($M218="","",INDEX(상세표[사번],$M218)&amp;"")</f>
        <v/>
      </c>
      <c r="B218">
        <f>IF($M218="","",INDEX(상세표[성명],$M218)&amp;"")</f>
        <v/>
      </c>
      <c r="C218">
        <f>IF($M218="","",IF(INDEX(상세표[종료월],$M218)=대상월키,"전월→이번 달","이번 달→익월"))</f>
        <v/>
      </c>
      <c r="D218">
        <f>IF($M218="","",IF(ISNUMBER(INDEX(상세표[시작],$M218)),TEXT(INDEX(상세표[시작],$M218),"yyyy-mm-dd hh:mm"),INDEX(상세표[시작],$M218)&amp;""))</f>
        <v/>
      </c>
      <c r="E218">
        <f>IF($M218="","",IF(ISNUMBER(INDEX(상세표[종료],$M218)),TEXT(INDEX(상세표[종료],$M218),"yyyy-mm-dd hh:mm"),INDEX(상세표[종료],$M218)&amp;""))</f>
        <v/>
      </c>
      <c r="F218" s="20">
        <f>IF($M218="","",INDEX(상세표[기록 시간외],$M218))</f>
        <v/>
      </c>
      <c r="G218">
        <f>IF($M218="","",INDEX(상세표[시작월 기관],$M218)&amp;"")</f>
        <v/>
      </c>
      <c r="H218">
        <f>IF($M218="","",INDEX(상세표[종료월 기관],$M218)&amp;"")</f>
        <v/>
      </c>
      <c r="I218">
        <f>IF($M218="","",INDEX(상세표[월경계 판정],$M218)&amp;"")</f>
        <v/>
      </c>
      <c r="J218">
        <f>IF($M218="","",INDEX(상세표[반영월],$M218)&amp;"")</f>
        <v/>
      </c>
      <c r="K218">
        <f>IF($M218="","",INDEX(상세표[반영 기관],$M218)&amp;"")</f>
        <v/>
      </c>
      <c r="L218">
        <f>IF($M218="","",INDEX(상세표[기관 출처],$M218)&amp;"")</f>
        <v/>
      </c>
      <c r="M218" s="4">
        <f>IFERROR(MATCH(213,상세표[경계순번],0),"")</f>
        <v/>
      </c>
    </row>
    <row r="219">
      <c r="A219">
        <f>IF($M219="","",INDEX(상세표[사번],$M219)&amp;"")</f>
        <v/>
      </c>
      <c r="B219">
        <f>IF($M219="","",INDEX(상세표[성명],$M219)&amp;"")</f>
        <v/>
      </c>
      <c r="C219">
        <f>IF($M219="","",IF(INDEX(상세표[종료월],$M219)=대상월키,"전월→이번 달","이번 달→익월"))</f>
        <v/>
      </c>
      <c r="D219">
        <f>IF($M219="","",IF(ISNUMBER(INDEX(상세표[시작],$M219)),TEXT(INDEX(상세표[시작],$M219),"yyyy-mm-dd hh:mm"),INDEX(상세표[시작],$M219)&amp;""))</f>
        <v/>
      </c>
      <c r="E219">
        <f>IF($M219="","",IF(ISNUMBER(INDEX(상세표[종료],$M219)),TEXT(INDEX(상세표[종료],$M219),"yyyy-mm-dd hh:mm"),INDEX(상세표[종료],$M219)&amp;""))</f>
        <v/>
      </c>
      <c r="F219" s="20">
        <f>IF($M219="","",INDEX(상세표[기록 시간외],$M219))</f>
        <v/>
      </c>
      <c r="G219">
        <f>IF($M219="","",INDEX(상세표[시작월 기관],$M219)&amp;"")</f>
        <v/>
      </c>
      <c r="H219">
        <f>IF($M219="","",INDEX(상세표[종료월 기관],$M219)&amp;"")</f>
        <v/>
      </c>
      <c r="I219">
        <f>IF($M219="","",INDEX(상세표[월경계 판정],$M219)&amp;"")</f>
        <v/>
      </c>
      <c r="J219">
        <f>IF($M219="","",INDEX(상세표[반영월],$M219)&amp;"")</f>
        <v/>
      </c>
      <c r="K219">
        <f>IF($M219="","",INDEX(상세표[반영 기관],$M219)&amp;"")</f>
        <v/>
      </c>
      <c r="L219">
        <f>IF($M219="","",INDEX(상세표[기관 출처],$M219)&amp;"")</f>
        <v/>
      </c>
      <c r="M219" s="4">
        <f>IFERROR(MATCH(214,상세표[경계순번],0),"")</f>
        <v/>
      </c>
    </row>
    <row r="220">
      <c r="A220">
        <f>IF($M220="","",INDEX(상세표[사번],$M220)&amp;"")</f>
        <v/>
      </c>
      <c r="B220">
        <f>IF($M220="","",INDEX(상세표[성명],$M220)&amp;"")</f>
        <v/>
      </c>
      <c r="C220">
        <f>IF($M220="","",IF(INDEX(상세표[종료월],$M220)=대상월키,"전월→이번 달","이번 달→익월"))</f>
        <v/>
      </c>
      <c r="D220">
        <f>IF($M220="","",IF(ISNUMBER(INDEX(상세표[시작],$M220)),TEXT(INDEX(상세표[시작],$M220),"yyyy-mm-dd hh:mm"),INDEX(상세표[시작],$M220)&amp;""))</f>
        <v/>
      </c>
      <c r="E220">
        <f>IF($M220="","",IF(ISNUMBER(INDEX(상세표[종료],$M220)),TEXT(INDEX(상세표[종료],$M220),"yyyy-mm-dd hh:mm"),INDEX(상세표[종료],$M220)&amp;""))</f>
        <v/>
      </c>
      <c r="F220" s="20">
        <f>IF($M220="","",INDEX(상세표[기록 시간외],$M220))</f>
        <v/>
      </c>
      <c r="G220">
        <f>IF($M220="","",INDEX(상세표[시작월 기관],$M220)&amp;"")</f>
        <v/>
      </c>
      <c r="H220">
        <f>IF($M220="","",INDEX(상세표[종료월 기관],$M220)&amp;"")</f>
        <v/>
      </c>
      <c r="I220">
        <f>IF($M220="","",INDEX(상세표[월경계 판정],$M220)&amp;"")</f>
        <v/>
      </c>
      <c r="J220">
        <f>IF($M220="","",INDEX(상세표[반영월],$M220)&amp;"")</f>
        <v/>
      </c>
      <c r="K220">
        <f>IF($M220="","",INDEX(상세표[반영 기관],$M220)&amp;"")</f>
        <v/>
      </c>
      <c r="L220">
        <f>IF($M220="","",INDEX(상세표[기관 출처],$M220)&amp;"")</f>
        <v/>
      </c>
      <c r="M220" s="4">
        <f>IFERROR(MATCH(215,상세표[경계순번],0),"")</f>
        <v/>
      </c>
    </row>
    <row r="221">
      <c r="A221">
        <f>IF($M221="","",INDEX(상세표[사번],$M221)&amp;"")</f>
        <v/>
      </c>
      <c r="B221">
        <f>IF($M221="","",INDEX(상세표[성명],$M221)&amp;"")</f>
        <v/>
      </c>
      <c r="C221">
        <f>IF($M221="","",IF(INDEX(상세표[종료월],$M221)=대상월키,"전월→이번 달","이번 달→익월"))</f>
        <v/>
      </c>
      <c r="D221">
        <f>IF($M221="","",IF(ISNUMBER(INDEX(상세표[시작],$M221)),TEXT(INDEX(상세표[시작],$M221),"yyyy-mm-dd hh:mm"),INDEX(상세표[시작],$M221)&amp;""))</f>
        <v/>
      </c>
      <c r="E221">
        <f>IF($M221="","",IF(ISNUMBER(INDEX(상세표[종료],$M221)),TEXT(INDEX(상세표[종료],$M221),"yyyy-mm-dd hh:mm"),INDEX(상세표[종료],$M221)&amp;""))</f>
        <v/>
      </c>
      <c r="F221" s="20">
        <f>IF($M221="","",INDEX(상세표[기록 시간외],$M221))</f>
        <v/>
      </c>
      <c r="G221">
        <f>IF($M221="","",INDEX(상세표[시작월 기관],$M221)&amp;"")</f>
        <v/>
      </c>
      <c r="H221">
        <f>IF($M221="","",INDEX(상세표[종료월 기관],$M221)&amp;"")</f>
        <v/>
      </c>
      <c r="I221">
        <f>IF($M221="","",INDEX(상세표[월경계 판정],$M221)&amp;"")</f>
        <v/>
      </c>
      <c r="J221">
        <f>IF($M221="","",INDEX(상세표[반영월],$M221)&amp;"")</f>
        <v/>
      </c>
      <c r="K221">
        <f>IF($M221="","",INDEX(상세표[반영 기관],$M221)&amp;"")</f>
        <v/>
      </c>
      <c r="L221">
        <f>IF($M221="","",INDEX(상세표[기관 출처],$M221)&amp;"")</f>
        <v/>
      </c>
      <c r="M221" s="4">
        <f>IFERROR(MATCH(216,상세표[경계순번],0),"")</f>
        <v/>
      </c>
    </row>
    <row r="222">
      <c r="A222">
        <f>IF($M222="","",INDEX(상세표[사번],$M222)&amp;"")</f>
        <v/>
      </c>
      <c r="B222">
        <f>IF($M222="","",INDEX(상세표[성명],$M222)&amp;"")</f>
        <v/>
      </c>
      <c r="C222">
        <f>IF($M222="","",IF(INDEX(상세표[종료월],$M222)=대상월키,"전월→이번 달","이번 달→익월"))</f>
        <v/>
      </c>
      <c r="D222">
        <f>IF($M222="","",IF(ISNUMBER(INDEX(상세표[시작],$M222)),TEXT(INDEX(상세표[시작],$M222),"yyyy-mm-dd hh:mm"),INDEX(상세표[시작],$M222)&amp;""))</f>
        <v/>
      </c>
      <c r="E222">
        <f>IF($M222="","",IF(ISNUMBER(INDEX(상세표[종료],$M222)),TEXT(INDEX(상세표[종료],$M222),"yyyy-mm-dd hh:mm"),INDEX(상세표[종료],$M222)&amp;""))</f>
        <v/>
      </c>
      <c r="F222" s="20">
        <f>IF($M222="","",INDEX(상세표[기록 시간외],$M222))</f>
        <v/>
      </c>
      <c r="G222">
        <f>IF($M222="","",INDEX(상세표[시작월 기관],$M222)&amp;"")</f>
        <v/>
      </c>
      <c r="H222">
        <f>IF($M222="","",INDEX(상세표[종료월 기관],$M222)&amp;"")</f>
        <v/>
      </c>
      <c r="I222">
        <f>IF($M222="","",INDEX(상세표[월경계 판정],$M222)&amp;"")</f>
        <v/>
      </c>
      <c r="J222">
        <f>IF($M222="","",INDEX(상세표[반영월],$M222)&amp;"")</f>
        <v/>
      </c>
      <c r="K222">
        <f>IF($M222="","",INDEX(상세표[반영 기관],$M222)&amp;"")</f>
        <v/>
      </c>
      <c r="L222">
        <f>IF($M222="","",INDEX(상세표[기관 출처],$M222)&amp;"")</f>
        <v/>
      </c>
      <c r="M222" s="4">
        <f>IFERROR(MATCH(217,상세표[경계순번],0),"")</f>
        <v/>
      </c>
    </row>
    <row r="223">
      <c r="A223">
        <f>IF($M223="","",INDEX(상세표[사번],$M223)&amp;"")</f>
        <v/>
      </c>
      <c r="B223">
        <f>IF($M223="","",INDEX(상세표[성명],$M223)&amp;"")</f>
        <v/>
      </c>
      <c r="C223">
        <f>IF($M223="","",IF(INDEX(상세표[종료월],$M223)=대상월키,"전월→이번 달","이번 달→익월"))</f>
        <v/>
      </c>
      <c r="D223">
        <f>IF($M223="","",IF(ISNUMBER(INDEX(상세표[시작],$M223)),TEXT(INDEX(상세표[시작],$M223),"yyyy-mm-dd hh:mm"),INDEX(상세표[시작],$M223)&amp;""))</f>
        <v/>
      </c>
      <c r="E223">
        <f>IF($M223="","",IF(ISNUMBER(INDEX(상세표[종료],$M223)),TEXT(INDEX(상세표[종료],$M223),"yyyy-mm-dd hh:mm"),INDEX(상세표[종료],$M223)&amp;""))</f>
        <v/>
      </c>
      <c r="F223" s="20">
        <f>IF($M223="","",INDEX(상세표[기록 시간외],$M223))</f>
        <v/>
      </c>
      <c r="G223">
        <f>IF($M223="","",INDEX(상세표[시작월 기관],$M223)&amp;"")</f>
        <v/>
      </c>
      <c r="H223">
        <f>IF($M223="","",INDEX(상세표[종료월 기관],$M223)&amp;"")</f>
        <v/>
      </c>
      <c r="I223">
        <f>IF($M223="","",INDEX(상세표[월경계 판정],$M223)&amp;"")</f>
        <v/>
      </c>
      <c r="J223">
        <f>IF($M223="","",INDEX(상세표[반영월],$M223)&amp;"")</f>
        <v/>
      </c>
      <c r="K223">
        <f>IF($M223="","",INDEX(상세표[반영 기관],$M223)&amp;"")</f>
        <v/>
      </c>
      <c r="L223">
        <f>IF($M223="","",INDEX(상세표[기관 출처],$M223)&amp;"")</f>
        <v/>
      </c>
      <c r="M223" s="4">
        <f>IFERROR(MATCH(218,상세표[경계순번],0),"")</f>
        <v/>
      </c>
    </row>
    <row r="224">
      <c r="A224">
        <f>IF($M224="","",INDEX(상세표[사번],$M224)&amp;"")</f>
        <v/>
      </c>
      <c r="B224">
        <f>IF($M224="","",INDEX(상세표[성명],$M224)&amp;"")</f>
        <v/>
      </c>
      <c r="C224">
        <f>IF($M224="","",IF(INDEX(상세표[종료월],$M224)=대상월키,"전월→이번 달","이번 달→익월"))</f>
        <v/>
      </c>
      <c r="D224">
        <f>IF($M224="","",IF(ISNUMBER(INDEX(상세표[시작],$M224)),TEXT(INDEX(상세표[시작],$M224),"yyyy-mm-dd hh:mm"),INDEX(상세표[시작],$M224)&amp;""))</f>
        <v/>
      </c>
      <c r="E224">
        <f>IF($M224="","",IF(ISNUMBER(INDEX(상세표[종료],$M224)),TEXT(INDEX(상세표[종료],$M224),"yyyy-mm-dd hh:mm"),INDEX(상세표[종료],$M224)&amp;""))</f>
        <v/>
      </c>
      <c r="F224" s="20">
        <f>IF($M224="","",INDEX(상세표[기록 시간외],$M224))</f>
        <v/>
      </c>
      <c r="G224">
        <f>IF($M224="","",INDEX(상세표[시작월 기관],$M224)&amp;"")</f>
        <v/>
      </c>
      <c r="H224">
        <f>IF($M224="","",INDEX(상세표[종료월 기관],$M224)&amp;"")</f>
        <v/>
      </c>
      <c r="I224">
        <f>IF($M224="","",INDEX(상세표[월경계 판정],$M224)&amp;"")</f>
        <v/>
      </c>
      <c r="J224">
        <f>IF($M224="","",INDEX(상세표[반영월],$M224)&amp;"")</f>
        <v/>
      </c>
      <c r="K224">
        <f>IF($M224="","",INDEX(상세표[반영 기관],$M224)&amp;"")</f>
        <v/>
      </c>
      <c r="L224">
        <f>IF($M224="","",INDEX(상세표[기관 출처],$M224)&amp;"")</f>
        <v/>
      </c>
      <c r="M224" s="4">
        <f>IFERROR(MATCH(219,상세표[경계순번],0),"")</f>
        <v/>
      </c>
    </row>
    <row r="225">
      <c r="A225">
        <f>IF($M225="","",INDEX(상세표[사번],$M225)&amp;"")</f>
        <v/>
      </c>
      <c r="B225">
        <f>IF($M225="","",INDEX(상세표[성명],$M225)&amp;"")</f>
        <v/>
      </c>
      <c r="C225">
        <f>IF($M225="","",IF(INDEX(상세표[종료월],$M225)=대상월키,"전월→이번 달","이번 달→익월"))</f>
        <v/>
      </c>
      <c r="D225">
        <f>IF($M225="","",IF(ISNUMBER(INDEX(상세표[시작],$M225)),TEXT(INDEX(상세표[시작],$M225),"yyyy-mm-dd hh:mm"),INDEX(상세표[시작],$M225)&amp;""))</f>
        <v/>
      </c>
      <c r="E225">
        <f>IF($M225="","",IF(ISNUMBER(INDEX(상세표[종료],$M225)),TEXT(INDEX(상세표[종료],$M225),"yyyy-mm-dd hh:mm"),INDEX(상세표[종료],$M225)&amp;""))</f>
        <v/>
      </c>
      <c r="F225" s="20">
        <f>IF($M225="","",INDEX(상세표[기록 시간외],$M225))</f>
        <v/>
      </c>
      <c r="G225">
        <f>IF($M225="","",INDEX(상세표[시작월 기관],$M225)&amp;"")</f>
        <v/>
      </c>
      <c r="H225">
        <f>IF($M225="","",INDEX(상세표[종료월 기관],$M225)&amp;"")</f>
        <v/>
      </c>
      <c r="I225">
        <f>IF($M225="","",INDEX(상세표[월경계 판정],$M225)&amp;"")</f>
        <v/>
      </c>
      <c r="J225">
        <f>IF($M225="","",INDEX(상세표[반영월],$M225)&amp;"")</f>
        <v/>
      </c>
      <c r="K225">
        <f>IF($M225="","",INDEX(상세표[반영 기관],$M225)&amp;"")</f>
        <v/>
      </c>
      <c r="L225">
        <f>IF($M225="","",INDEX(상세표[기관 출처],$M225)&amp;"")</f>
        <v/>
      </c>
      <c r="M225" s="4">
        <f>IFERROR(MATCH(220,상세표[경계순번],0),"")</f>
        <v/>
      </c>
    </row>
    <row r="226">
      <c r="A226">
        <f>IF($M226="","",INDEX(상세표[사번],$M226)&amp;"")</f>
        <v/>
      </c>
      <c r="B226">
        <f>IF($M226="","",INDEX(상세표[성명],$M226)&amp;"")</f>
        <v/>
      </c>
      <c r="C226">
        <f>IF($M226="","",IF(INDEX(상세표[종료월],$M226)=대상월키,"전월→이번 달","이번 달→익월"))</f>
        <v/>
      </c>
      <c r="D226">
        <f>IF($M226="","",IF(ISNUMBER(INDEX(상세표[시작],$M226)),TEXT(INDEX(상세표[시작],$M226),"yyyy-mm-dd hh:mm"),INDEX(상세표[시작],$M226)&amp;""))</f>
        <v/>
      </c>
      <c r="E226">
        <f>IF($M226="","",IF(ISNUMBER(INDEX(상세표[종료],$M226)),TEXT(INDEX(상세표[종료],$M226),"yyyy-mm-dd hh:mm"),INDEX(상세표[종료],$M226)&amp;""))</f>
        <v/>
      </c>
      <c r="F226" s="20">
        <f>IF($M226="","",INDEX(상세표[기록 시간외],$M226))</f>
        <v/>
      </c>
      <c r="G226">
        <f>IF($M226="","",INDEX(상세표[시작월 기관],$M226)&amp;"")</f>
        <v/>
      </c>
      <c r="H226">
        <f>IF($M226="","",INDEX(상세표[종료월 기관],$M226)&amp;"")</f>
        <v/>
      </c>
      <c r="I226">
        <f>IF($M226="","",INDEX(상세표[월경계 판정],$M226)&amp;"")</f>
        <v/>
      </c>
      <c r="J226">
        <f>IF($M226="","",INDEX(상세표[반영월],$M226)&amp;"")</f>
        <v/>
      </c>
      <c r="K226">
        <f>IF($M226="","",INDEX(상세표[반영 기관],$M226)&amp;"")</f>
        <v/>
      </c>
      <c r="L226">
        <f>IF($M226="","",INDEX(상세표[기관 출처],$M226)&amp;"")</f>
        <v/>
      </c>
      <c r="M226" s="4">
        <f>IFERROR(MATCH(221,상세표[경계순번],0),"")</f>
        <v/>
      </c>
    </row>
    <row r="227">
      <c r="A227">
        <f>IF($M227="","",INDEX(상세표[사번],$M227)&amp;"")</f>
        <v/>
      </c>
      <c r="B227">
        <f>IF($M227="","",INDEX(상세표[성명],$M227)&amp;"")</f>
        <v/>
      </c>
      <c r="C227">
        <f>IF($M227="","",IF(INDEX(상세표[종료월],$M227)=대상월키,"전월→이번 달","이번 달→익월"))</f>
        <v/>
      </c>
      <c r="D227">
        <f>IF($M227="","",IF(ISNUMBER(INDEX(상세표[시작],$M227)),TEXT(INDEX(상세표[시작],$M227),"yyyy-mm-dd hh:mm"),INDEX(상세표[시작],$M227)&amp;""))</f>
        <v/>
      </c>
      <c r="E227">
        <f>IF($M227="","",IF(ISNUMBER(INDEX(상세표[종료],$M227)),TEXT(INDEX(상세표[종료],$M227),"yyyy-mm-dd hh:mm"),INDEX(상세표[종료],$M227)&amp;""))</f>
        <v/>
      </c>
      <c r="F227" s="20">
        <f>IF($M227="","",INDEX(상세표[기록 시간외],$M227))</f>
        <v/>
      </c>
      <c r="G227">
        <f>IF($M227="","",INDEX(상세표[시작월 기관],$M227)&amp;"")</f>
        <v/>
      </c>
      <c r="H227">
        <f>IF($M227="","",INDEX(상세표[종료월 기관],$M227)&amp;"")</f>
        <v/>
      </c>
      <c r="I227">
        <f>IF($M227="","",INDEX(상세표[월경계 판정],$M227)&amp;"")</f>
        <v/>
      </c>
      <c r="J227">
        <f>IF($M227="","",INDEX(상세표[반영월],$M227)&amp;"")</f>
        <v/>
      </c>
      <c r="K227">
        <f>IF($M227="","",INDEX(상세표[반영 기관],$M227)&amp;"")</f>
        <v/>
      </c>
      <c r="L227">
        <f>IF($M227="","",INDEX(상세표[기관 출처],$M227)&amp;"")</f>
        <v/>
      </c>
      <c r="M227" s="4">
        <f>IFERROR(MATCH(222,상세표[경계순번],0),"")</f>
        <v/>
      </c>
    </row>
    <row r="228">
      <c r="A228">
        <f>IF($M228="","",INDEX(상세표[사번],$M228)&amp;"")</f>
        <v/>
      </c>
      <c r="B228">
        <f>IF($M228="","",INDEX(상세표[성명],$M228)&amp;"")</f>
        <v/>
      </c>
      <c r="C228">
        <f>IF($M228="","",IF(INDEX(상세표[종료월],$M228)=대상월키,"전월→이번 달","이번 달→익월"))</f>
        <v/>
      </c>
      <c r="D228">
        <f>IF($M228="","",IF(ISNUMBER(INDEX(상세표[시작],$M228)),TEXT(INDEX(상세표[시작],$M228),"yyyy-mm-dd hh:mm"),INDEX(상세표[시작],$M228)&amp;""))</f>
        <v/>
      </c>
      <c r="E228">
        <f>IF($M228="","",IF(ISNUMBER(INDEX(상세표[종료],$M228)),TEXT(INDEX(상세표[종료],$M228),"yyyy-mm-dd hh:mm"),INDEX(상세표[종료],$M228)&amp;""))</f>
        <v/>
      </c>
      <c r="F228" s="20">
        <f>IF($M228="","",INDEX(상세표[기록 시간외],$M228))</f>
        <v/>
      </c>
      <c r="G228">
        <f>IF($M228="","",INDEX(상세표[시작월 기관],$M228)&amp;"")</f>
        <v/>
      </c>
      <c r="H228">
        <f>IF($M228="","",INDEX(상세표[종료월 기관],$M228)&amp;"")</f>
        <v/>
      </c>
      <c r="I228">
        <f>IF($M228="","",INDEX(상세표[월경계 판정],$M228)&amp;"")</f>
        <v/>
      </c>
      <c r="J228">
        <f>IF($M228="","",INDEX(상세표[반영월],$M228)&amp;"")</f>
        <v/>
      </c>
      <c r="K228">
        <f>IF($M228="","",INDEX(상세표[반영 기관],$M228)&amp;"")</f>
        <v/>
      </c>
      <c r="L228">
        <f>IF($M228="","",INDEX(상세표[기관 출처],$M228)&amp;"")</f>
        <v/>
      </c>
      <c r="M228" s="4">
        <f>IFERROR(MATCH(223,상세표[경계순번],0),"")</f>
        <v/>
      </c>
    </row>
    <row r="229">
      <c r="A229">
        <f>IF($M229="","",INDEX(상세표[사번],$M229)&amp;"")</f>
        <v/>
      </c>
      <c r="B229">
        <f>IF($M229="","",INDEX(상세표[성명],$M229)&amp;"")</f>
        <v/>
      </c>
      <c r="C229">
        <f>IF($M229="","",IF(INDEX(상세표[종료월],$M229)=대상월키,"전월→이번 달","이번 달→익월"))</f>
        <v/>
      </c>
      <c r="D229">
        <f>IF($M229="","",IF(ISNUMBER(INDEX(상세표[시작],$M229)),TEXT(INDEX(상세표[시작],$M229),"yyyy-mm-dd hh:mm"),INDEX(상세표[시작],$M229)&amp;""))</f>
        <v/>
      </c>
      <c r="E229">
        <f>IF($M229="","",IF(ISNUMBER(INDEX(상세표[종료],$M229)),TEXT(INDEX(상세표[종료],$M229),"yyyy-mm-dd hh:mm"),INDEX(상세표[종료],$M229)&amp;""))</f>
        <v/>
      </c>
      <c r="F229" s="20">
        <f>IF($M229="","",INDEX(상세표[기록 시간외],$M229))</f>
        <v/>
      </c>
      <c r="G229">
        <f>IF($M229="","",INDEX(상세표[시작월 기관],$M229)&amp;"")</f>
        <v/>
      </c>
      <c r="H229">
        <f>IF($M229="","",INDEX(상세표[종료월 기관],$M229)&amp;"")</f>
        <v/>
      </c>
      <c r="I229">
        <f>IF($M229="","",INDEX(상세표[월경계 판정],$M229)&amp;"")</f>
        <v/>
      </c>
      <c r="J229">
        <f>IF($M229="","",INDEX(상세표[반영월],$M229)&amp;"")</f>
        <v/>
      </c>
      <c r="K229">
        <f>IF($M229="","",INDEX(상세표[반영 기관],$M229)&amp;"")</f>
        <v/>
      </c>
      <c r="L229">
        <f>IF($M229="","",INDEX(상세표[기관 출처],$M229)&amp;"")</f>
        <v/>
      </c>
      <c r="M229" s="4">
        <f>IFERROR(MATCH(224,상세표[경계순번],0),"")</f>
        <v/>
      </c>
    </row>
    <row r="230">
      <c r="A230">
        <f>IF($M230="","",INDEX(상세표[사번],$M230)&amp;"")</f>
        <v/>
      </c>
      <c r="B230">
        <f>IF($M230="","",INDEX(상세표[성명],$M230)&amp;"")</f>
        <v/>
      </c>
      <c r="C230">
        <f>IF($M230="","",IF(INDEX(상세표[종료월],$M230)=대상월키,"전월→이번 달","이번 달→익월"))</f>
        <v/>
      </c>
      <c r="D230">
        <f>IF($M230="","",IF(ISNUMBER(INDEX(상세표[시작],$M230)),TEXT(INDEX(상세표[시작],$M230),"yyyy-mm-dd hh:mm"),INDEX(상세표[시작],$M230)&amp;""))</f>
        <v/>
      </c>
      <c r="E230">
        <f>IF($M230="","",IF(ISNUMBER(INDEX(상세표[종료],$M230)),TEXT(INDEX(상세표[종료],$M230),"yyyy-mm-dd hh:mm"),INDEX(상세표[종료],$M230)&amp;""))</f>
        <v/>
      </c>
      <c r="F230" s="20">
        <f>IF($M230="","",INDEX(상세표[기록 시간외],$M230))</f>
        <v/>
      </c>
      <c r="G230">
        <f>IF($M230="","",INDEX(상세표[시작월 기관],$M230)&amp;"")</f>
        <v/>
      </c>
      <c r="H230">
        <f>IF($M230="","",INDEX(상세표[종료월 기관],$M230)&amp;"")</f>
        <v/>
      </c>
      <c r="I230">
        <f>IF($M230="","",INDEX(상세표[월경계 판정],$M230)&amp;"")</f>
        <v/>
      </c>
      <c r="J230">
        <f>IF($M230="","",INDEX(상세표[반영월],$M230)&amp;"")</f>
        <v/>
      </c>
      <c r="K230">
        <f>IF($M230="","",INDEX(상세표[반영 기관],$M230)&amp;"")</f>
        <v/>
      </c>
      <c r="L230">
        <f>IF($M230="","",INDEX(상세표[기관 출처],$M230)&amp;"")</f>
        <v/>
      </c>
      <c r="M230" s="4">
        <f>IFERROR(MATCH(225,상세표[경계순번],0),"")</f>
        <v/>
      </c>
    </row>
    <row r="231">
      <c r="A231">
        <f>IF($M231="","",INDEX(상세표[사번],$M231)&amp;"")</f>
        <v/>
      </c>
      <c r="B231">
        <f>IF($M231="","",INDEX(상세표[성명],$M231)&amp;"")</f>
        <v/>
      </c>
      <c r="C231">
        <f>IF($M231="","",IF(INDEX(상세표[종료월],$M231)=대상월키,"전월→이번 달","이번 달→익월"))</f>
        <v/>
      </c>
      <c r="D231">
        <f>IF($M231="","",IF(ISNUMBER(INDEX(상세표[시작],$M231)),TEXT(INDEX(상세표[시작],$M231),"yyyy-mm-dd hh:mm"),INDEX(상세표[시작],$M231)&amp;""))</f>
        <v/>
      </c>
      <c r="E231">
        <f>IF($M231="","",IF(ISNUMBER(INDEX(상세표[종료],$M231)),TEXT(INDEX(상세표[종료],$M231),"yyyy-mm-dd hh:mm"),INDEX(상세표[종료],$M231)&amp;""))</f>
        <v/>
      </c>
      <c r="F231" s="20">
        <f>IF($M231="","",INDEX(상세표[기록 시간외],$M231))</f>
        <v/>
      </c>
      <c r="G231">
        <f>IF($M231="","",INDEX(상세표[시작월 기관],$M231)&amp;"")</f>
        <v/>
      </c>
      <c r="H231">
        <f>IF($M231="","",INDEX(상세표[종료월 기관],$M231)&amp;"")</f>
        <v/>
      </c>
      <c r="I231">
        <f>IF($M231="","",INDEX(상세표[월경계 판정],$M231)&amp;"")</f>
        <v/>
      </c>
      <c r="J231">
        <f>IF($M231="","",INDEX(상세표[반영월],$M231)&amp;"")</f>
        <v/>
      </c>
      <c r="K231">
        <f>IF($M231="","",INDEX(상세표[반영 기관],$M231)&amp;"")</f>
        <v/>
      </c>
      <c r="L231">
        <f>IF($M231="","",INDEX(상세표[기관 출처],$M231)&amp;"")</f>
        <v/>
      </c>
      <c r="M231" s="4">
        <f>IFERROR(MATCH(226,상세표[경계순번],0),"")</f>
        <v/>
      </c>
    </row>
    <row r="232">
      <c r="A232">
        <f>IF($M232="","",INDEX(상세표[사번],$M232)&amp;"")</f>
        <v/>
      </c>
      <c r="B232">
        <f>IF($M232="","",INDEX(상세표[성명],$M232)&amp;"")</f>
        <v/>
      </c>
      <c r="C232">
        <f>IF($M232="","",IF(INDEX(상세표[종료월],$M232)=대상월키,"전월→이번 달","이번 달→익월"))</f>
        <v/>
      </c>
      <c r="D232">
        <f>IF($M232="","",IF(ISNUMBER(INDEX(상세표[시작],$M232)),TEXT(INDEX(상세표[시작],$M232),"yyyy-mm-dd hh:mm"),INDEX(상세표[시작],$M232)&amp;""))</f>
        <v/>
      </c>
      <c r="E232">
        <f>IF($M232="","",IF(ISNUMBER(INDEX(상세표[종료],$M232)),TEXT(INDEX(상세표[종료],$M232),"yyyy-mm-dd hh:mm"),INDEX(상세표[종료],$M232)&amp;""))</f>
        <v/>
      </c>
      <c r="F232" s="20">
        <f>IF($M232="","",INDEX(상세표[기록 시간외],$M232))</f>
        <v/>
      </c>
      <c r="G232">
        <f>IF($M232="","",INDEX(상세표[시작월 기관],$M232)&amp;"")</f>
        <v/>
      </c>
      <c r="H232">
        <f>IF($M232="","",INDEX(상세표[종료월 기관],$M232)&amp;"")</f>
        <v/>
      </c>
      <c r="I232">
        <f>IF($M232="","",INDEX(상세표[월경계 판정],$M232)&amp;"")</f>
        <v/>
      </c>
      <c r="J232">
        <f>IF($M232="","",INDEX(상세표[반영월],$M232)&amp;"")</f>
        <v/>
      </c>
      <c r="K232">
        <f>IF($M232="","",INDEX(상세표[반영 기관],$M232)&amp;"")</f>
        <v/>
      </c>
      <c r="L232">
        <f>IF($M232="","",INDEX(상세표[기관 출처],$M232)&amp;"")</f>
        <v/>
      </c>
      <c r="M232" s="4">
        <f>IFERROR(MATCH(227,상세표[경계순번],0),"")</f>
        <v/>
      </c>
    </row>
    <row r="233">
      <c r="A233">
        <f>IF($M233="","",INDEX(상세표[사번],$M233)&amp;"")</f>
        <v/>
      </c>
      <c r="B233">
        <f>IF($M233="","",INDEX(상세표[성명],$M233)&amp;"")</f>
        <v/>
      </c>
      <c r="C233">
        <f>IF($M233="","",IF(INDEX(상세표[종료월],$M233)=대상월키,"전월→이번 달","이번 달→익월"))</f>
        <v/>
      </c>
      <c r="D233">
        <f>IF($M233="","",IF(ISNUMBER(INDEX(상세표[시작],$M233)),TEXT(INDEX(상세표[시작],$M233),"yyyy-mm-dd hh:mm"),INDEX(상세표[시작],$M233)&amp;""))</f>
        <v/>
      </c>
      <c r="E233">
        <f>IF($M233="","",IF(ISNUMBER(INDEX(상세표[종료],$M233)),TEXT(INDEX(상세표[종료],$M233),"yyyy-mm-dd hh:mm"),INDEX(상세표[종료],$M233)&amp;""))</f>
        <v/>
      </c>
      <c r="F233" s="20">
        <f>IF($M233="","",INDEX(상세표[기록 시간외],$M233))</f>
        <v/>
      </c>
      <c r="G233">
        <f>IF($M233="","",INDEX(상세표[시작월 기관],$M233)&amp;"")</f>
        <v/>
      </c>
      <c r="H233">
        <f>IF($M233="","",INDEX(상세표[종료월 기관],$M233)&amp;"")</f>
        <v/>
      </c>
      <c r="I233">
        <f>IF($M233="","",INDEX(상세표[월경계 판정],$M233)&amp;"")</f>
        <v/>
      </c>
      <c r="J233">
        <f>IF($M233="","",INDEX(상세표[반영월],$M233)&amp;"")</f>
        <v/>
      </c>
      <c r="K233">
        <f>IF($M233="","",INDEX(상세표[반영 기관],$M233)&amp;"")</f>
        <v/>
      </c>
      <c r="L233">
        <f>IF($M233="","",INDEX(상세표[기관 출처],$M233)&amp;"")</f>
        <v/>
      </c>
      <c r="M233" s="4">
        <f>IFERROR(MATCH(228,상세표[경계순번],0),"")</f>
        <v/>
      </c>
    </row>
    <row r="234">
      <c r="A234">
        <f>IF($M234="","",INDEX(상세표[사번],$M234)&amp;"")</f>
        <v/>
      </c>
      <c r="B234">
        <f>IF($M234="","",INDEX(상세표[성명],$M234)&amp;"")</f>
        <v/>
      </c>
      <c r="C234">
        <f>IF($M234="","",IF(INDEX(상세표[종료월],$M234)=대상월키,"전월→이번 달","이번 달→익월"))</f>
        <v/>
      </c>
      <c r="D234">
        <f>IF($M234="","",IF(ISNUMBER(INDEX(상세표[시작],$M234)),TEXT(INDEX(상세표[시작],$M234),"yyyy-mm-dd hh:mm"),INDEX(상세표[시작],$M234)&amp;""))</f>
        <v/>
      </c>
      <c r="E234">
        <f>IF($M234="","",IF(ISNUMBER(INDEX(상세표[종료],$M234)),TEXT(INDEX(상세표[종료],$M234),"yyyy-mm-dd hh:mm"),INDEX(상세표[종료],$M234)&amp;""))</f>
        <v/>
      </c>
      <c r="F234" s="20">
        <f>IF($M234="","",INDEX(상세표[기록 시간외],$M234))</f>
        <v/>
      </c>
      <c r="G234">
        <f>IF($M234="","",INDEX(상세표[시작월 기관],$M234)&amp;"")</f>
        <v/>
      </c>
      <c r="H234">
        <f>IF($M234="","",INDEX(상세표[종료월 기관],$M234)&amp;"")</f>
        <v/>
      </c>
      <c r="I234">
        <f>IF($M234="","",INDEX(상세표[월경계 판정],$M234)&amp;"")</f>
        <v/>
      </c>
      <c r="J234">
        <f>IF($M234="","",INDEX(상세표[반영월],$M234)&amp;"")</f>
        <v/>
      </c>
      <c r="K234">
        <f>IF($M234="","",INDEX(상세표[반영 기관],$M234)&amp;"")</f>
        <v/>
      </c>
      <c r="L234">
        <f>IF($M234="","",INDEX(상세표[기관 출처],$M234)&amp;"")</f>
        <v/>
      </c>
      <c r="M234" s="4">
        <f>IFERROR(MATCH(229,상세표[경계순번],0),"")</f>
        <v/>
      </c>
    </row>
    <row r="235">
      <c r="A235">
        <f>IF($M235="","",INDEX(상세표[사번],$M235)&amp;"")</f>
        <v/>
      </c>
      <c r="B235">
        <f>IF($M235="","",INDEX(상세표[성명],$M235)&amp;"")</f>
        <v/>
      </c>
      <c r="C235">
        <f>IF($M235="","",IF(INDEX(상세표[종료월],$M235)=대상월키,"전월→이번 달","이번 달→익월"))</f>
        <v/>
      </c>
      <c r="D235">
        <f>IF($M235="","",IF(ISNUMBER(INDEX(상세표[시작],$M235)),TEXT(INDEX(상세표[시작],$M235),"yyyy-mm-dd hh:mm"),INDEX(상세표[시작],$M235)&amp;""))</f>
        <v/>
      </c>
      <c r="E235">
        <f>IF($M235="","",IF(ISNUMBER(INDEX(상세표[종료],$M235)),TEXT(INDEX(상세표[종료],$M235),"yyyy-mm-dd hh:mm"),INDEX(상세표[종료],$M235)&amp;""))</f>
        <v/>
      </c>
      <c r="F235" s="20">
        <f>IF($M235="","",INDEX(상세표[기록 시간외],$M235))</f>
        <v/>
      </c>
      <c r="G235">
        <f>IF($M235="","",INDEX(상세표[시작월 기관],$M235)&amp;"")</f>
        <v/>
      </c>
      <c r="H235">
        <f>IF($M235="","",INDEX(상세표[종료월 기관],$M235)&amp;"")</f>
        <v/>
      </c>
      <c r="I235">
        <f>IF($M235="","",INDEX(상세표[월경계 판정],$M235)&amp;"")</f>
        <v/>
      </c>
      <c r="J235">
        <f>IF($M235="","",INDEX(상세표[반영월],$M235)&amp;"")</f>
        <v/>
      </c>
      <c r="K235">
        <f>IF($M235="","",INDEX(상세표[반영 기관],$M235)&amp;"")</f>
        <v/>
      </c>
      <c r="L235">
        <f>IF($M235="","",INDEX(상세표[기관 출처],$M235)&amp;"")</f>
        <v/>
      </c>
      <c r="M235" s="4">
        <f>IFERROR(MATCH(230,상세표[경계순번],0),"")</f>
        <v/>
      </c>
    </row>
    <row r="236">
      <c r="A236">
        <f>IF($M236="","",INDEX(상세표[사번],$M236)&amp;"")</f>
        <v/>
      </c>
      <c r="B236">
        <f>IF($M236="","",INDEX(상세표[성명],$M236)&amp;"")</f>
        <v/>
      </c>
      <c r="C236">
        <f>IF($M236="","",IF(INDEX(상세표[종료월],$M236)=대상월키,"전월→이번 달","이번 달→익월"))</f>
        <v/>
      </c>
      <c r="D236">
        <f>IF($M236="","",IF(ISNUMBER(INDEX(상세표[시작],$M236)),TEXT(INDEX(상세표[시작],$M236),"yyyy-mm-dd hh:mm"),INDEX(상세표[시작],$M236)&amp;""))</f>
        <v/>
      </c>
      <c r="E236">
        <f>IF($M236="","",IF(ISNUMBER(INDEX(상세표[종료],$M236)),TEXT(INDEX(상세표[종료],$M236),"yyyy-mm-dd hh:mm"),INDEX(상세표[종료],$M236)&amp;""))</f>
        <v/>
      </c>
      <c r="F236" s="20">
        <f>IF($M236="","",INDEX(상세표[기록 시간외],$M236))</f>
        <v/>
      </c>
      <c r="G236">
        <f>IF($M236="","",INDEX(상세표[시작월 기관],$M236)&amp;"")</f>
        <v/>
      </c>
      <c r="H236">
        <f>IF($M236="","",INDEX(상세표[종료월 기관],$M236)&amp;"")</f>
        <v/>
      </c>
      <c r="I236">
        <f>IF($M236="","",INDEX(상세표[월경계 판정],$M236)&amp;"")</f>
        <v/>
      </c>
      <c r="J236">
        <f>IF($M236="","",INDEX(상세표[반영월],$M236)&amp;"")</f>
        <v/>
      </c>
      <c r="K236">
        <f>IF($M236="","",INDEX(상세표[반영 기관],$M236)&amp;"")</f>
        <v/>
      </c>
      <c r="L236">
        <f>IF($M236="","",INDEX(상세표[기관 출처],$M236)&amp;"")</f>
        <v/>
      </c>
      <c r="M236" s="4">
        <f>IFERROR(MATCH(231,상세표[경계순번],0),"")</f>
        <v/>
      </c>
    </row>
    <row r="237">
      <c r="A237">
        <f>IF($M237="","",INDEX(상세표[사번],$M237)&amp;"")</f>
        <v/>
      </c>
      <c r="B237">
        <f>IF($M237="","",INDEX(상세표[성명],$M237)&amp;"")</f>
        <v/>
      </c>
      <c r="C237">
        <f>IF($M237="","",IF(INDEX(상세표[종료월],$M237)=대상월키,"전월→이번 달","이번 달→익월"))</f>
        <v/>
      </c>
      <c r="D237">
        <f>IF($M237="","",IF(ISNUMBER(INDEX(상세표[시작],$M237)),TEXT(INDEX(상세표[시작],$M237),"yyyy-mm-dd hh:mm"),INDEX(상세표[시작],$M237)&amp;""))</f>
        <v/>
      </c>
      <c r="E237">
        <f>IF($M237="","",IF(ISNUMBER(INDEX(상세표[종료],$M237)),TEXT(INDEX(상세표[종료],$M237),"yyyy-mm-dd hh:mm"),INDEX(상세표[종료],$M237)&amp;""))</f>
        <v/>
      </c>
      <c r="F237" s="20">
        <f>IF($M237="","",INDEX(상세표[기록 시간외],$M237))</f>
        <v/>
      </c>
      <c r="G237">
        <f>IF($M237="","",INDEX(상세표[시작월 기관],$M237)&amp;"")</f>
        <v/>
      </c>
      <c r="H237">
        <f>IF($M237="","",INDEX(상세표[종료월 기관],$M237)&amp;"")</f>
        <v/>
      </c>
      <c r="I237">
        <f>IF($M237="","",INDEX(상세표[월경계 판정],$M237)&amp;"")</f>
        <v/>
      </c>
      <c r="J237">
        <f>IF($M237="","",INDEX(상세표[반영월],$M237)&amp;"")</f>
        <v/>
      </c>
      <c r="K237">
        <f>IF($M237="","",INDEX(상세표[반영 기관],$M237)&amp;"")</f>
        <v/>
      </c>
      <c r="L237">
        <f>IF($M237="","",INDEX(상세표[기관 출처],$M237)&amp;"")</f>
        <v/>
      </c>
      <c r="M237" s="4">
        <f>IFERROR(MATCH(232,상세표[경계순번],0),"")</f>
        <v/>
      </c>
    </row>
    <row r="238">
      <c r="A238">
        <f>IF($M238="","",INDEX(상세표[사번],$M238)&amp;"")</f>
        <v/>
      </c>
      <c r="B238">
        <f>IF($M238="","",INDEX(상세표[성명],$M238)&amp;"")</f>
        <v/>
      </c>
      <c r="C238">
        <f>IF($M238="","",IF(INDEX(상세표[종료월],$M238)=대상월키,"전월→이번 달","이번 달→익월"))</f>
        <v/>
      </c>
      <c r="D238">
        <f>IF($M238="","",IF(ISNUMBER(INDEX(상세표[시작],$M238)),TEXT(INDEX(상세표[시작],$M238),"yyyy-mm-dd hh:mm"),INDEX(상세표[시작],$M238)&amp;""))</f>
        <v/>
      </c>
      <c r="E238">
        <f>IF($M238="","",IF(ISNUMBER(INDEX(상세표[종료],$M238)),TEXT(INDEX(상세표[종료],$M238),"yyyy-mm-dd hh:mm"),INDEX(상세표[종료],$M238)&amp;""))</f>
        <v/>
      </c>
      <c r="F238" s="20">
        <f>IF($M238="","",INDEX(상세표[기록 시간외],$M238))</f>
        <v/>
      </c>
      <c r="G238">
        <f>IF($M238="","",INDEX(상세표[시작월 기관],$M238)&amp;"")</f>
        <v/>
      </c>
      <c r="H238">
        <f>IF($M238="","",INDEX(상세표[종료월 기관],$M238)&amp;"")</f>
        <v/>
      </c>
      <c r="I238">
        <f>IF($M238="","",INDEX(상세표[월경계 판정],$M238)&amp;"")</f>
        <v/>
      </c>
      <c r="J238">
        <f>IF($M238="","",INDEX(상세표[반영월],$M238)&amp;"")</f>
        <v/>
      </c>
      <c r="K238">
        <f>IF($M238="","",INDEX(상세표[반영 기관],$M238)&amp;"")</f>
        <v/>
      </c>
      <c r="L238">
        <f>IF($M238="","",INDEX(상세표[기관 출처],$M238)&amp;"")</f>
        <v/>
      </c>
      <c r="M238" s="4">
        <f>IFERROR(MATCH(233,상세표[경계순번],0),"")</f>
        <v/>
      </c>
    </row>
    <row r="239">
      <c r="A239">
        <f>IF($M239="","",INDEX(상세표[사번],$M239)&amp;"")</f>
        <v/>
      </c>
      <c r="B239">
        <f>IF($M239="","",INDEX(상세표[성명],$M239)&amp;"")</f>
        <v/>
      </c>
      <c r="C239">
        <f>IF($M239="","",IF(INDEX(상세표[종료월],$M239)=대상월키,"전월→이번 달","이번 달→익월"))</f>
        <v/>
      </c>
      <c r="D239">
        <f>IF($M239="","",IF(ISNUMBER(INDEX(상세표[시작],$M239)),TEXT(INDEX(상세표[시작],$M239),"yyyy-mm-dd hh:mm"),INDEX(상세표[시작],$M239)&amp;""))</f>
        <v/>
      </c>
      <c r="E239">
        <f>IF($M239="","",IF(ISNUMBER(INDEX(상세표[종료],$M239)),TEXT(INDEX(상세표[종료],$M239),"yyyy-mm-dd hh:mm"),INDEX(상세표[종료],$M239)&amp;""))</f>
        <v/>
      </c>
      <c r="F239" s="20">
        <f>IF($M239="","",INDEX(상세표[기록 시간외],$M239))</f>
        <v/>
      </c>
      <c r="G239">
        <f>IF($M239="","",INDEX(상세표[시작월 기관],$M239)&amp;"")</f>
        <v/>
      </c>
      <c r="H239">
        <f>IF($M239="","",INDEX(상세표[종료월 기관],$M239)&amp;"")</f>
        <v/>
      </c>
      <c r="I239">
        <f>IF($M239="","",INDEX(상세표[월경계 판정],$M239)&amp;"")</f>
        <v/>
      </c>
      <c r="J239">
        <f>IF($M239="","",INDEX(상세표[반영월],$M239)&amp;"")</f>
        <v/>
      </c>
      <c r="K239">
        <f>IF($M239="","",INDEX(상세표[반영 기관],$M239)&amp;"")</f>
        <v/>
      </c>
      <c r="L239">
        <f>IF($M239="","",INDEX(상세표[기관 출처],$M239)&amp;"")</f>
        <v/>
      </c>
      <c r="M239" s="4">
        <f>IFERROR(MATCH(234,상세표[경계순번],0),"")</f>
        <v/>
      </c>
    </row>
    <row r="240">
      <c r="A240">
        <f>IF($M240="","",INDEX(상세표[사번],$M240)&amp;"")</f>
        <v/>
      </c>
      <c r="B240">
        <f>IF($M240="","",INDEX(상세표[성명],$M240)&amp;"")</f>
        <v/>
      </c>
      <c r="C240">
        <f>IF($M240="","",IF(INDEX(상세표[종료월],$M240)=대상월키,"전월→이번 달","이번 달→익월"))</f>
        <v/>
      </c>
      <c r="D240">
        <f>IF($M240="","",IF(ISNUMBER(INDEX(상세표[시작],$M240)),TEXT(INDEX(상세표[시작],$M240),"yyyy-mm-dd hh:mm"),INDEX(상세표[시작],$M240)&amp;""))</f>
        <v/>
      </c>
      <c r="E240">
        <f>IF($M240="","",IF(ISNUMBER(INDEX(상세표[종료],$M240)),TEXT(INDEX(상세표[종료],$M240),"yyyy-mm-dd hh:mm"),INDEX(상세표[종료],$M240)&amp;""))</f>
        <v/>
      </c>
      <c r="F240" s="20">
        <f>IF($M240="","",INDEX(상세표[기록 시간외],$M240))</f>
        <v/>
      </c>
      <c r="G240">
        <f>IF($M240="","",INDEX(상세표[시작월 기관],$M240)&amp;"")</f>
        <v/>
      </c>
      <c r="H240">
        <f>IF($M240="","",INDEX(상세표[종료월 기관],$M240)&amp;"")</f>
        <v/>
      </c>
      <c r="I240">
        <f>IF($M240="","",INDEX(상세표[월경계 판정],$M240)&amp;"")</f>
        <v/>
      </c>
      <c r="J240">
        <f>IF($M240="","",INDEX(상세표[반영월],$M240)&amp;"")</f>
        <v/>
      </c>
      <c r="K240">
        <f>IF($M240="","",INDEX(상세표[반영 기관],$M240)&amp;"")</f>
        <v/>
      </c>
      <c r="L240">
        <f>IF($M240="","",INDEX(상세표[기관 출처],$M240)&amp;"")</f>
        <v/>
      </c>
      <c r="M240" s="4">
        <f>IFERROR(MATCH(235,상세표[경계순번],0),"")</f>
        <v/>
      </c>
    </row>
    <row r="241">
      <c r="A241">
        <f>IF($M241="","",INDEX(상세표[사번],$M241)&amp;"")</f>
        <v/>
      </c>
      <c r="B241">
        <f>IF($M241="","",INDEX(상세표[성명],$M241)&amp;"")</f>
        <v/>
      </c>
      <c r="C241">
        <f>IF($M241="","",IF(INDEX(상세표[종료월],$M241)=대상월키,"전월→이번 달","이번 달→익월"))</f>
        <v/>
      </c>
      <c r="D241">
        <f>IF($M241="","",IF(ISNUMBER(INDEX(상세표[시작],$M241)),TEXT(INDEX(상세표[시작],$M241),"yyyy-mm-dd hh:mm"),INDEX(상세표[시작],$M241)&amp;""))</f>
        <v/>
      </c>
      <c r="E241">
        <f>IF($M241="","",IF(ISNUMBER(INDEX(상세표[종료],$M241)),TEXT(INDEX(상세표[종료],$M241),"yyyy-mm-dd hh:mm"),INDEX(상세표[종료],$M241)&amp;""))</f>
        <v/>
      </c>
      <c r="F241" s="20">
        <f>IF($M241="","",INDEX(상세표[기록 시간외],$M241))</f>
        <v/>
      </c>
      <c r="G241">
        <f>IF($M241="","",INDEX(상세표[시작월 기관],$M241)&amp;"")</f>
        <v/>
      </c>
      <c r="H241">
        <f>IF($M241="","",INDEX(상세표[종료월 기관],$M241)&amp;"")</f>
        <v/>
      </c>
      <c r="I241">
        <f>IF($M241="","",INDEX(상세표[월경계 판정],$M241)&amp;"")</f>
        <v/>
      </c>
      <c r="J241">
        <f>IF($M241="","",INDEX(상세표[반영월],$M241)&amp;"")</f>
        <v/>
      </c>
      <c r="K241">
        <f>IF($M241="","",INDEX(상세표[반영 기관],$M241)&amp;"")</f>
        <v/>
      </c>
      <c r="L241">
        <f>IF($M241="","",INDEX(상세표[기관 출처],$M241)&amp;"")</f>
        <v/>
      </c>
      <c r="M241" s="4">
        <f>IFERROR(MATCH(236,상세표[경계순번],0),"")</f>
        <v/>
      </c>
    </row>
    <row r="242">
      <c r="A242">
        <f>IF($M242="","",INDEX(상세표[사번],$M242)&amp;"")</f>
        <v/>
      </c>
      <c r="B242">
        <f>IF($M242="","",INDEX(상세표[성명],$M242)&amp;"")</f>
        <v/>
      </c>
      <c r="C242">
        <f>IF($M242="","",IF(INDEX(상세표[종료월],$M242)=대상월키,"전월→이번 달","이번 달→익월"))</f>
        <v/>
      </c>
      <c r="D242">
        <f>IF($M242="","",IF(ISNUMBER(INDEX(상세표[시작],$M242)),TEXT(INDEX(상세표[시작],$M242),"yyyy-mm-dd hh:mm"),INDEX(상세표[시작],$M242)&amp;""))</f>
        <v/>
      </c>
      <c r="E242">
        <f>IF($M242="","",IF(ISNUMBER(INDEX(상세표[종료],$M242)),TEXT(INDEX(상세표[종료],$M242),"yyyy-mm-dd hh:mm"),INDEX(상세표[종료],$M242)&amp;""))</f>
        <v/>
      </c>
      <c r="F242" s="20">
        <f>IF($M242="","",INDEX(상세표[기록 시간외],$M242))</f>
        <v/>
      </c>
      <c r="G242">
        <f>IF($M242="","",INDEX(상세표[시작월 기관],$M242)&amp;"")</f>
        <v/>
      </c>
      <c r="H242">
        <f>IF($M242="","",INDEX(상세표[종료월 기관],$M242)&amp;"")</f>
        <v/>
      </c>
      <c r="I242">
        <f>IF($M242="","",INDEX(상세표[월경계 판정],$M242)&amp;"")</f>
        <v/>
      </c>
      <c r="J242">
        <f>IF($M242="","",INDEX(상세표[반영월],$M242)&amp;"")</f>
        <v/>
      </c>
      <c r="K242">
        <f>IF($M242="","",INDEX(상세표[반영 기관],$M242)&amp;"")</f>
        <v/>
      </c>
      <c r="L242">
        <f>IF($M242="","",INDEX(상세표[기관 출처],$M242)&amp;"")</f>
        <v/>
      </c>
      <c r="M242" s="4">
        <f>IFERROR(MATCH(237,상세표[경계순번],0),"")</f>
        <v/>
      </c>
    </row>
    <row r="243">
      <c r="A243">
        <f>IF($M243="","",INDEX(상세표[사번],$M243)&amp;"")</f>
        <v/>
      </c>
      <c r="B243">
        <f>IF($M243="","",INDEX(상세표[성명],$M243)&amp;"")</f>
        <v/>
      </c>
      <c r="C243">
        <f>IF($M243="","",IF(INDEX(상세표[종료월],$M243)=대상월키,"전월→이번 달","이번 달→익월"))</f>
        <v/>
      </c>
      <c r="D243">
        <f>IF($M243="","",IF(ISNUMBER(INDEX(상세표[시작],$M243)),TEXT(INDEX(상세표[시작],$M243),"yyyy-mm-dd hh:mm"),INDEX(상세표[시작],$M243)&amp;""))</f>
        <v/>
      </c>
      <c r="E243">
        <f>IF($M243="","",IF(ISNUMBER(INDEX(상세표[종료],$M243)),TEXT(INDEX(상세표[종료],$M243),"yyyy-mm-dd hh:mm"),INDEX(상세표[종료],$M243)&amp;""))</f>
        <v/>
      </c>
      <c r="F243" s="20">
        <f>IF($M243="","",INDEX(상세표[기록 시간외],$M243))</f>
        <v/>
      </c>
      <c r="G243">
        <f>IF($M243="","",INDEX(상세표[시작월 기관],$M243)&amp;"")</f>
        <v/>
      </c>
      <c r="H243">
        <f>IF($M243="","",INDEX(상세표[종료월 기관],$M243)&amp;"")</f>
        <v/>
      </c>
      <c r="I243">
        <f>IF($M243="","",INDEX(상세표[월경계 판정],$M243)&amp;"")</f>
        <v/>
      </c>
      <c r="J243">
        <f>IF($M243="","",INDEX(상세표[반영월],$M243)&amp;"")</f>
        <v/>
      </c>
      <c r="K243">
        <f>IF($M243="","",INDEX(상세표[반영 기관],$M243)&amp;"")</f>
        <v/>
      </c>
      <c r="L243">
        <f>IF($M243="","",INDEX(상세표[기관 출처],$M243)&amp;"")</f>
        <v/>
      </c>
      <c r="M243" s="4">
        <f>IFERROR(MATCH(238,상세표[경계순번],0),"")</f>
        <v/>
      </c>
    </row>
    <row r="244">
      <c r="A244">
        <f>IF($M244="","",INDEX(상세표[사번],$M244)&amp;"")</f>
        <v/>
      </c>
      <c r="B244">
        <f>IF($M244="","",INDEX(상세표[성명],$M244)&amp;"")</f>
        <v/>
      </c>
      <c r="C244">
        <f>IF($M244="","",IF(INDEX(상세표[종료월],$M244)=대상월키,"전월→이번 달","이번 달→익월"))</f>
        <v/>
      </c>
      <c r="D244">
        <f>IF($M244="","",IF(ISNUMBER(INDEX(상세표[시작],$M244)),TEXT(INDEX(상세표[시작],$M244),"yyyy-mm-dd hh:mm"),INDEX(상세표[시작],$M244)&amp;""))</f>
        <v/>
      </c>
      <c r="E244">
        <f>IF($M244="","",IF(ISNUMBER(INDEX(상세표[종료],$M244)),TEXT(INDEX(상세표[종료],$M244),"yyyy-mm-dd hh:mm"),INDEX(상세표[종료],$M244)&amp;""))</f>
        <v/>
      </c>
      <c r="F244" s="20">
        <f>IF($M244="","",INDEX(상세표[기록 시간외],$M244))</f>
        <v/>
      </c>
      <c r="G244">
        <f>IF($M244="","",INDEX(상세표[시작월 기관],$M244)&amp;"")</f>
        <v/>
      </c>
      <c r="H244">
        <f>IF($M244="","",INDEX(상세표[종료월 기관],$M244)&amp;"")</f>
        <v/>
      </c>
      <c r="I244">
        <f>IF($M244="","",INDEX(상세표[월경계 판정],$M244)&amp;"")</f>
        <v/>
      </c>
      <c r="J244">
        <f>IF($M244="","",INDEX(상세표[반영월],$M244)&amp;"")</f>
        <v/>
      </c>
      <c r="K244">
        <f>IF($M244="","",INDEX(상세표[반영 기관],$M244)&amp;"")</f>
        <v/>
      </c>
      <c r="L244">
        <f>IF($M244="","",INDEX(상세표[기관 출처],$M244)&amp;"")</f>
        <v/>
      </c>
      <c r="M244" s="4">
        <f>IFERROR(MATCH(239,상세표[경계순번],0),"")</f>
        <v/>
      </c>
    </row>
    <row r="245">
      <c r="A245">
        <f>IF($M245="","",INDEX(상세표[사번],$M245)&amp;"")</f>
        <v/>
      </c>
      <c r="B245">
        <f>IF($M245="","",INDEX(상세표[성명],$M245)&amp;"")</f>
        <v/>
      </c>
      <c r="C245">
        <f>IF($M245="","",IF(INDEX(상세표[종료월],$M245)=대상월키,"전월→이번 달","이번 달→익월"))</f>
        <v/>
      </c>
      <c r="D245">
        <f>IF($M245="","",IF(ISNUMBER(INDEX(상세표[시작],$M245)),TEXT(INDEX(상세표[시작],$M245),"yyyy-mm-dd hh:mm"),INDEX(상세표[시작],$M245)&amp;""))</f>
        <v/>
      </c>
      <c r="E245">
        <f>IF($M245="","",IF(ISNUMBER(INDEX(상세표[종료],$M245)),TEXT(INDEX(상세표[종료],$M245),"yyyy-mm-dd hh:mm"),INDEX(상세표[종료],$M245)&amp;""))</f>
        <v/>
      </c>
      <c r="F245" s="20">
        <f>IF($M245="","",INDEX(상세표[기록 시간외],$M245))</f>
        <v/>
      </c>
      <c r="G245">
        <f>IF($M245="","",INDEX(상세표[시작월 기관],$M245)&amp;"")</f>
        <v/>
      </c>
      <c r="H245">
        <f>IF($M245="","",INDEX(상세표[종료월 기관],$M245)&amp;"")</f>
        <v/>
      </c>
      <c r="I245">
        <f>IF($M245="","",INDEX(상세표[월경계 판정],$M245)&amp;"")</f>
        <v/>
      </c>
      <c r="J245">
        <f>IF($M245="","",INDEX(상세표[반영월],$M245)&amp;"")</f>
        <v/>
      </c>
      <c r="K245">
        <f>IF($M245="","",INDEX(상세표[반영 기관],$M245)&amp;"")</f>
        <v/>
      </c>
      <c r="L245">
        <f>IF($M245="","",INDEX(상세표[기관 출처],$M245)&amp;"")</f>
        <v/>
      </c>
      <c r="M245" s="4">
        <f>IFERROR(MATCH(240,상세표[경계순번],0),"")</f>
        <v/>
      </c>
    </row>
    <row r="246">
      <c r="A246">
        <f>IF($M246="","",INDEX(상세표[사번],$M246)&amp;"")</f>
        <v/>
      </c>
      <c r="B246">
        <f>IF($M246="","",INDEX(상세표[성명],$M246)&amp;"")</f>
        <v/>
      </c>
      <c r="C246">
        <f>IF($M246="","",IF(INDEX(상세표[종료월],$M246)=대상월키,"전월→이번 달","이번 달→익월"))</f>
        <v/>
      </c>
      <c r="D246">
        <f>IF($M246="","",IF(ISNUMBER(INDEX(상세표[시작],$M246)),TEXT(INDEX(상세표[시작],$M246),"yyyy-mm-dd hh:mm"),INDEX(상세표[시작],$M246)&amp;""))</f>
        <v/>
      </c>
      <c r="E246">
        <f>IF($M246="","",IF(ISNUMBER(INDEX(상세표[종료],$M246)),TEXT(INDEX(상세표[종료],$M246),"yyyy-mm-dd hh:mm"),INDEX(상세표[종료],$M246)&amp;""))</f>
        <v/>
      </c>
      <c r="F246" s="20">
        <f>IF($M246="","",INDEX(상세표[기록 시간외],$M246))</f>
        <v/>
      </c>
      <c r="G246">
        <f>IF($M246="","",INDEX(상세표[시작월 기관],$M246)&amp;"")</f>
        <v/>
      </c>
      <c r="H246">
        <f>IF($M246="","",INDEX(상세표[종료월 기관],$M246)&amp;"")</f>
        <v/>
      </c>
      <c r="I246">
        <f>IF($M246="","",INDEX(상세표[월경계 판정],$M246)&amp;"")</f>
        <v/>
      </c>
      <c r="J246">
        <f>IF($M246="","",INDEX(상세표[반영월],$M246)&amp;"")</f>
        <v/>
      </c>
      <c r="K246">
        <f>IF($M246="","",INDEX(상세표[반영 기관],$M246)&amp;"")</f>
        <v/>
      </c>
      <c r="L246">
        <f>IF($M246="","",INDEX(상세표[기관 출처],$M246)&amp;"")</f>
        <v/>
      </c>
      <c r="M246" s="4">
        <f>IFERROR(MATCH(241,상세표[경계순번],0),"")</f>
        <v/>
      </c>
    </row>
    <row r="247">
      <c r="A247">
        <f>IF($M247="","",INDEX(상세표[사번],$M247)&amp;"")</f>
        <v/>
      </c>
      <c r="B247">
        <f>IF($M247="","",INDEX(상세표[성명],$M247)&amp;"")</f>
        <v/>
      </c>
      <c r="C247">
        <f>IF($M247="","",IF(INDEX(상세표[종료월],$M247)=대상월키,"전월→이번 달","이번 달→익월"))</f>
        <v/>
      </c>
      <c r="D247">
        <f>IF($M247="","",IF(ISNUMBER(INDEX(상세표[시작],$M247)),TEXT(INDEX(상세표[시작],$M247),"yyyy-mm-dd hh:mm"),INDEX(상세표[시작],$M247)&amp;""))</f>
        <v/>
      </c>
      <c r="E247">
        <f>IF($M247="","",IF(ISNUMBER(INDEX(상세표[종료],$M247)),TEXT(INDEX(상세표[종료],$M247),"yyyy-mm-dd hh:mm"),INDEX(상세표[종료],$M247)&amp;""))</f>
        <v/>
      </c>
      <c r="F247" s="20">
        <f>IF($M247="","",INDEX(상세표[기록 시간외],$M247))</f>
        <v/>
      </c>
      <c r="G247">
        <f>IF($M247="","",INDEX(상세표[시작월 기관],$M247)&amp;"")</f>
        <v/>
      </c>
      <c r="H247">
        <f>IF($M247="","",INDEX(상세표[종료월 기관],$M247)&amp;"")</f>
        <v/>
      </c>
      <c r="I247">
        <f>IF($M247="","",INDEX(상세표[월경계 판정],$M247)&amp;"")</f>
        <v/>
      </c>
      <c r="J247">
        <f>IF($M247="","",INDEX(상세표[반영월],$M247)&amp;"")</f>
        <v/>
      </c>
      <c r="K247">
        <f>IF($M247="","",INDEX(상세표[반영 기관],$M247)&amp;"")</f>
        <v/>
      </c>
      <c r="L247">
        <f>IF($M247="","",INDEX(상세표[기관 출처],$M247)&amp;"")</f>
        <v/>
      </c>
      <c r="M247" s="4">
        <f>IFERROR(MATCH(242,상세표[경계순번],0),"")</f>
        <v/>
      </c>
    </row>
    <row r="248">
      <c r="A248">
        <f>IF($M248="","",INDEX(상세표[사번],$M248)&amp;"")</f>
        <v/>
      </c>
      <c r="B248">
        <f>IF($M248="","",INDEX(상세표[성명],$M248)&amp;"")</f>
        <v/>
      </c>
      <c r="C248">
        <f>IF($M248="","",IF(INDEX(상세표[종료월],$M248)=대상월키,"전월→이번 달","이번 달→익월"))</f>
        <v/>
      </c>
      <c r="D248">
        <f>IF($M248="","",IF(ISNUMBER(INDEX(상세표[시작],$M248)),TEXT(INDEX(상세표[시작],$M248),"yyyy-mm-dd hh:mm"),INDEX(상세표[시작],$M248)&amp;""))</f>
        <v/>
      </c>
      <c r="E248">
        <f>IF($M248="","",IF(ISNUMBER(INDEX(상세표[종료],$M248)),TEXT(INDEX(상세표[종료],$M248),"yyyy-mm-dd hh:mm"),INDEX(상세표[종료],$M248)&amp;""))</f>
        <v/>
      </c>
      <c r="F248" s="20">
        <f>IF($M248="","",INDEX(상세표[기록 시간외],$M248))</f>
        <v/>
      </c>
      <c r="G248">
        <f>IF($M248="","",INDEX(상세표[시작월 기관],$M248)&amp;"")</f>
        <v/>
      </c>
      <c r="H248">
        <f>IF($M248="","",INDEX(상세표[종료월 기관],$M248)&amp;"")</f>
        <v/>
      </c>
      <c r="I248">
        <f>IF($M248="","",INDEX(상세표[월경계 판정],$M248)&amp;"")</f>
        <v/>
      </c>
      <c r="J248">
        <f>IF($M248="","",INDEX(상세표[반영월],$M248)&amp;"")</f>
        <v/>
      </c>
      <c r="K248">
        <f>IF($M248="","",INDEX(상세표[반영 기관],$M248)&amp;"")</f>
        <v/>
      </c>
      <c r="L248">
        <f>IF($M248="","",INDEX(상세표[기관 출처],$M248)&amp;"")</f>
        <v/>
      </c>
      <c r="M248" s="4">
        <f>IFERROR(MATCH(243,상세표[경계순번],0),"")</f>
        <v/>
      </c>
    </row>
    <row r="249">
      <c r="A249">
        <f>IF($M249="","",INDEX(상세표[사번],$M249)&amp;"")</f>
        <v/>
      </c>
      <c r="B249">
        <f>IF($M249="","",INDEX(상세표[성명],$M249)&amp;"")</f>
        <v/>
      </c>
      <c r="C249">
        <f>IF($M249="","",IF(INDEX(상세표[종료월],$M249)=대상월키,"전월→이번 달","이번 달→익월"))</f>
        <v/>
      </c>
      <c r="D249">
        <f>IF($M249="","",IF(ISNUMBER(INDEX(상세표[시작],$M249)),TEXT(INDEX(상세표[시작],$M249),"yyyy-mm-dd hh:mm"),INDEX(상세표[시작],$M249)&amp;""))</f>
        <v/>
      </c>
      <c r="E249">
        <f>IF($M249="","",IF(ISNUMBER(INDEX(상세표[종료],$M249)),TEXT(INDEX(상세표[종료],$M249),"yyyy-mm-dd hh:mm"),INDEX(상세표[종료],$M249)&amp;""))</f>
        <v/>
      </c>
      <c r="F249" s="20">
        <f>IF($M249="","",INDEX(상세표[기록 시간외],$M249))</f>
        <v/>
      </c>
      <c r="G249">
        <f>IF($M249="","",INDEX(상세표[시작월 기관],$M249)&amp;"")</f>
        <v/>
      </c>
      <c r="H249">
        <f>IF($M249="","",INDEX(상세표[종료월 기관],$M249)&amp;"")</f>
        <v/>
      </c>
      <c r="I249">
        <f>IF($M249="","",INDEX(상세표[월경계 판정],$M249)&amp;"")</f>
        <v/>
      </c>
      <c r="J249">
        <f>IF($M249="","",INDEX(상세표[반영월],$M249)&amp;"")</f>
        <v/>
      </c>
      <c r="K249">
        <f>IF($M249="","",INDEX(상세표[반영 기관],$M249)&amp;"")</f>
        <v/>
      </c>
      <c r="L249">
        <f>IF($M249="","",INDEX(상세표[기관 출처],$M249)&amp;"")</f>
        <v/>
      </c>
      <c r="M249" s="4">
        <f>IFERROR(MATCH(244,상세표[경계순번],0),"")</f>
        <v/>
      </c>
    </row>
    <row r="250">
      <c r="A250">
        <f>IF($M250="","",INDEX(상세표[사번],$M250)&amp;"")</f>
        <v/>
      </c>
      <c r="B250">
        <f>IF($M250="","",INDEX(상세표[성명],$M250)&amp;"")</f>
        <v/>
      </c>
      <c r="C250">
        <f>IF($M250="","",IF(INDEX(상세표[종료월],$M250)=대상월키,"전월→이번 달","이번 달→익월"))</f>
        <v/>
      </c>
      <c r="D250">
        <f>IF($M250="","",IF(ISNUMBER(INDEX(상세표[시작],$M250)),TEXT(INDEX(상세표[시작],$M250),"yyyy-mm-dd hh:mm"),INDEX(상세표[시작],$M250)&amp;""))</f>
        <v/>
      </c>
      <c r="E250">
        <f>IF($M250="","",IF(ISNUMBER(INDEX(상세표[종료],$M250)),TEXT(INDEX(상세표[종료],$M250),"yyyy-mm-dd hh:mm"),INDEX(상세표[종료],$M250)&amp;""))</f>
        <v/>
      </c>
      <c r="F250" s="20">
        <f>IF($M250="","",INDEX(상세표[기록 시간외],$M250))</f>
        <v/>
      </c>
      <c r="G250">
        <f>IF($M250="","",INDEX(상세표[시작월 기관],$M250)&amp;"")</f>
        <v/>
      </c>
      <c r="H250">
        <f>IF($M250="","",INDEX(상세표[종료월 기관],$M250)&amp;"")</f>
        <v/>
      </c>
      <c r="I250">
        <f>IF($M250="","",INDEX(상세표[월경계 판정],$M250)&amp;"")</f>
        <v/>
      </c>
      <c r="J250">
        <f>IF($M250="","",INDEX(상세표[반영월],$M250)&amp;"")</f>
        <v/>
      </c>
      <c r="K250">
        <f>IF($M250="","",INDEX(상세표[반영 기관],$M250)&amp;"")</f>
        <v/>
      </c>
      <c r="L250">
        <f>IF($M250="","",INDEX(상세표[기관 출처],$M250)&amp;"")</f>
        <v/>
      </c>
      <c r="M250" s="4">
        <f>IFERROR(MATCH(245,상세표[경계순번],0),"")</f>
        <v/>
      </c>
    </row>
    <row r="251">
      <c r="A251">
        <f>IF($M251="","",INDEX(상세표[사번],$M251)&amp;"")</f>
        <v/>
      </c>
      <c r="B251">
        <f>IF($M251="","",INDEX(상세표[성명],$M251)&amp;"")</f>
        <v/>
      </c>
      <c r="C251">
        <f>IF($M251="","",IF(INDEX(상세표[종료월],$M251)=대상월키,"전월→이번 달","이번 달→익월"))</f>
        <v/>
      </c>
      <c r="D251">
        <f>IF($M251="","",IF(ISNUMBER(INDEX(상세표[시작],$M251)),TEXT(INDEX(상세표[시작],$M251),"yyyy-mm-dd hh:mm"),INDEX(상세표[시작],$M251)&amp;""))</f>
        <v/>
      </c>
      <c r="E251">
        <f>IF($M251="","",IF(ISNUMBER(INDEX(상세표[종료],$M251)),TEXT(INDEX(상세표[종료],$M251),"yyyy-mm-dd hh:mm"),INDEX(상세표[종료],$M251)&amp;""))</f>
        <v/>
      </c>
      <c r="F251" s="20">
        <f>IF($M251="","",INDEX(상세표[기록 시간외],$M251))</f>
        <v/>
      </c>
      <c r="G251">
        <f>IF($M251="","",INDEX(상세표[시작월 기관],$M251)&amp;"")</f>
        <v/>
      </c>
      <c r="H251">
        <f>IF($M251="","",INDEX(상세표[종료월 기관],$M251)&amp;"")</f>
        <v/>
      </c>
      <c r="I251">
        <f>IF($M251="","",INDEX(상세표[월경계 판정],$M251)&amp;"")</f>
        <v/>
      </c>
      <c r="J251">
        <f>IF($M251="","",INDEX(상세표[반영월],$M251)&amp;"")</f>
        <v/>
      </c>
      <c r="K251">
        <f>IF($M251="","",INDEX(상세표[반영 기관],$M251)&amp;"")</f>
        <v/>
      </c>
      <c r="L251">
        <f>IF($M251="","",INDEX(상세표[기관 출처],$M251)&amp;"")</f>
        <v/>
      </c>
      <c r="M251" s="4">
        <f>IFERROR(MATCH(246,상세표[경계순번],0),"")</f>
        <v/>
      </c>
    </row>
    <row r="252">
      <c r="A252">
        <f>IF($M252="","",INDEX(상세표[사번],$M252)&amp;"")</f>
        <v/>
      </c>
      <c r="B252">
        <f>IF($M252="","",INDEX(상세표[성명],$M252)&amp;"")</f>
        <v/>
      </c>
      <c r="C252">
        <f>IF($M252="","",IF(INDEX(상세표[종료월],$M252)=대상월키,"전월→이번 달","이번 달→익월"))</f>
        <v/>
      </c>
      <c r="D252">
        <f>IF($M252="","",IF(ISNUMBER(INDEX(상세표[시작],$M252)),TEXT(INDEX(상세표[시작],$M252),"yyyy-mm-dd hh:mm"),INDEX(상세표[시작],$M252)&amp;""))</f>
        <v/>
      </c>
      <c r="E252">
        <f>IF($M252="","",IF(ISNUMBER(INDEX(상세표[종료],$M252)),TEXT(INDEX(상세표[종료],$M252),"yyyy-mm-dd hh:mm"),INDEX(상세표[종료],$M252)&amp;""))</f>
        <v/>
      </c>
      <c r="F252" s="20">
        <f>IF($M252="","",INDEX(상세표[기록 시간외],$M252))</f>
        <v/>
      </c>
      <c r="G252">
        <f>IF($M252="","",INDEX(상세표[시작월 기관],$M252)&amp;"")</f>
        <v/>
      </c>
      <c r="H252">
        <f>IF($M252="","",INDEX(상세표[종료월 기관],$M252)&amp;"")</f>
        <v/>
      </c>
      <c r="I252">
        <f>IF($M252="","",INDEX(상세표[월경계 판정],$M252)&amp;"")</f>
        <v/>
      </c>
      <c r="J252">
        <f>IF($M252="","",INDEX(상세표[반영월],$M252)&amp;"")</f>
        <v/>
      </c>
      <c r="K252">
        <f>IF($M252="","",INDEX(상세표[반영 기관],$M252)&amp;"")</f>
        <v/>
      </c>
      <c r="L252">
        <f>IF($M252="","",INDEX(상세표[기관 출처],$M252)&amp;"")</f>
        <v/>
      </c>
      <c r="M252" s="4">
        <f>IFERROR(MATCH(247,상세표[경계순번],0),"")</f>
        <v/>
      </c>
    </row>
    <row r="253">
      <c r="A253">
        <f>IF($M253="","",INDEX(상세표[사번],$M253)&amp;"")</f>
        <v/>
      </c>
      <c r="B253">
        <f>IF($M253="","",INDEX(상세표[성명],$M253)&amp;"")</f>
        <v/>
      </c>
      <c r="C253">
        <f>IF($M253="","",IF(INDEX(상세표[종료월],$M253)=대상월키,"전월→이번 달","이번 달→익월"))</f>
        <v/>
      </c>
      <c r="D253">
        <f>IF($M253="","",IF(ISNUMBER(INDEX(상세표[시작],$M253)),TEXT(INDEX(상세표[시작],$M253),"yyyy-mm-dd hh:mm"),INDEX(상세표[시작],$M253)&amp;""))</f>
        <v/>
      </c>
      <c r="E253">
        <f>IF($M253="","",IF(ISNUMBER(INDEX(상세표[종료],$M253)),TEXT(INDEX(상세표[종료],$M253),"yyyy-mm-dd hh:mm"),INDEX(상세표[종료],$M253)&amp;""))</f>
        <v/>
      </c>
      <c r="F253" s="20">
        <f>IF($M253="","",INDEX(상세표[기록 시간외],$M253))</f>
        <v/>
      </c>
      <c r="G253">
        <f>IF($M253="","",INDEX(상세표[시작월 기관],$M253)&amp;"")</f>
        <v/>
      </c>
      <c r="H253">
        <f>IF($M253="","",INDEX(상세표[종료월 기관],$M253)&amp;"")</f>
        <v/>
      </c>
      <c r="I253">
        <f>IF($M253="","",INDEX(상세표[월경계 판정],$M253)&amp;"")</f>
        <v/>
      </c>
      <c r="J253">
        <f>IF($M253="","",INDEX(상세표[반영월],$M253)&amp;"")</f>
        <v/>
      </c>
      <c r="K253">
        <f>IF($M253="","",INDEX(상세표[반영 기관],$M253)&amp;"")</f>
        <v/>
      </c>
      <c r="L253">
        <f>IF($M253="","",INDEX(상세표[기관 출처],$M253)&amp;"")</f>
        <v/>
      </c>
      <c r="M253" s="4">
        <f>IFERROR(MATCH(248,상세표[경계순번],0),"")</f>
        <v/>
      </c>
    </row>
    <row r="254">
      <c r="A254">
        <f>IF($M254="","",INDEX(상세표[사번],$M254)&amp;"")</f>
        <v/>
      </c>
      <c r="B254">
        <f>IF($M254="","",INDEX(상세표[성명],$M254)&amp;"")</f>
        <v/>
      </c>
      <c r="C254">
        <f>IF($M254="","",IF(INDEX(상세표[종료월],$M254)=대상월키,"전월→이번 달","이번 달→익월"))</f>
        <v/>
      </c>
      <c r="D254">
        <f>IF($M254="","",IF(ISNUMBER(INDEX(상세표[시작],$M254)),TEXT(INDEX(상세표[시작],$M254),"yyyy-mm-dd hh:mm"),INDEX(상세표[시작],$M254)&amp;""))</f>
        <v/>
      </c>
      <c r="E254">
        <f>IF($M254="","",IF(ISNUMBER(INDEX(상세표[종료],$M254)),TEXT(INDEX(상세표[종료],$M254),"yyyy-mm-dd hh:mm"),INDEX(상세표[종료],$M254)&amp;""))</f>
        <v/>
      </c>
      <c r="F254" s="20">
        <f>IF($M254="","",INDEX(상세표[기록 시간외],$M254))</f>
        <v/>
      </c>
      <c r="G254">
        <f>IF($M254="","",INDEX(상세표[시작월 기관],$M254)&amp;"")</f>
        <v/>
      </c>
      <c r="H254">
        <f>IF($M254="","",INDEX(상세표[종료월 기관],$M254)&amp;"")</f>
        <v/>
      </c>
      <c r="I254">
        <f>IF($M254="","",INDEX(상세표[월경계 판정],$M254)&amp;"")</f>
        <v/>
      </c>
      <c r="J254">
        <f>IF($M254="","",INDEX(상세표[반영월],$M254)&amp;"")</f>
        <v/>
      </c>
      <c r="K254">
        <f>IF($M254="","",INDEX(상세표[반영 기관],$M254)&amp;"")</f>
        <v/>
      </c>
      <c r="L254">
        <f>IF($M254="","",INDEX(상세표[기관 출처],$M254)&amp;"")</f>
        <v/>
      </c>
      <c r="M254" s="4">
        <f>IFERROR(MATCH(249,상세표[경계순번],0),"")</f>
        <v/>
      </c>
    </row>
    <row r="255">
      <c r="A255">
        <f>IF($M255="","",INDEX(상세표[사번],$M255)&amp;"")</f>
        <v/>
      </c>
      <c r="B255">
        <f>IF($M255="","",INDEX(상세표[성명],$M255)&amp;"")</f>
        <v/>
      </c>
      <c r="C255">
        <f>IF($M255="","",IF(INDEX(상세표[종료월],$M255)=대상월키,"전월→이번 달","이번 달→익월"))</f>
        <v/>
      </c>
      <c r="D255">
        <f>IF($M255="","",IF(ISNUMBER(INDEX(상세표[시작],$M255)),TEXT(INDEX(상세표[시작],$M255),"yyyy-mm-dd hh:mm"),INDEX(상세표[시작],$M255)&amp;""))</f>
        <v/>
      </c>
      <c r="E255">
        <f>IF($M255="","",IF(ISNUMBER(INDEX(상세표[종료],$M255)),TEXT(INDEX(상세표[종료],$M255),"yyyy-mm-dd hh:mm"),INDEX(상세표[종료],$M255)&amp;""))</f>
        <v/>
      </c>
      <c r="F255" s="20">
        <f>IF($M255="","",INDEX(상세표[기록 시간외],$M255))</f>
        <v/>
      </c>
      <c r="G255">
        <f>IF($M255="","",INDEX(상세표[시작월 기관],$M255)&amp;"")</f>
        <v/>
      </c>
      <c r="H255">
        <f>IF($M255="","",INDEX(상세표[종료월 기관],$M255)&amp;"")</f>
        <v/>
      </c>
      <c r="I255">
        <f>IF($M255="","",INDEX(상세표[월경계 판정],$M255)&amp;"")</f>
        <v/>
      </c>
      <c r="J255">
        <f>IF($M255="","",INDEX(상세표[반영월],$M255)&amp;"")</f>
        <v/>
      </c>
      <c r="K255">
        <f>IF($M255="","",INDEX(상세표[반영 기관],$M255)&amp;"")</f>
        <v/>
      </c>
      <c r="L255">
        <f>IF($M255="","",INDEX(상세표[기관 출처],$M255)&amp;"")</f>
        <v/>
      </c>
      <c r="M255" s="4">
        <f>IFERROR(MATCH(250,상세표[경계순번],0),"")</f>
        <v/>
      </c>
    </row>
    <row r="256">
      <c r="A256">
        <f>IF($M256="","",INDEX(상세표[사번],$M256)&amp;"")</f>
        <v/>
      </c>
      <c r="B256">
        <f>IF($M256="","",INDEX(상세표[성명],$M256)&amp;"")</f>
        <v/>
      </c>
      <c r="C256">
        <f>IF($M256="","",IF(INDEX(상세표[종료월],$M256)=대상월키,"전월→이번 달","이번 달→익월"))</f>
        <v/>
      </c>
      <c r="D256">
        <f>IF($M256="","",IF(ISNUMBER(INDEX(상세표[시작],$M256)),TEXT(INDEX(상세표[시작],$M256),"yyyy-mm-dd hh:mm"),INDEX(상세표[시작],$M256)&amp;""))</f>
        <v/>
      </c>
      <c r="E256">
        <f>IF($M256="","",IF(ISNUMBER(INDEX(상세표[종료],$M256)),TEXT(INDEX(상세표[종료],$M256),"yyyy-mm-dd hh:mm"),INDEX(상세표[종료],$M256)&amp;""))</f>
        <v/>
      </c>
      <c r="F256" s="20">
        <f>IF($M256="","",INDEX(상세표[기록 시간외],$M256))</f>
        <v/>
      </c>
      <c r="G256">
        <f>IF($M256="","",INDEX(상세표[시작월 기관],$M256)&amp;"")</f>
        <v/>
      </c>
      <c r="H256">
        <f>IF($M256="","",INDEX(상세표[종료월 기관],$M256)&amp;"")</f>
        <v/>
      </c>
      <c r="I256">
        <f>IF($M256="","",INDEX(상세표[월경계 판정],$M256)&amp;"")</f>
        <v/>
      </c>
      <c r="J256">
        <f>IF($M256="","",INDEX(상세표[반영월],$M256)&amp;"")</f>
        <v/>
      </c>
      <c r="K256">
        <f>IF($M256="","",INDEX(상세표[반영 기관],$M256)&amp;"")</f>
        <v/>
      </c>
      <c r="L256">
        <f>IF($M256="","",INDEX(상세표[기관 출처],$M256)&amp;"")</f>
        <v/>
      </c>
      <c r="M256" s="4">
        <f>IFERROR(MATCH(251,상세표[경계순번],0),"")</f>
        <v/>
      </c>
    </row>
    <row r="257">
      <c r="A257">
        <f>IF($M257="","",INDEX(상세표[사번],$M257)&amp;"")</f>
        <v/>
      </c>
      <c r="B257">
        <f>IF($M257="","",INDEX(상세표[성명],$M257)&amp;"")</f>
        <v/>
      </c>
      <c r="C257">
        <f>IF($M257="","",IF(INDEX(상세표[종료월],$M257)=대상월키,"전월→이번 달","이번 달→익월"))</f>
        <v/>
      </c>
      <c r="D257">
        <f>IF($M257="","",IF(ISNUMBER(INDEX(상세표[시작],$M257)),TEXT(INDEX(상세표[시작],$M257),"yyyy-mm-dd hh:mm"),INDEX(상세표[시작],$M257)&amp;""))</f>
        <v/>
      </c>
      <c r="E257">
        <f>IF($M257="","",IF(ISNUMBER(INDEX(상세표[종료],$M257)),TEXT(INDEX(상세표[종료],$M257),"yyyy-mm-dd hh:mm"),INDEX(상세표[종료],$M257)&amp;""))</f>
        <v/>
      </c>
      <c r="F257" s="20">
        <f>IF($M257="","",INDEX(상세표[기록 시간외],$M257))</f>
        <v/>
      </c>
      <c r="G257">
        <f>IF($M257="","",INDEX(상세표[시작월 기관],$M257)&amp;"")</f>
        <v/>
      </c>
      <c r="H257">
        <f>IF($M257="","",INDEX(상세표[종료월 기관],$M257)&amp;"")</f>
        <v/>
      </c>
      <c r="I257">
        <f>IF($M257="","",INDEX(상세표[월경계 판정],$M257)&amp;"")</f>
        <v/>
      </c>
      <c r="J257">
        <f>IF($M257="","",INDEX(상세표[반영월],$M257)&amp;"")</f>
        <v/>
      </c>
      <c r="K257">
        <f>IF($M257="","",INDEX(상세표[반영 기관],$M257)&amp;"")</f>
        <v/>
      </c>
      <c r="L257">
        <f>IF($M257="","",INDEX(상세표[기관 출처],$M257)&amp;"")</f>
        <v/>
      </c>
      <c r="M257" s="4">
        <f>IFERROR(MATCH(252,상세표[경계순번],0),"")</f>
        <v/>
      </c>
    </row>
    <row r="258">
      <c r="A258">
        <f>IF($M258="","",INDEX(상세표[사번],$M258)&amp;"")</f>
        <v/>
      </c>
      <c r="B258">
        <f>IF($M258="","",INDEX(상세표[성명],$M258)&amp;"")</f>
        <v/>
      </c>
      <c r="C258">
        <f>IF($M258="","",IF(INDEX(상세표[종료월],$M258)=대상월키,"전월→이번 달","이번 달→익월"))</f>
        <v/>
      </c>
      <c r="D258">
        <f>IF($M258="","",IF(ISNUMBER(INDEX(상세표[시작],$M258)),TEXT(INDEX(상세표[시작],$M258),"yyyy-mm-dd hh:mm"),INDEX(상세표[시작],$M258)&amp;""))</f>
        <v/>
      </c>
      <c r="E258">
        <f>IF($M258="","",IF(ISNUMBER(INDEX(상세표[종료],$M258)),TEXT(INDEX(상세표[종료],$M258),"yyyy-mm-dd hh:mm"),INDEX(상세표[종료],$M258)&amp;""))</f>
        <v/>
      </c>
      <c r="F258" s="20">
        <f>IF($M258="","",INDEX(상세표[기록 시간외],$M258))</f>
        <v/>
      </c>
      <c r="G258">
        <f>IF($M258="","",INDEX(상세표[시작월 기관],$M258)&amp;"")</f>
        <v/>
      </c>
      <c r="H258">
        <f>IF($M258="","",INDEX(상세표[종료월 기관],$M258)&amp;"")</f>
        <v/>
      </c>
      <c r="I258">
        <f>IF($M258="","",INDEX(상세표[월경계 판정],$M258)&amp;"")</f>
        <v/>
      </c>
      <c r="J258">
        <f>IF($M258="","",INDEX(상세표[반영월],$M258)&amp;"")</f>
        <v/>
      </c>
      <c r="K258">
        <f>IF($M258="","",INDEX(상세표[반영 기관],$M258)&amp;"")</f>
        <v/>
      </c>
      <c r="L258">
        <f>IF($M258="","",INDEX(상세표[기관 출처],$M258)&amp;"")</f>
        <v/>
      </c>
      <c r="M258" s="4">
        <f>IFERROR(MATCH(253,상세표[경계순번],0),"")</f>
        <v/>
      </c>
    </row>
    <row r="259">
      <c r="A259">
        <f>IF($M259="","",INDEX(상세표[사번],$M259)&amp;"")</f>
        <v/>
      </c>
      <c r="B259">
        <f>IF($M259="","",INDEX(상세표[성명],$M259)&amp;"")</f>
        <v/>
      </c>
      <c r="C259">
        <f>IF($M259="","",IF(INDEX(상세표[종료월],$M259)=대상월키,"전월→이번 달","이번 달→익월"))</f>
        <v/>
      </c>
      <c r="D259">
        <f>IF($M259="","",IF(ISNUMBER(INDEX(상세표[시작],$M259)),TEXT(INDEX(상세표[시작],$M259),"yyyy-mm-dd hh:mm"),INDEX(상세표[시작],$M259)&amp;""))</f>
        <v/>
      </c>
      <c r="E259">
        <f>IF($M259="","",IF(ISNUMBER(INDEX(상세표[종료],$M259)),TEXT(INDEX(상세표[종료],$M259),"yyyy-mm-dd hh:mm"),INDEX(상세표[종료],$M259)&amp;""))</f>
        <v/>
      </c>
      <c r="F259" s="20">
        <f>IF($M259="","",INDEX(상세표[기록 시간외],$M259))</f>
        <v/>
      </c>
      <c r="G259">
        <f>IF($M259="","",INDEX(상세표[시작월 기관],$M259)&amp;"")</f>
        <v/>
      </c>
      <c r="H259">
        <f>IF($M259="","",INDEX(상세표[종료월 기관],$M259)&amp;"")</f>
        <v/>
      </c>
      <c r="I259">
        <f>IF($M259="","",INDEX(상세표[월경계 판정],$M259)&amp;"")</f>
        <v/>
      </c>
      <c r="J259">
        <f>IF($M259="","",INDEX(상세표[반영월],$M259)&amp;"")</f>
        <v/>
      </c>
      <c r="K259">
        <f>IF($M259="","",INDEX(상세표[반영 기관],$M259)&amp;"")</f>
        <v/>
      </c>
      <c r="L259">
        <f>IF($M259="","",INDEX(상세표[기관 출처],$M259)&amp;"")</f>
        <v/>
      </c>
      <c r="M259" s="4">
        <f>IFERROR(MATCH(254,상세표[경계순번],0),"")</f>
        <v/>
      </c>
    </row>
    <row r="260">
      <c r="A260">
        <f>IF($M260="","",INDEX(상세표[사번],$M260)&amp;"")</f>
        <v/>
      </c>
      <c r="B260">
        <f>IF($M260="","",INDEX(상세표[성명],$M260)&amp;"")</f>
        <v/>
      </c>
      <c r="C260">
        <f>IF($M260="","",IF(INDEX(상세표[종료월],$M260)=대상월키,"전월→이번 달","이번 달→익월"))</f>
        <v/>
      </c>
      <c r="D260">
        <f>IF($M260="","",IF(ISNUMBER(INDEX(상세표[시작],$M260)),TEXT(INDEX(상세표[시작],$M260),"yyyy-mm-dd hh:mm"),INDEX(상세표[시작],$M260)&amp;""))</f>
        <v/>
      </c>
      <c r="E260">
        <f>IF($M260="","",IF(ISNUMBER(INDEX(상세표[종료],$M260)),TEXT(INDEX(상세표[종료],$M260),"yyyy-mm-dd hh:mm"),INDEX(상세표[종료],$M260)&amp;""))</f>
        <v/>
      </c>
      <c r="F260" s="20">
        <f>IF($M260="","",INDEX(상세표[기록 시간외],$M260))</f>
        <v/>
      </c>
      <c r="G260">
        <f>IF($M260="","",INDEX(상세표[시작월 기관],$M260)&amp;"")</f>
        <v/>
      </c>
      <c r="H260">
        <f>IF($M260="","",INDEX(상세표[종료월 기관],$M260)&amp;"")</f>
        <v/>
      </c>
      <c r="I260">
        <f>IF($M260="","",INDEX(상세표[월경계 판정],$M260)&amp;"")</f>
        <v/>
      </c>
      <c r="J260">
        <f>IF($M260="","",INDEX(상세표[반영월],$M260)&amp;"")</f>
        <v/>
      </c>
      <c r="K260">
        <f>IF($M260="","",INDEX(상세표[반영 기관],$M260)&amp;"")</f>
        <v/>
      </c>
      <c r="L260">
        <f>IF($M260="","",INDEX(상세표[기관 출처],$M260)&amp;"")</f>
        <v/>
      </c>
      <c r="M260" s="4">
        <f>IFERROR(MATCH(255,상세표[경계순번],0),"")</f>
        <v/>
      </c>
    </row>
    <row r="261">
      <c r="A261">
        <f>IF($M261="","",INDEX(상세표[사번],$M261)&amp;"")</f>
        <v/>
      </c>
      <c r="B261">
        <f>IF($M261="","",INDEX(상세표[성명],$M261)&amp;"")</f>
        <v/>
      </c>
      <c r="C261">
        <f>IF($M261="","",IF(INDEX(상세표[종료월],$M261)=대상월키,"전월→이번 달","이번 달→익월"))</f>
        <v/>
      </c>
      <c r="D261">
        <f>IF($M261="","",IF(ISNUMBER(INDEX(상세표[시작],$M261)),TEXT(INDEX(상세표[시작],$M261),"yyyy-mm-dd hh:mm"),INDEX(상세표[시작],$M261)&amp;""))</f>
        <v/>
      </c>
      <c r="E261">
        <f>IF($M261="","",IF(ISNUMBER(INDEX(상세표[종료],$M261)),TEXT(INDEX(상세표[종료],$M261),"yyyy-mm-dd hh:mm"),INDEX(상세표[종료],$M261)&amp;""))</f>
        <v/>
      </c>
      <c r="F261" s="20">
        <f>IF($M261="","",INDEX(상세표[기록 시간외],$M261))</f>
        <v/>
      </c>
      <c r="G261">
        <f>IF($M261="","",INDEX(상세표[시작월 기관],$M261)&amp;"")</f>
        <v/>
      </c>
      <c r="H261">
        <f>IF($M261="","",INDEX(상세표[종료월 기관],$M261)&amp;"")</f>
        <v/>
      </c>
      <c r="I261">
        <f>IF($M261="","",INDEX(상세표[월경계 판정],$M261)&amp;"")</f>
        <v/>
      </c>
      <c r="J261">
        <f>IF($M261="","",INDEX(상세표[반영월],$M261)&amp;"")</f>
        <v/>
      </c>
      <c r="K261">
        <f>IF($M261="","",INDEX(상세표[반영 기관],$M261)&amp;"")</f>
        <v/>
      </c>
      <c r="L261">
        <f>IF($M261="","",INDEX(상세표[기관 출처],$M261)&amp;"")</f>
        <v/>
      </c>
      <c r="M261" s="4">
        <f>IFERROR(MATCH(256,상세표[경계순번],0),"")</f>
        <v/>
      </c>
    </row>
    <row r="262">
      <c r="A262">
        <f>IF($M262="","",INDEX(상세표[사번],$M262)&amp;"")</f>
        <v/>
      </c>
      <c r="B262">
        <f>IF($M262="","",INDEX(상세표[성명],$M262)&amp;"")</f>
        <v/>
      </c>
      <c r="C262">
        <f>IF($M262="","",IF(INDEX(상세표[종료월],$M262)=대상월키,"전월→이번 달","이번 달→익월"))</f>
        <v/>
      </c>
      <c r="D262">
        <f>IF($M262="","",IF(ISNUMBER(INDEX(상세표[시작],$M262)),TEXT(INDEX(상세표[시작],$M262),"yyyy-mm-dd hh:mm"),INDEX(상세표[시작],$M262)&amp;""))</f>
        <v/>
      </c>
      <c r="E262">
        <f>IF($M262="","",IF(ISNUMBER(INDEX(상세표[종료],$M262)),TEXT(INDEX(상세표[종료],$M262),"yyyy-mm-dd hh:mm"),INDEX(상세표[종료],$M262)&amp;""))</f>
        <v/>
      </c>
      <c r="F262" s="20">
        <f>IF($M262="","",INDEX(상세표[기록 시간외],$M262))</f>
        <v/>
      </c>
      <c r="G262">
        <f>IF($M262="","",INDEX(상세표[시작월 기관],$M262)&amp;"")</f>
        <v/>
      </c>
      <c r="H262">
        <f>IF($M262="","",INDEX(상세표[종료월 기관],$M262)&amp;"")</f>
        <v/>
      </c>
      <c r="I262">
        <f>IF($M262="","",INDEX(상세표[월경계 판정],$M262)&amp;"")</f>
        <v/>
      </c>
      <c r="J262">
        <f>IF($M262="","",INDEX(상세표[반영월],$M262)&amp;"")</f>
        <v/>
      </c>
      <c r="K262">
        <f>IF($M262="","",INDEX(상세표[반영 기관],$M262)&amp;"")</f>
        <v/>
      </c>
      <c r="L262">
        <f>IF($M262="","",INDEX(상세표[기관 출처],$M262)&amp;"")</f>
        <v/>
      </c>
      <c r="M262" s="4">
        <f>IFERROR(MATCH(257,상세표[경계순번],0),"")</f>
        <v/>
      </c>
    </row>
    <row r="263">
      <c r="A263">
        <f>IF($M263="","",INDEX(상세표[사번],$M263)&amp;"")</f>
        <v/>
      </c>
      <c r="B263">
        <f>IF($M263="","",INDEX(상세표[성명],$M263)&amp;"")</f>
        <v/>
      </c>
      <c r="C263">
        <f>IF($M263="","",IF(INDEX(상세표[종료월],$M263)=대상월키,"전월→이번 달","이번 달→익월"))</f>
        <v/>
      </c>
      <c r="D263">
        <f>IF($M263="","",IF(ISNUMBER(INDEX(상세표[시작],$M263)),TEXT(INDEX(상세표[시작],$M263),"yyyy-mm-dd hh:mm"),INDEX(상세표[시작],$M263)&amp;""))</f>
        <v/>
      </c>
      <c r="E263">
        <f>IF($M263="","",IF(ISNUMBER(INDEX(상세표[종료],$M263)),TEXT(INDEX(상세표[종료],$M263),"yyyy-mm-dd hh:mm"),INDEX(상세표[종료],$M263)&amp;""))</f>
        <v/>
      </c>
      <c r="F263" s="20">
        <f>IF($M263="","",INDEX(상세표[기록 시간외],$M263))</f>
        <v/>
      </c>
      <c r="G263">
        <f>IF($M263="","",INDEX(상세표[시작월 기관],$M263)&amp;"")</f>
        <v/>
      </c>
      <c r="H263">
        <f>IF($M263="","",INDEX(상세표[종료월 기관],$M263)&amp;"")</f>
        <v/>
      </c>
      <c r="I263">
        <f>IF($M263="","",INDEX(상세표[월경계 판정],$M263)&amp;"")</f>
        <v/>
      </c>
      <c r="J263">
        <f>IF($M263="","",INDEX(상세표[반영월],$M263)&amp;"")</f>
        <v/>
      </c>
      <c r="K263">
        <f>IF($M263="","",INDEX(상세표[반영 기관],$M263)&amp;"")</f>
        <v/>
      </c>
      <c r="L263">
        <f>IF($M263="","",INDEX(상세표[기관 출처],$M263)&amp;"")</f>
        <v/>
      </c>
      <c r="M263" s="4">
        <f>IFERROR(MATCH(258,상세표[경계순번],0),"")</f>
        <v/>
      </c>
    </row>
    <row r="264">
      <c r="A264">
        <f>IF($M264="","",INDEX(상세표[사번],$M264)&amp;"")</f>
        <v/>
      </c>
      <c r="B264">
        <f>IF($M264="","",INDEX(상세표[성명],$M264)&amp;"")</f>
        <v/>
      </c>
      <c r="C264">
        <f>IF($M264="","",IF(INDEX(상세표[종료월],$M264)=대상월키,"전월→이번 달","이번 달→익월"))</f>
        <v/>
      </c>
      <c r="D264">
        <f>IF($M264="","",IF(ISNUMBER(INDEX(상세표[시작],$M264)),TEXT(INDEX(상세표[시작],$M264),"yyyy-mm-dd hh:mm"),INDEX(상세표[시작],$M264)&amp;""))</f>
        <v/>
      </c>
      <c r="E264">
        <f>IF($M264="","",IF(ISNUMBER(INDEX(상세표[종료],$M264)),TEXT(INDEX(상세표[종료],$M264),"yyyy-mm-dd hh:mm"),INDEX(상세표[종료],$M264)&amp;""))</f>
        <v/>
      </c>
      <c r="F264" s="20">
        <f>IF($M264="","",INDEX(상세표[기록 시간외],$M264))</f>
        <v/>
      </c>
      <c r="G264">
        <f>IF($M264="","",INDEX(상세표[시작월 기관],$M264)&amp;"")</f>
        <v/>
      </c>
      <c r="H264">
        <f>IF($M264="","",INDEX(상세표[종료월 기관],$M264)&amp;"")</f>
        <v/>
      </c>
      <c r="I264">
        <f>IF($M264="","",INDEX(상세표[월경계 판정],$M264)&amp;"")</f>
        <v/>
      </c>
      <c r="J264">
        <f>IF($M264="","",INDEX(상세표[반영월],$M264)&amp;"")</f>
        <v/>
      </c>
      <c r="K264">
        <f>IF($M264="","",INDEX(상세표[반영 기관],$M264)&amp;"")</f>
        <v/>
      </c>
      <c r="L264">
        <f>IF($M264="","",INDEX(상세표[기관 출처],$M264)&amp;"")</f>
        <v/>
      </c>
      <c r="M264" s="4">
        <f>IFERROR(MATCH(259,상세표[경계순번],0),"")</f>
        <v/>
      </c>
    </row>
    <row r="265">
      <c r="A265">
        <f>IF($M265="","",INDEX(상세표[사번],$M265)&amp;"")</f>
        <v/>
      </c>
      <c r="B265">
        <f>IF($M265="","",INDEX(상세표[성명],$M265)&amp;"")</f>
        <v/>
      </c>
      <c r="C265">
        <f>IF($M265="","",IF(INDEX(상세표[종료월],$M265)=대상월키,"전월→이번 달","이번 달→익월"))</f>
        <v/>
      </c>
      <c r="D265">
        <f>IF($M265="","",IF(ISNUMBER(INDEX(상세표[시작],$M265)),TEXT(INDEX(상세표[시작],$M265),"yyyy-mm-dd hh:mm"),INDEX(상세표[시작],$M265)&amp;""))</f>
        <v/>
      </c>
      <c r="E265">
        <f>IF($M265="","",IF(ISNUMBER(INDEX(상세표[종료],$M265)),TEXT(INDEX(상세표[종료],$M265),"yyyy-mm-dd hh:mm"),INDEX(상세표[종료],$M265)&amp;""))</f>
        <v/>
      </c>
      <c r="F265" s="20">
        <f>IF($M265="","",INDEX(상세표[기록 시간외],$M265))</f>
        <v/>
      </c>
      <c r="G265">
        <f>IF($M265="","",INDEX(상세표[시작월 기관],$M265)&amp;"")</f>
        <v/>
      </c>
      <c r="H265">
        <f>IF($M265="","",INDEX(상세표[종료월 기관],$M265)&amp;"")</f>
        <v/>
      </c>
      <c r="I265">
        <f>IF($M265="","",INDEX(상세표[월경계 판정],$M265)&amp;"")</f>
        <v/>
      </c>
      <c r="J265">
        <f>IF($M265="","",INDEX(상세표[반영월],$M265)&amp;"")</f>
        <v/>
      </c>
      <c r="K265">
        <f>IF($M265="","",INDEX(상세표[반영 기관],$M265)&amp;"")</f>
        <v/>
      </c>
      <c r="L265">
        <f>IF($M265="","",INDEX(상세표[기관 출처],$M265)&amp;"")</f>
        <v/>
      </c>
      <c r="M265" s="4">
        <f>IFERROR(MATCH(260,상세표[경계순번],0),"")</f>
        <v/>
      </c>
    </row>
    <row r="266">
      <c r="A266">
        <f>IF($M266="","",INDEX(상세표[사번],$M266)&amp;"")</f>
        <v/>
      </c>
      <c r="B266">
        <f>IF($M266="","",INDEX(상세표[성명],$M266)&amp;"")</f>
        <v/>
      </c>
      <c r="C266">
        <f>IF($M266="","",IF(INDEX(상세표[종료월],$M266)=대상월키,"전월→이번 달","이번 달→익월"))</f>
        <v/>
      </c>
      <c r="D266">
        <f>IF($M266="","",IF(ISNUMBER(INDEX(상세표[시작],$M266)),TEXT(INDEX(상세표[시작],$M266),"yyyy-mm-dd hh:mm"),INDEX(상세표[시작],$M266)&amp;""))</f>
        <v/>
      </c>
      <c r="E266">
        <f>IF($M266="","",IF(ISNUMBER(INDEX(상세표[종료],$M266)),TEXT(INDEX(상세표[종료],$M266),"yyyy-mm-dd hh:mm"),INDEX(상세표[종료],$M266)&amp;""))</f>
        <v/>
      </c>
      <c r="F266" s="20">
        <f>IF($M266="","",INDEX(상세표[기록 시간외],$M266))</f>
        <v/>
      </c>
      <c r="G266">
        <f>IF($M266="","",INDEX(상세표[시작월 기관],$M266)&amp;"")</f>
        <v/>
      </c>
      <c r="H266">
        <f>IF($M266="","",INDEX(상세표[종료월 기관],$M266)&amp;"")</f>
        <v/>
      </c>
      <c r="I266">
        <f>IF($M266="","",INDEX(상세표[월경계 판정],$M266)&amp;"")</f>
        <v/>
      </c>
      <c r="J266">
        <f>IF($M266="","",INDEX(상세표[반영월],$M266)&amp;"")</f>
        <v/>
      </c>
      <c r="K266">
        <f>IF($M266="","",INDEX(상세표[반영 기관],$M266)&amp;"")</f>
        <v/>
      </c>
      <c r="L266">
        <f>IF($M266="","",INDEX(상세표[기관 출처],$M266)&amp;"")</f>
        <v/>
      </c>
      <c r="M266" s="4">
        <f>IFERROR(MATCH(261,상세표[경계순번],0),"")</f>
        <v/>
      </c>
    </row>
    <row r="267">
      <c r="A267">
        <f>IF($M267="","",INDEX(상세표[사번],$M267)&amp;"")</f>
        <v/>
      </c>
      <c r="B267">
        <f>IF($M267="","",INDEX(상세표[성명],$M267)&amp;"")</f>
        <v/>
      </c>
      <c r="C267">
        <f>IF($M267="","",IF(INDEX(상세표[종료월],$M267)=대상월키,"전월→이번 달","이번 달→익월"))</f>
        <v/>
      </c>
      <c r="D267">
        <f>IF($M267="","",IF(ISNUMBER(INDEX(상세표[시작],$M267)),TEXT(INDEX(상세표[시작],$M267),"yyyy-mm-dd hh:mm"),INDEX(상세표[시작],$M267)&amp;""))</f>
        <v/>
      </c>
      <c r="E267">
        <f>IF($M267="","",IF(ISNUMBER(INDEX(상세표[종료],$M267)),TEXT(INDEX(상세표[종료],$M267),"yyyy-mm-dd hh:mm"),INDEX(상세표[종료],$M267)&amp;""))</f>
        <v/>
      </c>
      <c r="F267" s="20">
        <f>IF($M267="","",INDEX(상세표[기록 시간외],$M267))</f>
        <v/>
      </c>
      <c r="G267">
        <f>IF($M267="","",INDEX(상세표[시작월 기관],$M267)&amp;"")</f>
        <v/>
      </c>
      <c r="H267">
        <f>IF($M267="","",INDEX(상세표[종료월 기관],$M267)&amp;"")</f>
        <v/>
      </c>
      <c r="I267">
        <f>IF($M267="","",INDEX(상세표[월경계 판정],$M267)&amp;"")</f>
        <v/>
      </c>
      <c r="J267">
        <f>IF($M267="","",INDEX(상세표[반영월],$M267)&amp;"")</f>
        <v/>
      </c>
      <c r="K267">
        <f>IF($M267="","",INDEX(상세표[반영 기관],$M267)&amp;"")</f>
        <v/>
      </c>
      <c r="L267">
        <f>IF($M267="","",INDEX(상세표[기관 출처],$M267)&amp;"")</f>
        <v/>
      </c>
      <c r="M267" s="4">
        <f>IFERROR(MATCH(262,상세표[경계순번],0),"")</f>
        <v/>
      </c>
    </row>
    <row r="268">
      <c r="A268">
        <f>IF($M268="","",INDEX(상세표[사번],$M268)&amp;"")</f>
        <v/>
      </c>
      <c r="B268">
        <f>IF($M268="","",INDEX(상세표[성명],$M268)&amp;"")</f>
        <v/>
      </c>
      <c r="C268">
        <f>IF($M268="","",IF(INDEX(상세표[종료월],$M268)=대상월키,"전월→이번 달","이번 달→익월"))</f>
        <v/>
      </c>
      <c r="D268">
        <f>IF($M268="","",IF(ISNUMBER(INDEX(상세표[시작],$M268)),TEXT(INDEX(상세표[시작],$M268),"yyyy-mm-dd hh:mm"),INDEX(상세표[시작],$M268)&amp;""))</f>
        <v/>
      </c>
      <c r="E268">
        <f>IF($M268="","",IF(ISNUMBER(INDEX(상세표[종료],$M268)),TEXT(INDEX(상세표[종료],$M268),"yyyy-mm-dd hh:mm"),INDEX(상세표[종료],$M268)&amp;""))</f>
        <v/>
      </c>
      <c r="F268" s="20">
        <f>IF($M268="","",INDEX(상세표[기록 시간외],$M268))</f>
        <v/>
      </c>
      <c r="G268">
        <f>IF($M268="","",INDEX(상세표[시작월 기관],$M268)&amp;"")</f>
        <v/>
      </c>
      <c r="H268">
        <f>IF($M268="","",INDEX(상세표[종료월 기관],$M268)&amp;"")</f>
        <v/>
      </c>
      <c r="I268">
        <f>IF($M268="","",INDEX(상세표[월경계 판정],$M268)&amp;"")</f>
        <v/>
      </c>
      <c r="J268">
        <f>IF($M268="","",INDEX(상세표[반영월],$M268)&amp;"")</f>
        <v/>
      </c>
      <c r="K268">
        <f>IF($M268="","",INDEX(상세표[반영 기관],$M268)&amp;"")</f>
        <v/>
      </c>
      <c r="L268">
        <f>IF($M268="","",INDEX(상세표[기관 출처],$M268)&amp;"")</f>
        <v/>
      </c>
      <c r="M268" s="4">
        <f>IFERROR(MATCH(263,상세표[경계순번],0),"")</f>
        <v/>
      </c>
    </row>
    <row r="269">
      <c r="A269">
        <f>IF($M269="","",INDEX(상세표[사번],$M269)&amp;"")</f>
        <v/>
      </c>
      <c r="B269">
        <f>IF($M269="","",INDEX(상세표[성명],$M269)&amp;"")</f>
        <v/>
      </c>
      <c r="C269">
        <f>IF($M269="","",IF(INDEX(상세표[종료월],$M269)=대상월키,"전월→이번 달","이번 달→익월"))</f>
        <v/>
      </c>
      <c r="D269">
        <f>IF($M269="","",IF(ISNUMBER(INDEX(상세표[시작],$M269)),TEXT(INDEX(상세표[시작],$M269),"yyyy-mm-dd hh:mm"),INDEX(상세표[시작],$M269)&amp;""))</f>
        <v/>
      </c>
      <c r="E269">
        <f>IF($M269="","",IF(ISNUMBER(INDEX(상세표[종료],$M269)),TEXT(INDEX(상세표[종료],$M269),"yyyy-mm-dd hh:mm"),INDEX(상세표[종료],$M269)&amp;""))</f>
        <v/>
      </c>
      <c r="F269" s="20">
        <f>IF($M269="","",INDEX(상세표[기록 시간외],$M269))</f>
        <v/>
      </c>
      <c r="G269">
        <f>IF($M269="","",INDEX(상세표[시작월 기관],$M269)&amp;"")</f>
        <v/>
      </c>
      <c r="H269">
        <f>IF($M269="","",INDEX(상세표[종료월 기관],$M269)&amp;"")</f>
        <v/>
      </c>
      <c r="I269">
        <f>IF($M269="","",INDEX(상세표[월경계 판정],$M269)&amp;"")</f>
        <v/>
      </c>
      <c r="J269">
        <f>IF($M269="","",INDEX(상세표[반영월],$M269)&amp;"")</f>
        <v/>
      </c>
      <c r="K269">
        <f>IF($M269="","",INDEX(상세표[반영 기관],$M269)&amp;"")</f>
        <v/>
      </c>
      <c r="L269">
        <f>IF($M269="","",INDEX(상세표[기관 출처],$M269)&amp;"")</f>
        <v/>
      </c>
      <c r="M269" s="4">
        <f>IFERROR(MATCH(264,상세표[경계순번],0),"")</f>
        <v/>
      </c>
    </row>
    <row r="270">
      <c r="A270">
        <f>IF($M270="","",INDEX(상세표[사번],$M270)&amp;"")</f>
        <v/>
      </c>
      <c r="B270">
        <f>IF($M270="","",INDEX(상세표[성명],$M270)&amp;"")</f>
        <v/>
      </c>
      <c r="C270">
        <f>IF($M270="","",IF(INDEX(상세표[종료월],$M270)=대상월키,"전월→이번 달","이번 달→익월"))</f>
        <v/>
      </c>
      <c r="D270">
        <f>IF($M270="","",IF(ISNUMBER(INDEX(상세표[시작],$M270)),TEXT(INDEX(상세표[시작],$M270),"yyyy-mm-dd hh:mm"),INDEX(상세표[시작],$M270)&amp;""))</f>
        <v/>
      </c>
      <c r="E270">
        <f>IF($M270="","",IF(ISNUMBER(INDEX(상세표[종료],$M270)),TEXT(INDEX(상세표[종료],$M270),"yyyy-mm-dd hh:mm"),INDEX(상세표[종료],$M270)&amp;""))</f>
        <v/>
      </c>
      <c r="F270" s="20">
        <f>IF($M270="","",INDEX(상세표[기록 시간외],$M270))</f>
        <v/>
      </c>
      <c r="G270">
        <f>IF($M270="","",INDEX(상세표[시작월 기관],$M270)&amp;"")</f>
        <v/>
      </c>
      <c r="H270">
        <f>IF($M270="","",INDEX(상세표[종료월 기관],$M270)&amp;"")</f>
        <v/>
      </c>
      <c r="I270">
        <f>IF($M270="","",INDEX(상세표[월경계 판정],$M270)&amp;"")</f>
        <v/>
      </c>
      <c r="J270">
        <f>IF($M270="","",INDEX(상세표[반영월],$M270)&amp;"")</f>
        <v/>
      </c>
      <c r="K270">
        <f>IF($M270="","",INDEX(상세표[반영 기관],$M270)&amp;"")</f>
        <v/>
      </c>
      <c r="L270">
        <f>IF($M270="","",INDEX(상세표[기관 출처],$M270)&amp;"")</f>
        <v/>
      </c>
      <c r="M270" s="4">
        <f>IFERROR(MATCH(265,상세표[경계순번],0),"")</f>
        <v/>
      </c>
    </row>
    <row r="271">
      <c r="A271">
        <f>IF($M271="","",INDEX(상세표[사번],$M271)&amp;"")</f>
        <v/>
      </c>
      <c r="B271">
        <f>IF($M271="","",INDEX(상세표[성명],$M271)&amp;"")</f>
        <v/>
      </c>
      <c r="C271">
        <f>IF($M271="","",IF(INDEX(상세표[종료월],$M271)=대상월키,"전월→이번 달","이번 달→익월"))</f>
        <v/>
      </c>
      <c r="D271">
        <f>IF($M271="","",IF(ISNUMBER(INDEX(상세표[시작],$M271)),TEXT(INDEX(상세표[시작],$M271),"yyyy-mm-dd hh:mm"),INDEX(상세표[시작],$M271)&amp;""))</f>
        <v/>
      </c>
      <c r="E271">
        <f>IF($M271="","",IF(ISNUMBER(INDEX(상세표[종료],$M271)),TEXT(INDEX(상세표[종료],$M271),"yyyy-mm-dd hh:mm"),INDEX(상세표[종료],$M271)&amp;""))</f>
        <v/>
      </c>
      <c r="F271" s="20">
        <f>IF($M271="","",INDEX(상세표[기록 시간외],$M271))</f>
        <v/>
      </c>
      <c r="G271">
        <f>IF($M271="","",INDEX(상세표[시작월 기관],$M271)&amp;"")</f>
        <v/>
      </c>
      <c r="H271">
        <f>IF($M271="","",INDEX(상세표[종료월 기관],$M271)&amp;"")</f>
        <v/>
      </c>
      <c r="I271">
        <f>IF($M271="","",INDEX(상세표[월경계 판정],$M271)&amp;"")</f>
        <v/>
      </c>
      <c r="J271">
        <f>IF($M271="","",INDEX(상세표[반영월],$M271)&amp;"")</f>
        <v/>
      </c>
      <c r="K271">
        <f>IF($M271="","",INDEX(상세표[반영 기관],$M271)&amp;"")</f>
        <v/>
      </c>
      <c r="L271">
        <f>IF($M271="","",INDEX(상세표[기관 출처],$M271)&amp;"")</f>
        <v/>
      </c>
      <c r="M271" s="4">
        <f>IFERROR(MATCH(266,상세표[경계순번],0),"")</f>
        <v/>
      </c>
    </row>
    <row r="272">
      <c r="A272">
        <f>IF($M272="","",INDEX(상세표[사번],$M272)&amp;"")</f>
        <v/>
      </c>
      <c r="B272">
        <f>IF($M272="","",INDEX(상세표[성명],$M272)&amp;"")</f>
        <v/>
      </c>
      <c r="C272">
        <f>IF($M272="","",IF(INDEX(상세표[종료월],$M272)=대상월키,"전월→이번 달","이번 달→익월"))</f>
        <v/>
      </c>
      <c r="D272">
        <f>IF($M272="","",IF(ISNUMBER(INDEX(상세표[시작],$M272)),TEXT(INDEX(상세표[시작],$M272),"yyyy-mm-dd hh:mm"),INDEX(상세표[시작],$M272)&amp;""))</f>
        <v/>
      </c>
      <c r="E272">
        <f>IF($M272="","",IF(ISNUMBER(INDEX(상세표[종료],$M272)),TEXT(INDEX(상세표[종료],$M272),"yyyy-mm-dd hh:mm"),INDEX(상세표[종료],$M272)&amp;""))</f>
        <v/>
      </c>
      <c r="F272" s="20">
        <f>IF($M272="","",INDEX(상세표[기록 시간외],$M272))</f>
        <v/>
      </c>
      <c r="G272">
        <f>IF($M272="","",INDEX(상세표[시작월 기관],$M272)&amp;"")</f>
        <v/>
      </c>
      <c r="H272">
        <f>IF($M272="","",INDEX(상세표[종료월 기관],$M272)&amp;"")</f>
        <v/>
      </c>
      <c r="I272">
        <f>IF($M272="","",INDEX(상세표[월경계 판정],$M272)&amp;"")</f>
        <v/>
      </c>
      <c r="J272">
        <f>IF($M272="","",INDEX(상세표[반영월],$M272)&amp;"")</f>
        <v/>
      </c>
      <c r="K272">
        <f>IF($M272="","",INDEX(상세표[반영 기관],$M272)&amp;"")</f>
        <v/>
      </c>
      <c r="L272">
        <f>IF($M272="","",INDEX(상세표[기관 출처],$M272)&amp;"")</f>
        <v/>
      </c>
      <c r="M272" s="4">
        <f>IFERROR(MATCH(267,상세표[경계순번],0),"")</f>
        <v/>
      </c>
    </row>
    <row r="273">
      <c r="A273">
        <f>IF($M273="","",INDEX(상세표[사번],$M273)&amp;"")</f>
        <v/>
      </c>
      <c r="B273">
        <f>IF($M273="","",INDEX(상세표[성명],$M273)&amp;"")</f>
        <v/>
      </c>
      <c r="C273">
        <f>IF($M273="","",IF(INDEX(상세표[종료월],$M273)=대상월키,"전월→이번 달","이번 달→익월"))</f>
        <v/>
      </c>
      <c r="D273">
        <f>IF($M273="","",IF(ISNUMBER(INDEX(상세표[시작],$M273)),TEXT(INDEX(상세표[시작],$M273),"yyyy-mm-dd hh:mm"),INDEX(상세표[시작],$M273)&amp;""))</f>
        <v/>
      </c>
      <c r="E273">
        <f>IF($M273="","",IF(ISNUMBER(INDEX(상세표[종료],$M273)),TEXT(INDEX(상세표[종료],$M273),"yyyy-mm-dd hh:mm"),INDEX(상세표[종료],$M273)&amp;""))</f>
        <v/>
      </c>
      <c r="F273" s="20">
        <f>IF($M273="","",INDEX(상세표[기록 시간외],$M273))</f>
        <v/>
      </c>
      <c r="G273">
        <f>IF($M273="","",INDEX(상세표[시작월 기관],$M273)&amp;"")</f>
        <v/>
      </c>
      <c r="H273">
        <f>IF($M273="","",INDEX(상세표[종료월 기관],$M273)&amp;"")</f>
        <v/>
      </c>
      <c r="I273">
        <f>IF($M273="","",INDEX(상세표[월경계 판정],$M273)&amp;"")</f>
        <v/>
      </c>
      <c r="J273">
        <f>IF($M273="","",INDEX(상세표[반영월],$M273)&amp;"")</f>
        <v/>
      </c>
      <c r="K273">
        <f>IF($M273="","",INDEX(상세표[반영 기관],$M273)&amp;"")</f>
        <v/>
      </c>
      <c r="L273">
        <f>IF($M273="","",INDEX(상세표[기관 출처],$M273)&amp;"")</f>
        <v/>
      </c>
      <c r="M273" s="4">
        <f>IFERROR(MATCH(268,상세표[경계순번],0),"")</f>
        <v/>
      </c>
    </row>
    <row r="274">
      <c r="A274">
        <f>IF($M274="","",INDEX(상세표[사번],$M274)&amp;"")</f>
        <v/>
      </c>
      <c r="B274">
        <f>IF($M274="","",INDEX(상세표[성명],$M274)&amp;"")</f>
        <v/>
      </c>
      <c r="C274">
        <f>IF($M274="","",IF(INDEX(상세표[종료월],$M274)=대상월키,"전월→이번 달","이번 달→익월"))</f>
        <v/>
      </c>
      <c r="D274">
        <f>IF($M274="","",IF(ISNUMBER(INDEX(상세표[시작],$M274)),TEXT(INDEX(상세표[시작],$M274),"yyyy-mm-dd hh:mm"),INDEX(상세표[시작],$M274)&amp;""))</f>
        <v/>
      </c>
      <c r="E274">
        <f>IF($M274="","",IF(ISNUMBER(INDEX(상세표[종료],$M274)),TEXT(INDEX(상세표[종료],$M274),"yyyy-mm-dd hh:mm"),INDEX(상세표[종료],$M274)&amp;""))</f>
        <v/>
      </c>
      <c r="F274" s="20">
        <f>IF($M274="","",INDEX(상세표[기록 시간외],$M274))</f>
        <v/>
      </c>
      <c r="G274">
        <f>IF($M274="","",INDEX(상세표[시작월 기관],$M274)&amp;"")</f>
        <v/>
      </c>
      <c r="H274">
        <f>IF($M274="","",INDEX(상세표[종료월 기관],$M274)&amp;"")</f>
        <v/>
      </c>
      <c r="I274">
        <f>IF($M274="","",INDEX(상세표[월경계 판정],$M274)&amp;"")</f>
        <v/>
      </c>
      <c r="J274">
        <f>IF($M274="","",INDEX(상세표[반영월],$M274)&amp;"")</f>
        <v/>
      </c>
      <c r="K274">
        <f>IF($M274="","",INDEX(상세표[반영 기관],$M274)&amp;"")</f>
        <v/>
      </c>
      <c r="L274">
        <f>IF($M274="","",INDEX(상세표[기관 출처],$M274)&amp;"")</f>
        <v/>
      </c>
      <c r="M274" s="4">
        <f>IFERROR(MATCH(269,상세표[경계순번],0),"")</f>
        <v/>
      </c>
    </row>
    <row r="275">
      <c r="A275">
        <f>IF($M275="","",INDEX(상세표[사번],$M275)&amp;"")</f>
        <v/>
      </c>
      <c r="B275">
        <f>IF($M275="","",INDEX(상세표[성명],$M275)&amp;"")</f>
        <v/>
      </c>
      <c r="C275">
        <f>IF($M275="","",IF(INDEX(상세표[종료월],$M275)=대상월키,"전월→이번 달","이번 달→익월"))</f>
        <v/>
      </c>
      <c r="D275">
        <f>IF($M275="","",IF(ISNUMBER(INDEX(상세표[시작],$M275)),TEXT(INDEX(상세표[시작],$M275),"yyyy-mm-dd hh:mm"),INDEX(상세표[시작],$M275)&amp;""))</f>
        <v/>
      </c>
      <c r="E275">
        <f>IF($M275="","",IF(ISNUMBER(INDEX(상세표[종료],$M275)),TEXT(INDEX(상세표[종료],$M275),"yyyy-mm-dd hh:mm"),INDEX(상세표[종료],$M275)&amp;""))</f>
        <v/>
      </c>
      <c r="F275" s="20">
        <f>IF($M275="","",INDEX(상세표[기록 시간외],$M275))</f>
        <v/>
      </c>
      <c r="G275">
        <f>IF($M275="","",INDEX(상세표[시작월 기관],$M275)&amp;"")</f>
        <v/>
      </c>
      <c r="H275">
        <f>IF($M275="","",INDEX(상세표[종료월 기관],$M275)&amp;"")</f>
        <v/>
      </c>
      <c r="I275">
        <f>IF($M275="","",INDEX(상세표[월경계 판정],$M275)&amp;"")</f>
        <v/>
      </c>
      <c r="J275">
        <f>IF($M275="","",INDEX(상세표[반영월],$M275)&amp;"")</f>
        <v/>
      </c>
      <c r="K275">
        <f>IF($M275="","",INDEX(상세표[반영 기관],$M275)&amp;"")</f>
        <v/>
      </c>
      <c r="L275">
        <f>IF($M275="","",INDEX(상세표[기관 출처],$M275)&amp;"")</f>
        <v/>
      </c>
      <c r="M275" s="4">
        <f>IFERROR(MATCH(270,상세표[경계순번],0),"")</f>
        <v/>
      </c>
    </row>
    <row r="276">
      <c r="A276">
        <f>IF($M276="","",INDEX(상세표[사번],$M276)&amp;"")</f>
        <v/>
      </c>
      <c r="B276">
        <f>IF($M276="","",INDEX(상세표[성명],$M276)&amp;"")</f>
        <v/>
      </c>
      <c r="C276">
        <f>IF($M276="","",IF(INDEX(상세표[종료월],$M276)=대상월키,"전월→이번 달","이번 달→익월"))</f>
        <v/>
      </c>
      <c r="D276">
        <f>IF($M276="","",IF(ISNUMBER(INDEX(상세표[시작],$M276)),TEXT(INDEX(상세표[시작],$M276),"yyyy-mm-dd hh:mm"),INDEX(상세표[시작],$M276)&amp;""))</f>
        <v/>
      </c>
      <c r="E276">
        <f>IF($M276="","",IF(ISNUMBER(INDEX(상세표[종료],$M276)),TEXT(INDEX(상세표[종료],$M276),"yyyy-mm-dd hh:mm"),INDEX(상세표[종료],$M276)&amp;""))</f>
        <v/>
      </c>
      <c r="F276" s="20">
        <f>IF($M276="","",INDEX(상세표[기록 시간외],$M276))</f>
        <v/>
      </c>
      <c r="G276">
        <f>IF($M276="","",INDEX(상세표[시작월 기관],$M276)&amp;"")</f>
        <v/>
      </c>
      <c r="H276">
        <f>IF($M276="","",INDEX(상세표[종료월 기관],$M276)&amp;"")</f>
        <v/>
      </c>
      <c r="I276">
        <f>IF($M276="","",INDEX(상세표[월경계 판정],$M276)&amp;"")</f>
        <v/>
      </c>
      <c r="J276">
        <f>IF($M276="","",INDEX(상세표[반영월],$M276)&amp;"")</f>
        <v/>
      </c>
      <c r="K276">
        <f>IF($M276="","",INDEX(상세표[반영 기관],$M276)&amp;"")</f>
        <v/>
      </c>
      <c r="L276">
        <f>IF($M276="","",INDEX(상세표[기관 출처],$M276)&amp;"")</f>
        <v/>
      </c>
      <c r="M276" s="4">
        <f>IFERROR(MATCH(271,상세표[경계순번],0),"")</f>
        <v/>
      </c>
    </row>
    <row r="277">
      <c r="A277">
        <f>IF($M277="","",INDEX(상세표[사번],$M277)&amp;"")</f>
        <v/>
      </c>
      <c r="B277">
        <f>IF($M277="","",INDEX(상세표[성명],$M277)&amp;"")</f>
        <v/>
      </c>
      <c r="C277">
        <f>IF($M277="","",IF(INDEX(상세표[종료월],$M277)=대상월키,"전월→이번 달","이번 달→익월"))</f>
        <v/>
      </c>
      <c r="D277">
        <f>IF($M277="","",IF(ISNUMBER(INDEX(상세표[시작],$M277)),TEXT(INDEX(상세표[시작],$M277),"yyyy-mm-dd hh:mm"),INDEX(상세표[시작],$M277)&amp;""))</f>
        <v/>
      </c>
      <c r="E277">
        <f>IF($M277="","",IF(ISNUMBER(INDEX(상세표[종료],$M277)),TEXT(INDEX(상세표[종료],$M277),"yyyy-mm-dd hh:mm"),INDEX(상세표[종료],$M277)&amp;""))</f>
        <v/>
      </c>
      <c r="F277" s="20">
        <f>IF($M277="","",INDEX(상세표[기록 시간외],$M277))</f>
        <v/>
      </c>
      <c r="G277">
        <f>IF($M277="","",INDEX(상세표[시작월 기관],$M277)&amp;"")</f>
        <v/>
      </c>
      <c r="H277">
        <f>IF($M277="","",INDEX(상세표[종료월 기관],$M277)&amp;"")</f>
        <v/>
      </c>
      <c r="I277">
        <f>IF($M277="","",INDEX(상세표[월경계 판정],$M277)&amp;"")</f>
        <v/>
      </c>
      <c r="J277">
        <f>IF($M277="","",INDEX(상세표[반영월],$M277)&amp;"")</f>
        <v/>
      </c>
      <c r="K277">
        <f>IF($M277="","",INDEX(상세표[반영 기관],$M277)&amp;"")</f>
        <v/>
      </c>
      <c r="L277">
        <f>IF($M277="","",INDEX(상세표[기관 출처],$M277)&amp;"")</f>
        <v/>
      </c>
      <c r="M277" s="4">
        <f>IFERROR(MATCH(272,상세표[경계순번],0),"")</f>
        <v/>
      </c>
    </row>
    <row r="278">
      <c r="A278">
        <f>IF($M278="","",INDEX(상세표[사번],$M278)&amp;"")</f>
        <v/>
      </c>
      <c r="B278">
        <f>IF($M278="","",INDEX(상세표[성명],$M278)&amp;"")</f>
        <v/>
      </c>
      <c r="C278">
        <f>IF($M278="","",IF(INDEX(상세표[종료월],$M278)=대상월키,"전월→이번 달","이번 달→익월"))</f>
        <v/>
      </c>
      <c r="D278">
        <f>IF($M278="","",IF(ISNUMBER(INDEX(상세표[시작],$M278)),TEXT(INDEX(상세표[시작],$M278),"yyyy-mm-dd hh:mm"),INDEX(상세표[시작],$M278)&amp;""))</f>
        <v/>
      </c>
      <c r="E278">
        <f>IF($M278="","",IF(ISNUMBER(INDEX(상세표[종료],$M278)),TEXT(INDEX(상세표[종료],$M278),"yyyy-mm-dd hh:mm"),INDEX(상세표[종료],$M278)&amp;""))</f>
        <v/>
      </c>
      <c r="F278" s="20">
        <f>IF($M278="","",INDEX(상세표[기록 시간외],$M278))</f>
        <v/>
      </c>
      <c r="G278">
        <f>IF($M278="","",INDEX(상세표[시작월 기관],$M278)&amp;"")</f>
        <v/>
      </c>
      <c r="H278">
        <f>IF($M278="","",INDEX(상세표[종료월 기관],$M278)&amp;"")</f>
        <v/>
      </c>
      <c r="I278">
        <f>IF($M278="","",INDEX(상세표[월경계 판정],$M278)&amp;"")</f>
        <v/>
      </c>
      <c r="J278">
        <f>IF($M278="","",INDEX(상세표[반영월],$M278)&amp;"")</f>
        <v/>
      </c>
      <c r="K278">
        <f>IF($M278="","",INDEX(상세표[반영 기관],$M278)&amp;"")</f>
        <v/>
      </c>
      <c r="L278">
        <f>IF($M278="","",INDEX(상세표[기관 출처],$M278)&amp;"")</f>
        <v/>
      </c>
      <c r="M278" s="4">
        <f>IFERROR(MATCH(273,상세표[경계순번],0),"")</f>
        <v/>
      </c>
    </row>
    <row r="279">
      <c r="A279">
        <f>IF($M279="","",INDEX(상세표[사번],$M279)&amp;"")</f>
        <v/>
      </c>
      <c r="B279">
        <f>IF($M279="","",INDEX(상세표[성명],$M279)&amp;"")</f>
        <v/>
      </c>
      <c r="C279">
        <f>IF($M279="","",IF(INDEX(상세표[종료월],$M279)=대상월키,"전월→이번 달","이번 달→익월"))</f>
        <v/>
      </c>
      <c r="D279">
        <f>IF($M279="","",IF(ISNUMBER(INDEX(상세표[시작],$M279)),TEXT(INDEX(상세표[시작],$M279),"yyyy-mm-dd hh:mm"),INDEX(상세표[시작],$M279)&amp;""))</f>
        <v/>
      </c>
      <c r="E279">
        <f>IF($M279="","",IF(ISNUMBER(INDEX(상세표[종료],$M279)),TEXT(INDEX(상세표[종료],$M279),"yyyy-mm-dd hh:mm"),INDEX(상세표[종료],$M279)&amp;""))</f>
        <v/>
      </c>
      <c r="F279" s="20">
        <f>IF($M279="","",INDEX(상세표[기록 시간외],$M279))</f>
        <v/>
      </c>
      <c r="G279">
        <f>IF($M279="","",INDEX(상세표[시작월 기관],$M279)&amp;"")</f>
        <v/>
      </c>
      <c r="H279">
        <f>IF($M279="","",INDEX(상세표[종료월 기관],$M279)&amp;"")</f>
        <v/>
      </c>
      <c r="I279">
        <f>IF($M279="","",INDEX(상세표[월경계 판정],$M279)&amp;"")</f>
        <v/>
      </c>
      <c r="J279">
        <f>IF($M279="","",INDEX(상세표[반영월],$M279)&amp;"")</f>
        <v/>
      </c>
      <c r="K279">
        <f>IF($M279="","",INDEX(상세표[반영 기관],$M279)&amp;"")</f>
        <v/>
      </c>
      <c r="L279">
        <f>IF($M279="","",INDEX(상세표[기관 출처],$M279)&amp;"")</f>
        <v/>
      </c>
      <c r="M279" s="4">
        <f>IFERROR(MATCH(274,상세표[경계순번],0),"")</f>
        <v/>
      </c>
    </row>
    <row r="280">
      <c r="A280">
        <f>IF($M280="","",INDEX(상세표[사번],$M280)&amp;"")</f>
        <v/>
      </c>
      <c r="B280">
        <f>IF($M280="","",INDEX(상세표[성명],$M280)&amp;"")</f>
        <v/>
      </c>
      <c r="C280">
        <f>IF($M280="","",IF(INDEX(상세표[종료월],$M280)=대상월키,"전월→이번 달","이번 달→익월"))</f>
        <v/>
      </c>
      <c r="D280">
        <f>IF($M280="","",IF(ISNUMBER(INDEX(상세표[시작],$M280)),TEXT(INDEX(상세표[시작],$M280),"yyyy-mm-dd hh:mm"),INDEX(상세표[시작],$M280)&amp;""))</f>
        <v/>
      </c>
      <c r="E280">
        <f>IF($M280="","",IF(ISNUMBER(INDEX(상세표[종료],$M280)),TEXT(INDEX(상세표[종료],$M280),"yyyy-mm-dd hh:mm"),INDEX(상세표[종료],$M280)&amp;""))</f>
        <v/>
      </c>
      <c r="F280" s="20">
        <f>IF($M280="","",INDEX(상세표[기록 시간외],$M280))</f>
        <v/>
      </c>
      <c r="G280">
        <f>IF($M280="","",INDEX(상세표[시작월 기관],$M280)&amp;"")</f>
        <v/>
      </c>
      <c r="H280">
        <f>IF($M280="","",INDEX(상세표[종료월 기관],$M280)&amp;"")</f>
        <v/>
      </c>
      <c r="I280">
        <f>IF($M280="","",INDEX(상세표[월경계 판정],$M280)&amp;"")</f>
        <v/>
      </c>
      <c r="J280">
        <f>IF($M280="","",INDEX(상세표[반영월],$M280)&amp;"")</f>
        <v/>
      </c>
      <c r="K280">
        <f>IF($M280="","",INDEX(상세표[반영 기관],$M280)&amp;"")</f>
        <v/>
      </c>
      <c r="L280">
        <f>IF($M280="","",INDEX(상세표[기관 출처],$M280)&amp;"")</f>
        <v/>
      </c>
      <c r="M280" s="4">
        <f>IFERROR(MATCH(275,상세표[경계순번],0),"")</f>
        <v/>
      </c>
    </row>
    <row r="281">
      <c r="A281">
        <f>IF($M281="","",INDEX(상세표[사번],$M281)&amp;"")</f>
        <v/>
      </c>
      <c r="B281">
        <f>IF($M281="","",INDEX(상세표[성명],$M281)&amp;"")</f>
        <v/>
      </c>
      <c r="C281">
        <f>IF($M281="","",IF(INDEX(상세표[종료월],$M281)=대상월키,"전월→이번 달","이번 달→익월"))</f>
        <v/>
      </c>
      <c r="D281">
        <f>IF($M281="","",IF(ISNUMBER(INDEX(상세표[시작],$M281)),TEXT(INDEX(상세표[시작],$M281),"yyyy-mm-dd hh:mm"),INDEX(상세표[시작],$M281)&amp;""))</f>
        <v/>
      </c>
      <c r="E281">
        <f>IF($M281="","",IF(ISNUMBER(INDEX(상세표[종료],$M281)),TEXT(INDEX(상세표[종료],$M281),"yyyy-mm-dd hh:mm"),INDEX(상세표[종료],$M281)&amp;""))</f>
        <v/>
      </c>
      <c r="F281" s="20">
        <f>IF($M281="","",INDEX(상세표[기록 시간외],$M281))</f>
        <v/>
      </c>
      <c r="G281">
        <f>IF($M281="","",INDEX(상세표[시작월 기관],$M281)&amp;"")</f>
        <v/>
      </c>
      <c r="H281">
        <f>IF($M281="","",INDEX(상세표[종료월 기관],$M281)&amp;"")</f>
        <v/>
      </c>
      <c r="I281">
        <f>IF($M281="","",INDEX(상세표[월경계 판정],$M281)&amp;"")</f>
        <v/>
      </c>
      <c r="J281">
        <f>IF($M281="","",INDEX(상세표[반영월],$M281)&amp;"")</f>
        <v/>
      </c>
      <c r="K281">
        <f>IF($M281="","",INDEX(상세표[반영 기관],$M281)&amp;"")</f>
        <v/>
      </c>
      <c r="L281">
        <f>IF($M281="","",INDEX(상세표[기관 출처],$M281)&amp;"")</f>
        <v/>
      </c>
      <c r="M281" s="4">
        <f>IFERROR(MATCH(276,상세표[경계순번],0),"")</f>
        <v/>
      </c>
    </row>
    <row r="282">
      <c r="A282">
        <f>IF($M282="","",INDEX(상세표[사번],$M282)&amp;"")</f>
        <v/>
      </c>
      <c r="B282">
        <f>IF($M282="","",INDEX(상세표[성명],$M282)&amp;"")</f>
        <v/>
      </c>
      <c r="C282">
        <f>IF($M282="","",IF(INDEX(상세표[종료월],$M282)=대상월키,"전월→이번 달","이번 달→익월"))</f>
        <v/>
      </c>
      <c r="D282">
        <f>IF($M282="","",IF(ISNUMBER(INDEX(상세표[시작],$M282)),TEXT(INDEX(상세표[시작],$M282),"yyyy-mm-dd hh:mm"),INDEX(상세표[시작],$M282)&amp;""))</f>
        <v/>
      </c>
      <c r="E282">
        <f>IF($M282="","",IF(ISNUMBER(INDEX(상세표[종료],$M282)),TEXT(INDEX(상세표[종료],$M282),"yyyy-mm-dd hh:mm"),INDEX(상세표[종료],$M282)&amp;""))</f>
        <v/>
      </c>
      <c r="F282" s="20">
        <f>IF($M282="","",INDEX(상세표[기록 시간외],$M282))</f>
        <v/>
      </c>
      <c r="G282">
        <f>IF($M282="","",INDEX(상세표[시작월 기관],$M282)&amp;"")</f>
        <v/>
      </c>
      <c r="H282">
        <f>IF($M282="","",INDEX(상세표[종료월 기관],$M282)&amp;"")</f>
        <v/>
      </c>
      <c r="I282">
        <f>IF($M282="","",INDEX(상세표[월경계 판정],$M282)&amp;"")</f>
        <v/>
      </c>
      <c r="J282">
        <f>IF($M282="","",INDEX(상세표[반영월],$M282)&amp;"")</f>
        <v/>
      </c>
      <c r="K282">
        <f>IF($M282="","",INDEX(상세표[반영 기관],$M282)&amp;"")</f>
        <v/>
      </c>
      <c r="L282">
        <f>IF($M282="","",INDEX(상세표[기관 출처],$M282)&amp;"")</f>
        <v/>
      </c>
      <c r="M282" s="4">
        <f>IFERROR(MATCH(277,상세표[경계순번],0),"")</f>
        <v/>
      </c>
    </row>
    <row r="283">
      <c r="A283">
        <f>IF($M283="","",INDEX(상세표[사번],$M283)&amp;"")</f>
        <v/>
      </c>
      <c r="B283">
        <f>IF($M283="","",INDEX(상세표[성명],$M283)&amp;"")</f>
        <v/>
      </c>
      <c r="C283">
        <f>IF($M283="","",IF(INDEX(상세표[종료월],$M283)=대상월키,"전월→이번 달","이번 달→익월"))</f>
        <v/>
      </c>
      <c r="D283">
        <f>IF($M283="","",IF(ISNUMBER(INDEX(상세표[시작],$M283)),TEXT(INDEX(상세표[시작],$M283),"yyyy-mm-dd hh:mm"),INDEX(상세표[시작],$M283)&amp;""))</f>
        <v/>
      </c>
      <c r="E283">
        <f>IF($M283="","",IF(ISNUMBER(INDEX(상세표[종료],$M283)),TEXT(INDEX(상세표[종료],$M283),"yyyy-mm-dd hh:mm"),INDEX(상세표[종료],$M283)&amp;""))</f>
        <v/>
      </c>
      <c r="F283" s="20">
        <f>IF($M283="","",INDEX(상세표[기록 시간외],$M283))</f>
        <v/>
      </c>
      <c r="G283">
        <f>IF($M283="","",INDEX(상세표[시작월 기관],$M283)&amp;"")</f>
        <v/>
      </c>
      <c r="H283">
        <f>IF($M283="","",INDEX(상세표[종료월 기관],$M283)&amp;"")</f>
        <v/>
      </c>
      <c r="I283">
        <f>IF($M283="","",INDEX(상세표[월경계 판정],$M283)&amp;"")</f>
        <v/>
      </c>
      <c r="J283">
        <f>IF($M283="","",INDEX(상세표[반영월],$M283)&amp;"")</f>
        <v/>
      </c>
      <c r="K283">
        <f>IF($M283="","",INDEX(상세표[반영 기관],$M283)&amp;"")</f>
        <v/>
      </c>
      <c r="L283">
        <f>IF($M283="","",INDEX(상세표[기관 출처],$M283)&amp;"")</f>
        <v/>
      </c>
      <c r="M283" s="4">
        <f>IFERROR(MATCH(278,상세표[경계순번],0),"")</f>
        <v/>
      </c>
    </row>
    <row r="284">
      <c r="A284">
        <f>IF($M284="","",INDEX(상세표[사번],$M284)&amp;"")</f>
        <v/>
      </c>
      <c r="B284">
        <f>IF($M284="","",INDEX(상세표[성명],$M284)&amp;"")</f>
        <v/>
      </c>
      <c r="C284">
        <f>IF($M284="","",IF(INDEX(상세표[종료월],$M284)=대상월키,"전월→이번 달","이번 달→익월"))</f>
        <v/>
      </c>
      <c r="D284">
        <f>IF($M284="","",IF(ISNUMBER(INDEX(상세표[시작],$M284)),TEXT(INDEX(상세표[시작],$M284),"yyyy-mm-dd hh:mm"),INDEX(상세표[시작],$M284)&amp;""))</f>
        <v/>
      </c>
      <c r="E284">
        <f>IF($M284="","",IF(ISNUMBER(INDEX(상세표[종료],$M284)),TEXT(INDEX(상세표[종료],$M284),"yyyy-mm-dd hh:mm"),INDEX(상세표[종료],$M284)&amp;""))</f>
        <v/>
      </c>
      <c r="F284" s="20">
        <f>IF($M284="","",INDEX(상세표[기록 시간외],$M284))</f>
        <v/>
      </c>
      <c r="G284">
        <f>IF($M284="","",INDEX(상세표[시작월 기관],$M284)&amp;"")</f>
        <v/>
      </c>
      <c r="H284">
        <f>IF($M284="","",INDEX(상세표[종료월 기관],$M284)&amp;"")</f>
        <v/>
      </c>
      <c r="I284">
        <f>IF($M284="","",INDEX(상세표[월경계 판정],$M284)&amp;"")</f>
        <v/>
      </c>
      <c r="J284">
        <f>IF($M284="","",INDEX(상세표[반영월],$M284)&amp;"")</f>
        <v/>
      </c>
      <c r="K284">
        <f>IF($M284="","",INDEX(상세표[반영 기관],$M284)&amp;"")</f>
        <v/>
      </c>
      <c r="L284">
        <f>IF($M284="","",INDEX(상세표[기관 출처],$M284)&amp;"")</f>
        <v/>
      </c>
      <c r="M284" s="4">
        <f>IFERROR(MATCH(279,상세표[경계순번],0),"")</f>
        <v/>
      </c>
    </row>
    <row r="285">
      <c r="A285">
        <f>IF($M285="","",INDEX(상세표[사번],$M285)&amp;"")</f>
        <v/>
      </c>
      <c r="B285">
        <f>IF($M285="","",INDEX(상세표[성명],$M285)&amp;"")</f>
        <v/>
      </c>
      <c r="C285">
        <f>IF($M285="","",IF(INDEX(상세표[종료월],$M285)=대상월키,"전월→이번 달","이번 달→익월"))</f>
        <v/>
      </c>
      <c r="D285">
        <f>IF($M285="","",IF(ISNUMBER(INDEX(상세표[시작],$M285)),TEXT(INDEX(상세표[시작],$M285),"yyyy-mm-dd hh:mm"),INDEX(상세표[시작],$M285)&amp;""))</f>
        <v/>
      </c>
      <c r="E285">
        <f>IF($M285="","",IF(ISNUMBER(INDEX(상세표[종료],$M285)),TEXT(INDEX(상세표[종료],$M285),"yyyy-mm-dd hh:mm"),INDEX(상세표[종료],$M285)&amp;""))</f>
        <v/>
      </c>
      <c r="F285" s="20">
        <f>IF($M285="","",INDEX(상세표[기록 시간외],$M285))</f>
        <v/>
      </c>
      <c r="G285">
        <f>IF($M285="","",INDEX(상세표[시작월 기관],$M285)&amp;"")</f>
        <v/>
      </c>
      <c r="H285">
        <f>IF($M285="","",INDEX(상세표[종료월 기관],$M285)&amp;"")</f>
        <v/>
      </c>
      <c r="I285">
        <f>IF($M285="","",INDEX(상세표[월경계 판정],$M285)&amp;"")</f>
        <v/>
      </c>
      <c r="J285">
        <f>IF($M285="","",INDEX(상세표[반영월],$M285)&amp;"")</f>
        <v/>
      </c>
      <c r="K285">
        <f>IF($M285="","",INDEX(상세표[반영 기관],$M285)&amp;"")</f>
        <v/>
      </c>
      <c r="L285">
        <f>IF($M285="","",INDEX(상세표[기관 출처],$M285)&amp;"")</f>
        <v/>
      </c>
      <c r="M285" s="4">
        <f>IFERROR(MATCH(280,상세표[경계순번],0),"")</f>
        <v/>
      </c>
    </row>
    <row r="286">
      <c r="A286">
        <f>IF($M286="","",INDEX(상세표[사번],$M286)&amp;"")</f>
        <v/>
      </c>
      <c r="B286">
        <f>IF($M286="","",INDEX(상세표[성명],$M286)&amp;"")</f>
        <v/>
      </c>
      <c r="C286">
        <f>IF($M286="","",IF(INDEX(상세표[종료월],$M286)=대상월키,"전월→이번 달","이번 달→익월"))</f>
        <v/>
      </c>
      <c r="D286">
        <f>IF($M286="","",IF(ISNUMBER(INDEX(상세표[시작],$M286)),TEXT(INDEX(상세표[시작],$M286),"yyyy-mm-dd hh:mm"),INDEX(상세표[시작],$M286)&amp;""))</f>
        <v/>
      </c>
      <c r="E286">
        <f>IF($M286="","",IF(ISNUMBER(INDEX(상세표[종료],$M286)),TEXT(INDEX(상세표[종료],$M286),"yyyy-mm-dd hh:mm"),INDEX(상세표[종료],$M286)&amp;""))</f>
        <v/>
      </c>
      <c r="F286" s="20">
        <f>IF($M286="","",INDEX(상세표[기록 시간외],$M286))</f>
        <v/>
      </c>
      <c r="G286">
        <f>IF($M286="","",INDEX(상세표[시작월 기관],$M286)&amp;"")</f>
        <v/>
      </c>
      <c r="H286">
        <f>IF($M286="","",INDEX(상세표[종료월 기관],$M286)&amp;"")</f>
        <v/>
      </c>
      <c r="I286">
        <f>IF($M286="","",INDEX(상세표[월경계 판정],$M286)&amp;"")</f>
        <v/>
      </c>
      <c r="J286">
        <f>IF($M286="","",INDEX(상세표[반영월],$M286)&amp;"")</f>
        <v/>
      </c>
      <c r="K286">
        <f>IF($M286="","",INDEX(상세표[반영 기관],$M286)&amp;"")</f>
        <v/>
      </c>
      <c r="L286">
        <f>IF($M286="","",INDEX(상세표[기관 출처],$M286)&amp;"")</f>
        <v/>
      </c>
      <c r="M286" s="4">
        <f>IFERROR(MATCH(281,상세표[경계순번],0),"")</f>
        <v/>
      </c>
    </row>
    <row r="287">
      <c r="A287">
        <f>IF($M287="","",INDEX(상세표[사번],$M287)&amp;"")</f>
        <v/>
      </c>
      <c r="B287">
        <f>IF($M287="","",INDEX(상세표[성명],$M287)&amp;"")</f>
        <v/>
      </c>
      <c r="C287">
        <f>IF($M287="","",IF(INDEX(상세표[종료월],$M287)=대상월키,"전월→이번 달","이번 달→익월"))</f>
        <v/>
      </c>
      <c r="D287">
        <f>IF($M287="","",IF(ISNUMBER(INDEX(상세표[시작],$M287)),TEXT(INDEX(상세표[시작],$M287),"yyyy-mm-dd hh:mm"),INDEX(상세표[시작],$M287)&amp;""))</f>
        <v/>
      </c>
      <c r="E287">
        <f>IF($M287="","",IF(ISNUMBER(INDEX(상세표[종료],$M287)),TEXT(INDEX(상세표[종료],$M287),"yyyy-mm-dd hh:mm"),INDEX(상세표[종료],$M287)&amp;""))</f>
        <v/>
      </c>
      <c r="F287" s="20">
        <f>IF($M287="","",INDEX(상세표[기록 시간외],$M287))</f>
        <v/>
      </c>
      <c r="G287">
        <f>IF($M287="","",INDEX(상세표[시작월 기관],$M287)&amp;"")</f>
        <v/>
      </c>
      <c r="H287">
        <f>IF($M287="","",INDEX(상세표[종료월 기관],$M287)&amp;"")</f>
        <v/>
      </c>
      <c r="I287">
        <f>IF($M287="","",INDEX(상세표[월경계 판정],$M287)&amp;"")</f>
        <v/>
      </c>
      <c r="J287">
        <f>IF($M287="","",INDEX(상세표[반영월],$M287)&amp;"")</f>
        <v/>
      </c>
      <c r="K287">
        <f>IF($M287="","",INDEX(상세표[반영 기관],$M287)&amp;"")</f>
        <v/>
      </c>
      <c r="L287">
        <f>IF($M287="","",INDEX(상세표[기관 출처],$M287)&amp;"")</f>
        <v/>
      </c>
      <c r="M287" s="4">
        <f>IFERROR(MATCH(282,상세표[경계순번],0),"")</f>
        <v/>
      </c>
    </row>
    <row r="288">
      <c r="A288">
        <f>IF($M288="","",INDEX(상세표[사번],$M288)&amp;"")</f>
        <v/>
      </c>
      <c r="B288">
        <f>IF($M288="","",INDEX(상세표[성명],$M288)&amp;"")</f>
        <v/>
      </c>
      <c r="C288">
        <f>IF($M288="","",IF(INDEX(상세표[종료월],$M288)=대상월키,"전월→이번 달","이번 달→익월"))</f>
        <v/>
      </c>
      <c r="D288">
        <f>IF($M288="","",IF(ISNUMBER(INDEX(상세표[시작],$M288)),TEXT(INDEX(상세표[시작],$M288),"yyyy-mm-dd hh:mm"),INDEX(상세표[시작],$M288)&amp;""))</f>
        <v/>
      </c>
      <c r="E288">
        <f>IF($M288="","",IF(ISNUMBER(INDEX(상세표[종료],$M288)),TEXT(INDEX(상세표[종료],$M288),"yyyy-mm-dd hh:mm"),INDEX(상세표[종료],$M288)&amp;""))</f>
        <v/>
      </c>
      <c r="F288" s="20">
        <f>IF($M288="","",INDEX(상세표[기록 시간외],$M288))</f>
        <v/>
      </c>
      <c r="G288">
        <f>IF($M288="","",INDEX(상세표[시작월 기관],$M288)&amp;"")</f>
        <v/>
      </c>
      <c r="H288">
        <f>IF($M288="","",INDEX(상세표[종료월 기관],$M288)&amp;"")</f>
        <v/>
      </c>
      <c r="I288">
        <f>IF($M288="","",INDEX(상세표[월경계 판정],$M288)&amp;"")</f>
        <v/>
      </c>
      <c r="J288">
        <f>IF($M288="","",INDEX(상세표[반영월],$M288)&amp;"")</f>
        <v/>
      </c>
      <c r="K288">
        <f>IF($M288="","",INDEX(상세표[반영 기관],$M288)&amp;"")</f>
        <v/>
      </c>
      <c r="L288">
        <f>IF($M288="","",INDEX(상세표[기관 출처],$M288)&amp;"")</f>
        <v/>
      </c>
      <c r="M288" s="4">
        <f>IFERROR(MATCH(283,상세표[경계순번],0),"")</f>
        <v/>
      </c>
    </row>
    <row r="289">
      <c r="A289">
        <f>IF($M289="","",INDEX(상세표[사번],$M289)&amp;"")</f>
        <v/>
      </c>
      <c r="B289">
        <f>IF($M289="","",INDEX(상세표[성명],$M289)&amp;"")</f>
        <v/>
      </c>
      <c r="C289">
        <f>IF($M289="","",IF(INDEX(상세표[종료월],$M289)=대상월키,"전월→이번 달","이번 달→익월"))</f>
        <v/>
      </c>
      <c r="D289">
        <f>IF($M289="","",IF(ISNUMBER(INDEX(상세표[시작],$M289)),TEXT(INDEX(상세표[시작],$M289),"yyyy-mm-dd hh:mm"),INDEX(상세표[시작],$M289)&amp;""))</f>
        <v/>
      </c>
      <c r="E289">
        <f>IF($M289="","",IF(ISNUMBER(INDEX(상세표[종료],$M289)),TEXT(INDEX(상세표[종료],$M289),"yyyy-mm-dd hh:mm"),INDEX(상세표[종료],$M289)&amp;""))</f>
        <v/>
      </c>
      <c r="F289" s="20">
        <f>IF($M289="","",INDEX(상세표[기록 시간외],$M289))</f>
        <v/>
      </c>
      <c r="G289">
        <f>IF($M289="","",INDEX(상세표[시작월 기관],$M289)&amp;"")</f>
        <v/>
      </c>
      <c r="H289">
        <f>IF($M289="","",INDEX(상세표[종료월 기관],$M289)&amp;"")</f>
        <v/>
      </c>
      <c r="I289">
        <f>IF($M289="","",INDEX(상세표[월경계 판정],$M289)&amp;"")</f>
        <v/>
      </c>
      <c r="J289">
        <f>IF($M289="","",INDEX(상세표[반영월],$M289)&amp;"")</f>
        <v/>
      </c>
      <c r="K289">
        <f>IF($M289="","",INDEX(상세표[반영 기관],$M289)&amp;"")</f>
        <v/>
      </c>
      <c r="L289">
        <f>IF($M289="","",INDEX(상세표[기관 출처],$M289)&amp;"")</f>
        <v/>
      </c>
      <c r="M289" s="4">
        <f>IFERROR(MATCH(284,상세표[경계순번],0),"")</f>
        <v/>
      </c>
    </row>
    <row r="290">
      <c r="A290">
        <f>IF($M290="","",INDEX(상세표[사번],$M290)&amp;"")</f>
        <v/>
      </c>
      <c r="B290">
        <f>IF($M290="","",INDEX(상세표[성명],$M290)&amp;"")</f>
        <v/>
      </c>
      <c r="C290">
        <f>IF($M290="","",IF(INDEX(상세표[종료월],$M290)=대상월키,"전월→이번 달","이번 달→익월"))</f>
        <v/>
      </c>
      <c r="D290">
        <f>IF($M290="","",IF(ISNUMBER(INDEX(상세표[시작],$M290)),TEXT(INDEX(상세표[시작],$M290),"yyyy-mm-dd hh:mm"),INDEX(상세표[시작],$M290)&amp;""))</f>
        <v/>
      </c>
      <c r="E290">
        <f>IF($M290="","",IF(ISNUMBER(INDEX(상세표[종료],$M290)),TEXT(INDEX(상세표[종료],$M290),"yyyy-mm-dd hh:mm"),INDEX(상세표[종료],$M290)&amp;""))</f>
        <v/>
      </c>
      <c r="F290" s="20">
        <f>IF($M290="","",INDEX(상세표[기록 시간외],$M290))</f>
        <v/>
      </c>
      <c r="G290">
        <f>IF($M290="","",INDEX(상세표[시작월 기관],$M290)&amp;"")</f>
        <v/>
      </c>
      <c r="H290">
        <f>IF($M290="","",INDEX(상세표[종료월 기관],$M290)&amp;"")</f>
        <v/>
      </c>
      <c r="I290">
        <f>IF($M290="","",INDEX(상세표[월경계 판정],$M290)&amp;"")</f>
        <v/>
      </c>
      <c r="J290">
        <f>IF($M290="","",INDEX(상세표[반영월],$M290)&amp;"")</f>
        <v/>
      </c>
      <c r="K290">
        <f>IF($M290="","",INDEX(상세표[반영 기관],$M290)&amp;"")</f>
        <v/>
      </c>
      <c r="L290">
        <f>IF($M290="","",INDEX(상세표[기관 출처],$M290)&amp;"")</f>
        <v/>
      </c>
      <c r="M290" s="4">
        <f>IFERROR(MATCH(285,상세표[경계순번],0),"")</f>
        <v/>
      </c>
    </row>
    <row r="291">
      <c r="A291">
        <f>IF($M291="","",INDEX(상세표[사번],$M291)&amp;"")</f>
        <v/>
      </c>
      <c r="B291">
        <f>IF($M291="","",INDEX(상세표[성명],$M291)&amp;"")</f>
        <v/>
      </c>
      <c r="C291">
        <f>IF($M291="","",IF(INDEX(상세표[종료월],$M291)=대상월키,"전월→이번 달","이번 달→익월"))</f>
        <v/>
      </c>
      <c r="D291">
        <f>IF($M291="","",IF(ISNUMBER(INDEX(상세표[시작],$M291)),TEXT(INDEX(상세표[시작],$M291),"yyyy-mm-dd hh:mm"),INDEX(상세표[시작],$M291)&amp;""))</f>
        <v/>
      </c>
      <c r="E291">
        <f>IF($M291="","",IF(ISNUMBER(INDEX(상세표[종료],$M291)),TEXT(INDEX(상세표[종료],$M291),"yyyy-mm-dd hh:mm"),INDEX(상세표[종료],$M291)&amp;""))</f>
        <v/>
      </c>
      <c r="F291" s="20">
        <f>IF($M291="","",INDEX(상세표[기록 시간외],$M291))</f>
        <v/>
      </c>
      <c r="G291">
        <f>IF($M291="","",INDEX(상세표[시작월 기관],$M291)&amp;"")</f>
        <v/>
      </c>
      <c r="H291">
        <f>IF($M291="","",INDEX(상세표[종료월 기관],$M291)&amp;"")</f>
        <v/>
      </c>
      <c r="I291">
        <f>IF($M291="","",INDEX(상세표[월경계 판정],$M291)&amp;"")</f>
        <v/>
      </c>
      <c r="J291">
        <f>IF($M291="","",INDEX(상세표[반영월],$M291)&amp;"")</f>
        <v/>
      </c>
      <c r="K291">
        <f>IF($M291="","",INDEX(상세표[반영 기관],$M291)&amp;"")</f>
        <v/>
      </c>
      <c r="L291">
        <f>IF($M291="","",INDEX(상세표[기관 출처],$M291)&amp;"")</f>
        <v/>
      </c>
      <c r="M291" s="4">
        <f>IFERROR(MATCH(286,상세표[경계순번],0),"")</f>
        <v/>
      </c>
    </row>
    <row r="292">
      <c r="A292">
        <f>IF($M292="","",INDEX(상세표[사번],$M292)&amp;"")</f>
        <v/>
      </c>
      <c r="B292">
        <f>IF($M292="","",INDEX(상세표[성명],$M292)&amp;"")</f>
        <v/>
      </c>
      <c r="C292">
        <f>IF($M292="","",IF(INDEX(상세표[종료월],$M292)=대상월키,"전월→이번 달","이번 달→익월"))</f>
        <v/>
      </c>
      <c r="D292">
        <f>IF($M292="","",IF(ISNUMBER(INDEX(상세표[시작],$M292)),TEXT(INDEX(상세표[시작],$M292),"yyyy-mm-dd hh:mm"),INDEX(상세표[시작],$M292)&amp;""))</f>
        <v/>
      </c>
      <c r="E292">
        <f>IF($M292="","",IF(ISNUMBER(INDEX(상세표[종료],$M292)),TEXT(INDEX(상세표[종료],$M292),"yyyy-mm-dd hh:mm"),INDEX(상세표[종료],$M292)&amp;""))</f>
        <v/>
      </c>
      <c r="F292" s="20">
        <f>IF($M292="","",INDEX(상세표[기록 시간외],$M292))</f>
        <v/>
      </c>
      <c r="G292">
        <f>IF($M292="","",INDEX(상세표[시작월 기관],$M292)&amp;"")</f>
        <v/>
      </c>
      <c r="H292">
        <f>IF($M292="","",INDEX(상세표[종료월 기관],$M292)&amp;"")</f>
        <v/>
      </c>
      <c r="I292">
        <f>IF($M292="","",INDEX(상세표[월경계 판정],$M292)&amp;"")</f>
        <v/>
      </c>
      <c r="J292">
        <f>IF($M292="","",INDEX(상세표[반영월],$M292)&amp;"")</f>
        <v/>
      </c>
      <c r="K292">
        <f>IF($M292="","",INDEX(상세표[반영 기관],$M292)&amp;"")</f>
        <v/>
      </c>
      <c r="L292">
        <f>IF($M292="","",INDEX(상세표[기관 출처],$M292)&amp;"")</f>
        <v/>
      </c>
      <c r="M292" s="4">
        <f>IFERROR(MATCH(287,상세표[경계순번],0),"")</f>
        <v/>
      </c>
    </row>
    <row r="293">
      <c r="A293">
        <f>IF($M293="","",INDEX(상세표[사번],$M293)&amp;"")</f>
        <v/>
      </c>
      <c r="B293">
        <f>IF($M293="","",INDEX(상세표[성명],$M293)&amp;"")</f>
        <v/>
      </c>
      <c r="C293">
        <f>IF($M293="","",IF(INDEX(상세표[종료월],$M293)=대상월키,"전월→이번 달","이번 달→익월"))</f>
        <v/>
      </c>
      <c r="D293">
        <f>IF($M293="","",IF(ISNUMBER(INDEX(상세표[시작],$M293)),TEXT(INDEX(상세표[시작],$M293),"yyyy-mm-dd hh:mm"),INDEX(상세표[시작],$M293)&amp;""))</f>
        <v/>
      </c>
      <c r="E293">
        <f>IF($M293="","",IF(ISNUMBER(INDEX(상세표[종료],$M293)),TEXT(INDEX(상세표[종료],$M293),"yyyy-mm-dd hh:mm"),INDEX(상세표[종료],$M293)&amp;""))</f>
        <v/>
      </c>
      <c r="F293" s="20">
        <f>IF($M293="","",INDEX(상세표[기록 시간외],$M293))</f>
        <v/>
      </c>
      <c r="G293">
        <f>IF($M293="","",INDEX(상세표[시작월 기관],$M293)&amp;"")</f>
        <v/>
      </c>
      <c r="H293">
        <f>IF($M293="","",INDEX(상세표[종료월 기관],$M293)&amp;"")</f>
        <v/>
      </c>
      <c r="I293">
        <f>IF($M293="","",INDEX(상세표[월경계 판정],$M293)&amp;"")</f>
        <v/>
      </c>
      <c r="J293">
        <f>IF($M293="","",INDEX(상세표[반영월],$M293)&amp;"")</f>
        <v/>
      </c>
      <c r="K293">
        <f>IF($M293="","",INDEX(상세표[반영 기관],$M293)&amp;"")</f>
        <v/>
      </c>
      <c r="L293">
        <f>IF($M293="","",INDEX(상세표[기관 출처],$M293)&amp;"")</f>
        <v/>
      </c>
      <c r="M293" s="4">
        <f>IFERROR(MATCH(288,상세표[경계순번],0),"")</f>
        <v/>
      </c>
    </row>
    <row r="294">
      <c r="A294">
        <f>IF($M294="","",INDEX(상세표[사번],$M294)&amp;"")</f>
        <v/>
      </c>
      <c r="B294">
        <f>IF($M294="","",INDEX(상세표[성명],$M294)&amp;"")</f>
        <v/>
      </c>
      <c r="C294">
        <f>IF($M294="","",IF(INDEX(상세표[종료월],$M294)=대상월키,"전월→이번 달","이번 달→익월"))</f>
        <v/>
      </c>
      <c r="D294">
        <f>IF($M294="","",IF(ISNUMBER(INDEX(상세표[시작],$M294)),TEXT(INDEX(상세표[시작],$M294),"yyyy-mm-dd hh:mm"),INDEX(상세표[시작],$M294)&amp;""))</f>
        <v/>
      </c>
      <c r="E294">
        <f>IF($M294="","",IF(ISNUMBER(INDEX(상세표[종료],$M294)),TEXT(INDEX(상세표[종료],$M294),"yyyy-mm-dd hh:mm"),INDEX(상세표[종료],$M294)&amp;""))</f>
        <v/>
      </c>
      <c r="F294" s="20">
        <f>IF($M294="","",INDEX(상세표[기록 시간외],$M294))</f>
        <v/>
      </c>
      <c r="G294">
        <f>IF($M294="","",INDEX(상세표[시작월 기관],$M294)&amp;"")</f>
        <v/>
      </c>
      <c r="H294">
        <f>IF($M294="","",INDEX(상세표[종료월 기관],$M294)&amp;"")</f>
        <v/>
      </c>
      <c r="I294">
        <f>IF($M294="","",INDEX(상세표[월경계 판정],$M294)&amp;"")</f>
        <v/>
      </c>
      <c r="J294">
        <f>IF($M294="","",INDEX(상세표[반영월],$M294)&amp;"")</f>
        <v/>
      </c>
      <c r="K294">
        <f>IF($M294="","",INDEX(상세표[반영 기관],$M294)&amp;"")</f>
        <v/>
      </c>
      <c r="L294">
        <f>IF($M294="","",INDEX(상세표[기관 출처],$M294)&amp;"")</f>
        <v/>
      </c>
      <c r="M294" s="4">
        <f>IFERROR(MATCH(289,상세표[경계순번],0),"")</f>
        <v/>
      </c>
    </row>
    <row r="295">
      <c r="A295">
        <f>IF($M295="","",INDEX(상세표[사번],$M295)&amp;"")</f>
        <v/>
      </c>
      <c r="B295">
        <f>IF($M295="","",INDEX(상세표[성명],$M295)&amp;"")</f>
        <v/>
      </c>
      <c r="C295">
        <f>IF($M295="","",IF(INDEX(상세표[종료월],$M295)=대상월키,"전월→이번 달","이번 달→익월"))</f>
        <v/>
      </c>
      <c r="D295">
        <f>IF($M295="","",IF(ISNUMBER(INDEX(상세표[시작],$M295)),TEXT(INDEX(상세표[시작],$M295),"yyyy-mm-dd hh:mm"),INDEX(상세표[시작],$M295)&amp;""))</f>
        <v/>
      </c>
      <c r="E295">
        <f>IF($M295="","",IF(ISNUMBER(INDEX(상세표[종료],$M295)),TEXT(INDEX(상세표[종료],$M295),"yyyy-mm-dd hh:mm"),INDEX(상세표[종료],$M295)&amp;""))</f>
        <v/>
      </c>
      <c r="F295" s="20">
        <f>IF($M295="","",INDEX(상세표[기록 시간외],$M295))</f>
        <v/>
      </c>
      <c r="G295">
        <f>IF($M295="","",INDEX(상세표[시작월 기관],$M295)&amp;"")</f>
        <v/>
      </c>
      <c r="H295">
        <f>IF($M295="","",INDEX(상세표[종료월 기관],$M295)&amp;"")</f>
        <v/>
      </c>
      <c r="I295">
        <f>IF($M295="","",INDEX(상세표[월경계 판정],$M295)&amp;"")</f>
        <v/>
      </c>
      <c r="J295">
        <f>IF($M295="","",INDEX(상세표[반영월],$M295)&amp;"")</f>
        <v/>
      </c>
      <c r="K295">
        <f>IF($M295="","",INDEX(상세표[반영 기관],$M295)&amp;"")</f>
        <v/>
      </c>
      <c r="L295">
        <f>IF($M295="","",INDEX(상세표[기관 출처],$M295)&amp;"")</f>
        <v/>
      </c>
      <c r="M295" s="4">
        <f>IFERROR(MATCH(290,상세표[경계순번],0),"")</f>
        <v/>
      </c>
    </row>
    <row r="296">
      <c r="A296">
        <f>IF($M296="","",INDEX(상세표[사번],$M296)&amp;"")</f>
        <v/>
      </c>
      <c r="B296">
        <f>IF($M296="","",INDEX(상세표[성명],$M296)&amp;"")</f>
        <v/>
      </c>
      <c r="C296">
        <f>IF($M296="","",IF(INDEX(상세표[종료월],$M296)=대상월키,"전월→이번 달","이번 달→익월"))</f>
        <v/>
      </c>
      <c r="D296">
        <f>IF($M296="","",IF(ISNUMBER(INDEX(상세표[시작],$M296)),TEXT(INDEX(상세표[시작],$M296),"yyyy-mm-dd hh:mm"),INDEX(상세표[시작],$M296)&amp;""))</f>
        <v/>
      </c>
      <c r="E296">
        <f>IF($M296="","",IF(ISNUMBER(INDEX(상세표[종료],$M296)),TEXT(INDEX(상세표[종료],$M296),"yyyy-mm-dd hh:mm"),INDEX(상세표[종료],$M296)&amp;""))</f>
        <v/>
      </c>
      <c r="F296" s="20">
        <f>IF($M296="","",INDEX(상세표[기록 시간외],$M296))</f>
        <v/>
      </c>
      <c r="G296">
        <f>IF($M296="","",INDEX(상세표[시작월 기관],$M296)&amp;"")</f>
        <v/>
      </c>
      <c r="H296">
        <f>IF($M296="","",INDEX(상세표[종료월 기관],$M296)&amp;"")</f>
        <v/>
      </c>
      <c r="I296">
        <f>IF($M296="","",INDEX(상세표[월경계 판정],$M296)&amp;"")</f>
        <v/>
      </c>
      <c r="J296">
        <f>IF($M296="","",INDEX(상세표[반영월],$M296)&amp;"")</f>
        <v/>
      </c>
      <c r="K296">
        <f>IF($M296="","",INDEX(상세표[반영 기관],$M296)&amp;"")</f>
        <v/>
      </c>
      <c r="L296">
        <f>IF($M296="","",INDEX(상세표[기관 출처],$M296)&amp;"")</f>
        <v/>
      </c>
      <c r="M296" s="4">
        <f>IFERROR(MATCH(291,상세표[경계순번],0),"")</f>
        <v/>
      </c>
    </row>
    <row r="297">
      <c r="A297">
        <f>IF($M297="","",INDEX(상세표[사번],$M297)&amp;"")</f>
        <v/>
      </c>
      <c r="B297">
        <f>IF($M297="","",INDEX(상세표[성명],$M297)&amp;"")</f>
        <v/>
      </c>
      <c r="C297">
        <f>IF($M297="","",IF(INDEX(상세표[종료월],$M297)=대상월키,"전월→이번 달","이번 달→익월"))</f>
        <v/>
      </c>
      <c r="D297">
        <f>IF($M297="","",IF(ISNUMBER(INDEX(상세표[시작],$M297)),TEXT(INDEX(상세표[시작],$M297),"yyyy-mm-dd hh:mm"),INDEX(상세표[시작],$M297)&amp;""))</f>
        <v/>
      </c>
      <c r="E297">
        <f>IF($M297="","",IF(ISNUMBER(INDEX(상세표[종료],$M297)),TEXT(INDEX(상세표[종료],$M297),"yyyy-mm-dd hh:mm"),INDEX(상세표[종료],$M297)&amp;""))</f>
        <v/>
      </c>
      <c r="F297" s="20">
        <f>IF($M297="","",INDEX(상세표[기록 시간외],$M297))</f>
        <v/>
      </c>
      <c r="G297">
        <f>IF($M297="","",INDEX(상세표[시작월 기관],$M297)&amp;"")</f>
        <v/>
      </c>
      <c r="H297">
        <f>IF($M297="","",INDEX(상세표[종료월 기관],$M297)&amp;"")</f>
        <v/>
      </c>
      <c r="I297">
        <f>IF($M297="","",INDEX(상세표[월경계 판정],$M297)&amp;"")</f>
        <v/>
      </c>
      <c r="J297">
        <f>IF($M297="","",INDEX(상세표[반영월],$M297)&amp;"")</f>
        <v/>
      </c>
      <c r="K297">
        <f>IF($M297="","",INDEX(상세표[반영 기관],$M297)&amp;"")</f>
        <v/>
      </c>
      <c r="L297">
        <f>IF($M297="","",INDEX(상세표[기관 출처],$M297)&amp;"")</f>
        <v/>
      </c>
      <c r="M297" s="4">
        <f>IFERROR(MATCH(292,상세표[경계순번],0),"")</f>
        <v/>
      </c>
    </row>
    <row r="298">
      <c r="A298">
        <f>IF($M298="","",INDEX(상세표[사번],$M298)&amp;"")</f>
        <v/>
      </c>
      <c r="B298">
        <f>IF($M298="","",INDEX(상세표[성명],$M298)&amp;"")</f>
        <v/>
      </c>
      <c r="C298">
        <f>IF($M298="","",IF(INDEX(상세표[종료월],$M298)=대상월키,"전월→이번 달","이번 달→익월"))</f>
        <v/>
      </c>
      <c r="D298">
        <f>IF($M298="","",IF(ISNUMBER(INDEX(상세표[시작],$M298)),TEXT(INDEX(상세표[시작],$M298),"yyyy-mm-dd hh:mm"),INDEX(상세표[시작],$M298)&amp;""))</f>
        <v/>
      </c>
      <c r="E298">
        <f>IF($M298="","",IF(ISNUMBER(INDEX(상세표[종료],$M298)),TEXT(INDEX(상세표[종료],$M298),"yyyy-mm-dd hh:mm"),INDEX(상세표[종료],$M298)&amp;""))</f>
        <v/>
      </c>
      <c r="F298" s="20">
        <f>IF($M298="","",INDEX(상세표[기록 시간외],$M298))</f>
        <v/>
      </c>
      <c r="G298">
        <f>IF($M298="","",INDEX(상세표[시작월 기관],$M298)&amp;"")</f>
        <v/>
      </c>
      <c r="H298">
        <f>IF($M298="","",INDEX(상세표[종료월 기관],$M298)&amp;"")</f>
        <v/>
      </c>
      <c r="I298">
        <f>IF($M298="","",INDEX(상세표[월경계 판정],$M298)&amp;"")</f>
        <v/>
      </c>
      <c r="J298">
        <f>IF($M298="","",INDEX(상세표[반영월],$M298)&amp;"")</f>
        <v/>
      </c>
      <c r="K298">
        <f>IF($M298="","",INDEX(상세표[반영 기관],$M298)&amp;"")</f>
        <v/>
      </c>
      <c r="L298">
        <f>IF($M298="","",INDEX(상세표[기관 출처],$M298)&amp;"")</f>
        <v/>
      </c>
      <c r="M298" s="4">
        <f>IFERROR(MATCH(293,상세표[경계순번],0),"")</f>
        <v/>
      </c>
    </row>
    <row r="299">
      <c r="A299">
        <f>IF($M299="","",INDEX(상세표[사번],$M299)&amp;"")</f>
        <v/>
      </c>
      <c r="B299">
        <f>IF($M299="","",INDEX(상세표[성명],$M299)&amp;"")</f>
        <v/>
      </c>
      <c r="C299">
        <f>IF($M299="","",IF(INDEX(상세표[종료월],$M299)=대상월키,"전월→이번 달","이번 달→익월"))</f>
        <v/>
      </c>
      <c r="D299">
        <f>IF($M299="","",IF(ISNUMBER(INDEX(상세표[시작],$M299)),TEXT(INDEX(상세표[시작],$M299),"yyyy-mm-dd hh:mm"),INDEX(상세표[시작],$M299)&amp;""))</f>
        <v/>
      </c>
      <c r="E299">
        <f>IF($M299="","",IF(ISNUMBER(INDEX(상세표[종료],$M299)),TEXT(INDEX(상세표[종료],$M299),"yyyy-mm-dd hh:mm"),INDEX(상세표[종료],$M299)&amp;""))</f>
        <v/>
      </c>
      <c r="F299" s="20">
        <f>IF($M299="","",INDEX(상세표[기록 시간외],$M299))</f>
        <v/>
      </c>
      <c r="G299">
        <f>IF($M299="","",INDEX(상세표[시작월 기관],$M299)&amp;"")</f>
        <v/>
      </c>
      <c r="H299">
        <f>IF($M299="","",INDEX(상세표[종료월 기관],$M299)&amp;"")</f>
        <v/>
      </c>
      <c r="I299">
        <f>IF($M299="","",INDEX(상세표[월경계 판정],$M299)&amp;"")</f>
        <v/>
      </c>
      <c r="J299">
        <f>IF($M299="","",INDEX(상세표[반영월],$M299)&amp;"")</f>
        <v/>
      </c>
      <c r="K299">
        <f>IF($M299="","",INDEX(상세표[반영 기관],$M299)&amp;"")</f>
        <v/>
      </c>
      <c r="L299">
        <f>IF($M299="","",INDEX(상세표[기관 출처],$M299)&amp;"")</f>
        <v/>
      </c>
      <c r="M299" s="4">
        <f>IFERROR(MATCH(294,상세표[경계순번],0),"")</f>
        <v/>
      </c>
    </row>
    <row r="300">
      <c r="A300">
        <f>IF($M300="","",INDEX(상세표[사번],$M300)&amp;"")</f>
        <v/>
      </c>
      <c r="B300">
        <f>IF($M300="","",INDEX(상세표[성명],$M300)&amp;"")</f>
        <v/>
      </c>
      <c r="C300">
        <f>IF($M300="","",IF(INDEX(상세표[종료월],$M300)=대상월키,"전월→이번 달","이번 달→익월"))</f>
        <v/>
      </c>
      <c r="D300">
        <f>IF($M300="","",IF(ISNUMBER(INDEX(상세표[시작],$M300)),TEXT(INDEX(상세표[시작],$M300),"yyyy-mm-dd hh:mm"),INDEX(상세표[시작],$M300)&amp;""))</f>
        <v/>
      </c>
      <c r="E300">
        <f>IF($M300="","",IF(ISNUMBER(INDEX(상세표[종료],$M300)),TEXT(INDEX(상세표[종료],$M300),"yyyy-mm-dd hh:mm"),INDEX(상세표[종료],$M300)&amp;""))</f>
        <v/>
      </c>
      <c r="F300" s="20">
        <f>IF($M300="","",INDEX(상세표[기록 시간외],$M300))</f>
        <v/>
      </c>
      <c r="G300">
        <f>IF($M300="","",INDEX(상세표[시작월 기관],$M300)&amp;"")</f>
        <v/>
      </c>
      <c r="H300">
        <f>IF($M300="","",INDEX(상세표[종료월 기관],$M300)&amp;"")</f>
        <v/>
      </c>
      <c r="I300">
        <f>IF($M300="","",INDEX(상세표[월경계 판정],$M300)&amp;"")</f>
        <v/>
      </c>
      <c r="J300">
        <f>IF($M300="","",INDEX(상세표[반영월],$M300)&amp;"")</f>
        <v/>
      </c>
      <c r="K300">
        <f>IF($M300="","",INDEX(상세표[반영 기관],$M300)&amp;"")</f>
        <v/>
      </c>
      <c r="L300">
        <f>IF($M300="","",INDEX(상세표[기관 출처],$M300)&amp;"")</f>
        <v/>
      </c>
      <c r="M300" s="4">
        <f>IFERROR(MATCH(295,상세표[경계순번],0),"")</f>
        <v/>
      </c>
    </row>
    <row r="301">
      <c r="A301">
        <f>IF($M301="","",INDEX(상세표[사번],$M301)&amp;"")</f>
        <v/>
      </c>
      <c r="B301">
        <f>IF($M301="","",INDEX(상세표[성명],$M301)&amp;"")</f>
        <v/>
      </c>
      <c r="C301">
        <f>IF($M301="","",IF(INDEX(상세표[종료월],$M301)=대상월키,"전월→이번 달","이번 달→익월"))</f>
        <v/>
      </c>
      <c r="D301">
        <f>IF($M301="","",IF(ISNUMBER(INDEX(상세표[시작],$M301)),TEXT(INDEX(상세표[시작],$M301),"yyyy-mm-dd hh:mm"),INDEX(상세표[시작],$M301)&amp;""))</f>
        <v/>
      </c>
      <c r="E301">
        <f>IF($M301="","",IF(ISNUMBER(INDEX(상세표[종료],$M301)),TEXT(INDEX(상세표[종료],$M301),"yyyy-mm-dd hh:mm"),INDEX(상세표[종료],$M301)&amp;""))</f>
        <v/>
      </c>
      <c r="F301" s="20">
        <f>IF($M301="","",INDEX(상세표[기록 시간외],$M301))</f>
        <v/>
      </c>
      <c r="G301">
        <f>IF($M301="","",INDEX(상세표[시작월 기관],$M301)&amp;"")</f>
        <v/>
      </c>
      <c r="H301">
        <f>IF($M301="","",INDEX(상세표[종료월 기관],$M301)&amp;"")</f>
        <v/>
      </c>
      <c r="I301">
        <f>IF($M301="","",INDEX(상세표[월경계 판정],$M301)&amp;"")</f>
        <v/>
      </c>
      <c r="J301">
        <f>IF($M301="","",INDEX(상세표[반영월],$M301)&amp;"")</f>
        <v/>
      </c>
      <c r="K301">
        <f>IF($M301="","",INDEX(상세표[반영 기관],$M301)&amp;"")</f>
        <v/>
      </c>
      <c r="L301">
        <f>IF($M301="","",INDEX(상세표[기관 출처],$M301)&amp;"")</f>
        <v/>
      </c>
      <c r="M301" s="4">
        <f>IFERROR(MATCH(296,상세표[경계순번],0),"")</f>
        <v/>
      </c>
    </row>
    <row r="302">
      <c r="A302">
        <f>IF($M302="","",INDEX(상세표[사번],$M302)&amp;"")</f>
        <v/>
      </c>
      <c r="B302">
        <f>IF($M302="","",INDEX(상세표[성명],$M302)&amp;"")</f>
        <v/>
      </c>
      <c r="C302">
        <f>IF($M302="","",IF(INDEX(상세표[종료월],$M302)=대상월키,"전월→이번 달","이번 달→익월"))</f>
        <v/>
      </c>
      <c r="D302">
        <f>IF($M302="","",IF(ISNUMBER(INDEX(상세표[시작],$M302)),TEXT(INDEX(상세표[시작],$M302),"yyyy-mm-dd hh:mm"),INDEX(상세표[시작],$M302)&amp;""))</f>
        <v/>
      </c>
      <c r="E302">
        <f>IF($M302="","",IF(ISNUMBER(INDEX(상세표[종료],$M302)),TEXT(INDEX(상세표[종료],$M302),"yyyy-mm-dd hh:mm"),INDEX(상세표[종료],$M302)&amp;""))</f>
        <v/>
      </c>
      <c r="F302" s="20">
        <f>IF($M302="","",INDEX(상세표[기록 시간외],$M302))</f>
        <v/>
      </c>
      <c r="G302">
        <f>IF($M302="","",INDEX(상세표[시작월 기관],$M302)&amp;"")</f>
        <v/>
      </c>
      <c r="H302">
        <f>IF($M302="","",INDEX(상세표[종료월 기관],$M302)&amp;"")</f>
        <v/>
      </c>
      <c r="I302">
        <f>IF($M302="","",INDEX(상세표[월경계 판정],$M302)&amp;"")</f>
        <v/>
      </c>
      <c r="J302">
        <f>IF($M302="","",INDEX(상세표[반영월],$M302)&amp;"")</f>
        <v/>
      </c>
      <c r="K302">
        <f>IF($M302="","",INDEX(상세표[반영 기관],$M302)&amp;"")</f>
        <v/>
      </c>
      <c r="L302">
        <f>IF($M302="","",INDEX(상세표[기관 출처],$M302)&amp;"")</f>
        <v/>
      </c>
      <c r="M302" s="4">
        <f>IFERROR(MATCH(297,상세표[경계순번],0),"")</f>
        <v/>
      </c>
    </row>
    <row r="303">
      <c r="A303">
        <f>IF($M303="","",INDEX(상세표[사번],$M303)&amp;"")</f>
        <v/>
      </c>
      <c r="B303">
        <f>IF($M303="","",INDEX(상세표[성명],$M303)&amp;"")</f>
        <v/>
      </c>
      <c r="C303">
        <f>IF($M303="","",IF(INDEX(상세표[종료월],$M303)=대상월키,"전월→이번 달","이번 달→익월"))</f>
        <v/>
      </c>
      <c r="D303">
        <f>IF($M303="","",IF(ISNUMBER(INDEX(상세표[시작],$M303)),TEXT(INDEX(상세표[시작],$M303),"yyyy-mm-dd hh:mm"),INDEX(상세표[시작],$M303)&amp;""))</f>
        <v/>
      </c>
      <c r="E303">
        <f>IF($M303="","",IF(ISNUMBER(INDEX(상세표[종료],$M303)),TEXT(INDEX(상세표[종료],$M303),"yyyy-mm-dd hh:mm"),INDEX(상세표[종료],$M303)&amp;""))</f>
        <v/>
      </c>
      <c r="F303" s="20">
        <f>IF($M303="","",INDEX(상세표[기록 시간외],$M303))</f>
        <v/>
      </c>
      <c r="G303">
        <f>IF($M303="","",INDEX(상세표[시작월 기관],$M303)&amp;"")</f>
        <v/>
      </c>
      <c r="H303">
        <f>IF($M303="","",INDEX(상세표[종료월 기관],$M303)&amp;"")</f>
        <v/>
      </c>
      <c r="I303">
        <f>IF($M303="","",INDEX(상세표[월경계 판정],$M303)&amp;"")</f>
        <v/>
      </c>
      <c r="J303">
        <f>IF($M303="","",INDEX(상세표[반영월],$M303)&amp;"")</f>
        <v/>
      </c>
      <c r="K303">
        <f>IF($M303="","",INDEX(상세표[반영 기관],$M303)&amp;"")</f>
        <v/>
      </c>
      <c r="L303">
        <f>IF($M303="","",INDEX(상세표[기관 출처],$M303)&amp;"")</f>
        <v/>
      </c>
      <c r="M303" s="4">
        <f>IFERROR(MATCH(298,상세표[경계순번],0),"")</f>
        <v/>
      </c>
    </row>
    <row r="304">
      <c r="A304">
        <f>IF($M304="","",INDEX(상세표[사번],$M304)&amp;"")</f>
        <v/>
      </c>
      <c r="B304">
        <f>IF($M304="","",INDEX(상세표[성명],$M304)&amp;"")</f>
        <v/>
      </c>
      <c r="C304">
        <f>IF($M304="","",IF(INDEX(상세표[종료월],$M304)=대상월키,"전월→이번 달","이번 달→익월"))</f>
        <v/>
      </c>
      <c r="D304">
        <f>IF($M304="","",IF(ISNUMBER(INDEX(상세표[시작],$M304)),TEXT(INDEX(상세표[시작],$M304),"yyyy-mm-dd hh:mm"),INDEX(상세표[시작],$M304)&amp;""))</f>
        <v/>
      </c>
      <c r="E304">
        <f>IF($M304="","",IF(ISNUMBER(INDEX(상세표[종료],$M304)),TEXT(INDEX(상세표[종료],$M304),"yyyy-mm-dd hh:mm"),INDEX(상세표[종료],$M304)&amp;""))</f>
        <v/>
      </c>
      <c r="F304" s="20">
        <f>IF($M304="","",INDEX(상세표[기록 시간외],$M304))</f>
        <v/>
      </c>
      <c r="G304">
        <f>IF($M304="","",INDEX(상세표[시작월 기관],$M304)&amp;"")</f>
        <v/>
      </c>
      <c r="H304">
        <f>IF($M304="","",INDEX(상세표[종료월 기관],$M304)&amp;"")</f>
        <v/>
      </c>
      <c r="I304">
        <f>IF($M304="","",INDEX(상세표[월경계 판정],$M304)&amp;"")</f>
        <v/>
      </c>
      <c r="J304">
        <f>IF($M304="","",INDEX(상세표[반영월],$M304)&amp;"")</f>
        <v/>
      </c>
      <c r="K304">
        <f>IF($M304="","",INDEX(상세표[반영 기관],$M304)&amp;"")</f>
        <v/>
      </c>
      <c r="L304">
        <f>IF($M304="","",INDEX(상세표[기관 출처],$M304)&amp;"")</f>
        <v/>
      </c>
      <c r="M304" s="4">
        <f>IFERROR(MATCH(299,상세표[경계순번],0),"")</f>
        <v/>
      </c>
    </row>
    <row r="305">
      <c r="A305">
        <f>IF($M305="","",INDEX(상세표[사번],$M305)&amp;"")</f>
        <v/>
      </c>
      <c r="B305">
        <f>IF($M305="","",INDEX(상세표[성명],$M305)&amp;"")</f>
        <v/>
      </c>
      <c r="C305">
        <f>IF($M305="","",IF(INDEX(상세표[종료월],$M305)=대상월키,"전월→이번 달","이번 달→익월"))</f>
        <v/>
      </c>
      <c r="D305">
        <f>IF($M305="","",IF(ISNUMBER(INDEX(상세표[시작],$M305)),TEXT(INDEX(상세표[시작],$M305),"yyyy-mm-dd hh:mm"),INDEX(상세표[시작],$M305)&amp;""))</f>
        <v/>
      </c>
      <c r="E305">
        <f>IF($M305="","",IF(ISNUMBER(INDEX(상세표[종료],$M305)),TEXT(INDEX(상세표[종료],$M305),"yyyy-mm-dd hh:mm"),INDEX(상세표[종료],$M305)&amp;""))</f>
        <v/>
      </c>
      <c r="F305" s="20">
        <f>IF($M305="","",INDEX(상세표[기록 시간외],$M305))</f>
        <v/>
      </c>
      <c r="G305">
        <f>IF($M305="","",INDEX(상세표[시작월 기관],$M305)&amp;"")</f>
        <v/>
      </c>
      <c r="H305">
        <f>IF($M305="","",INDEX(상세표[종료월 기관],$M305)&amp;"")</f>
        <v/>
      </c>
      <c r="I305">
        <f>IF($M305="","",INDEX(상세표[월경계 판정],$M305)&amp;"")</f>
        <v/>
      </c>
      <c r="J305">
        <f>IF($M305="","",INDEX(상세표[반영월],$M305)&amp;"")</f>
        <v/>
      </c>
      <c r="K305">
        <f>IF($M305="","",INDEX(상세표[반영 기관],$M305)&amp;"")</f>
        <v/>
      </c>
      <c r="L305">
        <f>IF($M305="","",INDEX(상세표[기관 출처],$M305)&amp;"")</f>
        <v/>
      </c>
      <c r="M305" s="4">
        <f>IFERROR(MATCH(300,상세표[경계순번],0),"")</f>
        <v/>
      </c>
    </row>
    <row r="306">
      <c r="A306">
        <f>IF($M306="","",INDEX(상세표[사번],$M306)&amp;"")</f>
        <v/>
      </c>
      <c r="B306">
        <f>IF($M306="","",INDEX(상세표[성명],$M306)&amp;"")</f>
        <v/>
      </c>
      <c r="C306">
        <f>IF($M306="","",IF(INDEX(상세표[종료월],$M306)=대상월키,"전월→이번 달","이번 달→익월"))</f>
        <v/>
      </c>
      <c r="D306">
        <f>IF($M306="","",IF(ISNUMBER(INDEX(상세표[시작],$M306)),TEXT(INDEX(상세표[시작],$M306),"yyyy-mm-dd hh:mm"),INDEX(상세표[시작],$M306)&amp;""))</f>
        <v/>
      </c>
      <c r="E306">
        <f>IF($M306="","",IF(ISNUMBER(INDEX(상세표[종료],$M306)),TEXT(INDEX(상세표[종료],$M306),"yyyy-mm-dd hh:mm"),INDEX(상세표[종료],$M306)&amp;""))</f>
        <v/>
      </c>
      <c r="F306" s="20">
        <f>IF($M306="","",INDEX(상세표[기록 시간외],$M306))</f>
        <v/>
      </c>
      <c r="G306">
        <f>IF($M306="","",INDEX(상세표[시작월 기관],$M306)&amp;"")</f>
        <v/>
      </c>
      <c r="H306">
        <f>IF($M306="","",INDEX(상세표[종료월 기관],$M306)&amp;"")</f>
        <v/>
      </c>
      <c r="I306">
        <f>IF($M306="","",INDEX(상세표[월경계 판정],$M306)&amp;"")</f>
        <v/>
      </c>
      <c r="J306">
        <f>IF($M306="","",INDEX(상세표[반영월],$M306)&amp;"")</f>
        <v/>
      </c>
      <c r="K306">
        <f>IF($M306="","",INDEX(상세표[반영 기관],$M306)&amp;"")</f>
        <v/>
      </c>
      <c r="L306">
        <f>IF($M306="","",INDEX(상세표[기관 출처],$M306)&amp;"")</f>
        <v/>
      </c>
      <c r="M306" s="4">
        <f>IFERROR(MATCH(301,상세표[경계순번],0),"")</f>
        <v/>
      </c>
    </row>
    <row r="307">
      <c r="A307">
        <f>IF($M307="","",INDEX(상세표[사번],$M307)&amp;"")</f>
        <v/>
      </c>
      <c r="B307">
        <f>IF($M307="","",INDEX(상세표[성명],$M307)&amp;"")</f>
        <v/>
      </c>
      <c r="C307">
        <f>IF($M307="","",IF(INDEX(상세표[종료월],$M307)=대상월키,"전월→이번 달","이번 달→익월"))</f>
        <v/>
      </c>
      <c r="D307">
        <f>IF($M307="","",IF(ISNUMBER(INDEX(상세표[시작],$M307)),TEXT(INDEX(상세표[시작],$M307),"yyyy-mm-dd hh:mm"),INDEX(상세표[시작],$M307)&amp;""))</f>
        <v/>
      </c>
      <c r="E307">
        <f>IF($M307="","",IF(ISNUMBER(INDEX(상세표[종료],$M307)),TEXT(INDEX(상세표[종료],$M307),"yyyy-mm-dd hh:mm"),INDEX(상세표[종료],$M307)&amp;""))</f>
        <v/>
      </c>
      <c r="F307" s="20">
        <f>IF($M307="","",INDEX(상세표[기록 시간외],$M307))</f>
        <v/>
      </c>
      <c r="G307">
        <f>IF($M307="","",INDEX(상세표[시작월 기관],$M307)&amp;"")</f>
        <v/>
      </c>
      <c r="H307">
        <f>IF($M307="","",INDEX(상세표[종료월 기관],$M307)&amp;"")</f>
        <v/>
      </c>
      <c r="I307">
        <f>IF($M307="","",INDEX(상세표[월경계 판정],$M307)&amp;"")</f>
        <v/>
      </c>
      <c r="J307">
        <f>IF($M307="","",INDEX(상세표[반영월],$M307)&amp;"")</f>
        <v/>
      </c>
      <c r="K307">
        <f>IF($M307="","",INDEX(상세표[반영 기관],$M307)&amp;"")</f>
        <v/>
      </c>
      <c r="L307">
        <f>IF($M307="","",INDEX(상세표[기관 출처],$M307)&amp;"")</f>
        <v/>
      </c>
      <c r="M307" s="4">
        <f>IFERROR(MATCH(302,상세표[경계순번],0),"")</f>
        <v/>
      </c>
    </row>
    <row r="308">
      <c r="A308">
        <f>IF($M308="","",INDEX(상세표[사번],$M308)&amp;"")</f>
        <v/>
      </c>
      <c r="B308">
        <f>IF($M308="","",INDEX(상세표[성명],$M308)&amp;"")</f>
        <v/>
      </c>
      <c r="C308">
        <f>IF($M308="","",IF(INDEX(상세표[종료월],$M308)=대상월키,"전월→이번 달","이번 달→익월"))</f>
        <v/>
      </c>
      <c r="D308">
        <f>IF($M308="","",IF(ISNUMBER(INDEX(상세표[시작],$M308)),TEXT(INDEX(상세표[시작],$M308),"yyyy-mm-dd hh:mm"),INDEX(상세표[시작],$M308)&amp;""))</f>
        <v/>
      </c>
      <c r="E308">
        <f>IF($M308="","",IF(ISNUMBER(INDEX(상세표[종료],$M308)),TEXT(INDEX(상세표[종료],$M308),"yyyy-mm-dd hh:mm"),INDEX(상세표[종료],$M308)&amp;""))</f>
        <v/>
      </c>
      <c r="F308" s="20">
        <f>IF($M308="","",INDEX(상세표[기록 시간외],$M308))</f>
        <v/>
      </c>
      <c r="G308">
        <f>IF($M308="","",INDEX(상세표[시작월 기관],$M308)&amp;"")</f>
        <v/>
      </c>
      <c r="H308">
        <f>IF($M308="","",INDEX(상세표[종료월 기관],$M308)&amp;"")</f>
        <v/>
      </c>
      <c r="I308">
        <f>IF($M308="","",INDEX(상세표[월경계 판정],$M308)&amp;"")</f>
        <v/>
      </c>
      <c r="J308">
        <f>IF($M308="","",INDEX(상세표[반영월],$M308)&amp;"")</f>
        <v/>
      </c>
      <c r="K308">
        <f>IF($M308="","",INDEX(상세표[반영 기관],$M308)&amp;"")</f>
        <v/>
      </c>
      <c r="L308">
        <f>IF($M308="","",INDEX(상세표[기관 출처],$M308)&amp;"")</f>
        <v/>
      </c>
      <c r="M308" s="4">
        <f>IFERROR(MATCH(303,상세표[경계순번],0),"")</f>
        <v/>
      </c>
    </row>
    <row r="309">
      <c r="A309">
        <f>IF($M309="","",INDEX(상세표[사번],$M309)&amp;"")</f>
        <v/>
      </c>
      <c r="B309">
        <f>IF($M309="","",INDEX(상세표[성명],$M309)&amp;"")</f>
        <v/>
      </c>
      <c r="C309">
        <f>IF($M309="","",IF(INDEX(상세표[종료월],$M309)=대상월키,"전월→이번 달","이번 달→익월"))</f>
        <v/>
      </c>
      <c r="D309">
        <f>IF($M309="","",IF(ISNUMBER(INDEX(상세표[시작],$M309)),TEXT(INDEX(상세표[시작],$M309),"yyyy-mm-dd hh:mm"),INDEX(상세표[시작],$M309)&amp;""))</f>
        <v/>
      </c>
      <c r="E309">
        <f>IF($M309="","",IF(ISNUMBER(INDEX(상세표[종료],$M309)),TEXT(INDEX(상세표[종료],$M309),"yyyy-mm-dd hh:mm"),INDEX(상세표[종료],$M309)&amp;""))</f>
        <v/>
      </c>
      <c r="F309" s="20">
        <f>IF($M309="","",INDEX(상세표[기록 시간외],$M309))</f>
        <v/>
      </c>
      <c r="G309">
        <f>IF($M309="","",INDEX(상세표[시작월 기관],$M309)&amp;"")</f>
        <v/>
      </c>
      <c r="H309">
        <f>IF($M309="","",INDEX(상세표[종료월 기관],$M309)&amp;"")</f>
        <v/>
      </c>
      <c r="I309">
        <f>IF($M309="","",INDEX(상세표[월경계 판정],$M309)&amp;"")</f>
        <v/>
      </c>
      <c r="J309">
        <f>IF($M309="","",INDEX(상세표[반영월],$M309)&amp;"")</f>
        <v/>
      </c>
      <c r="K309">
        <f>IF($M309="","",INDEX(상세표[반영 기관],$M309)&amp;"")</f>
        <v/>
      </c>
      <c r="L309">
        <f>IF($M309="","",INDEX(상세표[기관 출처],$M309)&amp;"")</f>
        <v/>
      </c>
      <c r="M309" s="4">
        <f>IFERROR(MATCH(304,상세표[경계순번],0),"")</f>
        <v/>
      </c>
    </row>
    <row r="310">
      <c r="A310">
        <f>IF($M310="","",INDEX(상세표[사번],$M310)&amp;"")</f>
        <v/>
      </c>
      <c r="B310">
        <f>IF($M310="","",INDEX(상세표[성명],$M310)&amp;"")</f>
        <v/>
      </c>
      <c r="C310">
        <f>IF($M310="","",IF(INDEX(상세표[종료월],$M310)=대상월키,"전월→이번 달","이번 달→익월"))</f>
        <v/>
      </c>
      <c r="D310">
        <f>IF($M310="","",IF(ISNUMBER(INDEX(상세표[시작],$M310)),TEXT(INDEX(상세표[시작],$M310),"yyyy-mm-dd hh:mm"),INDEX(상세표[시작],$M310)&amp;""))</f>
        <v/>
      </c>
      <c r="E310">
        <f>IF($M310="","",IF(ISNUMBER(INDEX(상세표[종료],$M310)),TEXT(INDEX(상세표[종료],$M310),"yyyy-mm-dd hh:mm"),INDEX(상세표[종료],$M310)&amp;""))</f>
        <v/>
      </c>
      <c r="F310" s="20">
        <f>IF($M310="","",INDEX(상세표[기록 시간외],$M310))</f>
        <v/>
      </c>
      <c r="G310">
        <f>IF($M310="","",INDEX(상세표[시작월 기관],$M310)&amp;"")</f>
        <v/>
      </c>
      <c r="H310">
        <f>IF($M310="","",INDEX(상세표[종료월 기관],$M310)&amp;"")</f>
        <v/>
      </c>
      <c r="I310">
        <f>IF($M310="","",INDEX(상세표[월경계 판정],$M310)&amp;"")</f>
        <v/>
      </c>
      <c r="J310">
        <f>IF($M310="","",INDEX(상세표[반영월],$M310)&amp;"")</f>
        <v/>
      </c>
      <c r="K310">
        <f>IF($M310="","",INDEX(상세표[반영 기관],$M310)&amp;"")</f>
        <v/>
      </c>
      <c r="L310">
        <f>IF($M310="","",INDEX(상세표[기관 출처],$M310)&amp;"")</f>
        <v/>
      </c>
      <c r="M310" s="4">
        <f>IFERROR(MATCH(305,상세표[경계순번],0),"")</f>
        <v/>
      </c>
    </row>
    <row r="311">
      <c r="A311">
        <f>IF($M311="","",INDEX(상세표[사번],$M311)&amp;"")</f>
        <v/>
      </c>
      <c r="B311">
        <f>IF($M311="","",INDEX(상세표[성명],$M311)&amp;"")</f>
        <v/>
      </c>
      <c r="C311">
        <f>IF($M311="","",IF(INDEX(상세표[종료월],$M311)=대상월키,"전월→이번 달","이번 달→익월"))</f>
        <v/>
      </c>
      <c r="D311">
        <f>IF($M311="","",IF(ISNUMBER(INDEX(상세표[시작],$M311)),TEXT(INDEX(상세표[시작],$M311),"yyyy-mm-dd hh:mm"),INDEX(상세표[시작],$M311)&amp;""))</f>
        <v/>
      </c>
      <c r="E311">
        <f>IF($M311="","",IF(ISNUMBER(INDEX(상세표[종료],$M311)),TEXT(INDEX(상세표[종료],$M311),"yyyy-mm-dd hh:mm"),INDEX(상세표[종료],$M311)&amp;""))</f>
        <v/>
      </c>
      <c r="F311" s="20">
        <f>IF($M311="","",INDEX(상세표[기록 시간외],$M311))</f>
        <v/>
      </c>
      <c r="G311">
        <f>IF($M311="","",INDEX(상세표[시작월 기관],$M311)&amp;"")</f>
        <v/>
      </c>
      <c r="H311">
        <f>IF($M311="","",INDEX(상세표[종료월 기관],$M311)&amp;"")</f>
        <v/>
      </c>
      <c r="I311">
        <f>IF($M311="","",INDEX(상세표[월경계 판정],$M311)&amp;"")</f>
        <v/>
      </c>
      <c r="J311">
        <f>IF($M311="","",INDEX(상세표[반영월],$M311)&amp;"")</f>
        <v/>
      </c>
      <c r="K311">
        <f>IF($M311="","",INDEX(상세표[반영 기관],$M311)&amp;"")</f>
        <v/>
      </c>
      <c r="L311">
        <f>IF($M311="","",INDEX(상세표[기관 출처],$M311)&amp;"")</f>
        <v/>
      </c>
      <c r="M311" s="4">
        <f>IFERROR(MATCH(306,상세표[경계순번],0),"")</f>
        <v/>
      </c>
    </row>
    <row r="312">
      <c r="A312">
        <f>IF($M312="","",INDEX(상세표[사번],$M312)&amp;"")</f>
        <v/>
      </c>
      <c r="B312">
        <f>IF($M312="","",INDEX(상세표[성명],$M312)&amp;"")</f>
        <v/>
      </c>
      <c r="C312">
        <f>IF($M312="","",IF(INDEX(상세표[종료월],$M312)=대상월키,"전월→이번 달","이번 달→익월"))</f>
        <v/>
      </c>
      <c r="D312">
        <f>IF($M312="","",IF(ISNUMBER(INDEX(상세표[시작],$M312)),TEXT(INDEX(상세표[시작],$M312),"yyyy-mm-dd hh:mm"),INDEX(상세표[시작],$M312)&amp;""))</f>
        <v/>
      </c>
      <c r="E312">
        <f>IF($M312="","",IF(ISNUMBER(INDEX(상세표[종료],$M312)),TEXT(INDEX(상세표[종료],$M312),"yyyy-mm-dd hh:mm"),INDEX(상세표[종료],$M312)&amp;""))</f>
        <v/>
      </c>
      <c r="F312" s="20">
        <f>IF($M312="","",INDEX(상세표[기록 시간외],$M312))</f>
        <v/>
      </c>
      <c r="G312">
        <f>IF($M312="","",INDEX(상세표[시작월 기관],$M312)&amp;"")</f>
        <v/>
      </c>
      <c r="H312">
        <f>IF($M312="","",INDEX(상세표[종료월 기관],$M312)&amp;"")</f>
        <v/>
      </c>
      <c r="I312">
        <f>IF($M312="","",INDEX(상세표[월경계 판정],$M312)&amp;"")</f>
        <v/>
      </c>
      <c r="J312">
        <f>IF($M312="","",INDEX(상세표[반영월],$M312)&amp;"")</f>
        <v/>
      </c>
      <c r="K312">
        <f>IF($M312="","",INDEX(상세표[반영 기관],$M312)&amp;"")</f>
        <v/>
      </c>
      <c r="L312">
        <f>IF($M312="","",INDEX(상세표[기관 출처],$M312)&amp;"")</f>
        <v/>
      </c>
      <c r="M312" s="4">
        <f>IFERROR(MATCH(307,상세표[경계순번],0),"")</f>
        <v/>
      </c>
    </row>
    <row r="313">
      <c r="A313">
        <f>IF($M313="","",INDEX(상세표[사번],$M313)&amp;"")</f>
        <v/>
      </c>
      <c r="B313">
        <f>IF($M313="","",INDEX(상세표[성명],$M313)&amp;"")</f>
        <v/>
      </c>
      <c r="C313">
        <f>IF($M313="","",IF(INDEX(상세표[종료월],$M313)=대상월키,"전월→이번 달","이번 달→익월"))</f>
        <v/>
      </c>
      <c r="D313">
        <f>IF($M313="","",IF(ISNUMBER(INDEX(상세표[시작],$M313)),TEXT(INDEX(상세표[시작],$M313),"yyyy-mm-dd hh:mm"),INDEX(상세표[시작],$M313)&amp;""))</f>
        <v/>
      </c>
      <c r="E313">
        <f>IF($M313="","",IF(ISNUMBER(INDEX(상세표[종료],$M313)),TEXT(INDEX(상세표[종료],$M313),"yyyy-mm-dd hh:mm"),INDEX(상세표[종료],$M313)&amp;""))</f>
        <v/>
      </c>
      <c r="F313" s="20">
        <f>IF($M313="","",INDEX(상세표[기록 시간외],$M313))</f>
        <v/>
      </c>
      <c r="G313">
        <f>IF($M313="","",INDEX(상세표[시작월 기관],$M313)&amp;"")</f>
        <v/>
      </c>
      <c r="H313">
        <f>IF($M313="","",INDEX(상세표[종료월 기관],$M313)&amp;"")</f>
        <v/>
      </c>
      <c r="I313">
        <f>IF($M313="","",INDEX(상세표[월경계 판정],$M313)&amp;"")</f>
        <v/>
      </c>
      <c r="J313">
        <f>IF($M313="","",INDEX(상세표[반영월],$M313)&amp;"")</f>
        <v/>
      </c>
      <c r="K313">
        <f>IF($M313="","",INDEX(상세표[반영 기관],$M313)&amp;"")</f>
        <v/>
      </c>
      <c r="L313">
        <f>IF($M313="","",INDEX(상세표[기관 출처],$M313)&amp;"")</f>
        <v/>
      </c>
      <c r="M313" s="4">
        <f>IFERROR(MATCH(308,상세표[경계순번],0),"")</f>
        <v/>
      </c>
    </row>
    <row r="314">
      <c r="A314">
        <f>IF($M314="","",INDEX(상세표[사번],$M314)&amp;"")</f>
        <v/>
      </c>
      <c r="B314">
        <f>IF($M314="","",INDEX(상세표[성명],$M314)&amp;"")</f>
        <v/>
      </c>
      <c r="C314">
        <f>IF($M314="","",IF(INDEX(상세표[종료월],$M314)=대상월키,"전월→이번 달","이번 달→익월"))</f>
        <v/>
      </c>
      <c r="D314">
        <f>IF($M314="","",IF(ISNUMBER(INDEX(상세표[시작],$M314)),TEXT(INDEX(상세표[시작],$M314),"yyyy-mm-dd hh:mm"),INDEX(상세표[시작],$M314)&amp;""))</f>
        <v/>
      </c>
      <c r="E314">
        <f>IF($M314="","",IF(ISNUMBER(INDEX(상세표[종료],$M314)),TEXT(INDEX(상세표[종료],$M314),"yyyy-mm-dd hh:mm"),INDEX(상세표[종료],$M314)&amp;""))</f>
        <v/>
      </c>
      <c r="F314" s="20">
        <f>IF($M314="","",INDEX(상세표[기록 시간외],$M314))</f>
        <v/>
      </c>
      <c r="G314">
        <f>IF($M314="","",INDEX(상세표[시작월 기관],$M314)&amp;"")</f>
        <v/>
      </c>
      <c r="H314">
        <f>IF($M314="","",INDEX(상세표[종료월 기관],$M314)&amp;"")</f>
        <v/>
      </c>
      <c r="I314">
        <f>IF($M314="","",INDEX(상세표[월경계 판정],$M314)&amp;"")</f>
        <v/>
      </c>
      <c r="J314">
        <f>IF($M314="","",INDEX(상세표[반영월],$M314)&amp;"")</f>
        <v/>
      </c>
      <c r="K314">
        <f>IF($M314="","",INDEX(상세표[반영 기관],$M314)&amp;"")</f>
        <v/>
      </c>
      <c r="L314">
        <f>IF($M314="","",INDEX(상세표[기관 출처],$M314)&amp;"")</f>
        <v/>
      </c>
      <c r="M314" s="4">
        <f>IFERROR(MATCH(309,상세표[경계순번],0),"")</f>
        <v/>
      </c>
    </row>
    <row r="315">
      <c r="A315">
        <f>IF($M315="","",INDEX(상세표[사번],$M315)&amp;"")</f>
        <v/>
      </c>
      <c r="B315">
        <f>IF($M315="","",INDEX(상세표[성명],$M315)&amp;"")</f>
        <v/>
      </c>
      <c r="C315">
        <f>IF($M315="","",IF(INDEX(상세표[종료월],$M315)=대상월키,"전월→이번 달","이번 달→익월"))</f>
        <v/>
      </c>
      <c r="D315">
        <f>IF($M315="","",IF(ISNUMBER(INDEX(상세표[시작],$M315)),TEXT(INDEX(상세표[시작],$M315),"yyyy-mm-dd hh:mm"),INDEX(상세표[시작],$M315)&amp;""))</f>
        <v/>
      </c>
      <c r="E315">
        <f>IF($M315="","",IF(ISNUMBER(INDEX(상세표[종료],$M315)),TEXT(INDEX(상세표[종료],$M315),"yyyy-mm-dd hh:mm"),INDEX(상세표[종료],$M315)&amp;""))</f>
        <v/>
      </c>
      <c r="F315" s="20">
        <f>IF($M315="","",INDEX(상세표[기록 시간외],$M315))</f>
        <v/>
      </c>
      <c r="G315">
        <f>IF($M315="","",INDEX(상세표[시작월 기관],$M315)&amp;"")</f>
        <v/>
      </c>
      <c r="H315">
        <f>IF($M315="","",INDEX(상세표[종료월 기관],$M315)&amp;"")</f>
        <v/>
      </c>
      <c r="I315">
        <f>IF($M315="","",INDEX(상세표[월경계 판정],$M315)&amp;"")</f>
        <v/>
      </c>
      <c r="J315">
        <f>IF($M315="","",INDEX(상세표[반영월],$M315)&amp;"")</f>
        <v/>
      </c>
      <c r="K315">
        <f>IF($M315="","",INDEX(상세표[반영 기관],$M315)&amp;"")</f>
        <v/>
      </c>
      <c r="L315">
        <f>IF($M315="","",INDEX(상세표[기관 출처],$M315)&amp;"")</f>
        <v/>
      </c>
      <c r="M315" s="4">
        <f>IFERROR(MATCH(310,상세표[경계순번],0),"")</f>
        <v/>
      </c>
    </row>
    <row r="316">
      <c r="A316">
        <f>IF($M316="","",INDEX(상세표[사번],$M316)&amp;"")</f>
        <v/>
      </c>
      <c r="B316">
        <f>IF($M316="","",INDEX(상세표[성명],$M316)&amp;"")</f>
        <v/>
      </c>
      <c r="C316">
        <f>IF($M316="","",IF(INDEX(상세표[종료월],$M316)=대상월키,"전월→이번 달","이번 달→익월"))</f>
        <v/>
      </c>
      <c r="D316">
        <f>IF($M316="","",IF(ISNUMBER(INDEX(상세표[시작],$M316)),TEXT(INDEX(상세표[시작],$M316),"yyyy-mm-dd hh:mm"),INDEX(상세표[시작],$M316)&amp;""))</f>
        <v/>
      </c>
      <c r="E316">
        <f>IF($M316="","",IF(ISNUMBER(INDEX(상세표[종료],$M316)),TEXT(INDEX(상세표[종료],$M316),"yyyy-mm-dd hh:mm"),INDEX(상세표[종료],$M316)&amp;""))</f>
        <v/>
      </c>
      <c r="F316" s="20">
        <f>IF($M316="","",INDEX(상세표[기록 시간외],$M316))</f>
        <v/>
      </c>
      <c r="G316">
        <f>IF($M316="","",INDEX(상세표[시작월 기관],$M316)&amp;"")</f>
        <v/>
      </c>
      <c r="H316">
        <f>IF($M316="","",INDEX(상세표[종료월 기관],$M316)&amp;"")</f>
        <v/>
      </c>
      <c r="I316">
        <f>IF($M316="","",INDEX(상세표[월경계 판정],$M316)&amp;"")</f>
        <v/>
      </c>
      <c r="J316">
        <f>IF($M316="","",INDEX(상세표[반영월],$M316)&amp;"")</f>
        <v/>
      </c>
      <c r="K316">
        <f>IF($M316="","",INDEX(상세표[반영 기관],$M316)&amp;"")</f>
        <v/>
      </c>
      <c r="L316">
        <f>IF($M316="","",INDEX(상세표[기관 출처],$M316)&amp;"")</f>
        <v/>
      </c>
      <c r="M316" s="4">
        <f>IFERROR(MATCH(311,상세표[경계순번],0),"")</f>
        <v/>
      </c>
    </row>
    <row r="317">
      <c r="A317">
        <f>IF($M317="","",INDEX(상세표[사번],$M317)&amp;"")</f>
        <v/>
      </c>
      <c r="B317">
        <f>IF($M317="","",INDEX(상세표[성명],$M317)&amp;"")</f>
        <v/>
      </c>
      <c r="C317">
        <f>IF($M317="","",IF(INDEX(상세표[종료월],$M317)=대상월키,"전월→이번 달","이번 달→익월"))</f>
        <v/>
      </c>
      <c r="D317">
        <f>IF($M317="","",IF(ISNUMBER(INDEX(상세표[시작],$M317)),TEXT(INDEX(상세표[시작],$M317),"yyyy-mm-dd hh:mm"),INDEX(상세표[시작],$M317)&amp;""))</f>
        <v/>
      </c>
      <c r="E317">
        <f>IF($M317="","",IF(ISNUMBER(INDEX(상세표[종료],$M317)),TEXT(INDEX(상세표[종료],$M317),"yyyy-mm-dd hh:mm"),INDEX(상세표[종료],$M317)&amp;""))</f>
        <v/>
      </c>
      <c r="F317" s="20">
        <f>IF($M317="","",INDEX(상세표[기록 시간외],$M317))</f>
        <v/>
      </c>
      <c r="G317">
        <f>IF($M317="","",INDEX(상세표[시작월 기관],$M317)&amp;"")</f>
        <v/>
      </c>
      <c r="H317">
        <f>IF($M317="","",INDEX(상세표[종료월 기관],$M317)&amp;"")</f>
        <v/>
      </c>
      <c r="I317">
        <f>IF($M317="","",INDEX(상세표[월경계 판정],$M317)&amp;"")</f>
        <v/>
      </c>
      <c r="J317">
        <f>IF($M317="","",INDEX(상세표[반영월],$M317)&amp;"")</f>
        <v/>
      </c>
      <c r="K317">
        <f>IF($M317="","",INDEX(상세표[반영 기관],$M317)&amp;"")</f>
        <v/>
      </c>
      <c r="L317">
        <f>IF($M317="","",INDEX(상세표[기관 출처],$M317)&amp;"")</f>
        <v/>
      </c>
      <c r="M317" s="4">
        <f>IFERROR(MATCH(312,상세표[경계순번],0),"")</f>
        <v/>
      </c>
    </row>
    <row r="318">
      <c r="A318">
        <f>IF($M318="","",INDEX(상세표[사번],$M318)&amp;"")</f>
        <v/>
      </c>
      <c r="B318">
        <f>IF($M318="","",INDEX(상세표[성명],$M318)&amp;"")</f>
        <v/>
      </c>
      <c r="C318">
        <f>IF($M318="","",IF(INDEX(상세표[종료월],$M318)=대상월키,"전월→이번 달","이번 달→익월"))</f>
        <v/>
      </c>
      <c r="D318">
        <f>IF($M318="","",IF(ISNUMBER(INDEX(상세표[시작],$M318)),TEXT(INDEX(상세표[시작],$M318),"yyyy-mm-dd hh:mm"),INDEX(상세표[시작],$M318)&amp;""))</f>
        <v/>
      </c>
      <c r="E318">
        <f>IF($M318="","",IF(ISNUMBER(INDEX(상세표[종료],$M318)),TEXT(INDEX(상세표[종료],$M318),"yyyy-mm-dd hh:mm"),INDEX(상세표[종료],$M318)&amp;""))</f>
        <v/>
      </c>
      <c r="F318" s="20">
        <f>IF($M318="","",INDEX(상세표[기록 시간외],$M318))</f>
        <v/>
      </c>
      <c r="G318">
        <f>IF($M318="","",INDEX(상세표[시작월 기관],$M318)&amp;"")</f>
        <v/>
      </c>
      <c r="H318">
        <f>IF($M318="","",INDEX(상세표[종료월 기관],$M318)&amp;"")</f>
        <v/>
      </c>
      <c r="I318">
        <f>IF($M318="","",INDEX(상세표[월경계 판정],$M318)&amp;"")</f>
        <v/>
      </c>
      <c r="J318">
        <f>IF($M318="","",INDEX(상세표[반영월],$M318)&amp;"")</f>
        <v/>
      </c>
      <c r="K318">
        <f>IF($M318="","",INDEX(상세표[반영 기관],$M318)&amp;"")</f>
        <v/>
      </c>
      <c r="L318">
        <f>IF($M318="","",INDEX(상세표[기관 출처],$M318)&amp;"")</f>
        <v/>
      </c>
      <c r="M318" s="4">
        <f>IFERROR(MATCH(313,상세표[경계순번],0),"")</f>
        <v/>
      </c>
    </row>
    <row r="319">
      <c r="A319">
        <f>IF($M319="","",INDEX(상세표[사번],$M319)&amp;"")</f>
        <v/>
      </c>
      <c r="B319">
        <f>IF($M319="","",INDEX(상세표[성명],$M319)&amp;"")</f>
        <v/>
      </c>
      <c r="C319">
        <f>IF($M319="","",IF(INDEX(상세표[종료월],$M319)=대상월키,"전월→이번 달","이번 달→익월"))</f>
        <v/>
      </c>
      <c r="D319">
        <f>IF($M319="","",IF(ISNUMBER(INDEX(상세표[시작],$M319)),TEXT(INDEX(상세표[시작],$M319),"yyyy-mm-dd hh:mm"),INDEX(상세표[시작],$M319)&amp;""))</f>
        <v/>
      </c>
      <c r="E319">
        <f>IF($M319="","",IF(ISNUMBER(INDEX(상세표[종료],$M319)),TEXT(INDEX(상세표[종료],$M319),"yyyy-mm-dd hh:mm"),INDEX(상세표[종료],$M319)&amp;""))</f>
        <v/>
      </c>
      <c r="F319" s="20">
        <f>IF($M319="","",INDEX(상세표[기록 시간외],$M319))</f>
        <v/>
      </c>
      <c r="G319">
        <f>IF($M319="","",INDEX(상세표[시작월 기관],$M319)&amp;"")</f>
        <v/>
      </c>
      <c r="H319">
        <f>IF($M319="","",INDEX(상세표[종료월 기관],$M319)&amp;"")</f>
        <v/>
      </c>
      <c r="I319">
        <f>IF($M319="","",INDEX(상세표[월경계 판정],$M319)&amp;"")</f>
        <v/>
      </c>
      <c r="J319">
        <f>IF($M319="","",INDEX(상세표[반영월],$M319)&amp;"")</f>
        <v/>
      </c>
      <c r="K319">
        <f>IF($M319="","",INDEX(상세표[반영 기관],$M319)&amp;"")</f>
        <v/>
      </c>
      <c r="L319">
        <f>IF($M319="","",INDEX(상세표[기관 출처],$M319)&amp;"")</f>
        <v/>
      </c>
      <c r="M319" s="4">
        <f>IFERROR(MATCH(314,상세표[경계순번],0),"")</f>
        <v/>
      </c>
    </row>
    <row r="320">
      <c r="A320">
        <f>IF($M320="","",INDEX(상세표[사번],$M320)&amp;"")</f>
        <v/>
      </c>
      <c r="B320">
        <f>IF($M320="","",INDEX(상세표[성명],$M320)&amp;"")</f>
        <v/>
      </c>
      <c r="C320">
        <f>IF($M320="","",IF(INDEX(상세표[종료월],$M320)=대상월키,"전월→이번 달","이번 달→익월"))</f>
        <v/>
      </c>
      <c r="D320">
        <f>IF($M320="","",IF(ISNUMBER(INDEX(상세표[시작],$M320)),TEXT(INDEX(상세표[시작],$M320),"yyyy-mm-dd hh:mm"),INDEX(상세표[시작],$M320)&amp;""))</f>
        <v/>
      </c>
      <c r="E320">
        <f>IF($M320="","",IF(ISNUMBER(INDEX(상세표[종료],$M320)),TEXT(INDEX(상세표[종료],$M320),"yyyy-mm-dd hh:mm"),INDEX(상세표[종료],$M320)&amp;""))</f>
        <v/>
      </c>
      <c r="F320" s="20">
        <f>IF($M320="","",INDEX(상세표[기록 시간외],$M320))</f>
        <v/>
      </c>
      <c r="G320">
        <f>IF($M320="","",INDEX(상세표[시작월 기관],$M320)&amp;"")</f>
        <v/>
      </c>
      <c r="H320">
        <f>IF($M320="","",INDEX(상세표[종료월 기관],$M320)&amp;"")</f>
        <v/>
      </c>
      <c r="I320">
        <f>IF($M320="","",INDEX(상세표[월경계 판정],$M320)&amp;"")</f>
        <v/>
      </c>
      <c r="J320">
        <f>IF($M320="","",INDEX(상세표[반영월],$M320)&amp;"")</f>
        <v/>
      </c>
      <c r="K320">
        <f>IF($M320="","",INDEX(상세표[반영 기관],$M320)&amp;"")</f>
        <v/>
      </c>
      <c r="L320">
        <f>IF($M320="","",INDEX(상세표[기관 출처],$M320)&amp;"")</f>
        <v/>
      </c>
      <c r="M320" s="4">
        <f>IFERROR(MATCH(315,상세표[경계순번],0),"")</f>
        <v/>
      </c>
    </row>
    <row r="321">
      <c r="A321">
        <f>IF($M321="","",INDEX(상세표[사번],$M321)&amp;"")</f>
        <v/>
      </c>
      <c r="B321">
        <f>IF($M321="","",INDEX(상세표[성명],$M321)&amp;"")</f>
        <v/>
      </c>
      <c r="C321">
        <f>IF($M321="","",IF(INDEX(상세표[종료월],$M321)=대상월키,"전월→이번 달","이번 달→익월"))</f>
        <v/>
      </c>
      <c r="D321">
        <f>IF($M321="","",IF(ISNUMBER(INDEX(상세표[시작],$M321)),TEXT(INDEX(상세표[시작],$M321),"yyyy-mm-dd hh:mm"),INDEX(상세표[시작],$M321)&amp;""))</f>
        <v/>
      </c>
      <c r="E321">
        <f>IF($M321="","",IF(ISNUMBER(INDEX(상세표[종료],$M321)),TEXT(INDEX(상세표[종료],$M321),"yyyy-mm-dd hh:mm"),INDEX(상세표[종료],$M321)&amp;""))</f>
        <v/>
      </c>
      <c r="F321" s="20">
        <f>IF($M321="","",INDEX(상세표[기록 시간외],$M321))</f>
        <v/>
      </c>
      <c r="G321">
        <f>IF($M321="","",INDEX(상세표[시작월 기관],$M321)&amp;"")</f>
        <v/>
      </c>
      <c r="H321">
        <f>IF($M321="","",INDEX(상세표[종료월 기관],$M321)&amp;"")</f>
        <v/>
      </c>
      <c r="I321">
        <f>IF($M321="","",INDEX(상세표[월경계 판정],$M321)&amp;"")</f>
        <v/>
      </c>
      <c r="J321">
        <f>IF($M321="","",INDEX(상세표[반영월],$M321)&amp;"")</f>
        <v/>
      </c>
      <c r="K321">
        <f>IF($M321="","",INDEX(상세표[반영 기관],$M321)&amp;"")</f>
        <v/>
      </c>
      <c r="L321">
        <f>IF($M321="","",INDEX(상세표[기관 출처],$M321)&amp;"")</f>
        <v/>
      </c>
      <c r="M321" s="4">
        <f>IFERROR(MATCH(316,상세표[경계순번],0),"")</f>
        <v/>
      </c>
    </row>
    <row r="322">
      <c r="A322">
        <f>IF($M322="","",INDEX(상세표[사번],$M322)&amp;"")</f>
        <v/>
      </c>
      <c r="B322">
        <f>IF($M322="","",INDEX(상세표[성명],$M322)&amp;"")</f>
        <v/>
      </c>
      <c r="C322">
        <f>IF($M322="","",IF(INDEX(상세표[종료월],$M322)=대상월키,"전월→이번 달","이번 달→익월"))</f>
        <v/>
      </c>
      <c r="D322">
        <f>IF($M322="","",IF(ISNUMBER(INDEX(상세표[시작],$M322)),TEXT(INDEX(상세표[시작],$M322),"yyyy-mm-dd hh:mm"),INDEX(상세표[시작],$M322)&amp;""))</f>
        <v/>
      </c>
      <c r="E322">
        <f>IF($M322="","",IF(ISNUMBER(INDEX(상세표[종료],$M322)),TEXT(INDEX(상세표[종료],$M322),"yyyy-mm-dd hh:mm"),INDEX(상세표[종료],$M322)&amp;""))</f>
        <v/>
      </c>
      <c r="F322" s="20">
        <f>IF($M322="","",INDEX(상세표[기록 시간외],$M322))</f>
        <v/>
      </c>
      <c r="G322">
        <f>IF($M322="","",INDEX(상세표[시작월 기관],$M322)&amp;"")</f>
        <v/>
      </c>
      <c r="H322">
        <f>IF($M322="","",INDEX(상세표[종료월 기관],$M322)&amp;"")</f>
        <v/>
      </c>
      <c r="I322">
        <f>IF($M322="","",INDEX(상세표[월경계 판정],$M322)&amp;"")</f>
        <v/>
      </c>
      <c r="J322">
        <f>IF($M322="","",INDEX(상세표[반영월],$M322)&amp;"")</f>
        <v/>
      </c>
      <c r="K322">
        <f>IF($M322="","",INDEX(상세표[반영 기관],$M322)&amp;"")</f>
        <v/>
      </c>
      <c r="L322">
        <f>IF($M322="","",INDEX(상세표[기관 출처],$M322)&amp;"")</f>
        <v/>
      </c>
      <c r="M322" s="4">
        <f>IFERROR(MATCH(317,상세표[경계순번],0),"")</f>
        <v/>
      </c>
    </row>
    <row r="323">
      <c r="A323">
        <f>IF($M323="","",INDEX(상세표[사번],$M323)&amp;"")</f>
        <v/>
      </c>
      <c r="B323">
        <f>IF($M323="","",INDEX(상세표[성명],$M323)&amp;"")</f>
        <v/>
      </c>
      <c r="C323">
        <f>IF($M323="","",IF(INDEX(상세표[종료월],$M323)=대상월키,"전월→이번 달","이번 달→익월"))</f>
        <v/>
      </c>
      <c r="D323">
        <f>IF($M323="","",IF(ISNUMBER(INDEX(상세표[시작],$M323)),TEXT(INDEX(상세표[시작],$M323),"yyyy-mm-dd hh:mm"),INDEX(상세표[시작],$M323)&amp;""))</f>
        <v/>
      </c>
      <c r="E323">
        <f>IF($M323="","",IF(ISNUMBER(INDEX(상세표[종료],$M323)),TEXT(INDEX(상세표[종료],$M323),"yyyy-mm-dd hh:mm"),INDEX(상세표[종료],$M323)&amp;""))</f>
        <v/>
      </c>
      <c r="F323" s="20">
        <f>IF($M323="","",INDEX(상세표[기록 시간외],$M323))</f>
        <v/>
      </c>
      <c r="G323">
        <f>IF($M323="","",INDEX(상세표[시작월 기관],$M323)&amp;"")</f>
        <v/>
      </c>
      <c r="H323">
        <f>IF($M323="","",INDEX(상세표[종료월 기관],$M323)&amp;"")</f>
        <v/>
      </c>
      <c r="I323">
        <f>IF($M323="","",INDEX(상세표[월경계 판정],$M323)&amp;"")</f>
        <v/>
      </c>
      <c r="J323">
        <f>IF($M323="","",INDEX(상세표[반영월],$M323)&amp;"")</f>
        <v/>
      </c>
      <c r="K323">
        <f>IF($M323="","",INDEX(상세표[반영 기관],$M323)&amp;"")</f>
        <v/>
      </c>
      <c r="L323">
        <f>IF($M323="","",INDEX(상세표[기관 출처],$M323)&amp;"")</f>
        <v/>
      </c>
      <c r="M323" s="4">
        <f>IFERROR(MATCH(318,상세표[경계순번],0),"")</f>
        <v/>
      </c>
    </row>
    <row r="324">
      <c r="A324">
        <f>IF($M324="","",INDEX(상세표[사번],$M324)&amp;"")</f>
        <v/>
      </c>
      <c r="B324">
        <f>IF($M324="","",INDEX(상세표[성명],$M324)&amp;"")</f>
        <v/>
      </c>
      <c r="C324">
        <f>IF($M324="","",IF(INDEX(상세표[종료월],$M324)=대상월키,"전월→이번 달","이번 달→익월"))</f>
        <v/>
      </c>
      <c r="D324">
        <f>IF($M324="","",IF(ISNUMBER(INDEX(상세표[시작],$M324)),TEXT(INDEX(상세표[시작],$M324),"yyyy-mm-dd hh:mm"),INDEX(상세표[시작],$M324)&amp;""))</f>
        <v/>
      </c>
      <c r="E324">
        <f>IF($M324="","",IF(ISNUMBER(INDEX(상세표[종료],$M324)),TEXT(INDEX(상세표[종료],$M324),"yyyy-mm-dd hh:mm"),INDEX(상세표[종료],$M324)&amp;""))</f>
        <v/>
      </c>
      <c r="F324" s="20">
        <f>IF($M324="","",INDEX(상세표[기록 시간외],$M324))</f>
        <v/>
      </c>
      <c r="G324">
        <f>IF($M324="","",INDEX(상세표[시작월 기관],$M324)&amp;"")</f>
        <v/>
      </c>
      <c r="H324">
        <f>IF($M324="","",INDEX(상세표[종료월 기관],$M324)&amp;"")</f>
        <v/>
      </c>
      <c r="I324">
        <f>IF($M324="","",INDEX(상세표[월경계 판정],$M324)&amp;"")</f>
        <v/>
      </c>
      <c r="J324">
        <f>IF($M324="","",INDEX(상세표[반영월],$M324)&amp;"")</f>
        <v/>
      </c>
      <c r="K324">
        <f>IF($M324="","",INDEX(상세표[반영 기관],$M324)&amp;"")</f>
        <v/>
      </c>
      <c r="L324">
        <f>IF($M324="","",INDEX(상세표[기관 출처],$M324)&amp;"")</f>
        <v/>
      </c>
      <c r="M324" s="4">
        <f>IFERROR(MATCH(319,상세표[경계순번],0),"")</f>
        <v/>
      </c>
    </row>
    <row r="325">
      <c r="A325">
        <f>IF($M325="","",INDEX(상세표[사번],$M325)&amp;"")</f>
        <v/>
      </c>
      <c r="B325">
        <f>IF($M325="","",INDEX(상세표[성명],$M325)&amp;"")</f>
        <v/>
      </c>
      <c r="C325">
        <f>IF($M325="","",IF(INDEX(상세표[종료월],$M325)=대상월키,"전월→이번 달","이번 달→익월"))</f>
        <v/>
      </c>
      <c r="D325">
        <f>IF($M325="","",IF(ISNUMBER(INDEX(상세표[시작],$M325)),TEXT(INDEX(상세표[시작],$M325),"yyyy-mm-dd hh:mm"),INDEX(상세표[시작],$M325)&amp;""))</f>
        <v/>
      </c>
      <c r="E325">
        <f>IF($M325="","",IF(ISNUMBER(INDEX(상세표[종료],$M325)),TEXT(INDEX(상세표[종료],$M325),"yyyy-mm-dd hh:mm"),INDEX(상세표[종료],$M325)&amp;""))</f>
        <v/>
      </c>
      <c r="F325" s="20">
        <f>IF($M325="","",INDEX(상세표[기록 시간외],$M325))</f>
        <v/>
      </c>
      <c r="G325">
        <f>IF($M325="","",INDEX(상세표[시작월 기관],$M325)&amp;"")</f>
        <v/>
      </c>
      <c r="H325">
        <f>IF($M325="","",INDEX(상세표[종료월 기관],$M325)&amp;"")</f>
        <v/>
      </c>
      <c r="I325">
        <f>IF($M325="","",INDEX(상세표[월경계 판정],$M325)&amp;"")</f>
        <v/>
      </c>
      <c r="J325">
        <f>IF($M325="","",INDEX(상세표[반영월],$M325)&amp;"")</f>
        <v/>
      </c>
      <c r="K325">
        <f>IF($M325="","",INDEX(상세표[반영 기관],$M325)&amp;"")</f>
        <v/>
      </c>
      <c r="L325">
        <f>IF($M325="","",INDEX(상세표[기관 출처],$M325)&amp;"")</f>
        <v/>
      </c>
      <c r="M325" s="4">
        <f>IFERROR(MATCH(320,상세표[경계순번],0),"")</f>
        <v/>
      </c>
    </row>
    <row r="326">
      <c r="A326">
        <f>IF($M326="","",INDEX(상세표[사번],$M326)&amp;"")</f>
        <v/>
      </c>
      <c r="B326">
        <f>IF($M326="","",INDEX(상세표[성명],$M326)&amp;"")</f>
        <v/>
      </c>
      <c r="C326">
        <f>IF($M326="","",IF(INDEX(상세표[종료월],$M326)=대상월키,"전월→이번 달","이번 달→익월"))</f>
        <v/>
      </c>
      <c r="D326">
        <f>IF($M326="","",IF(ISNUMBER(INDEX(상세표[시작],$M326)),TEXT(INDEX(상세표[시작],$M326),"yyyy-mm-dd hh:mm"),INDEX(상세표[시작],$M326)&amp;""))</f>
        <v/>
      </c>
      <c r="E326">
        <f>IF($M326="","",IF(ISNUMBER(INDEX(상세표[종료],$M326)),TEXT(INDEX(상세표[종료],$M326),"yyyy-mm-dd hh:mm"),INDEX(상세표[종료],$M326)&amp;""))</f>
        <v/>
      </c>
      <c r="F326" s="20">
        <f>IF($M326="","",INDEX(상세표[기록 시간외],$M326))</f>
        <v/>
      </c>
      <c r="G326">
        <f>IF($M326="","",INDEX(상세표[시작월 기관],$M326)&amp;"")</f>
        <v/>
      </c>
      <c r="H326">
        <f>IF($M326="","",INDEX(상세표[종료월 기관],$M326)&amp;"")</f>
        <v/>
      </c>
      <c r="I326">
        <f>IF($M326="","",INDEX(상세표[월경계 판정],$M326)&amp;"")</f>
        <v/>
      </c>
      <c r="J326">
        <f>IF($M326="","",INDEX(상세표[반영월],$M326)&amp;"")</f>
        <v/>
      </c>
      <c r="K326">
        <f>IF($M326="","",INDEX(상세표[반영 기관],$M326)&amp;"")</f>
        <v/>
      </c>
      <c r="L326">
        <f>IF($M326="","",INDEX(상세표[기관 출처],$M326)&amp;"")</f>
        <v/>
      </c>
      <c r="M326" s="4">
        <f>IFERROR(MATCH(321,상세표[경계순번],0),"")</f>
        <v/>
      </c>
    </row>
    <row r="327">
      <c r="A327">
        <f>IF($M327="","",INDEX(상세표[사번],$M327)&amp;"")</f>
        <v/>
      </c>
      <c r="B327">
        <f>IF($M327="","",INDEX(상세표[성명],$M327)&amp;"")</f>
        <v/>
      </c>
      <c r="C327">
        <f>IF($M327="","",IF(INDEX(상세표[종료월],$M327)=대상월키,"전월→이번 달","이번 달→익월"))</f>
        <v/>
      </c>
      <c r="D327">
        <f>IF($M327="","",IF(ISNUMBER(INDEX(상세표[시작],$M327)),TEXT(INDEX(상세표[시작],$M327),"yyyy-mm-dd hh:mm"),INDEX(상세표[시작],$M327)&amp;""))</f>
        <v/>
      </c>
      <c r="E327">
        <f>IF($M327="","",IF(ISNUMBER(INDEX(상세표[종료],$M327)),TEXT(INDEX(상세표[종료],$M327),"yyyy-mm-dd hh:mm"),INDEX(상세표[종료],$M327)&amp;""))</f>
        <v/>
      </c>
      <c r="F327" s="20">
        <f>IF($M327="","",INDEX(상세표[기록 시간외],$M327))</f>
        <v/>
      </c>
      <c r="G327">
        <f>IF($M327="","",INDEX(상세표[시작월 기관],$M327)&amp;"")</f>
        <v/>
      </c>
      <c r="H327">
        <f>IF($M327="","",INDEX(상세표[종료월 기관],$M327)&amp;"")</f>
        <v/>
      </c>
      <c r="I327">
        <f>IF($M327="","",INDEX(상세표[월경계 판정],$M327)&amp;"")</f>
        <v/>
      </c>
      <c r="J327">
        <f>IF($M327="","",INDEX(상세표[반영월],$M327)&amp;"")</f>
        <v/>
      </c>
      <c r="K327">
        <f>IF($M327="","",INDEX(상세표[반영 기관],$M327)&amp;"")</f>
        <v/>
      </c>
      <c r="L327">
        <f>IF($M327="","",INDEX(상세표[기관 출처],$M327)&amp;"")</f>
        <v/>
      </c>
      <c r="M327" s="4">
        <f>IFERROR(MATCH(322,상세표[경계순번],0),"")</f>
        <v/>
      </c>
    </row>
    <row r="328">
      <c r="A328">
        <f>IF($M328="","",INDEX(상세표[사번],$M328)&amp;"")</f>
        <v/>
      </c>
      <c r="B328">
        <f>IF($M328="","",INDEX(상세표[성명],$M328)&amp;"")</f>
        <v/>
      </c>
      <c r="C328">
        <f>IF($M328="","",IF(INDEX(상세표[종료월],$M328)=대상월키,"전월→이번 달","이번 달→익월"))</f>
        <v/>
      </c>
      <c r="D328">
        <f>IF($M328="","",IF(ISNUMBER(INDEX(상세표[시작],$M328)),TEXT(INDEX(상세표[시작],$M328),"yyyy-mm-dd hh:mm"),INDEX(상세표[시작],$M328)&amp;""))</f>
        <v/>
      </c>
      <c r="E328">
        <f>IF($M328="","",IF(ISNUMBER(INDEX(상세표[종료],$M328)),TEXT(INDEX(상세표[종료],$M328),"yyyy-mm-dd hh:mm"),INDEX(상세표[종료],$M328)&amp;""))</f>
        <v/>
      </c>
      <c r="F328" s="20">
        <f>IF($M328="","",INDEX(상세표[기록 시간외],$M328))</f>
        <v/>
      </c>
      <c r="G328">
        <f>IF($M328="","",INDEX(상세표[시작월 기관],$M328)&amp;"")</f>
        <v/>
      </c>
      <c r="H328">
        <f>IF($M328="","",INDEX(상세표[종료월 기관],$M328)&amp;"")</f>
        <v/>
      </c>
      <c r="I328">
        <f>IF($M328="","",INDEX(상세표[월경계 판정],$M328)&amp;"")</f>
        <v/>
      </c>
      <c r="J328">
        <f>IF($M328="","",INDEX(상세표[반영월],$M328)&amp;"")</f>
        <v/>
      </c>
      <c r="K328">
        <f>IF($M328="","",INDEX(상세표[반영 기관],$M328)&amp;"")</f>
        <v/>
      </c>
      <c r="L328">
        <f>IF($M328="","",INDEX(상세표[기관 출처],$M328)&amp;"")</f>
        <v/>
      </c>
      <c r="M328" s="4">
        <f>IFERROR(MATCH(323,상세표[경계순번],0),"")</f>
        <v/>
      </c>
    </row>
    <row r="329">
      <c r="A329">
        <f>IF($M329="","",INDEX(상세표[사번],$M329)&amp;"")</f>
        <v/>
      </c>
      <c r="B329">
        <f>IF($M329="","",INDEX(상세표[성명],$M329)&amp;"")</f>
        <v/>
      </c>
      <c r="C329">
        <f>IF($M329="","",IF(INDEX(상세표[종료월],$M329)=대상월키,"전월→이번 달","이번 달→익월"))</f>
        <v/>
      </c>
      <c r="D329">
        <f>IF($M329="","",IF(ISNUMBER(INDEX(상세표[시작],$M329)),TEXT(INDEX(상세표[시작],$M329),"yyyy-mm-dd hh:mm"),INDEX(상세표[시작],$M329)&amp;""))</f>
        <v/>
      </c>
      <c r="E329">
        <f>IF($M329="","",IF(ISNUMBER(INDEX(상세표[종료],$M329)),TEXT(INDEX(상세표[종료],$M329),"yyyy-mm-dd hh:mm"),INDEX(상세표[종료],$M329)&amp;""))</f>
        <v/>
      </c>
      <c r="F329" s="20">
        <f>IF($M329="","",INDEX(상세표[기록 시간외],$M329))</f>
        <v/>
      </c>
      <c r="G329">
        <f>IF($M329="","",INDEX(상세표[시작월 기관],$M329)&amp;"")</f>
        <v/>
      </c>
      <c r="H329">
        <f>IF($M329="","",INDEX(상세표[종료월 기관],$M329)&amp;"")</f>
        <v/>
      </c>
      <c r="I329">
        <f>IF($M329="","",INDEX(상세표[월경계 판정],$M329)&amp;"")</f>
        <v/>
      </c>
      <c r="J329">
        <f>IF($M329="","",INDEX(상세표[반영월],$M329)&amp;"")</f>
        <v/>
      </c>
      <c r="K329">
        <f>IF($M329="","",INDEX(상세표[반영 기관],$M329)&amp;"")</f>
        <v/>
      </c>
      <c r="L329">
        <f>IF($M329="","",INDEX(상세표[기관 출처],$M329)&amp;"")</f>
        <v/>
      </c>
      <c r="M329" s="4">
        <f>IFERROR(MATCH(324,상세표[경계순번],0),"")</f>
        <v/>
      </c>
    </row>
    <row r="330">
      <c r="A330">
        <f>IF($M330="","",INDEX(상세표[사번],$M330)&amp;"")</f>
        <v/>
      </c>
      <c r="B330">
        <f>IF($M330="","",INDEX(상세표[성명],$M330)&amp;"")</f>
        <v/>
      </c>
      <c r="C330">
        <f>IF($M330="","",IF(INDEX(상세표[종료월],$M330)=대상월키,"전월→이번 달","이번 달→익월"))</f>
        <v/>
      </c>
      <c r="D330">
        <f>IF($M330="","",IF(ISNUMBER(INDEX(상세표[시작],$M330)),TEXT(INDEX(상세표[시작],$M330),"yyyy-mm-dd hh:mm"),INDEX(상세표[시작],$M330)&amp;""))</f>
        <v/>
      </c>
      <c r="E330">
        <f>IF($M330="","",IF(ISNUMBER(INDEX(상세표[종료],$M330)),TEXT(INDEX(상세표[종료],$M330),"yyyy-mm-dd hh:mm"),INDEX(상세표[종료],$M330)&amp;""))</f>
        <v/>
      </c>
      <c r="F330" s="20">
        <f>IF($M330="","",INDEX(상세표[기록 시간외],$M330))</f>
        <v/>
      </c>
      <c r="G330">
        <f>IF($M330="","",INDEX(상세표[시작월 기관],$M330)&amp;"")</f>
        <v/>
      </c>
      <c r="H330">
        <f>IF($M330="","",INDEX(상세표[종료월 기관],$M330)&amp;"")</f>
        <v/>
      </c>
      <c r="I330">
        <f>IF($M330="","",INDEX(상세표[월경계 판정],$M330)&amp;"")</f>
        <v/>
      </c>
      <c r="J330">
        <f>IF($M330="","",INDEX(상세표[반영월],$M330)&amp;"")</f>
        <v/>
      </c>
      <c r="K330">
        <f>IF($M330="","",INDEX(상세표[반영 기관],$M330)&amp;"")</f>
        <v/>
      </c>
      <c r="L330">
        <f>IF($M330="","",INDEX(상세표[기관 출처],$M330)&amp;"")</f>
        <v/>
      </c>
      <c r="M330" s="4">
        <f>IFERROR(MATCH(325,상세표[경계순번],0),"")</f>
        <v/>
      </c>
    </row>
    <row r="331">
      <c r="A331">
        <f>IF($M331="","",INDEX(상세표[사번],$M331)&amp;"")</f>
        <v/>
      </c>
      <c r="B331">
        <f>IF($M331="","",INDEX(상세표[성명],$M331)&amp;"")</f>
        <v/>
      </c>
      <c r="C331">
        <f>IF($M331="","",IF(INDEX(상세표[종료월],$M331)=대상월키,"전월→이번 달","이번 달→익월"))</f>
        <v/>
      </c>
      <c r="D331">
        <f>IF($M331="","",IF(ISNUMBER(INDEX(상세표[시작],$M331)),TEXT(INDEX(상세표[시작],$M331),"yyyy-mm-dd hh:mm"),INDEX(상세표[시작],$M331)&amp;""))</f>
        <v/>
      </c>
      <c r="E331">
        <f>IF($M331="","",IF(ISNUMBER(INDEX(상세표[종료],$M331)),TEXT(INDEX(상세표[종료],$M331),"yyyy-mm-dd hh:mm"),INDEX(상세표[종료],$M331)&amp;""))</f>
        <v/>
      </c>
      <c r="F331" s="20">
        <f>IF($M331="","",INDEX(상세표[기록 시간외],$M331))</f>
        <v/>
      </c>
      <c r="G331">
        <f>IF($M331="","",INDEX(상세표[시작월 기관],$M331)&amp;"")</f>
        <v/>
      </c>
      <c r="H331">
        <f>IF($M331="","",INDEX(상세표[종료월 기관],$M331)&amp;"")</f>
        <v/>
      </c>
      <c r="I331">
        <f>IF($M331="","",INDEX(상세표[월경계 판정],$M331)&amp;"")</f>
        <v/>
      </c>
      <c r="J331">
        <f>IF($M331="","",INDEX(상세표[반영월],$M331)&amp;"")</f>
        <v/>
      </c>
      <c r="K331">
        <f>IF($M331="","",INDEX(상세표[반영 기관],$M331)&amp;"")</f>
        <v/>
      </c>
      <c r="L331">
        <f>IF($M331="","",INDEX(상세표[기관 출처],$M331)&amp;"")</f>
        <v/>
      </c>
      <c r="M331" s="4">
        <f>IFERROR(MATCH(326,상세표[경계순번],0),"")</f>
        <v/>
      </c>
    </row>
    <row r="332">
      <c r="A332">
        <f>IF($M332="","",INDEX(상세표[사번],$M332)&amp;"")</f>
        <v/>
      </c>
      <c r="B332">
        <f>IF($M332="","",INDEX(상세표[성명],$M332)&amp;"")</f>
        <v/>
      </c>
      <c r="C332">
        <f>IF($M332="","",IF(INDEX(상세표[종료월],$M332)=대상월키,"전월→이번 달","이번 달→익월"))</f>
        <v/>
      </c>
      <c r="D332">
        <f>IF($M332="","",IF(ISNUMBER(INDEX(상세표[시작],$M332)),TEXT(INDEX(상세표[시작],$M332),"yyyy-mm-dd hh:mm"),INDEX(상세표[시작],$M332)&amp;""))</f>
        <v/>
      </c>
      <c r="E332">
        <f>IF($M332="","",IF(ISNUMBER(INDEX(상세표[종료],$M332)),TEXT(INDEX(상세표[종료],$M332),"yyyy-mm-dd hh:mm"),INDEX(상세표[종료],$M332)&amp;""))</f>
        <v/>
      </c>
      <c r="F332" s="20">
        <f>IF($M332="","",INDEX(상세표[기록 시간외],$M332))</f>
        <v/>
      </c>
      <c r="G332">
        <f>IF($M332="","",INDEX(상세표[시작월 기관],$M332)&amp;"")</f>
        <v/>
      </c>
      <c r="H332">
        <f>IF($M332="","",INDEX(상세표[종료월 기관],$M332)&amp;"")</f>
        <v/>
      </c>
      <c r="I332">
        <f>IF($M332="","",INDEX(상세표[월경계 판정],$M332)&amp;"")</f>
        <v/>
      </c>
      <c r="J332">
        <f>IF($M332="","",INDEX(상세표[반영월],$M332)&amp;"")</f>
        <v/>
      </c>
      <c r="K332">
        <f>IF($M332="","",INDEX(상세표[반영 기관],$M332)&amp;"")</f>
        <v/>
      </c>
      <c r="L332">
        <f>IF($M332="","",INDEX(상세표[기관 출처],$M332)&amp;"")</f>
        <v/>
      </c>
      <c r="M332" s="4">
        <f>IFERROR(MATCH(327,상세표[경계순번],0),"")</f>
        <v/>
      </c>
    </row>
    <row r="333">
      <c r="A333">
        <f>IF($M333="","",INDEX(상세표[사번],$M333)&amp;"")</f>
        <v/>
      </c>
      <c r="B333">
        <f>IF($M333="","",INDEX(상세표[성명],$M333)&amp;"")</f>
        <v/>
      </c>
      <c r="C333">
        <f>IF($M333="","",IF(INDEX(상세표[종료월],$M333)=대상월키,"전월→이번 달","이번 달→익월"))</f>
        <v/>
      </c>
      <c r="D333">
        <f>IF($M333="","",IF(ISNUMBER(INDEX(상세표[시작],$M333)),TEXT(INDEX(상세표[시작],$M333),"yyyy-mm-dd hh:mm"),INDEX(상세표[시작],$M333)&amp;""))</f>
        <v/>
      </c>
      <c r="E333">
        <f>IF($M333="","",IF(ISNUMBER(INDEX(상세표[종료],$M333)),TEXT(INDEX(상세표[종료],$M333),"yyyy-mm-dd hh:mm"),INDEX(상세표[종료],$M333)&amp;""))</f>
        <v/>
      </c>
      <c r="F333" s="20">
        <f>IF($M333="","",INDEX(상세표[기록 시간외],$M333))</f>
        <v/>
      </c>
      <c r="G333">
        <f>IF($M333="","",INDEX(상세표[시작월 기관],$M333)&amp;"")</f>
        <v/>
      </c>
      <c r="H333">
        <f>IF($M333="","",INDEX(상세표[종료월 기관],$M333)&amp;"")</f>
        <v/>
      </c>
      <c r="I333">
        <f>IF($M333="","",INDEX(상세표[월경계 판정],$M333)&amp;"")</f>
        <v/>
      </c>
      <c r="J333">
        <f>IF($M333="","",INDEX(상세표[반영월],$M333)&amp;"")</f>
        <v/>
      </c>
      <c r="K333">
        <f>IF($M333="","",INDEX(상세표[반영 기관],$M333)&amp;"")</f>
        <v/>
      </c>
      <c r="L333">
        <f>IF($M333="","",INDEX(상세표[기관 출처],$M333)&amp;"")</f>
        <v/>
      </c>
      <c r="M333" s="4">
        <f>IFERROR(MATCH(328,상세표[경계순번],0),"")</f>
        <v/>
      </c>
    </row>
    <row r="334">
      <c r="A334">
        <f>IF($M334="","",INDEX(상세표[사번],$M334)&amp;"")</f>
        <v/>
      </c>
      <c r="B334">
        <f>IF($M334="","",INDEX(상세표[성명],$M334)&amp;"")</f>
        <v/>
      </c>
      <c r="C334">
        <f>IF($M334="","",IF(INDEX(상세표[종료월],$M334)=대상월키,"전월→이번 달","이번 달→익월"))</f>
        <v/>
      </c>
      <c r="D334">
        <f>IF($M334="","",IF(ISNUMBER(INDEX(상세표[시작],$M334)),TEXT(INDEX(상세표[시작],$M334),"yyyy-mm-dd hh:mm"),INDEX(상세표[시작],$M334)&amp;""))</f>
        <v/>
      </c>
      <c r="E334">
        <f>IF($M334="","",IF(ISNUMBER(INDEX(상세표[종료],$M334)),TEXT(INDEX(상세표[종료],$M334),"yyyy-mm-dd hh:mm"),INDEX(상세표[종료],$M334)&amp;""))</f>
        <v/>
      </c>
      <c r="F334" s="20">
        <f>IF($M334="","",INDEX(상세표[기록 시간외],$M334))</f>
        <v/>
      </c>
      <c r="G334">
        <f>IF($M334="","",INDEX(상세표[시작월 기관],$M334)&amp;"")</f>
        <v/>
      </c>
      <c r="H334">
        <f>IF($M334="","",INDEX(상세표[종료월 기관],$M334)&amp;"")</f>
        <v/>
      </c>
      <c r="I334">
        <f>IF($M334="","",INDEX(상세표[월경계 판정],$M334)&amp;"")</f>
        <v/>
      </c>
      <c r="J334">
        <f>IF($M334="","",INDEX(상세표[반영월],$M334)&amp;"")</f>
        <v/>
      </c>
      <c r="K334">
        <f>IF($M334="","",INDEX(상세표[반영 기관],$M334)&amp;"")</f>
        <v/>
      </c>
      <c r="L334">
        <f>IF($M334="","",INDEX(상세표[기관 출처],$M334)&amp;"")</f>
        <v/>
      </c>
      <c r="M334" s="4">
        <f>IFERROR(MATCH(329,상세표[경계순번],0),"")</f>
        <v/>
      </c>
    </row>
    <row r="335">
      <c r="A335">
        <f>IF($M335="","",INDEX(상세표[사번],$M335)&amp;"")</f>
        <v/>
      </c>
      <c r="B335">
        <f>IF($M335="","",INDEX(상세표[성명],$M335)&amp;"")</f>
        <v/>
      </c>
      <c r="C335">
        <f>IF($M335="","",IF(INDEX(상세표[종료월],$M335)=대상월키,"전월→이번 달","이번 달→익월"))</f>
        <v/>
      </c>
      <c r="D335">
        <f>IF($M335="","",IF(ISNUMBER(INDEX(상세표[시작],$M335)),TEXT(INDEX(상세표[시작],$M335),"yyyy-mm-dd hh:mm"),INDEX(상세표[시작],$M335)&amp;""))</f>
        <v/>
      </c>
      <c r="E335">
        <f>IF($M335="","",IF(ISNUMBER(INDEX(상세표[종료],$M335)),TEXT(INDEX(상세표[종료],$M335),"yyyy-mm-dd hh:mm"),INDEX(상세표[종료],$M335)&amp;""))</f>
        <v/>
      </c>
      <c r="F335" s="20">
        <f>IF($M335="","",INDEX(상세표[기록 시간외],$M335))</f>
        <v/>
      </c>
      <c r="G335">
        <f>IF($M335="","",INDEX(상세표[시작월 기관],$M335)&amp;"")</f>
        <v/>
      </c>
      <c r="H335">
        <f>IF($M335="","",INDEX(상세표[종료월 기관],$M335)&amp;"")</f>
        <v/>
      </c>
      <c r="I335">
        <f>IF($M335="","",INDEX(상세표[월경계 판정],$M335)&amp;"")</f>
        <v/>
      </c>
      <c r="J335">
        <f>IF($M335="","",INDEX(상세표[반영월],$M335)&amp;"")</f>
        <v/>
      </c>
      <c r="K335">
        <f>IF($M335="","",INDEX(상세표[반영 기관],$M335)&amp;"")</f>
        <v/>
      </c>
      <c r="L335">
        <f>IF($M335="","",INDEX(상세표[기관 출처],$M335)&amp;"")</f>
        <v/>
      </c>
      <c r="M335" s="4">
        <f>IFERROR(MATCH(330,상세표[경계순번],0),"")</f>
        <v/>
      </c>
    </row>
    <row r="336">
      <c r="A336">
        <f>IF($M336="","",INDEX(상세표[사번],$M336)&amp;"")</f>
        <v/>
      </c>
      <c r="B336">
        <f>IF($M336="","",INDEX(상세표[성명],$M336)&amp;"")</f>
        <v/>
      </c>
      <c r="C336">
        <f>IF($M336="","",IF(INDEX(상세표[종료월],$M336)=대상월키,"전월→이번 달","이번 달→익월"))</f>
        <v/>
      </c>
      <c r="D336">
        <f>IF($M336="","",IF(ISNUMBER(INDEX(상세표[시작],$M336)),TEXT(INDEX(상세표[시작],$M336),"yyyy-mm-dd hh:mm"),INDEX(상세표[시작],$M336)&amp;""))</f>
        <v/>
      </c>
      <c r="E336">
        <f>IF($M336="","",IF(ISNUMBER(INDEX(상세표[종료],$M336)),TEXT(INDEX(상세표[종료],$M336),"yyyy-mm-dd hh:mm"),INDEX(상세표[종료],$M336)&amp;""))</f>
        <v/>
      </c>
      <c r="F336" s="20">
        <f>IF($M336="","",INDEX(상세표[기록 시간외],$M336))</f>
        <v/>
      </c>
      <c r="G336">
        <f>IF($M336="","",INDEX(상세표[시작월 기관],$M336)&amp;"")</f>
        <v/>
      </c>
      <c r="H336">
        <f>IF($M336="","",INDEX(상세표[종료월 기관],$M336)&amp;"")</f>
        <v/>
      </c>
      <c r="I336">
        <f>IF($M336="","",INDEX(상세표[월경계 판정],$M336)&amp;"")</f>
        <v/>
      </c>
      <c r="J336">
        <f>IF($M336="","",INDEX(상세표[반영월],$M336)&amp;"")</f>
        <v/>
      </c>
      <c r="K336">
        <f>IF($M336="","",INDEX(상세표[반영 기관],$M336)&amp;"")</f>
        <v/>
      </c>
      <c r="L336">
        <f>IF($M336="","",INDEX(상세표[기관 출처],$M336)&amp;"")</f>
        <v/>
      </c>
      <c r="M336" s="4">
        <f>IFERROR(MATCH(331,상세표[경계순번],0),"")</f>
        <v/>
      </c>
    </row>
    <row r="337">
      <c r="A337">
        <f>IF($M337="","",INDEX(상세표[사번],$M337)&amp;"")</f>
        <v/>
      </c>
      <c r="B337">
        <f>IF($M337="","",INDEX(상세표[성명],$M337)&amp;"")</f>
        <v/>
      </c>
      <c r="C337">
        <f>IF($M337="","",IF(INDEX(상세표[종료월],$M337)=대상월키,"전월→이번 달","이번 달→익월"))</f>
        <v/>
      </c>
      <c r="D337">
        <f>IF($M337="","",IF(ISNUMBER(INDEX(상세표[시작],$M337)),TEXT(INDEX(상세표[시작],$M337),"yyyy-mm-dd hh:mm"),INDEX(상세표[시작],$M337)&amp;""))</f>
        <v/>
      </c>
      <c r="E337">
        <f>IF($M337="","",IF(ISNUMBER(INDEX(상세표[종료],$M337)),TEXT(INDEX(상세표[종료],$M337),"yyyy-mm-dd hh:mm"),INDEX(상세표[종료],$M337)&amp;""))</f>
        <v/>
      </c>
      <c r="F337" s="20">
        <f>IF($M337="","",INDEX(상세표[기록 시간외],$M337))</f>
        <v/>
      </c>
      <c r="G337">
        <f>IF($M337="","",INDEX(상세표[시작월 기관],$M337)&amp;"")</f>
        <v/>
      </c>
      <c r="H337">
        <f>IF($M337="","",INDEX(상세표[종료월 기관],$M337)&amp;"")</f>
        <v/>
      </c>
      <c r="I337">
        <f>IF($M337="","",INDEX(상세표[월경계 판정],$M337)&amp;"")</f>
        <v/>
      </c>
      <c r="J337">
        <f>IF($M337="","",INDEX(상세표[반영월],$M337)&amp;"")</f>
        <v/>
      </c>
      <c r="K337">
        <f>IF($M337="","",INDEX(상세표[반영 기관],$M337)&amp;"")</f>
        <v/>
      </c>
      <c r="L337">
        <f>IF($M337="","",INDEX(상세표[기관 출처],$M337)&amp;"")</f>
        <v/>
      </c>
      <c r="M337" s="4">
        <f>IFERROR(MATCH(332,상세표[경계순번],0),"")</f>
        <v/>
      </c>
    </row>
    <row r="338">
      <c r="A338">
        <f>IF($M338="","",INDEX(상세표[사번],$M338)&amp;"")</f>
        <v/>
      </c>
      <c r="B338">
        <f>IF($M338="","",INDEX(상세표[성명],$M338)&amp;"")</f>
        <v/>
      </c>
      <c r="C338">
        <f>IF($M338="","",IF(INDEX(상세표[종료월],$M338)=대상월키,"전월→이번 달","이번 달→익월"))</f>
        <v/>
      </c>
      <c r="D338">
        <f>IF($M338="","",IF(ISNUMBER(INDEX(상세표[시작],$M338)),TEXT(INDEX(상세표[시작],$M338),"yyyy-mm-dd hh:mm"),INDEX(상세표[시작],$M338)&amp;""))</f>
        <v/>
      </c>
      <c r="E338">
        <f>IF($M338="","",IF(ISNUMBER(INDEX(상세표[종료],$M338)),TEXT(INDEX(상세표[종료],$M338),"yyyy-mm-dd hh:mm"),INDEX(상세표[종료],$M338)&amp;""))</f>
        <v/>
      </c>
      <c r="F338" s="20">
        <f>IF($M338="","",INDEX(상세표[기록 시간외],$M338))</f>
        <v/>
      </c>
      <c r="G338">
        <f>IF($M338="","",INDEX(상세표[시작월 기관],$M338)&amp;"")</f>
        <v/>
      </c>
      <c r="H338">
        <f>IF($M338="","",INDEX(상세표[종료월 기관],$M338)&amp;"")</f>
        <v/>
      </c>
      <c r="I338">
        <f>IF($M338="","",INDEX(상세표[월경계 판정],$M338)&amp;"")</f>
        <v/>
      </c>
      <c r="J338">
        <f>IF($M338="","",INDEX(상세표[반영월],$M338)&amp;"")</f>
        <v/>
      </c>
      <c r="K338">
        <f>IF($M338="","",INDEX(상세표[반영 기관],$M338)&amp;"")</f>
        <v/>
      </c>
      <c r="L338">
        <f>IF($M338="","",INDEX(상세표[기관 출처],$M338)&amp;"")</f>
        <v/>
      </c>
      <c r="M338" s="4">
        <f>IFERROR(MATCH(333,상세표[경계순번],0),"")</f>
        <v/>
      </c>
    </row>
    <row r="339">
      <c r="A339">
        <f>IF($M339="","",INDEX(상세표[사번],$M339)&amp;"")</f>
        <v/>
      </c>
      <c r="B339">
        <f>IF($M339="","",INDEX(상세표[성명],$M339)&amp;"")</f>
        <v/>
      </c>
      <c r="C339">
        <f>IF($M339="","",IF(INDEX(상세표[종료월],$M339)=대상월키,"전월→이번 달","이번 달→익월"))</f>
        <v/>
      </c>
      <c r="D339">
        <f>IF($M339="","",IF(ISNUMBER(INDEX(상세표[시작],$M339)),TEXT(INDEX(상세표[시작],$M339),"yyyy-mm-dd hh:mm"),INDEX(상세표[시작],$M339)&amp;""))</f>
        <v/>
      </c>
      <c r="E339">
        <f>IF($M339="","",IF(ISNUMBER(INDEX(상세표[종료],$M339)),TEXT(INDEX(상세표[종료],$M339),"yyyy-mm-dd hh:mm"),INDEX(상세표[종료],$M339)&amp;""))</f>
        <v/>
      </c>
      <c r="F339" s="20">
        <f>IF($M339="","",INDEX(상세표[기록 시간외],$M339))</f>
        <v/>
      </c>
      <c r="G339">
        <f>IF($M339="","",INDEX(상세표[시작월 기관],$M339)&amp;"")</f>
        <v/>
      </c>
      <c r="H339">
        <f>IF($M339="","",INDEX(상세표[종료월 기관],$M339)&amp;"")</f>
        <v/>
      </c>
      <c r="I339">
        <f>IF($M339="","",INDEX(상세표[월경계 판정],$M339)&amp;"")</f>
        <v/>
      </c>
      <c r="J339">
        <f>IF($M339="","",INDEX(상세표[반영월],$M339)&amp;"")</f>
        <v/>
      </c>
      <c r="K339">
        <f>IF($M339="","",INDEX(상세표[반영 기관],$M339)&amp;"")</f>
        <v/>
      </c>
      <c r="L339">
        <f>IF($M339="","",INDEX(상세표[기관 출처],$M339)&amp;"")</f>
        <v/>
      </c>
      <c r="M339" s="4">
        <f>IFERROR(MATCH(334,상세표[경계순번],0),"")</f>
        <v/>
      </c>
    </row>
    <row r="340">
      <c r="A340">
        <f>IF($M340="","",INDEX(상세표[사번],$M340)&amp;"")</f>
        <v/>
      </c>
      <c r="B340">
        <f>IF($M340="","",INDEX(상세표[성명],$M340)&amp;"")</f>
        <v/>
      </c>
      <c r="C340">
        <f>IF($M340="","",IF(INDEX(상세표[종료월],$M340)=대상월키,"전월→이번 달","이번 달→익월"))</f>
        <v/>
      </c>
      <c r="D340">
        <f>IF($M340="","",IF(ISNUMBER(INDEX(상세표[시작],$M340)),TEXT(INDEX(상세표[시작],$M340),"yyyy-mm-dd hh:mm"),INDEX(상세표[시작],$M340)&amp;""))</f>
        <v/>
      </c>
      <c r="E340">
        <f>IF($M340="","",IF(ISNUMBER(INDEX(상세표[종료],$M340)),TEXT(INDEX(상세표[종료],$M340),"yyyy-mm-dd hh:mm"),INDEX(상세표[종료],$M340)&amp;""))</f>
        <v/>
      </c>
      <c r="F340" s="20">
        <f>IF($M340="","",INDEX(상세표[기록 시간외],$M340))</f>
        <v/>
      </c>
      <c r="G340">
        <f>IF($M340="","",INDEX(상세표[시작월 기관],$M340)&amp;"")</f>
        <v/>
      </c>
      <c r="H340">
        <f>IF($M340="","",INDEX(상세표[종료월 기관],$M340)&amp;"")</f>
        <v/>
      </c>
      <c r="I340">
        <f>IF($M340="","",INDEX(상세표[월경계 판정],$M340)&amp;"")</f>
        <v/>
      </c>
      <c r="J340">
        <f>IF($M340="","",INDEX(상세표[반영월],$M340)&amp;"")</f>
        <v/>
      </c>
      <c r="K340">
        <f>IF($M340="","",INDEX(상세표[반영 기관],$M340)&amp;"")</f>
        <v/>
      </c>
      <c r="L340">
        <f>IF($M340="","",INDEX(상세표[기관 출처],$M340)&amp;"")</f>
        <v/>
      </c>
      <c r="M340" s="4">
        <f>IFERROR(MATCH(335,상세표[경계순번],0),"")</f>
        <v/>
      </c>
    </row>
    <row r="341">
      <c r="A341">
        <f>IF($M341="","",INDEX(상세표[사번],$M341)&amp;"")</f>
        <v/>
      </c>
      <c r="B341">
        <f>IF($M341="","",INDEX(상세표[성명],$M341)&amp;"")</f>
        <v/>
      </c>
      <c r="C341">
        <f>IF($M341="","",IF(INDEX(상세표[종료월],$M341)=대상월키,"전월→이번 달","이번 달→익월"))</f>
        <v/>
      </c>
      <c r="D341">
        <f>IF($M341="","",IF(ISNUMBER(INDEX(상세표[시작],$M341)),TEXT(INDEX(상세표[시작],$M341),"yyyy-mm-dd hh:mm"),INDEX(상세표[시작],$M341)&amp;""))</f>
        <v/>
      </c>
      <c r="E341">
        <f>IF($M341="","",IF(ISNUMBER(INDEX(상세표[종료],$M341)),TEXT(INDEX(상세표[종료],$M341),"yyyy-mm-dd hh:mm"),INDEX(상세표[종료],$M341)&amp;""))</f>
        <v/>
      </c>
      <c r="F341" s="20">
        <f>IF($M341="","",INDEX(상세표[기록 시간외],$M341))</f>
        <v/>
      </c>
      <c r="G341">
        <f>IF($M341="","",INDEX(상세표[시작월 기관],$M341)&amp;"")</f>
        <v/>
      </c>
      <c r="H341">
        <f>IF($M341="","",INDEX(상세표[종료월 기관],$M341)&amp;"")</f>
        <v/>
      </c>
      <c r="I341">
        <f>IF($M341="","",INDEX(상세표[월경계 판정],$M341)&amp;"")</f>
        <v/>
      </c>
      <c r="J341">
        <f>IF($M341="","",INDEX(상세표[반영월],$M341)&amp;"")</f>
        <v/>
      </c>
      <c r="K341">
        <f>IF($M341="","",INDEX(상세표[반영 기관],$M341)&amp;"")</f>
        <v/>
      </c>
      <c r="L341">
        <f>IF($M341="","",INDEX(상세표[기관 출처],$M341)&amp;"")</f>
        <v/>
      </c>
      <c r="M341" s="4">
        <f>IFERROR(MATCH(336,상세표[경계순번],0),"")</f>
        <v/>
      </c>
    </row>
    <row r="342">
      <c r="A342">
        <f>IF($M342="","",INDEX(상세표[사번],$M342)&amp;"")</f>
        <v/>
      </c>
      <c r="B342">
        <f>IF($M342="","",INDEX(상세표[성명],$M342)&amp;"")</f>
        <v/>
      </c>
      <c r="C342">
        <f>IF($M342="","",IF(INDEX(상세표[종료월],$M342)=대상월키,"전월→이번 달","이번 달→익월"))</f>
        <v/>
      </c>
      <c r="D342">
        <f>IF($M342="","",IF(ISNUMBER(INDEX(상세표[시작],$M342)),TEXT(INDEX(상세표[시작],$M342),"yyyy-mm-dd hh:mm"),INDEX(상세표[시작],$M342)&amp;""))</f>
        <v/>
      </c>
      <c r="E342">
        <f>IF($M342="","",IF(ISNUMBER(INDEX(상세표[종료],$M342)),TEXT(INDEX(상세표[종료],$M342),"yyyy-mm-dd hh:mm"),INDEX(상세표[종료],$M342)&amp;""))</f>
        <v/>
      </c>
      <c r="F342" s="20">
        <f>IF($M342="","",INDEX(상세표[기록 시간외],$M342))</f>
        <v/>
      </c>
      <c r="G342">
        <f>IF($M342="","",INDEX(상세표[시작월 기관],$M342)&amp;"")</f>
        <v/>
      </c>
      <c r="H342">
        <f>IF($M342="","",INDEX(상세표[종료월 기관],$M342)&amp;"")</f>
        <v/>
      </c>
      <c r="I342">
        <f>IF($M342="","",INDEX(상세표[월경계 판정],$M342)&amp;"")</f>
        <v/>
      </c>
      <c r="J342">
        <f>IF($M342="","",INDEX(상세표[반영월],$M342)&amp;"")</f>
        <v/>
      </c>
      <c r="K342">
        <f>IF($M342="","",INDEX(상세표[반영 기관],$M342)&amp;"")</f>
        <v/>
      </c>
      <c r="L342">
        <f>IF($M342="","",INDEX(상세표[기관 출처],$M342)&amp;"")</f>
        <v/>
      </c>
      <c r="M342" s="4">
        <f>IFERROR(MATCH(337,상세표[경계순번],0),"")</f>
        <v/>
      </c>
    </row>
    <row r="343">
      <c r="A343">
        <f>IF($M343="","",INDEX(상세표[사번],$M343)&amp;"")</f>
        <v/>
      </c>
      <c r="B343">
        <f>IF($M343="","",INDEX(상세표[성명],$M343)&amp;"")</f>
        <v/>
      </c>
      <c r="C343">
        <f>IF($M343="","",IF(INDEX(상세표[종료월],$M343)=대상월키,"전월→이번 달","이번 달→익월"))</f>
        <v/>
      </c>
      <c r="D343">
        <f>IF($M343="","",IF(ISNUMBER(INDEX(상세표[시작],$M343)),TEXT(INDEX(상세표[시작],$M343),"yyyy-mm-dd hh:mm"),INDEX(상세표[시작],$M343)&amp;""))</f>
        <v/>
      </c>
      <c r="E343">
        <f>IF($M343="","",IF(ISNUMBER(INDEX(상세표[종료],$M343)),TEXT(INDEX(상세표[종료],$M343),"yyyy-mm-dd hh:mm"),INDEX(상세표[종료],$M343)&amp;""))</f>
        <v/>
      </c>
      <c r="F343" s="20">
        <f>IF($M343="","",INDEX(상세표[기록 시간외],$M343))</f>
        <v/>
      </c>
      <c r="G343">
        <f>IF($M343="","",INDEX(상세표[시작월 기관],$M343)&amp;"")</f>
        <v/>
      </c>
      <c r="H343">
        <f>IF($M343="","",INDEX(상세표[종료월 기관],$M343)&amp;"")</f>
        <v/>
      </c>
      <c r="I343">
        <f>IF($M343="","",INDEX(상세표[월경계 판정],$M343)&amp;"")</f>
        <v/>
      </c>
      <c r="J343">
        <f>IF($M343="","",INDEX(상세표[반영월],$M343)&amp;"")</f>
        <v/>
      </c>
      <c r="K343">
        <f>IF($M343="","",INDEX(상세표[반영 기관],$M343)&amp;"")</f>
        <v/>
      </c>
      <c r="L343">
        <f>IF($M343="","",INDEX(상세표[기관 출처],$M343)&amp;"")</f>
        <v/>
      </c>
      <c r="M343" s="4">
        <f>IFERROR(MATCH(338,상세표[경계순번],0),"")</f>
        <v/>
      </c>
    </row>
    <row r="344">
      <c r="A344">
        <f>IF($M344="","",INDEX(상세표[사번],$M344)&amp;"")</f>
        <v/>
      </c>
      <c r="B344">
        <f>IF($M344="","",INDEX(상세표[성명],$M344)&amp;"")</f>
        <v/>
      </c>
      <c r="C344">
        <f>IF($M344="","",IF(INDEX(상세표[종료월],$M344)=대상월키,"전월→이번 달","이번 달→익월"))</f>
        <v/>
      </c>
      <c r="D344">
        <f>IF($M344="","",IF(ISNUMBER(INDEX(상세표[시작],$M344)),TEXT(INDEX(상세표[시작],$M344),"yyyy-mm-dd hh:mm"),INDEX(상세표[시작],$M344)&amp;""))</f>
        <v/>
      </c>
      <c r="E344">
        <f>IF($M344="","",IF(ISNUMBER(INDEX(상세표[종료],$M344)),TEXT(INDEX(상세표[종료],$M344),"yyyy-mm-dd hh:mm"),INDEX(상세표[종료],$M344)&amp;""))</f>
        <v/>
      </c>
      <c r="F344" s="20">
        <f>IF($M344="","",INDEX(상세표[기록 시간외],$M344))</f>
        <v/>
      </c>
      <c r="G344">
        <f>IF($M344="","",INDEX(상세표[시작월 기관],$M344)&amp;"")</f>
        <v/>
      </c>
      <c r="H344">
        <f>IF($M344="","",INDEX(상세표[종료월 기관],$M344)&amp;"")</f>
        <v/>
      </c>
      <c r="I344">
        <f>IF($M344="","",INDEX(상세표[월경계 판정],$M344)&amp;"")</f>
        <v/>
      </c>
      <c r="J344">
        <f>IF($M344="","",INDEX(상세표[반영월],$M344)&amp;"")</f>
        <v/>
      </c>
      <c r="K344">
        <f>IF($M344="","",INDEX(상세표[반영 기관],$M344)&amp;"")</f>
        <v/>
      </c>
      <c r="L344">
        <f>IF($M344="","",INDEX(상세표[기관 출처],$M344)&amp;"")</f>
        <v/>
      </c>
      <c r="M344" s="4">
        <f>IFERROR(MATCH(339,상세표[경계순번],0),"")</f>
        <v/>
      </c>
    </row>
    <row r="345">
      <c r="A345">
        <f>IF($M345="","",INDEX(상세표[사번],$M345)&amp;"")</f>
        <v/>
      </c>
      <c r="B345">
        <f>IF($M345="","",INDEX(상세표[성명],$M345)&amp;"")</f>
        <v/>
      </c>
      <c r="C345">
        <f>IF($M345="","",IF(INDEX(상세표[종료월],$M345)=대상월키,"전월→이번 달","이번 달→익월"))</f>
        <v/>
      </c>
      <c r="D345">
        <f>IF($M345="","",IF(ISNUMBER(INDEX(상세표[시작],$M345)),TEXT(INDEX(상세표[시작],$M345),"yyyy-mm-dd hh:mm"),INDEX(상세표[시작],$M345)&amp;""))</f>
        <v/>
      </c>
      <c r="E345">
        <f>IF($M345="","",IF(ISNUMBER(INDEX(상세표[종료],$M345)),TEXT(INDEX(상세표[종료],$M345),"yyyy-mm-dd hh:mm"),INDEX(상세표[종료],$M345)&amp;""))</f>
        <v/>
      </c>
      <c r="F345" s="20">
        <f>IF($M345="","",INDEX(상세표[기록 시간외],$M345))</f>
        <v/>
      </c>
      <c r="G345">
        <f>IF($M345="","",INDEX(상세표[시작월 기관],$M345)&amp;"")</f>
        <v/>
      </c>
      <c r="H345">
        <f>IF($M345="","",INDEX(상세표[종료월 기관],$M345)&amp;"")</f>
        <v/>
      </c>
      <c r="I345">
        <f>IF($M345="","",INDEX(상세표[월경계 판정],$M345)&amp;"")</f>
        <v/>
      </c>
      <c r="J345">
        <f>IF($M345="","",INDEX(상세표[반영월],$M345)&amp;"")</f>
        <v/>
      </c>
      <c r="K345">
        <f>IF($M345="","",INDEX(상세표[반영 기관],$M345)&amp;"")</f>
        <v/>
      </c>
      <c r="L345">
        <f>IF($M345="","",INDEX(상세표[기관 출처],$M345)&amp;"")</f>
        <v/>
      </c>
      <c r="M345" s="4">
        <f>IFERROR(MATCH(340,상세표[경계순번],0),"")</f>
        <v/>
      </c>
    </row>
    <row r="346">
      <c r="A346">
        <f>IF($M346="","",INDEX(상세표[사번],$M346)&amp;"")</f>
        <v/>
      </c>
      <c r="B346">
        <f>IF($M346="","",INDEX(상세표[성명],$M346)&amp;"")</f>
        <v/>
      </c>
      <c r="C346">
        <f>IF($M346="","",IF(INDEX(상세표[종료월],$M346)=대상월키,"전월→이번 달","이번 달→익월"))</f>
        <v/>
      </c>
      <c r="D346">
        <f>IF($M346="","",IF(ISNUMBER(INDEX(상세표[시작],$M346)),TEXT(INDEX(상세표[시작],$M346),"yyyy-mm-dd hh:mm"),INDEX(상세표[시작],$M346)&amp;""))</f>
        <v/>
      </c>
      <c r="E346">
        <f>IF($M346="","",IF(ISNUMBER(INDEX(상세표[종료],$M346)),TEXT(INDEX(상세표[종료],$M346),"yyyy-mm-dd hh:mm"),INDEX(상세표[종료],$M346)&amp;""))</f>
        <v/>
      </c>
      <c r="F346" s="20">
        <f>IF($M346="","",INDEX(상세표[기록 시간외],$M346))</f>
        <v/>
      </c>
      <c r="G346">
        <f>IF($M346="","",INDEX(상세표[시작월 기관],$M346)&amp;"")</f>
        <v/>
      </c>
      <c r="H346">
        <f>IF($M346="","",INDEX(상세표[종료월 기관],$M346)&amp;"")</f>
        <v/>
      </c>
      <c r="I346">
        <f>IF($M346="","",INDEX(상세표[월경계 판정],$M346)&amp;"")</f>
        <v/>
      </c>
      <c r="J346">
        <f>IF($M346="","",INDEX(상세표[반영월],$M346)&amp;"")</f>
        <v/>
      </c>
      <c r="K346">
        <f>IF($M346="","",INDEX(상세표[반영 기관],$M346)&amp;"")</f>
        <v/>
      </c>
      <c r="L346">
        <f>IF($M346="","",INDEX(상세표[기관 출처],$M346)&amp;"")</f>
        <v/>
      </c>
      <c r="M346" s="4">
        <f>IFERROR(MATCH(341,상세표[경계순번],0),"")</f>
        <v/>
      </c>
    </row>
    <row r="347">
      <c r="A347">
        <f>IF($M347="","",INDEX(상세표[사번],$M347)&amp;"")</f>
        <v/>
      </c>
      <c r="B347">
        <f>IF($M347="","",INDEX(상세표[성명],$M347)&amp;"")</f>
        <v/>
      </c>
      <c r="C347">
        <f>IF($M347="","",IF(INDEX(상세표[종료월],$M347)=대상월키,"전월→이번 달","이번 달→익월"))</f>
        <v/>
      </c>
      <c r="D347">
        <f>IF($M347="","",IF(ISNUMBER(INDEX(상세표[시작],$M347)),TEXT(INDEX(상세표[시작],$M347),"yyyy-mm-dd hh:mm"),INDEX(상세표[시작],$M347)&amp;""))</f>
        <v/>
      </c>
      <c r="E347">
        <f>IF($M347="","",IF(ISNUMBER(INDEX(상세표[종료],$M347)),TEXT(INDEX(상세표[종료],$M347),"yyyy-mm-dd hh:mm"),INDEX(상세표[종료],$M347)&amp;""))</f>
        <v/>
      </c>
      <c r="F347" s="20">
        <f>IF($M347="","",INDEX(상세표[기록 시간외],$M347))</f>
        <v/>
      </c>
      <c r="G347">
        <f>IF($M347="","",INDEX(상세표[시작월 기관],$M347)&amp;"")</f>
        <v/>
      </c>
      <c r="H347">
        <f>IF($M347="","",INDEX(상세표[종료월 기관],$M347)&amp;"")</f>
        <v/>
      </c>
      <c r="I347">
        <f>IF($M347="","",INDEX(상세표[월경계 판정],$M347)&amp;"")</f>
        <v/>
      </c>
      <c r="J347">
        <f>IF($M347="","",INDEX(상세표[반영월],$M347)&amp;"")</f>
        <v/>
      </c>
      <c r="K347">
        <f>IF($M347="","",INDEX(상세표[반영 기관],$M347)&amp;"")</f>
        <v/>
      </c>
      <c r="L347">
        <f>IF($M347="","",INDEX(상세표[기관 출처],$M347)&amp;"")</f>
        <v/>
      </c>
      <c r="M347" s="4">
        <f>IFERROR(MATCH(342,상세표[경계순번],0),"")</f>
        <v/>
      </c>
    </row>
    <row r="348">
      <c r="A348">
        <f>IF($M348="","",INDEX(상세표[사번],$M348)&amp;"")</f>
        <v/>
      </c>
      <c r="B348">
        <f>IF($M348="","",INDEX(상세표[성명],$M348)&amp;"")</f>
        <v/>
      </c>
      <c r="C348">
        <f>IF($M348="","",IF(INDEX(상세표[종료월],$M348)=대상월키,"전월→이번 달","이번 달→익월"))</f>
        <v/>
      </c>
      <c r="D348">
        <f>IF($M348="","",IF(ISNUMBER(INDEX(상세표[시작],$M348)),TEXT(INDEX(상세표[시작],$M348),"yyyy-mm-dd hh:mm"),INDEX(상세표[시작],$M348)&amp;""))</f>
        <v/>
      </c>
      <c r="E348">
        <f>IF($M348="","",IF(ISNUMBER(INDEX(상세표[종료],$M348)),TEXT(INDEX(상세표[종료],$M348),"yyyy-mm-dd hh:mm"),INDEX(상세표[종료],$M348)&amp;""))</f>
        <v/>
      </c>
      <c r="F348" s="20">
        <f>IF($M348="","",INDEX(상세표[기록 시간외],$M348))</f>
        <v/>
      </c>
      <c r="G348">
        <f>IF($M348="","",INDEX(상세표[시작월 기관],$M348)&amp;"")</f>
        <v/>
      </c>
      <c r="H348">
        <f>IF($M348="","",INDEX(상세표[종료월 기관],$M348)&amp;"")</f>
        <v/>
      </c>
      <c r="I348">
        <f>IF($M348="","",INDEX(상세표[월경계 판정],$M348)&amp;"")</f>
        <v/>
      </c>
      <c r="J348">
        <f>IF($M348="","",INDEX(상세표[반영월],$M348)&amp;"")</f>
        <v/>
      </c>
      <c r="K348">
        <f>IF($M348="","",INDEX(상세표[반영 기관],$M348)&amp;"")</f>
        <v/>
      </c>
      <c r="L348">
        <f>IF($M348="","",INDEX(상세표[기관 출처],$M348)&amp;"")</f>
        <v/>
      </c>
      <c r="M348" s="4">
        <f>IFERROR(MATCH(343,상세표[경계순번],0),"")</f>
        <v/>
      </c>
    </row>
    <row r="349">
      <c r="A349">
        <f>IF($M349="","",INDEX(상세표[사번],$M349)&amp;"")</f>
        <v/>
      </c>
      <c r="B349">
        <f>IF($M349="","",INDEX(상세표[성명],$M349)&amp;"")</f>
        <v/>
      </c>
      <c r="C349">
        <f>IF($M349="","",IF(INDEX(상세표[종료월],$M349)=대상월키,"전월→이번 달","이번 달→익월"))</f>
        <v/>
      </c>
      <c r="D349">
        <f>IF($M349="","",IF(ISNUMBER(INDEX(상세표[시작],$M349)),TEXT(INDEX(상세표[시작],$M349),"yyyy-mm-dd hh:mm"),INDEX(상세표[시작],$M349)&amp;""))</f>
        <v/>
      </c>
      <c r="E349">
        <f>IF($M349="","",IF(ISNUMBER(INDEX(상세표[종료],$M349)),TEXT(INDEX(상세표[종료],$M349),"yyyy-mm-dd hh:mm"),INDEX(상세표[종료],$M349)&amp;""))</f>
        <v/>
      </c>
      <c r="F349" s="20">
        <f>IF($M349="","",INDEX(상세표[기록 시간외],$M349))</f>
        <v/>
      </c>
      <c r="G349">
        <f>IF($M349="","",INDEX(상세표[시작월 기관],$M349)&amp;"")</f>
        <v/>
      </c>
      <c r="H349">
        <f>IF($M349="","",INDEX(상세표[종료월 기관],$M349)&amp;"")</f>
        <v/>
      </c>
      <c r="I349">
        <f>IF($M349="","",INDEX(상세표[월경계 판정],$M349)&amp;"")</f>
        <v/>
      </c>
      <c r="J349">
        <f>IF($M349="","",INDEX(상세표[반영월],$M349)&amp;"")</f>
        <v/>
      </c>
      <c r="K349">
        <f>IF($M349="","",INDEX(상세표[반영 기관],$M349)&amp;"")</f>
        <v/>
      </c>
      <c r="L349">
        <f>IF($M349="","",INDEX(상세표[기관 출처],$M349)&amp;"")</f>
        <v/>
      </c>
      <c r="M349" s="4">
        <f>IFERROR(MATCH(344,상세표[경계순번],0),"")</f>
        <v/>
      </c>
    </row>
    <row r="350">
      <c r="A350">
        <f>IF($M350="","",INDEX(상세표[사번],$M350)&amp;"")</f>
        <v/>
      </c>
      <c r="B350">
        <f>IF($M350="","",INDEX(상세표[성명],$M350)&amp;"")</f>
        <v/>
      </c>
      <c r="C350">
        <f>IF($M350="","",IF(INDEX(상세표[종료월],$M350)=대상월키,"전월→이번 달","이번 달→익월"))</f>
        <v/>
      </c>
      <c r="D350">
        <f>IF($M350="","",IF(ISNUMBER(INDEX(상세표[시작],$M350)),TEXT(INDEX(상세표[시작],$M350),"yyyy-mm-dd hh:mm"),INDEX(상세표[시작],$M350)&amp;""))</f>
        <v/>
      </c>
      <c r="E350">
        <f>IF($M350="","",IF(ISNUMBER(INDEX(상세표[종료],$M350)),TEXT(INDEX(상세표[종료],$M350),"yyyy-mm-dd hh:mm"),INDEX(상세표[종료],$M350)&amp;""))</f>
        <v/>
      </c>
      <c r="F350" s="20">
        <f>IF($M350="","",INDEX(상세표[기록 시간외],$M350))</f>
        <v/>
      </c>
      <c r="G350">
        <f>IF($M350="","",INDEX(상세표[시작월 기관],$M350)&amp;"")</f>
        <v/>
      </c>
      <c r="H350">
        <f>IF($M350="","",INDEX(상세표[종료월 기관],$M350)&amp;"")</f>
        <v/>
      </c>
      <c r="I350">
        <f>IF($M350="","",INDEX(상세표[월경계 판정],$M350)&amp;"")</f>
        <v/>
      </c>
      <c r="J350">
        <f>IF($M350="","",INDEX(상세표[반영월],$M350)&amp;"")</f>
        <v/>
      </c>
      <c r="K350">
        <f>IF($M350="","",INDEX(상세표[반영 기관],$M350)&amp;"")</f>
        <v/>
      </c>
      <c r="L350">
        <f>IF($M350="","",INDEX(상세표[기관 출처],$M350)&amp;"")</f>
        <v/>
      </c>
      <c r="M350" s="4">
        <f>IFERROR(MATCH(345,상세표[경계순번],0),"")</f>
        <v/>
      </c>
    </row>
    <row r="351">
      <c r="A351">
        <f>IF($M351="","",INDEX(상세표[사번],$M351)&amp;"")</f>
        <v/>
      </c>
      <c r="B351">
        <f>IF($M351="","",INDEX(상세표[성명],$M351)&amp;"")</f>
        <v/>
      </c>
      <c r="C351">
        <f>IF($M351="","",IF(INDEX(상세표[종료월],$M351)=대상월키,"전월→이번 달","이번 달→익월"))</f>
        <v/>
      </c>
      <c r="D351">
        <f>IF($M351="","",IF(ISNUMBER(INDEX(상세표[시작],$M351)),TEXT(INDEX(상세표[시작],$M351),"yyyy-mm-dd hh:mm"),INDEX(상세표[시작],$M351)&amp;""))</f>
        <v/>
      </c>
      <c r="E351">
        <f>IF($M351="","",IF(ISNUMBER(INDEX(상세표[종료],$M351)),TEXT(INDEX(상세표[종료],$M351),"yyyy-mm-dd hh:mm"),INDEX(상세표[종료],$M351)&amp;""))</f>
        <v/>
      </c>
      <c r="F351" s="20">
        <f>IF($M351="","",INDEX(상세표[기록 시간외],$M351))</f>
        <v/>
      </c>
      <c r="G351">
        <f>IF($M351="","",INDEX(상세표[시작월 기관],$M351)&amp;"")</f>
        <v/>
      </c>
      <c r="H351">
        <f>IF($M351="","",INDEX(상세표[종료월 기관],$M351)&amp;"")</f>
        <v/>
      </c>
      <c r="I351">
        <f>IF($M351="","",INDEX(상세표[월경계 판정],$M351)&amp;"")</f>
        <v/>
      </c>
      <c r="J351">
        <f>IF($M351="","",INDEX(상세표[반영월],$M351)&amp;"")</f>
        <v/>
      </c>
      <c r="K351">
        <f>IF($M351="","",INDEX(상세표[반영 기관],$M351)&amp;"")</f>
        <v/>
      </c>
      <c r="L351">
        <f>IF($M351="","",INDEX(상세표[기관 출처],$M351)&amp;"")</f>
        <v/>
      </c>
      <c r="M351" s="4">
        <f>IFERROR(MATCH(346,상세표[경계순번],0),"")</f>
        <v/>
      </c>
    </row>
    <row r="352">
      <c r="A352">
        <f>IF($M352="","",INDEX(상세표[사번],$M352)&amp;"")</f>
        <v/>
      </c>
      <c r="B352">
        <f>IF($M352="","",INDEX(상세표[성명],$M352)&amp;"")</f>
        <v/>
      </c>
      <c r="C352">
        <f>IF($M352="","",IF(INDEX(상세표[종료월],$M352)=대상월키,"전월→이번 달","이번 달→익월"))</f>
        <v/>
      </c>
      <c r="D352">
        <f>IF($M352="","",IF(ISNUMBER(INDEX(상세표[시작],$M352)),TEXT(INDEX(상세표[시작],$M352),"yyyy-mm-dd hh:mm"),INDEX(상세표[시작],$M352)&amp;""))</f>
        <v/>
      </c>
      <c r="E352">
        <f>IF($M352="","",IF(ISNUMBER(INDEX(상세표[종료],$M352)),TEXT(INDEX(상세표[종료],$M352),"yyyy-mm-dd hh:mm"),INDEX(상세표[종료],$M352)&amp;""))</f>
        <v/>
      </c>
      <c r="F352" s="20">
        <f>IF($M352="","",INDEX(상세표[기록 시간외],$M352))</f>
        <v/>
      </c>
      <c r="G352">
        <f>IF($M352="","",INDEX(상세표[시작월 기관],$M352)&amp;"")</f>
        <v/>
      </c>
      <c r="H352">
        <f>IF($M352="","",INDEX(상세표[종료월 기관],$M352)&amp;"")</f>
        <v/>
      </c>
      <c r="I352">
        <f>IF($M352="","",INDEX(상세표[월경계 판정],$M352)&amp;"")</f>
        <v/>
      </c>
      <c r="J352">
        <f>IF($M352="","",INDEX(상세표[반영월],$M352)&amp;"")</f>
        <v/>
      </c>
      <c r="K352">
        <f>IF($M352="","",INDEX(상세표[반영 기관],$M352)&amp;"")</f>
        <v/>
      </c>
      <c r="L352">
        <f>IF($M352="","",INDEX(상세표[기관 출처],$M352)&amp;"")</f>
        <v/>
      </c>
      <c r="M352" s="4">
        <f>IFERROR(MATCH(347,상세표[경계순번],0),"")</f>
        <v/>
      </c>
    </row>
    <row r="353">
      <c r="A353">
        <f>IF($M353="","",INDEX(상세표[사번],$M353)&amp;"")</f>
        <v/>
      </c>
      <c r="B353">
        <f>IF($M353="","",INDEX(상세표[성명],$M353)&amp;"")</f>
        <v/>
      </c>
      <c r="C353">
        <f>IF($M353="","",IF(INDEX(상세표[종료월],$M353)=대상월키,"전월→이번 달","이번 달→익월"))</f>
        <v/>
      </c>
      <c r="D353">
        <f>IF($M353="","",IF(ISNUMBER(INDEX(상세표[시작],$M353)),TEXT(INDEX(상세표[시작],$M353),"yyyy-mm-dd hh:mm"),INDEX(상세표[시작],$M353)&amp;""))</f>
        <v/>
      </c>
      <c r="E353">
        <f>IF($M353="","",IF(ISNUMBER(INDEX(상세표[종료],$M353)),TEXT(INDEX(상세표[종료],$M353),"yyyy-mm-dd hh:mm"),INDEX(상세표[종료],$M353)&amp;""))</f>
        <v/>
      </c>
      <c r="F353" s="20">
        <f>IF($M353="","",INDEX(상세표[기록 시간외],$M353))</f>
        <v/>
      </c>
      <c r="G353">
        <f>IF($M353="","",INDEX(상세표[시작월 기관],$M353)&amp;"")</f>
        <v/>
      </c>
      <c r="H353">
        <f>IF($M353="","",INDEX(상세표[종료월 기관],$M353)&amp;"")</f>
        <v/>
      </c>
      <c r="I353">
        <f>IF($M353="","",INDEX(상세표[월경계 판정],$M353)&amp;"")</f>
        <v/>
      </c>
      <c r="J353">
        <f>IF($M353="","",INDEX(상세표[반영월],$M353)&amp;"")</f>
        <v/>
      </c>
      <c r="K353">
        <f>IF($M353="","",INDEX(상세표[반영 기관],$M353)&amp;"")</f>
        <v/>
      </c>
      <c r="L353">
        <f>IF($M353="","",INDEX(상세표[기관 출처],$M353)&amp;"")</f>
        <v/>
      </c>
      <c r="M353" s="4">
        <f>IFERROR(MATCH(348,상세표[경계순번],0),"")</f>
        <v/>
      </c>
    </row>
    <row r="354">
      <c r="A354">
        <f>IF($M354="","",INDEX(상세표[사번],$M354)&amp;"")</f>
        <v/>
      </c>
      <c r="B354">
        <f>IF($M354="","",INDEX(상세표[성명],$M354)&amp;"")</f>
        <v/>
      </c>
      <c r="C354">
        <f>IF($M354="","",IF(INDEX(상세표[종료월],$M354)=대상월키,"전월→이번 달","이번 달→익월"))</f>
        <v/>
      </c>
      <c r="D354">
        <f>IF($M354="","",IF(ISNUMBER(INDEX(상세표[시작],$M354)),TEXT(INDEX(상세표[시작],$M354),"yyyy-mm-dd hh:mm"),INDEX(상세표[시작],$M354)&amp;""))</f>
        <v/>
      </c>
      <c r="E354">
        <f>IF($M354="","",IF(ISNUMBER(INDEX(상세표[종료],$M354)),TEXT(INDEX(상세표[종료],$M354),"yyyy-mm-dd hh:mm"),INDEX(상세표[종료],$M354)&amp;""))</f>
        <v/>
      </c>
      <c r="F354" s="20">
        <f>IF($M354="","",INDEX(상세표[기록 시간외],$M354))</f>
        <v/>
      </c>
      <c r="G354">
        <f>IF($M354="","",INDEX(상세표[시작월 기관],$M354)&amp;"")</f>
        <v/>
      </c>
      <c r="H354">
        <f>IF($M354="","",INDEX(상세표[종료월 기관],$M354)&amp;"")</f>
        <v/>
      </c>
      <c r="I354">
        <f>IF($M354="","",INDEX(상세표[월경계 판정],$M354)&amp;"")</f>
        <v/>
      </c>
      <c r="J354">
        <f>IF($M354="","",INDEX(상세표[반영월],$M354)&amp;"")</f>
        <v/>
      </c>
      <c r="K354">
        <f>IF($M354="","",INDEX(상세표[반영 기관],$M354)&amp;"")</f>
        <v/>
      </c>
      <c r="L354">
        <f>IF($M354="","",INDEX(상세표[기관 출처],$M354)&amp;"")</f>
        <v/>
      </c>
      <c r="M354" s="4">
        <f>IFERROR(MATCH(349,상세표[경계순번],0),"")</f>
        <v/>
      </c>
    </row>
    <row r="355">
      <c r="A355">
        <f>IF($M355="","",INDEX(상세표[사번],$M355)&amp;"")</f>
        <v/>
      </c>
      <c r="B355">
        <f>IF($M355="","",INDEX(상세표[성명],$M355)&amp;"")</f>
        <v/>
      </c>
      <c r="C355">
        <f>IF($M355="","",IF(INDEX(상세표[종료월],$M355)=대상월키,"전월→이번 달","이번 달→익월"))</f>
        <v/>
      </c>
      <c r="D355">
        <f>IF($M355="","",IF(ISNUMBER(INDEX(상세표[시작],$M355)),TEXT(INDEX(상세표[시작],$M355),"yyyy-mm-dd hh:mm"),INDEX(상세표[시작],$M355)&amp;""))</f>
        <v/>
      </c>
      <c r="E355">
        <f>IF($M355="","",IF(ISNUMBER(INDEX(상세표[종료],$M355)),TEXT(INDEX(상세표[종료],$M355),"yyyy-mm-dd hh:mm"),INDEX(상세표[종료],$M355)&amp;""))</f>
        <v/>
      </c>
      <c r="F355" s="20">
        <f>IF($M355="","",INDEX(상세표[기록 시간외],$M355))</f>
        <v/>
      </c>
      <c r="G355">
        <f>IF($M355="","",INDEX(상세표[시작월 기관],$M355)&amp;"")</f>
        <v/>
      </c>
      <c r="H355">
        <f>IF($M355="","",INDEX(상세표[종료월 기관],$M355)&amp;"")</f>
        <v/>
      </c>
      <c r="I355">
        <f>IF($M355="","",INDEX(상세표[월경계 판정],$M355)&amp;"")</f>
        <v/>
      </c>
      <c r="J355">
        <f>IF($M355="","",INDEX(상세표[반영월],$M355)&amp;"")</f>
        <v/>
      </c>
      <c r="K355">
        <f>IF($M355="","",INDEX(상세표[반영 기관],$M355)&amp;"")</f>
        <v/>
      </c>
      <c r="L355">
        <f>IF($M355="","",INDEX(상세표[기관 출처],$M355)&amp;"")</f>
        <v/>
      </c>
      <c r="M355" s="4">
        <f>IFERROR(MATCH(350,상세표[경계순번],0),"")</f>
        <v/>
      </c>
    </row>
    <row r="356">
      <c r="A356">
        <f>IF($M356="","",INDEX(상세표[사번],$M356)&amp;"")</f>
        <v/>
      </c>
      <c r="B356">
        <f>IF($M356="","",INDEX(상세표[성명],$M356)&amp;"")</f>
        <v/>
      </c>
      <c r="C356">
        <f>IF($M356="","",IF(INDEX(상세표[종료월],$M356)=대상월키,"전월→이번 달","이번 달→익월"))</f>
        <v/>
      </c>
      <c r="D356">
        <f>IF($M356="","",IF(ISNUMBER(INDEX(상세표[시작],$M356)),TEXT(INDEX(상세표[시작],$M356),"yyyy-mm-dd hh:mm"),INDEX(상세표[시작],$M356)&amp;""))</f>
        <v/>
      </c>
      <c r="E356">
        <f>IF($M356="","",IF(ISNUMBER(INDEX(상세표[종료],$M356)),TEXT(INDEX(상세표[종료],$M356),"yyyy-mm-dd hh:mm"),INDEX(상세표[종료],$M356)&amp;""))</f>
        <v/>
      </c>
      <c r="F356" s="20">
        <f>IF($M356="","",INDEX(상세표[기록 시간외],$M356))</f>
        <v/>
      </c>
      <c r="G356">
        <f>IF($M356="","",INDEX(상세표[시작월 기관],$M356)&amp;"")</f>
        <v/>
      </c>
      <c r="H356">
        <f>IF($M356="","",INDEX(상세표[종료월 기관],$M356)&amp;"")</f>
        <v/>
      </c>
      <c r="I356">
        <f>IF($M356="","",INDEX(상세표[월경계 판정],$M356)&amp;"")</f>
        <v/>
      </c>
      <c r="J356">
        <f>IF($M356="","",INDEX(상세표[반영월],$M356)&amp;"")</f>
        <v/>
      </c>
      <c r="K356">
        <f>IF($M356="","",INDEX(상세표[반영 기관],$M356)&amp;"")</f>
        <v/>
      </c>
      <c r="L356">
        <f>IF($M356="","",INDEX(상세표[기관 출처],$M356)&amp;"")</f>
        <v/>
      </c>
      <c r="M356" s="4">
        <f>IFERROR(MATCH(351,상세표[경계순번],0),"")</f>
        <v/>
      </c>
    </row>
    <row r="357">
      <c r="A357">
        <f>IF($M357="","",INDEX(상세표[사번],$M357)&amp;"")</f>
        <v/>
      </c>
      <c r="B357">
        <f>IF($M357="","",INDEX(상세표[성명],$M357)&amp;"")</f>
        <v/>
      </c>
      <c r="C357">
        <f>IF($M357="","",IF(INDEX(상세표[종료월],$M357)=대상월키,"전월→이번 달","이번 달→익월"))</f>
        <v/>
      </c>
      <c r="D357">
        <f>IF($M357="","",IF(ISNUMBER(INDEX(상세표[시작],$M357)),TEXT(INDEX(상세표[시작],$M357),"yyyy-mm-dd hh:mm"),INDEX(상세표[시작],$M357)&amp;""))</f>
        <v/>
      </c>
      <c r="E357">
        <f>IF($M357="","",IF(ISNUMBER(INDEX(상세표[종료],$M357)),TEXT(INDEX(상세표[종료],$M357),"yyyy-mm-dd hh:mm"),INDEX(상세표[종료],$M357)&amp;""))</f>
        <v/>
      </c>
      <c r="F357" s="20">
        <f>IF($M357="","",INDEX(상세표[기록 시간외],$M357))</f>
        <v/>
      </c>
      <c r="G357">
        <f>IF($M357="","",INDEX(상세표[시작월 기관],$M357)&amp;"")</f>
        <v/>
      </c>
      <c r="H357">
        <f>IF($M357="","",INDEX(상세표[종료월 기관],$M357)&amp;"")</f>
        <v/>
      </c>
      <c r="I357">
        <f>IF($M357="","",INDEX(상세표[월경계 판정],$M357)&amp;"")</f>
        <v/>
      </c>
      <c r="J357">
        <f>IF($M357="","",INDEX(상세표[반영월],$M357)&amp;"")</f>
        <v/>
      </c>
      <c r="K357">
        <f>IF($M357="","",INDEX(상세표[반영 기관],$M357)&amp;"")</f>
        <v/>
      </c>
      <c r="L357">
        <f>IF($M357="","",INDEX(상세표[기관 출처],$M357)&amp;"")</f>
        <v/>
      </c>
      <c r="M357" s="4">
        <f>IFERROR(MATCH(352,상세표[경계순번],0),"")</f>
        <v/>
      </c>
    </row>
    <row r="358">
      <c r="A358">
        <f>IF($M358="","",INDEX(상세표[사번],$M358)&amp;"")</f>
        <v/>
      </c>
      <c r="B358">
        <f>IF($M358="","",INDEX(상세표[성명],$M358)&amp;"")</f>
        <v/>
      </c>
      <c r="C358">
        <f>IF($M358="","",IF(INDEX(상세표[종료월],$M358)=대상월키,"전월→이번 달","이번 달→익월"))</f>
        <v/>
      </c>
      <c r="D358">
        <f>IF($M358="","",IF(ISNUMBER(INDEX(상세표[시작],$M358)),TEXT(INDEX(상세표[시작],$M358),"yyyy-mm-dd hh:mm"),INDEX(상세표[시작],$M358)&amp;""))</f>
        <v/>
      </c>
      <c r="E358">
        <f>IF($M358="","",IF(ISNUMBER(INDEX(상세표[종료],$M358)),TEXT(INDEX(상세표[종료],$M358),"yyyy-mm-dd hh:mm"),INDEX(상세표[종료],$M358)&amp;""))</f>
        <v/>
      </c>
      <c r="F358" s="20">
        <f>IF($M358="","",INDEX(상세표[기록 시간외],$M358))</f>
        <v/>
      </c>
      <c r="G358">
        <f>IF($M358="","",INDEX(상세표[시작월 기관],$M358)&amp;"")</f>
        <v/>
      </c>
      <c r="H358">
        <f>IF($M358="","",INDEX(상세표[종료월 기관],$M358)&amp;"")</f>
        <v/>
      </c>
      <c r="I358">
        <f>IF($M358="","",INDEX(상세표[월경계 판정],$M358)&amp;"")</f>
        <v/>
      </c>
      <c r="J358">
        <f>IF($M358="","",INDEX(상세표[반영월],$M358)&amp;"")</f>
        <v/>
      </c>
      <c r="K358">
        <f>IF($M358="","",INDEX(상세표[반영 기관],$M358)&amp;"")</f>
        <v/>
      </c>
      <c r="L358">
        <f>IF($M358="","",INDEX(상세표[기관 출처],$M358)&amp;"")</f>
        <v/>
      </c>
      <c r="M358" s="4">
        <f>IFERROR(MATCH(353,상세표[경계순번],0),"")</f>
        <v/>
      </c>
    </row>
    <row r="359">
      <c r="A359">
        <f>IF($M359="","",INDEX(상세표[사번],$M359)&amp;"")</f>
        <v/>
      </c>
      <c r="B359">
        <f>IF($M359="","",INDEX(상세표[성명],$M359)&amp;"")</f>
        <v/>
      </c>
      <c r="C359">
        <f>IF($M359="","",IF(INDEX(상세표[종료월],$M359)=대상월키,"전월→이번 달","이번 달→익월"))</f>
        <v/>
      </c>
      <c r="D359">
        <f>IF($M359="","",IF(ISNUMBER(INDEX(상세표[시작],$M359)),TEXT(INDEX(상세표[시작],$M359),"yyyy-mm-dd hh:mm"),INDEX(상세표[시작],$M359)&amp;""))</f>
        <v/>
      </c>
      <c r="E359">
        <f>IF($M359="","",IF(ISNUMBER(INDEX(상세표[종료],$M359)),TEXT(INDEX(상세표[종료],$M359),"yyyy-mm-dd hh:mm"),INDEX(상세표[종료],$M359)&amp;""))</f>
        <v/>
      </c>
      <c r="F359" s="20">
        <f>IF($M359="","",INDEX(상세표[기록 시간외],$M359))</f>
        <v/>
      </c>
      <c r="G359">
        <f>IF($M359="","",INDEX(상세표[시작월 기관],$M359)&amp;"")</f>
        <v/>
      </c>
      <c r="H359">
        <f>IF($M359="","",INDEX(상세표[종료월 기관],$M359)&amp;"")</f>
        <v/>
      </c>
      <c r="I359">
        <f>IF($M359="","",INDEX(상세표[월경계 판정],$M359)&amp;"")</f>
        <v/>
      </c>
      <c r="J359">
        <f>IF($M359="","",INDEX(상세표[반영월],$M359)&amp;"")</f>
        <v/>
      </c>
      <c r="K359">
        <f>IF($M359="","",INDEX(상세표[반영 기관],$M359)&amp;"")</f>
        <v/>
      </c>
      <c r="L359">
        <f>IF($M359="","",INDEX(상세표[기관 출처],$M359)&amp;"")</f>
        <v/>
      </c>
      <c r="M359" s="4">
        <f>IFERROR(MATCH(354,상세표[경계순번],0),"")</f>
        <v/>
      </c>
    </row>
    <row r="360">
      <c r="A360">
        <f>IF($M360="","",INDEX(상세표[사번],$M360)&amp;"")</f>
        <v/>
      </c>
      <c r="B360">
        <f>IF($M360="","",INDEX(상세표[성명],$M360)&amp;"")</f>
        <v/>
      </c>
      <c r="C360">
        <f>IF($M360="","",IF(INDEX(상세표[종료월],$M360)=대상월키,"전월→이번 달","이번 달→익월"))</f>
        <v/>
      </c>
      <c r="D360">
        <f>IF($M360="","",IF(ISNUMBER(INDEX(상세표[시작],$M360)),TEXT(INDEX(상세표[시작],$M360),"yyyy-mm-dd hh:mm"),INDEX(상세표[시작],$M360)&amp;""))</f>
        <v/>
      </c>
      <c r="E360">
        <f>IF($M360="","",IF(ISNUMBER(INDEX(상세표[종료],$M360)),TEXT(INDEX(상세표[종료],$M360),"yyyy-mm-dd hh:mm"),INDEX(상세표[종료],$M360)&amp;""))</f>
        <v/>
      </c>
      <c r="F360" s="20">
        <f>IF($M360="","",INDEX(상세표[기록 시간외],$M360))</f>
        <v/>
      </c>
      <c r="G360">
        <f>IF($M360="","",INDEX(상세표[시작월 기관],$M360)&amp;"")</f>
        <v/>
      </c>
      <c r="H360">
        <f>IF($M360="","",INDEX(상세표[종료월 기관],$M360)&amp;"")</f>
        <v/>
      </c>
      <c r="I360">
        <f>IF($M360="","",INDEX(상세표[월경계 판정],$M360)&amp;"")</f>
        <v/>
      </c>
      <c r="J360">
        <f>IF($M360="","",INDEX(상세표[반영월],$M360)&amp;"")</f>
        <v/>
      </c>
      <c r="K360">
        <f>IF($M360="","",INDEX(상세표[반영 기관],$M360)&amp;"")</f>
        <v/>
      </c>
      <c r="L360">
        <f>IF($M360="","",INDEX(상세표[기관 출처],$M360)&amp;"")</f>
        <v/>
      </c>
      <c r="M360" s="4">
        <f>IFERROR(MATCH(355,상세표[경계순번],0),"")</f>
        <v/>
      </c>
    </row>
    <row r="361">
      <c r="A361">
        <f>IF($M361="","",INDEX(상세표[사번],$M361)&amp;"")</f>
        <v/>
      </c>
      <c r="B361">
        <f>IF($M361="","",INDEX(상세표[성명],$M361)&amp;"")</f>
        <v/>
      </c>
      <c r="C361">
        <f>IF($M361="","",IF(INDEX(상세표[종료월],$M361)=대상월키,"전월→이번 달","이번 달→익월"))</f>
        <v/>
      </c>
      <c r="D361">
        <f>IF($M361="","",IF(ISNUMBER(INDEX(상세표[시작],$M361)),TEXT(INDEX(상세표[시작],$M361),"yyyy-mm-dd hh:mm"),INDEX(상세표[시작],$M361)&amp;""))</f>
        <v/>
      </c>
      <c r="E361">
        <f>IF($M361="","",IF(ISNUMBER(INDEX(상세표[종료],$M361)),TEXT(INDEX(상세표[종료],$M361),"yyyy-mm-dd hh:mm"),INDEX(상세표[종료],$M361)&amp;""))</f>
        <v/>
      </c>
      <c r="F361" s="20">
        <f>IF($M361="","",INDEX(상세표[기록 시간외],$M361))</f>
        <v/>
      </c>
      <c r="G361">
        <f>IF($M361="","",INDEX(상세표[시작월 기관],$M361)&amp;"")</f>
        <v/>
      </c>
      <c r="H361">
        <f>IF($M361="","",INDEX(상세표[종료월 기관],$M361)&amp;"")</f>
        <v/>
      </c>
      <c r="I361">
        <f>IF($M361="","",INDEX(상세표[월경계 판정],$M361)&amp;"")</f>
        <v/>
      </c>
      <c r="J361">
        <f>IF($M361="","",INDEX(상세표[반영월],$M361)&amp;"")</f>
        <v/>
      </c>
      <c r="K361">
        <f>IF($M361="","",INDEX(상세표[반영 기관],$M361)&amp;"")</f>
        <v/>
      </c>
      <c r="L361">
        <f>IF($M361="","",INDEX(상세표[기관 출처],$M361)&amp;"")</f>
        <v/>
      </c>
      <c r="M361" s="4">
        <f>IFERROR(MATCH(356,상세표[경계순번],0),"")</f>
        <v/>
      </c>
    </row>
    <row r="362">
      <c r="A362">
        <f>IF($M362="","",INDEX(상세표[사번],$M362)&amp;"")</f>
        <v/>
      </c>
      <c r="B362">
        <f>IF($M362="","",INDEX(상세표[성명],$M362)&amp;"")</f>
        <v/>
      </c>
      <c r="C362">
        <f>IF($M362="","",IF(INDEX(상세표[종료월],$M362)=대상월키,"전월→이번 달","이번 달→익월"))</f>
        <v/>
      </c>
      <c r="D362">
        <f>IF($M362="","",IF(ISNUMBER(INDEX(상세표[시작],$M362)),TEXT(INDEX(상세표[시작],$M362),"yyyy-mm-dd hh:mm"),INDEX(상세표[시작],$M362)&amp;""))</f>
        <v/>
      </c>
      <c r="E362">
        <f>IF($M362="","",IF(ISNUMBER(INDEX(상세표[종료],$M362)),TEXT(INDEX(상세표[종료],$M362),"yyyy-mm-dd hh:mm"),INDEX(상세표[종료],$M362)&amp;""))</f>
        <v/>
      </c>
      <c r="F362" s="20">
        <f>IF($M362="","",INDEX(상세표[기록 시간외],$M362))</f>
        <v/>
      </c>
      <c r="G362">
        <f>IF($M362="","",INDEX(상세표[시작월 기관],$M362)&amp;"")</f>
        <v/>
      </c>
      <c r="H362">
        <f>IF($M362="","",INDEX(상세표[종료월 기관],$M362)&amp;"")</f>
        <v/>
      </c>
      <c r="I362">
        <f>IF($M362="","",INDEX(상세표[월경계 판정],$M362)&amp;"")</f>
        <v/>
      </c>
      <c r="J362">
        <f>IF($M362="","",INDEX(상세표[반영월],$M362)&amp;"")</f>
        <v/>
      </c>
      <c r="K362">
        <f>IF($M362="","",INDEX(상세표[반영 기관],$M362)&amp;"")</f>
        <v/>
      </c>
      <c r="L362">
        <f>IF($M362="","",INDEX(상세표[기관 출처],$M362)&amp;"")</f>
        <v/>
      </c>
      <c r="M362" s="4">
        <f>IFERROR(MATCH(357,상세표[경계순번],0),"")</f>
        <v/>
      </c>
    </row>
    <row r="363">
      <c r="A363">
        <f>IF($M363="","",INDEX(상세표[사번],$M363)&amp;"")</f>
        <v/>
      </c>
      <c r="B363">
        <f>IF($M363="","",INDEX(상세표[성명],$M363)&amp;"")</f>
        <v/>
      </c>
      <c r="C363">
        <f>IF($M363="","",IF(INDEX(상세표[종료월],$M363)=대상월키,"전월→이번 달","이번 달→익월"))</f>
        <v/>
      </c>
      <c r="D363">
        <f>IF($M363="","",IF(ISNUMBER(INDEX(상세표[시작],$M363)),TEXT(INDEX(상세표[시작],$M363),"yyyy-mm-dd hh:mm"),INDEX(상세표[시작],$M363)&amp;""))</f>
        <v/>
      </c>
      <c r="E363">
        <f>IF($M363="","",IF(ISNUMBER(INDEX(상세표[종료],$M363)),TEXT(INDEX(상세표[종료],$M363),"yyyy-mm-dd hh:mm"),INDEX(상세표[종료],$M363)&amp;""))</f>
        <v/>
      </c>
      <c r="F363" s="20">
        <f>IF($M363="","",INDEX(상세표[기록 시간외],$M363))</f>
        <v/>
      </c>
      <c r="G363">
        <f>IF($M363="","",INDEX(상세표[시작월 기관],$M363)&amp;"")</f>
        <v/>
      </c>
      <c r="H363">
        <f>IF($M363="","",INDEX(상세표[종료월 기관],$M363)&amp;"")</f>
        <v/>
      </c>
      <c r="I363">
        <f>IF($M363="","",INDEX(상세표[월경계 판정],$M363)&amp;"")</f>
        <v/>
      </c>
      <c r="J363">
        <f>IF($M363="","",INDEX(상세표[반영월],$M363)&amp;"")</f>
        <v/>
      </c>
      <c r="K363">
        <f>IF($M363="","",INDEX(상세표[반영 기관],$M363)&amp;"")</f>
        <v/>
      </c>
      <c r="L363">
        <f>IF($M363="","",INDEX(상세표[기관 출처],$M363)&amp;"")</f>
        <v/>
      </c>
      <c r="M363" s="4">
        <f>IFERROR(MATCH(358,상세표[경계순번],0),"")</f>
        <v/>
      </c>
    </row>
    <row r="364">
      <c r="A364">
        <f>IF($M364="","",INDEX(상세표[사번],$M364)&amp;"")</f>
        <v/>
      </c>
      <c r="B364">
        <f>IF($M364="","",INDEX(상세표[성명],$M364)&amp;"")</f>
        <v/>
      </c>
      <c r="C364">
        <f>IF($M364="","",IF(INDEX(상세표[종료월],$M364)=대상월키,"전월→이번 달","이번 달→익월"))</f>
        <v/>
      </c>
      <c r="D364">
        <f>IF($M364="","",IF(ISNUMBER(INDEX(상세표[시작],$M364)),TEXT(INDEX(상세표[시작],$M364),"yyyy-mm-dd hh:mm"),INDEX(상세표[시작],$M364)&amp;""))</f>
        <v/>
      </c>
      <c r="E364">
        <f>IF($M364="","",IF(ISNUMBER(INDEX(상세표[종료],$M364)),TEXT(INDEX(상세표[종료],$M364),"yyyy-mm-dd hh:mm"),INDEX(상세표[종료],$M364)&amp;""))</f>
        <v/>
      </c>
      <c r="F364" s="20">
        <f>IF($M364="","",INDEX(상세표[기록 시간외],$M364))</f>
        <v/>
      </c>
      <c r="G364">
        <f>IF($M364="","",INDEX(상세표[시작월 기관],$M364)&amp;"")</f>
        <v/>
      </c>
      <c r="H364">
        <f>IF($M364="","",INDEX(상세표[종료월 기관],$M364)&amp;"")</f>
        <v/>
      </c>
      <c r="I364">
        <f>IF($M364="","",INDEX(상세표[월경계 판정],$M364)&amp;"")</f>
        <v/>
      </c>
      <c r="J364">
        <f>IF($M364="","",INDEX(상세표[반영월],$M364)&amp;"")</f>
        <v/>
      </c>
      <c r="K364">
        <f>IF($M364="","",INDEX(상세표[반영 기관],$M364)&amp;"")</f>
        <v/>
      </c>
      <c r="L364">
        <f>IF($M364="","",INDEX(상세표[기관 출처],$M364)&amp;"")</f>
        <v/>
      </c>
      <c r="M364" s="4">
        <f>IFERROR(MATCH(359,상세표[경계순번],0),"")</f>
        <v/>
      </c>
    </row>
    <row r="365">
      <c r="A365">
        <f>IF($M365="","",INDEX(상세표[사번],$M365)&amp;"")</f>
        <v/>
      </c>
      <c r="B365">
        <f>IF($M365="","",INDEX(상세표[성명],$M365)&amp;"")</f>
        <v/>
      </c>
      <c r="C365">
        <f>IF($M365="","",IF(INDEX(상세표[종료월],$M365)=대상월키,"전월→이번 달","이번 달→익월"))</f>
        <v/>
      </c>
      <c r="D365">
        <f>IF($M365="","",IF(ISNUMBER(INDEX(상세표[시작],$M365)),TEXT(INDEX(상세표[시작],$M365),"yyyy-mm-dd hh:mm"),INDEX(상세표[시작],$M365)&amp;""))</f>
        <v/>
      </c>
      <c r="E365">
        <f>IF($M365="","",IF(ISNUMBER(INDEX(상세표[종료],$M365)),TEXT(INDEX(상세표[종료],$M365),"yyyy-mm-dd hh:mm"),INDEX(상세표[종료],$M365)&amp;""))</f>
        <v/>
      </c>
      <c r="F365" s="20">
        <f>IF($M365="","",INDEX(상세표[기록 시간외],$M365))</f>
        <v/>
      </c>
      <c r="G365">
        <f>IF($M365="","",INDEX(상세표[시작월 기관],$M365)&amp;"")</f>
        <v/>
      </c>
      <c r="H365">
        <f>IF($M365="","",INDEX(상세표[종료월 기관],$M365)&amp;"")</f>
        <v/>
      </c>
      <c r="I365">
        <f>IF($M365="","",INDEX(상세표[월경계 판정],$M365)&amp;"")</f>
        <v/>
      </c>
      <c r="J365">
        <f>IF($M365="","",INDEX(상세표[반영월],$M365)&amp;"")</f>
        <v/>
      </c>
      <c r="K365">
        <f>IF($M365="","",INDEX(상세표[반영 기관],$M365)&amp;"")</f>
        <v/>
      </c>
      <c r="L365">
        <f>IF($M365="","",INDEX(상세표[기관 출처],$M365)&amp;"")</f>
        <v/>
      </c>
      <c r="M365" s="4">
        <f>IFERROR(MATCH(360,상세표[경계순번],0),"")</f>
        <v/>
      </c>
    </row>
    <row r="366">
      <c r="A366">
        <f>IF($M366="","",INDEX(상세표[사번],$M366)&amp;"")</f>
        <v/>
      </c>
      <c r="B366">
        <f>IF($M366="","",INDEX(상세표[성명],$M366)&amp;"")</f>
        <v/>
      </c>
      <c r="C366">
        <f>IF($M366="","",IF(INDEX(상세표[종료월],$M366)=대상월키,"전월→이번 달","이번 달→익월"))</f>
        <v/>
      </c>
      <c r="D366">
        <f>IF($M366="","",IF(ISNUMBER(INDEX(상세표[시작],$M366)),TEXT(INDEX(상세표[시작],$M366),"yyyy-mm-dd hh:mm"),INDEX(상세표[시작],$M366)&amp;""))</f>
        <v/>
      </c>
      <c r="E366">
        <f>IF($M366="","",IF(ISNUMBER(INDEX(상세표[종료],$M366)),TEXT(INDEX(상세표[종료],$M366),"yyyy-mm-dd hh:mm"),INDEX(상세표[종료],$M366)&amp;""))</f>
        <v/>
      </c>
      <c r="F366" s="20">
        <f>IF($M366="","",INDEX(상세표[기록 시간외],$M366))</f>
        <v/>
      </c>
      <c r="G366">
        <f>IF($M366="","",INDEX(상세표[시작월 기관],$M366)&amp;"")</f>
        <v/>
      </c>
      <c r="H366">
        <f>IF($M366="","",INDEX(상세표[종료월 기관],$M366)&amp;"")</f>
        <v/>
      </c>
      <c r="I366">
        <f>IF($M366="","",INDEX(상세표[월경계 판정],$M366)&amp;"")</f>
        <v/>
      </c>
      <c r="J366">
        <f>IF($M366="","",INDEX(상세표[반영월],$M366)&amp;"")</f>
        <v/>
      </c>
      <c r="K366">
        <f>IF($M366="","",INDEX(상세표[반영 기관],$M366)&amp;"")</f>
        <v/>
      </c>
      <c r="L366">
        <f>IF($M366="","",INDEX(상세표[기관 출처],$M366)&amp;"")</f>
        <v/>
      </c>
      <c r="M366" s="4">
        <f>IFERROR(MATCH(361,상세표[경계순번],0),"")</f>
        <v/>
      </c>
    </row>
    <row r="367">
      <c r="A367">
        <f>IF($M367="","",INDEX(상세표[사번],$M367)&amp;"")</f>
        <v/>
      </c>
      <c r="B367">
        <f>IF($M367="","",INDEX(상세표[성명],$M367)&amp;"")</f>
        <v/>
      </c>
      <c r="C367">
        <f>IF($M367="","",IF(INDEX(상세표[종료월],$M367)=대상월키,"전월→이번 달","이번 달→익월"))</f>
        <v/>
      </c>
      <c r="D367">
        <f>IF($M367="","",IF(ISNUMBER(INDEX(상세표[시작],$M367)),TEXT(INDEX(상세표[시작],$M367),"yyyy-mm-dd hh:mm"),INDEX(상세표[시작],$M367)&amp;""))</f>
        <v/>
      </c>
      <c r="E367">
        <f>IF($M367="","",IF(ISNUMBER(INDEX(상세표[종료],$M367)),TEXT(INDEX(상세표[종료],$M367),"yyyy-mm-dd hh:mm"),INDEX(상세표[종료],$M367)&amp;""))</f>
        <v/>
      </c>
      <c r="F367" s="20">
        <f>IF($M367="","",INDEX(상세표[기록 시간외],$M367))</f>
        <v/>
      </c>
      <c r="G367">
        <f>IF($M367="","",INDEX(상세표[시작월 기관],$M367)&amp;"")</f>
        <v/>
      </c>
      <c r="H367">
        <f>IF($M367="","",INDEX(상세표[종료월 기관],$M367)&amp;"")</f>
        <v/>
      </c>
      <c r="I367">
        <f>IF($M367="","",INDEX(상세표[월경계 판정],$M367)&amp;"")</f>
        <v/>
      </c>
      <c r="J367">
        <f>IF($M367="","",INDEX(상세표[반영월],$M367)&amp;"")</f>
        <v/>
      </c>
      <c r="K367">
        <f>IF($M367="","",INDEX(상세표[반영 기관],$M367)&amp;"")</f>
        <v/>
      </c>
      <c r="L367">
        <f>IF($M367="","",INDEX(상세표[기관 출처],$M367)&amp;"")</f>
        <v/>
      </c>
      <c r="M367" s="4">
        <f>IFERROR(MATCH(362,상세표[경계순번],0),"")</f>
        <v/>
      </c>
    </row>
    <row r="368">
      <c r="A368">
        <f>IF($M368="","",INDEX(상세표[사번],$M368)&amp;"")</f>
        <v/>
      </c>
      <c r="B368">
        <f>IF($M368="","",INDEX(상세표[성명],$M368)&amp;"")</f>
        <v/>
      </c>
      <c r="C368">
        <f>IF($M368="","",IF(INDEX(상세표[종료월],$M368)=대상월키,"전월→이번 달","이번 달→익월"))</f>
        <v/>
      </c>
      <c r="D368">
        <f>IF($M368="","",IF(ISNUMBER(INDEX(상세표[시작],$M368)),TEXT(INDEX(상세표[시작],$M368),"yyyy-mm-dd hh:mm"),INDEX(상세표[시작],$M368)&amp;""))</f>
        <v/>
      </c>
      <c r="E368">
        <f>IF($M368="","",IF(ISNUMBER(INDEX(상세표[종료],$M368)),TEXT(INDEX(상세표[종료],$M368),"yyyy-mm-dd hh:mm"),INDEX(상세표[종료],$M368)&amp;""))</f>
        <v/>
      </c>
      <c r="F368" s="20">
        <f>IF($M368="","",INDEX(상세표[기록 시간외],$M368))</f>
        <v/>
      </c>
      <c r="G368">
        <f>IF($M368="","",INDEX(상세표[시작월 기관],$M368)&amp;"")</f>
        <v/>
      </c>
      <c r="H368">
        <f>IF($M368="","",INDEX(상세표[종료월 기관],$M368)&amp;"")</f>
        <v/>
      </c>
      <c r="I368">
        <f>IF($M368="","",INDEX(상세표[월경계 판정],$M368)&amp;"")</f>
        <v/>
      </c>
      <c r="J368">
        <f>IF($M368="","",INDEX(상세표[반영월],$M368)&amp;"")</f>
        <v/>
      </c>
      <c r="K368">
        <f>IF($M368="","",INDEX(상세표[반영 기관],$M368)&amp;"")</f>
        <v/>
      </c>
      <c r="L368">
        <f>IF($M368="","",INDEX(상세표[기관 출처],$M368)&amp;"")</f>
        <v/>
      </c>
      <c r="M368" s="4">
        <f>IFERROR(MATCH(363,상세표[경계순번],0),"")</f>
        <v/>
      </c>
    </row>
    <row r="369">
      <c r="A369">
        <f>IF($M369="","",INDEX(상세표[사번],$M369)&amp;"")</f>
        <v/>
      </c>
      <c r="B369">
        <f>IF($M369="","",INDEX(상세표[성명],$M369)&amp;"")</f>
        <v/>
      </c>
      <c r="C369">
        <f>IF($M369="","",IF(INDEX(상세표[종료월],$M369)=대상월키,"전월→이번 달","이번 달→익월"))</f>
        <v/>
      </c>
      <c r="D369">
        <f>IF($M369="","",IF(ISNUMBER(INDEX(상세표[시작],$M369)),TEXT(INDEX(상세표[시작],$M369),"yyyy-mm-dd hh:mm"),INDEX(상세표[시작],$M369)&amp;""))</f>
        <v/>
      </c>
      <c r="E369">
        <f>IF($M369="","",IF(ISNUMBER(INDEX(상세표[종료],$M369)),TEXT(INDEX(상세표[종료],$M369),"yyyy-mm-dd hh:mm"),INDEX(상세표[종료],$M369)&amp;""))</f>
        <v/>
      </c>
      <c r="F369" s="20">
        <f>IF($M369="","",INDEX(상세표[기록 시간외],$M369))</f>
        <v/>
      </c>
      <c r="G369">
        <f>IF($M369="","",INDEX(상세표[시작월 기관],$M369)&amp;"")</f>
        <v/>
      </c>
      <c r="H369">
        <f>IF($M369="","",INDEX(상세표[종료월 기관],$M369)&amp;"")</f>
        <v/>
      </c>
      <c r="I369">
        <f>IF($M369="","",INDEX(상세표[월경계 판정],$M369)&amp;"")</f>
        <v/>
      </c>
      <c r="J369">
        <f>IF($M369="","",INDEX(상세표[반영월],$M369)&amp;"")</f>
        <v/>
      </c>
      <c r="K369">
        <f>IF($M369="","",INDEX(상세표[반영 기관],$M369)&amp;"")</f>
        <v/>
      </c>
      <c r="L369">
        <f>IF($M369="","",INDEX(상세표[기관 출처],$M369)&amp;"")</f>
        <v/>
      </c>
      <c r="M369" s="4">
        <f>IFERROR(MATCH(364,상세표[경계순번],0),"")</f>
        <v/>
      </c>
    </row>
    <row r="370">
      <c r="A370">
        <f>IF($M370="","",INDEX(상세표[사번],$M370)&amp;"")</f>
        <v/>
      </c>
      <c r="B370">
        <f>IF($M370="","",INDEX(상세표[성명],$M370)&amp;"")</f>
        <v/>
      </c>
      <c r="C370">
        <f>IF($M370="","",IF(INDEX(상세표[종료월],$M370)=대상월키,"전월→이번 달","이번 달→익월"))</f>
        <v/>
      </c>
      <c r="D370">
        <f>IF($M370="","",IF(ISNUMBER(INDEX(상세표[시작],$M370)),TEXT(INDEX(상세표[시작],$M370),"yyyy-mm-dd hh:mm"),INDEX(상세표[시작],$M370)&amp;""))</f>
        <v/>
      </c>
      <c r="E370">
        <f>IF($M370="","",IF(ISNUMBER(INDEX(상세표[종료],$M370)),TEXT(INDEX(상세표[종료],$M370),"yyyy-mm-dd hh:mm"),INDEX(상세표[종료],$M370)&amp;""))</f>
        <v/>
      </c>
      <c r="F370" s="20">
        <f>IF($M370="","",INDEX(상세표[기록 시간외],$M370))</f>
        <v/>
      </c>
      <c r="G370">
        <f>IF($M370="","",INDEX(상세표[시작월 기관],$M370)&amp;"")</f>
        <v/>
      </c>
      <c r="H370">
        <f>IF($M370="","",INDEX(상세표[종료월 기관],$M370)&amp;"")</f>
        <v/>
      </c>
      <c r="I370">
        <f>IF($M370="","",INDEX(상세표[월경계 판정],$M370)&amp;"")</f>
        <v/>
      </c>
      <c r="J370">
        <f>IF($M370="","",INDEX(상세표[반영월],$M370)&amp;"")</f>
        <v/>
      </c>
      <c r="K370">
        <f>IF($M370="","",INDEX(상세표[반영 기관],$M370)&amp;"")</f>
        <v/>
      </c>
      <c r="L370">
        <f>IF($M370="","",INDEX(상세표[기관 출처],$M370)&amp;"")</f>
        <v/>
      </c>
      <c r="M370" s="4">
        <f>IFERROR(MATCH(365,상세표[경계순번],0),"")</f>
        <v/>
      </c>
    </row>
    <row r="371">
      <c r="A371">
        <f>IF($M371="","",INDEX(상세표[사번],$M371)&amp;"")</f>
        <v/>
      </c>
      <c r="B371">
        <f>IF($M371="","",INDEX(상세표[성명],$M371)&amp;"")</f>
        <v/>
      </c>
      <c r="C371">
        <f>IF($M371="","",IF(INDEX(상세표[종료월],$M371)=대상월키,"전월→이번 달","이번 달→익월"))</f>
        <v/>
      </c>
      <c r="D371">
        <f>IF($M371="","",IF(ISNUMBER(INDEX(상세표[시작],$M371)),TEXT(INDEX(상세표[시작],$M371),"yyyy-mm-dd hh:mm"),INDEX(상세표[시작],$M371)&amp;""))</f>
        <v/>
      </c>
      <c r="E371">
        <f>IF($M371="","",IF(ISNUMBER(INDEX(상세표[종료],$M371)),TEXT(INDEX(상세표[종료],$M371),"yyyy-mm-dd hh:mm"),INDEX(상세표[종료],$M371)&amp;""))</f>
        <v/>
      </c>
      <c r="F371" s="20">
        <f>IF($M371="","",INDEX(상세표[기록 시간외],$M371))</f>
        <v/>
      </c>
      <c r="G371">
        <f>IF($M371="","",INDEX(상세표[시작월 기관],$M371)&amp;"")</f>
        <v/>
      </c>
      <c r="H371">
        <f>IF($M371="","",INDEX(상세표[종료월 기관],$M371)&amp;"")</f>
        <v/>
      </c>
      <c r="I371">
        <f>IF($M371="","",INDEX(상세표[월경계 판정],$M371)&amp;"")</f>
        <v/>
      </c>
      <c r="J371">
        <f>IF($M371="","",INDEX(상세표[반영월],$M371)&amp;"")</f>
        <v/>
      </c>
      <c r="K371">
        <f>IF($M371="","",INDEX(상세표[반영 기관],$M371)&amp;"")</f>
        <v/>
      </c>
      <c r="L371">
        <f>IF($M371="","",INDEX(상세표[기관 출처],$M371)&amp;"")</f>
        <v/>
      </c>
      <c r="M371" s="4">
        <f>IFERROR(MATCH(366,상세표[경계순번],0),"")</f>
        <v/>
      </c>
    </row>
    <row r="372">
      <c r="A372">
        <f>IF($M372="","",INDEX(상세표[사번],$M372)&amp;"")</f>
        <v/>
      </c>
      <c r="B372">
        <f>IF($M372="","",INDEX(상세표[성명],$M372)&amp;"")</f>
        <v/>
      </c>
      <c r="C372">
        <f>IF($M372="","",IF(INDEX(상세표[종료월],$M372)=대상월키,"전월→이번 달","이번 달→익월"))</f>
        <v/>
      </c>
      <c r="D372">
        <f>IF($M372="","",IF(ISNUMBER(INDEX(상세표[시작],$M372)),TEXT(INDEX(상세표[시작],$M372),"yyyy-mm-dd hh:mm"),INDEX(상세표[시작],$M372)&amp;""))</f>
        <v/>
      </c>
      <c r="E372">
        <f>IF($M372="","",IF(ISNUMBER(INDEX(상세표[종료],$M372)),TEXT(INDEX(상세표[종료],$M372),"yyyy-mm-dd hh:mm"),INDEX(상세표[종료],$M372)&amp;""))</f>
        <v/>
      </c>
      <c r="F372" s="20">
        <f>IF($M372="","",INDEX(상세표[기록 시간외],$M372))</f>
        <v/>
      </c>
      <c r="G372">
        <f>IF($M372="","",INDEX(상세표[시작월 기관],$M372)&amp;"")</f>
        <v/>
      </c>
      <c r="H372">
        <f>IF($M372="","",INDEX(상세표[종료월 기관],$M372)&amp;"")</f>
        <v/>
      </c>
      <c r="I372">
        <f>IF($M372="","",INDEX(상세표[월경계 판정],$M372)&amp;"")</f>
        <v/>
      </c>
      <c r="J372">
        <f>IF($M372="","",INDEX(상세표[반영월],$M372)&amp;"")</f>
        <v/>
      </c>
      <c r="K372">
        <f>IF($M372="","",INDEX(상세표[반영 기관],$M372)&amp;"")</f>
        <v/>
      </c>
      <c r="L372">
        <f>IF($M372="","",INDEX(상세표[기관 출처],$M372)&amp;"")</f>
        <v/>
      </c>
      <c r="M372" s="4">
        <f>IFERROR(MATCH(367,상세표[경계순번],0),"")</f>
        <v/>
      </c>
    </row>
    <row r="373">
      <c r="A373">
        <f>IF($M373="","",INDEX(상세표[사번],$M373)&amp;"")</f>
        <v/>
      </c>
      <c r="B373">
        <f>IF($M373="","",INDEX(상세표[성명],$M373)&amp;"")</f>
        <v/>
      </c>
      <c r="C373">
        <f>IF($M373="","",IF(INDEX(상세표[종료월],$M373)=대상월키,"전월→이번 달","이번 달→익월"))</f>
        <v/>
      </c>
      <c r="D373">
        <f>IF($M373="","",IF(ISNUMBER(INDEX(상세표[시작],$M373)),TEXT(INDEX(상세표[시작],$M373),"yyyy-mm-dd hh:mm"),INDEX(상세표[시작],$M373)&amp;""))</f>
        <v/>
      </c>
      <c r="E373">
        <f>IF($M373="","",IF(ISNUMBER(INDEX(상세표[종료],$M373)),TEXT(INDEX(상세표[종료],$M373),"yyyy-mm-dd hh:mm"),INDEX(상세표[종료],$M373)&amp;""))</f>
        <v/>
      </c>
      <c r="F373" s="20">
        <f>IF($M373="","",INDEX(상세표[기록 시간외],$M373))</f>
        <v/>
      </c>
      <c r="G373">
        <f>IF($M373="","",INDEX(상세표[시작월 기관],$M373)&amp;"")</f>
        <v/>
      </c>
      <c r="H373">
        <f>IF($M373="","",INDEX(상세표[종료월 기관],$M373)&amp;"")</f>
        <v/>
      </c>
      <c r="I373">
        <f>IF($M373="","",INDEX(상세표[월경계 판정],$M373)&amp;"")</f>
        <v/>
      </c>
      <c r="J373">
        <f>IF($M373="","",INDEX(상세표[반영월],$M373)&amp;"")</f>
        <v/>
      </c>
      <c r="K373">
        <f>IF($M373="","",INDEX(상세표[반영 기관],$M373)&amp;"")</f>
        <v/>
      </c>
      <c r="L373">
        <f>IF($M373="","",INDEX(상세표[기관 출처],$M373)&amp;"")</f>
        <v/>
      </c>
      <c r="M373" s="4">
        <f>IFERROR(MATCH(368,상세표[경계순번],0),"")</f>
        <v/>
      </c>
    </row>
    <row r="374">
      <c r="A374">
        <f>IF($M374="","",INDEX(상세표[사번],$M374)&amp;"")</f>
        <v/>
      </c>
      <c r="B374">
        <f>IF($M374="","",INDEX(상세표[성명],$M374)&amp;"")</f>
        <v/>
      </c>
      <c r="C374">
        <f>IF($M374="","",IF(INDEX(상세표[종료월],$M374)=대상월키,"전월→이번 달","이번 달→익월"))</f>
        <v/>
      </c>
      <c r="D374">
        <f>IF($M374="","",IF(ISNUMBER(INDEX(상세표[시작],$M374)),TEXT(INDEX(상세표[시작],$M374),"yyyy-mm-dd hh:mm"),INDEX(상세표[시작],$M374)&amp;""))</f>
        <v/>
      </c>
      <c r="E374">
        <f>IF($M374="","",IF(ISNUMBER(INDEX(상세표[종료],$M374)),TEXT(INDEX(상세표[종료],$M374),"yyyy-mm-dd hh:mm"),INDEX(상세표[종료],$M374)&amp;""))</f>
        <v/>
      </c>
      <c r="F374" s="20">
        <f>IF($M374="","",INDEX(상세표[기록 시간외],$M374))</f>
        <v/>
      </c>
      <c r="G374">
        <f>IF($M374="","",INDEX(상세표[시작월 기관],$M374)&amp;"")</f>
        <v/>
      </c>
      <c r="H374">
        <f>IF($M374="","",INDEX(상세표[종료월 기관],$M374)&amp;"")</f>
        <v/>
      </c>
      <c r="I374">
        <f>IF($M374="","",INDEX(상세표[월경계 판정],$M374)&amp;"")</f>
        <v/>
      </c>
      <c r="J374">
        <f>IF($M374="","",INDEX(상세표[반영월],$M374)&amp;"")</f>
        <v/>
      </c>
      <c r="K374">
        <f>IF($M374="","",INDEX(상세표[반영 기관],$M374)&amp;"")</f>
        <v/>
      </c>
      <c r="L374">
        <f>IF($M374="","",INDEX(상세표[기관 출처],$M374)&amp;"")</f>
        <v/>
      </c>
      <c r="M374" s="4">
        <f>IFERROR(MATCH(369,상세표[경계순번],0),"")</f>
        <v/>
      </c>
    </row>
    <row r="375">
      <c r="A375">
        <f>IF($M375="","",INDEX(상세표[사번],$M375)&amp;"")</f>
        <v/>
      </c>
      <c r="B375">
        <f>IF($M375="","",INDEX(상세표[성명],$M375)&amp;"")</f>
        <v/>
      </c>
      <c r="C375">
        <f>IF($M375="","",IF(INDEX(상세표[종료월],$M375)=대상월키,"전월→이번 달","이번 달→익월"))</f>
        <v/>
      </c>
      <c r="D375">
        <f>IF($M375="","",IF(ISNUMBER(INDEX(상세표[시작],$M375)),TEXT(INDEX(상세표[시작],$M375),"yyyy-mm-dd hh:mm"),INDEX(상세표[시작],$M375)&amp;""))</f>
        <v/>
      </c>
      <c r="E375">
        <f>IF($M375="","",IF(ISNUMBER(INDEX(상세표[종료],$M375)),TEXT(INDEX(상세표[종료],$M375),"yyyy-mm-dd hh:mm"),INDEX(상세표[종료],$M375)&amp;""))</f>
        <v/>
      </c>
      <c r="F375" s="20">
        <f>IF($M375="","",INDEX(상세표[기록 시간외],$M375))</f>
        <v/>
      </c>
      <c r="G375">
        <f>IF($M375="","",INDEX(상세표[시작월 기관],$M375)&amp;"")</f>
        <v/>
      </c>
      <c r="H375">
        <f>IF($M375="","",INDEX(상세표[종료월 기관],$M375)&amp;"")</f>
        <v/>
      </c>
      <c r="I375">
        <f>IF($M375="","",INDEX(상세표[월경계 판정],$M375)&amp;"")</f>
        <v/>
      </c>
      <c r="J375">
        <f>IF($M375="","",INDEX(상세표[반영월],$M375)&amp;"")</f>
        <v/>
      </c>
      <c r="K375">
        <f>IF($M375="","",INDEX(상세표[반영 기관],$M375)&amp;"")</f>
        <v/>
      </c>
      <c r="L375">
        <f>IF($M375="","",INDEX(상세표[기관 출처],$M375)&amp;"")</f>
        <v/>
      </c>
      <c r="M375" s="4">
        <f>IFERROR(MATCH(370,상세표[경계순번],0),"")</f>
        <v/>
      </c>
    </row>
    <row r="376">
      <c r="A376">
        <f>IF($M376="","",INDEX(상세표[사번],$M376)&amp;"")</f>
        <v/>
      </c>
      <c r="B376">
        <f>IF($M376="","",INDEX(상세표[성명],$M376)&amp;"")</f>
        <v/>
      </c>
      <c r="C376">
        <f>IF($M376="","",IF(INDEX(상세표[종료월],$M376)=대상월키,"전월→이번 달","이번 달→익월"))</f>
        <v/>
      </c>
      <c r="D376">
        <f>IF($M376="","",IF(ISNUMBER(INDEX(상세표[시작],$M376)),TEXT(INDEX(상세표[시작],$M376),"yyyy-mm-dd hh:mm"),INDEX(상세표[시작],$M376)&amp;""))</f>
        <v/>
      </c>
      <c r="E376">
        <f>IF($M376="","",IF(ISNUMBER(INDEX(상세표[종료],$M376)),TEXT(INDEX(상세표[종료],$M376),"yyyy-mm-dd hh:mm"),INDEX(상세표[종료],$M376)&amp;""))</f>
        <v/>
      </c>
      <c r="F376" s="20">
        <f>IF($M376="","",INDEX(상세표[기록 시간외],$M376))</f>
        <v/>
      </c>
      <c r="G376">
        <f>IF($M376="","",INDEX(상세표[시작월 기관],$M376)&amp;"")</f>
        <v/>
      </c>
      <c r="H376">
        <f>IF($M376="","",INDEX(상세표[종료월 기관],$M376)&amp;"")</f>
        <v/>
      </c>
      <c r="I376">
        <f>IF($M376="","",INDEX(상세표[월경계 판정],$M376)&amp;"")</f>
        <v/>
      </c>
      <c r="J376">
        <f>IF($M376="","",INDEX(상세표[반영월],$M376)&amp;"")</f>
        <v/>
      </c>
      <c r="K376">
        <f>IF($M376="","",INDEX(상세표[반영 기관],$M376)&amp;"")</f>
        <v/>
      </c>
      <c r="L376">
        <f>IF($M376="","",INDEX(상세표[기관 출처],$M376)&amp;"")</f>
        <v/>
      </c>
      <c r="M376" s="4">
        <f>IFERROR(MATCH(371,상세표[경계순번],0),"")</f>
        <v/>
      </c>
    </row>
    <row r="377">
      <c r="A377">
        <f>IF($M377="","",INDEX(상세표[사번],$M377)&amp;"")</f>
        <v/>
      </c>
      <c r="B377">
        <f>IF($M377="","",INDEX(상세표[성명],$M377)&amp;"")</f>
        <v/>
      </c>
      <c r="C377">
        <f>IF($M377="","",IF(INDEX(상세표[종료월],$M377)=대상월키,"전월→이번 달","이번 달→익월"))</f>
        <v/>
      </c>
      <c r="D377">
        <f>IF($M377="","",IF(ISNUMBER(INDEX(상세표[시작],$M377)),TEXT(INDEX(상세표[시작],$M377),"yyyy-mm-dd hh:mm"),INDEX(상세표[시작],$M377)&amp;""))</f>
        <v/>
      </c>
      <c r="E377">
        <f>IF($M377="","",IF(ISNUMBER(INDEX(상세표[종료],$M377)),TEXT(INDEX(상세표[종료],$M377),"yyyy-mm-dd hh:mm"),INDEX(상세표[종료],$M377)&amp;""))</f>
        <v/>
      </c>
      <c r="F377" s="20">
        <f>IF($M377="","",INDEX(상세표[기록 시간외],$M377))</f>
        <v/>
      </c>
      <c r="G377">
        <f>IF($M377="","",INDEX(상세표[시작월 기관],$M377)&amp;"")</f>
        <v/>
      </c>
      <c r="H377">
        <f>IF($M377="","",INDEX(상세표[종료월 기관],$M377)&amp;"")</f>
        <v/>
      </c>
      <c r="I377">
        <f>IF($M377="","",INDEX(상세표[월경계 판정],$M377)&amp;"")</f>
        <v/>
      </c>
      <c r="J377">
        <f>IF($M377="","",INDEX(상세표[반영월],$M377)&amp;"")</f>
        <v/>
      </c>
      <c r="K377">
        <f>IF($M377="","",INDEX(상세표[반영 기관],$M377)&amp;"")</f>
        <v/>
      </c>
      <c r="L377">
        <f>IF($M377="","",INDEX(상세표[기관 출처],$M377)&amp;"")</f>
        <v/>
      </c>
      <c r="M377" s="4">
        <f>IFERROR(MATCH(372,상세표[경계순번],0),"")</f>
        <v/>
      </c>
    </row>
    <row r="378">
      <c r="A378">
        <f>IF($M378="","",INDEX(상세표[사번],$M378)&amp;"")</f>
        <v/>
      </c>
      <c r="B378">
        <f>IF($M378="","",INDEX(상세표[성명],$M378)&amp;"")</f>
        <v/>
      </c>
      <c r="C378">
        <f>IF($M378="","",IF(INDEX(상세표[종료월],$M378)=대상월키,"전월→이번 달","이번 달→익월"))</f>
        <v/>
      </c>
      <c r="D378">
        <f>IF($M378="","",IF(ISNUMBER(INDEX(상세표[시작],$M378)),TEXT(INDEX(상세표[시작],$M378),"yyyy-mm-dd hh:mm"),INDEX(상세표[시작],$M378)&amp;""))</f>
        <v/>
      </c>
      <c r="E378">
        <f>IF($M378="","",IF(ISNUMBER(INDEX(상세표[종료],$M378)),TEXT(INDEX(상세표[종료],$M378),"yyyy-mm-dd hh:mm"),INDEX(상세표[종료],$M378)&amp;""))</f>
        <v/>
      </c>
      <c r="F378" s="20">
        <f>IF($M378="","",INDEX(상세표[기록 시간외],$M378))</f>
        <v/>
      </c>
      <c r="G378">
        <f>IF($M378="","",INDEX(상세표[시작월 기관],$M378)&amp;"")</f>
        <v/>
      </c>
      <c r="H378">
        <f>IF($M378="","",INDEX(상세표[종료월 기관],$M378)&amp;"")</f>
        <v/>
      </c>
      <c r="I378">
        <f>IF($M378="","",INDEX(상세표[월경계 판정],$M378)&amp;"")</f>
        <v/>
      </c>
      <c r="J378">
        <f>IF($M378="","",INDEX(상세표[반영월],$M378)&amp;"")</f>
        <v/>
      </c>
      <c r="K378">
        <f>IF($M378="","",INDEX(상세표[반영 기관],$M378)&amp;"")</f>
        <v/>
      </c>
      <c r="L378">
        <f>IF($M378="","",INDEX(상세표[기관 출처],$M378)&amp;"")</f>
        <v/>
      </c>
      <c r="M378" s="4">
        <f>IFERROR(MATCH(373,상세표[경계순번],0),"")</f>
        <v/>
      </c>
    </row>
    <row r="379">
      <c r="A379">
        <f>IF($M379="","",INDEX(상세표[사번],$M379)&amp;"")</f>
        <v/>
      </c>
      <c r="B379">
        <f>IF($M379="","",INDEX(상세표[성명],$M379)&amp;"")</f>
        <v/>
      </c>
      <c r="C379">
        <f>IF($M379="","",IF(INDEX(상세표[종료월],$M379)=대상월키,"전월→이번 달","이번 달→익월"))</f>
        <v/>
      </c>
      <c r="D379">
        <f>IF($M379="","",IF(ISNUMBER(INDEX(상세표[시작],$M379)),TEXT(INDEX(상세표[시작],$M379),"yyyy-mm-dd hh:mm"),INDEX(상세표[시작],$M379)&amp;""))</f>
        <v/>
      </c>
      <c r="E379">
        <f>IF($M379="","",IF(ISNUMBER(INDEX(상세표[종료],$M379)),TEXT(INDEX(상세표[종료],$M379),"yyyy-mm-dd hh:mm"),INDEX(상세표[종료],$M379)&amp;""))</f>
        <v/>
      </c>
      <c r="F379" s="20">
        <f>IF($M379="","",INDEX(상세표[기록 시간외],$M379))</f>
        <v/>
      </c>
      <c r="G379">
        <f>IF($M379="","",INDEX(상세표[시작월 기관],$M379)&amp;"")</f>
        <v/>
      </c>
      <c r="H379">
        <f>IF($M379="","",INDEX(상세표[종료월 기관],$M379)&amp;"")</f>
        <v/>
      </c>
      <c r="I379">
        <f>IF($M379="","",INDEX(상세표[월경계 판정],$M379)&amp;"")</f>
        <v/>
      </c>
      <c r="J379">
        <f>IF($M379="","",INDEX(상세표[반영월],$M379)&amp;"")</f>
        <v/>
      </c>
      <c r="K379">
        <f>IF($M379="","",INDEX(상세표[반영 기관],$M379)&amp;"")</f>
        <v/>
      </c>
      <c r="L379">
        <f>IF($M379="","",INDEX(상세표[기관 출처],$M379)&amp;"")</f>
        <v/>
      </c>
      <c r="M379" s="4">
        <f>IFERROR(MATCH(374,상세표[경계순번],0),"")</f>
        <v/>
      </c>
    </row>
    <row r="380">
      <c r="A380">
        <f>IF($M380="","",INDEX(상세표[사번],$M380)&amp;"")</f>
        <v/>
      </c>
      <c r="B380">
        <f>IF($M380="","",INDEX(상세표[성명],$M380)&amp;"")</f>
        <v/>
      </c>
      <c r="C380">
        <f>IF($M380="","",IF(INDEX(상세표[종료월],$M380)=대상월키,"전월→이번 달","이번 달→익월"))</f>
        <v/>
      </c>
      <c r="D380">
        <f>IF($M380="","",IF(ISNUMBER(INDEX(상세표[시작],$M380)),TEXT(INDEX(상세표[시작],$M380),"yyyy-mm-dd hh:mm"),INDEX(상세표[시작],$M380)&amp;""))</f>
        <v/>
      </c>
      <c r="E380">
        <f>IF($M380="","",IF(ISNUMBER(INDEX(상세표[종료],$M380)),TEXT(INDEX(상세표[종료],$M380),"yyyy-mm-dd hh:mm"),INDEX(상세표[종료],$M380)&amp;""))</f>
        <v/>
      </c>
      <c r="F380" s="20">
        <f>IF($M380="","",INDEX(상세표[기록 시간외],$M380))</f>
        <v/>
      </c>
      <c r="G380">
        <f>IF($M380="","",INDEX(상세표[시작월 기관],$M380)&amp;"")</f>
        <v/>
      </c>
      <c r="H380">
        <f>IF($M380="","",INDEX(상세표[종료월 기관],$M380)&amp;"")</f>
        <v/>
      </c>
      <c r="I380">
        <f>IF($M380="","",INDEX(상세표[월경계 판정],$M380)&amp;"")</f>
        <v/>
      </c>
      <c r="J380">
        <f>IF($M380="","",INDEX(상세표[반영월],$M380)&amp;"")</f>
        <v/>
      </c>
      <c r="K380">
        <f>IF($M380="","",INDEX(상세표[반영 기관],$M380)&amp;"")</f>
        <v/>
      </c>
      <c r="L380">
        <f>IF($M380="","",INDEX(상세표[기관 출처],$M380)&amp;"")</f>
        <v/>
      </c>
      <c r="M380" s="4">
        <f>IFERROR(MATCH(375,상세표[경계순번],0),"")</f>
        <v/>
      </c>
    </row>
    <row r="381">
      <c r="A381">
        <f>IF($M381="","",INDEX(상세표[사번],$M381)&amp;"")</f>
        <v/>
      </c>
      <c r="B381">
        <f>IF($M381="","",INDEX(상세표[성명],$M381)&amp;"")</f>
        <v/>
      </c>
      <c r="C381">
        <f>IF($M381="","",IF(INDEX(상세표[종료월],$M381)=대상월키,"전월→이번 달","이번 달→익월"))</f>
        <v/>
      </c>
      <c r="D381">
        <f>IF($M381="","",IF(ISNUMBER(INDEX(상세표[시작],$M381)),TEXT(INDEX(상세표[시작],$M381),"yyyy-mm-dd hh:mm"),INDEX(상세표[시작],$M381)&amp;""))</f>
        <v/>
      </c>
      <c r="E381">
        <f>IF($M381="","",IF(ISNUMBER(INDEX(상세표[종료],$M381)),TEXT(INDEX(상세표[종료],$M381),"yyyy-mm-dd hh:mm"),INDEX(상세표[종료],$M381)&amp;""))</f>
        <v/>
      </c>
      <c r="F381" s="20">
        <f>IF($M381="","",INDEX(상세표[기록 시간외],$M381))</f>
        <v/>
      </c>
      <c r="G381">
        <f>IF($M381="","",INDEX(상세표[시작월 기관],$M381)&amp;"")</f>
        <v/>
      </c>
      <c r="H381">
        <f>IF($M381="","",INDEX(상세표[종료월 기관],$M381)&amp;"")</f>
        <v/>
      </c>
      <c r="I381">
        <f>IF($M381="","",INDEX(상세표[월경계 판정],$M381)&amp;"")</f>
        <v/>
      </c>
      <c r="J381">
        <f>IF($M381="","",INDEX(상세표[반영월],$M381)&amp;"")</f>
        <v/>
      </c>
      <c r="K381">
        <f>IF($M381="","",INDEX(상세표[반영 기관],$M381)&amp;"")</f>
        <v/>
      </c>
      <c r="L381">
        <f>IF($M381="","",INDEX(상세표[기관 출처],$M381)&amp;"")</f>
        <v/>
      </c>
      <c r="M381" s="4">
        <f>IFERROR(MATCH(376,상세표[경계순번],0),"")</f>
        <v/>
      </c>
    </row>
    <row r="382">
      <c r="A382">
        <f>IF($M382="","",INDEX(상세표[사번],$M382)&amp;"")</f>
        <v/>
      </c>
      <c r="B382">
        <f>IF($M382="","",INDEX(상세표[성명],$M382)&amp;"")</f>
        <v/>
      </c>
      <c r="C382">
        <f>IF($M382="","",IF(INDEX(상세표[종료월],$M382)=대상월키,"전월→이번 달","이번 달→익월"))</f>
        <v/>
      </c>
      <c r="D382">
        <f>IF($M382="","",IF(ISNUMBER(INDEX(상세표[시작],$M382)),TEXT(INDEX(상세표[시작],$M382),"yyyy-mm-dd hh:mm"),INDEX(상세표[시작],$M382)&amp;""))</f>
        <v/>
      </c>
      <c r="E382">
        <f>IF($M382="","",IF(ISNUMBER(INDEX(상세표[종료],$M382)),TEXT(INDEX(상세표[종료],$M382),"yyyy-mm-dd hh:mm"),INDEX(상세표[종료],$M382)&amp;""))</f>
        <v/>
      </c>
      <c r="F382" s="20">
        <f>IF($M382="","",INDEX(상세표[기록 시간외],$M382))</f>
        <v/>
      </c>
      <c r="G382">
        <f>IF($M382="","",INDEX(상세표[시작월 기관],$M382)&amp;"")</f>
        <v/>
      </c>
      <c r="H382">
        <f>IF($M382="","",INDEX(상세표[종료월 기관],$M382)&amp;"")</f>
        <v/>
      </c>
      <c r="I382">
        <f>IF($M382="","",INDEX(상세표[월경계 판정],$M382)&amp;"")</f>
        <v/>
      </c>
      <c r="J382">
        <f>IF($M382="","",INDEX(상세표[반영월],$M382)&amp;"")</f>
        <v/>
      </c>
      <c r="K382">
        <f>IF($M382="","",INDEX(상세표[반영 기관],$M382)&amp;"")</f>
        <v/>
      </c>
      <c r="L382">
        <f>IF($M382="","",INDEX(상세표[기관 출처],$M382)&amp;"")</f>
        <v/>
      </c>
      <c r="M382" s="4">
        <f>IFERROR(MATCH(377,상세표[경계순번],0),"")</f>
        <v/>
      </c>
    </row>
    <row r="383">
      <c r="A383">
        <f>IF($M383="","",INDEX(상세표[사번],$M383)&amp;"")</f>
        <v/>
      </c>
      <c r="B383">
        <f>IF($M383="","",INDEX(상세표[성명],$M383)&amp;"")</f>
        <v/>
      </c>
      <c r="C383">
        <f>IF($M383="","",IF(INDEX(상세표[종료월],$M383)=대상월키,"전월→이번 달","이번 달→익월"))</f>
        <v/>
      </c>
      <c r="D383">
        <f>IF($M383="","",IF(ISNUMBER(INDEX(상세표[시작],$M383)),TEXT(INDEX(상세표[시작],$M383),"yyyy-mm-dd hh:mm"),INDEX(상세표[시작],$M383)&amp;""))</f>
        <v/>
      </c>
      <c r="E383">
        <f>IF($M383="","",IF(ISNUMBER(INDEX(상세표[종료],$M383)),TEXT(INDEX(상세표[종료],$M383),"yyyy-mm-dd hh:mm"),INDEX(상세표[종료],$M383)&amp;""))</f>
        <v/>
      </c>
      <c r="F383" s="20">
        <f>IF($M383="","",INDEX(상세표[기록 시간외],$M383))</f>
        <v/>
      </c>
      <c r="G383">
        <f>IF($M383="","",INDEX(상세표[시작월 기관],$M383)&amp;"")</f>
        <v/>
      </c>
      <c r="H383">
        <f>IF($M383="","",INDEX(상세표[종료월 기관],$M383)&amp;"")</f>
        <v/>
      </c>
      <c r="I383">
        <f>IF($M383="","",INDEX(상세표[월경계 판정],$M383)&amp;"")</f>
        <v/>
      </c>
      <c r="J383">
        <f>IF($M383="","",INDEX(상세표[반영월],$M383)&amp;"")</f>
        <v/>
      </c>
      <c r="K383">
        <f>IF($M383="","",INDEX(상세표[반영 기관],$M383)&amp;"")</f>
        <v/>
      </c>
      <c r="L383">
        <f>IF($M383="","",INDEX(상세표[기관 출처],$M383)&amp;"")</f>
        <v/>
      </c>
      <c r="M383" s="4">
        <f>IFERROR(MATCH(378,상세표[경계순번],0),"")</f>
        <v/>
      </c>
    </row>
    <row r="384">
      <c r="A384">
        <f>IF($M384="","",INDEX(상세표[사번],$M384)&amp;"")</f>
        <v/>
      </c>
      <c r="B384">
        <f>IF($M384="","",INDEX(상세표[성명],$M384)&amp;"")</f>
        <v/>
      </c>
      <c r="C384">
        <f>IF($M384="","",IF(INDEX(상세표[종료월],$M384)=대상월키,"전월→이번 달","이번 달→익월"))</f>
        <v/>
      </c>
      <c r="D384">
        <f>IF($M384="","",IF(ISNUMBER(INDEX(상세표[시작],$M384)),TEXT(INDEX(상세표[시작],$M384),"yyyy-mm-dd hh:mm"),INDEX(상세표[시작],$M384)&amp;""))</f>
        <v/>
      </c>
      <c r="E384">
        <f>IF($M384="","",IF(ISNUMBER(INDEX(상세표[종료],$M384)),TEXT(INDEX(상세표[종료],$M384),"yyyy-mm-dd hh:mm"),INDEX(상세표[종료],$M384)&amp;""))</f>
        <v/>
      </c>
      <c r="F384" s="20">
        <f>IF($M384="","",INDEX(상세표[기록 시간외],$M384))</f>
        <v/>
      </c>
      <c r="G384">
        <f>IF($M384="","",INDEX(상세표[시작월 기관],$M384)&amp;"")</f>
        <v/>
      </c>
      <c r="H384">
        <f>IF($M384="","",INDEX(상세표[종료월 기관],$M384)&amp;"")</f>
        <v/>
      </c>
      <c r="I384">
        <f>IF($M384="","",INDEX(상세표[월경계 판정],$M384)&amp;"")</f>
        <v/>
      </c>
      <c r="J384">
        <f>IF($M384="","",INDEX(상세표[반영월],$M384)&amp;"")</f>
        <v/>
      </c>
      <c r="K384">
        <f>IF($M384="","",INDEX(상세표[반영 기관],$M384)&amp;"")</f>
        <v/>
      </c>
      <c r="L384">
        <f>IF($M384="","",INDEX(상세표[기관 출처],$M384)&amp;"")</f>
        <v/>
      </c>
      <c r="M384" s="4">
        <f>IFERROR(MATCH(379,상세표[경계순번],0),"")</f>
        <v/>
      </c>
    </row>
    <row r="385">
      <c r="A385">
        <f>IF($M385="","",INDEX(상세표[사번],$M385)&amp;"")</f>
        <v/>
      </c>
      <c r="B385">
        <f>IF($M385="","",INDEX(상세표[성명],$M385)&amp;"")</f>
        <v/>
      </c>
      <c r="C385">
        <f>IF($M385="","",IF(INDEX(상세표[종료월],$M385)=대상월키,"전월→이번 달","이번 달→익월"))</f>
        <v/>
      </c>
      <c r="D385">
        <f>IF($M385="","",IF(ISNUMBER(INDEX(상세표[시작],$M385)),TEXT(INDEX(상세표[시작],$M385),"yyyy-mm-dd hh:mm"),INDEX(상세표[시작],$M385)&amp;""))</f>
        <v/>
      </c>
      <c r="E385">
        <f>IF($M385="","",IF(ISNUMBER(INDEX(상세표[종료],$M385)),TEXT(INDEX(상세표[종료],$M385),"yyyy-mm-dd hh:mm"),INDEX(상세표[종료],$M385)&amp;""))</f>
        <v/>
      </c>
      <c r="F385" s="20">
        <f>IF($M385="","",INDEX(상세표[기록 시간외],$M385))</f>
        <v/>
      </c>
      <c r="G385">
        <f>IF($M385="","",INDEX(상세표[시작월 기관],$M385)&amp;"")</f>
        <v/>
      </c>
      <c r="H385">
        <f>IF($M385="","",INDEX(상세표[종료월 기관],$M385)&amp;"")</f>
        <v/>
      </c>
      <c r="I385">
        <f>IF($M385="","",INDEX(상세표[월경계 판정],$M385)&amp;"")</f>
        <v/>
      </c>
      <c r="J385">
        <f>IF($M385="","",INDEX(상세표[반영월],$M385)&amp;"")</f>
        <v/>
      </c>
      <c r="K385">
        <f>IF($M385="","",INDEX(상세표[반영 기관],$M385)&amp;"")</f>
        <v/>
      </c>
      <c r="L385">
        <f>IF($M385="","",INDEX(상세표[기관 출처],$M385)&amp;"")</f>
        <v/>
      </c>
      <c r="M385" s="4">
        <f>IFERROR(MATCH(380,상세표[경계순번],0),"")</f>
        <v/>
      </c>
    </row>
    <row r="386">
      <c r="A386">
        <f>IF($M386="","",INDEX(상세표[사번],$M386)&amp;"")</f>
        <v/>
      </c>
      <c r="B386">
        <f>IF($M386="","",INDEX(상세표[성명],$M386)&amp;"")</f>
        <v/>
      </c>
      <c r="C386">
        <f>IF($M386="","",IF(INDEX(상세표[종료월],$M386)=대상월키,"전월→이번 달","이번 달→익월"))</f>
        <v/>
      </c>
      <c r="D386">
        <f>IF($M386="","",IF(ISNUMBER(INDEX(상세표[시작],$M386)),TEXT(INDEX(상세표[시작],$M386),"yyyy-mm-dd hh:mm"),INDEX(상세표[시작],$M386)&amp;""))</f>
        <v/>
      </c>
      <c r="E386">
        <f>IF($M386="","",IF(ISNUMBER(INDEX(상세표[종료],$M386)),TEXT(INDEX(상세표[종료],$M386),"yyyy-mm-dd hh:mm"),INDEX(상세표[종료],$M386)&amp;""))</f>
        <v/>
      </c>
      <c r="F386" s="20">
        <f>IF($M386="","",INDEX(상세표[기록 시간외],$M386))</f>
        <v/>
      </c>
      <c r="G386">
        <f>IF($M386="","",INDEX(상세표[시작월 기관],$M386)&amp;"")</f>
        <v/>
      </c>
      <c r="H386">
        <f>IF($M386="","",INDEX(상세표[종료월 기관],$M386)&amp;"")</f>
        <v/>
      </c>
      <c r="I386">
        <f>IF($M386="","",INDEX(상세표[월경계 판정],$M386)&amp;"")</f>
        <v/>
      </c>
      <c r="J386">
        <f>IF($M386="","",INDEX(상세표[반영월],$M386)&amp;"")</f>
        <v/>
      </c>
      <c r="K386">
        <f>IF($M386="","",INDEX(상세표[반영 기관],$M386)&amp;"")</f>
        <v/>
      </c>
      <c r="L386">
        <f>IF($M386="","",INDEX(상세표[기관 출처],$M386)&amp;"")</f>
        <v/>
      </c>
      <c r="M386" s="4">
        <f>IFERROR(MATCH(381,상세표[경계순번],0),"")</f>
        <v/>
      </c>
    </row>
    <row r="387">
      <c r="A387">
        <f>IF($M387="","",INDEX(상세표[사번],$M387)&amp;"")</f>
        <v/>
      </c>
      <c r="B387">
        <f>IF($M387="","",INDEX(상세표[성명],$M387)&amp;"")</f>
        <v/>
      </c>
      <c r="C387">
        <f>IF($M387="","",IF(INDEX(상세표[종료월],$M387)=대상월키,"전월→이번 달","이번 달→익월"))</f>
        <v/>
      </c>
      <c r="D387">
        <f>IF($M387="","",IF(ISNUMBER(INDEX(상세표[시작],$M387)),TEXT(INDEX(상세표[시작],$M387),"yyyy-mm-dd hh:mm"),INDEX(상세표[시작],$M387)&amp;""))</f>
        <v/>
      </c>
      <c r="E387">
        <f>IF($M387="","",IF(ISNUMBER(INDEX(상세표[종료],$M387)),TEXT(INDEX(상세표[종료],$M387),"yyyy-mm-dd hh:mm"),INDEX(상세표[종료],$M387)&amp;""))</f>
        <v/>
      </c>
      <c r="F387" s="20">
        <f>IF($M387="","",INDEX(상세표[기록 시간외],$M387))</f>
        <v/>
      </c>
      <c r="G387">
        <f>IF($M387="","",INDEX(상세표[시작월 기관],$M387)&amp;"")</f>
        <v/>
      </c>
      <c r="H387">
        <f>IF($M387="","",INDEX(상세표[종료월 기관],$M387)&amp;"")</f>
        <v/>
      </c>
      <c r="I387">
        <f>IF($M387="","",INDEX(상세표[월경계 판정],$M387)&amp;"")</f>
        <v/>
      </c>
      <c r="J387">
        <f>IF($M387="","",INDEX(상세표[반영월],$M387)&amp;"")</f>
        <v/>
      </c>
      <c r="K387">
        <f>IF($M387="","",INDEX(상세표[반영 기관],$M387)&amp;"")</f>
        <v/>
      </c>
      <c r="L387">
        <f>IF($M387="","",INDEX(상세표[기관 출처],$M387)&amp;"")</f>
        <v/>
      </c>
      <c r="M387" s="4">
        <f>IFERROR(MATCH(382,상세표[경계순번],0),"")</f>
        <v/>
      </c>
    </row>
    <row r="388">
      <c r="A388">
        <f>IF($M388="","",INDEX(상세표[사번],$M388)&amp;"")</f>
        <v/>
      </c>
      <c r="B388">
        <f>IF($M388="","",INDEX(상세표[성명],$M388)&amp;"")</f>
        <v/>
      </c>
      <c r="C388">
        <f>IF($M388="","",IF(INDEX(상세표[종료월],$M388)=대상월키,"전월→이번 달","이번 달→익월"))</f>
        <v/>
      </c>
      <c r="D388">
        <f>IF($M388="","",IF(ISNUMBER(INDEX(상세표[시작],$M388)),TEXT(INDEX(상세표[시작],$M388),"yyyy-mm-dd hh:mm"),INDEX(상세표[시작],$M388)&amp;""))</f>
        <v/>
      </c>
      <c r="E388">
        <f>IF($M388="","",IF(ISNUMBER(INDEX(상세표[종료],$M388)),TEXT(INDEX(상세표[종료],$M388),"yyyy-mm-dd hh:mm"),INDEX(상세표[종료],$M388)&amp;""))</f>
        <v/>
      </c>
      <c r="F388" s="20">
        <f>IF($M388="","",INDEX(상세표[기록 시간외],$M388))</f>
        <v/>
      </c>
      <c r="G388">
        <f>IF($M388="","",INDEX(상세표[시작월 기관],$M388)&amp;"")</f>
        <v/>
      </c>
      <c r="H388">
        <f>IF($M388="","",INDEX(상세표[종료월 기관],$M388)&amp;"")</f>
        <v/>
      </c>
      <c r="I388">
        <f>IF($M388="","",INDEX(상세표[월경계 판정],$M388)&amp;"")</f>
        <v/>
      </c>
      <c r="J388">
        <f>IF($M388="","",INDEX(상세표[반영월],$M388)&amp;"")</f>
        <v/>
      </c>
      <c r="K388">
        <f>IF($M388="","",INDEX(상세표[반영 기관],$M388)&amp;"")</f>
        <v/>
      </c>
      <c r="L388">
        <f>IF($M388="","",INDEX(상세표[기관 출처],$M388)&amp;"")</f>
        <v/>
      </c>
      <c r="M388" s="4">
        <f>IFERROR(MATCH(383,상세표[경계순번],0),"")</f>
        <v/>
      </c>
    </row>
    <row r="389">
      <c r="A389">
        <f>IF($M389="","",INDEX(상세표[사번],$M389)&amp;"")</f>
        <v/>
      </c>
      <c r="B389">
        <f>IF($M389="","",INDEX(상세표[성명],$M389)&amp;"")</f>
        <v/>
      </c>
      <c r="C389">
        <f>IF($M389="","",IF(INDEX(상세표[종료월],$M389)=대상월키,"전월→이번 달","이번 달→익월"))</f>
        <v/>
      </c>
      <c r="D389">
        <f>IF($M389="","",IF(ISNUMBER(INDEX(상세표[시작],$M389)),TEXT(INDEX(상세표[시작],$M389),"yyyy-mm-dd hh:mm"),INDEX(상세표[시작],$M389)&amp;""))</f>
        <v/>
      </c>
      <c r="E389">
        <f>IF($M389="","",IF(ISNUMBER(INDEX(상세표[종료],$M389)),TEXT(INDEX(상세표[종료],$M389),"yyyy-mm-dd hh:mm"),INDEX(상세표[종료],$M389)&amp;""))</f>
        <v/>
      </c>
      <c r="F389" s="20">
        <f>IF($M389="","",INDEX(상세표[기록 시간외],$M389))</f>
        <v/>
      </c>
      <c r="G389">
        <f>IF($M389="","",INDEX(상세표[시작월 기관],$M389)&amp;"")</f>
        <v/>
      </c>
      <c r="H389">
        <f>IF($M389="","",INDEX(상세표[종료월 기관],$M389)&amp;"")</f>
        <v/>
      </c>
      <c r="I389">
        <f>IF($M389="","",INDEX(상세표[월경계 판정],$M389)&amp;"")</f>
        <v/>
      </c>
      <c r="J389">
        <f>IF($M389="","",INDEX(상세표[반영월],$M389)&amp;"")</f>
        <v/>
      </c>
      <c r="K389">
        <f>IF($M389="","",INDEX(상세표[반영 기관],$M389)&amp;"")</f>
        <v/>
      </c>
      <c r="L389">
        <f>IF($M389="","",INDEX(상세표[기관 출처],$M389)&amp;"")</f>
        <v/>
      </c>
      <c r="M389" s="4">
        <f>IFERROR(MATCH(384,상세표[경계순번],0),"")</f>
        <v/>
      </c>
    </row>
    <row r="390">
      <c r="A390">
        <f>IF($M390="","",INDEX(상세표[사번],$M390)&amp;"")</f>
        <v/>
      </c>
      <c r="B390">
        <f>IF($M390="","",INDEX(상세표[성명],$M390)&amp;"")</f>
        <v/>
      </c>
      <c r="C390">
        <f>IF($M390="","",IF(INDEX(상세표[종료월],$M390)=대상월키,"전월→이번 달","이번 달→익월"))</f>
        <v/>
      </c>
      <c r="D390">
        <f>IF($M390="","",IF(ISNUMBER(INDEX(상세표[시작],$M390)),TEXT(INDEX(상세표[시작],$M390),"yyyy-mm-dd hh:mm"),INDEX(상세표[시작],$M390)&amp;""))</f>
        <v/>
      </c>
      <c r="E390">
        <f>IF($M390="","",IF(ISNUMBER(INDEX(상세표[종료],$M390)),TEXT(INDEX(상세표[종료],$M390),"yyyy-mm-dd hh:mm"),INDEX(상세표[종료],$M390)&amp;""))</f>
        <v/>
      </c>
      <c r="F390" s="20">
        <f>IF($M390="","",INDEX(상세표[기록 시간외],$M390))</f>
        <v/>
      </c>
      <c r="G390">
        <f>IF($M390="","",INDEX(상세표[시작월 기관],$M390)&amp;"")</f>
        <v/>
      </c>
      <c r="H390">
        <f>IF($M390="","",INDEX(상세표[종료월 기관],$M390)&amp;"")</f>
        <v/>
      </c>
      <c r="I390">
        <f>IF($M390="","",INDEX(상세표[월경계 판정],$M390)&amp;"")</f>
        <v/>
      </c>
      <c r="J390">
        <f>IF($M390="","",INDEX(상세표[반영월],$M390)&amp;"")</f>
        <v/>
      </c>
      <c r="K390">
        <f>IF($M390="","",INDEX(상세표[반영 기관],$M390)&amp;"")</f>
        <v/>
      </c>
      <c r="L390">
        <f>IF($M390="","",INDEX(상세표[기관 출처],$M390)&amp;"")</f>
        <v/>
      </c>
      <c r="M390" s="4">
        <f>IFERROR(MATCH(385,상세표[경계순번],0),"")</f>
        <v/>
      </c>
    </row>
    <row r="391">
      <c r="A391">
        <f>IF($M391="","",INDEX(상세표[사번],$M391)&amp;"")</f>
        <v/>
      </c>
      <c r="B391">
        <f>IF($M391="","",INDEX(상세표[성명],$M391)&amp;"")</f>
        <v/>
      </c>
      <c r="C391">
        <f>IF($M391="","",IF(INDEX(상세표[종료월],$M391)=대상월키,"전월→이번 달","이번 달→익월"))</f>
        <v/>
      </c>
      <c r="D391">
        <f>IF($M391="","",IF(ISNUMBER(INDEX(상세표[시작],$M391)),TEXT(INDEX(상세표[시작],$M391),"yyyy-mm-dd hh:mm"),INDEX(상세표[시작],$M391)&amp;""))</f>
        <v/>
      </c>
      <c r="E391">
        <f>IF($M391="","",IF(ISNUMBER(INDEX(상세표[종료],$M391)),TEXT(INDEX(상세표[종료],$M391),"yyyy-mm-dd hh:mm"),INDEX(상세표[종료],$M391)&amp;""))</f>
        <v/>
      </c>
      <c r="F391" s="20">
        <f>IF($M391="","",INDEX(상세표[기록 시간외],$M391))</f>
        <v/>
      </c>
      <c r="G391">
        <f>IF($M391="","",INDEX(상세표[시작월 기관],$M391)&amp;"")</f>
        <v/>
      </c>
      <c r="H391">
        <f>IF($M391="","",INDEX(상세표[종료월 기관],$M391)&amp;"")</f>
        <v/>
      </c>
      <c r="I391">
        <f>IF($M391="","",INDEX(상세표[월경계 판정],$M391)&amp;"")</f>
        <v/>
      </c>
      <c r="J391">
        <f>IF($M391="","",INDEX(상세표[반영월],$M391)&amp;"")</f>
        <v/>
      </c>
      <c r="K391">
        <f>IF($M391="","",INDEX(상세표[반영 기관],$M391)&amp;"")</f>
        <v/>
      </c>
      <c r="L391">
        <f>IF($M391="","",INDEX(상세표[기관 출처],$M391)&amp;"")</f>
        <v/>
      </c>
      <c r="M391" s="4">
        <f>IFERROR(MATCH(386,상세표[경계순번],0),"")</f>
        <v/>
      </c>
    </row>
    <row r="392">
      <c r="A392">
        <f>IF($M392="","",INDEX(상세표[사번],$M392)&amp;"")</f>
        <v/>
      </c>
      <c r="B392">
        <f>IF($M392="","",INDEX(상세표[성명],$M392)&amp;"")</f>
        <v/>
      </c>
      <c r="C392">
        <f>IF($M392="","",IF(INDEX(상세표[종료월],$M392)=대상월키,"전월→이번 달","이번 달→익월"))</f>
        <v/>
      </c>
      <c r="D392">
        <f>IF($M392="","",IF(ISNUMBER(INDEX(상세표[시작],$M392)),TEXT(INDEX(상세표[시작],$M392),"yyyy-mm-dd hh:mm"),INDEX(상세표[시작],$M392)&amp;""))</f>
        <v/>
      </c>
      <c r="E392">
        <f>IF($M392="","",IF(ISNUMBER(INDEX(상세표[종료],$M392)),TEXT(INDEX(상세표[종료],$M392),"yyyy-mm-dd hh:mm"),INDEX(상세표[종료],$M392)&amp;""))</f>
        <v/>
      </c>
      <c r="F392" s="20">
        <f>IF($M392="","",INDEX(상세표[기록 시간외],$M392))</f>
        <v/>
      </c>
      <c r="G392">
        <f>IF($M392="","",INDEX(상세표[시작월 기관],$M392)&amp;"")</f>
        <v/>
      </c>
      <c r="H392">
        <f>IF($M392="","",INDEX(상세표[종료월 기관],$M392)&amp;"")</f>
        <v/>
      </c>
      <c r="I392">
        <f>IF($M392="","",INDEX(상세표[월경계 판정],$M392)&amp;"")</f>
        <v/>
      </c>
      <c r="J392">
        <f>IF($M392="","",INDEX(상세표[반영월],$M392)&amp;"")</f>
        <v/>
      </c>
      <c r="K392">
        <f>IF($M392="","",INDEX(상세표[반영 기관],$M392)&amp;"")</f>
        <v/>
      </c>
      <c r="L392">
        <f>IF($M392="","",INDEX(상세표[기관 출처],$M392)&amp;"")</f>
        <v/>
      </c>
      <c r="M392" s="4">
        <f>IFERROR(MATCH(387,상세표[경계순번],0),"")</f>
        <v/>
      </c>
    </row>
    <row r="393">
      <c r="A393">
        <f>IF($M393="","",INDEX(상세표[사번],$M393)&amp;"")</f>
        <v/>
      </c>
      <c r="B393">
        <f>IF($M393="","",INDEX(상세표[성명],$M393)&amp;"")</f>
        <v/>
      </c>
      <c r="C393">
        <f>IF($M393="","",IF(INDEX(상세표[종료월],$M393)=대상월키,"전월→이번 달","이번 달→익월"))</f>
        <v/>
      </c>
      <c r="D393">
        <f>IF($M393="","",IF(ISNUMBER(INDEX(상세표[시작],$M393)),TEXT(INDEX(상세표[시작],$M393),"yyyy-mm-dd hh:mm"),INDEX(상세표[시작],$M393)&amp;""))</f>
        <v/>
      </c>
      <c r="E393">
        <f>IF($M393="","",IF(ISNUMBER(INDEX(상세표[종료],$M393)),TEXT(INDEX(상세표[종료],$M393),"yyyy-mm-dd hh:mm"),INDEX(상세표[종료],$M393)&amp;""))</f>
        <v/>
      </c>
      <c r="F393" s="20">
        <f>IF($M393="","",INDEX(상세표[기록 시간외],$M393))</f>
        <v/>
      </c>
      <c r="G393">
        <f>IF($M393="","",INDEX(상세표[시작월 기관],$M393)&amp;"")</f>
        <v/>
      </c>
      <c r="H393">
        <f>IF($M393="","",INDEX(상세표[종료월 기관],$M393)&amp;"")</f>
        <v/>
      </c>
      <c r="I393">
        <f>IF($M393="","",INDEX(상세표[월경계 판정],$M393)&amp;"")</f>
        <v/>
      </c>
      <c r="J393">
        <f>IF($M393="","",INDEX(상세표[반영월],$M393)&amp;"")</f>
        <v/>
      </c>
      <c r="K393">
        <f>IF($M393="","",INDEX(상세표[반영 기관],$M393)&amp;"")</f>
        <v/>
      </c>
      <c r="L393">
        <f>IF($M393="","",INDEX(상세표[기관 출처],$M393)&amp;"")</f>
        <v/>
      </c>
      <c r="M393" s="4">
        <f>IFERROR(MATCH(388,상세표[경계순번],0),"")</f>
        <v/>
      </c>
    </row>
    <row r="394">
      <c r="A394">
        <f>IF($M394="","",INDEX(상세표[사번],$M394)&amp;"")</f>
        <v/>
      </c>
      <c r="B394">
        <f>IF($M394="","",INDEX(상세표[성명],$M394)&amp;"")</f>
        <v/>
      </c>
      <c r="C394">
        <f>IF($M394="","",IF(INDEX(상세표[종료월],$M394)=대상월키,"전월→이번 달","이번 달→익월"))</f>
        <v/>
      </c>
      <c r="D394">
        <f>IF($M394="","",IF(ISNUMBER(INDEX(상세표[시작],$M394)),TEXT(INDEX(상세표[시작],$M394),"yyyy-mm-dd hh:mm"),INDEX(상세표[시작],$M394)&amp;""))</f>
        <v/>
      </c>
      <c r="E394">
        <f>IF($M394="","",IF(ISNUMBER(INDEX(상세표[종료],$M394)),TEXT(INDEX(상세표[종료],$M394),"yyyy-mm-dd hh:mm"),INDEX(상세표[종료],$M394)&amp;""))</f>
        <v/>
      </c>
      <c r="F394" s="20">
        <f>IF($M394="","",INDEX(상세표[기록 시간외],$M394))</f>
        <v/>
      </c>
      <c r="G394">
        <f>IF($M394="","",INDEX(상세표[시작월 기관],$M394)&amp;"")</f>
        <v/>
      </c>
      <c r="H394">
        <f>IF($M394="","",INDEX(상세표[종료월 기관],$M394)&amp;"")</f>
        <v/>
      </c>
      <c r="I394">
        <f>IF($M394="","",INDEX(상세표[월경계 판정],$M394)&amp;"")</f>
        <v/>
      </c>
      <c r="J394">
        <f>IF($M394="","",INDEX(상세표[반영월],$M394)&amp;"")</f>
        <v/>
      </c>
      <c r="K394">
        <f>IF($M394="","",INDEX(상세표[반영 기관],$M394)&amp;"")</f>
        <v/>
      </c>
      <c r="L394">
        <f>IF($M394="","",INDEX(상세표[기관 출처],$M394)&amp;"")</f>
        <v/>
      </c>
      <c r="M394" s="4">
        <f>IFERROR(MATCH(389,상세표[경계순번],0),"")</f>
        <v/>
      </c>
    </row>
    <row r="395">
      <c r="A395">
        <f>IF($M395="","",INDEX(상세표[사번],$M395)&amp;"")</f>
        <v/>
      </c>
      <c r="B395">
        <f>IF($M395="","",INDEX(상세표[성명],$M395)&amp;"")</f>
        <v/>
      </c>
      <c r="C395">
        <f>IF($M395="","",IF(INDEX(상세표[종료월],$M395)=대상월키,"전월→이번 달","이번 달→익월"))</f>
        <v/>
      </c>
      <c r="D395">
        <f>IF($M395="","",IF(ISNUMBER(INDEX(상세표[시작],$M395)),TEXT(INDEX(상세표[시작],$M395),"yyyy-mm-dd hh:mm"),INDEX(상세표[시작],$M395)&amp;""))</f>
        <v/>
      </c>
      <c r="E395">
        <f>IF($M395="","",IF(ISNUMBER(INDEX(상세표[종료],$M395)),TEXT(INDEX(상세표[종료],$M395),"yyyy-mm-dd hh:mm"),INDEX(상세표[종료],$M395)&amp;""))</f>
        <v/>
      </c>
      <c r="F395" s="20">
        <f>IF($M395="","",INDEX(상세표[기록 시간외],$M395))</f>
        <v/>
      </c>
      <c r="G395">
        <f>IF($M395="","",INDEX(상세표[시작월 기관],$M395)&amp;"")</f>
        <v/>
      </c>
      <c r="H395">
        <f>IF($M395="","",INDEX(상세표[종료월 기관],$M395)&amp;"")</f>
        <v/>
      </c>
      <c r="I395">
        <f>IF($M395="","",INDEX(상세표[월경계 판정],$M395)&amp;"")</f>
        <v/>
      </c>
      <c r="J395">
        <f>IF($M395="","",INDEX(상세표[반영월],$M395)&amp;"")</f>
        <v/>
      </c>
      <c r="K395">
        <f>IF($M395="","",INDEX(상세표[반영 기관],$M395)&amp;"")</f>
        <v/>
      </c>
      <c r="L395">
        <f>IF($M395="","",INDEX(상세표[기관 출처],$M395)&amp;"")</f>
        <v/>
      </c>
      <c r="M395" s="4">
        <f>IFERROR(MATCH(390,상세표[경계순번],0),"")</f>
        <v/>
      </c>
    </row>
    <row r="396">
      <c r="A396">
        <f>IF($M396="","",INDEX(상세표[사번],$M396)&amp;"")</f>
        <v/>
      </c>
      <c r="B396">
        <f>IF($M396="","",INDEX(상세표[성명],$M396)&amp;"")</f>
        <v/>
      </c>
      <c r="C396">
        <f>IF($M396="","",IF(INDEX(상세표[종료월],$M396)=대상월키,"전월→이번 달","이번 달→익월"))</f>
        <v/>
      </c>
      <c r="D396">
        <f>IF($M396="","",IF(ISNUMBER(INDEX(상세표[시작],$M396)),TEXT(INDEX(상세표[시작],$M396),"yyyy-mm-dd hh:mm"),INDEX(상세표[시작],$M396)&amp;""))</f>
        <v/>
      </c>
      <c r="E396">
        <f>IF($M396="","",IF(ISNUMBER(INDEX(상세표[종료],$M396)),TEXT(INDEX(상세표[종료],$M396),"yyyy-mm-dd hh:mm"),INDEX(상세표[종료],$M396)&amp;""))</f>
        <v/>
      </c>
      <c r="F396" s="20">
        <f>IF($M396="","",INDEX(상세표[기록 시간외],$M396))</f>
        <v/>
      </c>
      <c r="G396">
        <f>IF($M396="","",INDEX(상세표[시작월 기관],$M396)&amp;"")</f>
        <v/>
      </c>
      <c r="H396">
        <f>IF($M396="","",INDEX(상세표[종료월 기관],$M396)&amp;"")</f>
        <v/>
      </c>
      <c r="I396">
        <f>IF($M396="","",INDEX(상세표[월경계 판정],$M396)&amp;"")</f>
        <v/>
      </c>
      <c r="J396">
        <f>IF($M396="","",INDEX(상세표[반영월],$M396)&amp;"")</f>
        <v/>
      </c>
      <c r="K396">
        <f>IF($M396="","",INDEX(상세표[반영 기관],$M396)&amp;"")</f>
        <v/>
      </c>
      <c r="L396">
        <f>IF($M396="","",INDEX(상세표[기관 출처],$M396)&amp;"")</f>
        <v/>
      </c>
      <c r="M396" s="4">
        <f>IFERROR(MATCH(391,상세표[경계순번],0),"")</f>
        <v/>
      </c>
    </row>
    <row r="397">
      <c r="A397">
        <f>IF($M397="","",INDEX(상세표[사번],$M397)&amp;"")</f>
        <v/>
      </c>
      <c r="B397">
        <f>IF($M397="","",INDEX(상세표[성명],$M397)&amp;"")</f>
        <v/>
      </c>
      <c r="C397">
        <f>IF($M397="","",IF(INDEX(상세표[종료월],$M397)=대상월키,"전월→이번 달","이번 달→익월"))</f>
        <v/>
      </c>
      <c r="D397">
        <f>IF($M397="","",IF(ISNUMBER(INDEX(상세표[시작],$M397)),TEXT(INDEX(상세표[시작],$M397),"yyyy-mm-dd hh:mm"),INDEX(상세표[시작],$M397)&amp;""))</f>
        <v/>
      </c>
      <c r="E397">
        <f>IF($M397="","",IF(ISNUMBER(INDEX(상세표[종료],$M397)),TEXT(INDEX(상세표[종료],$M397),"yyyy-mm-dd hh:mm"),INDEX(상세표[종료],$M397)&amp;""))</f>
        <v/>
      </c>
      <c r="F397" s="20">
        <f>IF($M397="","",INDEX(상세표[기록 시간외],$M397))</f>
        <v/>
      </c>
      <c r="G397">
        <f>IF($M397="","",INDEX(상세표[시작월 기관],$M397)&amp;"")</f>
        <v/>
      </c>
      <c r="H397">
        <f>IF($M397="","",INDEX(상세표[종료월 기관],$M397)&amp;"")</f>
        <v/>
      </c>
      <c r="I397">
        <f>IF($M397="","",INDEX(상세표[월경계 판정],$M397)&amp;"")</f>
        <v/>
      </c>
      <c r="J397">
        <f>IF($M397="","",INDEX(상세표[반영월],$M397)&amp;"")</f>
        <v/>
      </c>
      <c r="K397">
        <f>IF($M397="","",INDEX(상세표[반영 기관],$M397)&amp;"")</f>
        <v/>
      </c>
      <c r="L397">
        <f>IF($M397="","",INDEX(상세표[기관 출처],$M397)&amp;"")</f>
        <v/>
      </c>
      <c r="M397" s="4">
        <f>IFERROR(MATCH(392,상세표[경계순번],0),"")</f>
        <v/>
      </c>
    </row>
    <row r="398">
      <c r="A398">
        <f>IF($M398="","",INDEX(상세표[사번],$M398)&amp;"")</f>
        <v/>
      </c>
      <c r="B398">
        <f>IF($M398="","",INDEX(상세표[성명],$M398)&amp;"")</f>
        <v/>
      </c>
      <c r="C398">
        <f>IF($M398="","",IF(INDEX(상세표[종료월],$M398)=대상월키,"전월→이번 달","이번 달→익월"))</f>
        <v/>
      </c>
      <c r="D398">
        <f>IF($M398="","",IF(ISNUMBER(INDEX(상세표[시작],$M398)),TEXT(INDEX(상세표[시작],$M398),"yyyy-mm-dd hh:mm"),INDEX(상세표[시작],$M398)&amp;""))</f>
        <v/>
      </c>
      <c r="E398">
        <f>IF($M398="","",IF(ISNUMBER(INDEX(상세표[종료],$M398)),TEXT(INDEX(상세표[종료],$M398),"yyyy-mm-dd hh:mm"),INDEX(상세표[종료],$M398)&amp;""))</f>
        <v/>
      </c>
      <c r="F398" s="20">
        <f>IF($M398="","",INDEX(상세표[기록 시간외],$M398))</f>
        <v/>
      </c>
      <c r="G398">
        <f>IF($M398="","",INDEX(상세표[시작월 기관],$M398)&amp;"")</f>
        <v/>
      </c>
      <c r="H398">
        <f>IF($M398="","",INDEX(상세표[종료월 기관],$M398)&amp;"")</f>
        <v/>
      </c>
      <c r="I398">
        <f>IF($M398="","",INDEX(상세표[월경계 판정],$M398)&amp;"")</f>
        <v/>
      </c>
      <c r="J398">
        <f>IF($M398="","",INDEX(상세표[반영월],$M398)&amp;"")</f>
        <v/>
      </c>
      <c r="K398">
        <f>IF($M398="","",INDEX(상세표[반영 기관],$M398)&amp;"")</f>
        <v/>
      </c>
      <c r="L398">
        <f>IF($M398="","",INDEX(상세표[기관 출처],$M398)&amp;"")</f>
        <v/>
      </c>
      <c r="M398" s="4">
        <f>IFERROR(MATCH(393,상세표[경계순번],0),"")</f>
        <v/>
      </c>
    </row>
    <row r="399">
      <c r="A399">
        <f>IF($M399="","",INDEX(상세표[사번],$M399)&amp;"")</f>
        <v/>
      </c>
      <c r="B399">
        <f>IF($M399="","",INDEX(상세표[성명],$M399)&amp;"")</f>
        <v/>
      </c>
      <c r="C399">
        <f>IF($M399="","",IF(INDEX(상세표[종료월],$M399)=대상월키,"전월→이번 달","이번 달→익월"))</f>
        <v/>
      </c>
      <c r="D399">
        <f>IF($M399="","",IF(ISNUMBER(INDEX(상세표[시작],$M399)),TEXT(INDEX(상세표[시작],$M399),"yyyy-mm-dd hh:mm"),INDEX(상세표[시작],$M399)&amp;""))</f>
        <v/>
      </c>
      <c r="E399">
        <f>IF($M399="","",IF(ISNUMBER(INDEX(상세표[종료],$M399)),TEXT(INDEX(상세표[종료],$M399),"yyyy-mm-dd hh:mm"),INDEX(상세표[종료],$M399)&amp;""))</f>
        <v/>
      </c>
      <c r="F399" s="20">
        <f>IF($M399="","",INDEX(상세표[기록 시간외],$M399))</f>
        <v/>
      </c>
      <c r="G399">
        <f>IF($M399="","",INDEX(상세표[시작월 기관],$M399)&amp;"")</f>
        <v/>
      </c>
      <c r="H399">
        <f>IF($M399="","",INDEX(상세표[종료월 기관],$M399)&amp;"")</f>
        <v/>
      </c>
      <c r="I399">
        <f>IF($M399="","",INDEX(상세표[월경계 판정],$M399)&amp;"")</f>
        <v/>
      </c>
      <c r="J399">
        <f>IF($M399="","",INDEX(상세표[반영월],$M399)&amp;"")</f>
        <v/>
      </c>
      <c r="K399">
        <f>IF($M399="","",INDEX(상세표[반영 기관],$M399)&amp;"")</f>
        <v/>
      </c>
      <c r="L399">
        <f>IF($M399="","",INDEX(상세표[기관 출처],$M399)&amp;"")</f>
        <v/>
      </c>
      <c r="M399" s="4">
        <f>IFERROR(MATCH(394,상세표[경계순번],0),"")</f>
        <v/>
      </c>
    </row>
    <row r="400">
      <c r="A400">
        <f>IF($M400="","",INDEX(상세표[사번],$M400)&amp;"")</f>
        <v/>
      </c>
      <c r="B400">
        <f>IF($M400="","",INDEX(상세표[성명],$M400)&amp;"")</f>
        <v/>
      </c>
      <c r="C400">
        <f>IF($M400="","",IF(INDEX(상세표[종료월],$M400)=대상월키,"전월→이번 달","이번 달→익월"))</f>
        <v/>
      </c>
      <c r="D400">
        <f>IF($M400="","",IF(ISNUMBER(INDEX(상세표[시작],$M400)),TEXT(INDEX(상세표[시작],$M400),"yyyy-mm-dd hh:mm"),INDEX(상세표[시작],$M400)&amp;""))</f>
        <v/>
      </c>
      <c r="E400">
        <f>IF($M400="","",IF(ISNUMBER(INDEX(상세표[종료],$M400)),TEXT(INDEX(상세표[종료],$M400),"yyyy-mm-dd hh:mm"),INDEX(상세표[종료],$M400)&amp;""))</f>
        <v/>
      </c>
      <c r="F400" s="20">
        <f>IF($M400="","",INDEX(상세표[기록 시간외],$M400))</f>
        <v/>
      </c>
      <c r="G400">
        <f>IF($M400="","",INDEX(상세표[시작월 기관],$M400)&amp;"")</f>
        <v/>
      </c>
      <c r="H400">
        <f>IF($M400="","",INDEX(상세표[종료월 기관],$M400)&amp;"")</f>
        <v/>
      </c>
      <c r="I400">
        <f>IF($M400="","",INDEX(상세표[월경계 판정],$M400)&amp;"")</f>
        <v/>
      </c>
      <c r="J400">
        <f>IF($M400="","",INDEX(상세표[반영월],$M400)&amp;"")</f>
        <v/>
      </c>
      <c r="K400">
        <f>IF($M400="","",INDEX(상세표[반영 기관],$M400)&amp;"")</f>
        <v/>
      </c>
      <c r="L400">
        <f>IF($M400="","",INDEX(상세표[기관 출처],$M400)&amp;"")</f>
        <v/>
      </c>
      <c r="M400" s="4">
        <f>IFERROR(MATCH(395,상세표[경계순번],0),"")</f>
        <v/>
      </c>
    </row>
    <row r="401">
      <c r="A401">
        <f>IF($M401="","",INDEX(상세표[사번],$M401)&amp;"")</f>
        <v/>
      </c>
      <c r="B401">
        <f>IF($M401="","",INDEX(상세표[성명],$M401)&amp;"")</f>
        <v/>
      </c>
      <c r="C401">
        <f>IF($M401="","",IF(INDEX(상세표[종료월],$M401)=대상월키,"전월→이번 달","이번 달→익월"))</f>
        <v/>
      </c>
      <c r="D401">
        <f>IF($M401="","",IF(ISNUMBER(INDEX(상세표[시작],$M401)),TEXT(INDEX(상세표[시작],$M401),"yyyy-mm-dd hh:mm"),INDEX(상세표[시작],$M401)&amp;""))</f>
        <v/>
      </c>
      <c r="E401">
        <f>IF($M401="","",IF(ISNUMBER(INDEX(상세표[종료],$M401)),TEXT(INDEX(상세표[종료],$M401),"yyyy-mm-dd hh:mm"),INDEX(상세표[종료],$M401)&amp;""))</f>
        <v/>
      </c>
      <c r="F401" s="20">
        <f>IF($M401="","",INDEX(상세표[기록 시간외],$M401))</f>
        <v/>
      </c>
      <c r="G401">
        <f>IF($M401="","",INDEX(상세표[시작월 기관],$M401)&amp;"")</f>
        <v/>
      </c>
      <c r="H401">
        <f>IF($M401="","",INDEX(상세표[종료월 기관],$M401)&amp;"")</f>
        <v/>
      </c>
      <c r="I401">
        <f>IF($M401="","",INDEX(상세표[월경계 판정],$M401)&amp;"")</f>
        <v/>
      </c>
      <c r="J401">
        <f>IF($M401="","",INDEX(상세표[반영월],$M401)&amp;"")</f>
        <v/>
      </c>
      <c r="K401">
        <f>IF($M401="","",INDEX(상세표[반영 기관],$M401)&amp;"")</f>
        <v/>
      </c>
      <c r="L401">
        <f>IF($M401="","",INDEX(상세표[기관 출처],$M401)&amp;"")</f>
        <v/>
      </c>
      <c r="M401" s="4">
        <f>IFERROR(MATCH(396,상세표[경계순번],0),"")</f>
        <v/>
      </c>
    </row>
    <row r="402">
      <c r="A402">
        <f>IF($M402="","",INDEX(상세표[사번],$M402)&amp;"")</f>
        <v/>
      </c>
      <c r="B402">
        <f>IF($M402="","",INDEX(상세표[성명],$M402)&amp;"")</f>
        <v/>
      </c>
      <c r="C402">
        <f>IF($M402="","",IF(INDEX(상세표[종료월],$M402)=대상월키,"전월→이번 달","이번 달→익월"))</f>
        <v/>
      </c>
      <c r="D402">
        <f>IF($M402="","",IF(ISNUMBER(INDEX(상세표[시작],$M402)),TEXT(INDEX(상세표[시작],$M402),"yyyy-mm-dd hh:mm"),INDEX(상세표[시작],$M402)&amp;""))</f>
        <v/>
      </c>
      <c r="E402">
        <f>IF($M402="","",IF(ISNUMBER(INDEX(상세표[종료],$M402)),TEXT(INDEX(상세표[종료],$M402),"yyyy-mm-dd hh:mm"),INDEX(상세표[종료],$M402)&amp;""))</f>
        <v/>
      </c>
      <c r="F402" s="20">
        <f>IF($M402="","",INDEX(상세표[기록 시간외],$M402))</f>
        <v/>
      </c>
      <c r="G402">
        <f>IF($M402="","",INDEX(상세표[시작월 기관],$M402)&amp;"")</f>
        <v/>
      </c>
      <c r="H402">
        <f>IF($M402="","",INDEX(상세표[종료월 기관],$M402)&amp;"")</f>
        <v/>
      </c>
      <c r="I402">
        <f>IF($M402="","",INDEX(상세표[월경계 판정],$M402)&amp;"")</f>
        <v/>
      </c>
      <c r="J402">
        <f>IF($M402="","",INDEX(상세표[반영월],$M402)&amp;"")</f>
        <v/>
      </c>
      <c r="K402">
        <f>IF($M402="","",INDEX(상세표[반영 기관],$M402)&amp;"")</f>
        <v/>
      </c>
      <c r="L402">
        <f>IF($M402="","",INDEX(상세표[기관 출처],$M402)&amp;"")</f>
        <v/>
      </c>
      <c r="M402" s="4">
        <f>IFERROR(MATCH(397,상세표[경계순번],0),"")</f>
        <v/>
      </c>
    </row>
    <row r="403">
      <c r="A403">
        <f>IF($M403="","",INDEX(상세표[사번],$M403)&amp;"")</f>
        <v/>
      </c>
      <c r="B403">
        <f>IF($M403="","",INDEX(상세표[성명],$M403)&amp;"")</f>
        <v/>
      </c>
      <c r="C403">
        <f>IF($M403="","",IF(INDEX(상세표[종료월],$M403)=대상월키,"전월→이번 달","이번 달→익월"))</f>
        <v/>
      </c>
      <c r="D403">
        <f>IF($M403="","",IF(ISNUMBER(INDEX(상세표[시작],$M403)),TEXT(INDEX(상세표[시작],$M403),"yyyy-mm-dd hh:mm"),INDEX(상세표[시작],$M403)&amp;""))</f>
        <v/>
      </c>
      <c r="E403">
        <f>IF($M403="","",IF(ISNUMBER(INDEX(상세표[종료],$M403)),TEXT(INDEX(상세표[종료],$M403),"yyyy-mm-dd hh:mm"),INDEX(상세표[종료],$M403)&amp;""))</f>
        <v/>
      </c>
      <c r="F403" s="20">
        <f>IF($M403="","",INDEX(상세표[기록 시간외],$M403))</f>
        <v/>
      </c>
      <c r="G403">
        <f>IF($M403="","",INDEX(상세표[시작월 기관],$M403)&amp;"")</f>
        <v/>
      </c>
      <c r="H403">
        <f>IF($M403="","",INDEX(상세표[종료월 기관],$M403)&amp;"")</f>
        <v/>
      </c>
      <c r="I403">
        <f>IF($M403="","",INDEX(상세표[월경계 판정],$M403)&amp;"")</f>
        <v/>
      </c>
      <c r="J403">
        <f>IF($M403="","",INDEX(상세표[반영월],$M403)&amp;"")</f>
        <v/>
      </c>
      <c r="K403">
        <f>IF($M403="","",INDEX(상세표[반영 기관],$M403)&amp;"")</f>
        <v/>
      </c>
      <c r="L403">
        <f>IF($M403="","",INDEX(상세표[기관 출처],$M403)&amp;"")</f>
        <v/>
      </c>
      <c r="M403" s="4">
        <f>IFERROR(MATCH(398,상세표[경계순번],0),"")</f>
        <v/>
      </c>
    </row>
    <row r="404">
      <c r="A404">
        <f>IF($M404="","",INDEX(상세표[사번],$M404)&amp;"")</f>
        <v/>
      </c>
      <c r="B404">
        <f>IF($M404="","",INDEX(상세표[성명],$M404)&amp;"")</f>
        <v/>
      </c>
      <c r="C404">
        <f>IF($M404="","",IF(INDEX(상세표[종료월],$M404)=대상월키,"전월→이번 달","이번 달→익월"))</f>
        <v/>
      </c>
      <c r="D404">
        <f>IF($M404="","",IF(ISNUMBER(INDEX(상세표[시작],$M404)),TEXT(INDEX(상세표[시작],$M404),"yyyy-mm-dd hh:mm"),INDEX(상세표[시작],$M404)&amp;""))</f>
        <v/>
      </c>
      <c r="E404">
        <f>IF($M404="","",IF(ISNUMBER(INDEX(상세표[종료],$M404)),TEXT(INDEX(상세표[종료],$M404),"yyyy-mm-dd hh:mm"),INDEX(상세표[종료],$M404)&amp;""))</f>
        <v/>
      </c>
      <c r="F404" s="20">
        <f>IF($M404="","",INDEX(상세표[기록 시간외],$M404))</f>
        <v/>
      </c>
      <c r="G404">
        <f>IF($M404="","",INDEX(상세표[시작월 기관],$M404)&amp;"")</f>
        <v/>
      </c>
      <c r="H404">
        <f>IF($M404="","",INDEX(상세표[종료월 기관],$M404)&amp;"")</f>
        <v/>
      </c>
      <c r="I404">
        <f>IF($M404="","",INDEX(상세표[월경계 판정],$M404)&amp;"")</f>
        <v/>
      </c>
      <c r="J404">
        <f>IF($M404="","",INDEX(상세표[반영월],$M404)&amp;"")</f>
        <v/>
      </c>
      <c r="K404">
        <f>IF($M404="","",INDEX(상세표[반영 기관],$M404)&amp;"")</f>
        <v/>
      </c>
      <c r="L404">
        <f>IF($M404="","",INDEX(상세표[기관 출처],$M404)&amp;"")</f>
        <v/>
      </c>
      <c r="M404" s="4">
        <f>IFERROR(MATCH(399,상세표[경계순번],0),"")</f>
        <v/>
      </c>
    </row>
    <row r="405">
      <c r="A405">
        <f>IF($M405="","",INDEX(상세표[사번],$M405)&amp;"")</f>
        <v/>
      </c>
      <c r="B405">
        <f>IF($M405="","",INDEX(상세표[성명],$M405)&amp;"")</f>
        <v/>
      </c>
      <c r="C405">
        <f>IF($M405="","",IF(INDEX(상세표[종료월],$M405)=대상월키,"전월→이번 달","이번 달→익월"))</f>
        <v/>
      </c>
      <c r="D405">
        <f>IF($M405="","",IF(ISNUMBER(INDEX(상세표[시작],$M405)),TEXT(INDEX(상세표[시작],$M405),"yyyy-mm-dd hh:mm"),INDEX(상세표[시작],$M405)&amp;""))</f>
        <v/>
      </c>
      <c r="E405">
        <f>IF($M405="","",IF(ISNUMBER(INDEX(상세표[종료],$M405)),TEXT(INDEX(상세표[종료],$M405),"yyyy-mm-dd hh:mm"),INDEX(상세표[종료],$M405)&amp;""))</f>
        <v/>
      </c>
      <c r="F405" s="20">
        <f>IF($M405="","",INDEX(상세표[기록 시간외],$M405))</f>
        <v/>
      </c>
      <c r="G405">
        <f>IF($M405="","",INDEX(상세표[시작월 기관],$M405)&amp;"")</f>
        <v/>
      </c>
      <c r="H405">
        <f>IF($M405="","",INDEX(상세표[종료월 기관],$M405)&amp;"")</f>
        <v/>
      </c>
      <c r="I405">
        <f>IF($M405="","",INDEX(상세표[월경계 판정],$M405)&amp;"")</f>
        <v/>
      </c>
      <c r="J405">
        <f>IF($M405="","",INDEX(상세표[반영월],$M405)&amp;"")</f>
        <v/>
      </c>
      <c r="K405">
        <f>IF($M405="","",INDEX(상세표[반영 기관],$M405)&amp;"")</f>
        <v/>
      </c>
      <c r="L405">
        <f>IF($M405="","",INDEX(상세표[기관 출처],$M405)&amp;"")</f>
        <v/>
      </c>
      <c r="M405" s="4">
        <f>IFERROR(MATCH(400,상세표[경계순번],0),"")</f>
        <v/>
      </c>
    </row>
    <row r="406">
      <c r="A406">
        <f>IF($M406="","",INDEX(상세표[사번],$M406)&amp;"")</f>
        <v/>
      </c>
      <c r="B406">
        <f>IF($M406="","",INDEX(상세표[성명],$M406)&amp;"")</f>
        <v/>
      </c>
      <c r="C406">
        <f>IF($M406="","",IF(INDEX(상세표[종료월],$M406)=대상월키,"전월→이번 달","이번 달→익월"))</f>
        <v/>
      </c>
      <c r="D406">
        <f>IF($M406="","",IF(ISNUMBER(INDEX(상세표[시작],$M406)),TEXT(INDEX(상세표[시작],$M406),"yyyy-mm-dd hh:mm"),INDEX(상세표[시작],$M406)&amp;""))</f>
        <v/>
      </c>
      <c r="E406">
        <f>IF($M406="","",IF(ISNUMBER(INDEX(상세표[종료],$M406)),TEXT(INDEX(상세표[종료],$M406),"yyyy-mm-dd hh:mm"),INDEX(상세표[종료],$M406)&amp;""))</f>
        <v/>
      </c>
      <c r="F406" s="20">
        <f>IF($M406="","",INDEX(상세표[기록 시간외],$M406))</f>
        <v/>
      </c>
      <c r="G406">
        <f>IF($M406="","",INDEX(상세표[시작월 기관],$M406)&amp;"")</f>
        <v/>
      </c>
      <c r="H406">
        <f>IF($M406="","",INDEX(상세표[종료월 기관],$M406)&amp;"")</f>
        <v/>
      </c>
      <c r="I406">
        <f>IF($M406="","",INDEX(상세표[월경계 판정],$M406)&amp;"")</f>
        <v/>
      </c>
      <c r="J406">
        <f>IF($M406="","",INDEX(상세표[반영월],$M406)&amp;"")</f>
        <v/>
      </c>
      <c r="K406">
        <f>IF($M406="","",INDEX(상세표[반영 기관],$M406)&amp;"")</f>
        <v/>
      </c>
      <c r="L406">
        <f>IF($M406="","",INDEX(상세표[기관 출처],$M406)&amp;"")</f>
        <v/>
      </c>
      <c r="M406" s="4">
        <f>IFERROR(MATCH(401,상세표[경계순번],0),"")</f>
        <v/>
      </c>
    </row>
    <row r="407">
      <c r="A407">
        <f>IF($M407="","",INDEX(상세표[사번],$M407)&amp;"")</f>
        <v/>
      </c>
      <c r="B407">
        <f>IF($M407="","",INDEX(상세표[성명],$M407)&amp;"")</f>
        <v/>
      </c>
      <c r="C407">
        <f>IF($M407="","",IF(INDEX(상세표[종료월],$M407)=대상월키,"전월→이번 달","이번 달→익월"))</f>
        <v/>
      </c>
      <c r="D407">
        <f>IF($M407="","",IF(ISNUMBER(INDEX(상세표[시작],$M407)),TEXT(INDEX(상세표[시작],$M407),"yyyy-mm-dd hh:mm"),INDEX(상세표[시작],$M407)&amp;""))</f>
        <v/>
      </c>
      <c r="E407">
        <f>IF($M407="","",IF(ISNUMBER(INDEX(상세표[종료],$M407)),TEXT(INDEX(상세표[종료],$M407),"yyyy-mm-dd hh:mm"),INDEX(상세표[종료],$M407)&amp;""))</f>
        <v/>
      </c>
      <c r="F407" s="20">
        <f>IF($M407="","",INDEX(상세표[기록 시간외],$M407))</f>
        <v/>
      </c>
      <c r="G407">
        <f>IF($M407="","",INDEX(상세표[시작월 기관],$M407)&amp;"")</f>
        <v/>
      </c>
      <c r="H407">
        <f>IF($M407="","",INDEX(상세표[종료월 기관],$M407)&amp;"")</f>
        <v/>
      </c>
      <c r="I407">
        <f>IF($M407="","",INDEX(상세표[월경계 판정],$M407)&amp;"")</f>
        <v/>
      </c>
      <c r="J407">
        <f>IF($M407="","",INDEX(상세표[반영월],$M407)&amp;"")</f>
        <v/>
      </c>
      <c r="K407">
        <f>IF($M407="","",INDEX(상세표[반영 기관],$M407)&amp;"")</f>
        <v/>
      </c>
      <c r="L407">
        <f>IF($M407="","",INDEX(상세표[기관 출처],$M407)&amp;"")</f>
        <v/>
      </c>
      <c r="M407" s="4">
        <f>IFERROR(MATCH(402,상세표[경계순번],0),"")</f>
        <v/>
      </c>
    </row>
    <row r="408">
      <c r="A408">
        <f>IF($M408="","",INDEX(상세표[사번],$M408)&amp;"")</f>
        <v/>
      </c>
      <c r="B408">
        <f>IF($M408="","",INDEX(상세표[성명],$M408)&amp;"")</f>
        <v/>
      </c>
      <c r="C408">
        <f>IF($M408="","",IF(INDEX(상세표[종료월],$M408)=대상월키,"전월→이번 달","이번 달→익월"))</f>
        <v/>
      </c>
      <c r="D408">
        <f>IF($M408="","",IF(ISNUMBER(INDEX(상세표[시작],$M408)),TEXT(INDEX(상세표[시작],$M408),"yyyy-mm-dd hh:mm"),INDEX(상세표[시작],$M408)&amp;""))</f>
        <v/>
      </c>
      <c r="E408">
        <f>IF($M408="","",IF(ISNUMBER(INDEX(상세표[종료],$M408)),TEXT(INDEX(상세표[종료],$M408),"yyyy-mm-dd hh:mm"),INDEX(상세표[종료],$M408)&amp;""))</f>
        <v/>
      </c>
      <c r="F408" s="20">
        <f>IF($M408="","",INDEX(상세표[기록 시간외],$M408))</f>
        <v/>
      </c>
      <c r="G408">
        <f>IF($M408="","",INDEX(상세표[시작월 기관],$M408)&amp;"")</f>
        <v/>
      </c>
      <c r="H408">
        <f>IF($M408="","",INDEX(상세표[종료월 기관],$M408)&amp;"")</f>
        <v/>
      </c>
      <c r="I408">
        <f>IF($M408="","",INDEX(상세표[월경계 판정],$M408)&amp;"")</f>
        <v/>
      </c>
      <c r="J408">
        <f>IF($M408="","",INDEX(상세표[반영월],$M408)&amp;"")</f>
        <v/>
      </c>
      <c r="K408">
        <f>IF($M408="","",INDEX(상세표[반영 기관],$M408)&amp;"")</f>
        <v/>
      </c>
      <c r="L408">
        <f>IF($M408="","",INDEX(상세표[기관 출처],$M408)&amp;"")</f>
        <v/>
      </c>
      <c r="M408" s="4">
        <f>IFERROR(MATCH(403,상세표[경계순번],0),"")</f>
        <v/>
      </c>
    </row>
    <row r="409">
      <c r="A409">
        <f>IF($M409="","",INDEX(상세표[사번],$M409)&amp;"")</f>
        <v/>
      </c>
      <c r="B409">
        <f>IF($M409="","",INDEX(상세표[성명],$M409)&amp;"")</f>
        <v/>
      </c>
      <c r="C409">
        <f>IF($M409="","",IF(INDEX(상세표[종료월],$M409)=대상월키,"전월→이번 달","이번 달→익월"))</f>
        <v/>
      </c>
      <c r="D409">
        <f>IF($M409="","",IF(ISNUMBER(INDEX(상세표[시작],$M409)),TEXT(INDEX(상세표[시작],$M409),"yyyy-mm-dd hh:mm"),INDEX(상세표[시작],$M409)&amp;""))</f>
        <v/>
      </c>
      <c r="E409">
        <f>IF($M409="","",IF(ISNUMBER(INDEX(상세표[종료],$M409)),TEXT(INDEX(상세표[종료],$M409),"yyyy-mm-dd hh:mm"),INDEX(상세표[종료],$M409)&amp;""))</f>
        <v/>
      </c>
      <c r="F409" s="20">
        <f>IF($M409="","",INDEX(상세표[기록 시간외],$M409))</f>
        <v/>
      </c>
      <c r="G409">
        <f>IF($M409="","",INDEX(상세표[시작월 기관],$M409)&amp;"")</f>
        <v/>
      </c>
      <c r="H409">
        <f>IF($M409="","",INDEX(상세표[종료월 기관],$M409)&amp;"")</f>
        <v/>
      </c>
      <c r="I409">
        <f>IF($M409="","",INDEX(상세표[월경계 판정],$M409)&amp;"")</f>
        <v/>
      </c>
      <c r="J409">
        <f>IF($M409="","",INDEX(상세표[반영월],$M409)&amp;"")</f>
        <v/>
      </c>
      <c r="K409">
        <f>IF($M409="","",INDEX(상세표[반영 기관],$M409)&amp;"")</f>
        <v/>
      </c>
      <c r="L409">
        <f>IF($M409="","",INDEX(상세표[기관 출처],$M409)&amp;"")</f>
        <v/>
      </c>
      <c r="M409" s="4">
        <f>IFERROR(MATCH(404,상세표[경계순번],0),"")</f>
        <v/>
      </c>
    </row>
    <row r="410">
      <c r="A410">
        <f>IF($M410="","",INDEX(상세표[사번],$M410)&amp;"")</f>
        <v/>
      </c>
      <c r="B410">
        <f>IF($M410="","",INDEX(상세표[성명],$M410)&amp;"")</f>
        <v/>
      </c>
      <c r="C410">
        <f>IF($M410="","",IF(INDEX(상세표[종료월],$M410)=대상월키,"전월→이번 달","이번 달→익월"))</f>
        <v/>
      </c>
      <c r="D410">
        <f>IF($M410="","",IF(ISNUMBER(INDEX(상세표[시작],$M410)),TEXT(INDEX(상세표[시작],$M410),"yyyy-mm-dd hh:mm"),INDEX(상세표[시작],$M410)&amp;""))</f>
        <v/>
      </c>
      <c r="E410">
        <f>IF($M410="","",IF(ISNUMBER(INDEX(상세표[종료],$M410)),TEXT(INDEX(상세표[종료],$M410),"yyyy-mm-dd hh:mm"),INDEX(상세표[종료],$M410)&amp;""))</f>
        <v/>
      </c>
      <c r="F410" s="20">
        <f>IF($M410="","",INDEX(상세표[기록 시간외],$M410))</f>
        <v/>
      </c>
      <c r="G410">
        <f>IF($M410="","",INDEX(상세표[시작월 기관],$M410)&amp;"")</f>
        <v/>
      </c>
      <c r="H410">
        <f>IF($M410="","",INDEX(상세표[종료월 기관],$M410)&amp;"")</f>
        <v/>
      </c>
      <c r="I410">
        <f>IF($M410="","",INDEX(상세표[월경계 판정],$M410)&amp;"")</f>
        <v/>
      </c>
      <c r="J410">
        <f>IF($M410="","",INDEX(상세표[반영월],$M410)&amp;"")</f>
        <v/>
      </c>
      <c r="K410">
        <f>IF($M410="","",INDEX(상세표[반영 기관],$M410)&amp;"")</f>
        <v/>
      </c>
      <c r="L410">
        <f>IF($M410="","",INDEX(상세표[기관 출처],$M410)&amp;"")</f>
        <v/>
      </c>
      <c r="M410" s="4">
        <f>IFERROR(MATCH(405,상세표[경계순번],0),"")</f>
        <v/>
      </c>
    </row>
    <row r="411">
      <c r="A411">
        <f>IF($M411="","",INDEX(상세표[사번],$M411)&amp;"")</f>
        <v/>
      </c>
      <c r="B411">
        <f>IF($M411="","",INDEX(상세표[성명],$M411)&amp;"")</f>
        <v/>
      </c>
      <c r="C411">
        <f>IF($M411="","",IF(INDEX(상세표[종료월],$M411)=대상월키,"전월→이번 달","이번 달→익월"))</f>
        <v/>
      </c>
      <c r="D411">
        <f>IF($M411="","",IF(ISNUMBER(INDEX(상세표[시작],$M411)),TEXT(INDEX(상세표[시작],$M411),"yyyy-mm-dd hh:mm"),INDEX(상세표[시작],$M411)&amp;""))</f>
        <v/>
      </c>
      <c r="E411">
        <f>IF($M411="","",IF(ISNUMBER(INDEX(상세표[종료],$M411)),TEXT(INDEX(상세표[종료],$M411),"yyyy-mm-dd hh:mm"),INDEX(상세표[종료],$M411)&amp;""))</f>
        <v/>
      </c>
      <c r="F411" s="20">
        <f>IF($M411="","",INDEX(상세표[기록 시간외],$M411))</f>
        <v/>
      </c>
      <c r="G411">
        <f>IF($M411="","",INDEX(상세표[시작월 기관],$M411)&amp;"")</f>
        <v/>
      </c>
      <c r="H411">
        <f>IF($M411="","",INDEX(상세표[종료월 기관],$M411)&amp;"")</f>
        <v/>
      </c>
      <c r="I411">
        <f>IF($M411="","",INDEX(상세표[월경계 판정],$M411)&amp;"")</f>
        <v/>
      </c>
      <c r="J411">
        <f>IF($M411="","",INDEX(상세표[반영월],$M411)&amp;"")</f>
        <v/>
      </c>
      <c r="K411">
        <f>IF($M411="","",INDEX(상세표[반영 기관],$M411)&amp;"")</f>
        <v/>
      </c>
      <c r="L411">
        <f>IF($M411="","",INDEX(상세표[기관 출처],$M411)&amp;"")</f>
        <v/>
      </c>
      <c r="M411" s="4">
        <f>IFERROR(MATCH(406,상세표[경계순번],0),"")</f>
        <v/>
      </c>
    </row>
    <row r="412">
      <c r="A412">
        <f>IF($M412="","",INDEX(상세표[사번],$M412)&amp;"")</f>
        <v/>
      </c>
      <c r="B412">
        <f>IF($M412="","",INDEX(상세표[성명],$M412)&amp;"")</f>
        <v/>
      </c>
      <c r="C412">
        <f>IF($M412="","",IF(INDEX(상세표[종료월],$M412)=대상월키,"전월→이번 달","이번 달→익월"))</f>
        <v/>
      </c>
      <c r="D412">
        <f>IF($M412="","",IF(ISNUMBER(INDEX(상세표[시작],$M412)),TEXT(INDEX(상세표[시작],$M412),"yyyy-mm-dd hh:mm"),INDEX(상세표[시작],$M412)&amp;""))</f>
        <v/>
      </c>
      <c r="E412">
        <f>IF($M412="","",IF(ISNUMBER(INDEX(상세표[종료],$M412)),TEXT(INDEX(상세표[종료],$M412),"yyyy-mm-dd hh:mm"),INDEX(상세표[종료],$M412)&amp;""))</f>
        <v/>
      </c>
      <c r="F412" s="20">
        <f>IF($M412="","",INDEX(상세표[기록 시간외],$M412))</f>
        <v/>
      </c>
      <c r="G412">
        <f>IF($M412="","",INDEX(상세표[시작월 기관],$M412)&amp;"")</f>
        <v/>
      </c>
      <c r="H412">
        <f>IF($M412="","",INDEX(상세표[종료월 기관],$M412)&amp;"")</f>
        <v/>
      </c>
      <c r="I412">
        <f>IF($M412="","",INDEX(상세표[월경계 판정],$M412)&amp;"")</f>
        <v/>
      </c>
      <c r="J412">
        <f>IF($M412="","",INDEX(상세표[반영월],$M412)&amp;"")</f>
        <v/>
      </c>
      <c r="K412">
        <f>IF($M412="","",INDEX(상세표[반영 기관],$M412)&amp;"")</f>
        <v/>
      </c>
      <c r="L412">
        <f>IF($M412="","",INDEX(상세표[기관 출처],$M412)&amp;"")</f>
        <v/>
      </c>
      <c r="M412" s="4">
        <f>IFERROR(MATCH(407,상세표[경계순번],0),"")</f>
        <v/>
      </c>
    </row>
    <row r="413">
      <c r="A413">
        <f>IF($M413="","",INDEX(상세표[사번],$M413)&amp;"")</f>
        <v/>
      </c>
      <c r="B413">
        <f>IF($M413="","",INDEX(상세표[성명],$M413)&amp;"")</f>
        <v/>
      </c>
      <c r="C413">
        <f>IF($M413="","",IF(INDEX(상세표[종료월],$M413)=대상월키,"전월→이번 달","이번 달→익월"))</f>
        <v/>
      </c>
      <c r="D413">
        <f>IF($M413="","",IF(ISNUMBER(INDEX(상세표[시작],$M413)),TEXT(INDEX(상세표[시작],$M413),"yyyy-mm-dd hh:mm"),INDEX(상세표[시작],$M413)&amp;""))</f>
        <v/>
      </c>
      <c r="E413">
        <f>IF($M413="","",IF(ISNUMBER(INDEX(상세표[종료],$M413)),TEXT(INDEX(상세표[종료],$M413),"yyyy-mm-dd hh:mm"),INDEX(상세표[종료],$M413)&amp;""))</f>
        <v/>
      </c>
      <c r="F413" s="20">
        <f>IF($M413="","",INDEX(상세표[기록 시간외],$M413))</f>
        <v/>
      </c>
      <c r="G413">
        <f>IF($M413="","",INDEX(상세표[시작월 기관],$M413)&amp;"")</f>
        <v/>
      </c>
      <c r="H413">
        <f>IF($M413="","",INDEX(상세표[종료월 기관],$M413)&amp;"")</f>
        <v/>
      </c>
      <c r="I413">
        <f>IF($M413="","",INDEX(상세표[월경계 판정],$M413)&amp;"")</f>
        <v/>
      </c>
      <c r="J413">
        <f>IF($M413="","",INDEX(상세표[반영월],$M413)&amp;"")</f>
        <v/>
      </c>
      <c r="K413">
        <f>IF($M413="","",INDEX(상세표[반영 기관],$M413)&amp;"")</f>
        <v/>
      </c>
      <c r="L413">
        <f>IF($M413="","",INDEX(상세표[기관 출처],$M413)&amp;"")</f>
        <v/>
      </c>
      <c r="M413" s="4">
        <f>IFERROR(MATCH(408,상세표[경계순번],0),"")</f>
        <v/>
      </c>
    </row>
    <row r="414">
      <c r="A414">
        <f>IF($M414="","",INDEX(상세표[사번],$M414)&amp;"")</f>
        <v/>
      </c>
      <c r="B414">
        <f>IF($M414="","",INDEX(상세표[성명],$M414)&amp;"")</f>
        <v/>
      </c>
      <c r="C414">
        <f>IF($M414="","",IF(INDEX(상세표[종료월],$M414)=대상월키,"전월→이번 달","이번 달→익월"))</f>
        <v/>
      </c>
      <c r="D414">
        <f>IF($M414="","",IF(ISNUMBER(INDEX(상세표[시작],$M414)),TEXT(INDEX(상세표[시작],$M414),"yyyy-mm-dd hh:mm"),INDEX(상세표[시작],$M414)&amp;""))</f>
        <v/>
      </c>
      <c r="E414">
        <f>IF($M414="","",IF(ISNUMBER(INDEX(상세표[종료],$M414)),TEXT(INDEX(상세표[종료],$M414),"yyyy-mm-dd hh:mm"),INDEX(상세표[종료],$M414)&amp;""))</f>
        <v/>
      </c>
      <c r="F414" s="20">
        <f>IF($M414="","",INDEX(상세표[기록 시간외],$M414))</f>
        <v/>
      </c>
      <c r="G414">
        <f>IF($M414="","",INDEX(상세표[시작월 기관],$M414)&amp;"")</f>
        <v/>
      </c>
      <c r="H414">
        <f>IF($M414="","",INDEX(상세표[종료월 기관],$M414)&amp;"")</f>
        <v/>
      </c>
      <c r="I414">
        <f>IF($M414="","",INDEX(상세표[월경계 판정],$M414)&amp;"")</f>
        <v/>
      </c>
      <c r="J414">
        <f>IF($M414="","",INDEX(상세표[반영월],$M414)&amp;"")</f>
        <v/>
      </c>
      <c r="K414">
        <f>IF($M414="","",INDEX(상세표[반영 기관],$M414)&amp;"")</f>
        <v/>
      </c>
      <c r="L414">
        <f>IF($M414="","",INDEX(상세표[기관 출처],$M414)&amp;"")</f>
        <v/>
      </c>
      <c r="M414" s="4">
        <f>IFERROR(MATCH(409,상세표[경계순번],0),"")</f>
        <v/>
      </c>
    </row>
    <row r="415">
      <c r="A415">
        <f>IF($M415="","",INDEX(상세표[사번],$M415)&amp;"")</f>
        <v/>
      </c>
      <c r="B415">
        <f>IF($M415="","",INDEX(상세표[성명],$M415)&amp;"")</f>
        <v/>
      </c>
      <c r="C415">
        <f>IF($M415="","",IF(INDEX(상세표[종료월],$M415)=대상월키,"전월→이번 달","이번 달→익월"))</f>
        <v/>
      </c>
      <c r="D415">
        <f>IF($M415="","",IF(ISNUMBER(INDEX(상세표[시작],$M415)),TEXT(INDEX(상세표[시작],$M415),"yyyy-mm-dd hh:mm"),INDEX(상세표[시작],$M415)&amp;""))</f>
        <v/>
      </c>
      <c r="E415">
        <f>IF($M415="","",IF(ISNUMBER(INDEX(상세표[종료],$M415)),TEXT(INDEX(상세표[종료],$M415),"yyyy-mm-dd hh:mm"),INDEX(상세표[종료],$M415)&amp;""))</f>
        <v/>
      </c>
      <c r="F415" s="20">
        <f>IF($M415="","",INDEX(상세표[기록 시간외],$M415))</f>
        <v/>
      </c>
      <c r="G415">
        <f>IF($M415="","",INDEX(상세표[시작월 기관],$M415)&amp;"")</f>
        <v/>
      </c>
      <c r="H415">
        <f>IF($M415="","",INDEX(상세표[종료월 기관],$M415)&amp;"")</f>
        <v/>
      </c>
      <c r="I415">
        <f>IF($M415="","",INDEX(상세표[월경계 판정],$M415)&amp;"")</f>
        <v/>
      </c>
      <c r="J415">
        <f>IF($M415="","",INDEX(상세표[반영월],$M415)&amp;"")</f>
        <v/>
      </c>
      <c r="K415">
        <f>IF($M415="","",INDEX(상세표[반영 기관],$M415)&amp;"")</f>
        <v/>
      </c>
      <c r="L415">
        <f>IF($M415="","",INDEX(상세표[기관 출처],$M415)&amp;"")</f>
        <v/>
      </c>
      <c r="M415" s="4">
        <f>IFERROR(MATCH(410,상세표[경계순번],0),"")</f>
        <v/>
      </c>
    </row>
    <row r="416">
      <c r="A416">
        <f>IF($M416="","",INDEX(상세표[사번],$M416)&amp;"")</f>
        <v/>
      </c>
      <c r="B416">
        <f>IF($M416="","",INDEX(상세표[성명],$M416)&amp;"")</f>
        <v/>
      </c>
      <c r="C416">
        <f>IF($M416="","",IF(INDEX(상세표[종료월],$M416)=대상월키,"전월→이번 달","이번 달→익월"))</f>
        <v/>
      </c>
      <c r="D416">
        <f>IF($M416="","",IF(ISNUMBER(INDEX(상세표[시작],$M416)),TEXT(INDEX(상세표[시작],$M416),"yyyy-mm-dd hh:mm"),INDEX(상세표[시작],$M416)&amp;""))</f>
        <v/>
      </c>
      <c r="E416">
        <f>IF($M416="","",IF(ISNUMBER(INDEX(상세표[종료],$M416)),TEXT(INDEX(상세표[종료],$M416),"yyyy-mm-dd hh:mm"),INDEX(상세표[종료],$M416)&amp;""))</f>
        <v/>
      </c>
      <c r="F416" s="20">
        <f>IF($M416="","",INDEX(상세표[기록 시간외],$M416))</f>
        <v/>
      </c>
      <c r="G416">
        <f>IF($M416="","",INDEX(상세표[시작월 기관],$M416)&amp;"")</f>
        <v/>
      </c>
      <c r="H416">
        <f>IF($M416="","",INDEX(상세표[종료월 기관],$M416)&amp;"")</f>
        <v/>
      </c>
      <c r="I416">
        <f>IF($M416="","",INDEX(상세표[월경계 판정],$M416)&amp;"")</f>
        <v/>
      </c>
      <c r="J416">
        <f>IF($M416="","",INDEX(상세표[반영월],$M416)&amp;"")</f>
        <v/>
      </c>
      <c r="K416">
        <f>IF($M416="","",INDEX(상세표[반영 기관],$M416)&amp;"")</f>
        <v/>
      </c>
      <c r="L416">
        <f>IF($M416="","",INDEX(상세표[기관 출처],$M416)&amp;"")</f>
        <v/>
      </c>
      <c r="M416" s="4">
        <f>IFERROR(MATCH(411,상세표[경계순번],0),"")</f>
        <v/>
      </c>
    </row>
    <row r="417">
      <c r="A417">
        <f>IF($M417="","",INDEX(상세표[사번],$M417)&amp;"")</f>
        <v/>
      </c>
      <c r="B417">
        <f>IF($M417="","",INDEX(상세표[성명],$M417)&amp;"")</f>
        <v/>
      </c>
      <c r="C417">
        <f>IF($M417="","",IF(INDEX(상세표[종료월],$M417)=대상월키,"전월→이번 달","이번 달→익월"))</f>
        <v/>
      </c>
      <c r="D417">
        <f>IF($M417="","",IF(ISNUMBER(INDEX(상세표[시작],$M417)),TEXT(INDEX(상세표[시작],$M417),"yyyy-mm-dd hh:mm"),INDEX(상세표[시작],$M417)&amp;""))</f>
        <v/>
      </c>
      <c r="E417">
        <f>IF($M417="","",IF(ISNUMBER(INDEX(상세표[종료],$M417)),TEXT(INDEX(상세표[종료],$M417),"yyyy-mm-dd hh:mm"),INDEX(상세표[종료],$M417)&amp;""))</f>
        <v/>
      </c>
      <c r="F417" s="20">
        <f>IF($M417="","",INDEX(상세표[기록 시간외],$M417))</f>
        <v/>
      </c>
      <c r="G417">
        <f>IF($M417="","",INDEX(상세표[시작월 기관],$M417)&amp;"")</f>
        <v/>
      </c>
      <c r="H417">
        <f>IF($M417="","",INDEX(상세표[종료월 기관],$M417)&amp;"")</f>
        <v/>
      </c>
      <c r="I417">
        <f>IF($M417="","",INDEX(상세표[월경계 판정],$M417)&amp;"")</f>
        <v/>
      </c>
      <c r="J417">
        <f>IF($M417="","",INDEX(상세표[반영월],$M417)&amp;"")</f>
        <v/>
      </c>
      <c r="K417">
        <f>IF($M417="","",INDEX(상세표[반영 기관],$M417)&amp;"")</f>
        <v/>
      </c>
      <c r="L417">
        <f>IF($M417="","",INDEX(상세표[기관 출처],$M417)&amp;"")</f>
        <v/>
      </c>
      <c r="M417" s="4">
        <f>IFERROR(MATCH(412,상세표[경계순번],0),"")</f>
        <v/>
      </c>
    </row>
    <row r="418">
      <c r="A418">
        <f>IF($M418="","",INDEX(상세표[사번],$M418)&amp;"")</f>
        <v/>
      </c>
      <c r="B418">
        <f>IF($M418="","",INDEX(상세표[성명],$M418)&amp;"")</f>
        <v/>
      </c>
      <c r="C418">
        <f>IF($M418="","",IF(INDEX(상세표[종료월],$M418)=대상월키,"전월→이번 달","이번 달→익월"))</f>
        <v/>
      </c>
      <c r="D418">
        <f>IF($M418="","",IF(ISNUMBER(INDEX(상세표[시작],$M418)),TEXT(INDEX(상세표[시작],$M418),"yyyy-mm-dd hh:mm"),INDEX(상세표[시작],$M418)&amp;""))</f>
        <v/>
      </c>
      <c r="E418">
        <f>IF($M418="","",IF(ISNUMBER(INDEX(상세표[종료],$M418)),TEXT(INDEX(상세표[종료],$M418),"yyyy-mm-dd hh:mm"),INDEX(상세표[종료],$M418)&amp;""))</f>
        <v/>
      </c>
      <c r="F418" s="20">
        <f>IF($M418="","",INDEX(상세표[기록 시간외],$M418))</f>
        <v/>
      </c>
      <c r="G418">
        <f>IF($M418="","",INDEX(상세표[시작월 기관],$M418)&amp;"")</f>
        <v/>
      </c>
      <c r="H418">
        <f>IF($M418="","",INDEX(상세표[종료월 기관],$M418)&amp;"")</f>
        <v/>
      </c>
      <c r="I418">
        <f>IF($M418="","",INDEX(상세표[월경계 판정],$M418)&amp;"")</f>
        <v/>
      </c>
      <c r="J418">
        <f>IF($M418="","",INDEX(상세표[반영월],$M418)&amp;"")</f>
        <v/>
      </c>
      <c r="K418">
        <f>IF($M418="","",INDEX(상세표[반영 기관],$M418)&amp;"")</f>
        <v/>
      </c>
      <c r="L418">
        <f>IF($M418="","",INDEX(상세표[기관 출처],$M418)&amp;"")</f>
        <v/>
      </c>
      <c r="M418" s="4">
        <f>IFERROR(MATCH(413,상세표[경계순번],0),"")</f>
        <v/>
      </c>
    </row>
    <row r="419">
      <c r="A419">
        <f>IF($M419="","",INDEX(상세표[사번],$M419)&amp;"")</f>
        <v/>
      </c>
      <c r="B419">
        <f>IF($M419="","",INDEX(상세표[성명],$M419)&amp;"")</f>
        <v/>
      </c>
      <c r="C419">
        <f>IF($M419="","",IF(INDEX(상세표[종료월],$M419)=대상월키,"전월→이번 달","이번 달→익월"))</f>
        <v/>
      </c>
      <c r="D419">
        <f>IF($M419="","",IF(ISNUMBER(INDEX(상세표[시작],$M419)),TEXT(INDEX(상세표[시작],$M419),"yyyy-mm-dd hh:mm"),INDEX(상세표[시작],$M419)&amp;""))</f>
        <v/>
      </c>
      <c r="E419">
        <f>IF($M419="","",IF(ISNUMBER(INDEX(상세표[종료],$M419)),TEXT(INDEX(상세표[종료],$M419),"yyyy-mm-dd hh:mm"),INDEX(상세표[종료],$M419)&amp;""))</f>
        <v/>
      </c>
      <c r="F419" s="20">
        <f>IF($M419="","",INDEX(상세표[기록 시간외],$M419))</f>
        <v/>
      </c>
      <c r="G419">
        <f>IF($M419="","",INDEX(상세표[시작월 기관],$M419)&amp;"")</f>
        <v/>
      </c>
      <c r="H419">
        <f>IF($M419="","",INDEX(상세표[종료월 기관],$M419)&amp;"")</f>
        <v/>
      </c>
      <c r="I419">
        <f>IF($M419="","",INDEX(상세표[월경계 판정],$M419)&amp;"")</f>
        <v/>
      </c>
      <c r="J419">
        <f>IF($M419="","",INDEX(상세표[반영월],$M419)&amp;"")</f>
        <v/>
      </c>
      <c r="K419">
        <f>IF($M419="","",INDEX(상세표[반영 기관],$M419)&amp;"")</f>
        <v/>
      </c>
      <c r="L419">
        <f>IF($M419="","",INDEX(상세표[기관 출처],$M419)&amp;"")</f>
        <v/>
      </c>
      <c r="M419" s="4">
        <f>IFERROR(MATCH(414,상세표[경계순번],0),"")</f>
        <v/>
      </c>
    </row>
    <row r="420">
      <c r="A420">
        <f>IF($M420="","",INDEX(상세표[사번],$M420)&amp;"")</f>
        <v/>
      </c>
      <c r="B420">
        <f>IF($M420="","",INDEX(상세표[성명],$M420)&amp;"")</f>
        <v/>
      </c>
      <c r="C420">
        <f>IF($M420="","",IF(INDEX(상세표[종료월],$M420)=대상월키,"전월→이번 달","이번 달→익월"))</f>
        <v/>
      </c>
      <c r="D420">
        <f>IF($M420="","",IF(ISNUMBER(INDEX(상세표[시작],$M420)),TEXT(INDEX(상세표[시작],$M420),"yyyy-mm-dd hh:mm"),INDEX(상세표[시작],$M420)&amp;""))</f>
        <v/>
      </c>
      <c r="E420">
        <f>IF($M420="","",IF(ISNUMBER(INDEX(상세표[종료],$M420)),TEXT(INDEX(상세표[종료],$M420),"yyyy-mm-dd hh:mm"),INDEX(상세표[종료],$M420)&amp;""))</f>
        <v/>
      </c>
      <c r="F420" s="20">
        <f>IF($M420="","",INDEX(상세표[기록 시간외],$M420))</f>
        <v/>
      </c>
      <c r="G420">
        <f>IF($M420="","",INDEX(상세표[시작월 기관],$M420)&amp;"")</f>
        <v/>
      </c>
      <c r="H420">
        <f>IF($M420="","",INDEX(상세표[종료월 기관],$M420)&amp;"")</f>
        <v/>
      </c>
      <c r="I420">
        <f>IF($M420="","",INDEX(상세표[월경계 판정],$M420)&amp;"")</f>
        <v/>
      </c>
      <c r="J420">
        <f>IF($M420="","",INDEX(상세표[반영월],$M420)&amp;"")</f>
        <v/>
      </c>
      <c r="K420">
        <f>IF($M420="","",INDEX(상세표[반영 기관],$M420)&amp;"")</f>
        <v/>
      </c>
      <c r="L420">
        <f>IF($M420="","",INDEX(상세표[기관 출처],$M420)&amp;"")</f>
        <v/>
      </c>
      <c r="M420" s="4">
        <f>IFERROR(MATCH(415,상세표[경계순번],0),"")</f>
        <v/>
      </c>
    </row>
    <row r="421">
      <c r="A421">
        <f>IF($M421="","",INDEX(상세표[사번],$M421)&amp;"")</f>
        <v/>
      </c>
      <c r="B421">
        <f>IF($M421="","",INDEX(상세표[성명],$M421)&amp;"")</f>
        <v/>
      </c>
      <c r="C421">
        <f>IF($M421="","",IF(INDEX(상세표[종료월],$M421)=대상월키,"전월→이번 달","이번 달→익월"))</f>
        <v/>
      </c>
      <c r="D421">
        <f>IF($M421="","",IF(ISNUMBER(INDEX(상세표[시작],$M421)),TEXT(INDEX(상세표[시작],$M421),"yyyy-mm-dd hh:mm"),INDEX(상세표[시작],$M421)&amp;""))</f>
        <v/>
      </c>
      <c r="E421">
        <f>IF($M421="","",IF(ISNUMBER(INDEX(상세표[종료],$M421)),TEXT(INDEX(상세표[종료],$M421),"yyyy-mm-dd hh:mm"),INDEX(상세표[종료],$M421)&amp;""))</f>
        <v/>
      </c>
      <c r="F421" s="20">
        <f>IF($M421="","",INDEX(상세표[기록 시간외],$M421))</f>
        <v/>
      </c>
      <c r="G421">
        <f>IF($M421="","",INDEX(상세표[시작월 기관],$M421)&amp;"")</f>
        <v/>
      </c>
      <c r="H421">
        <f>IF($M421="","",INDEX(상세표[종료월 기관],$M421)&amp;"")</f>
        <v/>
      </c>
      <c r="I421">
        <f>IF($M421="","",INDEX(상세표[월경계 판정],$M421)&amp;"")</f>
        <v/>
      </c>
      <c r="J421">
        <f>IF($M421="","",INDEX(상세표[반영월],$M421)&amp;"")</f>
        <v/>
      </c>
      <c r="K421">
        <f>IF($M421="","",INDEX(상세표[반영 기관],$M421)&amp;"")</f>
        <v/>
      </c>
      <c r="L421">
        <f>IF($M421="","",INDEX(상세표[기관 출처],$M421)&amp;"")</f>
        <v/>
      </c>
      <c r="M421" s="4">
        <f>IFERROR(MATCH(416,상세표[경계순번],0),"")</f>
        <v/>
      </c>
    </row>
    <row r="422">
      <c r="A422">
        <f>IF($M422="","",INDEX(상세표[사번],$M422)&amp;"")</f>
        <v/>
      </c>
      <c r="B422">
        <f>IF($M422="","",INDEX(상세표[성명],$M422)&amp;"")</f>
        <v/>
      </c>
      <c r="C422">
        <f>IF($M422="","",IF(INDEX(상세표[종료월],$M422)=대상월키,"전월→이번 달","이번 달→익월"))</f>
        <v/>
      </c>
      <c r="D422">
        <f>IF($M422="","",IF(ISNUMBER(INDEX(상세표[시작],$M422)),TEXT(INDEX(상세표[시작],$M422),"yyyy-mm-dd hh:mm"),INDEX(상세표[시작],$M422)&amp;""))</f>
        <v/>
      </c>
      <c r="E422">
        <f>IF($M422="","",IF(ISNUMBER(INDEX(상세표[종료],$M422)),TEXT(INDEX(상세표[종료],$M422),"yyyy-mm-dd hh:mm"),INDEX(상세표[종료],$M422)&amp;""))</f>
        <v/>
      </c>
      <c r="F422" s="20">
        <f>IF($M422="","",INDEX(상세표[기록 시간외],$M422))</f>
        <v/>
      </c>
      <c r="G422">
        <f>IF($M422="","",INDEX(상세표[시작월 기관],$M422)&amp;"")</f>
        <v/>
      </c>
      <c r="H422">
        <f>IF($M422="","",INDEX(상세표[종료월 기관],$M422)&amp;"")</f>
        <v/>
      </c>
      <c r="I422">
        <f>IF($M422="","",INDEX(상세표[월경계 판정],$M422)&amp;"")</f>
        <v/>
      </c>
      <c r="J422">
        <f>IF($M422="","",INDEX(상세표[반영월],$M422)&amp;"")</f>
        <v/>
      </c>
      <c r="K422">
        <f>IF($M422="","",INDEX(상세표[반영 기관],$M422)&amp;"")</f>
        <v/>
      </c>
      <c r="L422">
        <f>IF($M422="","",INDEX(상세표[기관 출처],$M422)&amp;"")</f>
        <v/>
      </c>
      <c r="M422" s="4">
        <f>IFERROR(MATCH(417,상세표[경계순번],0),"")</f>
        <v/>
      </c>
    </row>
    <row r="423">
      <c r="A423">
        <f>IF($M423="","",INDEX(상세표[사번],$M423)&amp;"")</f>
        <v/>
      </c>
      <c r="B423">
        <f>IF($M423="","",INDEX(상세표[성명],$M423)&amp;"")</f>
        <v/>
      </c>
      <c r="C423">
        <f>IF($M423="","",IF(INDEX(상세표[종료월],$M423)=대상월키,"전월→이번 달","이번 달→익월"))</f>
        <v/>
      </c>
      <c r="D423">
        <f>IF($M423="","",IF(ISNUMBER(INDEX(상세표[시작],$M423)),TEXT(INDEX(상세표[시작],$M423),"yyyy-mm-dd hh:mm"),INDEX(상세표[시작],$M423)&amp;""))</f>
        <v/>
      </c>
      <c r="E423">
        <f>IF($M423="","",IF(ISNUMBER(INDEX(상세표[종료],$M423)),TEXT(INDEX(상세표[종료],$M423),"yyyy-mm-dd hh:mm"),INDEX(상세표[종료],$M423)&amp;""))</f>
        <v/>
      </c>
      <c r="F423" s="20">
        <f>IF($M423="","",INDEX(상세표[기록 시간외],$M423))</f>
        <v/>
      </c>
      <c r="G423">
        <f>IF($M423="","",INDEX(상세표[시작월 기관],$M423)&amp;"")</f>
        <v/>
      </c>
      <c r="H423">
        <f>IF($M423="","",INDEX(상세표[종료월 기관],$M423)&amp;"")</f>
        <v/>
      </c>
      <c r="I423">
        <f>IF($M423="","",INDEX(상세표[월경계 판정],$M423)&amp;"")</f>
        <v/>
      </c>
      <c r="J423">
        <f>IF($M423="","",INDEX(상세표[반영월],$M423)&amp;"")</f>
        <v/>
      </c>
      <c r="K423">
        <f>IF($M423="","",INDEX(상세표[반영 기관],$M423)&amp;"")</f>
        <v/>
      </c>
      <c r="L423">
        <f>IF($M423="","",INDEX(상세표[기관 출처],$M423)&amp;"")</f>
        <v/>
      </c>
      <c r="M423" s="4">
        <f>IFERROR(MATCH(418,상세표[경계순번],0),"")</f>
        <v/>
      </c>
    </row>
    <row r="424">
      <c r="A424">
        <f>IF($M424="","",INDEX(상세표[사번],$M424)&amp;"")</f>
        <v/>
      </c>
      <c r="B424">
        <f>IF($M424="","",INDEX(상세표[성명],$M424)&amp;"")</f>
        <v/>
      </c>
      <c r="C424">
        <f>IF($M424="","",IF(INDEX(상세표[종료월],$M424)=대상월키,"전월→이번 달","이번 달→익월"))</f>
        <v/>
      </c>
      <c r="D424">
        <f>IF($M424="","",IF(ISNUMBER(INDEX(상세표[시작],$M424)),TEXT(INDEX(상세표[시작],$M424),"yyyy-mm-dd hh:mm"),INDEX(상세표[시작],$M424)&amp;""))</f>
        <v/>
      </c>
      <c r="E424">
        <f>IF($M424="","",IF(ISNUMBER(INDEX(상세표[종료],$M424)),TEXT(INDEX(상세표[종료],$M424),"yyyy-mm-dd hh:mm"),INDEX(상세표[종료],$M424)&amp;""))</f>
        <v/>
      </c>
      <c r="F424" s="20">
        <f>IF($M424="","",INDEX(상세표[기록 시간외],$M424))</f>
        <v/>
      </c>
      <c r="G424">
        <f>IF($M424="","",INDEX(상세표[시작월 기관],$M424)&amp;"")</f>
        <v/>
      </c>
      <c r="H424">
        <f>IF($M424="","",INDEX(상세표[종료월 기관],$M424)&amp;"")</f>
        <v/>
      </c>
      <c r="I424">
        <f>IF($M424="","",INDEX(상세표[월경계 판정],$M424)&amp;"")</f>
        <v/>
      </c>
      <c r="J424">
        <f>IF($M424="","",INDEX(상세표[반영월],$M424)&amp;"")</f>
        <v/>
      </c>
      <c r="K424">
        <f>IF($M424="","",INDEX(상세표[반영 기관],$M424)&amp;"")</f>
        <v/>
      </c>
      <c r="L424">
        <f>IF($M424="","",INDEX(상세표[기관 출처],$M424)&amp;"")</f>
        <v/>
      </c>
      <c r="M424" s="4">
        <f>IFERROR(MATCH(419,상세표[경계순번],0),"")</f>
        <v/>
      </c>
    </row>
    <row r="425">
      <c r="A425">
        <f>IF($M425="","",INDEX(상세표[사번],$M425)&amp;"")</f>
        <v/>
      </c>
      <c r="B425">
        <f>IF($M425="","",INDEX(상세표[성명],$M425)&amp;"")</f>
        <v/>
      </c>
      <c r="C425">
        <f>IF($M425="","",IF(INDEX(상세표[종료월],$M425)=대상월키,"전월→이번 달","이번 달→익월"))</f>
        <v/>
      </c>
      <c r="D425">
        <f>IF($M425="","",IF(ISNUMBER(INDEX(상세표[시작],$M425)),TEXT(INDEX(상세표[시작],$M425),"yyyy-mm-dd hh:mm"),INDEX(상세표[시작],$M425)&amp;""))</f>
        <v/>
      </c>
      <c r="E425">
        <f>IF($M425="","",IF(ISNUMBER(INDEX(상세표[종료],$M425)),TEXT(INDEX(상세표[종료],$M425),"yyyy-mm-dd hh:mm"),INDEX(상세표[종료],$M425)&amp;""))</f>
        <v/>
      </c>
      <c r="F425" s="20">
        <f>IF($M425="","",INDEX(상세표[기록 시간외],$M425))</f>
        <v/>
      </c>
      <c r="G425">
        <f>IF($M425="","",INDEX(상세표[시작월 기관],$M425)&amp;"")</f>
        <v/>
      </c>
      <c r="H425">
        <f>IF($M425="","",INDEX(상세표[종료월 기관],$M425)&amp;"")</f>
        <v/>
      </c>
      <c r="I425">
        <f>IF($M425="","",INDEX(상세표[월경계 판정],$M425)&amp;"")</f>
        <v/>
      </c>
      <c r="J425">
        <f>IF($M425="","",INDEX(상세표[반영월],$M425)&amp;"")</f>
        <v/>
      </c>
      <c r="K425">
        <f>IF($M425="","",INDEX(상세표[반영 기관],$M425)&amp;"")</f>
        <v/>
      </c>
      <c r="L425">
        <f>IF($M425="","",INDEX(상세표[기관 출처],$M425)&amp;"")</f>
        <v/>
      </c>
      <c r="M425" s="4">
        <f>IFERROR(MATCH(420,상세표[경계순번],0),"")</f>
        <v/>
      </c>
    </row>
    <row r="426">
      <c r="A426">
        <f>IF($M426="","",INDEX(상세표[사번],$M426)&amp;"")</f>
        <v/>
      </c>
      <c r="B426">
        <f>IF($M426="","",INDEX(상세표[성명],$M426)&amp;"")</f>
        <v/>
      </c>
      <c r="C426">
        <f>IF($M426="","",IF(INDEX(상세표[종료월],$M426)=대상월키,"전월→이번 달","이번 달→익월"))</f>
        <v/>
      </c>
      <c r="D426">
        <f>IF($M426="","",IF(ISNUMBER(INDEX(상세표[시작],$M426)),TEXT(INDEX(상세표[시작],$M426),"yyyy-mm-dd hh:mm"),INDEX(상세표[시작],$M426)&amp;""))</f>
        <v/>
      </c>
      <c r="E426">
        <f>IF($M426="","",IF(ISNUMBER(INDEX(상세표[종료],$M426)),TEXT(INDEX(상세표[종료],$M426),"yyyy-mm-dd hh:mm"),INDEX(상세표[종료],$M426)&amp;""))</f>
        <v/>
      </c>
      <c r="F426" s="20">
        <f>IF($M426="","",INDEX(상세표[기록 시간외],$M426))</f>
        <v/>
      </c>
      <c r="G426">
        <f>IF($M426="","",INDEX(상세표[시작월 기관],$M426)&amp;"")</f>
        <v/>
      </c>
      <c r="H426">
        <f>IF($M426="","",INDEX(상세표[종료월 기관],$M426)&amp;"")</f>
        <v/>
      </c>
      <c r="I426">
        <f>IF($M426="","",INDEX(상세표[월경계 판정],$M426)&amp;"")</f>
        <v/>
      </c>
      <c r="J426">
        <f>IF($M426="","",INDEX(상세표[반영월],$M426)&amp;"")</f>
        <v/>
      </c>
      <c r="K426">
        <f>IF($M426="","",INDEX(상세표[반영 기관],$M426)&amp;"")</f>
        <v/>
      </c>
      <c r="L426">
        <f>IF($M426="","",INDEX(상세표[기관 출처],$M426)&amp;"")</f>
        <v/>
      </c>
      <c r="M426" s="4">
        <f>IFERROR(MATCH(421,상세표[경계순번],0),"")</f>
        <v/>
      </c>
    </row>
    <row r="427">
      <c r="A427">
        <f>IF($M427="","",INDEX(상세표[사번],$M427)&amp;"")</f>
        <v/>
      </c>
      <c r="B427">
        <f>IF($M427="","",INDEX(상세표[성명],$M427)&amp;"")</f>
        <v/>
      </c>
      <c r="C427">
        <f>IF($M427="","",IF(INDEX(상세표[종료월],$M427)=대상월키,"전월→이번 달","이번 달→익월"))</f>
        <v/>
      </c>
      <c r="D427">
        <f>IF($M427="","",IF(ISNUMBER(INDEX(상세표[시작],$M427)),TEXT(INDEX(상세표[시작],$M427),"yyyy-mm-dd hh:mm"),INDEX(상세표[시작],$M427)&amp;""))</f>
        <v/>
      </c>
      <c r="E427">
        <f>IF($M427="","",IF(ISNUMBER(INDEX(상세표[종료],$M427)),TEXT(INDEX(상세표[종료],$M427),"yyyy-mm-dd hh:mm"),INDEX(상세표[종료],$M427)&amp;""))</f>
        <v/>
      </c>
      <c r="F427" s="20">
        <f>IF($M427="","",INDEX(상세표[기록 시간외],$M427))</f>
        <v/>
      </c>
      <c r="G427">
        <f>IF($M427="","",INDEX(상세표[시작월 기관],$M427)&amp;"")</f>
        <v/>
      </c>
      <c r="H427">
        <f>IF($M427="","",INDEX(상세표[종료월 기관],$M427)&amp;"")</f>
        <v/>
      </c>
      <c r="I427">
        <f>IF($M427="","",INDEX(상세표[월경계 판정],$M427)&amp;"")</f>
        <v/>
      </c>
      <c r="J427">
        <f>IF($M427="","",INDEX(상세표[반영월],$M427)&amp;"")</f>
        <v/>
      </c>
      <c r="K427">
        <f>IF($M427="","",INDEX(상세표[반영 기관],$M427)&amp;"")</f>
        <v/>
      </c>
      <c r="L427">
        <f>IF($M427="","",INDEX(상세표[기관 출처],$M427)&amp;"")</f>
        <v/>
      </c>
      <c r="M427" s="4">
        <f>IFERROR(MATCH(422,상세표[경계순번],0),"")</f>
        <v/>
      </c>
    </row>
    <row r="428">
      <c r="A428">
        <f>IF($M428="","",INDEX(상세표[사번],$M428)&amp;"")</f>
        <v/>
      </c>
      <c r="B428">
        <f>IF($M428="","",INDEX(상세표[성명],$M428)&amp;"")</f>
        <v/>
      </c>
      <c r="C428">
        <f>IF($M428="","",IF(INDEX(상세표[종료월],$M428)=대상월키,"전월→이번 달","이번 달→익월"))</f>
        <v/>
      </c>
      <c r="D428">
        <f>IF($M428="","",IF(ISNUMBER(INDEX(상세표[시작],$M428)),TEXT(INDEX(상세표[시작],$M428),"yyyy-mm-dd hh:mm"),INDEX(상세표[시작],$M428)&amp;""))</f>
        <v/>
      </c>
      <c r="E428">
        <f>IF($M428="","",IF(ISNUMBER(INDEX(상세표[종료],$M428)),TEXT(INDEX(상세표[종료],$M428),"yyyy-mm-dd hh:mm"),INDEX(상세표[종료],$M428)&amp;""))</f>
        <v/>
      </c>
      <c r="F428" s="20">
        <f>IF($M428="","",INDEX(상세표[기록 시간외],$M428))</f>
        <v/>
      </c>
      <c r="G428">
        <f>IF($M428="","",INDEX(상세표[시작월 기관],$M428)&amp;"")</f>
        <v/>
      </c>
      <c r="H428">
        <f>IF($M428="","",INDEX(상세표[종료월 기관],$M428)&amp;"")</f>
        <v/>
      </c>
      <c r="I428">
        <f>IF($M428="","",INDEX(상세표[월경계 판정],$M428)&amp;"")</f>
        <v/>
      </c>
      <c r="J428">
        <f>IF($M428="","",INDEX(상세표[반영월],$M428)&amp;"")</f>
        <v/>
      </c>
      <c r="K428">
        <f>IF($M428="","",INDEX(상세표[반영 기관],$M428)&amp;"")</f>
        <v/>
      </c>
      <c r="L428">
        <f>IF($M428="","",INDEX(상세표[기관 출처],$M428)&amp;"")</f>
        <v/>
      </c>
      <c r="M428" s="4">
        <f>IFERROR(MATCH(423,상세표[경계순번],0),"")</f>
        <v/>
      </c>
    </row>
    <row r="429">
      <c r="A429">
        <f>IF($M429="","",INDEX(상세표[사번],$M429)&amp;"")</f>
        <v/>
      </c>
      <c r="B429">
        <f>IF($M429="","",INDEX(상세표[성명],$M429)&amp;"")</f>
        <v/>
      </c>
      <c r="C429">
        <f>IF($M429="","",IF(INDEX(상세표[종료월],$M429)=대상월키,"전월→이번 달","이번 달→익월"))</f>
        <v/>
      </c>
      <c r="D429">
        <f>IF($M429="","",IF(ISNUMBER(INDEX(상세표[시작],$M429)),TEXT(INDEX(상세표[시작],$M429),"yyyy-mm-dd hh:mm"),INDEX(상세표[시작],$M429)&amp;""))</f>
        <v/>
      </c>
      <c r="E429">
        <f>IF($M429="","",IF(ISNUMBER(INDEX(상세표[종료],$M429)),TEXT(INDEX(상세표[종료],$M429),"yyyy-mm-dd hh:mm"),INDEX(상세표[종료],$M429)&amp;""))</f>
        <v/>
      </c>
      <c r="F429" s="20">
        <f>IF($M429="","",INDEX(상세표[기록 시간외],$M429))</f>
        <v/>
      </c>
      <c r="G429">
        <f>IF($M429="","",INDEX(상세표[시작월 기관],$M429)&amp;"")</f>
        <v/>
      </c>
      <c r="H429">
        <f>IF($M429="","",INDEX(상세표[종료월 기관],$M429)&amp;"")</f>
        <v/>
      </c>
      <c r="I429">
        <f>IF($M429="","",INDEX(상세표[월경계 판정],$M429)&amp;"")</f>
        <v/>
      </c>
      <c r="J429">
        <f>IF($M429="","",INDEX(상세표[반영월],$M429)&amp;"")</f>
        <v/>
      </c>
      <c r="K429">
        <f>IF($M429="","",INDEX(상세표[반영 기관],$M429)&amp;"")</f>
        <v/>
      </c>
      <c r="L429">
        <f>IF($M429="","",INDEX(상세표[기관 출처],$M429)&amp;"")</f>
        <v/>
      </c>
      <c r="M429" s="4">
        <f>IFERROR(MATCH(424,상세표[경계순번],0),"")</f>
        <v/>
      </c>
    </row>
    <row r="430">
      <c r="A430">
        <f>IF($M430="","",INDEX(상세표[사번],$M430)&amp;"")</f>
        <v/>
      </c>
      <c r="B430">
        <f>IF($M430="","",INDEX(상세표[성명],$M430)&amp;"")</f>
        <v/>
      </c>
      <c r="C430">
        <f>IF($M430="","",IF(INDEX(상세표[종료월],$M430)=대상월키,"전월→이번 달","이번 달→익월"))</f>
        <v/>
      </c>
      <c r="D430">
        <f>IF($M430="","",IF(ISNUMBER(INDEX(상세표[시작],$M430)),TEXT(INDEX(상세표[시작],$M430),"yyyy-mm-dd hh:mm"),INDEX(상세표[시작],$M430)&amp;""))</f>
        <v/>
      </c>
      <c r="E430">
        <f>IF($M430="","",IF(ISNUMBER(INDEX(상세표[종료],$M430)),TEXT(INDEX(상세표[종료],$M430),"yyyy-mm-dd hh:mm"),INDEX(상세표[종료],$M430)&amp;""))</f>
        <v/>
      </c>
      <c r="F430" s="20">
        <f>IF($M430="","",INDEX(상세표[기록 시간외],$M430))</f>
        <v/>
      </c>
      <c r="G430">
        <f>IF($M430="","",INDEX(상세표[시작월 기관],$M430)&amp;"")</f>
        <v/>
      </c>
      <c r="H430">
        <f>IF($M430="","",INDEX(상세표[종료월 기관],$M430)&amp;"")</f>
        <v/>
      </c>
      <c r="I430">
        <f>IF($M430="","",INDEX(상세표[월경계 판정],$M430)&amp;"")</f>
        <v/>
      </c>
      <c r="J430">
        <f>IF($M430="","",INDEX(상세표[반영월],$M430)&amp;"")</f>
        <v/>
      </c>
      <c r="K430">
        <f>IF($M430="","",INDEX(상세표[반영 기관],$M430)&amp;"")</f>
        <v/>
      </c>
      <c r="L430">
        <f>IF($M430="","",INDEX(상세표[기관 출처],$M430)&amp;"")</f>
        <v/>
      </c>
      <c r="M430" s="4">
        <f>IFERROR(MATCH(425,상세표[경계순번],0),"")</f>
        <v/>
      </c>
    </row>
    <row r="431">
      <c r="A431">
        <f>IF($M431="","",INDEX(상세표[사번],$M431)&amp;"")</f>
        <v/>
      </c>
      <c r="B431">
        <f>IF($M431="","",INDEX(상세표[성명],$M431)&amp;"")</f>
        <v/>
      </c>
      <c r="C431">
        <f>IF($M431="","",IF(INDEX(상세표[종료월],$M431)=대상월키,"전월→이번 달","이번 달→익월"))</f>
        <v/>
      </c>
      <c r="D431">
        <f>IF($M431="","",IF(ISNUMBER(INDEX(상세표[시작],$M431)),TEXT(INDEX(상세표[시작],$M431),"yyyy-mm-dd hh:mm"),INDEX(상세표[시작],$M431)&amp;""))</f>
        <v/>
      </c>
      <c r="E431">
        <f>IF($M431="","",IF(ISNUMBER(INDEX(상세표[종료],$M431)),TEXT(INDEX(상세표[종료],$M431),"yyyy-mm-dd hh:mm"),INDEX(상세표[종료],$M431)&amp;""))</f>
        <v/>
      </c>
      <c r="F431" s="20">
        <f>IF($M431="","",INDEX(상세표[기록 시간외],$M431))</f>
        <v/>
      </c>
      <c r="G431">
        <f>IF($M431="","",INDEX(상세표[시작월 기관],$M431)&amp;"")</f>
        <v/>
      </c>
      <c r="H431">
        <f>IF($M431="","",INDEX(상세표[종료월 기관],$M431)&amp;"")</f>
        <v/>
      </c>
      <c r="I431">
        <f>IF($M431="","",INDEX(상세표[월경계 판정],$M431)&amp;"")</f>
        <v/>
      </c>
      <c r="J431">
        <f>IF($M431="","",INDEX(상세표[반영월],$M431)&amp;"")</f>
        <v/>
      </c>
      <c r="K431">
        <f>IF($M431="","",INDEX(상세표[반영 기관],$M431)&amp;"")</f>
        <v/>
      </c>
      <c r="L431">
        <f>IF($M431="","",INDEX(상세표[기관 출처],$M431)&amp;"")</f>
        <v/>
      </c>
      <c r="M431" s="4">
        <f>IFERROR(MATCH(426,상세표[경계순번],0),"")</f>
        <v/>
      </c>
    </row>
    <row r="432">
      <c r="A432">
        <f>IF($M432="","",INDEX(상세표[사번],$M432)&amp;"")</f>
        <v/>
      </c>
      <c r="B432">
        <f>IF($M432="","",INDEX(상세표[성명],$M432)&amp;"")</f>
        <v/>
      </c>
      <c r="C432">
        <f>IF($M432="","",IF(INDEX(상세표[종료월],$M432)=대상월키,"전월→이번 달","이번 달→익월"))</f>
        <v/>
      </c>
      <c r="D432">
        <f>IF($M432="","",IF(ISNUMBER(INDEX(상세표[시작],$M432)),TEXT(INDEX(상세표[시작],$M432),"yyyy-mm-dd hh:mm"),INDEX(상세표[시작],$M432)&amp;""))</f>
        <v/>
      </c>
      <c r="E432">
        <f>IF($M432="","",IF(ISNUMBER(INDEX(상세표[종료],$M432)),TEXT(INDEX(상세표[종료],$M432),"yyyy-mm-dd hh:mm"),INDEX(상세표[종료],$M432)&amp;""))</f>
        <v/>
      </c>
      <c r="F432" s="20">
        <f>IF($M432="","",INDEX(상세표[기록 시간외],$M432))</f>
        <v/>
      </c>
      <c r="G432">
        <f>IF($M432="","",INDEX(상세표[시작월 기관],$M432)&amp;"")</f>
        <v/>
      </c>
      <c r="H432">
        <f>IF($M432="","",INDEX(상세표[종료월 기관],$M432)&amp;"")</f>
        <v/>
      </c>
      <c r="I432">
        <f>IF($M432="","",INDEX(상세표[월경계 판정],$M432)&amp;"")</f>
        <v/>
      </c>
      <c r="J432">
        <f>IF($M432="","",INDEX(상세표[반영월],$M432)&amp;"")</f>
        <v/>
      </c>
      <c r="K432">
        <f>IF($M432="","",INDEX(상세표[반영 기관],$M432)&amp;"")</f>
        <v/>
      </c>
      <c r="L432">
        <f>IF($M432="","",INDEX(상세표[기관 출처],$M432)&amp;"")</f>
        <v/>
      </c>
      <c r="M432" s="4">
        <f>IFERROR(MATCH(427,상세표[경계순번],0),"")</f>
        <v/>
      </c>
    </row>
    <row r="433">
      <c r="A433">
        <f>IF($M433="","",INDEX(상세표[사번],$M433)&amp;"")</f>
        <v/>
      </c>
      <c r="B433">
        <f>IF($M433="","",INDEX(상세표[성명],$M433)&amp;"")</f>
        <v/>
      </c>
      <c r="C433">
        <f>IF($M433="","",IF(INDEX(상세표[종료월],$M433)=대상월키,"전월→이번 달","이번 달→익월"))</f>
        <v/>
      </c>
      <c r="D433">
        <f>IF($M433="","",IF(ISNUMBER(INDEX(상세표[시작],$M433)),TEXT(INDEX(상세표[시작],$M433),"yyyy-mm-dd hh:mm"),INDEX(상세표[시작],$M433)&amp;""))</f>
        <v/>
      </c>
      <c r="E433">
        <f>IF($M433="","",IF(ISNUMBER(INDEX(상세표[종료],$M433)),TEXT(INDEX(상세표[종료],$M433),"yyyy-mm-dd hh:mm"),INDEX(상세표[종료],$M433)&amp;""))</f>
        <v/>
      </c>
      <c r="F433" s="20">
        <f>IF($M433="","",INDEX(상세표[기록 시간외],$M433))</f>
        <v/>
      </c>
      <c r="G433">
        <f>IF($M433="","",INDEX(상세표[시작월 기관],$M433)&amp;"")</f>
        <v/>
      </c>
      <c r="H433">
        <f>IF($M433="","",INDEX(상세표[종료월 기관],$M433)&amp;"")</f>
        <v/>
      </c>
      <c r="I433">
        <f>IF($M433="","",INDEX(상세표[월경계 판정],$M433)&amp;"")</f>
        <v/>
      </c>
      <c r="J433">
        <f>IF($M433="","",INDEX(상세표[반영월],$M433)&amp;"")</f>
        <v/>
      </c>
      <c r="K433">
        <f>IF($M433="","",INDEX(상세표[반영 기관],$M433)&amp;"")</f>
        <v/>
      </c>
      <c r="L433">
        <f>IF($M433="","",INDEX(상세표[기관 출처],$M433)&amp;"")</f>
        <v/>
      </c>
      <c r="M433" s="4">
        <f>IFERROR(MATCH(428,상세표[경계순번],0),"")</f>
        <v/>
      </c>
    </row>
    <row r="434">
      <c r="A434">
        <f>IF($M434="","",INDEX(상세표[사번],$M434)&amp;"")</f>
        <v/>
      </c>
      <c r="B434">
        <f>IF($M434="","",INDEX(상세표[성명],$M434)&amp;"")</f>
        <v/>
      </c>
      <c r="C434">
        <f>IF($M434="","",IF(INDEX(상세표[종료월],$M434)=대상월키,"전월→이번 달","이번 달→익월"))</f>
        <v/>
      </c>
      <c r="D434">
        <f>IF($M434="","",IF(ISNUMBER(INDEX(상세표[시작],$M434)),TEXT(INDEX(상세표[시작],$M434),"yyyy-mm-dd hh:mm"),INDEX(상세표[시작],$M434)&amp;""))</f>
        <v/>
      </c>
      <c r="E434">
        <f>IF($M434="","",IF(ISNUMBER(INDEX(상세표[종료],$M434)),TEXT(INDEX(상세표[종료],$M434),"yyyy-mm-dd hh:mm"),INDEX(상세표[종료],$M434)&amp;""))</f>
        <v/>
      </c>
      <c r="F434" s="20">
        <f>IF($M434="","",INDEX(상세표[기록 시간외],$M434))</f>
        <v/>
      </c>
      <c r="G434">
        <f>IF($M434="","",INDEX(상세표[시작월 기관],$M434)&amp;"")</f>
        <v/>
      </c>
      <c r="H434">
        <f>IF($M434="","",INDEX(상세표[종료월 기관],$M434)&amp;"")</f>
        <v/>
      </c>
      <c r="I434">
        <f>IF($M434="","",INDEX(상세표[월경계 판정],$M434)&amp;"")</f>
        <v/>
      </c>
      <c r="J434">
        <f>IF($M434="","",INDEX(상세표[반영월],$M434)&amp;"")</f>
        <v/>
      </c>
      <c r="K434">
        <f>IF($M434="","",INDEX(상세표[반영 기관],$M434)&amp;"")</f>
        <v/>
      </c>
      <c r="L434">
        <f>IF($M434="","",INDEX(상세표[기관 출처],$M434)&amp;"")</f>
        <v/>
      </c>
      <c r="M434" s="4">
        <f>IFERROR(MATCH(429,상세표[경계순번],0),"")</f>
        <v/>
      </c>
    </row>
    <row r="435">
      <c r="A435">
        <f>IF($M435="","",INDEX(상세표[사번],$M435)&amp;"")</f>
        <v/>
      </c>
      <c r="B435">
        <f>IF($M435="","",INDEX(상세표[성명],$M435)&amp;"")</f>
        <v/>
      </c>
      <c r="C435">
        <f>IF($M435="","",IF(INDEX(상세표[종료월],$M435)=대상월키,"전월→이번 달","이번 달→익월"))</f>
        <v/>
      </c>
      <c r="D435">
        <f>IF($M435="","",IF(ISNUMBER(INDEX(상세표[시작],$M435)),TEXT(INDEX(상세표[시작],$M435),"yyyy-mm-dd hh:mm"),INDEX(상세표[시작],$M435)&amp;""))</f>
        <v/>
      </c>
      <c r="E435">
        <f>IF($M435="","",IF(ISNUMBER(INDEX(상세표[종료],$M435)),TEXT(INDEX(상세표[종료],$M435),"yyyy-mm-dd hh:mm"),INDEX(상세표[종료],$M435)&amp;""))</f>
        <v/>
      </c>
      <c r="F435" s="20">
        <f>IF($M435="","",INDEX(상세표[기록 시간외],$M435))</f>
        <v/>
      </c>
      <c r="G435">
        <f>IF($M435="","",INDEX(상세표[시작월 기관],$M435)&amp;"")</f>
        <v/>
      </c>
      <c r="H435">
        <f>IF($M435="","",INDEX(상세표[종료월 기관],$M435)&amp;"")</f>
        <v/>
      </c>
      <c r="I435">
        <f>IF($M435="","",INDEX(상세표[월경계 판정],$M435)&amp;"")</f>
        <v/>
      </c>
      <c r="J435">
        <f>IF($M435="","",INDEX(상세표[반영월],$M435)&amp;"")</f>
        <v/>
      </c>
      <c r="K435">
        <f>IF($M435="","",INDEX(상세표[반영 기관],$M435)&amp;"")</f>
        <v/>
      </c>
      <c r="L435">
        <f>IF($M435="","",INDEX(상세표[기관 출처],$M435)&amp;"")</f>
        <v/>
      </c>
      <c r="M435" s="4">
        <f>IFERROR(MATCH(430,상세표[경계순번],0),"")</f>
        <v/>
      </c>
    </row>
    <row r="436">
      <c r="A436">
        <f>IF($M436="","",INDEX(상세표[사번],$M436)&amp;"")</f>
        <v/>
      </c>
      <c r="B436">
        <f>IF($M436="","",INDEX(상세표[성명],$M436)&amp;"")</f>
        <v/>
      </c>
      <c r="C436">
        <f>IF($M436="","",IF(INDEX(상세표[종료월],$M436)=대상월키,"전월→이번 달","이번 달→익월"))</f>
        <v/>
      </c>
      <c r="D436">
        <f>IF($M436="","",IF(ISNUMBER(INDEX(상세표[시작],$M436)),TEXT(INDEX(상세표[시작],$M436),"yyyy-mm-dd hh:mm"),INDEX(상세표[시작],$M436)&amp;""))</f>
        <v/>
      </c>
      <c r="E436">
        <f>IF($M436="","",IF(ISNUMBER(INDEX(상세표[종료],$M436)),TEXT(INDEX(상세표[종료],$M436),"yyyy-mm-dd hh:mm"),INDEX(상세표[종료],$M436)&amp;""))</f>
        <v/>
      </c>
      <c r="F436" s="20">
        <f>IF($M436="","",INDEX(상세표[기록 시간외],$M436))</f>
        <v/>
      </c>
      <c r="G436">
        <f>IF($M436="","",INDEX(상세표[시작월 기관],$M436)&amp;"")</f>
        <v/>
      </c>
      <c r="H436">
        <f>IF($M436="","",INDEX(상세표[종료월 기관],$M436)&amp;"")</f>
        <v/>
      </c>
      <c r="I436">
        <f>IF($M436="","",INDEX(상세표[월경계 판정],$M436)&amp;"")</f>
        <v/>
      </c>
      <c r="J436">
        <f>IF($M436="","",INDEX(상세표[반영월],$M436)&amp;"")</f>
        <v/>
      </c>
      <c r="K436">
        <f>IF($M436="","",INDEX(상세표[반영 기관],$M436)&amp;"")</f>
        <v/>
      </c>
      <c r="L436">
        <f>IF($M436="","",INDEX(상세표[기관 출처],$M436)&amp;"")</f>
        <v/>
      </c>
      <c r="M436" s="4">
        <f>IFERROR(MATCH(431,상세표[경계순번],0),"")</f>
        <v/>
      </c>
    </row>
    <row r="437">
      <c r="A437">
        <f>IF($M437="","",INDEX(상세표[사번],$M437)&amp;"")</f>
        <v/>
      </c>
      <c r="B437">
        <f>IF($M437="","",INDEX(상세표[성명],$M437)&amp;"")</f>
        <v/>
      </c>
      <c r="C437">
        <f>IF($M437="","",IF(INDEX(상세표[종료월],$M437)=대상월키,"전월→이번 달","이번 달→익월"))</f>
        <v/>
      </c>
      <c r="D437">
        <f>IF($M437="","",IF(ISNUMBER(INDEX(상세표[시작],$M437)),TEXT(INDEX(상세표[시작],$M437),"yyyy-mm-dd hh:mm"),INDEX(상세표[시작],$M437)&amp;""))</f>
        <v/>
      </c>
      <c r="E437">
        <f>IF($M437="","",IF(ISNUMBER(INDEX(상세표[종료],$M437)),TEXT(INDEX(상세표[종료],$M437),"yyyy-mm-dd hh:mm"),INDEX(상세표[종료],$M437)&amp;""))</f>
        <v/>
      </c>
      <c r="F437" s="20">
        <f>IF($M437="","",INDEX(상세표[기록 시간외],$M437))</f>
        <v/>
      </c>
      <c r="G437">
        <f>IF($M437="","",INDEX(상세표[시작월 기관],$M437)&amp;"")</f>
        <v/>
      </c>
      <c r="H437">
        <f>IF($M437="","",INDEX(상세표[종료월 기관],$M437)&amp;"")</f>
        <v/>
      </c>
      <c r="I437">
        <f>IF($M437="","",INDEX(상세표[월경계 판정],$M437)&amp;"")</f>
        <v/>
      </c>
      <c r="J437">
        <f>IF($M437="","",INDEX(상세표[반영월],$M437)&amp;"")</f>
        <v/>
      </c>
      <c r="K437">
        <f>IF($M437="","",INDEX(상세표[반영 기관],$M437)&amp;"")</f>
        <v/>
      </c>
      <c r="L437">
        <f>IF($M437="","",INDEX(상세표[기관 출처],$M437)&amp;"")</f>
        <v/>
      </c>
      <c r="M437" s="4">
        <f>IFERROR(MATCH(432,상세표[경계순번],0),"")</f>
        <v/>
      </c>
    </row>
    <row r="438">
      <c r="A438">
        <f>IF($M438="","",INDEX(상세표[사번],$M438)&amp;"")</f>
        <v/>
      </c>
      <c r="B438">
        <f>IF($M438="","",INDEX(상세표[성명],$M438)&amp;"")</f>
        <v/>
      </c>
      <c r="C438">
        <f>IF($M438="","",IF(INDEX(상세표[종료월],$M438)=대상월키,"전월→이번 달","이번 달→익월"))</f>
        <v/>
      </c>
      <c r="D438">
        <f>IF($M438="","",IF(ISNUMBER(INDEX(상세표[시작],$M438)),TEXT(INDEX(상세표[시작],$M438),"yyyy-mm-dd hh:mm"),INDEX(상세표[시작],$M438)&amp;""))</f>
        <v/>
      </c>
      <c r="E438">
        <f>IF($M438="","",IF(ISNUMBER(INDEX(상세표[종료],$M438)),TEXT(INDEX(상세표[종료],$M438),"yyyy-mm-dd hh:mm"),INDEX(상세표[종료],$M438)&amp;""))</f>
        <v/>
      </c>
      <c r="F438" s="20">
        <f>IF($M438="","",INDEX(상세표[기록 시간외],$M438))</f>
        <v/>
      </c>
      <c r="G438">
        <f>IF($M438="","",INDEX(상세표[시작월 기관],$M438)&amp;"")</f>
        <v/>
      </c>
      <c r="H438">
        <f>IF($M438="","",INDEX(상세표[종료월 기관],$M438)&amp;"")</f>
        <v/>
      </c>
      <c r="I438">
        <f>IF($M438="","",INDEX(상세표[월경계 판정],$M438)&amp;"")</f>
        <v/>
      </c>
      <c r="J438">
        <f>IF($M438="","",INDEX(상세표[반영월],$M438)&amp;"")</f>
        <v/>
      </c>
      <c r="K438">
        <f>IF($M438="","",INDEX(상세표[반영 기관],$M438)&amp;"")</f>
        <v/>
      </c>
      <c r="L438">
        <f>IF($M438="","",INDEX(상세표[기관 출처],$M438)&amp;"")</f>
        <v/>
      </c>
      <c r="M438" s="4">
        <f>IFERROR(MATCH(433,상세표[경계순번],0),"")</f>
        <v/>
      </c>
    </row>
    <row r="439">
      <c r="A439">
        <f>IF($M439="","",INDEX(상세표[사번],$M439)&amp;"")</f>
        <v/>
      </c>
      <c r="B439">
        <f>IF($M439="","",INDEX(상세표[성명],$M439)&amp;"")</f>
        <v/>
      </c>
      <c r="C439">
        <f>IF($M439="","",IF(INDEX(상세표[종료월],$M439)=대상월키,"전월→이번 달","이번 달→익월"))</f>
        <v/>
      </c>
      <c r="D439">
        <f>IF($M439="","",IF(ISNUMBER(INDEX(상세표[시작],$M439)),TEXT(INDEX(상세표[시작],$M439),"yyyy-mm-dd hh:mm"),INDEX(상세표[시작],$M439)&amp;""))</f>
        <v/>
      </c>
      <c r="E439">
        <f>IF($M439="","",IF(ISNUMBER(INDEX(상세표[종료],$M439)),TEXT(INDEX(상세표[종료],$M439),"yyyy-mm-dd hh:mm"),INDEX(상세표[종료],$M439)&amp;""))</f>
        <v/>
      </c>
      <c r="F439" s="20">
        <f>IF($M439="","",INDEX(상세표[기록 시간외],$M439))</f>
        <v/>
      </c>
      <c r="G439">
        <f>IF($M439="","",INDEX(상세표[시작월 기관],$M439)&amp;"")</f>
        <v/>
      </c>
      <c r="H439">
        <f>IF($M439="","",INDEX(상세표[종료월 기관],$M439)&amp;"")</f>
        <v/>
      </c>
      <c r="I439">
        <f>IF($M439="","",INDEX(상세표[월경계 판정],$M439)&amp;"")</f>
        <v/>
      </c>
      <c r="J439">
        <f>IF($M439="","",INDEX(상세표[반영월],$M439)&amp;"")</f>
        <v/>
      </c>
      <c r="K439">
        <f>IF($M439="","",INDEX(상세표[반영 기관],$M439)&amp;"")</f>
        <v/>
      </c>
      <c r="L439">
        <f>IF($M439="","",INDEX(상세표[기관 출처],$M439)&amp;"")</f>
        <v/>
      </c>
      <c r="M439" s="4">
        <f>IFERROR(MATCH(434,상세표[경계순번],0),"")</f>
        <v/>
      </c>
    </row>
    <row r="440">
      <c r="A440">
        <f>IF($M440="","",INDEX(상세표[사번],$M440)&amp;"")</f>
        <v/>
      </c>
      <c r="B440">
        <f>IF($M440="","",INDEX(상세표[성명],$M440)&amp;"")</f>
        <v/>
      </c>
      <c r="C440">
        <f>IF($M440="","",IF(INDEX(상세표[종료월],$M440)=대상월키,"전월→이번 달","이번 달→익월"))</f>
        <v/>
      </c>
      <c r="D440">
        <f>IF($M440="","",IF(ISNUMBER(INDEX(상세표[시작],$M440)),TEXT(INDEX(상세표[시작],$M440),"yyyy-mm-dd hh:mm"),INDEX(상세표[시작],$M440)&amp;""))</f>
        <v/>
      </c>
      <c r="E440">
        <f>IF($M440="","",IF(ISNUMBER(INDEX(상세표[종료],$M440)),TEXT(INDEX(상세표[종료],$M440),"yyyy-mm-dd hh:mm"),INDEX(상세표[종료],$M440)&amp;""))</f>
        <v/>
      </c>
      <c r="F440" s="20">
        <f>IF($M440="","",INDEX(상세표[기록 시간외],$M440))</f>
        <v/>
      </c>
      <c r="G440">
        <f>IF($M440="","",INDEX(상세표[시작월 기관],$M440)&amp;"")</f>
        <v/>
      </c>
      <c r="H440">
        <f>IF($M440="","",INDEX(상세표[종료월 기관],$M440)&amp;"")</f>
        <v/>
      </c>
      <c r="I440">
        <f>IF($M440="","",INDEX(상세표[월경계 판정],$M440)&amp;"")</f>
        <v/>
      </c>
      <c r="J440">
        <f>IF($M440="","",INDEX(상세표[반영월],$M440)&amp;"")</f>
        <v/>
      </c>
      <c r="K440">
        <f>IF($M440="","",INDEX(상세표[반영 기관],$M440)&amp;"")</f>
        <v/>
      </c>
      <c r="L440">
        <f>IF($M440="","",INDEX(상세표[기관 출처],$M440)&amp;"")</f>
        <v/>
      </c>
      <c r="M440" s="4">
        <f>IFERROR(MATCH(435,상세표[경계순번],0),"")</f>
        <v/>
      </c>
    </row>
    <row r="441">
      <c r="A441">
        <f>IF($M441="","",INDEX(상세표[사번],$M441)&amp;"")</f>
        <v/>
      </c>
      <c r="B441">
        <f>IF($M441="","",INDEX(상세표[성명],$M441)&amp;"")</f>
        <v/>
      </c>
      <c r="C441">
        <f>IF($M441="","",IF(INDEX(상세표[종료월],$M441)=대상월키,"전월→이번 달","이번 달→익월"))</f>
        <v/>
      </c>
      <c r="D441">
        <f>IF($M441="","",IF(ISNUMBER(INDEX(상세표[시작],$M441)),TEXT(INDEX(상세표[시작],$M441),"yyyy-mm-dd hh:mm"),INDEX(상세표[시작],$M441)&amp;""))</f>
        <v/>
      </c>
      <c r="E441">
        <f>IF($M441="","",IF(ISNUMBER(INDEX(상세표[종료],$M441)),TEXT(INDEX(상세표[종료],$M441),"yyyy-mm-dd hh:mm"),INDEX(상세표[종료],$M441)&amp;""))</f>
        <v/>
      </c>
      <c r="F441" s="20">
        <f>IF($M441="","",INDEX(상세표[기록 시간외],$M441))</f>
        <v/>
      </c>
      <c r="G441">
        <f>IF($M441="","",INDEX(상세표[시작월 기관],$M441)&amp;"")</f>
        <v/>
      </c>
      <c r="H441">
        <f>IF($M441="","",INDEX(상세표[종료월 기관],$M441)&amp;"")</f>
        <v/>
      </c>
      <c r="I441">
        <f>IF($M441="","",INDEX(상세표[월경계 판정],$M441)&amp;"")</f>
        <v/>
      </c>
      <c r="J441">
        <f>IF($M441="","",INDEX(상세표[반영월],$M441)&amp;"")</f>
        <v/>
      </c>
      <c r="K441">
        <f>IF($M441="","",INDEX(상세표[반영 기관],$M441)&amp;"")</f>
        <v/>
      </c>
      <c r="L441">
        <f>IF($M441="","",INDEX(상세표[기관 출처],$M441)&amp;"")</f>
        <v/>
      </c>
      <c r="M441" s="4">
        <f>IFERROR(MATCH(436,상세표[경계순번],0),"")</f>
        <v/>
      </c>
    </row>
    <row r="442">
      <c r="A442">
        <f>IF($M442="","",INDEX(상세표[사번],$M442)&amp;"")</f>
        <v/>
      </c>
      <c r="B442">
        <f>IF($M442="","",INDEX(상세표[성명],$M442)&amp;"")</f>
        <v/>
      </c>
      <c r="C442">
        <f>IF($M442="","",IF(INDEX(상세표[종료월],$M442)=대상월키,"전월→이번 달","이번 달→익월"))</f>
        <v/>
      </c>
      <c r="D442">
        <f>IF($M442="","",IF(ISNUMBER(INDEX(상세표[시작],$M442)),TEXT(INDEX(상세표[시작],$M442),"yyyy-mm-dd hh:mm"),INDEX(상세표[시작],$M442)&amp;""))</f>
        <v/>
      </c>
      <c r="E442">
        <f>IF($M442="","",IF(ISNUMBER(INDEX(상세표[종료],$M442)),TEXT(INDEX(상세표[종료],$M442),"yyyy-mm-dd hh:mm"),INDEX(상세표[종료],$M442)&amp;""))</f>
        <v/>
      </c>
      <c r="F442" s="20">
        <f>IF($M442="","",INDEX(상세표[기록 시간외],$M442))</f>
        <v/>
      </c>
      <c r="G442">
        <f>IF($M442="","",INDEX(상세표[시작월 기관],$M442)&amp;"")</f>
        <v/>
      </c>
      <c r="H442">
        <f>IF($M442="","",INDEX(상세표[종료월 기관],$M442)&amp;"")</f>
        <v/>
      </c>
      <c r="I442">
        <f>IF($M442="","",INDEX(상세표[월경계 판정],$M442)&amp;"")</f>
        <v/>
      </c>
      <c r="J442">
        <f>IF($M442="","",INDEX(상세표[반영월],$M442)&amp;"")</f>
        <v/>
      </c>
      <c r="K442">
        <f>IF($M442="","",INDEX(상세표[반영 기관],$M442)&amp;"")</f>
        <v/>
      </c>
      <c r="L442">
        <f>IF($M442="","",INDEX(상세표[기관 출처],$M442)&amp;"")</f>
        <v/>
      </c>
      <c r="M442" s="4">
        <f>IFERROR(MATCH(437,상세표[경계순번],0),"")</f>
        <v/>
      </c>
    </row>
    <row r="443">
      <c r="A443">
        <f>IF($M443="","",INDEX(상세표[사번],$M443)&amp;"")</f>
        <v/>
      </c>
      <c r="B443">
        <f>IF($M443="","",INDEX(상세표[성명],$M443)&amp;"")</f>
        <v/>
      </c>
      <c r="C443">
        <f>IF($M443="","",IF(INDEX(상세표[종료월],$M443)=대상월키,"전월→이번 달","이번 달→익월"))</f>
        <v/>
      </c>
      <c r="D443">
        <f>IF($M443="","",IF(ISNUMBER(INDEX(상세표[시작],$M443)),TEXT(INDEX(상세표[시작],$M443),"yyyy-mm-dd hh:mm"),INDEX(상세표[시작],$M443)&amp;""))</f>
        <v/>
      </c>
      <c r="E443">
        <f>IF($M443="","",IF(ISNUMBER(INDEX(상세표[종료],$M443)),TEXT(INDEX(상세표[종료],$M443),"yyyy-mm-dd hh:mm"),INDEX(상세표[종료],$M443)&amp;""))</f>
        <v/>
      </c>
      <c r="F443" s="20">
        <f>IF($M443="","",INDEX(상세표[기록 시간외],$M443))</f>
        <v/>
      </c>
      <c r="G443">
        <f>IF($M443="","",INDEX(상세표[시작월 기관],$M443)&amp;"")</f>
        <v/>
      </c>
      <c r="H443">
        <f>IF($M443="","",INDEX(상세표[종료월 기관],$M443)&amp;"")</f>
        <v/>
      </c>
      <c r="I443">
        <f>IF($M443="","",INDEX(상세표[월경계 판정],$M443)&amp;"")</f>
        <v/>
      </c>
      <c r="J443">
        <f>IF($M443="","",INDEX(상세표[반영월],$M443)&amp;"")</f>
        <v/>
      </c>
      <c r="K443">
        <f>IF($M443="","",INDEX(상세표[반영 기관],$M443)&amp;"")</f>
        <v/>
      </c>
      <c r="L443">
        <f>IF($M443="","",INDEX(상세표[기관 출처],$M443)&amp;"")</f>
        <v/>
      </c>
      <c r="M443" s="4">
        <f>IFERROR(MATCH(438,상세표[경계순번],0),"")</f>
        <v/>
      </c>
    </row>
    <row r="444">
      <c r="A444">
        <f>IF($M444="","",INDEX(상세표[사번],$M444)&amp;"")</f>
        <v/>
      </c>
      <c r="B444">
        <f>IF($M444="","",INDEX(상세표[성명],$M444)&amp;"")</f>
        <v/>
      </c>
      <c r="C444">
        <f>IF($M444="","",IF(INDEX(상세표[종료월],$M444)=대상월키,"전월→이번 달","이번 달→익월"))</f>
        <v/>
      </c>
      <c r="D444">
        <f>IF($M444="","",IF(ISNUMBER(INDEX(상세표[시작],$M444)),TEXT(INDEX(상세표[시작],$M444),"yyyy-mm-dd hh:mm"),INDEX(상세표[시작],$M444)&amp;""))</f>
        <v/>
      </c>
      <c r="E444">
        <f>IF($M444="","",IF(ISNUMBER(INDEX(상세표[종료],$M444)),TEXT(INDEX(상세표[종료],$M444),"yyyy-mm-dd hh:mm"),INDEX(상세표[종료],$M444)&amp;""))</f>
        <v/>
      </c>
      <c r="F444" s="20">
        <f>IF($M444="","",INDEX(상세표[기록 시간외],$M444))</f>
        <v/>
      </c>
      <c r="G444">
        <f>IF($M444="","",INDEX(상세표[시작월 기관],$M444)&amp;"")</f>
        <v/>
      </c>
      <c r="H444">
        <f>IF($M444="","",INDEX(상세표[종료월 기관],$M444)&amp;"")</f>
        <v/>
      </c>
      <c r="I444">
        <f>IF($M444="","",INDEX(상세표[월경계 판정],$M444)&amp;"")</f>
        <v/>
      </c>
      <c r="J444">
        <f>IF($M444="","",INDEX(상세표[반영월],$M444)&amp;"")</f>
        <v/>
      </c>
      <c r="K444">
        <f>IF($M444="","",INDEX(상세표[반영 기관],$M444)&amp;"")</f>
        <v/>
      </c>
      <c r="L444">
        <f>IF($M444="","",INDEX(상세표[기관 출처],$M444)&amp;"")</f>
        <v/>
      </c>
      <c r="M444" s="4">
        <f>IFERROR(MATCH(439,상세표[경계순번],0),"")</f>
        <v/>
      </c>
    </row>
    <row r="445">
      <c r="A445">
        <f>IF($M445="","",INDEX(상세표[사번],$M445)&amp;"")</f>
        <v/>
      </c>
      <c r="B445">
        <f>IF($M445="","",INDEX(상세표[성명],$M445)&amp;"")</f>
        <v/>
      </c>
      <c r="C445">
        <f>IF($M445="","",IF(INDEX(상세표[종료월],$M445)=대상월키,"전월→이번 달","이번 달→익월"))</f>
        <v/>
      </c>
      <c r="D445">
        <f>IF($M445="","",IF(ISNUMBER(INDEX(상세표[시작],$M445)),TEXT(INDEX(상세표[시작],$M445),"yyyy-mm-dd hh:mm"),INDEX(상세표[시작],$M445)&amp;""))</f>
        <v/>
      </c>
      <c r="E445">
        <f>IF($M445="","",IF(ISNUMBER(INDEX(상세표[종료],$M445)),TEXT(INDEX(상세표[종료],$M445),"yyyy-mm-dd hh:mm"),INDEX(상세표[종료],$M445)&amp;""))</f>
        <v/>
      </c>
      <c r="F445" s="20">
        <f>IF($M445="","",INDEX(상세표[기록 시간외],$M445))</f>
        <v/>
      </c>
      <c r="G445">
        <f>IF($M445="","",INDEX(상세표[시작월 기관],$M445)&amp;"")</f>
        <v/>
      </c>
      <c r="H445">
        <f>IF($M445="","",INDEX(상세표[종료월 기관],$M445)&amp;"")</f>
        <v/>
      </c>
      <c r="I445">
        <f>IF($M445="","",INDEX(상세표[월경계 판정],$M445)&amp;"")</f>
        <v/>
      </c>
      <c r="J445">
        <f>IF($M445="","",INDEX(상세표[반영월],$M445)&amp;"")</f>
        <v/>
      </c>
      <c r="K445">
        <f>IF($M445="","",INDEX(상세표[반영 기관],$M445)&amp;"")</f>
        <v/>
      </c>
      <c r="L445">
        <f>IF($M445="","",INDEX(상세표[기관 출처],$M445)&amp;"")</f>
        <v/>
      </c>
      <c r="M445" s="4">
        <f>IFERROR(MATCH(440,상세표[경계순번],0),"")</f>
        <v/>
      </c>
    </row>
    <row r="446">
      <c r="A446">
        <f>IF($M446="","",INDEX(상세표[사번],$M446)&amp;"")</f>
        <v/>
      </c>
      <c r="B446">
        <f>IF($M446="","",INDEX(상세표[성명],$M446)&amp;"")</f>
        <v/>
      </c>
      <c r="C446">
        <f>IF($M446="","",IF(INDEX(상세표[종료월],$M446)=대상월키,"전월→이번 달","이번 달→익월"))</f>
        <v/>
      </c>
      <c r="D446">
        <f>IF($M446="","",IF(ISNUMBER(INDEX(상세표[시작],$M446)),TEXT(INDEX(상세표[시작],$M446),"yyyy-mm-dd hh:mm"),INDEX(상세표[시작],$M446)&amp;""))</f>
        <v/>
      </c>
      <c r="E446">
        <f>IF($M446="","",IF(ISNUMBER(INDEX(상세표[종료],$M446)),TEXT(INDEX(상세표[종료],$M446),"yyyy-mm-dd hh:mm"),INDEX(상세표[종료],$M446)&amp;""))</f>
        <v/>
      </c>
      <c r="F446" s="20">
        <f>IF($M446="","",INDEX(상세표[기록 시간외],$M446))</f>
        <v/>
      </c>
      <c r="G446">
        <f>IF($M446="","",INDEX(상세표[시작월 기관],$M446)&amp;"")</f>
        <v/>
      </c>
      <c r="H446">
        <f>IF($M446="","",INDEX(상세표[종료월 기관],$M446)&amp;"")</f>
        <v/>
      </c>
      <c r="I446">
        <f>IF($M446="","",INDEX(상세표[월경계 판정],$M446)&amp;"")</f>
        <v/>
      </c>
      <c r="J446">
        <f>IF($M446="","",INDEX(상세표[반영월],$M446)&amp;"")</f>
        <v/>
      </c>
      <c r="K446">
        <f>IF($M446="","",INDEX(상세표[반영 기관],$M446)&amp;"")</f>
        <v/>
      </c>
      <c r="L446">
        <f>IF($M446="","",INDEX(상세표[기관 출처],$M446)&amp;"")</f>
        <v/>
      </c>
      <c r="M446" s="4">
        <f>IFERROR(MATCH(441,상세표[경계순번],0),"")</f>
        <v/>
      </c>
    </row>
    <row r="447">
      <c r="A447">
        <f>IF($M447="","",INDEX(상세표[사번],$M447)&amp;"")</f>
        <v/>
      </c>
      <c r="B447">
        <f>IF($M447="","",INDEX(상세표[성명],$M447)&amp;"")</f>
        <v/>
      </c>
      <c r="C447">
        <f>IF($M447="","",IF(INDEX(상세표[종료월],$M447)=대상월키,"전월→이번 달","이번 달→익월"))</f>
        <v/>
      </c>
      <c r="D447">
        <f>IF($M447="","",IF(ISNUMBER(INDEX(상세표[시작],$M447)),TEXT(INDEX(상세표[시작],$M447),"yyyy-mm-dd hh:mm"),INDEX(상세표[시작],$M447)&amp;""))</f>
        <v/>
      </c>
      <c r="E447">
        <f>IF($M447="","",IF(ISNUMBER(INDEX(상세표[종료],$M447)),TEXT(INDEX(상세표[종료],$M447),"yyyy-mm-dd hh:mm"),INDEX(상세표[종료],$M447)&amp;""))</f>
        <v/>
      </c>
      <c r="F447" s="20">
        <f>IF($M447="","",INDEX(상세표[기록 시간외],$M447))</f>
        <v/>
      </c>
      <c r="G447">
        <f>IF($M447="","",INDEX(상세표[시작월 기관],$M447)&amp;"")</f>
        <v/>
      </c>
      <c r="H447">
        <f>IF($M447="","",INDEX(상세표[종료월 기관],$M447)&amp;"")</f>
        <v/>
      </c>
      <c r="I447">
        <f>IF($M447="","",INDEX(상세표[월경계 판정],$M447)&amp;"")</f>
        <v/>
      </c>
      <c r="J447">
        <f>IF($M447="","",INDEX(상세표[반영월],$M447)&amp;"")</f>
        <v/>
      </c>
      <c r="K447">
        <f>IF($M447="","",INDEX(상세표[반영 기관],$M447)&amp;"")</f>
        <v/>
      </c>
      <c r="L447">
        <f>IF($M447="","",INDEX(상세표[기관 출처],$M447)&amp;"")</f>
        <v/>
      </c>
      <c r="M447" s="4">
        <f>IFERROR(MATCH(442,상세표[경계순번],0),"")</f>
        <v/>
      </c>
    </row>
    <row r="448">
      <c r="A448">
        <f>IF($M448="","",INDEX(상세표[사번],$M448)&amp;"")</f>
        <v/>
      </c>
      <c r="B448">
        <f>IF($M448="","",INDEX(상세표[성명],$M448)&amp;"")</f>
        <v/>
      </c>
      <c r="C448">
        <f>IF($M448="","",IF(INDEX(상세표[종료월],$M448)=대상월키,"전월→이번 달","이번 달→익월"))</f>
        <v/>
      </c>
      <c r="D448">
        <f>IF($M448="","",IF(ISNUMBER(INDEX(상세표[시작],$M448)),TEXT(INDEX(상세표[시작],$M448),"yyyy-mm-dd hh:mm"),INDEX(상세표[시작],$M448)&amp;""))</f>
        <v/>
      </c>
      <c r="E448">
        <f>IF($M448="","",IF(ISNUMBER(INDEX(상세표[종료],$M448)),TEXT(INDEX(상세표[종료],$M448),"yyyy-mm-dd hh:mm"),INDEX(상세표[종료],$M448)&amp;""))</f>
        <v/>
      </c>
      <c r="F448" s="20">
        <f>IF($M448="","",INDEX(상세표[기록 시간외],$M448))</f>
        <v/>
      </c>
      <c r="G448">
        <f>IF($M448="","",INDEX(상세표[시작월 기관],$M448)&amp;"")</f>
        <v/>
      </c>
      <c r="H448">
        <f>IF($M448="","",INDEX(상세표[종료월 기관],$M448)&amp;"")</f>
        <v/>
      </c>
      <c r="I448">
        <f>IF($M448="","",INDEX(상세표[월경계 판정],$M448)&amp;"")</f>
        <v/>
      </c>
      <c r="J448">
        <f>IF($M448="","",INDEX(상세표[반영월],$M448)&amp;"")</f>
        <v/>
      </c>
      <c r="K448">
        <f>IF($M448="","",INDEX(상세표[반영 기관],$M448)&amp;"")</f>
        <v/>
      </c>
      <c r="L448">
        <f>IF($M448="","",INDEX(상세표[기관 출처],$M448)&amp;"")</f>
        <v/>
      </c>
      <c r="M448" s="4">
        <f>IFERROR(MATCH(443,상세표[경계순번],0),"")</f>
        <v/>
      </c>
    </row>
    <row r="449">
      <c r="A449">
        <f>IF($M449="","",INDEX(상세표[사번],$M449)&amp;"")</f>
        <v/>
      </c>
      <c r="B449">
        <f>IF($M449="","",INDEX(상세표[성명],$M449)&amp;"")</f>
        <v/>
      </c>
      <c r="C449">
        <f>IF($M449="","",IF(INDEX(상세표[종료월],$M449)=대상월키,"전월→이번 달","이번 달→익월"))</f>
        <v/>
      </c>
      <c r="D449">
        <f>IF($M449="","",IF(ISNUMBER(INDEX(상세표[시작],$M449)),TEXT(INDEX(상세표[시작],$M449),"yyyy-mm-dd hh:mm"),INDEX(상세표[시작],$M449)&amp;""))</f>
        <v/>
      </c>
      <c r="E449">
        <f>IF($M449="","",IF(ISNUMBER(INDEX(상세표[종료],$M449)),TEXT(INDEX(상세표[종료],$M449),"yyyy-mm-dd hh:mm"),INDEX(상세표[종료],$M449)&amp;""))</f>
        <v/>
      </c>
      <c r="F449" s="20">
        <f>IF($M449="","",INDEX(상세표[기록 시간외],$M449))</f>
        <v/>
      </c>
      <c r="G449">
        <f>IF($M449="","",INDEX(상세표[시작월 기관],$M449)&amp;"")</f>
        <v/>
      </c>
      <c r="H449">
        <f>IF($M449="","",INDEX(상세표[종료월 기관],$M449)&amp;"")</f>
        <v/>
      </c>
      <c r="I449">
        <f>IF($M449="","",INDEX(상세표[월경계 판정],$M449)&amp;"")</f>
        <v/>
      </c>
      <c r="J449">
        <f>IF($M449="","",INDEX(상세표[반영월],$M449)&amp;"")</f>
        <v/>
      </c>
      <c r="K449">
        <f>IF($M449="","",INDEX(상세표[반영 기관],$M449)&amp;"")</f>
        <v/>
      </c>
      <c r="L449">
        <f>IF($M449="","",INDEX(상세표[기관 출처],$M449)&amp;"")</f>
        <v/>
      </c>
      <c r="M449" s="4">
        <f>IFERROR(MATCH(444,상세표[경계순번],0),"")</f>
        <v/>
      </c>
    </row>
    <row r="450">
      <c r="A450">
        <f>IF($M450="","",INDEX(상세표[사번],$M450)&amp;"")</f>
        <v/>
      </c>
      <c r="B450">
        <f>IF($M450="","",INDEX(상세표[성명],$M450)&amp;"")</f>
        <v/>
      </c>
      <c r="C450">
        <f>IF($M450="","",IF(INDEX(상세표[종료월],$M450)=대상월키,"전월→이번 달","이번 달→익월"))</f>
        <v/>
      </c>
      <c r="D450">
        <f>IF($M450="","",IF(ISNUMBER(INDEX(상세표[시작],$M450)),TEXT(INDEX(상세표[시작],$M450),"yyyy-mm-dd hh:mm"),INDEX(상세표[시작],$M450)&amp;""))</f>
        <v/>
      </c>
      <c r="E450">
        <f>IF($M450="","",IF(ISNUMBER(INDEX(상세표[종료],$M450)),TEXT(INDEX(상세표[종료],$M450),"yyyy-mm-dd hh:mm"),INDEX(상세표[종료],$M450)&amp;""))</f>
        <v/>
      </c>
      <c r="F450" s="20">
        <f>IF($M450="","",INDEX(상세표[기록 시간외],$M450))</f>
        <v/>
      </c>
      <c r="G450">
        <f>IF($M450="","",INDEX(상세표[시작월 기관],$M450)&amp;"")</f>
        <v/>
      </c>
      <c r="H450">
        <f>IF($M450="","",INDEX(상세표[종료월 기관],$M450)&amp;"")</f>
        <v/>
      </c>
      <c r="I450">
        <f>IF($M450="","",INDEX(상세표[월경계 판정],$M450)&amp;"")</f>
        <v/>
      </c>
      <c r="J450">
        <f>IF($M450="","",INDEX(상세표[반영월],$M450)&amp;"")</f>
        <v/>
      </c>
      <c r="K450">
        <f>IF($M450="","",INDEX(상세표[반영 기관],$M450)&amp;"")</f>
        <v/>
      </c>
      <c r="L450">
        <f>IF($M450="","",INDEX(상세표[기관 출처],$M450)&amp;"")</f>
        <v/>
      </c>
      <c r="M450" s="4">
        <f>IFERROR(MATCH(445,상세표[경계순번],0),"")</f>
        <v/>
      </c>
    </row>
    <row r="451">
      <c r="A451">
        <f>IF($M451="","",INDEX(상세표[사번],$M451)&amp;"")</f>
        <v/>
      </c>
      <c r="B451">
        <f>IF($M451="","",INDEX(상세표[성명],$M451)&amp;"")</f>
        <v/>
      </c>
      <c r="C451">
        <f>IF($M451="","",IF(INDEX(상세표[종료월],$M451)=대상월키,"전월→이번 달","이번 달→익월"))</f>
        <v/>
      </c>
      <c r="D451">
        <f>IF($M451="","",IF(ISNUMBER(INDEX(상세표[시작],$M451)),TEXT(INDEX(상세표[시작],$M451),"yyyy-mm-dd hh:mm"),INDEX(상세표[시작],$M451)&amp;""))</f>
        <v/>
      </c>
      <c r="E451">
        <f>IF($M451="","",IF(ISNUMBER(INDEX(상세표[종료],$M451)),TEXT(INDEX(상세표[종료],$M451),"yyyy-mm-dd hh:mm"),INDEX(상세표[종료],$M451)&amp;""))</f>
        <v/>
      </c>
      <c r="F451" s="20">
        <f>IF($M451="","",INDEX(상세표[기록 시간외],$M451))</f>
        <v/>
      </c>
      <c r="G451">
        <f>IF($M451="","",INDEX(상세표[시작월 기관],$M451)&amp;"")</f>
        <v/>
      </c>
      <c r="H451">
        <f>IF($M451="","",INDEX(상세표[종료월 기관],$M451)&amp;"")</f>
        <v/>
      </c>
      <c r="I451">
        <f>IF($M451="","",INDEX(상세표[월경계 판정],$M451)&amp;"")</f>
        <v/>
      </c>
      <c r="J451">
        <f>IF($M451="","",INDEX(상세표[반영월],$M451)&amp;"")</f>
        <v/>
      </c>
      <c r="K451">
        <f>IF($M451="","",INDEX(상세표[반영 기관],$M451)&amp;"")</f>
        <v/>
      </c>
      <c r="L451">
        <f>IF($M451="","",INDEX(상세표[기관 출처],$M451)&amp;"")</f>
        <v/>
      </c>
      <c r="M451" s="4">
        <f>IFERROR(MATCH(446,상세표[경계순번],0),"")</f>
        <v/>
      </c>
    </row>
    <row r="452">
      <c r="A452">
        <f>IF($M452="","",INDEX(상세표[사번],$M452)&amp;"")</f>
        <v/>
      </c>
      <c r="B452">
        <f>IF($M452="","",INDEX(상세표[성명],$M452)&amp;"")</f>
        <v/>
      </c>
      <c r="C452">
        <f>IF($M452="","",IF(INDEX(상세표[종료월],$M452)=대상월키,"전월→이번 달","이번 달→익월"))</f>
        <v/>
      </c>
      <c r="D452">
        <f>IF($M452="","",IF(ISNUMBER(INDEX(상세표[시작],$M452)),TEXT(INDEX(상세표[시작],$M452),"yyyy-mm-dd hh:mm"),INDEX(상세표[시작],$M452)&amp;""))</f>
        <v/>
      </c>
      <c r="E452">
        <f>IF($M452="","",IF(ISNUMBER(INDEX(상세표[종료],$M452)),TEXT(INDEX(상세표[종료],$M452),"yyyy-mm-dd hh:mm"),INDEX(상세표[종료],$M452)&amp;""))</f>
        <v/>
      </c>
      <c r="F452" s="20">
        <f>IF($M452="","",INDEX(상세표[기록 시간외],$M452))</f>
        <v/>
      </c>
      <c r="G452">
        <f>IF($M452="","",INDEX(상세표[시작월 기관],$M452)&amp;"")</f>
        <v/>
      </c>
      <c r="H452">
        <f>IF($M452="","",INDEX(상세표[종료월 기관],$M452)&amp;"")</f>
        <v/>
      </c>
      <c r="I452">
        <f>IF($M452="","",INDEX(상세표[월경계 판정],$M452)&amp;"")</f>
        <v/>
      </c>
      <c r="J452">
        <f>IF($M452="","",INDEX(상세표[반영월],$M452)&amp;"")</f>
        <v/>
      </c>
      <c r="K452">
        <f>IF($M452="","",INDEX(상세표[반영 기관],$M452)&amp;"")</f>
        <v/>
      </c>
      <c r="L452">
        <f>IF($M452="","",INDEX(상세표[기관 출처],$M452)&amp;"")</f>
        <v/>
      </c>
      <c r="M452" s="4">
        <f>IFERROR(MATCH(447,상세표[경계순번],0),"")</f>
        <v/>
      </c>
    </row>
    <row r="453">
      <c r="A453">
        <f>IF($M453="","",INDEX(상세표[사번],$M453)&amp;"")</f>
        <v/>
      </c>
      <c r="B453">
        <f>IF($M453="","",INDEX(상세표[성명],$M453)&amp;"")</f>
        <v/>
      </c>
      <c r="C453">
        <f>IF($M453="","",IF(INDEX(상세표[종료월],$M453)=대상월키,"전월→이번 달","이번 달→익월"))</f>
        <v/>
      </c>
      <c r="D453">
        <f>IF($M453="","",IF(ISNUMBER(INDEX(상세표[시작],$M453)),TEXT(INDEX(상세표[시작],$M453),"yyyy-mm-dd hh:mm"),INDEX(상세표[시작],$M453)&amp;""))</f>
        <v/>
      </c>
      <c r="E453">
        <f>IF($M453="","",IF(ISNUMBER(INDEX(상세표[종료],$M453)),TEXT(INDEX(상세표[종료],$M453),"yyyy-mm-dd hh:mm"),INDEX(상세표[종료],$M453)&amp;""))</f>
        <v/>
      </c>
      <c r="F453" s="20">
        <f>IF($M453="","",INDEX(상세표[기록 시간외],$M453))</f>
        <v/>
      </c>
      <c r="G453">
        <f>IF($M453="","",INDEX(상세표[시작월 기관],$M453)&amp;"")</f>
        <v/>
      </c>
      <c r="H453">
        <f>IF($M453="","",INDEX(상세표[종료월 기관],$M453)&amp;"")</f>
        <v/>
      </c>
      <c r="I453">
        <f>IF($M453="","",INDEX(상세표[월경계 판정],$M453)&amp;"")</f>
        <v/>
      </c>
      <c r="J453">
        <f>IF($M453="","",INDEX(상세표[반영월],$M453)&amp;"")</f>
        <v/>
      </c>
      <c r="K453">
        <f>IF($M453="","",INDEX(상세표[반영 기관],$M453)&amp;"")</f>
        <v/>
      </c>
      <c r="L453">
        <f>IF($M453="","",INDEX(상세표[기관 출처],$M453)&amp;"")</f>
        <v/>
      </c>
      <c r="M453" s="4">
        <f>IFERROR(MATCH(448,상세표[경계순번],0),"")</f>
        <v/>
      </c>
    </row>
    <row r="454">
      <c r="A454">
        <f>IF($M454="","",INDEX(상세표[사번],$M454)&amp;"")</f>
        <v/>
      </c>
      <c r="B454">
        <f>IF($M454="","",INDEX(상세표[성명],$M454)&amp;"")</f>
        <v/>
      </c>
      <c r="C454">
        <f>IF($M454="","",IF(INDEX(상세표[종료월],$M454)=대상월키,"전월→이번 달","이번 달→익월"))</f>
        <v/>
      </c>
      <c r="D454">
        <f>IF($M454="","",IF(ISNUMBER(INDEX(상세표[시작],$M454)),TEXT(INDEX(상세표[시작],$M454),"yyyy-mm-dd hh:mm"),INDEX(상세표[시작],$M454)&amp;""))</f>
        <v/>
      </c>
      <c r="E454">
        <f>IF($M454="","",IF(ISNUMBER(INDEX(상세표[종료],$M454)),TEXT(INDEX(상세표[종료],$M454),"yyyy-mm-dd hh:mm"),INDEX(상세표[종료],$M454)&amp;""))</f>
        <v/>
      </c>
      <c r="F454" s="20">
        <f>IF($M454="","",INDEX(상세표[기록 시간외],$M454))</f>
        <v/>
      </c>
      <c r="G454">
        <f>IF($M454="","",INDEX(상세표[시작월 기관],$M454)&amp;"")</f>
        <v/>
      </c>
      <c r="H454">
        <f>IF($M454="","",INDEX(상세표[종료월 기관],$M454)&amp;"")</f>
        <v/>
      </c>
      <c r="I454">
        <f>IF($M454="","",INDEX(상세표[월경계 판정],$M454)&amp;"")</f>
        <v/>
      </c>
      <c r="J454">
        <f>IF($M454="","",INDEX(상세표[반영월],$M454)&amp;"")</f>
        <v/>
      </c>
      <c r="K454">
        <f>IF($M454="","",INDEX(상세표[반영 기관],$M454)&amp;"")</f>
        <v/>
      </c>
      <c r="L454">
        <f>IF($M454="","",INDEX(상세표[기관 출처],$M454)&amp;"")</f>
        <v/>
      </c>
      <c r="M454" s="4">
        <f>IFERROR(MATCH(449,상세표[경계순번],0),"")</f>
        <v/>
      </c>
    </row>
    <row r="455">
      <c r="A455">
        <f>IF($M455="","",INDEX(상세표[사번],$M455)&amp;"")</f>
        <v/>
      </c>
      <c r="B455">
        <f>IF($M455="","",INDEX(상세표[성명],$M455)&amp;"")</f>
        <v/>
      </c>
      <c r="C455">
        <f>IF($M455="","",IF(INDEX(상세표[종료월],$M455)=대상월키,"전월→이번 달","이번 달→익월"))</f>
        <v/>
      </c>
      <c r="D455">
        <f>IF($M455="","",IF(ISNUMBER(INDEX(상세표[시작],$M455)),TEXT(INDEX(상세표[시작],$M455),"yyyy-mm-dd hh:mm"),INDEX(상세표[시작],$M455)&amp;""))</f>
        <v/>
      </c>
      <c r="E455">
        <f>IF($M455="","",IF(ISNUMBER(INDEX(상세표[종료],$M455)),TEXT(INDEX(상세표[종료],$M455),"yyyy-mm-dd hh:mm"),INDEX(상세표[종료],$M455)&amp;""))</f>
        <v/>
      </c>
      <c r="F455" s="20">
        <f>IF($M455="","",INDEX(상세표[기록 시간외],$M455))</f>
        <v/>
      </c>
      <c r="G455">
        <f>IF($M455="","",INDEX(상세표[시작월 기관],$M455)&amp;"")</f>
        <v/>
      </c>
      <c r="H455">
        <f>IF($M455="","",INDEX(상세표[종료월 기관],$M455)&amp;"")</f>
        <v/>
      </c>
      <c r="I455">
        <f>IF($M455="","",INDEX(상세표[월경계 판정],$M455)&amp;"")</f>
        <v/>
      </c>
      <c r="J455">
        <f>IF($M455="","",INDEX(상세표[반영월],$M455)&amp;"")</f>
        <v/>
      </c>
      <c r="K455">
        <f>IF($M455="","",INDEX(상세표[반영 기관],$M455)&amp;"")</f>
        <v/>
      </c>
      <c r="L455">
        <f>IF($M455="","",INDEX(상세표[기관 출처],$M455)&amp;"")</f>
        <v/>
      </c>
      <c r="M455" s="4">
        <f>IFERROR(MATCH(450,상세표[경계순번],0),"")</f>
        <v/>
      </c>
    </row>
    <row r="456">
      <c r="A456">
        <f>IF($M456="","",INDEX(상세표[사번],$M456)&amp;"")</f>
        <v/>
      </c>
      <c r="B456">
        <f>IF($M456="","",INDEX(상세표[성명],$M456)&amp;"")</f>
        <v/>
      </c>
      <c r="C456">
        <f>IF($M456="","",IF(INDEX(상세표[종료월],$M456)=대상월키,"전월→이번 달","이번 달→익월"))</f>
        <v/>
      </c>
      <c r="D456">
        <f>IF($M456="","",IF(ISNUMBER(INDEX(상세표[시작],$M456)),TEXT(INDEX(상세표[시작],$M456),"yyyy-mm-dd hh:mm"),INDEX(상세표[시작],$M456)&amp;""))</f>
        <v/>
      </c>
      <c r="E456">
        <f>IF($M456="","",IF(ISNUMBER(INDEX(상세표[종료],$M456)),TEXT(INDEX(상세표[종료],$M456),"yyyy-mm-dd hh:mm"),INDEX(상세표[종료],$M456)&amp;""))</f>
        <v/>
      </c>
      <c r="F456" s="20">
        <f>IF($M456="","",INDEX(상세표[기록 시간외],$M456))</f>
        <v/>
      </c>
      <c r="G456">
        <f>IF($M456="","",INDEX(상세표[시작월 기관],$M456)&amp;"")</f>
        <v/>
      </c>
      <c r="H456">
        <f>IF($M456="","",INDEX(상세표[종료월 기관],$M456)&amp;"")</f>
        <v/>
      </c>
      <c r="I456">
        <f>IF($M456="","",INDEX(상세표[월경계 판정],$M456)&amp;"")</f>
        <v/>
      </c>
      <c r="J456">
        <f>IF($M456="","",INDEX(상세표[반영월],$M456)&amp;"")</f>
        <v/>
      </c>
      <c r="K456">
        <f>IF($M456="","",INDEX(상세표[반영 기관],$M456)&amp;"")</f>
        <v/>
      </c>
      <c r="L456">
        <f>IF($M456="","",INDEX(상세표[기관 출처],$M456)&amp;"")</f>
        <v/>
      </c>
      <c r="M456" s="4">
        <f>IFERROR(MATCH(451,상세표[경계순번],0),"")</f>
        <v/>
      </c>
    </row>
    <row r="457">
      <c r="A457">
        <f>IF($M457="","",INDEX(상세표[사번],$M457)&amp;"")</f>
        <v/>
      </c>
      <c r="B457">
        <f>IF($M457="","",INDEX(상세표[성명],$M457)&amp;"")</f>
        <v/>
      </c>
      <c r="C457">
        <f>IF($M457="","",IF(INDEX(상세표[종료월],$M457)=대상월키,"전월→이번 달","이번 달→익월"))</f>
        <v/>
      </c>
      <c r="D457">
        <f>IF($M457="","",IF(ISNUMBER(INDEX(상세표[시작],$M457)),TEXT(INDEX(상세표[시작],$M457),"yyyy-mm-dd hh:mm"),INDEX(상세표[시작],$M457)&amp;""))</f>
        <v/>
      </c>
      <c r="E457">
        <f>IF($M457="","",IF(ISNUMBER(INDEX(상세표[종료],$M457)),TEXT(INDEX(상세표[종료],$M457),"yyyy-mm-dd hh:mm"),INDEX(상세표[종료],$M457)&amp;""))</f>
        <v/>
      </c>
      <c r="F457" s="20">
        <f>IF($M457="","",INDEX(상세표[기록 시간외],$M457))</f>
        <v/>
      </c>
      <c r="G457">
        <f>IF($M457="","",INDEX(상세표[시작월 기관],$M457)&amp;"")</f>
        <v/>
      </c>
      <c r="H457">
        <f>IF($M457="","",INDEX(상세표[종료월 기관],$M457)&amp;"")</f>
        <v/>
      </c>
      <c r="I457">
        <f>IF($M457="","",INDEX(상세표[월경계 판정],$M457)&amp;"")</f>
        <v/>
      </c>
      <c r="J457">
        <f>IF($M457="","",INDEX(상세표[반영월],$M457)&amp;"")</f>
        <v/>
      </c>
      <c r="K457">
        <f>IF($M457="","",INDEX(상세표[반영 기관],$M457)&amp;"")</f>
        <v/>
      </c>
      <c r="L457">
        <f>IF($M457="","",INDEX(상세표[기관 출처],$M457)&amp;"")</f>
        <v/>
      </c>
      <c r="M457" s="4">
        <f>IFERROR(MATCH(452,상세표[경계순번],0),"")</f>
        <v/>
      </c>
    </row>
    <row r="458">
      <c r="A458">
        <f>IF($M458="","",INDEX(상세표[사번],$M458)&amp;"")</f>
        <v/>
      </c>
      <c r="B458">
        <f>IF($M458="","",INDEX(상세표[성명],$M458)&amp;"")</f>
        <v/>
      </c>
      <c r="C458">
        <f>IF($M458="","",IF(INDEX(상세표[종료월],$M458)=대상월키,"전월→이번 달","이번 달→익월"))</f>
        <v/>
      </c>
      <c r="D458">
        <f>IF($M458="","",IF(ISNUMBER(INDEX(상세표[시작],$M458)),TEXT(INDEX(상세표[시작],$M458),"yyyy-mm-dd hh:mm"),INDEX(상세표[시작],$M458)&amp;""))</f>
        <v/>
      </c>
      <c r="E458">
        <f>IF($M458="","",IF(ISNUMBER(INDEX(상세표[종료],$M458)),TEXT(INDEX(상세표[종료],$M458),"yyyy-mm-dd hh:mm"),INDEX(상세표[종료],$M458)&amp;""))</f>
        <v/>
      </c>
      <c r="F458" s="20">
        <f>IF($M458="","",INDEX(상세표[기록 시간외],$M458))</f>
        <v/>
      </c>
      <c r="G458">
        <f>IF($M458="","",INDEX(상세표[시작월 기관],$M458)&amp;"")</f>
        <v/>
      </c>
      <c r="H458">
        <f>IF($M458="","",INDEX(상세표[종료월 기관],$M458)&amp;"")</f>
        <v/>
      </c>
      <c r="I458">
        <f>IF($M458="","",INDEX(상세표[월경계 판정],$M458)&amp;"")</f>
        <v/>
      </c>
      <c r="J458">
        <f>IF($M458="","",INDEX(상세표[반영월],$M458)&amp;"")</f>
        <v/>
      </c>
      <c r="K458">
        <f>IF($M458="","",INDEX(상세표[반영 기관],$M458)&amp;"")</f>
        <v/>
      </c>
      <c r="L458">
        <f>IF($M458="","",INDEX(상세표[기관 출처],$M458)&amp;"")</f>
        <v/>
      </c>
      <c r="M458" s="4">
        <f>IFERROR(MATCH(453,상세표[경계순번],0),"")</f>
        <v/>
      </c>
    </row>
    <row r="459">
      <c r="A459">
        <f>IF($M459="","",INDEX(상세표[사번],$M459)&amp;"")</f>
        <v/>
      </c>
      <c r="B459">
        <f>IF($M459="","",INDEX(상세표[성명],$M459)&amp;"")</f>
        <v/>
      </c>
      <c r="C459">
        <f>IF($M459="","",IF(INDEX(상세표[종료월],$M459)=대상월키,"전월→이번 달","이번 달→익월"))</f>
        <v/>
      </c>
      <c r="D459">
        <f>IF($M459="","",IF(ISNUMBER(INDEX(상세표[시작],$M459)),TEXT(INDEX(상세표[시작],$M459),"yyyy-mm-dd hh:mm"),INDEX(상세표[시작],$M459)&amp;""))</f>
        <v/>
      </c>
      <c r="E459">
        <f>IF($M459="","",IF(ISNUMBER(INDEX(상세표[종료],$M459)),TEXT(INDEX(상세표[종료],$M459),"yyyy-mm-dd hh:mm"),INDEX(상세표[종료],$M459)&amp;""))</f>
        <v/>
      </c>
      <c r="F459" s="20">
        <f>IF($M459="","",INDEX(상세표[기록 시간외],$M459))</f>
        <v/>
      </c>
      <c r="G459">
        <f>IF($M459="","",INDEX(상세표[시작월 기관],$M459)&amp;"")</f>
        <v/>
      </c>
      <c r="H459">
        <f>IF($M459="","",INDEX(상세표[종료월 기관],$M459)&amp;"")</f>
        <v/>
      </c>
      <c r="I459">
        <f>IF($M459="","",INDEX(상세표[월경계 판정],$M459)&amp;"")</f>
        <v/>
      </c>
      <c r="J459">
        <f>IF($M459="","",INDEX(상세표[반영월],$M459)&amp;"")</f>
        <v/>
      </c>
      <c r="K459">
        <f>IF($M459="","",INDEX(상세표[반영 기관],$M459)&amp;"")</f>
        <v/>
      </c>
      <c r="L459">
        <f>IF($M459="","",INDEX(상세표[기관 출처],$M459)&amp;"")</f>
        <v/>
      </c>
      <c r="M459" s="4">
        <f>IFERROR(MATCH(454,상세표[경계순번],0),"")</f>
        <v/>
      </c>
    </row>
    <row r="460">
      <c r="A460">
        <f>IF($M460="","",INDEX(상세표[사번],$M460)&amp;"")</f>
        <v/>
      </c>
      <c r="B460">
        <f>IF($M460="","",INDEX(상세표[성명],$M460)&amp;"")</f>
        <v/>
      </c>
      <c r="C460">
        <f>IF($M460="","",IF(INDEX(상세표[종료월],$M460)=대상월키,"전월→이번 달","이번 달→익월"))</f>
        <v/>
      </c>
      <c r="D460">
        <f>IF($M460="","",IF(ISNUMBER(INDEX(상세표[시작],$M460)),TEXT(INDEX(상세표[시작],$M460),"yyyy-mm-dd hh:mm"),INDEX(상세표[시작],$M460)&amp;""))</f>
        <v/>
      </c>
      <c r="E460">
        <f>IF($M460="","",IF(ISNUMBER(INDEX(상세표[종료],$M460)),TEXT(INDEX(상세표[종료],$M460),"yyyy-mm-dd hh:mm"),INDEX(상세표[종료],$M460)&amp;""))</f>
        <v/>
      </c>
      <c r="F460" s="20">
        <f>IF($M460="","",INDEX(상세표[기록 시간외],$M460))</f>
        <v/>
      </c>
      <c r="G460">
        <f>IF($M460="","",INDEX(상세표[시작월 기관],$M460)&amp;"")</f>
        <v/>
      </c>
      <c r="H460">
        <f>IF($M460="","",INDEX(상세표[종료월 기관],$M460)&amp;"")</f>
        <v/>
      </c>
      <c r="I460">
        <f>IF($M460="","",INDEX(상세표[월경계 판정],$M460)&amp;"")</f>
        <v/>
      </c>
      <c r="J460">
        <f>IF($M460="","",INDEX(상세표[반영월],$M460)&amp;"")</f>
        <v/>
      </c>
      <c r="K460">
        <f>IF($M460="","",INDEX(상세표[반영 기관],$M460)&amp;"")</f>
        <v/>
      </c>
      <c r="L460">
        <f>IF($M460="","",INDEX(상세표[기관 출처],$M460)&amp;"")</f>
        <v/>
      </c>
      <c r="M460" s="4">
        <f>IFERROR(MATCH(455,상세표[경계순번],0),"")</f>
        <v/>
      </c>
    </row>
    <row r="461">
      <c r="A461">
        <f>IF($M461="","",INDEX(상세표[사번],$M461)&amp;"")</f>
        <v/>
      </c>
      <c r="B461">
        <f>IF($M461="","",INDEX(상세표[성명],$M461)&amp;"")</f>
        <v/>
      </c>
      <c r="C461">
        <f>IF($M461="","",IF(INDEX(상세표[종료월],$M461)=대상월키,"전월→이번 달","이번 달→익월"))</f>
        <v/>
      </c>
      <c r="D461">
        <f>IF($M461="","",IF(ISNUMBER(INDEX(상세표[시작],$M461)),TEXT(INDEX(상세표[시작],$M461),"yyyy-mm-dd hh:mm"),INDEX(상세표[시작],$M461)&amp;""))</f>
        <v/>
      </c>
      <c r="E461">
        <f>IF($M461="","",IF(ISNUMBER(INDEX(상세표[종료],$M461)),TEXT(INDEX(상세표[종료],$M461),"yyyy-mm-dd hh:mm"),INDEX(상세표[종료],$M461)&amp;""))</f>
        <v/>
      </c>
      <c r="F461" s="20">
        <f>IF($M461="","",INDEX(상세표[기록 시간외],$M461))</f>
        <v/>
      </c>
      <c r="G461">
        <f>IF($M461="","",INDEX(상세표[시작월 기관],$M461)&amp;"")</f>
        <v/>
      </c>
      <c r="H461">
        <f>IF($M461="","",INDEX(상세표[종료월 기관],$M461)&amp;"")</f>
        <v/>
      </c>
      <c r="I461">
        <f>IF($M461="","",INDEX(상세표[월경계 판정],$M461)&amp;"")</f>
        <v/>
      </c>
      <c r="J461">
        <f>IF($M461="","",INDEX(상세표[반영월],$M461)&amp;"")</f>
        <v/>
      </c>
      <c r="K461">
        <f>IF($M461="","",INDEX(상세표[반영 기관],$M461)&amp;"")</f>
        <v/>
      </c>
      <c r="L461">
        <f>IF($M461="","",INDEX(상세표[기관 출처],$M461)&amp;"")</f>
        <v/>
      </c>
      <c r="M461" s="4">
        <f>IFERROR(MATCH(456,상세표[경계순번],0),"")</f>
        <v/>
      </c>
    </row>
    <row r="462">
      <c r="A462">
        <f>IF($M462="","",INDEX(상세표[사번],$M462)&amp;"")</f>
        <v/>
      </c>
      <c r="B462">
        <f>IF($M462="","",INDEX(상세표[성명],$M462)&amp;"")</f>
        <v/>
      </c>
      <c r="C462">
        <f>IF($M462="","",IF(INDEX(상세표[종료월],$M462)=대상월키,"전월→이번 달","이번 달→익월"))</f>
        <v/>
      </c>
      <c r="D462">
        <f>IF($M462="","",IF(ISNUMBER(INDEX(상세표[시작],$M462)),TEXT(INDEX(상세표[시작],$M462),"yyyy-mm-dd hh:mm"),INDEX(상세표[시작],$M462)&amp;""))</f>
        <v/>
      </c>
      <c r="E462">
        <f>IF($M462="","",IF(ISNUMBER(INDEX(상세표[종료],$M462)),TEXT(INDEX(상세표[종료],$M462),"yyyy-mm-dd hh:mm"),INDEX(상세표[종료],$M462)&amp;""))</f>
        <v/>
      </c>
      <c r="F462" s="20">
        <f>IF($M462="","",INDEX(상세표[기록 시간외],$M462))</f>
        <v/>
      </c>
      <c r="G462">
        <f>IF($M462="","",INDEX(상세표[시작월 기관],$M462)&amp;"")</f>
        <v/>
      </c>
      <c r="H462">
        <f>IF($M462="","",INDEX(상세표[종료월 기관],$M462)&amp;"")</f>
        <v/>
      </c>
      <c r="I462">
        <f>IF($M462="","",INDEX(상세표[월경계 판정],$M462)&amp;"")</f>
        <v/>
      </c>
      <c r="J462">
        <f>IF($M462="","",INDEX(상세표[반영월],$M462)&amp;"")</f>
        <v/>
      </c>
      <c r="K462">
        <f>IF($M462="","",INDEX(상세표[반영 기관],$M462)&amp;"")</f>
        <v/>
      </c>
      <c r="L462">
        <f>IF($M462="","",INDEX(상세표[기관 출처],$M462)&amp;"")</f>
        <v/>
      </c>
      <c r="M462" s="4">
        <f>IFERROR(MATCH(457,상세표[경계순번],0),"")</f>
        <v/>
      </c>
    </row>
    <row r="463">
      <c r="A463">
        <f>IF($M463="","",INDEX(상세표[사번],$M463)&amp;"")</f>
        <v/>
      </c>
      <c r="B463">
        <f>IF($M463="","",INDEX(상세표[성명],$M463)&amp;"")</f>
        <v/>
      </c>
      <c r="C463">
        <f>IF($M463="","",IF(INDEX(상세표[종료월],$M463)=대상월키,"전월→이번 달","이번 달→익월"))</f>
        <v/>
      </c>
      <c r="D463">
        <f>IF($M463="","",IF(ISNUMBER(INDEX(상세표[시작],$M463)),TEXT(INDEX(상세표[시작],$M463),"yyyy-mm-dd hh:mm"),INDEX(상세표[시작],$M463)&amp;""))</f>
        <v/>
      </c>
      <c r="E463">
        <f>IF($M463="","",IF(ISNUMBER(INDEX(상세표[종료],$M463)),TEXT(INDEX(상세표[종료],$M463),"yyyy-mm-dd hh:mm"),INDEX(상세표[종료],$M463)&amp;""))</f>
        <v/>
      </c>
      <c r="F463" s="20">
        <f>IF($M463="","",INDEX(상세표[기록 시간외],$M463))</f>
        <v/>
      </c>
      <c r="G463">
        <f>IF($M463="","",INDEX(상세표[시작월 기관],$M463)&amp;"")</f>
        <v/>
      </c>
      <c r="H463">
        <f>IF($M463="","",INDEX(상세표[종료월 기관],$M463)&amp;"")</f>
        <v/>
      </c>
      <c r="I463">
        <f>IF($M463="","",INDEX(상세표[월경계 판정],$M463)&amp;"")</f>
        <v/>
      </c>
      <c r="J463">
        <f>IF($M463="","",INDEX(상세표[반영월],$M463)&amp;"")</f>
        <v/>
      </c>
      <c r="K463">
        <f>IF($M463="","",INDEX(상세표[반영 기관],$M463)&amp;"")</f>
        <v/>
      </c>
      <c r="L463">
        <f>IF($M463="","",INDEX(상세표[기관 출처],$M463)&amp;"")</f>
        <v/>
      </c>
      <c r="M463" s="4">
        <f>IFERROR(MATCH(458,상세표[경계순번],0),"")</f>
        <v/>
      </c>
    </row>
    <row r="464">
      <c r="A464">
        <f>IF($M464="","",INDEX(상세표[사번],$M464)&amp;"")</f>
        <v/>
      </c>
      <c r="B464">
        <f>IF($M464="","",INDEX(상세표[성명],$M464)&amp;"")</f>
        <v/>
      </c>
      <c r="C464">
        <f>IF($M464="","",IF(INDEX(상세표[종료월],$M464)=대상월키,"전월→이번 달","이번 달→익월"))</f>
        <v/>
      </c>
      <c r="D464">
        <f>IF($M464="","",IF(ISNUMBER(INDEX(상세표[시작],$M464)),TEXT(INDEX(상세표[시작],$M464),"yyyy-mm-dd hh:mm"),INDEX(상세표[시작],$M464)&amp;""))</f>
        <v/>
      </c>
      <c r="E464">
        <f>IF($M464="","",IF(ISNUMBER(INDEX(상세표[종료],$M464)),TEXT(INDEX(상세표[종료],$M464),"yyyy-mm-dd hh:mm"),INDEX(상세표[종료],$M464)&amp;""))</f>
        <v/>
      </c>
      <c r="F464" s="20">
        <f>IF($M464="","",INDEX(상세표[기록 시간외],$M464))</f>
        <v/>
      </c>
      <c r="G464">
        <f>IF($M464="","",INDEX(상세표[시작월 기관],$M464)&amp;"")</f>
        <v/>
      </c>
      <c r="H464">
        <f>IF($M464="","",INDEX(상세표[종료월 기관],$M464)&amp;"")</f>
        <v/>
      </c>
      <c r="I464">
        <f>IF($M464="","",INDEX(상세표[월경계 판정],$M464)&amp;"")</f>
        <v/>
      </c>
      <c r="J464">
        <f>IF($M464="","",INDEX(상세표[반영월],$M464)&amp;"")</f>
        <v/>
      </c>
      <c r="K464">
        <f>IF($M464="","",INDEX(상세표[반영 기관],$M464)&amp;"")</f>
        <v/>
      </c>
      <c r="L464">
        <f>IF($M464="","",INDEX(상세표[기관 출처],$M464)&amp;"")</f>
        <v/>
      </c>
      <c r="M464" s="4">
        <f>IFERROR(MATCH(459,상세표[경계순번],0),"")</f>
        <v/>
      </c>
    </row>
    <row r="465">
      <c r="A465">
        <f>IF($M465="","",INDEX(상세표[사번],$M465)&amp;"")</f>
        <v/>
      </c>
      <c r="B465">
        <f>IF($M465="","",INDEX(상세표[성명],$M465)&amp;"")</f>
        <v/>
      </c>
      <c r="C465">
        <f>IF($M465="","",IF(INDEX(상세표[종료월],$M465)=대상월키,"전월→이번 달","이번 달→익월"))</f>
        <v/>
      </c>
      <c r="D465">
        <f>IF($M465="","",IF(ISNUMBER(INDEX(상세표[시작],$M465)),TEXT(INDEX(상세표[시작],$M465),"yyyy-mm-dd hh:mm"),INDEX(상세표[시작],$M465)&amp;""))</f>
        <v/>
      </c>
      <c r="E465">
        <f>IF($M465="","",IF(ISNUMBER(INDEX(상세표[종료],$M465)),TEXT(INDEX(상세표[종료],$M465),"yyyy-mm-dd hh:mm"),INDEX(상세표[종료],$M465)&amp;""))</f>
        <v/>
      </c>
      <c r="F465" s="20">
        <f>IF($M465="","",INDEX(상세표[기록 시간외],$M465))</f>
        <v/>
      </c>
      <c r="G465">
        <f>IF($M465="","",INDEX(상세표[시작월 기관],$M465)&amp;"")</f>
        <v/>
      </c>
      <c r="H465">
        <f>IF($M465="","",INDEX(상세표[종료월 기관],$M465)&amp;"")</f>
        <v/>
      </c>
      <c r="I465">
        <f>IF($M465="","",INDEX(상세표[월경계 판정],$M465)&amp;"")</f>
        <v/>
      </c>
      <c r="J465">
        <f>IF($M465="","",INDEX(상세표[반영월],$M465)&amp;"")</f>
        <v/>
      </c>
      <c r="K465">
        <f>IF($M465="","",INDEX(상세표[반영 기관],$M465)&amp;"")</f>
        <v/>
      </c>
      <c r="L465">
        <f>IF($M465="","",INDEX(상세표[기관 출처],$M465)&amp;"")</f>
        <v/>
      </c>
      <c r="M465" s="4">
        <f>IFERROR(MATCH(460,상세표[경계순번],0),"")</f>
        <v/>
      </c>
    </row>
    <row r="466">
      <c r="A466">
        <f>IF($M466="","",INDEX(상세표[사번],$M466)&amp;"")</f>
        <v/>
      </c>
      <c r="B466">
        <f>IF($M466="","",INDEX(상세표[성명],$M466)&amp;"")</f>
        <v/>
      </c>
      <c r="C466">
        <f>IF($M466="","",IF(INDEX(상세표[종료월],$M466)=대상월키,"전월→이번 달","이번 달→익월"))</f>
        <v/>
      </c>
      <c r="D466">
        <f>IF($M466="","",IF(ISNUMBER(INDEX(상세표[시작],$M466)),TEXT(INDEX(상세표[시작],$M466),"yyyy-mm-dd hh:mm"),INDEX(상세표[시작],$M466)&amp;""))</f>
        <v/>
      </c>
      <c r="E466">
        <f>IF($M466="","",IF(ISNUMBER(INDEX(상세표[종료],$M466)),TEXT(INDEX(상세표[종료],$M466),"yyyy-mm-dd hh:mm"),INDEX(상세표[종료],$M466)&amp;""))</f>
        <v/>
      </c>
      <c r="F466" s="20">
        <f>IF($M466="","",INDEX(상세표[기록 시간외],$M466))</f>
        <v/>
      </c>
      <c r="G466">
        <f>IF($M466="","",INDEX(상세표[시작월 기관],$M466)&amp;"")</f>
        <v/>
      </c>
      <c r="H466">
        <f>IF($M466="","",INDEX(상세표[종료월 기관],$M466)&amp;"")</f>
        <v/>
      </c>
      <c r="I466">
        <f>IF($M466="","",INDEX(상세표[월경계 판정],$M466)&amp;"")</f>
        <v/>
      </c>
      <c r="J466">
        <f>IF($M466="","",INDEX(상세표[반영월],$M466)&amp;"")</f>
        <v/>
      </c>
      <c r="K466">
        <f>IF($M466="","",INDEX(상세표[반영 기관],$M466)&amp;"")</f>
        <v/>
      </c>
      <c r="L466">
        <f>IF($M466="","",INDEX(상세표[기관 출처],$M466)&amp;"")</f>
        <v/>
      </c>
      <c r="M466" s="4">
        <f>IFERROR(MATCH(461,상세표[경계순번],0),"")</f>
        <v/>
      </c>
    </row>
    <row r="467">
      <c r="A467">
        <f>IF($M467="","",INDEX(상세표[사번],$M467)&amp;"")</f>
        <v/>
      </c>
      <c r="B467">
        <f>IF($M467="","",INDEX(상세표[성명],$M467)&amp;"")</f>
        <v/>
      </c>
      <c r="C467">
        <f>IF($M467="","",IF(INDEX(상세표[종료월],$M467)=대상월키,"전월→이번 달","이번 달→익월"))</f>
        <v/>
      </c>
      <c r="D467">
        <f>IF($M467="","",IF(ISNUMBER(INDEX(상세표[시작],$M467)),TEXT(INDEX(상세표[시작],$M467),"yyyy-mm-dd hh:mm"),INDEX(상세표[시작],$M467)&amp;""))</f>
        <v/>
      </c>
      <c r="E467">
        <f>IF($M467="","",IF(ISNUMBER(INDEX(상세표[종료],$M467)),TEXT(INDEX(상세표[종료],$M467),"yyyy-mm-dd hh:mm"),INDEX(상세표[종료],$M467)&amp;""))</f>
        <v/>
      </c>
      <c r="F467" s="20">
        <f>IF($M467="","",INDEX(상세표[기록 시간외],$M467))</f>
        <v/>
      </c>
      <c r="G467">
        <f>IF($M467="","",INDEX(상세표[시작월 기관],$M467)&amp;"")</f>
        <v/>
      </c>
      <c r="H467">
        <f>IF($M467="","",INDEX(상세표[종료월 기관],$M467)&amp;"")</f>
        <v/>
      </c>
      <c r="I467">
        <f>IF($M467="","",INDEX(상세표[월경계 판정],$M467)&amp;"")</f>
        <v/>
      </c>
      <c r="J467">
        <f>IF($M467="","",INDEX(상세표[반영월],$M467)&amp;"")</f>
        <v/>
      </c>
      <c r="K467">
        <f>IF($M467="","",INDEX(상세표[반영 기관],$M467)&amp;"")</f>
        <v/>
      </c>
      <c r="L467">
        <f>IF($M467="","",INDEX(상세표[기관 출처],$M467)&amp;"")</f>
        <v/>
      </c>
      <c r="M467" s="4">
        <f>IFERROR(MATCH(462,상세표[경계순번],0),"")</f>
        <v/>
      </c>
    </row>
    <row r="468">
      <c r="A468">
        <f>IF($M468="","",INDEX(상세표[사번],$M468)&amp;"")</f>
        <v/>
      </c>
      <c r="B468">
        <f>IF($M468="","",INDEX(상세표[성명],$M468)&amp;"")</f>
        <v/>
      </c>
      <c r="C468">
        <f>IF($M468="","",IF(INDEX(상세표[종료월],$M468)=대상월키,"전월→이번 달","이번 달→익월"))</f>
        <v/>
      </c>
      <c r="D468">
        <f>IF($M468="","",IF(ISNUMBER(INDEX(상세표[시작],$M468)),TEXT(INDEX(상세표[시작],$M468),"yyyy-mm-dd hh:mm"),INDEX(상세표[시작],$M468)&amp;""))</f>
        <v/>
      </c>
      <c r="E468">
        <f>IF($M468="","",IF(ISNUMBER(INDEX(상세표[종료],$M468)),TEXT(INDEX(상세표[종료],$M468),"yyyy-mm-dd hh:mm"),INDEX(상세표[종료],$M468)&amp;""))</f>
        <v/>
      </c>
      <c r="F468" s="20">
        <f>IF($M468="","",INDEX(상세표[기록 시간외],$M468))</f>
        <v/>
      </c>
      <c r="G468">
        <f>IF($M468="","",INDEX(상세표[시작월 기관],$M468)&amp;"")</f>
        <v/>
      </c>
      <c r="H468">
        <f>IF($M468="","",INDEX(상세표[종료월 기관],$M468)&amp;"")</f>
        <v/>
      </c>
      <c r="I468">
        <f>IF($M468="","",INDEX(상세표[월경계 판정],$M468)&amp;"")</f>
        <v/>
      </c>
      <c r="J468">
        <f>IF($M468="","",INDEX(상세표[반영월],$M468)&amp;"")</f>
        <v/>
      </c>
      <c r="K468">
        <f>IF($M468="","",INDEX(상세표[반영 기관],$M468)&amp;"")</f>
        <v/>
      </c>
      <c r="L468">
        <f>IF($M468="","",INDEX(상세표[기관 출처],$M468)&amp;"")</f>
        <v/>
      </c>
      <c r="M468" s="4">
        <f>IFERROR(MATCH(463,상세표[경계순번],0),"")</f>
        <v/>
      </c>
    </row>
    <row r="469">
      <c r="A469">
        <f>IF($M469="","",INDEX(상세표[사번],$M469)&amp;"")</f>
        <v/>
      </c>
      <c r="B469">
        <f>IF($M469="","",INDEX(상세표[성명],$M469)&amp;"")</f>
        <v/>
      </c>
      <c r="C469">
        <f>IF($M469="","",IF(INDEX(상세표[종료월],$M469)=대상월키,"전월→이번 달","이번 달→익월"))</f>
        <v/>
      </c>
      <c r="D469">
        <f>IF($M469="","",IF(ISNUMBER(INDEX(상세표[시작],$M469)),TEXT(INDEX(상세표[시작],$M469),"yyyy-mm-dd hh:mm"),INDEX(상세표[시작],$M469)&amp;""))</f>
        <v/>
      </c>
      <c r="E469">
        <f>IF($M469="","",IF(ISNUMBER(INDEX(상세표[종료],$M469)),TEXT(INDEX(상세표[종료],$M469),"yyyy-mm-dd hh:mm"),INDEX(상세표[종료],$M469)&amp;""))</f>
        <v/>
      </c>
      <c r="F469" s="20">
        <f>IF($M469="","",INDEX(상세표[기록 시간외],$M469))</f>
        <v/>
      </c>
      <c r="G469">
        <f>IF($M469="","",INDEX(상세표[시작월 기관],$M469)&amp;"")</f>
        <v/>
      </c>
      <c r="H469">
        <f>IF($M469="","",INDEX(상세표[종료월 기관],$M469)&amp;"")</f>
        <v/>
      </c>
      <c r="I469">
        <f>IF($M469="","",INDEX(상세표[월경계 판정],$M469)&amp;"")</f>
        <v/>
      </c>
      <c r="J469">
        <f>IF($M469="","",INDEX(상세표[반영월],$M469)&amp;"")</f>
        <v/>
      </c>
      <c r="K469">
        <f>IF($M469="","",INDEX(상세표[반영 기관],$M469)&amp;"")</f>
        <v/>
      </c>
      <c r="L469">
        <f>IF($M469="","",INDEX(상세표[기관 출처],$M469)&amp;"")</f>
        <v/>
      </c>
      <c r="M469" s="4">
        <f>IFERROR(MATCH(464,상세표[경계순번],0),"")</f>
        <v/>
      </c>
    </row>
    <row r="470">
      <c r="A470">
        <f>IF($M470="","",INDEX(상세표[사번],$M470)&amp;"")</f>
        <v/>
      </c>
      <c r="B470">
        <f>IF($M470="","",INDEX(상세표[성명],$M470)&amp;"")</f>
        <v/>
      </c>
      <c r="C470">
        <f>IF($M470="","",IF(INDEX(상세표[종료월],$M470)=대상월키,"전월→이번 달","이번 달→익월"))</f>
        <v/>
      </c>
      <c r="D470">
        <f>IF($M470="","",IF(ISNUMBER(INDEX(상세표[시작],$M470)),TEXT(INDEX(상세표[시작],$M470),"yyyy-mm-dd hh:mm"),INDEX(상세표[시작],$M470)&amp;""))</f>
        <v/>
      </c>
      <c r="E470">
        <f>IF($M470="","",IF(ISNUMBER(INDEX(상세표[종료],$M470)),TEXT(INDEX(상세표[종료],$M470),"yyyy-mm-dd hh:mm"),INDEX(상세표[종료],$M470)&amp;""))</f>
        <v/>
      </c>
      <c r="F470" s="20">
        <f>IF($M470="","",INDEX(상세표[기록 시간외],$M470))</f>
        <v/>
      </c>
      <c r="G470">
        <f>IF($M470="","",INDEX(상세표[시작월 기관],$M470)&amp;"")</f>
        <v/>
      </c>
      <c r="H470">
        <f>IF($M470="","",INDEX(상세표[종료월 기관],$M470)&amp;"")</f>
        <v/>
      </c>
      <c r="I470">
        <f>IF($M470="","",INDEX(상세표[월경계 판정],$M470)&amp;"")</f>
        <v/>
      </c>
      <c r="J470">
        <f>IF($M470="","",INDEX(상세표[반영월],$M470)&amp;"")</f>
        <v/>
      </c>
      <c r="K470">
        <f>IF($M470="","",INDEX(상세표[반영 기관],$M470)&amp;"")</f>
        <v/>
      </c>
      <c r="L470">
        <f>IF($M470="","",INDEX(상세표[기관 출처],$M470)&amp;"")</f>
        <v/>
      </c>
      <c r="M470" s="4">
        <f>IFERROR(MATCH(465,상세표[경계순번],0),"")</f>
        <v/>
      </c>
    </row>
    <row r="471">
      <c r="A471">
        <f>IF($M471="","",INDEX(상세표[사번],$M471)&amp;"")</f>
        <v/>
      </c>
      <c r="B471">
        <f>IF($M471="","",INDEX(상세표[성명],$M471)&amp;"")</f>
        <v/>
      </c>
      <c r="C471">
        <f>IF($M471="","",IF(INDEX(상세표[종료월],$M471)=대상월키,"전월→이번 달","이번 달→익월"))</f>
        <v/>
      </c>
      <c r="D471">
        <f>IF($M471="","",IF(ISNUMBER(INDEX(상세표[시작],$M471)),TEXT(INDEX(상세표[시작],$M471),"yyyy-mm-dd hh:mm"),INDEX(상세표[시작],$M471)&amp;""))</f>
        <v/>
      </c>
      <c r="E471">
        <f>IF($M471="","",IF(ISNUMBER(INDEX(상세표[종료],$M471)),TEXT(INDEX(상세표[종료],$M471),"yyyy-mm-dd hh:mm"),INDEX(상세표[종료],$M471)&amp;""))</f>
        <v/>
      </c>
      <c r="F471" s="20">
        <f>IF($M471="","",INDEX(상세표[기록 시간외],$M471))</f>
        <v/>
      </c>
      <c r="G471">
        <f>IF($M471="","",INDEX(상세표[시작월 기관],$M471)&amp;"")</f>
        <v/>
      </c>
      <c r="H471">
        <f>IF($M471="","",INDEX(상세표[종료월 기관],$M471)&amp;"")</f>
        <v/>
      </c>
      <c r="I471">
        <f>IF($M471="","",INDEX(상세표[월경계 판정],$M471)&amp;"")</f>
        <v/>
      </c>
      <c r="J471">
        <f>IF($M471="","",INDEX(상세표[반영월],$M471)&amp;"")</f>
        <v/>
      </c>
      <c r="K471">
        <f>IF($M471="","",INDEX(상세표[반영 기관],$M471)&amp;"")</f>
        <v/>
      </c>
      <c r="L471">
        <f>IF($M471="","",INDEX(상세표[기관 출처],$M471)&amp;"")</f>
        <v/>
      </c>
      <c r="M471" s="4">
        <f>IFERROR(MATCH(466,상세표[경계순번],0),"")</f>
        <v/>
      </c>
    </row>
    <row r="472">
      <c r="A472">
        <f>IF($M472="","",INDEX(상세표[사번],$M472)&amp;"")</f>
        <v/>
      </c>
      <c r="B472">
        <f>IF($M472="","",INDEX(상세표[성명],$M472)&amp;"")</f>
        <v/>
      </c>
      <c r="C472">
        <f>IF($M472="","",IF(INDEX(상세표[종료월],$M472)=대상월키,"전월→이번 달","이번 달→익월"))</f>
        <v/>
      </c>
      <c r="D472">
        <f>IF($M472="","",IF(ISNUMBER(INDEX(상세표[시작],$M472)),TEXT(INDEX(상세표[시작],$M472),"yyyy-mm-dd hh:mm"),INDEX(상세표[시작],$M472)&amp;""))</f>
        <v/>
      </c>
      <c r="E472">
        <f>IF($M472="","",IF(ISNUMBER(INDEX(상세표[종료],$M472)),TEXT(INDEX(상세표[종료],$M472),"yyyy-mm-dd hh:mm"),INDEX(상세표[종료],$M472)&amp;""))</f>
        <v/>
      </c>
      <c r="F472" s="20">
        <f>IF($M472="","",INDEX(상세표[기록 시간외],$M472))</f>
        <v/>
      </c>
      <c r="G472">
        <f>IF($M472="","",INDEX(상세표[시작월 기관],$M472)&amp;"")</f>
        <v/>
      </c>
      <c r="H472">
        <f>IF($M472="","",INDEX(상세표[종료월 기관],$M472)&amp;"")</f>
        <v/>
      </c>
      <c r="I472">
        <f>IF($M472="","",INDEX(상세표[월경계 판정],$M472)&amp;"")</f>
        <v/>
      </c>
      <c r="J472">
        <f>IF($M472="","",INDEX(상세표[반영월],$M472)&amp;"")</f>
        <v/>
      </c>
      <c r="K472">
        <f>IF($M472="","",INDEX(상세표[반영 기관],$M472)&amp;"")</f>
        <v/>
      </c>
      <c r="L472">
        <f>IF($M472="","",INDEX(상세표[기관 출처],$M472)&amp;"")</f>
        <v/>
      </c>
      <c r="M472" s="4">
        <f>IFERROR(MATCH(467,상세표[경계순번],0),"")</f>
        <v/>
      </c>
    </row>
    <row r="473">
      <c r="A473">
        <f>IF($M473="","",INDEX(상세표[사번],$M473)&amp;"")</f>
        <v/>
      </c>
      <c r="B473">
        <f>IF($M473="","",INDEX(상세표[성명],$M473)&amp;"")</f>
        <v/>
      </c>
      <c r="C473">
        <f>IF($M473="","",IF(INDEX(상세표[종료월],$M473)=대상월키,"전월→이번 달","이번 달→익월"))</f>
        <v/>
      </c>
      <c r="D473">
        <f>IF($M473="","",IF(ISNUMBER(INDEX(상세표[시작],$M473)),TEXT(INDEX(상세표[시작],$M473),"yyyy-mm-dd hh:mm"),INDEX(상세표[시작],$M473)&amp;""))</f>
        <v/>
      </c>
      <c r="E473">
        <f>IF($M473="","",IF(ISNUMBER(INDEX(상세표[종료],$M473)),TEXT(INDEX(상세표[종료],$M473),"yyyy-mm-dd hh:mm"),INDEX(상세표[종료],$M473)&amp;""))</f>
        <v/>
      </c>
      <c r="F473" s="20">
        <f>IF($M473="","",INDEX(상세표[기록 시간외],$M473))</f>
        <v/>
      </c>
      <c r="G473">
        <f>IF($M473="","",INDEX(상세표[시작월 기관],$M473)&amp;"")</f>
        <v/>
      </c>
      <c r="H473">
        <f>IF($M473="","",INDEX(상세표[종료월 기관],$M473)&amp;"")</f>
        <v/>
      </c>
      <c r="I473">
        <f>IF($M473="","",INDEX(상세표[월경계 판정],$M473)&amp;"")</f>
        <v/>
      </c>
      <c r="J473">
        <f>IF($M473="","",INDEX(상세표[반영월],$M473)&amp;"")</f>
        <v/>
      </c>
      <c r="K473">
        <f>IF($M473="","",INDEX(상세표[반영 기관],$M473)&amp;"")</f>
        <v/>
      </c>
      <c r="L473">
        <f>IF($M473="","",INDEX(상세표[기관 출처],$M473)&amp;"")</f>
        <v/>
      </c>
      <c r="M473" s="4">
        <f>IFERROR(MATCH(468,상세표[경계순번],0),"")</f>
        <v/>
      </c>
    </row>
    <row r="474">
      <c r="A474">
        <f>IF($M474="","",INDEX(상세표[사번],$M474)&amp;"")</f>
        <v/>
      </c>
      <c r="B474">
        <f>IF($M474="","",INDEX(상세표[성명],$M474)&amp;"")</f>
        <v/>
      </c>
      <c r="C474">
        <f>IF($M474="","",IF(INDEX(상세표[종료월],$M474)=대상월키,"전월→이번 달","이번 달→익월"))</f>
        <v/>
      </c>
      <c r="D474">
        <f>IF($M474="","",IF(ISNUMBER(INDEX(상세표[시작],$M474)),TEXT(INDEX(상세표[시작],$M474),"yyyy-mm-dd hh:mm"),INDEX(상세표[시작],$M474)&amp;""))</f>
        <v/>
      </c>
      <c r="E474">
        <f>IF($M474="","",IF(ISNUMBER(INDEX(상세표[종료],$M474)),TEXT(INDEX(상세표[종료],$M474),"yyyy-mm-dd hh:mm"),INDEX(상세표[종료],$M474)&amp;""))</f>
        <v/>
      </c>
      <c r="F474" s="20">
        <f>IF($M474="","",INDEX(상세표[기록 시간외],$M474))</f>
        <v/>
      </c>
      <c r="G474">
        <f>IF($M474="","",INDEX(상세표[시작월 기관],$M474)&amp;"")</f>
        <v/>
      </c>
      <c r="H474">
        <f>IF($M474="","",INDEX(상세표[종료월 기관],$M474)&amp;"")</f>
        <v/>
      </c>
      <c r="I474">
        <f>IF($M474="","",INDEX(상세표[월경계 판정],$M474)&amp;"")</f>
        <v/>
      </c>
      <c r="J474">
        <f>IF($M474="","",INDEX(상세표[반영월],$M474)&amp;"")</f>
        <v/>
      </c>
      <c r="K474">
        <f>IF($M474="","",INDEX(상세표[반영 기관],$M474)&amp;"")</f>
        <v/>
      </c>
      <c r="L474">
        <f>IF($M474="","",INDEX(상세표[기관 출처],$M474)&amp;"")</f>
        <v/>
      </c>
      <c r="M474" s="4">
        <f>IFERROR(MATCH(469,상세표[경계순번],0),"")</f>
        <v/>
      </c>
    </row>
    <row r="475">
      <c r="A475">
        <f>IF($M475="","",INDEX(상세표[사번],$M475)&amp;"")</f>
        <v/>
      </c>
      <c r="B475">
        <f>IF($M475="","",INDEX(상세표[성명],$M475)&amp;"")</f>
        <v/>
      </c>
      <c r="C475">
        <f>IF($M475="","",IF(INDEX(상세표[종료월],$M475)=대상월키,"전월→이번 달","이번 달→익월"))</f>
        <v/>
      </c>
      <c r="D475">
        <f>IF($M475="","",IF(ISNUMBER(INDEX(상세표[시작],$M475)),TEXT(INDEX(상세표[시작],$M475),"yyyy-mm-dd hh:mm"),INDEX(상세표[시작],$M475)&amp;""))</f>
        <v/>
      </c>
      <c r="E475">
        <f>IF($M475="","",IF(ISNUMBER(INDEX(상세표[종료],$M475)),TEXT(INDEX(상세표[종료],$M475),"yyyy-mm-dd hh:mm"),INDEX(상세표[종료],$M475)&amp;""))</f>
        <v/>
      </c>
      <c r="F475" s="20">
        <f>IF($M475="","",INDEX(상세표[기록 시간외],$M475))</f>
        <v/>
      </c>
      <c r="G475">
        <f>IF($M475="","",INDEX(상세표[시작월 기관],$M475)&amp;"")</f>
        <v/>
      </c>
      <c r="H475">
        <f>IF($M475="","",INDEX(상세표[종료월 기관],$M475)&amp;"")</f>
        <v/>
      </c>
      <c r="I475">
        <f>IF($M475="","",INDEX(상세표[월경계 판정],$M475)&amp;"")</f>
        <v/>
      </c>
      <c r="J475">
        <f>IF($M475="","",INDEX(상세표[반영월],$M475)&amp;"")</f>
        <v/>
      </c>
      <c r="K475">
        <f>IF($M475="","",INDEX(상세표[반영 기관],$M475)&amp;"")</f>
        <v/>
      </c>
      <c r="L475">
        <f>IF($M475="","",INDEX(상세표[기관 출처],$M475)&amp;"")</f>
        <v/>
      </c>
      <c r="M475" s="4">
        <f>IFERROR(MATCH(470,상세표[경계순번],0),"")</f>
        <v/>
      </c>
    </row>
    <row r="476">
      <c r="A476">
        <f>IF($M476="","",INDEX(상세표[사번],$M476)&amp;"")</f>
        <v/>
      </c>
      <c r="B476">
        <f>IF($M476="","",INDEX(상세표[성명],$M476)&amp;"")</f>
        <v/>
      </c>
      <c r="C476">
        <f>IF($M476="","",IF(INDEX(상세표[종료월],$M476)=대상월키,"전월→이번 달","이번 달→익월"))</f>
        <v/>
      </c>
      <c r="D476">
        <f>IF($M476="","",IF(ISNUMBER(INDEX(상세표[시작],$M476)),TEXT(INDEX(상세표[시작],$M476),"yyyy-mm-dd hh:mm"),INDEX(상세표[시작],$M476)&amp;""))</f>
        <v/>
      </c>
      <c r="E476">
        <f>IF($M476="","",IF(ISNUMBER(INDEX(상세표[종료],$M476)),TEXT(INDEX(상세표[종료],$M476),"yyyy-mm-dd hh:mm"),INDEX(상세표[종료],$M476)&amp;""))</f>
        <v/>
      </c>
      <c r="F476" s="20">
        <f>IF($M476="","",INDEX(상세표[기록 시간외],$M476))</f>
        <v/>
      </c>
      <c r="G476">
        <f>IF($M476="","",INDEX(상세표[시작월 기관],$M476)&amp;"")</f>
        <v/>
      </c>
      <c r="H476">
        <f>IF($M476="","",INDEX(상세표[종료월 기관],$M476)&amp;"")</f>
        <v/>
      </c>
      <c r="I476">
        <f>IF($M476="","",INDEX(상세표[월경계 판정],$M476)&amp;"")</f>
        <v/>
      </c>
      <c r="J476">
        <f>IF($M476="","",INDEX(상세표[반영월],$M476)&amp;"")</f>
        <v/>
      </c>
      <c r="K476">
        <f>IF($M476="","",INDEX(상세표[반영 기관],$M476)&amp;"")</f>
        <v/>
      </c>
      <c r="L476">
        <f>IF($M476="","",INDEX(상세표[기관 출처],$M476)&amp;"")</f>
        <v/>
      </c>
      <c r="M476" s="4">
        <f>IFERROR(MATCH(471,상세표[경계순번],0),"")</f>
        <v/>
      </c>
    </row>
    <row r="477">
      <c r="A477">
        <f>IF($M477="","",INDEX(상세표[사번],$M477)&amp;"")</f>
        <v/>
      </c>
      <c r="B477">
        <f>IF($M477="","",INDEX(상세표[성명],$M477)&amp;"")</f>
        <v/>
      </c>
      <c r="C477">
        <f>IF($M477="","",IF(INDEX(상세표[종료월],$M477)=대상월키,"전월→이번 달","이번 달→익월"))</f>
        <v/>
      </c>
      <c r="D477">
        <f>IF($M477="","",IF(ISNUMBER(INDEX(상세표[시작],$M477)),TEXT(INDEX(상세표[시작],$M477),"yyyy-mm-dd hh:mm"),INDEX(상세표[시작],$M477)&amp;""))</f>
        <v/>
      </c>
      <c r="E477">
        <f>IF($M477="","",IF(ISNUMBER(INDEX(상세표[종료],$M477)),TEXT(INDEX(상세표[종료],$M477),"yyyy-mm-dd hh:mm"),INDEX(상세표[종료],$M477)&amp;""))</f>
        <v/>
      </c>
      <c r="F477" s="20">
        <f>IF($M477="","",INDEX(상세표[기록 시간외],$M477))</f>
        <v/>
      </c>
      <c r="G477">
        <f>IF($M477="","",INDEX(상세표[시작월 기관],$M477)&amp;"")</f>
        <v/>
      </c>
      <c r="H477">
        <f>IF($M477="","",INDEX(상세표[종료월 기관],$M477)&amp;"")</f>
        <v/>
      </c>
      <c r="I477">
        <f>IF($M477="","",INDEX(상세표[월경계 판정],$M477)&amp;"")</f>
        <v/>
      </c>
      <c r="J477">
        <f>IF($M477="","",INDEX(상세표[반영월],$M477)&amp;"")</f>
        <v/>
      </c>
      <c r="K477">
        <f>IF($M477="","",INDEX(상세표[반영 기관],$M477)&amp;"")</f>
        <v/>
      </c>
      <c r="L477">
        <f>IF($M477="","",INDEX(상세표[기관 출처],$M477)&amp;"")</f>
        <v/>
      </c>
      <c r="M477" s="4">
        <f>IFERROR(MATCH(472,상세표[경계순번],0),"")</f>
        <v/>
      </c>
    </row>
    <row r="478">
      <c r="A478">
        <f>IF($M478="","",INDEX(상세표[사번],$M478)&amp;"")</f>
        <v/>
      </c>
      <c r="B478">
        <f>IF($M478="","",INDEX(상세표[성명],$M478)&amp;"")</f>
        <v/>
      </c>
      <c r="C478">
        <f>IF($M478="","",IF(INDEX(상세표[종료월],$M478)=대상월키,"전월→이번 달","이번 달→익월"))</f>
        <v/>
      </c>
      <c r="D478">
        <f>IF($M478="","",IF(ISNUMBER(INDEX(상세표[시작],$M478)),TEXT(INDEX(상세표[시작],$M478),"yyyy-mm-dd hh:mm"),INDEX(상세표[시작],$M478)&amp;""))</f>
        <v/>
      </c>
      <c r="E478">
        <f>IF($M478="","",IF(ISNUMBER(INDEX(상세표[종료],$M478)),TEXT(INDEX(상세표[종료],$M478),"yyyy-mm-dd hh:mm"),INDEX(상세표[종료],$M478)&amp;""))</f>
        <v/>
      </c>
      <c r="F478" s="20">
        <f>IF($M478="","",INDEX(상세표[기록 시간외],$M478))</f>
        <v/>
      </c>
      <c r="G478">
        <f>IF($M478="","",INDEX(상세표[시작월 기관],$M478)&amp;"")</f>
        <v/>
      </c>
      <c r="H478">
        <f>IF($M478="","",INDEX(상세표[종료월 기관],$M478)&amp;"")</f>
        <v/>
      </c>
      <c r="I478">
        <f>IF($M478="","",INDEX(상세표[월경계 판정],$M478)&amp;"")</f>
        <v/>
      </c>
      <c r="J478">
        <f>IF($M478="","",INDEX(상세표[반영월],$M478)&amp;"")</f>
        <v/>
      </c>
      <c r="K478">
        <f>IF($M478="","",INDEX(상세표[반영 기관],$M478)&amp;"")</f>
        <v/>
      </c>
      <c r="L478">
        <f>IF($M478="","",INDEX(상세표[기관 출처],$M478)&amp;"")</f>
        <v/>
      </c>
      <c r="M478" s="4">
        <f>IFERROR(MATCH(473,상세표[경계순번],0),"")</f>
        <v/>
      </c>
    </row>
    <row r="479">
      <c r="A479">
        <f>IF($M479="","",INDEX(상세표[사번],$M479)&amp;"")</f>
        <v/>
      </c>
      <c r="B479">
        <f>IF($M479="","",INDEX(상세표[성명],$M479)&amp;"")</f>
        <v/>
      </c>
      <c r="C479">
        <f>IF($M479="","",IF(INDEX(상세표[종료월],$M479)=대상월키,"전월→이번 달","이번 달→익월"))</f>
        <v/>
      </c>
      <c r="D479">
        <f>IF($M479="","",IF(ISNUMBER(INDEX(상세표[시작],$M479)),TEXT(INDEX(상세표[시작],$M479),"yyyy-mm-dd hh:mm"),INDEX(상세표[시작],$M479)&amp;""))</f>
        <v/>
      </c>
      <c r="E479">
        <f>IF($M479="","",IF(ISNUMBER(INDEX(상세표[종료],$M479)),TEXT(INDEX(상세표[종료],$M479),"yyyy-mm-dd hh:mm"),INDEX(상세표[종료],$M479)&amp;""))</f>
        <v/>
      </c>
      <c r="F479" s="20">
        <f>IF($M479="","",INDEX(상세표[기록 시간외],$M479))</f>
        <v/>
      </c>
      <c r="G479">
        <f>IF($M479="","",INDEX(상세표[시작월 기관],$M479)&amp;"")</f>
        <v/>
      </c>
      <c r="H479">
        <f>IF($M479="","",INDEX(상세표[종료월 기관],$M479)&amp;"")</f>
        <v/>
      </c>
      <c r="I479">
        <f>IF($M479="","",INDEX(상세표[월경계 판정],$M479)&amp;"")</f>
        <v/>
      </c>
      <c r="J479">
        <f>IF($M479="","",INDEX(상세표[반영월],$M479)&amp;"")</f>
        <v/>
      </c>
      <c r="K479">
        <f>IF($M479="","",INDEX(상세표[반영 기관],$M479)&amp;"")</f>
        <v/>
      </c>
      <c r="L479">
        <f>IF($M479="","",INDEX(상세표[기관 출처],$M479)&amp;"")</f>
        <v/>
      </c>
      <c r="M479" s="4">
        <f>IFERROR(MATCH(474,상세표[경계순번],0),"")</f>
        <v/>
      </c>
    </row>
    <row r="480">
      <c r="A480">
        <f>IF($M480="","",INDEX(상세표[사번],$M480)&amp;"")</f>
        <v/>
      </c>
      <c r="B480">
        <f>IF($M480="","",INDEX(상세표[성명],$M480)&amp;"")</f>
        <v/>
      </c>
      <c r="C480">
        <f>IF($M480="","",IF(INDEX(상세표[종료월],$M480)=대상월키,"전월→이번 달","이번 달→익월"))</f>
        <v/>
      </c>
      <c r="D480">
        <f>IF($M480="","",IF(ISNUMBER(INDEX(상세표[시작],$M480)),TEXT(INDEX(상세표[시작],$M480),"yyyy-mm-dd hh:mm"),INDEX(상세표[시작],$M480)&amp;""))</f>
        <v/>
      </c>
      <c r="E480">
        <f>IF($M480="","",IF(ISNUMBER(INDEX(상세표[종료],$M480)),TEXT(INDEX(상세표[종료],$M480),"yyyy-mm-dd hh:mm"),INDEX(상세표[종료],$M480)&amp;""))</f>
        <v/>
      </c>
      <c r="F480" s="20">
        <f>IF($M480="","",INDEX(상세표[기록 시간외],$M480))</f>
        <v/>
      </c>
      <c r="G480">
        <f>IF($M480="","",INDEX(상세표[시작월 기관],$M480)&amp;"")</f>
        <v/>
      </c>
      <c r="H480">
        <f>IF($M480="","",INDEX(상세표[종료월 기관],$M480)&amp;"")</f>
        <v/>
      </c>
      <c r="I480">
        <f>IF($M480="","",INDEX(상세표[월경계 판정],$M480)&amp;"")</f>
        <v/>
      </c>
      <c r="J480">
        <f>IF($M480="","",INDEX(상세표[반영월],$M480)&amp;"")</f>
        <v/>
      </c>
      <c r="K480">
        <f>IF($M480="","",INDEX(상세표[반영 기관],$M480)&amp;"")</f>
        <v/>
      </c>
      <c r="L480">
        <f>IF($M480="","",INDEX(상세표[기관 출처],$M480)&amp;"")</f>
        <v/>
      </c>
      <c r="M480" s="4">
        <f>IFERROR(MATCH(475,상세표[경계순번],0),"")</f>
        <v/>
      </c>
    </row>
    <row r="481">
      <c r="A481">
        <f>IF($M481="","",INDEX(상세표[사번],$M481)&amp;"")</f>
        <v/>
      </c>
      <c r="B481">
        <f>IF($M481="","",INDEX(상세표[성명],$M481)&amp;"")</f>
        <v/>
      </c>
      <c r="C481">
        <f>IF($M481="","",IF(INDEX(상세표[종료월],$M481)=대상월키,"전월→이번 달","이번 달→익월"))</f>
        <v/>
      </c>
      <c r="D481">
        <f>IF($M481="","",IF(ISNUMBER(INDEX(상세표[시작],$M481)),TEXT(INDEX(상세표[시작],$M481),"yyyy-mm-dd hh:mm"),INDEX(상세표[시작],$M481)&amp;""))</f>
        <v/>
      </c>
      <c r="E481">
        <f>IF($M481="","",IF(ISNUMBER(INDEX(상세표[종료],$M481)),TEXT(INDEX(상세표[종료],$M481),"yyyy-mm-dd hh:mm"),INDEX(상세표[종료],$M481)&amp;""))</f>
        <v/>
      </c>
      <c r="F481" s="20">
        <f>IF($M481="","",INDEX(상세표[기록 시간외],$M481))</f>
        <v/>
      </c>
      <c r="G481">
        <f>IF($M481="","",INDEX(상세표[시작월 기관],$M481)&amp;"")</f>
        <v/>
      </c>
      <c r="H481">
        <f>IF($M481="","",INDEX(상세표[종료월 기관],$M481)&amp;"")</f>
        <v/>
      </c>
      <c r="I481">
        <f>IF($M481="","",INDEX(상세표[월경계 판정],$M481)&amp;"")</f>
        <v/>
      </c>
      <c r="J481">
        <f>IF($M481="","",INDEX(상세표[반영월],$M481)&amp;"")</f>
        <v/>
      </c>
      <c r="K481">
        <f>IF($M481="","",INDEX(상세표[반영 기관],$M481)&amp;"")</f>
        <v/>
      </c>
      <c r="L481">
        <f>IF($M481="","",INDEX(상세표[기관 출처],$M481)&amp;"")</f>
        <v/>
      </c>
      <c r="M481" s="4">
        <f>IFERROR(MATCH(476,상세표[경계순번],0),"")</f>
        <v/>
      </c>
    </row>
    <row r="482">
      <c r="A482">
        <f>IF($M482="","",INDEX(상세표[사번],$M482)&amp;"")</f>
        <v/>
      </c>
      <c r="B482">
        <f>IF($M482="","",INDEX(상세표[성명],$M482)&amp;"")</f>
        <v/>
      </c>
      <c r="C482">
        <f>IF($M482="","",IF(INDEX(상세표[종료월],$M482)=대상월키,"전월→이번 달","이번 달→익월"))</f>
        <v/>
      </c>
      <c r="D482">
        <f>IF($M482="","",IF(ISNUMBER(INDEX(상세표[시작],$M482)),TEXT(INDEX(상세표[시작],$M482),"yyyy-mm-dd hh:mm"),INDEX(상세표[시작],$M482)&amp;""))</f>
        <v/>
      </c>
      <c r="E482">
        <f>IF($M482="","",IF(ISNUMBER(INDEX(상세표[종료],$M482)),TEXT(INDEX(상세표[종료],$M482),"yyyy-mm-dd hh:mm"),INDEX(상세표[종료],$M482)&amp;""))</f>
        <v/>
      </c>
      <c r="F482" s="20">
        <f>IF($M482="","",INDEX(상세표[기록 시간외],$M482))</f>
        <v/>
      </c>
      <c r="G482">
        <f>IF($M482="","",INDEX(상세표[시작월 기관],$M482)&amp;"")</f>
        <v/>
      </c>
      <c r="H482">
        <f>IF($M482="","",INDEX(상세표[종료월 기관],$M482)&amp;"")</f>
        <v/>
      </c>
      <c r="I482">
        <f>IF($M482="","",INDEX(상세표[월경계 판정],$M482)&amp;"")</f>
        <v/>
      </c>
      <c r="J482">
        <f>IF($M482="","",INDEX(상세표[반영월],$M482)&amp;"")</f>
        <v/>
      </c>
      <c r="K482">
        <f>IF($M482="","",INDEX(상세표[반영 기관],$M482)&amp;"")</f>
        <v/>
      </c>
      <c r="L482">
        <f>IF($M482="","",INDEX(상세표[기관 출처],$M482)&amp;"")</f>
        <v/>
      </c>
      <c r="M482" s="4">
        <f>IFERROR(MATCH(477,상세표[경계순번],0),"")</f>
        <v/>
      </c>
    </row>
    <row r="483">
      <c r="A483">
        <f>IF($M483="","",INDEX(상세표[사번],$M483)&amp;"")</f>
        <v/>
      </c>
      <c r="B483">
        <f>IF($M483="","",INDEX(상세표[성명],$M483)&amp;"")</f>
        <v/>
      </c>
      <c r="C483">
        <f>IF($M483="","",IF(INDEX(상세표[종료월],$M483)=대상월키,"전월→이번 달","이번 달→익월"))</f>
        <v/>
      </c>
      <c r="D483">
        <f>IF($M483="","",IF(ISNUMBER(INDEX(상세표[시작],$M483)),TEXT(INDEX(상세표[시작],$M483),"yyyy-mm-dd hh:mm"),INDEX(상세표[시작],$M483)&amp;""))</f>
        <v/>
      </c>
      <c r="E483">
        <f>IF($M483="","",IF(ISNUMBER(INDEX(상세표[종료],$M483)),TEXT(INDEX(상세표[종료],$M483),"yyyy-mm-dd hh:mm"),INDEX(상세표[종료],$M483)&amp;""))</f>
        <v/>
      </c>
      <c r="F483" s="20">
        <f>IF($M483="","",INDEX(상세표[기록 시간외],$M483))</f>
        <v/>
      </c>
      <c r="G483">
        <f>IF($M483="","",INDEX(상세표[시작월 기관],$M483)&amp;"")</f>
        <v/>
      </c>
      <c r="H483">
        <f>IF($M483="","",INDEX(상세표[종료월 기관],$M483)&amp;"")</f>
        <v/>
      </c>
      <c r="I483">
        <f>IF($M483="","",INDEX(상세표[월경계 판정],$M483)&amp;"")</f>
        <v/>
      </c>
      <c r="J483">
        <f>IF($M483="","",INDEX(상세표[반영월],$M483)&amp;"")</f>
        <v/>
      </c>
      <c r="K483">
        <f>IF($M483="","",INDEX(상세표[반영 기관],$M483)&amp;"")</f>
        <v/>
      </c>
      <c r="L483">
        <f>IF($M483="","",INDEX(상세표[기관 출처],$M483)&amp;"")</f>
        <v/>
      </c>
      <c r="M483" s="4">
        <f>IFERROR(MATCH(478,상세표[경계순번],0),"")</f>
        <v/>
      </c>
    </row>
    <row r="484">
      <c r="A484">
        <f>IF($M484="","",INDEX(상세표[사번],$M484)&amp;"")</f>
        <v/>
      </c>
      <c r="B484">
        <f>IF($M484="","",INDEX(상세표[성명],$M484)&amp;"")</f>
        <v/>
      </c>
      <c r="C484">
        <f>IF($M484="","",IF(INDEX(상세표[종료월],$M484)=대상월키,"전월→이번 달","이번 달→익월"))</f>
        <v/>
      </c>
      <c r="D484">
        <f>IF($M484="","",IF(ISNUMBER(INDEX(상세표[시작],$M484)),TEXT(INDEX(상세표[시작],$M484),"yyyy-mm-dd hh:mm"),INDEX(상세표[시작],$M484)&amp;""))</f>
        <v/>
      </c>
      <c r="E484">
        <f>IF($M484="","",IF(ISNUMBER(INDEX(상세표[종료],$M484)),TEXT(INDEX(상세표[종료],$M484),"yyyy-mm-dd hh:mm"),INDEX(상세표[종료],$M484)&amp;""))</f>
        <v/>
      </c>
      <c r="F484" s="20">
        <f>IF($M484="","",INDEX(상세표[기록 시간외],$M484))</f>
        <v/>
      </c>
      <c r="G484">
        <f>IF($M484="","",INDEX(상세표[시작월 기관],$M484)&amp;"")</f>
        <v/>
      </c>
      <c r="H484">
        <f>IF($M484="","",INDEX(상세표[종료월 기관],$M484)&amp;"")</f>
        <v/>
      </c>
      <c r="I484">
        <f>IF($M484="","",INDEX(상세표[월경계 판정],$M484)&amp;"")</f>
        <v/>
      </c>
      <c r="J484">
        <f>IF($M484="","",INDEX(상세표[반영월],$M484)&amp;"")</f>
        <v/>
      </c>
      <c r="K484">
        <f>IF($M484="","",INDEX(상세표[반영 기관],$M484)&amp;"")</f>
        <v/>
      </c>
      <c r="L484">
        <f>IF($M484="","",INDEX(상세표[기관 출처],$M484)&amp;"")</f>
        <v/>
      </c>
      <c r="M484" s="4">
        <f>IFERROR(MATCH(479,상세표[경계순번],0),"")</f>
        <v/>
      </c>
    </row>
    <row r="485">
      <c r="A485">
        <f>IF($M485="","",INDEX(상세표[사번],$M485)&amp;"")</f>
        <v/>
      </c>
      <c r="B485">
        <f>IF($M485="","",INDEX(상세표[성명],$M485)&amp;"")</f>
        <v/>
      </c>
      <c r="C485">
        <f>IF($M485="","",IF(INDEX(상세표[종료월],$M485)=대상월키,"전월→이번 달","이번 달→익월"))</f>
        <v/>
      </c>
      <c r="D485">
        <f>IF($M485="","",IF(ISNUMBER(INDEX(상세표[시작],$M485)),TEXT(INDEX(상세표[시작],$M485),"yyyy-mm-dd hh:mm"),INDEX(상세표[시작],$M485)&amp;""))</f>
        <v/>
      </c>
      <c r="E485">
        <f>IF($M485="","",IF(ISNUMBER(INDEX(상세표[종료],$M485)),TEXT(INDEX(상세표[종료],$M485),"yyyy-mm-dd hh:mm"),INDEX(상세표[종료],$M485)&amp;""))</f>
        <v/>
      </c>
      <c r="F485" s="20">
        <f>IF($M485="","",INDEX(상세표[기록 시간외],$M485))</f>
        <v/>
      </c>
      <c r="G485">
        <f>IF($M485="","",INDEX(상세표[시작월 기관],$M485)&amp;"")</f>
        <v/>
      </c>
      <c r="H485">
        <f>IF($M485="","",INDEX(상세표[종료월 기관],$M485)&amp;"")</f>
        <v/>
      </c>
      <c r="I485">
        <f>IF($M485="","",INDEX(상세표[월경계 판정],$M485)&amp;"")</f>
        <v/>
      </c>
      <c r="J485">
        <f>IF($M485="","",INDEX(상세표[반영월],$M485)&amp;"")</f>
        <v/>
      </c>
      <c r="K485">
        <f>IF($M485="","",INDEX(상세표[반영 기관],$M485)&amp;"")</f>
        <v/>
      </c>
      <c r="L485">
        <f>IF($M485="","",INDEX(상세표[기관 출처],$M485)&amp;"")</f>
        <v/>
      </c>
      <c r="M485" s="4">
        <f>IFERROR(MATCH(480,상세표[경계순번],0),"")</f>
        <v/>
      </c>
    </row>
    <row r="486">
      <c r="A486">
        <f>IF($M486="","",INDEX(상세표[사번],$M486)&amp;"")</f>
        <v/>
      </c>
      <c r="B486">
        <f>IF($M486="","",INDEX(상세표[성명],$M486)&amp;"")</f>
        <v/>
      </c>
      <c r="C486">
        <f>IF($M486="","",IF(INDEX(상세표[종료월],$M486)=대상월키,"전월→이번 달","이번 달→익월"))</f>
        <v/>
      </c>
      <c r="D486">
        <f>IF($M486="","",IF(ISNUMBER(INDEX(상세표[시작],$M486)),TEXT(INDEX(상세표[시작],$M486),"yyyy-mm-dd hh:mm"),INDEX(상세표[시작],$M486)&amp;""))</f>
        <v/>
      </c>
      <c r="E486">
        <f>IF($M486="","",IF(ISNUMBER(INDEX(상세표[종료],$M486)),TEXT(INDEX(상세표[종료],$M486),"yyyy-mm-dd hh:mm"),INDEX(상세표[종료],$M486)&amp;""))</f>
        <v/>
      </c>
      <c r="F486" s="20">
        <f>IF($M486="","",INDEX(상세표[기록 시간외],$M486))</f>
        <v/>
      </c>
      <c r="G486">
        <f>IF($M486="","",INDEX(상세표[시작월 기관],$M486)&amp;"")</f>
        <v/>
      </c>
      <c r="H486">
        <f>IF($M486="","",INDEX(상세표[종료월 기관],$M486)&amp;"")</f>
        <v/>
      </c>
      <c r="I486">
        <f>IF($M486="","",INDEX(상세표[월경계 판정],$M486)&amp;"")</f>
        <v/>
      </c>
      <c r="J486">
        <f>IF($M486="","",INDEX(상세표[반영월],$M486)&amp;"")</f>
        <v/>
      </c>
      <c r="K486">
        <f>IF($M486="","",INDEX(상세표[반영 기관],$M486)&amp;"")</f>
        <v/>
      </c>
      <c r="L486">
        <f>IF($M486="","",INDEX(상세표[기관 출처],$M486)&amp;"")</f>
        <v/>
      </c>
      <c r="M486" s="4">
        <f>IFERROR(MATCH(481,상세표[경계순번],0),"")</f>
        <v/>
      </c>
    </row>
    <row r="487">
      <c r="A487">
        <f>IF($M487="","",INDEX(상세표[사번],$M487)&amp;"")</f>
        <v/>
      </c>
      <c r="B487">
        <f>IF($M487="","",INDEX(상세표[성명],$M487)&amp;"")</f>
        <v/>
      </c>
      <c r="C487">
        <f>IF($M487="","",IF(INDEX(상세표[종료월],$M487)=대상월키,"전월→이번 달","이번 달→익월"))</f>
        <v/>
      </c>
      <c r="D487">
        <f>IF($M487="","",IF(ISNUMBER(INDEX(상세표[시작],$M487)),TEXT(INDEX(상세표[시작],$M487),"yyyy-mm-dd hh:mm"),INDEX(상세표[시작],$M487)&amp;""))</f>
        <v/>
      </c>
      <c r="E487">
        <f>IF($M487="","",IF(ISNUMBER(INDEX(상세표[종료],$M487)),TEXT(INDEX(상세표[종료],$M487),"yyyy-mm-dd hh:mm"),INDEX(상세표[종료],$M487)&amp;""))</f>
        <v/>
      </c>
      <c r="F487" s="20">
        <f>IF($M487="","",INDEX(상세표[기록 시간외],$M487))</f>
        <v/>
      </c>
      <c r="G487">
        <f>IF($M487="","",INDEX(상세표[시작월 기관],$M487)&amp;"")</f>
        <v/>
      </c>
      <c r="H487">
        <f>IF($M487="","",INDEX(상세표[종료월 기관],$M487)&amp;"")</f>
        <v/>
      </c>
      <c r="I487">
        <f>IF($M487="","",INDEX(상세표[월경계 판정],$M487)&amp;"")</f>
        <v/>
      </c>
      <c r="J487">
        <f>IF($M487="","",INDEX(상세표[반영월],$M487)&amp;"")</f>
        <v/>
      </c>
      <c r="K487">
        <f>IF($M487="","",INDEX(상세표[반영 기관],$M487)&amp;"")</f>
        <v/>
      </c>
      <c r="L487">
        <f>IF($M487="","",INDEX(상세표[기관 출처],$M487)&amp;"")</f>
        <v/>
      </c>
      <c r="M487" s="4">
        <f>IFERROR(MATCH(482,상세표[경계순번],0),"")</f>
        <v/>
      </c>
    </row>
    <row r="488">
      <c r="A488">
        <f>IF($M488="","",INDEX(상세표[사번],$M488)&amp;"")</f>
        <v/>
      </c>
      <c r="B488">
        <f>IF($M488="","",INDEX(상세표[성명],$M488)&amp;"")</f>
        <v/>
      </c>
      <c r="C488">
        <f>IF($M488="","",IF(INDEX(상세표[종료월],$M488)=대상월키,"전월→이번 달","이번 달→익월"))</f>
        <v/>
      </c>
      <c r="D488">
        <f>IF($M488="","",IF(ISNUMBER(INDEX(상세표[시작],$M488)),TEXT(INDEX(상세표[시작],$M488),"yyyy-mm-dd hh:mm"),INDEX(상세표[시작],$M488)&amp;""))</f>
        <v/>
      </c>
      <c r="E488">
        <f>IF($M488="","",IF(ISNUMBER(INDEX(상세표[종료],$M488)),TEXT(INDEX(상세표[종료],$M488),"yyyy-mm-dd hh:mm"),INDEX(상세표[종료],$M488)&amp;""))</f>
        <v/>
      </c>
      <c r="F488" s="20">
        <f>IF($M488="","",INDEX(상세표[기록 시간외],$M488))</f>
        <v/>
      </c>
      <c r="G488">
        <f>IF($M488="","",INDEX(상세표[시작월 기관],$M488)&amp;"")</f>
        <v/>
      </c>
      <c r="H488">
        <f>IF($M488="","",INDEX(상세표[종료월 기관],$M488)&amp;"")</f>
        <v/>
      </c>
      <c r="I488">
        <f>IF($M488="","",INDEX(상세표[월경계 판정],$M488)&amp;"")</f>
        <v/>
      </c>
      <c r="J488">
        <f>IF($M488="","",INDEX(상세표[반영월],$M488)&amp;"")</f>
        <v/>
      </c>
      <c r="K488">
        <f>IF($M488="","",INDEX(상세표[반영 기관],$M488)&amp;"")</f>
        <v/>
      </c>
      <c r="L488">
        <f>IF($M488="","",INDEX(상세표[기관 출처],$M488)&amp;"")</f>
        <v/>
      </c>
      <c r="M488" s="4">
        <f>IFERROR(MATCH(483,상세표[경계순번],0),"")</f>
        <v/>
      </c>
    </row>
    <row r="489">
      <c r="A489">
        <f>IF($M489="","",INDEX(상세표[사번],$M489)&amp;"")</f>
        <v/>
      </c>
      <c r="B489">
        <f>IF($M489="","",INDEX(상세표[성명],$M489)&amp;"")</f>
        <v/>
      </c>
      <c r="C489">
        <f>IF($M489="","",IF(INDEX(상세표[종료월],$M489)=대상월키,"전월→이번 달","이번 달→익월"))</f>
        <v/>
      </c>
      <c r="D489">
        <f>IF($M489="","",IF(ISNUMBER(INDEX(상세표[시작],$M489)),TEXT(INDEX(상세표[시작],$M489),"yyyy-mm-dd hh:mm"),INDEX(상세표[시작],$M489)&amp;""))</f>
        <v/>
      </c>
      <c r="E489">
        <f>IF($M489="","",IF(ISNUMBER(INDEX(상세표[종료],$M489)),TEXT(INDEX(상세표[종료],$M489),"yyyy-mm-dd hh:mm"),INDEX(상세표[종료],$M489)&amp;""))</f>
        <v/>
      </c>
      <c r="F489" s="20">
        <f>IF($M489="","",INDEX(상세표[기록 시간외],$M489))</f>
        <v/>
      </c>
      <c r="G489">
        <f>IF($M489="","",INDEX(상세표[시작월 기관],$M489)&amp;"")</f>
        <v/>
      </c>
      <c r="H489">
        <f>IF($M489="","",INDEX(상세표[종료월 기관],$M489)&amp;"")</f>
        <v/>
      </c>
      <c r="I489">
        <f>IF($M489="","",INDEX(상세표[월경계 판정],$M489)&amp;"")</f>
        <v/>
      </c>
      <c r="J489">
        <f>IF($M489="","",INDEX(상세표[반영월],$M489)&amp;"")</f>
        <v/>
      </c>
      <c r="K489">
        <f>IF($M489="","",INDEX(상세표[반영 기관],$M489)&amp;"")</f>
        <v/>
      </c>
      <c r="L489">
        <f>IF($M489="","",INDEX(상세표[기관 출처],$M489)&amp;"")</f>
        <v/>
      </c>
      <c r="M489" s="4">
        <f>IFERROR(MATCH(484,상세표[경계순번],0),"")</f>
        <v/>
      </c>
    </row>
    <row r="490">
      <c r="A490">
        <f>IF($M490="","",INDEX(상세표[사번],$M490)&amp;"")</f>
        <v/>
      </c>
      <c r="B490">
        <f>IF($M490="","",INDEX(상세표[성명],$M490)&amp;"")</f>
        <v/>
      </c>
      <c r="C490">
        <f>IF($M490="","",IF(INDEX(상세표[종료월],$M490)=대상월키,"전월→이번 달","이번 달→익월"))</f>
        <v/>
      </c>
      <c r="D490">
        <f>IF($M490="","",IF(ISNUMBER(INDEX(상세표[시작],$M490)),TEXT(INDEX(상세표[시작],$M490),"yyyy-mm-dd hh:mm"),INDEX(상세표[시작],$M490)&amp;""))</f>
        <v/>
      </c>
      <c r="E490">
        <f>IF($M490="","",IF(ISNUMBER(INDEX(상세표[종료],$M490)),TEXT(INDEX(상세표[종료],$M490),"yyyy-mm-dd hh:mm"),INDEX(상세표[종료],$M490)&amp;""))</f>
        <v/>
      </c>
      <c r="F490" s="20">
        <f>IF($M490="","",INDEX(상세표[기록 시간외],$M490))</f>
        <v/>
      </c>
      <c r="G490">
        <f>IF($M490="","",INDEX(상세표[시작월 기관],$M490)&amp;"")</f>
        <v/>
      </c>
      <c r="H490">
        <f>IF($M490="","",INDEX(상세표[종료월 기관],$M490)&amp;"")</f>
        <v/>
      </c>
      <c r="I490">
        <f>IF($M490="","",INDEX(상세표[월경계 판정],$M490)&amp;"")</f>
        <v/>
      </c>
      <c r="J490">
        <f>IF($M490="","",INDEX(상세표[반영월],$M490)&amp;"")</f>
        <v/>
      </c>
      <c r="K490">
        <f>IF($M490="","",INDEX(상세표[반영 기관],$M490)&amp;"")</f>
        <v/>
      </c>
      <c r="L490">
        <f>IF($M490="","",INDEX(상세표[기관 출처],$M490)&amp;"")</f>
        <v/>
      </c>
      <c r="M490" s="4">
        <f>IFERROR(MATCH(485,상세표[경계순번],0),"")</f>
        <v/>
      </c>
    </row>
    <row r="491">
      <c r="A491">
        <f>IF($M491="","",INDEX(상세표[사번],$M491)&amp;"")</f>
        <v/>
      </c>
      <c r="B491">
        <f>IF($M491="","",INDEX(상세표[성명],$M491)&amp;"")</f>
        <v/>
      </c>
      <c r="C491">
        <f>IF($M491="","",IF(INDEX(상세표[종료월],$M491)=대상월키,"전월→이번 달","이번 달→익월"))</f>
        <v/>
      </c>
      <c r="D491">
        <f>IF($M491="","",IF(ISNUMBER(INDEX(상세표[시작],$M491)),TEXT(INDEX(상세표[시작],$M491),"yyyy-mm-dd hh:mm"),INDEX(상세표[시작],$M491)&amp;""))</f>
        <v/>
      </c>
      <c r="E491">
        <f>IF($M491="","",IF(ISNUMBER(INDEX(상세표[종료],$M491)),TEXT(INDEX(상세표[종료],$M491),"yyyy-mm-dd hh:mm"),INDEX(상세표[종료],$M491)&amp;""))</f>
        <v/>
      </c>
      <c r="F491" s="20">
        <f>IF($M491="","",INDEX(상세표[기록 시간외],$M491))</f>
        <v/>
      </c>
      <c r="G491">
        <f>IF($M491="","",INDEX(상세표[시작월 기관],$M491)&amp;"")</f>
        <v/>
      </c>
      <c r="H491">
        <f>IF($M491="","",INDEX(상세표[종료월 기관],$M491)&amp;"")</f>
        <v/>
      </c>
      <c r="I491">
        <f>IF($M491="","",INDEX(상세표[월경계 판정],$M491)&amp;"")</f>
        <v/>
      </c>
      <c r="J491">
        <f>IF($M491="","",INDEX(상세표[반영월],$M491)&amp;"")</f>
        <v/>
      </c>
      <c r="K491">
        <f>IF($M491="","",INDEX(상세표[반영 기관],$M491)&amp;"")</f>
        <v/>
      </c>
      <c r="L491">
        <f>IF($M491="","",INDEX(상세표[기관 출처],$M491)&amp;"")</f>
        <v/>
      </c>
      <c r="M491" s="4">
        <f>IFERROR(MATCH(486,상세표[경계순번],0),"")</f>
        <v/>
      </c>
    </row>
    <row r="492">
      <c r="A492">
        <f>IF($M492="","",INDEX(상세표[사번],$M492)&amp;"")</f>
        <v/>
      </c>
      <c r="B492">
        <f>IF($M492="","",INDEX(상세표[성명],$M492)&amp;"")</f>
        <v/>
      </c>
      <c r="C492">
        <f>IF($M492="","",IF(INDEX(상세표[종료월],$M492)=대상월키,"전월→이번 달","이번 달→익월"))</f>
        <v/>
      </c>
      <c r="D492">
        <f>IF($M492="","",IF(ISNUMBER(INDEX(상세표[시작],$M492)),TEXT(INDEX(상세표[시작],$M492),"yyyy-mm-dd hh:mm"),INDEX(상세표[시작],$M492)&amp;""))</f>
        <v/>
      </c>
      <c r="E492">
        <f>IF($M492="","",IF(ISNUMBER(INDEX(상세표[종료],$M492)),TEXT(INDEX(상세표[종료],$M492),"yyyy-mm-dd hh:mm"),INDEX(상세표[종료],$M492)&amp;""))</f>
        <v/>
      </c>
      <c r="F492" s="20">
        <f>IF($M492="","",INDEX(상세표[기록 시간외],$M492))</f>
        <v/>
      </c>
      <c r="G492">
        <f>IF($M492="","",INDEX(상세표[시작월 기관],$M492)&amp;"")</f>
        <v/>
      </c>
      <c r="H492">
        <f>IF($M492="","",INDEX(상세표[종료월 기관],$M492)&amp;"")</f>
        <v/>
      </c>
      <c r="I492">
        <f>IF($M492="","",INDEX(상세표[월경계 판정],$M492)&amp;"")</f>
        <v/>
      </c>
      <c r="J492">
        <f>IF($M492="","",INDEX(상세표[반영월],$M492)&amp;"")</f>
        <v/>
      </c>
      <c r="K492">
        <f>IF($M492="","",INDEX(상세표[반영 기관],$M492)&amp;"")</f>
        <v/>
      </c>
      <c r="L492">
        <f>IF($M492="","",INDEX(상세표[기관 출처],$M492)&amp;"")</f>
        <v/>
      </c>
      <c r="M492" s="4">
        <f>IFERROR(MATCH(487,상세표[경계순번],0),"")</f>
        <v/>
      </c>
    </row>
    <row r="493">
      <c r="A493">
        <f>IF($M493="","",INDEX(상세표[사번],$M493)&amp;"")</f>
        <v/>
      </c>
      <c r="B493">
        <f>IF($M493="","",INDEX(상세표[성명],$M493)&amp;"")</f>
        <v/>
      </c>
      <c r="C493">
        <f>IF($M493="","",IF(INDEX(상세표[종료월],$M493)=대상월키,"전월→이번 달","이번 달→익월"))</f>
        <v/>
      </c>
      <c r="D493">
        <f>IF($M493="","",IF(ISNUMBER(INDEX(상세표[시작],$M493)),TEXT(INDEX(상세표[시작],$M493),"yyyy-mm-dd hh:mm"),INDEX(상세표[시작],$M493)&amp;""))</f>
        <v/>
      </c>
      <c r="E493">
        <f>IF($M493="","",IF(ISNUMBER(INDEX(상세표[종료],$M493)),TEXT(INDEX(상세표[종료],$M493),"yyyy-mm-dd hh:mm"),INDEX(상세표[종료],$M493)&amp;""))</f>
        <v/>
      </c>
      <c r="F493" s="20">
        <f>IF($M493="","",INDEX(상세표[기록 시간외],$M493))</f>
        <v/>
      </c>
      <c r="G493">
        <f>IF($M493="","",INDEX(상세표[시작월 기관],$M493)&amp;"")</f>
        <v/>
      </c>
      <c r="H493">
        <f>IF($M493="","",INDEX(상세표[종료월 기관],$M493)&amp;"")</f>
        <v/>
      </c>
      <c r="I493">
        <f>IF($M493="","",INDEX(상세표[월경계 판정],$M493)&amp;"")</f>
        <v/>
      </c>
      <c r="J493">
        <f>IF($M493="","",INDEX(상세표[반영월],$M493)&amp;"")</f>
        <v/>
      </c>
      <c r="K493">
        <f>IF($M493="","",INDEX(상세표[반영 기관],$M493)&amp;"")</f>
        <v/>
      </c>
      <c r="L493">
        <f>IF($M493="","",INDEX(상세표[기관 출처],$M493)&amp;"")</f>
        <v/>
      </c>
      <c r="M493" s="4">
        <f>IFERROR(MATCH(488,상세표[경계순번],0),"")</f>
        <v/>
      </c>
    </row>
    <row r="494">
      <c r="A494">
        <f>IF($M494="","",INDEX(상세표[사번],$M494)&amp;"")</f>
        <v/>
      </c>
      <c r="B494">
        <f>IF($M494="","",INDEX(상세표[성명],$M494)&amp;"")</f>
        <v/>
      </c>
      <c r="C494">
        <f>IF($M494="","",IF(INDEX(상세표[종료월],$M494)=대상월키,"전월→이번 달","이번 달→익월"))</f>
        <v/>
      </c>
      <c r="D494">
        <f>IF($M494="","",IF(ISNUMBER(INDEX(상세표[시작],$M494)),TEXT(INDEX(상세표[시작],$M494),"yyyy-mm-dd hh:mm"),INDEX(상세표[시작],$M494)&amp;""))</f>
        <v/>
      </c>
      <c r="E494">
        <f>IF($M494="","",IF(ISNUMBER(INDEX(상세표[종료],$M494)),TEXT(INDEX(상세표[종료],$M494),"yyyy-mm-dd hh:mm"),INDEX(상세표[종료],$M494)&amp;""))</f>
        <v/>
      </c>
      <c r="F494" s="20">
        <f>IF($M494="","",INDEX(상세표[기록 시간외],$M494))</f>
        <v/>
      </c>
      <c r="G494">
        <f>IF($M494="","",INDEX(상세표[시작월 기관],$M494)&amp;"")</f>
        <v/>
      </c>
      <c r="H494">
        <f>IF($M494="","",INDEX(상세표[종료월 기관],$M494)&amp;"")</f>
        <v/>
      </c>
      <c r="I494">
        <f>IF($M494="","",INDEX(상세표[월경계 판정],$M494)&amp;"")</f>
        <v/>
      </c>
      <c r="J494">
        <f>IF($M494="","",INDEX(상세표[반영월],$M494)&amp;"")</f>
        <v/>
      </c>
      <c r="K494">
        <f>IF($M494="","",INDEX(상세표[반영 기관],$M494)&amp;"")</f>
        <v/>
      </c>
      <c r="L494">
        <f>IF($M494="","",INDEX(상세표[기관 출처],$M494)&amp;"")</f>
        <v/>
      </c>
      <c r="M494" s="4">
        <f>IFERROR(MATCH(489,상세표[경계순번],0),"")</f>
        <v/>
      </c>
    </row>
    <row r="495">
      <c r="A495">
        <f>IF($M495="","",INDEX(상세표[사번],$M495)&amp;"")</f>
        <v/>
      </c>
      <c r="B495">
        <f>IF($M495="","",INDEX(상세표[성명],$M495)&amp;"")</f>
        <v/>
      </c>
      <c r="C495">
        <f>IF($M495="","",IF(INDEX(상세표[종료월],$M495)=대상월키,"전월→이번 달","이번 달→익월"))</f>
        <v/>
      </c>
      <c r="D495">
        <f>IF($M495="","",IF(ISNUMBER(INDEX(상세표[시작],$M495)),TEXT(INDEX(상세표[시작],$M495),"yyyy-mm-dd hh:mm"),INDEX(상세표[시작],$M495)&amp;""))</f>
        <v/>
      </c>
      <c r="E495">
        <f>IF($M495="","",IF(ISNUMBER(INDEX(상세표[종료],$M495)),TEXT(INDEX(상세표[종료],$M495),"yyyy-mm-dd hh:mm"),INDEX(상세표[종료],$M495)&amp;""))</f>
        <v/>
      </c>
      <c r="F495" s="20">
        <f>IF($M495="","",INDEX(상세표[기록 시간외],$M495))</f>
        <v/>
      </c>
      <c r="G495">
        <f>IF($M495="","",INDEX(상세표[시작월 기관],$M495)&amp;"")</f>
        <v/>
      </c>
      <c r="H495">
        <f>IF($M495="","",INDEX(상세표[종료월 기관],$M495)&amp;"")</f>
        <v/>
      </c>
      <c r="I495">
        <f>IF($M495="","",INDEX(상세표[월경계 판정],$M495)&amp;"")</f>
        <v/>
      </c>
      <c r="J495">
        <f>IF($M495="","",INDEX(상세표[반영월],$M495)&amp;"")</f>
        <v/>
      </c>
      <c r="K495">
        <f>IF($M495="","",INDEX(상세표[반영 기관],$M495)&amp;"")</f>
        <v/>
      </c>
      <c r="L495">
        <f>IF($M495="","",INDEX(상세표[기관 출처],$M495)&amp;"")</f>
        <v/>
      </c>
      <c r="M495" s="4">
        <f>IFERROR(MATCH(490,상세표[경계순번],0),"")</f>
        <v/>
      </c>
    </row>
    <row r="496">
      <c r="A496">
        <f>IF($M496="","",INDEX(상세표[사번],$M496)&amp;"")</f>
        <v/>
      </c>
      <c r="B496">
        <f>IF($M496="","",INDEX(상세표[성명],$M496)&amp;"")</f>
        <v/>
      </c>
      <c r="C496">
        <f>IF($M496="","",IF(INDEX(상세표[종료월],$M496)=대상월키,"전월→이번 달","이번 달→익월"))</f>
        <v/>
      </c>
      <c r="D496">
        <f>IF($M496="","",IF(ISNUMBER(INDEX(상세표[시작],$M496)),TEXT(INDEX(상세표[시작],$M496),"yyyy-mm-dd hh:mm"),INDEX(상세표[시작],$M496)&amp;""))</f>
        <v/>
      </c>
      <c r="E496">
        <f>IF($M496="","",IF(ISNUMBER(INDEX(상세표[종료],$M496)),TEXT(INDEX(상세표[종료],$M496),"yyyy-mm-dd hh:mm"),INDEX(상세표[종료],$M496)&amp;""))</f>
        <v/>
      </c>
      <c r="F496" s="20">
        <f>IF($M496="","",INDEX(상세표[기록 시간외],$M496))</f>
        <v/>
      </c>
      <c r="G496">
        <f>IF($M496="","",INDEX(상세표[시작월 기관],$M496)&amp;"")</f>
        <v/>
      </c>
      <c r="H496">
        <f>IF($M496="","",INDEX(상세표[종료월 기관],$M496)&amp;"")</f>
        <v/>
      </c>
      <c r="I496">
        <f>IF($M496="","",INDEX(상세표[월경계 판정],$M496)&amp;"")</f>
        <v/>
      </c>
      <c r="J496">
        <f>IF($M496="","",INDEX(상세표[반영월],$M496)&amp;"")</f>
        <v/>
      </c>
      <c r="K496">
        <f>IF($M496="","",INDEX(상세표[반영 기관],$M496)&amp;"")</f>
        <v/>
      </c>
      <c r="L496">
        <f>IF($M496="","",INDEX(상세표[기관 출처],$M496)&amp;"")</f>
        <v/>
      </c>
      <c r="M496" s="4">
        <f>IFERROR(MATCH(491,상세표[경계순번],0),"")</f>
        <v/>
      </c>
    </row>
    <row r="497">
      <c r="A497">
        <f>IF($M497="","",INDEX(상세표[사번],$M497)&amp;"")</f>
        <v/>
      </c>
      <c r="B497">
        <f>IF($M497="","",INDEX(상세표[성명],$M497)&amp;"")</f>
        <v/>
      </c>
      <c r="C497">
        <f>IF($M497="","",IF(INDEX(상세표[종료월],$M497)=대상월키,"전월→이번 달","이번 달→익월"))</f>
        <v/>
      </c>
      <c r="D497">
        <f>IF($M497="","",IF(ISNUMBER(INDEX(상세표[시작],$M497)),TEXT(INDEX(상세표[시작],$M497),"yyyy-mm-dd hh:mm"),INDEX(상세표[시작],$M497)&amp;""))</f>
        <v/>
      </c>
      <c r="E497">
        <f>IF($M497="","",IF(ISNUMBER(INDEX(상세표[종료],$M497)),TEXT(INDEX(상세표[종료],$M497),"yyyy-mm-dd hh:mm"),INDEX(상세표[종료],$M497)&amp;""))</f>
        <v/>
      </c>
      <c r="F497" s="20">
        <f>IF($M497="","",INDEX(상세표[기록 시간외],$M497))</f>
        <v/>
      </c>
      <c r="G497">
        <f>IF($M497="","",INDEX(상세표[시작월 기관],$M497)&amp;"")</f>
        <v/>
      </c>
      <c r="H497">
        <f>IF($M497="","",INDEX(상세표[종료월 기관],$M497)&amp;"")</f>
        <v/>
      </c>
      <c r="I497">
        <f>IF($M497="","",INDEX(상세표[월경계 판정],$M497)&amp;"")</f>
        <v/>
      </c>
      <c r="J497">
        <f>IF($M497="","",INDEX(상세표[반영월],$M497)&amp;"")</f>
        <v/>
      </c>
      <c r="K497">
        <f>IF($M497="","",INDEX(상세표[반영 기관],$M497)&amp;"")</f>
        <v/>
      </c>
      <c r="L497">
        <f>IF($M497="","",INDEX(상세표[기관 출처],$M497)&amp;"")</f>
        <v/>
      </c>
      <c r="M497" s="4">
        <f>IFERROR(MATCH(492,상세표[경계순번],0),"")</f>
        <v/>
      </c>
    </row>
    <row r="498">
      <c r="A498">
        <f>IF($M498="","",INDEX(상세표[사번],$M498)&amp;"")</f>
        <v/>
      </c>
      <c r="B498">
        <f>IF($M498="","",INDEX(상세표[성명],$M498)&amp;"")</f>
        <v/>
      </c>
      <c r="C498">
        <f>IF($M498="","",IF(INDEX(상세표[종료월],$M498)=대상월키,"전월→이번 달","이번 달→익월"))</f>
        <v/>
      </c>
      <c r="D498">
        <f>IF($M498="","",IF(ISNUMBER(INDEX(상세표[시작],$M498)),TEXT(INDEX(상세표[시작],$M498),"yyyy-mm-dd hh:mm"),INDEX(상세표[시작],$M498)&amp;""))</f>
        <v/>
      </c>
      <c r="E498">
        <f>IF($M498="","",IF(ISNUMBER(INDEX(상세표[종료],$M498)),TEXT(INDEX(상세표[종료],$M498),"yyyy-mm-dd hh:mm"),INDEX(상세표[종료],$M498)&amp;""))</f>
        <v/>
      </c>
      <c r="F498" s="20">
        <f>IF($M498="","",INDEX(상세표[기록 시간외],$M498))</f>
        <v/>
      </c>
      <c r="G498">
        <f>IF($M498="","",INDEX(상세표[시작월 기관],$M498)&amp;"")</f>
        <v/>
      </c>
      <c r="H498">
        <f>IF($M498="","",INDEX(상세표[종료월 기관],$M498)&amp;"")</f>
        <v/>
      </c>
      <c r="I498">
        <f>IF($M498="","",INDEX(상세표[월경계 판정],$M498)&amp;"")</f>
        <v/>
      </c>
      <c r="J498">
        <f>IF($M498="","",INDEX(상세표[반영월],$M498)&amp;"")</f>
        <v/>
      </c>
      <c r="K498">
        <f>IF($M498="","",INDEX(상세표[반영 기관],$M498)&amp;"")</f>
        <v/>
      </c>
      <c r="L498">
        <f>IF($M498="","",INDEX(상세표[기관 출처],$M498)&amp;"")</f>
        <v/>
      </c>
      <c r="M498" s="4">
        <f>IFERROR(MATCH(493,상세표[경계순번],0),"")</f>
        <v/>
      </c>
    </row>
    <row r="499">
      <c r="A499">
        <f>IF($M499="","",INDEX(상세표[사번],$M499)&amp;"")</f>
        <v/>
      </c>
      <c r="B499">
        <f>IF($M499="","",INDEX(상세표[성명],$M499)&amp;"")</f>
        <v/>
      </c>
      <c r="C499">
        <f>IF($M499="","",IF(INDEX(상세표[종료월],$M499)=대상월키,"전월→이번 달","이번 달→익월"))</f>
        <v/>
      </c>
      <c r="D499">
        <f>IF($M499="","",IF(ISNUMBER(INDEX(상세표[시작],$M499)),TEXT(INDEX(상세표[시작],$M499),"yyyy-mm-dd hh:mm"),INDEX(상세표[시작],$M499)&amp;""))</f>
        <v/>
      </c>
      <c r="E499">
        <f>IF($M499="","",IF(ISNUMBER(INDEX(상세표[종료],$M499)),TEXT(INDEX(상세표[종료],$M499),"yyyy-mm-dd hh:mm"),INDEX(상세표[종료],$M499)&amp;""))</f>
        <v/>
      </c>
      <c r="F499" s="20">
        <f>IF($M499="","",INDEX(상세표[기록 시간외],$M499))</f>
        <v/>
      </c>
      <c r="G499">
        <f>IF($M499="","",INDEX(상세표[시작월 기관],$M499)&amp;"")</f>
        <v/>
      </c>
      <c r="H499">
        <f>IF($M499="","",INDEX(상세표[종료월 기관],$M499)&amp;"")</f>
        <v/>
      </c>
      <c r="I499">
        <f>IF($M499="","",INDEX(상세표[월경계 판정],$M499)&amp;"")</f>
        <v/>
      </c>
      <c r="J499">
        <f>IF($M499="","",INDEX(상세표[반영월],$M499)&amp;"")</f>
        <v/>
      </c>
      <c r="K499">
        <f>IF($M499="","",INDEX(상세표[반영 기관],$M499)&amp;"")</f>
        <v/>
      </c>
      <c r="L499">
        <f>IF($M499="","",INDEX(상세표[기관 출처],$M499)&amp;"")</f>
        <v/>
      </c>
      <c r="M499" s="4">
        <f>IFERROR(MATCH(494,상세표[경계순번],0),"")</f>
        <v/>
      </c>
    </row>
    <row r="500">
      <c r="A500">
        <f>IF($M500="","",INDEX(상세표[사번],$M500)&amp;"")</f>
        <v/>
      </c>
      <c r="B500">
        <f>IF($M500="","",INDEX(상세표[성명],$M500)&amp;"")</f>
        <v/>
      </c>
      <c r="C500">
        <f>IF($M500="","",IF(INDEX(상세표[종료월],$M500)=대상월키,"전월→이번 달","이번 달→익월"))</f>
        <v/>
      </c>
      <c r="D500">
        <f>IF($M500="","",IF(ISNUMBER(INDEX(상세표[시작],$M500)),TEXT(INDEX(상세표[시작],$M500),"yyyy-mm-dd hh:mm"),INDEX(상세표[시작],$M500)&amp;""))</f>
        <v/>
      </c>
      <c r="E500">
        <f>IF($M500="","",IF(ISNUMBER(INDEX(상세표[종료],$M500)),TEXT(INDEX(상세표[종료],$M500),"yyyy-mm-dd hh:mm"),INDEX(상세표[종료],$M500)&amp;""))</f>
        <v/>
      </c>
      <c r="F500" s="20">
        <f>IF($M500="","",INDEX(상세표[기록 시간외],$M500))</f>
        <v/>
      </c>
      <c r="G500">
        <f>IF($M500="","",INDEX(상세표[시작월 기관],$M500)&amp;"")</f>
        <v/>
      </c>
      <c r="H500">
        <f>IF($M500="","",INDEX(상세표[종료월 기관],$M500)&amp;"")</f>
        <v/>
      </c>
      <c r="I500">
        <f>IF($M500="","",INDEX(상세표[월경계 판정],$M500)&amp;"")</f>
        <v/>
      </c>
      <c r="J500">
        <f>IF($M500="","",INDEX(상세표[반영월],$M500)&amp;"")</f>
        <v/>
      </c>
      <c r="K500">
        <f>IF($M500="","",INDEX(상세표[반영 기관],$M500)&amp;"")</f>
        <v/>
      </c>
      <c r="L500">
        <f>IF($M500="","",INDEX(상세표[기관 출처],$M500)&amp;"")</f>
        <v/>
      </c>
      <c r="M500" s="4">
        <f>IFERROR(MATCH(495,상세표[경계순번],0),"")</f>
        <v/>
      </c>
    </row>
    <row r="501">
      <c r="A501">
        <f>IF($M501="","",INDEX(상세표[사번],$M501)&amp;"")</f>
        <v/>
      </c>
      <c r="B501">
        <f>IF($M501="","",INDEX(상세표[성명],$M501)&amp;"")</f>
        <v/>
      </c>
      <c r="C501">
        <f>IF($M501="","",IF(INDEX(상세표[종료월],$M501)=대상월키,"전월→이번 달","이번 달→익월"))</f>
        <v/>
      </c>
      <c r="D501">
        <f>IF($M501="","",IF(ISNUMBER(INDEX(상세표[시작],$M501)),TEXT(INDEX(상세표[시작],$M501),"yyyy-mm-dd hh:mm"),INDEX(상세표[시작],$M501)&amp;""))</f>
        <v/>
      </c>
      <c r="E501">
        <f>IF($M501="","",IF(ISNUMBER(INDEX(상세표[종료],$M501)),TEXT(INDEX(상세표[종료],$M501),"yyyy-mm-dd hh:mm"),INDEX(상세표[종료],$M501)&amp;""))</f>
        <v/>
      </c>
      <c r="F501" s="20">
        <f>IF($M501="","",INDEX(상세표[기록 시간외],$M501))</f>
        <v/>
      </c>
      <c r="G501">
        <f>IF($M501="","",INDEX(상세표[시작월 기관],$M501)&amp;"")</f>
        <v/>
      </c>
      <c r="H501">
        <f>IF($M501="","",INDEX(상세표[종료월 기관],$M501)&amp;"")</f>
        <v/>
      </c>
      <c r="I501">
        <f>IF($M501="","",INDEX(상세표[월경계 판정],$M501)&amp;"")</f>
        <v/>
      </c>
      <c r="J501">
        <f>IF($M501="","",INDEX(상세표[반영월],$M501)&amp;"")</f>
        <v/>
      </c>
      <c r="K501">
        <f>IF($M501="","",INDEX(상세표[반영 기관],$M501)&amp;"")</f>
        <v/>
      </c>
      <c r="L501">
        <f>IF($M501="","",INDEX(상세표[기관 출처],$M501)&amp;"")</f>
        <v/>
      </c>
      <c r="M501" s="4">
        <f>IFERROR(MATCH(496,상세표[경계순번],0),"")</f>
        <v/>
      </c>
    </row>
    <row r="502">
      <c r="A502">
        <f>IF($M502="","",INDEX(상세표[사번],$M502)&amp;"")</f>
        <v/>
      </c>
      <c r="B502">
        <f>IF($M502="","",INDEX(상세표[성명],$M502)&amp;"")</f>
        <v/>
      </c>
      <c r="C502">
        <f>IF($M502="","",IF(INDEX(상세표[종료월],$M502)=대상월키,"전월→이번 달","이번 달→익월"))</f>
        <v/>
      </c>
      <c r="D502">
        <f>IF($M502="","",IF(ISNUMBER(INDEX(상세표[시작],$M502)),TEXT(INDEX(상세표[시작],$M502),"yyyy-mm-dd hh:mm"),INDEX(상세표[시작],$M502)&amp;""))</f>
        <v/>
      </c>
      <c r="E502">
        <f>IF($M502="","",IF(ISNUMBER(INDEX(상세표[종료],$M502)),TEXT(INDEX(상세표[종료],$M502),"yyyy-mm-dd hh:mm"),INDEX(상세표[종료],$M502)&amp;""))</f>
        <v/>
      </c>
      <c r="F502" s="20">
        <f>IF($M502="","",INDEX(상세표[기록 시간외],$M502))</f>
        <v/>
      </c>
      <c r="G502">
        <f>IF($M502="","",INDEX(상세표[시작월 기관],$M502)&amp;"")</f>
        <v/>
      </c>
      <c r="H502">
        <f>IF($M502="","",INDEX(상세표[종료월 기관],$M502)&amp;"")</f>
        <v/>
      </c>
      <c r="I502">
        <f>IF($M502="","",INDEX(상세표[월경계 판정],$M502)&amp;"")</f>
        <v/>
      </c>
      <c r="J502">
        <f>IF($M502="","",INDEX(상세표[반영월],$M502)&amp;"")</f>
        <v/>
      </c>
      <c r="K502">
        <f>IF($M502="","",INDEX(상세표[반영 기관],$M502)&amp;"")</f>
        <v/>
      </c>
      <c r="L502">
        <f>IF($M502="","",INDEX(상세표[기관 출처],$M502)&amp;"")</f>
        <v/>
      </c>
      <c r="M502" s="4">
        <f>IFERROR(MATCH(497,상세표[경계순번],0),"")</f>
        <v/>
      </c>
    </row>
    <row r="503">
      <c r="A503">
        <f>IF($M503="","",INDEX(상세표[사번],$M503)&amp;"")</f>
        <v/>
      </c>
      <c r="B503">
        <f>IF($M503="","",INDEX(상세표[성명],$M503)&amp;"")</f>
        <v/>
      </c>
      <c r="C503">
        <f>IF($M503="","",IF(INDEX(상세표[종료월],$M503)=대상월키,"전월→이번 달","이번 달→익월"))</f>
        <v/>
      </c>
      <c r="D503">
        <f>IF($M503="","",IF(ISNUMBER(INDEX(상세표[시작],$M503)),TEXT(INDEX(상세표[시작],$M503),"yyyy-mm-dd hh:mm"),INDEX(상세표[시작],$M503)&amp;""))</f>
        <v/>
      </c>
      <c r="E503">
        <f>IF($M503="","",IF(ISNUMBER(INDEX(상세표[종료],$M503)),TEXT(INDEX(상세표[종료],$M503),"yyyy-mm-dd hh:mm"),INDEX(상세표[종료],$M503)&amp;""))</f>
        <v/>
      </c>
      <c r="F503" s="20">
        <f>IF($M503="","",INDEX(상세표[기록 시간외],$M503))</f>
        <v/>
      </c>
      <c r="G503">
        <f>IF($M503="","",INDEX(상세표[시작월 기관],$M503)&amp;"")</f>
        <v/>
      </c>
      <c r="H503">
        <f>IF($M503="","",INDEX(상세표[종료월 기관],$M503)&amp;"")</f>
        <v/>
      </c>
      <c r="I503">
        <f>IF($M503="","",INDEX(상세표[월경계 판정],$M503)&amp;"")</f>
        <v/>
      </c>
      <c r="J503">
        <f>IF($M503="","",INDEX(상세표[반영월],$M503)&amp;"")</f>
        <v/>
      </c>
      <c r="K503">
        <f>IF($M503="","",INDEX(상세표[반영 기관],$M503)&amp;"")</f>
        <v/>
      </c>
      <c r="L503">
        <f>IF($M503="","",INDEX(상세표[기관 출처],$M503)&amp;"")</f>
        <v/>
      </c>
      <c r="M503" s="4">
        <f>IFERROR(MATCH(498,상세표[경계순번],0),"")</f>
        <v/>
      </c>
    </row>
    <row r="504">
      <c r="A504">
        <f>IF($M504="","",INDEX(상세표[사번],$M504)&amp;"")</f>
        <v/>
      </c>
      <c r="B504">
        <f>IF($M504="","",INDEX(상세표[성명],$M504)&amp;"")</f>
        <v/>
      </c>
      <c r="C504">
        <f>IF($M504="","",IF(INDEX(상세표[종료월],$M504)=대상월키,"전월→이번 달","이번 달→익월"))</f>
        <v/>
      </c>
      <c r="D504">
        <f>IF($M504="","",IF(ISNUMBER(INDEX(상세표[시작],$M504)),TEXT(INDEX(상세표[시작],$M504),"yyyy-mm-dd hh:mm"),INDEX(상세표[시작],$M504)&amp;""))</f>
        <v/>
      </c>
      <c r="E504">
        <f>IF($M504="","",IF(ISNUMBER(INDEX(상세표[종료],$M504)),TEXT(INDEX(상세표[종료],$M504),"yyyy-mm-dd hh:mm"),INDEX(상세표[종료],$M504)&amp;""))</f>
        <v/>
      </c>
      <c r="F504" s="20">
        <f>IF($M504="","",INDEX(상세표[기록 시간외],$M504))</f>
        <v/>
      </c>
      <c r="G504">
        <f>IF($M504="","",INDEX(상세표[시작월 기관],$M504)&amp;"")</f>
        <v/>
      </c>
      <c r="H504">
        <f>IF($M504="","",INDEX(상세표[종료월 기관],$M504)&amp;"")</f>
        <v/>
      </c>
      <c r="I504">
        <f>IF($M504="","",INDEX(상세표[월경계 판정],$M504)&amp;"")</f>
        <v/>
      </c>
      <c r="J504">
        <f>IF($M504="","",INDEX(상세표[반영월],$M504)&amp;"")</f>
        <v/>
      </c>
      <c r="K504">
        <f>IF($M504="","",INDEX(상세표[반영 기관],$M504)&amp;"")</f>
        <v/>
      </c>
      <c r="L504">
        <f>IF($M504="","",INDEX(상세표[기관 출처],$M504)&amp;"")</f>
        <v/>
      </c>
      <c r="M504" s="4">
        <f>IFERROR(MATCH(499,상세표[경계순번],0),"")</f>
        <v/>
      </c>
    </row>
    <row r="505">
      <c r="A505">
        <f>IF($M505="","",INDEX(상세표[사번],$M505)&amp;"")</f>
        <v/>
      </c>
      <c r="B505">
        <f>IF($M505="","",INDEX(상세표[성명],$M505)&amp;"")</f>
        <v/>
      </c>
      <c r="C505">
        <f>IF($M505="","",IF(INDEX(상세표[종료월],$M505)=대상월키,"전월→이번 달","이번 달→익월"))</f>
        <v/>
      </c>
      <c r="D505">
        <f>IF($M505="","",IF(ISNUMBER(INDEX(상세표[시작],$M505)),TEXT(INDEX(상세표[시작],$M505),"yyyy-mm-dd hh:mm"),INDEX(상세표[시작],$M505)&amp;""))</f>
        <v/>
      </c>
      <c r="E505">
        <f>IF($M505="","",IF(ISNUMBER(INDEX(상세표[종료],$M505)),TEXT(INDEX(상세표[종료],$M505),"yyyy-mm-dd hh:mm"),INDEX(상세표[종료],$M505)&amp;""))</f>
        <v/>
      </c>
      <c r="F505" s="20">
        <f>IF($M505="","",INDEX(상세표[기록 시간외],$M505))</f>
        <v/>
      </c>
      <c r="G505">
        <f>IF($M505="","",INDEX(상세표[시작월 기관],$M505)&amp;"")</f>
        <v/>
      </c>
      <c r="H505">
        <f>IF($M505="","",INDEX(상세표[종료월 기관],$M505)&amp;"")</f>
        <v/>
      </c>
      <c r="I505">
        <f>IF($M505="","",INDEX(상세표[월경계 판정],$M505)&amp;"")</f>
        <v/>
      </c>
      <c r="J505">
        <f>IF($M505="","",INDEX(상세표[반영월],$M505)&amp;"")</f>
        <v/>
      </c>
      <c r="K505">
        <f>IF($M505="","",INDEX(상세표[반영 기관],$M505)&amp;"")</f>
        <v/>
      </c>
      <c r="L505">
        <f>IF($M505="","",INDEX(상세표[기관 출처],$M505)&amp;"")</f>
        <v/>
      </c>
      <c r="M505" s="4">
        <f>IFERROR(MATCH(500,상세표[경계순번],0),"")</f>
        <v/>
      </c>
    </row>
    <row r="506">
      <c r="A506">
        <f>IF($M506="","",INDEX(상세표[사번],$M506)&amp;"")</f>
        <v/>
      </c>
      <c r="B506">
        <f>IF($M506="","",INDEX(상세표[성명],$M506)&amp;"")</f>
        <v/>
      </c>
      <c r="C506">
        <f>IF($M506="","",IF(INDEX(상세표[종료월],$M506)=대상월키,"전월→이번 달","이번 달→익월"))</f>
        <v/>
      </c>
      <c r="D506">
        <f>IF($M506="","",IF(ISNUMBER(INDEX(상세표[시작],$M506)),TEXT(INDEX(상세표[시작],$M506),"yyyy-mm-dd hh:mm"),INDEX(상세표[시작],$M506)&amp;""))</f>
        <v/>
      </c>
      <c r="E506">
        <f>IF($M506="","",IF(ISNUMBER(INDEX(상세표[종료],$M506)),TEXT(INDEX(상세표[종료],$M506),"yyyy-mm-dd hh:mm"),INDEX(상세표[종료],$M506)&amp;""))</f>
        <v/>
      </c>
      <c r="F506" s="20">
        <f>IF($M506="","",INDEX(상세표[기록 시간외],$M506))</f>
        <v/>
      </c>
      <c r="G506">
        <f>IF($M506="","",INDEX(상세표[시작월 기관],$M506)&amp;"")</f>
        <v/>
      </c>
      <c r="H506">
        <f>IF($M506="","",INDEX(상세표[종료월 기관],$M506)&amp;"")</f>
        <v/>
      </c>
      <c r="I506">
        <f>IF($M506="","",INDEX(상세표[월경계 판정],$M506)&amp;"")</f>
        <v/>
      </c>
      <c r="J506">
        <f>IF($M506="","",INDEX(상세표[반영월],$M506)&amp;"")</f>
        <v/>
      </c>
      <c r="K506">
        <f>IF($M506="","",INDEX(상세표[반영 기관],$M506)&amp;"")</f>
        <v/>
      </c>
      <c r="L506">
        <f>IF($M506="","",INDEX(상세표[기관 출처],$M506)&amp;"")</f>
        <v/>
      </c>
      <c r="M506" s="4">
        <f>IFERROR(MATCH(501,상세표[경계순번],0),"")</f>
        <v/>
      </c>
    </row>
    <row r="507">
      <c r="A507">
        <f>IF($M507="","",INDEX(상세표[사번],$M507)&amp;"")</f>
        <v/>
      </c>
      <c r="B507">
        <f>IF($M507="","",INDEX(상세표[성명],$M507)&amp;"")</f>
        <v/>
      </c>
      <c r="C507">
        <f>IF($M507="","",IF(INDEX(상세표[종료월],$M507)=대상월키,"전월→이번 달","이번 달→익월"))</f>
        <v/>
      </c>
      <c r="D507">
        <f>IF($M507="","",IF(ISNUMBER(INDEX(상세표[시작],$M507)),TEXT(INDEX(상세표[시작],$M507),"yyyy-mm-dd hh:mm"),INDEX(상세표[시작],$M507)&amp;""))</f>
        <v/>
      </c>
      <c r="E507">
        <f>IF($M507="","",IF(ISNUMBER(INDEX(상세표[종료],$M507)),TEXT(INDEX(상세표[종료],$M507),"yyyy-mm-dd hh:mm"),INDEX(상세표[종료],$M507)&amp;""))</f>
        <v/>
      </c>
      <c r="F507" s="20">
        <f>IF($M507="","",INDEX(상세표[기록 시간외],$M507))</f>
        <v/>
      </c>
      <c r="G507">
        <f>IF($M507="","",INDEX(상세표[시작월 기관],$M507)&amp;"")</f>
        <v/>
      </c>
      <c r="H507">
        <f>IF($M507="","",INDEX(상세표[종료월 기관],$M507)&amp;"")</f>
        <v/>
      </c>
      <c r="I507">
        <f>IF($M507="","",INDEX(상세표[월경계 판정],$M507)&amp;"")</f>
        <v/>
      </c>
      <c r="J507">
        <f>IF($M507="","",INDEX(상세표[반영월],$M507)&amp;"")</f>
        <v/>
      </c>
      <c r="K507">
        <f>IF($M507="","",INDEX(상세표[반영 기관],$M507)&amp;"")</f>
        <v/>
      </c>
      <c r="L507">
        <f>IF($M507="","",INDEX(상세표[기관 출처],$M507)&amp;"")</f>
        <v/>
      </c>
      <c r="M507" s="4">
        <f>IFERROR(MATCH(502,상세표[경계순번],0),"")</f>
        <v/>
      </c>
    </row>
    <row r="508">
      <c r="A508">
        <f>IF($M508="","",INDEX(상세표[사번],$M508)&amp;"")</f>
        <v/>
      </c>
      <c r="B508">
        <f>IF($M508="","",INDEX(상세표[성명],$M508)&amp;"")</f>
        <v/>
      </c>
      <c r="C508">
        <f>IF($M508="","",IF(INDEX(상세표[종료월],$M508)=대상월키,"전월→이번 달","이번 달→익월"))</f>
        <v/>
      </c>
      <c r="D508">
        <f>IF($M508="","",IF(ISNUMBER(INDEX(상세표[시작],$M508)),TEXT(INDEX(상세표[시작],$M508),"yyyy-mm-dd hh:mm"),INDEX(상세표[시작],$M508)&amp;""))</f>
        <v/>
      </c>
      <c r="E508">
        <f>IF($M508="","",IF(ISNUMBER(INDEX(상세표[종료],$M508)),TEXT(INDEX(상세표[종료],$M508),"yyyy-mm-dd hh:mm"),INDEX(상세표[종료],$M508)&amp;""))</f>
        <v/>
      </c>
      <c r="F508" s="20">
        <f>IF($M508="","",INDEX(상세표[기록 시간외],$M508))</f>
        <v/>
      </c>
      <c r="G508">
        <f>IF($M508="","",INDEX(상세표[시작월 기관],$M508)&amp;"")</f>
        <v/>
      </c>
      <c r="H508">
        <f>IF($M508="","",INDEX(상세표[종료월 기관],$M508)&amp;"")</f>
        <v/>
      </c>
      <c r="I508">
        <f>IF($M508="","",INDEX(상세표[월경계 판정],$M508)&amp;"")</f>
        <v/>
      </c>
      <c r="J508">
        <f>IF($M508="","",INDEX(상세표[반영월],$M508)&amp;"")</f>
        <v/>
      </c>
      <c r="K508">
        <f>IF($M508="","",INDEX(상세표[반영 기관],$M508)&amp;"")</f>
        <v/>
      </c>
      <c r="L508">
        <f>IF($M508="","",INDEX(상세표[기관 출처],$M508)&amp;"")</f>
        <v/>
      </c>
      <c r="M508" s="4">
        <f>IFERROR(MATCH(503,상세표[경계순번],0),"")</f>
        <v/>
      </c>
    </row>
    <row r="509">
      <c r="A509">
        <f>IF($M509="","",INDEX(상세표[사번],$M509)&amp;"")</f>
        <v/>
      </c>
      <c r="B509">
        <f>IF($M509="","",INDEX(상세표[성명],$M509)&amp;"")</f>
        <v/>
      </c>
      <c r="C509">
        <f>IF($M509="","",IF(INDEX(상세표[종료월],$M509)=대상월키,"전월→이번 달","이번 달→익월"))</f>
        <v/>
      </c>
      <c r="D509">
        <f>IF($M509="","",IF(ISNUMBER(INDEX(상세표[시작],$M509)),TEXT(INDEX(상세표[시작],$M509),"yyyy-mm-dd hh:mm"),INDEX(상세표[시작],$M509)&amp;""))</f>
        <v/>
      </c>
      <c r="E509">
        <f>IF($M509="","",IF(ISNUMBER(INDEX(상세표[종료],$M509)),TEXT(INDEX(상세표[종료],$M509),"yyyy-mm-dd hh:mm"),INDEX(상세표[종료],$M509)&amp;""))</f>
        <v/>
      </c>
      <c r="F509" s="20">
        <f>IF($M509="","",INDEX(상세표[기록 시간외],$M509))</f>
        <v/>
      </c>
      <c r="G509">
        <f>IF($M509="","",INDEX(상세표[시작월 기관],$M509)&amp;"")</f>
        <v/>
      </c>
      <c r="H509">
        <f>IF($M509="","",INDEX(상세표[종료월 기관],$M509)&amp;"")</f>
        <v/>
      </c>
      <c r="I509">
        <f>IF($M509="","",INDEX(상세표[월경계 판정],$M509)&amp;"")</f>
        <v/>
      </c>
      <c r="J509">
        <f>IF($M509="","",INDEX(상세표[반영월],$M509)&amp;"")</f>
        <v/>
      </c>
      <c r="K509">
        <f>IF($M509="","",INDEX(상세표[반영 기관],$M509)&amp;"")</f>
        <v/>
      </c>
      <c r="L509">
        <f>IF($M509="","",INDEX(상세표[기관 출처],$M509)&amp;"")</f>
        <v/>
      </c>
      <c r="M509" s="4">
        <f>IFERROR(MATCH(504,상세표[경계순번],0),"")</f>
        <v/>
      </c>
    </row>
    <row r="510">
      <c r="A510">
        <f>IF($M510="","",INDEX(상세표[사번],$M510)&amp;"")</f>
        <v/>
      </c>
      <c r="B510">
        <f>IF($M510="","",INDEX(상세표[성명],$M510)&amp;"")</f>
        <v/>
      </c>
      <c r="C510">
        <f>IF($M510="","",IF(INDEX(상세표[종료월],$M510)=대상월키,"전월→이번 달","이번 달→익월"))</f>
        <v/>
      </c>
      <c r="D510">
        <f>IF($M510="","",IF(ISNUMBER(INDEX(상세표[시작],$M510)),TEXT(INDEX(상세표[시작],$M510),"yyyy-mm-dd hh:mm"),INDEX(상세표[시작],$M510)&amp;""))</f>
        <v/>
      </c>
      <c r="E510">
        <f>IF($M510="","",IF(ISNUMBER(INDEX(상세표[종료],$M510)),TEXT(INDEX(상세표[종료],$M510),"yyyy-mm-dd hh:mm"),INDEX(상세표[종료],$M510)&amp;""))</f>
        <v/>
      </c>
      <c r="F510" s="20">
        <f>IF($M510="","",INDEX(상세표[기록 시간외],$M510))</f>
        <v/>
      </c>
      <c r="G510">
        <f>IF($M510="","",INDEX(상세표[시작월 기관],$M510)&amp;"")</f>
        <v/>
      </c>
      <c r="H510">
        <f>IF($M510="","",INDEX(상세표[종료월 기관],$M510)&amp;"")</f>
        <v/>
      </c>
      <c r="I510">
        <f>IF($M510="","",INDEX(상세표[월경계 판정],$M510)&amp;"")</f>
        <v/>
      </c>
      <c r="J510">
        <f>IF($M510="","",INDEX(상세표[반영월],$M510)&amp;"")</f>
        <v/>
      </c>
      <c r="K510">
        <f>IF($M510="","",INDEX(상세표[반영 기관],$M510)&amp;"")</f>
        <v/>
      </c>
      <c r="L510">
        <f>IF($M510="","",INDEX(상세표[기관 출처],$M510)&amp;"")</f>
        <v/>
      </c>
      <c r="M510" s="4">
        <f>IFERROR(MATCH(505,상세표[경계순번],0),"")</f>
        <v/>
      </c>
    </row>
    <row r="511">
      <c r="A511">
        <f>IF($M511="","",INDEX(상세표[사번],$M511)&amp;"")</f>
        <v/>
      </c>
      <c r="B511">
        <f>IF($M511="","",INDEX(상세표[성명],$M511)&amp;"")</f>
        <v/>
      </c>
      <c r="C511">
        <f>IF($M511="","",IF(INDEX(상세표[종료월],$M511)=대상월키,"전월→이번 달","이번 달→익월"))</f>
        <v/>
      </c>
      <c r="D511">
        <f>IF($M511="","",IF(ISNUMBER(INDEX(상세표[시작],$M511)),TEXT(INDEX(상세표[시작],$M511),"yyyy-mm-dd hh:mm"),INDEX(상세표[시작],$M511)&amp;""))</f>
        <v/>
      </c>
      <c r="E511">
        <f>IF($M511="","",IF(ISNUMBER(INDEX(상세표[종료],$M511)),TEXT(INDEX(상세표[종료],$M511),"yyyy-mm-dd hh:mm"),INDEX(상세표[종료],$M511)&amp;""))</f>
        <v/>
      </c>
      <c r="F511" s="20">
        <f>IF($M511="","",INDEX(상세표[기록 시간외],$M511))</f>
        <v/>
      </c>
      <c r="G511">
        <f>IF($M511="","",INDEX(상세표[시작월 기관],$M511)&amp;"")</f>
        <v/>
      </c>
      <c r="H511">
        <f>IF($M511="","",INDEX(상세표[종료월 기관],$M511)&amp;"")</f>
        <v/>
      </c>
      <c r="I511">
        <f>IF($M511="","",INDEX(상세표[월경계 판정],$M511)&amp;"")</f>
        <v/>
      </c>
      <c r="J511">
        <f>IF($M511="","",INDEX(상세표[반영월],$M511)&amp;"")</f>
        <v/>
      </c>
      <c r="K511">
        <f>IF($M511="","",INDEX(상세표[반영 기관],$M511)&amp;"")</f>
        <v/>
      </c>
      <c r="L511">
        <f>IF($M511="","",INDEX(상세표[기관 출처],$M511)&amp;"")</f>
        <v/>
      </c>
      <c r="M511" s="4">
        <f>IFERROR(MATCH(506,상세표[경계순번],0),"")</f>
        <v/>
      </c>
    </row>
    <row r="512">
      <c r="A512">
        <f>IF($M512="","",INDEX(상세표[사번],$M512)&amp;"")</f>
        <v/>
      </c>
      <c r="B512">
        <f>IF($M512="","",INDEX(상세표[성명],$M512)&amp;"")</f>
        <v/>
      </c>
      <c r="C512">
        <f>IF($M512="","",IF(INDEX(상세표[종료월],$M512)=대상월키,"전월→이번 달","이번 달→익월"))</f>
        <v/>
      </c>
      <c r="D512">
        <f>IF($M512="","",IF(ISNUMBER(INDEX(상세표[시작],$M512)),TEXT(INDEX(상세표[시작],$M512),"yyyy-mm-dd hh:mm"),INDEX(상세표[시작],$M512)&amp;""))</f>
        <v/>
      </c>
      <c r="E512">
        <f>IF($M512="","",IF(ISNUMBER(INDEX(상세표[종료],$M512)),TEXT(INDEX(상세표[종료],$M512),"yyyy-mm-dd hh:mm"),INDEX(상세표[종료],$M512)&amp;""))</f>
        <v/>
      </c>
      <c r="F512" s="20">
        <f>IF($M512="","",INDEX(상세표[기록 시간외],$M512))</f>
        <v/>
      </c>
      <c r="G512">
        <f>IF($M512="","",INDEX(상세표[시작월 기관],$M512)&amp;"")</f>
        <v/>
      </c>
      <c r="H512">
        <f>IF($M512="","",INDEX(상세표[종료월 기관],$M512)&amp;"")</f>
        <v/>
      </c>
      <c r="I512">
        <f>IF($M512="","",INDEX(상세표[월경계 판정],$M512)&amp;"")</f>
        <v/>
      </c>
      <c r="J512">
        <f>IF($M512="","",INDEX(상세표[반영월],$M512)&amp;"")</f>
        <v/>
      </c>
      <c r="K512">
        <f>IF($M512="","",INDEX(상세표[반영 기관],$M512)&amp;"")</f>
        <v/>
      </c>
      <c r="L512">
        <f>IF($M512="","",INDEX(상세표[기관 출처],$M512)&amp;"")</f>
        <v/>
      </c>
      <c r="M512" s="4">
        <f>IFERROR(MATCH(507,상세표[경계순번],0),"")</f>
        <v/>
      </c>
    </row>
    <row r="513">
      <c r="A513">
        <f>IF($M513="","",INDEX(상세표[사번],$M513)&amp;"")</f>
        <v/>
      </c>
      <c r="B513">
        <f>IF($M513="","",INDEX(상세표[성명],$M513)&amp;"")</f>
        <v/>
      </c>
      <c r="C513">
        <f>IF($M513="","",IF(INDEX(상세표[종료월],$M513)=대상월키,"전월→이번 달","이번 달→익월"))</f>
        <v/>
      </c>
      <c r="D513">
        <f>IF($M513="","",IF(ISNUMBER(INDEX(상세표[시작],$M513)),TEXT(INDEX(상세표[시작],$M513),"yyyy-mm-dd hh:mm"),INDEX(상세표[시작],$M513)&amp;""))</f>
        <v/>
      </c>
      <c r="E513">
        <f>IF($M513="","",IF(ISNUMBER(INDEX(상세표[종료],$M513)),TEXT(INDEX(상세표[종료],$M513),"yyyy-mm-dd hh:mm"),INDEX(상세표[종료],$M513)&amp;""))</f>
        <v/>
      </c>
      <c r="F513" s="20">
        <f>IF($M513="","",INDEX(상세표[기록 시간외],$M513))</f>
        <v/>
      </c>
      <c r="G513">
        <f>IF($M513="","",INDEX(상세표[시작월 기관],$M513)&amp;"")</f>
        <v/>
      </c>
      <c r="H513">
        <f>IF($M513="","",INDEX(상세표[종료월 기관],$M513)&amp;"")</f>
        <v/>
      </c>
      <c r="I513">
        <f>IF($M513="","",INDEX(상세표[월경계 판정],$M513)&amp;"")</f>
        <v/>
      </c>
      <c r="J513">
        <f>IF($M513="","",INDEX(상세표[반영월],$M513)&amp;"")</f>
        <v/>
      </c>
      <c r="K513">
        <f>IF($M513="","",INDEX(상세표[반영 기관],$M513)&amp;"")</f>
        <v/>
      </c>
      <c r="L513">
        <f>IF($M513="","",INDEX(상세표[기관 출처],$M513)&amp;"")</f>
        <v/>
      </c>
      <c r="M513" s="4">
        <f>IFERROR(MATCH(508,상세표[경계순번],0),"")</f>
        <v/>
      </c>
    </row>
    <row r="514">
      <c r="A514">
        <f>IF($M514="","",INDEX(상세표[사번],$M514)&amp;"")</f>
        <v/>
      </c>
      <c r="B514">
        <f>IF($M514="","",INDEX(상세표[성명],$M514)&amp;"")</f>
        <v/>
      </c>
      <c r="C514">
        <f>IF($M514="","",IF(INDEX(상세표[종료월],$M514)=대상월키,"전월→이번 달","이번 달→익월"))</f>
        <v/>
      </c>
      <c r="D514">
        <f>IF($M514="","",IF(ISNUMBER(INDEX(상세표[시작],$M514)),TEXT(INDEX(상세표[시작],$M514),"yyyy-mm-dd hh:mm"),INDEX(상세표[시작],$M514)&amp;""))</f>
        <v/>
      </c>
      <c r="E514">
        <f>IF($M514="","",IF(ISNUMBER(INDEX(상세표[종료],$M514)),TEXT(INDEX(상세표[종료],$M514),"yyyy-mm-dd hh:mm"),INDEX(상세표[종료],$M514)&amp;""))</f>
        <v/>
      </c>
      <c r="F514" s="20">
        <f>IF($M514="","",INDEX(상세표[기록 시간외],$M514))</f>
        <v/>
      </c>
      <c r="G514">
        <f>IF($M514="","",INDEX(상세표[시작월 기관],$M514)&amp;"")</f>
        <v/>
      </c>
      <c r="H514">
        <f>IF($M514="","",INDEX(상세표[종료월 기관],$M514)&amp;"")</f>
        <v/>
      </c>
      <c r="I514">
        <f>IF($M514="","",INDEX(상세표[월경계 판정],$M514)&amp;"")</f>
        <v/>
      </c>
      <c r="J514">
        <f>IF($M514="","",INDEX(상세표[반영월],$M514)&amp;"")</f>
        <v/>
      </c>
      <c r="K514">
        <f>IF($M514="","",INDEX(상세표[반영 기관],$M514)&amp;"")</f>
        <v/>
      </c>
      <c r="L514">
        <f>IF($M514="","",INDEX(상세표[기관 출처],$M514)&amp;"")</f>
        <v/>
      </c>
      <c r="M514" s="4">
        <f>IFERROR(MATCH(509,상세표[경계순번],0),"")</f>
        <v/>
      </c>
    </row>
    <row r="515">
      <c r="A515">
        <f>IF($M515="","",INDEX(상세표[사번],$M515)&amp;"")</f>
        <v/>
      </c>
      <c r="B515">
        <f>IF($M515="","",INDEX(상세표[성명],$M515)&amp;"")</f>
        <v/>
      </c>
      <c r="C515">
        <f>IF($M515="","",IF(INDEX(상세표[종료월],$M515)=대상월키,"전월→이번 달","이번 달→익월"))</f>
        <v/>
      </c>
      <c r="D515">
        <f>IF($M515="","",IF(ISNUMBER(INDEX(상세표[시작],$M515)),TEXT(INDEX(상세표[시작],$M515),"yyyy-mm-dd hh:mm"),INDEX(상세표[시작],$M515)&amp;""))</f>
        <v/>
      </c>
      <c r="E515">
        <f>IF($M515="","",IF(ISNUMBER(INDEX(상세표[종료],$M515)),TEXT(INDEX(상세표[종료],$M515),"yyyy-mm-dd hh:mm"),INDEX(상세표[종료],$M515)&amp;""))</f>
        <v/>
      </c>
      <c r="F515" s="20">
        <f>IF($M515="","",INDEX(상세표[기록 시간외],$M515))</f>
        <v/>
      </c>
      <c r="G515">
        <f>IF($M515="","",INDEX(상세표[시작월 기관],$M515)&amp;"")</f>
        <v/>
      </c>
      <c r="H515">
        <f>IF($M515="","",INDEX(상세표[종료월 기관],$M515)&amp;"")</f>
        <v/>
      </c>
      <c r="I515">
        <f>IF($M515="","",INDEX(상세표[월경계 판정],$M515)&amp;"")</f>
        <v/>
      </c>
      <c r="J515">
        <f>IF($M515="","",INDEX(상세표[반영월],$M515)&amp;"")</f>
        <v/>
      </c>
      <c r="K515">
        <f>IF($M515="","",INDEX(상세표[반영 기관],$M515)&amp;"")</f>
        <v/>
      </c>
      <c r="L515">
        <f>IF($M515="","",INDEX(상세표[기관 출처],$M515)&amp;"")</f>
        <v/>
      </c>
      <c r="M515" s="4">
        <f>IFERROR(MATCH(510,상세표[경계순번],0),"")</f>
        <v/>
      </c>
    </row>
    <row r="516">
      <c r="A516">
        <f>IF($M516="","",INDEX(상세표[사번],$M516)&amp;"")</f>
        <v/>
      </c>
      <c r="B516">
        <f>IF($M516="","",INDEX(상세표[성명],$M516)&amp;"")</f>
        <v/>
      </c>
      <c r="C516">
        <f>IF($M516="","",IF(INDEX(상세표[종료월],$M516)=대상월키,"전월→이번 달","이번 달→익월"))</f>
        <v/>
      </c>
      <c r="D516">
        <f>IF($M516="","",IF(ISNUMBER(INDEX(상세표[시작],$M516)),TEXT(INDEX(상세표[시작],$M516),"yyyy-mm-dd hh:mm"),INDEX(상세표[시작],$M516)&amp;""))</f>
        <v/>
      </c>
      <c r="E516">
        <f>IF($M516="","",IF(ISNUMBER(INDEX(상세표[종료],$M516)),TEXT(INDEX(상세표[종료],$M516),"yyyy-mm-dd hh:mm"),INDEX(상세표[종료],$M516)&amp;""))</f>
        <v/>
      </c>
      <c r="F516" s="20">
        <f>IF($M516="","",INDEX(상세표[기록 시간외],$M516))</f>
        <v/>
      </c>
      <c r="G516">
        <f>IF($M516="","",INDEX(상세표[시작월 기관],$M516)&amp;"")</f>
        <v/>
      </c>
      <c r="H516">
        <f>IF($M516="","",INDEX(상세표[종료월 기관],$M516)&amp;"")</f>
        <v/>
      </c>
      <c r="I516">
        <f>IF($M516="","",INDEX(상세표[월경계 판정],$M516)&amp;"")</f>
        <v/>
      </c>
      <c r="J516">
        <f>IF($M516="","",INDEX(상세표[반영월],$M516)&amp;"")</f>
        <v/>
      </c>
      <c r="K516">
        <f>IF($M516="","",INDEX(상세표[반영 기관],$M516)&amp;"")</f>
        <v/>
      </c>
      <c r="L516">
        <f>IF($M516="","",INDEX(상세표[기관 출처],$M516)&amp;"")</f>
        <v/>
      </c>
      <c r="M516" s="4">
        <f>IFERROR(MATCH(511,상세표[경계순번],0),"")</f>
        <v/>
      </c>
    </row>
    <row r="517">
      <c r="A517">
        <f>IF($M517="","",INDEX(상세표[사번],$M517)&amp;"")</f>
        <v/>
      </c>
      <c r="B517">
        <f>IF($M517="","",INDEX(상세표[성명],$M517)&amp;"")</f>
        <v/>
      </c>
      <c r="C517">
        <f>IF($M517="","",IF(INDEX(상세표[종료월],$M517)=대상월키,"전월→이번 달","이번 달→익월"))</f>
        <v/>
      </c>
      <c r="D517">
        <f>IF($M517="","",IF(ISNUMBER(INDEX(상세표[시작],$M517)),TEXT(INDEX(상세표[시작],$M517),"yyyy-mm-dd hh:mm"),INDEX(상세표[시작],$M517)&amp;""))</f>
        <v/>
      </c>
      <c r="E517">
        <f>IF($M517="","",IF(ISNUMBER(INDEX(상세표[종료],$M517)),TEXT(INDEX(상세표[종료],$M517),"yyyy-mm-dd hh:mm"),INDEX(상세표[종료],$M517)&amp;""))</f>
        <v/>
      </c>
      <c r="F517" s="20">
        <f>IF($M517="","",INDEX(상세표[기록 시간외],$M517))</f>
        <v/>
      </c>
      <c r="G517">
        <f>IF($M517="","",INDEX(상세표[시작월 기관],$M517)&amp;"")</f>
        <v/>
      </c>
      <c r="H517">
        <f>IF($M517="","",INDEX(상세표[종료월 기관],$M517)&amp;"")</f>
        <v/>
      </c>
      <c r="I517">
        <f>IF($M517="","",INDEX(상세표[월경계 판정],$M517)&amp;"")</f>
        <v/>
      </c>
      <c r="J517">
        <f>IF($M517="","",INDEX(상세표[반영월],$M517)&amp;"")</f>
        <v/>
      </c>
      <c r="K517">
        <f>IF($M517="","",INDEX(상세표[반영 기관],$M517)&amp;"")</f>
        <v/>
      </c>
      <c r="L517">
        <f>IF($M517="","",INDEX(상세표[기관 출처],$M517)&amp;"")</f>
        <v/>
      </c>
      <c r="M517" s="4">
        <f>IFERROR(MATCH(512,상세표[경계순번],0),"")</f>
        <v/>
      </c>
    </row>
    <row r="518">
      <c r="A518">
        <f>IF($M518="","",INDEX(상세표[사번],$M518)&amp;"")</f>
        <v/>
      </c>
      <c r="B518">
        <f>IF($M518="","",INDEX(상세표[성명],$M518)&amp;"")</f>
        <v/>
      </c>
      <c r="C518">
        <f>IF($M518="","",IF(INDEX(상세표[종료월],$M518)=대상월키,"전월→이번 달","이번 달→익월"))</f>
        <v/>
      </c>
      <c r="D518">
        <f>IF($M518="","",IF(ISNUMBER(INDEX(상세표[시작],$M518)),TEXT(INDEX(상세표[시작],$M518),"yyyy-mm-dd hh:mm"),INDEX(상세표[시작],$M518)&amp;""))</f>
        <v/>
      </c>
      <c r="E518">
        <f>IF($M518="","",IF(ISNUMBER(INDEX(상세표[종료],$M518)),TEXT(INDEX(상세표[종료],$M518),"yyyy-mm-dd hh:mm"),INDEX(상세표[종료],$M518)&amp;""))</f>
        <v/>
      </c>
      <c r="F518" s="20">
        <f>IF($M518="","",INDEX(상세표[기록 시간외],$M518))</f>
        <v/>
      </c>
      <c r="G518">
        <f>IF($M518="","",INDEX(상세표[시작월 기관],$M518)&amp;"")</f>
        <v/>
      </c>
      <c r="H518">
        <f>IF($M518="","",INDEX(상세표[종료월 기관],$M518)&amp;"")</f>
        <v/>
      </c>
      <c r="I518">
        <f>IF($M518="","",INDEX(상세표[월경계 판정],$M518)&amp;"")</f>
        <v/>
      </c>
      <c r="J518">
        <f>IF($M518="","",INDEX(상세표[반영월],$M518)&amp;"")</f>
        <v/>
      </c>
      <c r="K518">
        <f>IF($M518="","",INDEX(상세표[반영 기관],$M518)&amp;"")</f>
        <v/>
      </c>
      <c r="L518">
        <f>IF($M518="","",INDEX(상세표[기관 출처],$M518)&amp;"")</f>
        <v/>
      </c>
      <c r="M518" s="4">
        <f>IFERROR(MATCH(513,상세표[경계순번],0),"")</f>
        <v/>
      </c>
    </row>
    <row r="519">
      <c r="A519">
        <f>IF($M519="","",INDEX(상세표[사번],$M519)&amp;"")</f>
        <v/>
      </c>
      <c r="B519">
        <f>IF($M519="","",INDEX(상세표[성명],$M519)&amp;"")</f>
        <v/>
      </c>
      <c r="C519">
        <f>IF($M519="","",IF(INDEX(상세표[종료월],$M519)=대상월키,"전월→이번 달","이번 달→익월"))</f>
        <v/>
      </c>
      <c r="D519">
        <f>IF($M519="","",IF(ISNUMBER(INDEX(상세표[시작],$M519)),TEXT(INDEX(상세표[시작],$M519),"yyyy-mm-dd hh:mm"),INDEX(상세표[시작],$M519)&amp;""))</f>
        <v/>
      </c>
      <c r="E519">
        <f>IF($M519="","",IF(ISNUMBER(INDEX(상세표[종료],$M519)),TEXT(INDEX(상세표[종료],$M519),"yyyy-mm-dd hh:mm"),INDEX(상세표[종료],$M519)&amp;""))</f>
        <v/>
      </c>
      <c r="F519" s="20">
        <f>IF($M519="","",INDEX(상세표[기록 시간외],$M519))</f>
        <v/>
      </c>
      <c r="G519">
        <f>IF($M519="","",INDEX(상세표[시작월 기관],$M519)&amp;"")</f>
        <v/>
      </c>
      <c r="H519">
        <f>IF($M519="","",INDEX(상세표[종료월 기관],$M519)&amp;"")</f>
        <v/>
      </c>
      <c r="I519">
        <f>IF($M519="","",INDEX(상세표[월경계 판정],$M519)&amp;"")</f>
        <v/>
      </c>
      <c r="J519">
        <f>IF($M519="","",INDEX(상세표[반영월],$M519)&amp;"")</f>
        <v/>
      </c>
      <c r="K519">
        <f>IF($M519="","",INDEX(상세표[반영 기관],$M519)&amp;"")</f>
        <v/>
      </c>
      <c r="L519">
        <f>IF($M519="","",INDEX(상세표[기관 출처],$M519)&amp;"")</f>
        <v/>
      </c>
      <c r="M519" s="4">
        <f>IFERROR(MATCH(514,상세표[경계순번],0),"")</f>
        <v/>
      </c>
    </row>
    <row r="520">
      <c r="A520">
        <f>IF($M520="","",INDEX(상세표[사번],$M520)&amp;"")</f>
        <v/>
      </c>
      <c r="B520">
        <f>IF($M520="","",INDEX(상세표[성명],$M520)&amp;"")</f>
        <v/>
      </c>
      <c r="C520">
        <f>IF($M520="","",IF(INDEX(상세표[종료월],$M520)=대상월키,"전월→이번 달","이번 달→익월"))</f>
        <v/>
      </c>
      <c r="D520">
        <f>IF($M520="","",IF(ISNUMBER(INDEX(상세표[시작],$M520)),TEXT(INDEX(상세표[시작],$M520),"yyyy-mm-dd hh:mm"),INDEX(상세표[시작],$M520)&amp;""))</f>
        <v/>
      </c>
      <c r="E520">
        <f>IF($M520="","",IF(ISNUMBER(INDEX(상세표[종료],$M520)),TEXT(INDEX(상세표[종료],$M520),"yyyy-mm-dd hh:mm"),INDEX(상세표[종료],$M520)&amp;""))</f>
        <v/>
      </c>
      <c r="F520" s="20">
        <f>IF($M520="","",INDEX(상세표[기록 시간외],$M520))</f>
        <v/>
      </c>
      <c r="G520">
        <f>IF($M520="","",INDEX(상세표[시작월 기관],$M520)&amp;"")</f>
        <v/>
      </c>
      <c r="H520">
        <f>IF($M520="","",INDEX(상세표[종료월 기관],$M520)&amp;"")</f>
        <v/>
      </c>
      <c r="I520">
        <f>IF($M520="","",INDEX(상세표[월경계 판정],$M520)&amp;"")</f>
        <v/>
      </c>
      <c r="J520">
        <f>IF($M520="","",INDEX(상세표[반영월],$M520)&amp;"")</f>
        <v/>
      </c>
      <c r="K520">
        <f>IF($M520="","",INDEX(상세표[반영 기관],$M520)&amp;"")</f>
        <v/>
      </c>
      <c r="L520">
        <f>IF($M520="","",INDEX(상세표[기관 출처],$M520)&amp;"")</f>
        <v/>
      </c>
      <c r="M520" s="4">
        <f>IFERROR(MATCH(515,상세표[경계순번],0),"")</f>
        <v/>
      </c>
    </row>
    <row r="521">
      <c r="A521">
        <f>IF($M521="","",INDEX(상세표[사번],$M521)&amp;"")</f>
        <v/>
      </c>
      <c r="B521">
        <f>IF($M521="","",INDEX(상세표[성명],$M521)&amp;"")</f>
        <v/>
      </c>
      <c r="C521">
        <f>IF($M521="","",IF(INDEX(상세표[종료월],$M521)=대상월키,"전월→이번 달","이번 달→익월"))</f>
        <v/>
      </c>
      <c r="D521">
        <f>IF($M521="","",IF(ISNUMBER(INDEX(상세표[시작],$M521)),TEXT(INDEX(상세표[시작],$M521),"yyyy-mm-dd hh:mm"),INDEX(상세표[시작],$M521)&amp;""))</f>
        <v/>
      </c>
      <c r="E521">
        <f>IF($M521="","",IF(ISNUMBER(INDEX(상세표[종료],$M521)),TEXT(INDEX(상세표[종료],$M521),"yyyy-mm-dd hh:mm"),INDEX(상세표[종료],$M521)&amp;""))</f>
        <v/>
      </c>
      <c r="F521" s="20">
        <f>IF($M521="","",INDEX(상세표[기록 시간외],$M521))</f>
        <v/>
      </c>
      <c r="G521">
        <f>IF($M521="","",INDEX(상세표[시작월 기관],$M521)&amp;"")</f>
        <v/>
      </c>
      <c r="H521">
        <f>IF($M521="","",INDEX(상세표[종료월 기관],$M521)&amp;"")</f>
        <v/>
      </c>
      <c r="I521">
        <f>IF($M521="","",INDEX(상세표[월경계 판정],$M521)&amp;"")</f>
        <v/>
      </c>
      <c r="J521">
        <f>IF($M521="","",INDEX(상세표[반영월],$M521)&amp;"")</f>
        <v/>
      </c>
      <c r="K521">
        <f>IF($M521="","",INDEX(상세표[반영 기관],$M521)&amp;"")</f>
        <v/>
      </c>
      <c r="L521">
        <f>IF($M521="","",INDEX(상세표[기관 출처],$M521)&amp;"")</f>
        <v/>
      </c>
      <c r="M521" s="4">
        <f>IFERROR(MATCH(516,상세표[경계순번],0),"")</f>
        <v/>
      </c>
    </row>
    <row r="522">
      <c r="A522">
        <f>IF($M522="","",INDEX(상세표[사번],$M522)&amp;"")</f>
        <v/>
      </c>
      <c r="B522">
        <f>IF($M522="","",INDEX(상세표[성명],$M522)&amp;"")</f>
        <v/>
      </c>
      <c r="C522">
        <f>IF($M522="","",IF(INDEX(상세표[종료월],$M522)=대상월키,"전월→이번 달","이번 달→익월"))</f>
        <v/>
      </c>
      <c r="D522">
        <f>IF($M522="","",IF(ISNUMBER(INDEX(상세표[시작],$M522)),TEXT(INDEX(상세표[시작],$M522),"yyyy-mm-dd hh:mm"),INDEX(상세표[시작],$M522)&amp;""))</f>
        <v/>
      </c>
      <c r="E522">
        <f>IF($M522="","",IF(ISNUMBER(INDEX(상세표[종료],$M522)),TEXT(INDEX(상세표[종료],$M522),"yyyy-mm-dd hh:mm"),INDEX(상세표[종료],$M522)&amp;""))</f>
        <v/>
      </c>
      <c r="F522" s="20">
        <f>IF($M522="","",INDEX(상세표[기록 시간외],$M522))</f>
        <v/>
      </c>
      <c r="G522">
        <f>IF($M522="","",INDEX(상세표[시작월 기관],$M522)&amp;"")</f>
        <v/>
      </c>
      <c r="H522">
        <f>IF($M522="","",INDEX(상세표[종료월 기관],$M522)&amp;"")</f>
        <v/>
      </c>
      <c r="I522">
        <f>IF($M522="","",INDEX(상세표[월경계 판정],$M522)&amp;"")</f>
        <v/>
      </c>
      <c r="J522">
        <f>IF($M522="","",INDEX(상세표[반영월],$M522)&amp;"")</f>
        <v/>
      </c>
      <c r="K522">
        <f>IF($M522="","",INDEX(상세표[반영 기관],$M522)&amp;"")</f>
        <v/>
      </c>
      <c r="L522">
        <f>IF($M522="","",INDEX(상세표[기관 출처],$M522)&amp;"")</f>
        <v/>
      </c>
      <c r="M522" s="4">
        <f>IFERROR(MATCH(517,상세표[경계순번],0),"")</f>
        <v/>
      </c>
    </row>
    <row r="523">
      <c r="A523">
        <f>IF($M523="","",INDEX(상세표[사번],$M523)&amp;"")</f>
        <v/>
      </c>
      <c r="B523">
        <f>IF($M523="","",INDEX(상세표[성명],$M523)&amp;"")</f>
        <v/>
      </c>
      <c r="C523">
        <f>IF($M523="","",IF(INDEX(상세표[종료월],$M523)=대상월키,"전월→이번 달","이번 달→익월"))</f>
        <v/>
      </c>
      <c r="D523">
        <f>IF($M523="","",IF(ISNUMBER(INDEX(상세표[시작],$M523)),TEXT(INDEX(상세표[시작],$M523),"yyyy-mm-dd hh:mm"),INDEX(상세표[시작],$M523)&amp;""))</f>
        <v/>
      </c>
      <c r="E523">
        <f>IF($M523="","",IF(ISNUMBER(INDEX(상세표[종료],$M523)),TEXT(INDEX(상세표[종료],$M523),"yyyy-mm-dd hh:mm"),INDEX(상세표[종료],$M523)&amp;""))</f>
        <v/>
      </c>
      <c r="F523" s="20">
        <f>IF($M523="","",INDEX(상세표[기록 시간외],$M523))</f>
        <v/>
      </c>
      <c r="G523">
        <f>IF($M523="","",INDEX(상세표[시작월 기관],$M523)&amp;"")</f>
        <v/>
      </c>
      <c r="H523">
        <f>IF($M523="","",INDEX(상세표[종료월 기관],$M523)&amp;"")</f>
        <v/>
      </c>
      <c r="I523">
        <f>IF($M523="","",INDEX(상세표[월경계 판정],$M523)&amp;"")</f>
        <v/>
      </c>
      <c r="J523">
        <f>IF($M523="","",INDEX(상세표[반영월],$M523)&amp;"")</f>
        <v/>
      </c>
      <c r="K523">
        <f>IF($M523="","",INDEX(상세표[반영 기관],$M523)&amp;"")</f>
        <v/>
      </c>
      <c r="L523">
        <f>IF($M523="","",INDEX(상세표[기관 출처],$M523)&amp;"")</f>
        <v/>
      </c>
      <c r="M523" s="4">
        <f>IFERROR(MATCH(518,상세표[경계순번],0),"")</f>
        <v/>
      </c>
    </row>
    <row r="524">
      <c r="A524">
        <f>IF($M524="","",INDEX(상세표[사번],$M524)&amp;"")</f>
        <v/>
      </c>
      <c r="B524">
        <f>IF($M524="","",INDEX(상세표[성명],$M524)&amp;"")</f>
        <v/>
      </c>
      <c r="C524">
        <f>IF($M524="","",IF(INDEX(상세표[종료월],$M524)=대상월키,"전월→이번 달","이번 달→익월"))</f>
        <v/>
      </c>
      <c r="D524">
        <f>IF($M524="","",IF(ISNUMBER(INDEX(상세표[시작],$M524)),TEXT(INDEX(상세표[시작],$M524),"yyyy-mm-dd hh:mm"),INDEX(상세표[시작],$M524)&amp;""))</f>
        <v/>
      </c>
      <c r="E524">
        <f>IF($M524="","",IF(ISNUMBER(INDEX(상세표[종료],$M524)),TEXT(INDEX(상세표[종료],$M524),"yyyy-mm-dd hh:mm"),INDEX(상세표[종료],$M524)&amp;""))</f>
        <v/>
      </c>
      <c r="F524" s="20">
        <f>IF($M524="","",INDEX(상세표[기록 시간외],$M524))</f>
        <v/>
      </c>
      <c r="G524">
        <f>IF($M524="","",INDEX(상세표[시작월 기관],$M524)&amp;"")</f>
        <v/>
      </c>
      <c r="H524">
        <f>IF($M524="","",INDEX(상세표[종료월 기관],$M524)&amp;"")</f>
        <v/>
      </c>
      <c r="I524">
        <f>IF($M524="","",INDEX(상세표[월경계 판정],$M524)&amp;"")</f>
        <v/>
      </c>
      <c r="J524">
        <f>IF($M524="","",INDEX(상세표[반영월],$M524)&amp;"")</f>
        <v/>
      </c>
      <c r="K524">
        <f>IF($M524="","",INDEX(상세표[반영 기관],$M524)&amp;"")</f>
        <v/>
      </c>
      <c r="L524">
        <f>IF($M524="","",INDEX(상세표[기관 출처],$M524)&amp;"")</f>
        <v/>
      </c>
      <c r="M524" s="4">
        <f>IFERROR(MATCH(519,상세표[경계순번],0),"")</f>
        <v/>
      </c>
    </row>
    <row r="525">
      <c r="A525">
        <f>IF($M525="","",INDEX(상세표[사번],$M525)&amp;"")</f>
        <v/>
      </c>
      <c r="B525">
        <f>IF($M525="","",INDEX(상세표[성명],$M525)&amp;"")</f>
        <v/>
      </c>
      <c r="C525">
        <f>IF($M525="","",IF(INDEX(상세표[종료월],$M525)=대상월키,"전월→이번 달","이번 달→익월"))</f>
        <v/>
      </c>
      <c r="D525">
        <f>IF($M525="","",IF(ISNUMBER(INDEX(상세표[시작],$M525)),TEXT(INDEX(상세표[시작],$M525),"yyyy-mm-dd hh:mm"),INDEX(상세표[시작],$M525)&amp;""))</f>
        <v/>
      </c>
      <c r="E525">
        <f>IF($M525="","",IF(ISNUMBER(INDEX(상세표[종료],$M525)),TEXT(INDEX(상세표[종료],$M525),"yyyy-mm-dd hh:mm"),INDEX(상세표[종료],$M525)&amp;""))</f>
        <v/>
      </c>
      <c r="F525" s="20">
        <f>IF($M525="","",INDEX(상세표[기록 시간외],$M525))</f>
        <v/>
      </c>
      <c r="G525">
        <f>IF($M525="","",INDEX(상세표[시작월 기관],$M525)&amp;"")</f>
        <v/>
      </c>
      <c r="H525">
        <f>IF($M525="","",INDEX(상세표[종료월 기관],$M525)&amp;"")</f>
        <v/>
      </c>
      <c r="I525">
        <f>IF($M525="","",INDEX(상세표[월경계 판정],$M525)&amp;"")</f>
        <v/>
      </c>
      <c r="J525">
        <f>IF($M525="","",INDEX(상세표[반영월],$M525)&amp;"")</f>
        <v/>
      </c>
      <c r="K525">
        <f>IF($M525="","",INDEX(상세표[반영 기관],$M525)&amp;"")</f>
        <v/>
      </c>
      <c r="L525">
        <f>IF($M525="","",INDEX(상세표[기관 출처],$M525)&amp;"")</f>
        <v/>
      </c>
      <c r="M525" s="4">
        <f>IFERROR(MATCH(520,상세표[경계순번],0),"")</f>
        <v/>
      </c>
    </row>
    <row r="526">
      <c r="A526">
        <f>IF($M526="","",INDEX(상세표[사번],$M526)&amp;"")</f>
        <v/>
      </c>
      <c r="B526">
        <f>IF($M526="","",INDEX(상세표[성명],$M526)&amp;"")</f>
        <v/>
      </c>
      <c r="C526">
        <f>IF($M526="","",IF(INDEX(상세표[종료월],$M526)=대상월키,"전월→이번 달","이번 달→익월"))</f>
        <v/>
      </c>
      <c r="D526">
        <f>IF($M526="","",IF(ISNUMBER(INDEX(상세표[시작],$M526)),TEXT(INDEX(상세표[시작],$M526),"yyyy-mm-dd hh:mm"),INDEX(상세표[시작],$M526)&amp;""))</f>
        <v/>
      </c>
      <c r="E526">
        <f>IF($M526="","",IF(ISNUMBER(INDEX(상세표[종료],$M526)),TEXT(INDEX(상세표[종료],$M526),"yyyy-mm-dd hh:mm"),INDEX(상세표[종료],$M526)&amp;""))</f>
        <v/>
      </c>
      <c r="F526" s="20">
        <f>IF($M526="","",INDEX(상세표[기록 시간외],$M526))</f>
        <v/>
      </c>
      <c r="G526">
        <f>IF($M526="","",INDEX(상세표[시작월 기관],$M526)&amp;"")</f>
        <v/>
      </c>
      <c r="H526">
        <f>IF($M526="","",INDEX(상세표[종료월 기관],$M526)&amp;"")</f>
        <v/>
      </c>
      <c r="I526">
        <f>IF($M526="","",INDEX(상세표[월경계 판정],$M526)&amp;"")</f>
        <v/>
      </c>
      <c r="J526">
        <f>IF($M526="","",INDEX(상세표[반영월],$M526)&amp;"")</f>
        <v/>
      </c>
      <c r="K526">
        <f>IF($M526="","",INDEX(상세표[반영 기관],$M526)&amp;"")</f>
        <v/>
      </c>
      <c r="L526">
        <f>IF($M526="","",INDEX(상세표[기관 출처],$M526)&amp;"")</f>
        <v/>
      </c>
      <c r="M526" s="4">
        <f>IFERROR(MATCH(521,상세표[경계순번],0),"")</f>
        <v/>
      </c>
    </row>
    <row r="527">
      <c r="A527">
        <f>IF($M527="","",INDEX(상세표[사번],$M527)&amp;"")</f>
        <v/>
      </c>
      <c r="B527">
        <f>IF($M527="","",INDEX(상세표[성명],$M527)&amp;"")</f>
        <v/>
      </c>
      <c r="C527">
        <f>IF($M527="","",IF(INDEX(상세표[종료월],$M527)=대상월키,"전월→이번 달","이번 달→익월"))</f>
        <v/>
      </c>
      <c r="D527">
        <f>IF($M527="","",IF(ISNUMBER(INDEX(상세표[시작],$M527)),TEXT(INDEX(상세표[시작],$M527),"yyyy-mm-dd hh:mm"),INDEX(상세표[시작],$M527)&amp;""))</f>
        <v/>
      </c>
      <c r="E527">
        <f>IF($M527="","",IF(ISNUMBER(INDEX(상세표[종료],$M527)),TEXT(INDEX(상세표[종료],$M527),"yyyy-mm-dd hh:mm"),INDEX(상세표[종료],$M527)&amp;""))</f>
        <v/>
      </c>
      <c r="F527" s="20">
        <f>IF($M527="","",INDEX(상세표[기록 시간외],$M527))</f>
        <v/>
      </c>
      <c r="G527">
        <f>IF($M527="","",INDEX(상세표[시작월 기관],$M527)&amp;"")</f>
        <v/>
      </c>
      <c r="H527">
        <f>IF($M527="","",INDEX(상세표[종료월 기관],$M527)&amp;"")</f>
        <v/>
      </c>
      <c r="I527">
        <f>IF($M527="","",INDEX(상세표[월경계 판정],$M527)&amp;"")</f>
        <v/>
      </c>
      <c r="J527">
        <f>IF($M527="","",INDEX(상세표[반영월],$M527)&amp;"")</f>
        <v/>
      </c>
      <c r="K527">
        <f>IF($M527="","",INDEX(상세표[반영 기관],$M527)&amp;"")</f>
        <v/>
      </c>
      <c r="L527">
        <f>IF($M527="","",INDEX(상세표[기관 출처],$M527)&amp;"")</f>
        <v/>
      </c>
      <c r="M527" s="4">
        <f>IFERROR(MATCH(522,상세표[경계순번],0),"")</f>
        <v/>
      </c>
    </row>
    <row r="528">
      <c r="A528">
        <f>IF($M528="","",INDEX(상세표[사번],$M528)&amp;"")</f>
        <v/>
      </c>
      <c r="B528">
        <f>IF($M528="","",INDEX(상세표[성명],$M528)&amp;"")</f>
        <v/>
      </c>
      <c r="C528">
        <f>IF($M528="","",IF(INDEX(상세표[종료월],$M528)=대상월키,"전월→이번 달","이번 달→익월"))</f>
        <v/>
      </c>
      <c r="D528">
        <f>IF($M528="","",IF(ISNUMBER(INDEX(상세표[시작],$M528)),TEXT(INDEX(상세표[시작],$M528),"yyyy-mm-dd hh:mm"),INDEX(상세표[시작],$M528)&amp;""))</f>
        <v/>
      </c>
      <c r="E528">
        <f>IF($M528="","",IF(ISNUMBER(INDEX(상세표[종료],$M528)),TEXT(INDEX(상세표[종료],$M528),"yyyy-mm-dd hh:mm"),INDEX(상세표[종료],$M528)&amp;""))</f>
        <v/>
      </c>
      <c r="F528" s="20">
        <f>IF($M528="","",INDEX(상세표[기록 시간외],$M528))</f>
        <v/>
      </c>
      <c r="G528">
        <f>IF($M528="","",INDEX(상세표[시작월 기관],$M528)&amp;"")</f>
        <v/>
      </c>
      <c r="H528">
        <f>IF($M528="","",INDEX(상세표[종료월 기관],$M528)&amp;"")</f>
        <v/>
      </c>
      <c r="I528">
        <f>IF($M528="","",INDEX(상세표[월경계 판정],$M528)&amp;"")</f>
        <v/>
      </c>
      <c r="J528">
        <f>IF($M528="","",INDEX(상세표[반영월],$M528)&amp;"")</f>
        <v/>
      </c>
      <c r="K528">
        <f>IF($M528="","",INDEX(상세표[반영 기관],$M528)&amp;"")</f>
        <v/>
      </c>
      <c r="L528">
        <f>IF($M528="","",INDEX(상세표[기관 출처],$M528)&amp;"")</f>
        <v/>
      </c>
      <c r="M528" s="4">
        <f>IFERROR(MATCH(523,상세표[경계순번],0),"")</f>
        <v/>
      </c>
    </row>
    <row r="529">
      <c r="A529">
        <f>IF($M529="","",INDEX(상세표[사번],$M529)&amp;"")</f>
        <v/>
      </c>
      <c r="B529">
        <f>IF($M529="","",INDEX(상세표[성명],$M529)&amp;"")</f>
        <v/>
      </c>
      <c r="C529">
        <f>IF($M529="","",IF(INDEX(상세표[종료월],$M529)=대상월키,"전월→이번 달","이번 달→익월"))</f>
        <v/>
      </c>
      <c r="D529">
        <f>IF($M529="","",IF(ISNUMBER(INDEX(상세표[시작],$M529)),TEXT(INDEX(상세표[시작],$M529),"yyyy-mm-dd hh:mm"),INDEX(상세표[시작],$M529)&amp;""))</f>
        <v/>
      </c>
      <c r="E529">
        <f>IF($M529="","",IF(ISNUMBER(INDEX(상세표[종료],$M529)),TEXT(INDEX(상세표[종료],$M529),"yyyy-mm-dd hh:mm"),INDEX(상세표[종료],$M529)&amp;""))</f>
        <v/>
      </c>
      <c r="F529" s="20">
        <f>IF($M529="","",INDEX(상세표[기록 시간외],$M529))</f>
        <v/>
      </c>
      <c r="G529">
        <f>IF($M529="","",INDEX(상세표[시작월 기관],$M529)&amp;"")</f>
        <v/>
      </c>
      <c r="H529">
        <f>IF($M529="","",INDEX(상세표[종료월 기관],$M529)&amp;"")</f>
        <v/>
      </c>
      <c r="I529">
        <f>IF($M529="","",INDEX(상세표[월경계 판정],$M529)&amp;"")</f>
        <v/>
      </c>
      <c r="J529">
        <f>IF($M529="","",INDEX(상세표[반영월],$M529)&amp;"")</f>
        <v/>
      </c>
      <c r="K529">
        <f>IF($M529="","",INDEX(상세표[반영 기관],$M529)&amp;"")</f>
        <v/>
      </c>
      <c r="L529">
        <f>IF($M529="","",INDEX(상세표[기관 출처],$M529)&amp;"")</f>
        <v/>
      </c>
      <c r="M529" s="4">
        <f>IFERROR(MATCH(524,상세표[경계순번],0),"")</f>
        <v/>
      </c>
    </row>
    <row r="530">
      <c r="A530">
        <f>IF($M530="","",INDEX(상세표[사번],$M530)&amp;"")</f>
        <v/>
      </c>
      <c r="B530">
        <f>IF($M530="","",INDEX(상세표[성명],$M530)&amp;"")</f>
        <v/>
      </c>
      <c r="C530">
        <f>IF($M530="","",IF(INDEX(상세표[종료월],$M530)=대상월키,"전월→이번 달","이번 달→익월"))</f>
        <v/>
      </c>
      <c r="D530">
        <f>IF($M530="","",IF(ISNUMBER(INDEX(상세표[시작],$M530)),TEXT(INDEX(상세표[시작],$M530),"yyyy-mm-dd hh:mm"),INDEX(상세표[시작],$M530)&amp;""))</f>
        <v/>
      </c>
      <c r="E530">
        <f>IF($M530="","",IF(ISNUMBER(INDEX(상세표[종료],$M530)),TEXT(INDEX(상세표[종료],$M530),"yyyy-mm-dd hh:mm"),INDEX(상세표[종료],$M530)&amp;""))</f>
        <v/>
      </c>
      <c r="F530" s="20">
        <f>IF($M530="","",INDEX(상세표[기록 시간외],$M530))</f>
        <v/>
      </c>
      <c r="G530">
        <f>IF($M530="","",INDEX(상세표[시작월 기관],$M530)&amp;"")</f>
        <v/>
      </c>
      <c r="H530">
        <f>IF($M530="","",INDEX(상세표[종료월 기관],$M530)&amp;"")</f>
        <v/>
      </c>
      <c r="I530">
        <f>IF($M530="","",INDEX(상세표[월경계 판정],$M530)&amp;"")</f>
        <v/>
      </c>
      <c r="J530">
        <f>IF($M530="","",INDEX(상세표[반영월],$M530)&amp;"")</f>
        <v/>
      </c>
      <c r="K530">
        <f>IF($M530="","",INDEX(상세표[반영 기관],$M530)&amp;"")</f>
        <v/>
      </c>
      <c r="L530">
        <f>IF($M530="","",INDEX(상세표[기관 출처],$M530)&amp;"")</f>
        <v/>
      </c>
      <c r="M530" s="4">
        <f>IFERROR(MATCH(525,상세표[경계순번],0),"")</f>
        <v/>
      </c>
    </row>
    <row r="531">
      <c r="A531">
        <f>IF($M531="","",INDEX(상세표[사번],$M531)&amp;"")</f>
        <v/>
      </c>
      <c r="B531">
        <f>IF($M531="","",INDEX(상세표[성명],$M531)&amp;"")</f>
        <v/>
      </c>
      <c r="C531">
        <f>IF($M531="","",IF(INDEX(상세표[종료월],$M531)=대상월키,"전월→이번 달","이번 달→익월"))</f>
        <v/>
      </c>
      <c r="D531">
        <f>IF($M531="","",IF(ISNUMBER(INDEX(상세표[시작],$M531)),TEXT(INDEX(상세표[시작],$M531),"yyyy-mm-dd hh:mm"),INDEX(상세표[시작],$M531)&amp;""))</f>
        <v/>
      </c>
      <c r="E531">
        <f>IF($M531="","",IF(ISNUMBER(INDEX(상세표[종료],$M531)),TEXT(INDEX(상세표[종료],$M531),"yyyy-mm-dd hh:mm"),INDEX(상세표[종료],$M531)&amp;""))</f>
        <v/>
      </c>
      <c r="F531" s="20">
        <f>IF($M531="","",INDEX(상세표[기록 시간외],$M531))</f>
        <v/>
      </c>
      <c r="G531">
        <f>IF($M531="","",INDEX(상세표[시작월 기관],$M531)&amp;"")</f>
        <v/>
      </c>
      <c r="H531">
        <f>IF($M531="","",INDEX(상세표[종료월 기관],$M531)&amp;"")</f>
        <v/>
      </c>
      <c r="I531">
        <f>IF($M531="","",INDEX(상세표[월경계 판정],$M531)&amp;"")</f>
        <v/>
      </c>
      <c r="J531">
        <f>IF($M531="","",INDEX(상세표[반영월],$M531)&amp;"")</f>
        <v/>
      </c>
      <c r="K531">
        <f>IF($M531="","",INDEX(상세표[반영 기관],$M531)&amp;"")</f>
        <v/>
      </c>
      <c r="L531">
        <f>IF($M531="","",INDEX(상세표[기관 출처],$M531)&amp;"")</f>
        <v/>
      </c>
      <c r="M531" s="4">
        <f>IFERROR(MATCH(526,상세표[경계순번],0),"")</f>
        <v/>
      </c>
    </row>
    <row r="532">
      <c r="A532">
        <f>IF($M532="","",INDEX(상세표[사번],$M532)&amp;"")</f>
        <v/>
      </c>
      <c r="B532">
        <f>IF($M532="","",INDEX(상세표[성명],$M532)&amp;"")</f>
        <v/>
      </c>
      <c r="C532">
        <f>IF($M532="","",IF(INDEX(상세표[종료월],$M532)=대상월키,"전월→이번 달","이번 달→익월"))</f>
        <v/>
      </c>
      <c r="D532">
        <f>IF($M532="","",IF(ISNUMBER(INDEX(상세표[시작],$M532)),TEXT(INDEX(상세표[시작],$M532),"yyyy-mm-dd hh:mm"),INDEX(상세표[시작],$M532)&amp;""))</f>
        <v/>
      </c>
      <c r="E532">
        <f>IF($M532="","",IF(ISNUMBER(INDEX(상세표[종료],$M532)),TEXT(INDEX(상세표[종료],$M532),"yyyy-mm-dd hh:mm"),INDEX(상세표[종료],$M532)&amp;""))</f>
        <v/>
      </c>
      <c r="F532" s="20">
        <f>IF($M532="","",INDEX(상세표[기록 시간외],$M532))</f>
        <v/>
      </c>
      <c r="G532">
        <f>IF($M532="","",INDEX(상세표[시작월 기관],$M532)&amp;"")</f>
        <v/>
      </c>
      <c r="H532">
        <f>IF($M532="","",INDEX(상세표[종료월 기관],$M532)&amp;"")</f>
        <v/>
      </c>
      <c r="I532">
        <f>IF($M532="","",INDEX(상세표[월경계 판정],$M532)&amp;"")</f>
        <v/>
      </c>
      <c r="J532">
        <f>IF($M532="","",INDEX(상세표[반영월],$M532)&amp;"")</f>
        <v/>
      </c>
      <c r="K532">
        <f>IF($M532="","",INDEX(상세표[반영 기관],$M532)&amp;"")</f>
        <v/>
      </c>
      <c r="L532">
        <f>IF($M532="","",INDEX(상세표[기관 출처],$M532)&amp;"")</f>
        <v/>
      </c>
      <c r="M532" s="4">
        <f>IFERROR(MATCH(527,상세표[경계순번],0),"")</f>
        <v/>
      </c>
    </row>
    <row r="533">
      <c r="A533">
        <f>IF($M533="","",INDEX(상세표[사번],$M533)&amp;"")</f>
        <v/>
      </c>
      <c r="B533">
        <f>IF($M533="","",INDEX(상세표[성명],$M533)&amp;"")</f>
        <v/>
      </c>
      <c r="C533">
        <f>IF($M533="","",IF(INDEX(상세표[종료월],$M533)=대상월키,"전월→이번 달","이번 달→익월"))</f>
        <v/>
      </c>
      <c r="D533">
        <f>IF($M533="","",IF(ISNUMBER(INDEX(상세표[시작],$M533)),TEXT(INDEX(상세표[시작],$M533),"yyyy-mm-dd hh:mm"),INDEX(상세표[시작],$M533)&amp;""))</f>
        <v/>
      </c>
      <c r="E533">
        <f>IF($M533="","",IF(ISNUMBER(INDEX(상세표[종료],$M533)),TEXT(INDEX(상세표[종료],$M533),"yyyy-mm-dd hh:mm"),INDEX(상세표[종료],$M533)&amp;""))</f>
        <v/>
      </c>
      <c r="F533" s="20">
        <f>IF($M533="","",INDEX(상세표[기록 시간외],$M533))</f>
        <v/>
      </c>
      <c r="G533">
        <f>IF($M533="","",INDEX(상세표[시작월 기관],$M533)&amp;"")</f>
        <v/>
      </c>
      <c r="H533">
        <f>IF($M533="","",INDEX(상세표[종료월 기관],$M533)&amp;"")</f>
        <v/>
      </c>
      <c r="I533">
        <f>IF($M533="","",INDEX(상세표[월경계 판정],$M533)&amp;"")</f>
        <v/>
      </c>
      <c r="J533">
        <f>IF($M533="","",INDEX(상세표[반영월],$M533)&amp;"")</f>
        <v/>
      </c>
      <c r="K533">
        <f>IF($M533="","",INDEX(상세표[반영 기관],$M533)&amp;"")</f>
        <v/>
      </c>
      <c r="L533">
        <f>IF($M533="","",INDEX(상세표[기관 출처],$M533)&amp;"")</f>
        <v/>
      </c>
      <c r="M533" s="4">
        <f>IFERROR(MATCH(528,상세표[경계순번],0),"")</f>
        <v/>
      </c>
    </row>
    <row r="534">
      <c r="A534">
        <f>IF($M534="","",INDEX(상세표[사번],$M534)&amp;"")</f>
        <v/>
      </c>
      <c r="B534">
        <f>IF($M534="","",INDEX(상세표[성명],$M534)&amp;"")</f>
        <v/>
      </c>
      <c r="C534">
        <f>IF($M534="","",IF(INDEX(상세표[종료월],$M534)=대상월키,"전월→이번 달","이번 달→익월"))</f>
        <v/>
      </c>
      <c r="D534">
        <f>IF($M534="","",IF(ISNUMBER(INDEX(상세표[시작],$M534)),TEXT(INDEX(상세표[시작],$M534),"yyyy-mm-dd hh:mm"),INDEX(상세표[시작],$M534)&amp;""))</f>
        <v/>
      </c>
      <c r="E534">
        <f>IF($M534="","",IF(ISNUMBER(INDEX(상세표[종료],$M534)),TEXT(INDEX(상세표[종료],$M534),"yyyy-mm-dd hh:mm"),INDEX(상세표[종료],$M534)&amp;""))</f>
        <v/>
      </c>
      <c r="F534" s="20">
        <f>IF($M534="","",INDEX(상세표[기록 시간외],$M534))</f>
        <v/>
      </c>
      <c r="G534">
        <f>IF($M534="","",INDEX(상세표[시작월 기관],$M534)&amp;"")</f>
        <v/>
      </c>
      <c r="H534">
        <f>IF($M534="","",INDEX(상세표[종료월 기관],$M534)&amp;"")</f>
        <v/>
      </c>
      <c r="I534">
        <f>IF($M534="","",INDEX(상세표[월경계 판정],$M534)&amp;"")</f>
        <v/>
      </c>
      <c r="J534">
        <f>IF($M534="","",INDEX(상세표[반영월],$M534)&amp;"")</f>
        <v/>
      </c>
      <c r="K534">
        <f>IF($M534="","",INDEX(상세표[반영 기관],$M534)&amp;"")</f>
        <v/>
      </c>
      <c r="L534">
        <f>IF($M534="","",INDEX(상세표[기관 출처],$M534)&amp;"")</f>
        <v/>
      </c>
      <c r="M534" s="4">
        <f>IFERROR(MATCH(529,상세표[경계순번],0),"")</f>
        <v/>
      </c>
    </row>
    <row r="535">
      <c r="A535">
        <f>IF($M535="","",INDEX(상세표[사번],$M535)&amp;"")</f>
        <v/>
      </c>
      <c r="B535">
        <f>IF($M535="","",INDEX(상세표[성명],$M535)&amp;"")</f>
        <v/>
      </c>
      <c r="C535">
        <f>IF($M535="","",IF(INDEX(상세표[종료월],$M535)=대상월키,"전월→이번 달","이번 달→익월"))</f>
        <v/>
      </c>
      <c r="D535">
        <f>IF($M535="","",IF(ISNUMBER(INDEX(상세표[시작],$M535)),TEXT(INDEX(상세표[시작],$M535),"yyyy-mm-dd hh:mm"),INDEX(상세표[시작],$M535)&amp;""))</f>
        <v/>
      </c>
      <c r="E535">
        <f>IF($M535="","",IF(ISNUMBER(INDEX(상세표[종료],$M535)),TEXT(INDEX(상세표[종료],$M535),"yyyy-mm-dd hh:mm"),INDEX(상세표[종료],$M535)&amp;""))</f>
        <v/>
      </c>
      <c r="F535" s="20">
        <f>IF($M535="","",INDEX(상세표[기록 시간외],$M535))</f>
        <v/>
      </c>
      <c r="G535">
        <f>IF($M535="","",INDEX(상세표[시작월 기관],$M535)&amp;"")</f>
        <v/>
      </c>
      <c r="H535">
        <f>IF($M535="","",INDEX(상세표[종료월 기관],$M535)&amp;"")</f>
        <v/>
      </c>
      <c r="I535">
        <f>IF($M535="","",INDEX(상세표[월경계 판정],$M535)&amp;"")</f>
        <v/>
      </c>
      <c r="J535">
        <f>IF($M535="","",INDEX(상세표[반영월],$M535)&amp;"")</f>
        <v/>
      </c>
      <c r="K535">
        <f>IF($M535="","",INDEX(상세표[반영 기관],$M535)&amp;"")</f>
        <v/>
      </c>
      <c r="L535">
        <f>IF($M535="","",INDEX(상세표[기관 출처],$M535)&amp;"")</f>
        <v/>
      </c>
      <c r="M535" s="4">
        <f>IFERROR(MATCH(530,상세표[경계순번],0),"")</f>
        <v/>
      </c>
    </row>
    <row r="536">
      <c r="A536">
        <f>IF($M536="","",INDEX(상세표[사번],$M536)&amp;"")</f>
        <v/>
      </c>
      <c r="B536">
        <f>IF($M536="","",INDEX(상세표[성명],$M536)&amp;"")</f>
        <v/>
      </c>
      <c r="C536">
        <f>IF($M536="","",IF(INDEX(상세표[종료월],$M536)=대상월키,"전월→이번 달","이번 달→익월"))</f>
        <v/>
      </c>
      <c r="D536">
        <f>IF($M536="","",IF(ISNUMBER(INDEX(상세표[시작],$M536)),TEXT(INDEX(상세표[시작],$M536),"yyyy-mm-dd hh:mm"),INDEX(상세표[시작],$M536)&amp;""))</f>
        <v/>
      </c>
      <c r="E536">
        <f>IF($M536="","",IF(ISNUMBER(INDEX(상세표[종료],$M536)),TEXT(INDEX(상세표[종료],$M536),"yyyy-mm-dd hh:mm"),INDEX(상세표[종료],$M536)&amp;""))</f>
        <v/>
      </c>
      <c r="F536" s="20">
        <f>IF($M536="","",INDEX(상세표[기록 시간외],$M536))</f>
        <v/>
      </c>
      <c r="G536">
        <f>IF($M536="","",INDEX(상세표[시작월 기관],$M536)&amp;"")</f>
        <v/>
      </c>
      <c r="H536">
        <f>IF($M536="","",INDEX(상세표[종료월 기관],$M536)&amp;"")</f>
        <v/>
      </c>
      <c r="I536">
        <f>IF($M536="","",INDEX(상세표[월경계 판정],$M536)&amp;"")</f>
        <v/>
      </c>
      <c r="J536">
        <f>IF($M536="","",INDEX(상세표[반영월],$M536)&amp;"")</f>
        <v/>
      </c>
      <c r="K536">
        <f>IF($M536="","",INDEX(상세표[반영 기관],$M536)&amp;"")</f>
        <v/>
      </c>
      <c r="L536">
        <f>IF($M536="","",INDEX(상세표[기관 출처],$M536)&amp;"")</f>
        <v/>
      </c>
      <c r="M536" s="4">
        <f>IFERROR(MATCH(531,상세표[경계순번],0),"")</f>
        <v/>
      </c>
    </row>
    <row r="537">
      <c r="A537">
        <f>IF($M537="","",INDEX(상세표[사번],$M537)&amp;"")</f>
        <v/>
      </c>
      <c r="B537">
        <f>IF($M537="","",INDEX(상세표[성명],$M537)&amp;"")</f>
        <v/>
      </c>
      <c r="C537">
        <f>IF($M537="","",IF(INDEX(상세표[종료월],$M537)=대상월키,"전월→이번 달","이번 달→익월"))</f>
        <v/>
      </c>
      <c r="D537">
        <f>IF($M537="","",IF(ISNUMBER(INDEX(상세표[시작],$M537)),TEXT(INDEX(상세표[시작],$M537),"yyyy-mm-dd hh:mm"),INDEX(상세표[시작],$M537)&amp;""))</f>
        <v/>
      </c>
      <c r="E537">
        <f>IF($M537="","",IF(ISNUMBER(INDEX(상세표[종료],$M537)),TEXT(INDEX(상세표[종료],$M537),"yyyy-mm-dd hh:mm"),INDEX(상세표[종료],$M537)&amp;""))</f>
        <v/>
      </c>
      <c r="F537" s="20">
        <f>IF($M537="","",INDEX(상세표[기록 시간외],$M537))</f>
        <v/>
      </c>
      <c r="G537">
        <f>IF($M537="","",INDEX(상세표[시작월 기관],$M537)&amp;"")</f>
        <v/>
      </c>
      <c r="H537">
        <f>IF($M537="","",INDEX(상세표[종료월 기관],$M537)&amp;"")</f>
        <v/>
      </c>
      <c r="I537">
        <f>IF($M537="","",INDEX(상세표[월경계 판정],$M537)&amp;"")</f>
        <v/>
      </c>
      <c r="J537">
        <f>IF($M537="","",INDEX(상세표[반영월],$M537)&amp;"")</f>
        <v/>
      </c>
      <c r="K537">
        <f>IF($M537="","",INDEX(상세표[반영 기관],$M537)&amp;"")</f>
        <v/>
      </c>
      <c r="L537">
        <f>IF($M537="","",INDEX(상세표[기관 출처],$M537)&amp;"")</f>
        <v/>
      </c>
      <c r="M537" s="4">
        <f>IFERROR(MATCH(532,상세표[경계순번],0),"")</f>
        <v/>
      </c>
    </row>
    <row r="538">
      <c r="A538">
        <f>IF($M538="","",INDEX(상세표[사번],$M538)&amp;"")</f>
        <v/>
      </c>
      <c r="B538">
        <f>IF($M538="","",INDEX(상세표[성명],$M538)&amp;"")</f>
        <v/>
      </c>
      <c r="C538">
        <f>IF($M538="","",IF(INDEX(상세표[종료월],$M538)=대상월키,"전월→이번 달","이번 달→익월"))</f>
        <v/>
      </c>
      <c r="D538">
        <f>IF($M538="","",IF(ISNUMBER(INDEX(상세표[시작],$M538)),TEXT(INDEX(상세표[시작],$M538),"yyyy-mm-dd hh:mm"),INDEX(상세표[시작],$M538)&amp;""))</f>
        <v/>
      </c>
      <c r="E538">
        <f>IF($M538="","",IF(ISNUMBER(INDEX(상세표[종료],$M538)),TEXT(INDEX(상세표[종료],$M538),"yyyy-mm-dd hh:mm"),INDEX(상세표[종료],$M538)&amp;""))</f>
        <v/>
      </c>
      <c r="F538" s="20">
        <f>IF($M538="","",INDEX(상세표[기록 시간외],$M538))</f>
        <v/>
      </c>
      <c r="G538">
        <f>IF($M538="","",INDEX(상세표[시작월 기관],$M538)&amp;"")</f>
        <v/>
      </c>
      <c r="H538">
        <f>IF($M538="","",INDEX(상세표[종료월 기관],$M538)&amp;"")</f>
        <v/>
      </c>
      <c r="I538">
        <f>IF($M538="","",INDEX(상세표[월경계 판정],$M538)&amp;"")</f>
        <v/>
      </c>
      <c r="J538">
        <f>IF($M538="","",INDEX(상세표[반영월],$M538)&amp;"")</f>
        <v/>
      </c>
      <c r="K538">
        <f>IF($M538="","",INDEX(상세표[반영 기관],$M538)&amp;"")</f>
        <v/>
      </c>
      <c r="L538">
        <f>IF($M538="","",INDEX(상세표[기관 출처],$M538)&amp;"")</f>
        <v/>
      </c>
      <c r="M538" s="4">
        <f>IFERROR(MATCH(533,상세표[경계순번],0),"")</f>
        <v/>
      </c>
    </row>
    <row r="539">
      <c r="A539">
        <f>IF($M539="","",INDEX(상세표[사번],$M539)&amp;"")</f>
        <v/>
      </c>
      <c r="B539">
        <f>IF($M539="","",INDEX(상세표[성명],$M539)&amp;"")</f>
        <v/>
      </c>
      <c r="C539">
        <f>IF($M539="","",IF(INDEX(상세표[종료월],$M539)=대상월키,"전월→이번 달","이번 달→익월"))</f>
        <v/>
      </c>
      <c r="D539">
        <f>IF($M539="","",IF(ISNUMBER(INDEX(상세표[시작],$M539)),TEXT(INDEX(상세표[시작],$M539),"yyyy-mm-dd hh:mm"),INDEX(상세표[시작],$M539)&amp;""))</f>
        <v/>
      </c>
      <c r="E539">
        <f>IF($M539="","",IF(ISNUMBER(INDEX(상세표[종료],$M539)),TEXT(INDEX(상세표[종료],$M539),"yyyy-mm-dd hh:mm"),INDEX(상세표[종료],$M539)&amp;""))</f>
        <v/>
      </c>
      <c r="F539" s="20">
        <f>IF($M539="","",INDEX(상세표[기록 시간외],$M539))</f>
        <v/>
      </c>
      <c r="G539">
        <f>IF($M539="","",INDEX(상세표[시작월 기관],$M539)&amp;"")</f>
        <v/>
      </c>
      <c r="H539">
        <f>IF($M539="","",INDEX(상세표[종료월 기관],$M539)&amp;"")</f>
        <v/>
      </c>
      <c r="I539">
        <f>IF($M539="","",INDEX(상세표[월경계 판정],$M539)&amp;"")</f>
        <v/>
      </c>
      <c r="J539">
        <f>IF($M539="","",INDEX(상세표[반영월],$M539)&amp;"")</f>
        <v/>
      </c>
      <c r="K539">
        <f>IF($M539="","",INDEX(상세표[반영 기관],$M539)&amp;"")</f>
        <v/>
      </c>
      <c r="L539">
        <f>IF($M539="","",INDEX(상세표[기관 출처],$M539)&amp;"")</f>
        <v/>
      </c>
      <c r="M539" s="4">
        <f>IFERROR(MATCH(534,상세표[경계순번],0),"")</f>
        <v/>
      </c>
    </row>
    <row r="540">
      <c r="A540">
        <f>IF($M540="","",INDEX(상세표[사번],$M540)&amp;"")</f>
        <v/>
      </c>
      <c r="B540">
        <f>IF($M540="","",INDEX(상세표[성명],$M540)&amp;"")</f>
        <v/>
      </c>
      <c r="C540">
        <f>IF($M540="","",IF(INDEX(상세표[종료월],$M540)=대상월키,"전월→이번 달","이번 달→익월"))</f>
        <v/>
      </c>
      <c r="D540">
        <f>IF($M540="","",IF(ISNUMBER(INDEX(상세표[시작],$M540)),TEXT(INDEX(상세표[시작],$M540),"yyyy-mm-dd hh:mm"),INDEX(상세표[시작],$M540)&amp;""))</f>
        <v/>
      </c>
      <c r="E540">
        <f>IF($M540="","",IF(ISNUMBER(INDEX(상세표[종료],$M540)),TEXT(INDEX(상세표[종료],$M540),"yyyy-mm-dd hh:mm"),INDEX(상세표[종료],$M540)&amp;""))</f>
        <v/>
      </c>
      <c r="F540" s="20">
        <f>IF($M540="","",INDEX(상세표[기록 시간외],$M540))</f>
        <v/>
      </c>
      <c r="G540">
        <f>IF($M540="","",INDEX(상세표[시작월 기관],$M540)&amp;"")</f>
        <v/>
      </c>
      <c r="H540">
        <f>IF($M540="","",INDEX(상세표[종료월 기관],$M540)&amp;"")</f>
        <v/>
      </c>
      <c r="I540">
        <f>IF($M540="","",INDEX(상세표[월경계 판정],$M540)&amp;"")</f>
        <v/>
      </c>
      <c r="J540">
        <f>IF($M540="","",INDEX(상세표[반영월],$M540)&amp;"")</f>
        <v/>
      </c>
      <c r="K540">
        <f>IF($M540="","",INDEX(상세표[반영 기관],$M540)&amp;"")</f>
        <v/>
      </c>
      <c r="L540">
        <f>IF($M540="","",INDEX(상세표[기관 출처],$M540)&amp;"")</f>
        <v/>
      </c>
      <c r="M540" s="4">
        <f>IFERROR(MATCH(535,상세표[경계순번],0),"")</f>
        <v/>
      </c>
    </row>
    <row r="541">
      <c r="A541">
        <f>IF($M541="","",INDEX(상세표[사번],$M541)&amp;"")</f>
        <v/>
      </c>
      <c r="B541">
        <f>IF($M541="","",INDEX(상세표[성명],$M541)&amp;"")</f>
        <v/>
      </c>
      <c r="C541">
        <f>IF($M541="","",IF(INDEX(상세표[종료월],$M541)=대상월키,"전월→이번 달","이번 달→익월"))</f>
        <v/>
      </c>
      <c r="D541">
        <f>IF($M541="","",IF(ISNUMBER(INDEX(상세표[시작],$M541)),TEXT(INDEX(상세표[시작],$M541),"yyyy-mm-dd hh:mm"),INDEX(상세표[시작],$M541)&amp;""))</f>
        <v/>
      </c>
      <c r="E541">
        <f>IF($M541="","",IF(ISNUMBER(INDEX(상세표[종료],$M541)),TEXT(INDEX(상세표[종료],$M541),"yyyy-mm-dd hh:mm"),INDEX(상세표[종료],$M541)&amp;""))</f>
        <v/>
      </c>
      <c r="F541" s="20">
        <f>IF($M541="","",INDEX(상세표[기록 시간외],$M541))</f>
        <v/>
      </c>
      <c r="G541">
        <f>IF($M541="","",INDEX(상세표[시작월 기관],$M541)&amp;"")</f>
        <v/>
      </c>
      <c r="H541">
        <f>IF($M541="","",INDEX(상세표[종료월 기관],$M541)&amp;"")</f>
        <v/>
      </c>
      <c r="I541">
        <f>IF($M541="","",INDEX(상세표[월경계 판정],$M541)&amp;"")</f>
        <v/>
      </c>
      <c r="J541">
        <f>IF($M541="","",INDEX(상세표[반영월],$M541)&amp;"")</f>
        <v/>
      </c>
      <c r="K541">
        <f>IF($M541="","",INDEX(상세표[반영 기관],$M541)&amp;"")</f>
        <v/>
      </c>
      <c r="L541">
        <f>IF($M541="","",INDEX(상세표[기관 출처],$M541)&amp;"")</f>
        <v/>
      </c>
      <c r="M541" s="4">
        <f>IFERROR(MATCH(536,상세표[경계순번],0),"")</f>
        <v/>
      </c>
    </row>
    <row r="542">
      <c r="A542">
        <f>IF($M542="","",INDEX(상세표[사번],$M542)&amp;"")</f>
        <v/>
      </c>
      <c r="B542">
        <f>IF($M542="","",INDEX(상세표[성명],$M542)&amp;"")</f>
        <v/>
      </c>
      <c r="C542">
        <f>IF($M542="","",IF(INDEX(상세표[종료월],$M542)=대상월키,"전월→이번 달","이번 달→익월"))</f>
        <v/>
      </c>
      <c r="D542">
        <f>IF($M542="","",IF(ISNUMBER(INDEX(상세표[시작],$M542)),TEXT(INDEX(상세표[시작],$M542),"yyyy-mm-dd hh:mm"),INDEX(상세표[시작],$M542)&amp;""))</f>
        <v/>
      </c>
      <c r="E542">
        <f>IF($M542="","",IF(ISNUMBER(INDEX(상세표[종료],$M542)),TEXT(INDEX(상세표[종료],$M542),"yyyy-mm-dd hh:mm"),INDEX(상세표[종료],$M542)&amp;""))</f>
        <v/>
      </c>
      <c r="F542" s="20">
        <f>IF($M542="","",INDEX(상세표[기록 시간외],$M542))</f>
        <v/>
      </c>
      <c r="G542">
        <f>IF($M542="","",INDEX(상세표[시작월 기관],$M542)&amp;"")</f>
        <v/>
      </c>
      <c r="H542">
        <f>IF($M542="","",INDEX(상세표[종료월 기관],$M542)&amp;"")</f>
        <v/>
      </c>
      <c r="I542">
        <f>IF($M542="","",INDEX(상세표[월경계 판정],$M542)&amp;"")</f>
        <v/>
      </c>
      <c r="J542">
        <f>IF($M542="","",INDEX(상세표[반영월],$M542)&amp;"")</f>
        <v/>
      </c>
      <c r="K542">
        <f>IF($M542="","",INDEX(상세표[반영 기관],$M542)&amp;"")</f>
        <v/>
      </c>
      <c r="L542">
        <f>IF($M542="","",INDEX(상세표[기관 출처],$M542)&amp;"")</f>
        <v/>
      </c>
      <c r="M542" s="4">
        <f>IFERROR(MATCH(537,상세표[경계순번],0),"")</f>
        <v/>
      </c>
    </row>
    <row r="543">
      <c r="A543">
        <f>IF($M543="","",INDEX(상세표[사번],$M543)&amp;"")</f>
        <v/>
      </c>
      <c r="B543">
        <f>IF($M543="","",INDEX(상세표[성명],$M543)&amp;"")</f>
        <v/>
      </c>
      <c r="C543">
        <f>IF($M543="","",IF(INDEX(상세표[종료월],$M543)=대상월키,"전월→이번 달","이번 달→익월"))</f>
        <v/>
      </c>
      <c r="D543">
        <f>IF($M543="","",IF(ISNUMBER(INDEX(상세표[시작],$M543)),TEXT(INDEX(상세표[시작],$M543),"yyyy-mm-dd hh:mm"),INDEX(상세표[시작],$M543)&amp;""))</f>
        <v/>
      </c>
      <c r="E543">
        <f>IF($M543="","",IF(ISNUMBER(INDEX(상세표[종료],$M543)),TEXT(INDEX(상세표[종료],$M543),"yyyy-mm-dd hh:mm"),INDEX(상세표[종료],$M543)&amp;""))</f>
        <v/>
      </c>
      <c r="F543" s="20">
        <f>IF($M543="","",INDEX(상세표[기록 시간외],$M543))</f>
        <v/>
      </c>
      <c r="G543">
        <f>IF($M543="","",INDEX(상세표[시작월 기관],$M543)&amp;"")</f>
        <v/>
      </c>
      <c r="H543">
        <f>IF($M543="","",INDEX(상세표[종료월 기관],$M543)&amp;"")</f>
        <v/>
      </c>
      <c r="I543">
        <f>IF($M543="","",INDEX(상세표[월경계 판정],$M543)&amp;"")</f>
        <v/>
      </c>
      <c r="J543">
        <f>IF($M543="","",INDEX(상세표[반영월],$M543)&amp;"")</f>
        <v/>
      </c>
      <c r="K543">
        <f>IF($M543="","",INDEX(상세표[반영 기관],$M543)&amp;"")</f>
        <v/>
      </c>
      <c r="L543">
        <f>IF($M543="","",INDEX(상세표[기관 출처],$M543)&amp;"")</f>
        <v/>
      </c>
      <c r="M543" s="4">
        <f>IFERROR(MATCH(538,상세표[경계순번],0),"")</f>
        <v/>
      </c>
    </row>
    <row r="544">
      <c r="A544">
        <f>IF($M544="","",INDEX(상세표[사번],$M544)&amp;"")</f>
        <v/>
      </c>
      <c r="B544">
        <f>IF($M544="","",INDEX(상세표[성명],$M544)&amp;"")</f>
        <v/>
      </c>
      <c r="C544">
        <f>IF($M544="","",IF(INDEX(상세표[종료월],$M544)=대상월키,"전월→이번 달","이번 달→익월"))</f>
        <v/>
      </c>
      <c r="D544">
        <f>IF($M544="","",IF(ISNUMBER(INDEX(상세표[시작],$M544)),TEXT(INDEX(상세표[시작],$M544),"yyyy-mm-dd hh:mm"),INDEX(상세표[시작],$M544)&amp;""))</f>
        <v/>
      </c>
      <c r="E544">
        <f>IF($M544="","",IF(ISNUMBER(INDEX(상세표[종료],$M544)),TEXT(INDEX(상세표[종료],$M544),"yyyy-mm-dd hh:mm"),INDEX(상세표[종료],$M544)&amp;""))</f>
        <v/>
      </c>
      <c r="F544" s="20">
        <f>IF($M544="","",INDEX(상세표[기록 시간외],$M544))</f>
        <v/>
      </c>
      <c r="G544">
        <f>IF($M544="","",INDEX(상세표[시작월 기관],$M544)&amp;"")</f>
        <v/>
      </c>
      <c r="H544">
        <f>IF($M544="","",INDEX(상세표[종료월 기관],$M544)&amp;"")</f>
        <v/>
      </c>
      <c r="I544">
        <f>IF($M544="","",INDEX(상세표[월경계 판정],$M544)&amp;"")</f>
        <v/>
      </c>
      <c r="J544">
        <f>IF($M544="","",INDEX(상세표[반영월],$M544)&amp;"")</f>
        <v/>
      </c>
      <c r="K544">
        <f>IF($M544="","",INDEX(상세표[반영 기관],$M544)&amp;"")</f>
        <v/>
      </c>
      <c r="L544">
        <f>IF($M544="","",INDEX(상세표[기관 출처],$M544)&amp;"")</f>
        <v/>
      </c>
      <c r="M544" s="4">
        <f>IFERROR(MATCH(539,상세표[경계순번],0),"")</f>
        <v/>
      </c>
    </row>
    <row r="545">
      <c r="A545">
        <f>IF($M545="","",INDEX(상세표[사번],$M545)&amp;"")</f>
        <v/>
      </c>
      <c r="B545">
        <f>IF($M545="","",INDEX(상세표[성명],$M545)&amp;"")</f>
        <v/>
      </c>
      <c r="C545">
        <f>IF($M545="","",IF(INDEX(상세표[종료월],$M545)=대상월키,"전월→이번 달","이번 달→익월"))</f>
        <v/>
      </c>
      <c r="D545">
        <f>IF($M545="","",IF(ISNUMBER(INDEX(상세표[시작],$M545)),TEXT(INDEX(상세표[시작],$M545),"yyyy-mm-dd hh:mm"),INDEX(상세표[시작],$M545)&amp;""))</f>
        <v/>
      </c>
      <c r="E545">
        <f>IF($M545="","",IF(ISNUMBER(INDEX(상세표[종료],$M545)),TEXT(INDEX(상세표[종료],$M545),"yyyy-mm-dd hh:mm"),INDEX(상세표[종료],$M545)&amp;""))</f>
        <v/>
      </c>
      <c r="F545" s="20">
        <f>IF($M545="","",INDEX(상세표[기록 시간외],$M545))</f>
        <v/>
      </c>
      <c r="G545">
        <f>IF($M545="","",INDEX(상세표[시작월 기관],$M545)&amp;"")</f>
        <v/>
      </c>
      <c r="H545">
        <f>IF($M545="","",INDEX(상세표[종료월 기관],$M545)&amp;"")</f>
        <v/>
      </c>
      <c r="I545">
        <f>IF($M545="","",INDEX(상세표[월경계 판정],$M545)&amp;"")</f>
        <v/>
      </c>
      <c r="J545">
        <f>IF($M545="","",INDEX(상세표[반영월],$M545)&amp;"")</f>
        <v/>
      </c>
      <c r="K545">
        <f>IF($M545="","",INDEX(상세표[반영 기관],$M545)&amp;"")</f>
        <v/>
      </c>
      <c r="L545">
        <f>IF($M545="","",INDEX(상세표[기관 출처],$M545)&amp;"")</f>
        <v/>
      </c>
      <c r="M545" s="4">
        <f>IFERROR(MATCH(540,상세표[경계순번],0),"")</f>
        <v/>
      </c>
    </row>
    <row r="546">
      <c r="A546">
        <f>IF($M546="","",INDEX(상세표[사번],$M546)&amp;"")</f>
        <v/>
      </c>
      <c r="B546">
        <f>IF($M546="","",INDEX(상세표[성명],$M546)&amp;"")</f>
        <v/>
      </c>
      <c r="C546">
        <f>IF($M546="","",IF(INDEX(상세표[종료월],$M546)=대상월키,"전월→이번 달","이번 달→익월"))</f>
        <v/>
      </c>
      <c r="D546">
        <f>IF($M546="","",IF(ISNUMBER(INDEX(상세표[시작],$M546)),TEXT(INDEX(상세표[시작],$M546),"yyyy-mm-dd hh:mm"),INDEX(상세표[시작],$M546)&amp;""))</f>
        <v/>
      </c>
      <c r="E546">
        <f>IF($M546="","",IF(ISNUMBER(INDEX(상세표[종료],$M546)),TEXT(INDEX(상세표[종료],$M546),"yyyy-mm-dd hh:mm"),INDEX(상세표[종료],$M546)&amp;""))</f>
        <v/>
      </c>
      <c r="F546" s="20">
        <f>IF($M546="","",INDEX(상세표[기록 시간외],$M546))</f>
        <v/>
      </c>
      <c r="G546">
        <f>IF($M546="","",INDEX(상세표[시작월 기관],$M546)&amp;"")</f>
        <v/>
      </c>
      <c r="H546">
        <f>IF($M546="","",INDEX(상세표[종료월 기관],$M546)&amp;"")</f>
        <v/>
      </c>
      <c r="I546">
        <f>IF($M546="","",INDEX(상세표[월경계 판정],$M546)&amp;"")</f>
        <v/>
      </c>
      <c r="J546">
        <f>IF($M546="","",INDEX(상세표[반영월],$M546)&amp;"")</f>
        <v/>
      </c>
      <c r="K546">
        <f>IF($M546="","",INDEX(상세표[반영 기관],$M546)&amp;"")</f>
        <v/>
      </c>
      <c r="L546">
        <f>IF($M546="","",INDEX(상세표[기관 출처],$M546)&amp;"")</f>
        <v/>
      </c>
      <c r="M546" s="4">
        <f>IFERROR(MATCH(541,상세표[경계순번],0),"")</f>
        <v/>
      </c>
    </row>
    <row r="547">
      <c r="A547">
        <f>IF($M547="","",INDEX(상세표[사번],$M547)&amp;"")</f>
        <v/>
      </c>
      <c r="B547">
        <f>IF($M547="","",INDEX(상세표[성명],$M547)&amp;"")</f>
        <v/>
      </c>
      <c r="C547">
        <f>IF($M547="","",IF(INDEX(상세표[종료월],$M547)=대상월키,"전월→이번 달","이번 달→익월"))</f>
        <v/>
      </c>
      <c r="D547">
        <f>IF($M547="","",IF(ISNUMBER(INDEX(상세표[시작],$M547)),TEXT(INDEX(상세표[시작],$M547),"yyyy-mm-dd hh:mm"),INDEX(상세표[시작],$M547)&amp;""))</f>
        <v/>
      </c>
      <c r="E547">
        <f>IF($M547="","",IF(ISNUMBER(INDEX(상세표[종료],$M547)),TEXT(INDEX(상세표[종료],$M547),"yyyy-mm-dd hh:mm"),INDEX(상세표[종료],$M547)&amp;""))</f>
        <v/>
      </c>
      <c r="F547" s="20">
        <f>IF($M547="","",INDEX(상세표[기록 시간외],$M547))</f>
        <v/>
      </c>
      <c r="G547">
        <f>IF($M547="","",INDEX(상세표[시작월 기관],$M547)&amp;"")</f>
        <v/>
      </c>
      <c r="H547">
        <f>IF($M547="","",INDEX(상세표[종료월 기관],$M547)&amp;"")</f>
        <v/>
      </c>
      <c r="I547">
        <f>IF($M547="","",INDEX(상세표[월경계 판정],$M547)&amp;"")</f>
        <v/>
      </c>
      <c r="J547">
        <f>IF($M547="","",INDEX(상세표[반영월],$M547)&amp;"")</f>
        <v/>
      </c>
      <c r="K547">
        <f>IF($M547="","",INDEX(상세표[반영 기관],$M547)&amp;"")</f>
        <v/>
      </c>
      <c r="L547">
        <f>IF($M547="","",INDEX(상세표[기관 출처],$M547)&amp;"")</f>
        <v/>
      </c>
      <c r="M547" s="4">
        <f>IFERROR(MATCH(542,상세표[경계순번],0),"")</f>
        <v/>
      </c>
    </row>
    <row r="548">
      <c r="A548">
        <f>IF($M548="","",INDEX(상세표[사번],$M548)&amp;"")</f>
        <v/>
      </c>
      <c r="B548">
        <f>IF($M548="","",INDEX(상세표[성명],$M548)&amp;"")</f>
        <v/>
      </c>
      <c r="C548">
        <f>IF($M548="","",IF(INDEX(상세표[종료월],$M548)=대상월키,"전월→이번 달","이번 달→익월"))</f>
        <v/>
      </c>
      <c r="D548">
        <f>IF($M548="","",IF(ISNUMBER(INDEX(상세표[시작],$M548)),TEXT(INDEX(상세표[시작],$M548),"yyyy-mm-dd hh:mm"),INDEX(상세표[시작],$M548)&amp;""))</f>
        <v/>
      </c>
      <c r="E548">
        <f>IF($M548="","",IF(ISNUMBER(INDEX(상세표[종료],$M548)),TEXT(INDEX(상세표[종료],$M548),"yyyy-mm-dd hh:mm"),INDEX(상세표[종료],$M548)&amp;""))</f>
        <v/>
      </c>
      <c r="F548" s="20">
        <f>IF($M548="","",INDEX(상세표[기록 시간외],$M548))</f>
        <v/>
      </c>
      <c r="G548">
        <f>IF($M548="","",INDEX(상세표[시작월 기관],$M548)&amp;"")</f>
        <v/>
      </c>
      <c r="H548">
        <f>IF($M548="","",INDEX(상세표[종료월 기관],$M548)&amp;"")</f>
        <v/>
      </c>
      <c r="I548">
        <f>IF($M548="","",INDEX(상세표[월경계 판정],$M548)&amp;"")</f>
        <v/>
      </c>
      <c r="J548">
        <f>IF($M548="","",INDEX(상세표[반영월],$M548)&amp;"")</f>
        <v/>
      </c>
      <c r="K548">
        <f>IF($M548="","",INDEX(상세표[반영 기관],$M548)&amp;"")</f>
        <v/>
      </c>
      <c r="L548">
        <f>IF($M548="","",INDEX(상세표[기관 출처],$M548)&amp;"")</f>
        <v/>
      </c>
      <c r="M548" s="4">
        <f>IFERROR(MATCH(543,상세표[경계순번],0),"")</f>
        <v/>
      </c>
    </row>
    <row r="549">
      <c r="A549">
        <f>IF($M549="","",INDEX(상세표[사번],$M549)&amp;"")</f>
        <v/>
      </c>
      <c r="B549">
        <f>IF($M549="","",INDEX(상세표[성명],$M549)&amp;"")</f>
        <v/>
      </c>
      <c r="C549">
        <f>IF($M549="","",IF(INDEX(상세표[종료월],$M549)=대상월키,"전월→이번 달","이번 달→익월"))</f>
        <v/>
      </c>
      <c r="D549">
        <f>IF($M549="","",IF(ISNUMBER(INDEX(상세표[시작],$M549)),TEXT(INDEX(상세표[시작],$M549),"yyyy-mm-dd hh:mm"),INDEX(상세표[시작],$M549)&amp;""))</f>
        <v/>
      </c>
      <c r="E549">
        <f>IF($M549="","",IF(ISNUMBER(INDEX(상세표[종료],$M549)),TEXT(INDEX(상세표[종료],$M549),"yyyy-mm-dd hh:mm"),INDEX(상세표[종료],$M549)&amp;""))</f>
        <v/>
      </c>
      <c r="F549" s="20">
        <f>IF($M549="","",INDEX(상세표[기록 시간외],$M549))</f>
        <v/>
      </c>
      <c r="G549">
        <f>IF($M549="","",INDEX(상세표[시작월 기관],$M549)&amp;"")</f>
        <v/>
      </c>
      <c r="H549">
        <f>IF($M549="","",INDEX(상세표[종료월 기관],$M549)&amp;"")</f>
        <v/>
      </c>
      <c r="I549">
        <f>IF($M549="","",INDEX(상세표[월경계 판정],$M549)&amp;"")</f>
        <v/>
      </c>
      <c r="J549">
        <f>IF($M549="","",INDEX(상세표[반영월],$M549)&amp;"")</f>
        <v/>
      </c>
      <c r="K549">
        <f>IF($M549="","",INDEX(상세표[반영 기관],$M549)&amp;"")</f>
        <v/>
      </c>
      <c r="L549">
        <f>IF($M549="","",INDEX(상세표[기관 출처],$M549)&amp;"")</f>
        <v/>
      </c>
      <c r="M549" s="4">
        <f>IFERROR(MATCH(544,상세표[경계순번],0),"")</f>
        <v/>
      </c>
    </row>
    <row r="550">
      <c r="A550">
        <f>IF($M550="","",INDEX(상세표[사번],$M550)&amp;"")</f>
        <v/>
      </c>
      <c r="B550">
        <f>IF($M550="","",INDEX(상세표[성명],$M550)&amp;"")</f>
        <v/>
      </c>
      <c r="C550">
        <f>IF($M550="","",IF(INDEX(상세표[종료월],$M550)=대상월키,"전월→이번 달","이번 달→익월"))</f>
        <v/>
      </c>
      <c r="D550">
        <f>IF($M550="","",IF(ISNUMBER(INDEX(상세표[시작],$M550)),TEXT(INDEX(상세표[시작],$M550),"yyyy-mm-dd hh:mm"),INDEX(상세표[시작],$M550)&amp;""))</f>
        <v/>
      </c>
      <c r="E550">
        <f>IF($M550="","",IF(ISNUMBER(INDEX(상세표[종료],$M550)),TEXT(INDEX(상세표[종료],$M550),"yyyy-mm-dd hh:mm"),INDEX(상세표[종료],$M550)&amp;""))</f>
        <v/>
      </c>
      <c r="F550" s="20">
        <f>IF($M550="","",INDEX(상세표[기록 시간외],$M550))</f>
        <v/>
      </c>
      <c r="G550">
        <f>IF($M550="","",INDEX(상세표[시작월 기관],$M550)&amp;"")</f>
        <v/>
      </c>
      <c r="H550">
        <f>IF($M550="","",INDEX(상세표[종료월 기관],$M550)&amp;"")</f>
        <v/>
      </c>
      <c r="I550">
        <f>IF($M550="","",INDEX(상세표[월경계 판정],$M550)&amp;"")</f>
        <v/>
      </c>
      <c r="J550">
        <f>IF($M550="","",INDEX(상세표[반영월],$M550)&amp;"")</f>
        <v/>
      </c>
      <c r="K550">
        <f>IF($M550="","",INDEX(상세표[반영 기관],$M550)&amp;"")</f>
        <v/>
      </c>
      <c r="L550">
        <f>IF($M550="","",INDEX(상세표[기관 출처],$M550)&amp;"")</f>
        <v/>
      </c>
      <c r="M550" s="4">
        <f>IFERROR(MATCH(545,상세표[경계순번],0),"")</f>
        <v/>
      </c>
    </row>
    <row r="551">
      <c r="A551">
        <f>IF($M551="","",INDEX(상세표[사번],$M551)&amp;"")</f>
        <v/>
      </c>
      <c r="B551">
        <f>IF($M551="","",INDEX(상세표[성명],$M551)&amp;"")</f>
        <v/>
      </c>
      <c r="C551">
        <f>IF($M551="","",IF(INDEX(상세표[종료월],$M551)=대상월키,"전월→이번 달","이번 달→익월"))</f>
        <v/>
      </c>
      <c r="D551">
        <f>IF($M551="","",IF(ISNUMBER(INDEX(상세표[시작],$M551)),TEXT(INDEX(상세표[시작],$M551),"yyyy-mm-dd hh:mm"),INDEX(상세표[시작],$M551)&amp;""))</f>
        <v/>
      </c>
      <c r="E551">
        <f>IF($M551="","",IF(ISNUMBER(INDEX(상세표[종료],$M551)),TEXT(INDEX(상세표[종료],$M551),"yyyy-mm-dd hh:mm"),INDEX(상세표[종료],$M551)&amp;""))</f>
        <v/>
      </c>
      <c r="F551" s="20">
        <f>IF($M551="","",INDEX(상세표[기록 시간외],$M551))</f>
        <v/>
      </c>
      <c r="G551">
        <f>IF($M551="","",INDEX(상세표[시작월 기관],$M551)&amp;"")</f>
        <v/>
      </c>
      <c r="H551">
        <f>IF($M551="","",INDEX(상세표[종료월 기관],$M551)&amp;"")</f>
        <v/>
      </c>
      <c r="I551">
        <f>IF($M551="","",INDEX(상세표[월경계 판정],$M551)&amp;"")</f>
        <v/>
      </c>
      <c r="J551">
        <f>IF($M551="","",INDEX(상세표[반영월],$M551)&amp;"")</f>
        <v/>
      </c>
      <c r="K551">
        <f>IF($M551="","",INDEX(상세표[반영 기관],$M551)&amp;"")</f>
        <v/>
      </c>
      <c r="L551">
        <f>IF($M551="","",INDEX(상세표[기관 출처],$M551)&amp;"")</f>
        <v/>
      </c>
      <c r="M551" s="4">
        <f>IFERROR(MATCH(546,상세표[경계순번],0),"")</f>
        <v/>
      </c>
    </row>
    <row r="552">
      <c r="A552">
        <f>IF($M552="","",INDEX(상세표[사번],$M552)&amp;"")</f>
        <v/>
      </c>
      <c r="B552">
        <f>IF($M552="","",INDEX(상세표[성명],$M552)&amp;"")</f>
        <v/>
      </c>
      <c r="C552">
        <f>IF($M552="","",IF(INDEX(상세표[종료월],$M552)=대상월키,"전월→이번 달","이번 달→익월"))</f>
        <v/>
      </c>
      <c r="D552">
        <f>IF($M552="","",IF(ISNUMBER(INDEX(상세표[시작],$M552)),TEXT(INDEX(상세표[시작],$M552),"yyyy-mm-dd hh:mm"),INDEX(상세표[시작],$M552)&amp;""))</f>
        <v/>
      </c>
      <c r="E552">
        <f>IF($M552="","",IF(ISNUMBER(INDEX(상세표[종료],$M552)),TEXT(INDEX(상세표[종료],$M552),"yyyy-mm-dd hh:mm"),INDEX(상세표[종료],$M552)&amp;""))</f>
        <v/>
      </c>
      <c r="F552" s="20">
        <f>IF($M552="","",INDEX(상세표[기록 시간외],$M552))</f>
        <v/>
      </c>
      <c r="G552">
        <f>IF($M552="","",INDEX(상세표[시작월 기관],$M552)&amp;"")</f>
        <v/>
      </c>
      <c r="H552">
        <f>IF($M552="","",INDEX(상세표[종료월 기관],$M552)&amp;"")</f>
        <v/>
      </c>
      <c r="I552">
        <f>IF($M552="","",INDEX(상세표[월경계 판정],$M552)&amp;"")</f>
        <v/>
      </c>
      <c r="J552">
        <f>IF($M552="","",INDEX(상세표[반영월],$M552)&amp;"")</f>
        <v/>
      </c>
      <c r="K552">
        <f>IF($M552="","",INDEX(상세표[반영 기관],$M552)&amp;"")</f>
        <v/>
      </c>
      <c r="L552">
        <f>IF($M552="","",INDEX(상세표[기관 출처],$M552)&amp;"")</f>
        <v/>
      </c>
      <c r="M552" s="4">
        <f>IFERROR(MATCH(547,상세표[경계순번],0),"")</f>
        <v/>
      </c>
    </row>
    <row r="553">
      <c r="A553">
        <f>IF($M553="","",INDEX(상세표[사번],$M553)&amp;"")</f>
        <v/>
      </c>
      <c r="B553">
        <f>IF($M553="","",INDEX(상세표[성명],$M553)&amp;"")</f>
        <v/>
      </c>
      <c r="C553">
        <f>IF($M553="","",IF(INDEX(상세표[종료월],$M553)=대상월키,"전월→이번 달","이번 달→익월"))</f>
        <v/>
      </c>
      <c r="D553">
        <f>IF($M553="","",IF(ISNUMBER(INDEX(상세표[시작],$M553)),TEXT(INDEX(상세표[시작],$M553),"yyyy-mm-dd hh:mm"),INDEX(상세표[시작],$M553)&amp;""))</f>
        <v/>
      </c>
      <c r="E553">
        <f>IF($M553="","",IF(ISNUMBER(INDEX(상세표[종료],$M553)),TEXT(INDEX(상세표[종료],$M553),"yyyy-mm-dd hh:mm"),INDEX(상세표[종료],$M553)&amp;""))</f>
        <v/>
      </c>
      <c r="F553" s="20">
        <f>IF($M553="","",INDEX(상세표[기록 시간외],$M553))</f>
        <v/>
      </c>
      <c r="G553">
        <f>IF($M553="","",INDEX(상세표[시작월 기관],$M553)&amp;"")</f>
        <v/>
      </c>
      <c r="H553">
        <f>IF($M553="","",INDEX(상세표[종료월 기관],$M553)&amp;"")</f>
        <v/>
      </c>
      <c r="I553">
        <f>IF($M553="","",INDEX(상세표[월경계 판정],$M553)&amp;"")</f>
        <v/>
      </c>
      <c r="J553">
        <f>IF($M553="","",INDEX(상세표[반영월],$M553)&amp;"")</f>
        <v/>
      </c>
      <c r="K553">
        <f>IF($M553="","",INDEX(상세표[반영 기관],$M553)&amp;"")</f>
        <v/>
      </c>
      <c r="L553">
        <f>IF($M553="","",INDEX(상세표[기관 출처],$M553)&amp;"")</f>
        <v/>
      </c>
      <c r="M553" s="4">
        <f>IFERROR(MATCH(548,상세표[경계순번],0),"")</f>
        <v/>
      </c>
    </row>
    <row r="554">
      <c r="A554">
        <f>IF($M554="","",INDEX(상세표[사번],$M554)&amp;"")</f>
        <v/>
      </c>
      <c r="B554">
        <f>IF($M554="","",INDEX(상세표[성명],$M554)&amp;"")</f>
        <v/>
      </c>
      <c r="C554">
        <f>IF($M554="","",IF(INDEX(상세표[종료월],$M554)=대상월키,"전월→이번 달","이번 달→익월"))</f>
        <v/>
      </c>
      <c r="D554">
        <f>IF($M554="","",IF(ISNUMBER(INDEX(상세표[시작],$M554)),TEXT(INDEX(상세표[시작],$M554),"yyyy-mm-dd hh:mm"),INDEX(상세표[시작],$M554)&amp;""))</f>
        <v/>
      </c>
      <c r="E554">
        <f>IF($M554="","",IF(ISNUMBER(INDEX(상세표[종료],$M554)),TEXT(INDEX(상세표[종료],$M554),"yyyy-mm-dd hh:mm"),INDEX(상세표[종료],$M554)&amp;""))</f>
        <v/>
      </c>
      <c r="F554" s="20">
        <f>IF($M554="","",INDEX(상세표[기록 시간외],$M554))</f>
        <v/>
      </c>
      <c r="G554">
        <f>IF($M554="","",INDEX(상세표[시작월 기관],$M554)&amp;"")</f>
        <v/>
      </c>
      <c r="H554">
        <f>IF($M554="","",INDEX(상세표[종료월 기관],$M554)&amp;"")</f>
        <v/>
      </c>
      <c r="I554">
        <f>IF($M554="","",INDEX(상세표[월경계 판정],$M554)&amp;"")</f>
        <v/>
      </c>
      <c r="J554">
        <f>IF($M554="","",INDEX(상세표[반영월],$M554)&amp;"")</f>
        <v/>
      </c>
      <c r="K554">
        <f>IF($M554="","",INDEX(상세표[반영 기관],$M554)&amp;"")</f>
        <v/>
      </c>
      <c r="L554">
        <f>IF($M554="","",INDEX(상세표[기관 출처],$M554)&amp;"")</f>
        <v/>
      </c>
      <c r="M554" s="4">
        <f>IFERROR(MATCH(549,상세표[경계순번],0),"")</f>
        <v/>
      </c>
    </row>
    <row r="555">
      <c r="A555">
        <f>IF($M555="","",INDEX(상세표[사번],$M555)&amp;"")</f>
        <v/>
      </c>
      <c r="B555">
        <f>IF($M555="","",INDEX(상세표[성명],$M555)&amp;"")</f>
        <v/>
      </c>
      <c r="C555">
        <f>IF($M555="","",IF(INDEX(상세표[종료월],$M555)=대상월키,"전월→이번 달","이번 달→익월"))</f>
        <v/>
      </c>
      <c r="D555">
        <f>IF($M555="","",IF(ISNUMBER(INDEX(상세표[시작],$M555)),TEXT(INDEX(상세표[시작],$M555),"yyyy-mm-dd hh:mm"),INDEX(상세표[시작],$M555)&amp;""))</f>
        <v/>
      </c>
      <c r="E555">
        <f>IF($M555="","",IF(ISNUMBER(INDEX(상세표[종료],$M555)),TEXT(INDEX(상세표[종료],$M555),"yyyy-mm-dd hh:mm"),INDEX(상세표[종료],$M555)&amp;""))</f>
        <v/>
      </c>
      <c r="F555" s="20">
        <f>IF($M555="","",INDEX(상세표[기록 시간외],$M555))</f>
        <v/>
      </c>
      <c r="G555">
        <f>IF($M555="","",INDEX(상세표[시작월 기관],$M555)&amp;"")</f>
        <v/>
      </c>
      <c r="H555">
        <f>IF($M555="","",INDEX(상세표[종료월 기관],$M555)&amp;"")</f>
        <v/>
      </c>
      <c r="I555">
        <f>IF($M555="","",INDEX(상세표[월경계 판정],$M555)&amp;"")</f>
        <v/>
      </c>
      <c r="J555">
        <f>IF($M555="","",INDEX(상세표[반영월],$M555)&amp;"")</f>
        <v/>
      </c>
      <c r="K555">
        <f>IF($M555="","",INDEX(상세표[반영 기관],$M555)&amp;"")</f>
        <v/>
      </c>
      <c r="L555">
        <f>IF($M555="","",INDEX(상세표[기관 출처],$M555)&amp;"")</f>
        <v/>
      </c>
      <c r="M555" s="4">
        <f>IFERROR(MATCH(550,상세표[경계순번],0),"")</f>
        <v/>
      </c>
    </row>
    <row r="556">
      <c r="A556">
        <f>IF($M556="","",INDEX(상세표[사번],$M556)&amp;"")</f>
        <v/>
      </c>
      <c r="B556">
        <f>IF($M556="","",INDEX(상세표[성명],$M556)&amp;"")</f>
        <v/>
      </c>
      <c r="C556">
        <f>IF($M556="","",IF(INDEX(상세표[종료월],$M556)=대상월키,"전월→이번 달","이번 달→익월"))</f>
        <v/>
      </c>
      <c r="D556">
        <f>IF($M556="","",IF(ISNUMBER(INDEX(상세표[시작],$M556)),TEXT(INDEX(상세표[시작],$M556),"yyyy-mm-dd hh:mm"),INDEX(상세표[시작],$M556)&amp;""))</f>
        <v/>
      </c>
      <c r="E556">
        <f>IF($M556="","",IF(ISNUMBER(INDEX(상세표[종료],$M556)),TEXT(INDEX(상세표[종료],$M556),"yyyy-mm-dd hh:mm"),INDEX(상세표[종료],$M556)&amp;""))</f>
        <v/>
      </c>
      <c r="F556" s="20">
        <f>IF($M556="","",INDEX(상세표[기록 시간외],$M556))</f>
        <v/>
      </c>
      <c r="G556">
        <f>IF($M556="","",INDEX(상세표[시작월 기관],$M556)&amp;"")</f>
        <v/>
      </c>
      <c r="H556">
        <f>IF($M556="","",INDEX(상세표[종료월 기관],$M556)&amp;"")</f>
        <v/>
      </c>
      <c r="I556">
        <f>IF($M556="","",INDEX(상세표[월경계 판정],$M556)&amp;"")</f>
        <v/>
      </c>
      <c r="J556">
        <f>IF($M556="","",INDEX(상세표[반영월],$M556)&amp;"")</f>
        <v/>
      </c>
      <c r="K556">
        <f>IF($M556="","",INDEX(상세표[반영 기관],$M556)&amp;"")</f>
        <v/>
      </c>
      <c r="L556">
        <f>IF($M556="","",INDEX(상세표[기관 출처],$M556)&amp;"")</f>
        <v/>
      </c>
      <c r="M556" s="4">
        <f>IFERROR(MATCH(551,상세표[경계순번],0),"")</f>
        <v/>
      </c>
    </row>
    <row r="557">
      <c r="A557">
        <f>IF($M557="","",INDEX(상세표[사번],$M557)&amp;"")</f>
        <v/>
      </c>
      <c r="B557">
        <f>IF($M557="","",INDEX(상세표[성명],$M557)&amp;"")</f>
        <v/>
      </c>
      <c r="C557">
        <f>IF($M557="","",IF(INDEX(상세표[종료월],$M557)=대상월키,"전월→이번 달","이번 달→익월"))</f>
        <v/>
      </c>
      <c r="D557">
        <f>IF($M557="","",IF(ISNUMBER(INDEX(상세표[시작],$M557)),TEXT(INDEX(상세표[시작],$M557),"yyyy-mm-dd hh:mm"),INDEX(상세표[시작],$M557)&amp;""))</f>
        <v/>
      </c>
      <c r="E557">
        <f>IF($M557="","",IF(ISNUMBER(INDEX(상세표[종료],$M557)),TEXT(INDEX(상세표[종료],$M557),"yyyy-mm-dd hh:mm"),INDEX(상세표[종료],$M557)&amp;""))</f>
        <v/>
      </c>
      <c r="F557" s="20">
        <f>IF($M557="","",INDEX(상세표[기록 시간외],$M557))</f>
        <v/>
      </c>
      <c r="G557">
        <f>IF($M557="","",INDEX(상세표[시작월 기관],$M557)&amp;"")</f>
        <v/>
      </c>
      <c r="H557">
        <f>IF($M557="","",INDEX(상세표[종료월 기관],$M557)&amp;"")</f>
        <v/>
      </c>
      <c r="I557">
        <f>IF($M557="","",INDEX(상세표[월경계 판정],$M557)&amp;"")</f>
        <v/>
      </c>
      <c r="J557">
        <f>IF($M557="","",INDEX(상세표[반영월],$M557)&amp;"")</f>
        <v/>
      </c>
      <c r="K557">
        <f>IF($M557="","",INDEX(상세표[반영 기관],$M557)&amp;"")</f>
        <v/>
      </c>
      <c r="L557">
        <f>IF($M557="","",INDEX(상세표[기관 출처],$M557)&amp;"")</f>
        <v/>
      </c>
      <c r="M557" s="4">
        <f>IFERROR(MATCH(552,상세표[경계순번],0),"")</f>
        <v/>
      </c>
    </row>
    <row r="558">
      <c r="A558">
        <f>IF($M558="","",INDEX(상세표[사번],$M558)&amp;"")</f>
        <v/>
      </c>
      <c r="B558">
        <f>IF($M558="","",INDEX(상세표[성명],$M558)&amp;"")</f>
        <v/>
      </c>
      <c r="C558">
        <f>IF($M558="","",IF(INDEX(상세표[종료월],$M558)=대상월키,"전월→이번 달","이번 달→익월"))</f>
        <v/>
      </c>
      <c r="D558">
        <f>IF($M558="","",IF(ISNUMBER(INDEX(상세표[시작],$M558)),TEXT(INDEX(상세표[시작],$M558),"yyyy-mm-dd hh:mm"),INDEX(상세표[시작],$M558)&amp;""))</f>
        <v/>
      </c>
      <c r="E558">
        <f>IF($M558="","",IF(ISNUMBER(INDEX(상세표[종료],$M558)),TEXT(INDEX(상세표[종료],$M558),"yyyy-mm-dd hh:mm"),INDEX(상세표[종료],$M558)&amp;""))</f>
        <v/>
      </c>
      <c r="F558" s="20">
        <f>IF($M558="","",INDEX(상세표[기록 시간외],$M558))</f>
        <v/>
      </c>
      <c r="G558">
        <f>IF($M558="","",INDEX(상세표[시작월 기관],$M558)&amp;"")</f>
        <v/>
      </c>
      <c r="H558">
        <f>IF($M558="","",INDEX(상세표[종료월 기관],$M558)&amp;"")</f>
        <v/>
      </c>
      <c r="I558">
        <f>IF($M558="","",INDEX(상세표[월경계 판정],$M558)&amp;"")</f>
        <v/>
      </c>
      <c r="J558">
        <f>IF($M558="","",INDEX(상세표[반영월],$M558)&amp;"")</f>
        <v/>
      </c>
      <c r="K558">
        <f>IF($M558="","",INDEX(상세표[반영 기관],$M558)&amp;"")</f>
        <v/>
      </c>
      <c r="L558">
        <f>IF($M558="","",INDEX(상세표[기관 출처],$M558)&amp;"")</f>
        <v/>
      </c>
      <c r="M558" s="4">
        <f>IFERROR(MATCH(553,상세표[경계순번],0),"")</f>
        <v/>
      </c>
    </row>
    <row r="559">
      <c r="A559">
        <f>IF($M559="","",INDEX(상세표[사번],$M559)&amp;"")</f>
        <v/>
      </c>
      <c r="B559">
        <f>IF($M559="","",INDEX(상세표[성명],$M559)&amp;"")</f>
        <v/>
      </c>
      <c r="C559">
        <f>IF($M559="","",IF(INDEX(상세표[종료월],$M559)=대상월키,"전월→이번 달","이번 달→익월"))</f>
        <v/>
      </c>
      <c r="D559">
        <f>IF($M559="","",IF(ISNUMBER(INDEX(상세표[시작],$M559)),TEXT(INDEX(상세표[시작],$M559),"yyyy-mm-dd hh:mm"),INDEX(상세표[시작],$M559)&amp;""))</f>
        <v/>
      </c>
      <c r="E559">
        <f>IF($M559="","",IF(ISNUMBER(INDEX(상세표[종료],$M559)),TEXT(INDEX(상세표[종료],$M559),"yyyy-mm-dd hh:mm"),INDEX(상세표[종료],$M559)&amp;""))</f>
        <v/>
      </c>
      <c r="F559" s="20">
        <f>IF($M559="","",INDEX(상세표[기록 시간외],$M559))</f>
        <v/>
      </c>
      <c r="G559">
        <f>IF($M559="","",INDEX(상세표[시작월 기관],$M559)&amp;"")</f>
        <v/>
      </c>
      <c r="H559">
        <f>IF($M559="","",INDEX(상세표[종료월 기관],$M559)&amp;"")</f>
        <v/>
      </c>
      <c r="I559">
        <f>IF($M559="","",INDEX(상세표[월경계 판정],$M559)&amp;"")</f>
        <v/>
      </c>
      <c r="J559">
        <f>IF($M559="","",INDEX(상세표[반영월],$M559)&amp;"")</f>
        <v/>
      </c>
      <c r="K559">
        <f>IF($M559="","",INDEX(상세표[반영 기관],$M559)&amp;"")</f>
        <v/>
      </c>
      <c r="L559">
        <f>IF($M559="","",INDEX(상세표[기관 출처],$M559)&amp;"")</f>
        <v/>
      </c>
      <c r="M559" s="4">
        <f>IFERROR(MATCH(554,상세표[경계순번],0),"")</f>
        <v/>
      </c>
    </row>
    <row r="560">
      <c r="A560">
        <f>IF($M560="","",INDEX(상세표[사번],$M560)&amp;"")</f>
        <v/>
      </c>
      <c r="B560">
        <f>IF($M560="","",INDEX(상세표[성명],$M560)&amp;"")</f>
        <v/>
      </c>
      <c r="C560">
        <f>IF($M560="","",IF(INDEX(상세표[종료월],$M560)=대상월키,"전월→이번 달","이번 달→익월"))</f>
        <v/>
      </c>
      <c r="D560">
        <f>IF($M560="","",IF(ISNUMBER(INDEX(상세표[시작],$M560)),TEXT(INDEX(상세표[시작],$M560),"yyyy-mm-dd hh:mm"),INDEX(상세표[시작],$M560)&amp;""))</f>
        <v/>
      </c>
      <c r="E560">
        <f>IF($M560="","",IF(ISNUMBER(INDEX(상세표[종료],$M560)),TEXT(INDEX(상세표[종료],$M560),"yyyy-mm-dd hh:mm"),INDEX(상세표[종료],$M560)&amp;""))</f>
        <v/>
      </c>
      <c r="F560" s="20">
        <f>IF($M560="","",INDEX(상세표[기록 시간외],$M560))</f>
        <v/>
      </c>
      <c r="G560">
        <f>IF($M560="","",INDEX(상세표[시작월 기관],$M560)&amp;"")</f>
        <v/>
      </c>
      <c r="H560">
        <f>IF($M560="","",INDEX(상세표[종료월 기관],$M560)&amp;"")</f>
        <v/>
      </c>
      <c r="I560">
        <f>IF($M560="","",INDEX(상세표[월경계 판정],$M560)&amp;"")</f>
        <v/>
      </c>
      <c r="J560">
        <f>IF($M560="","",INDEX(상세표[반영월],$M560)&amp;"")</f>
        <v/>
      </c>
      <c r="K560">
        <f>IF($M560="","",INDEX(상세표[반영 기관],$M560)&amp;"")</f>
        <v/>
      </c>
      <c r="L560">
        <f>IF($M560="","",INDEX(상세표[기관 출처],$M560)&amp;"")</f>
        <v/>
      </c>
      <c r="M560" s="4">
        <f>IFERROR(MATCH(555,상세표[경계순번],0),"")</f>
        <v/>
      </c>
    </row>
    <row r="561">
      <c r="A561">
        <f>IF($M561="","",INDEX(상세표[사번],$M561)&amp;"")</f>
        <v/>
      </c>
      <c r="B561">
        <f>IF($M561="","",INDEX(상세표[성명],$M561)&amp;"")</f>
        <v/>
      </c>
      <c r="C561">
        <f>IF($M561="","",IF(INDEX(상세표[종료월],$M561)=대상월키,"전월→이번 달","이번 달→익월"))</f>
        <v/>
      </c>
      <c r="D561">
        <f>IF($M561="","",IF(ISNUMBER(INDEX(상세표[시작],$M561)),TEXT(INDEX(상세표[시작],$M561),"yyyy-mm-dd hh:mm"),INDEX(상세표[시작],$M561)&amp;""))</f>
        <v/>
      </c>
      <c r="E561">
        <f>IF($M561="","",IF(ISNUMBER(INDEX(상세표[종료],$M561)),TEXT(INDEX(상세표[종료],$M561),"yyyy-mm-dd hh:mm"),INDEX(상세표[종료],$M561)&amp;""))</f>
        <v/>
      </c>
      <c r="F561" s="20">
        <f>IF($M561="","",INDEX(상세표[기록 시간외],$M561))</f>
        <v/>
      </c>
      <c r="G561">
        <f>IF($M561="","",INDEX(상세표[시작월 기관],$M561)&amp;"")</f>
        <v/>
      </c>
      <c r="H561">
        <f>IF($M561="","",INDEX(상세표[종료월 기관],$M561)&amp;"")</f>
        <v/>
      </c>
      <c r="I561">
        <f>IF($M561="","",INDEX(상세표[월경계 판정],$M561)&amp;"")</f>
        <v/>
      </c>
      <c r="J561">
        <f>IF($M561="","",INDEX(상세표[반영월],$M561)&amp;"")</f>
        <v/>
      </c>
      <c r="K561">
        <f>IF($M561="","",INDEX(상세표[반영 기관],$M561)&amp;"")</f>
        <v/>
      </c>
      <c r="L561">
        <f>IF($M561="","",INDEX(상세표[기관 출처],$M561)&amp;"")</f>
        <v/>
      </c>
      <c r="M561" s="4">
        <f>IFERROR(MATCH(556,상세표[경계순번],0),"")</f>
        <v/>
      </c>
    </row>
    <row r="562">
      <c r="A562">
        <f>IF($M562="","",INDEX(상세표[사번],$M562)&amp;"")</f>
        <v/>
      </c>
      <c r="B562">
        <f>IF($M562="","",INDEX(상세표[성명],$M562)&amp;"")</f>
        <v/>
      </c>
      <c r="C562">
        <f>IF($M562="","",IF(INDEX(상세표[종료월],$M562)=대상월키,"전월→이번 달","이번 달→익월"))</f>
        <v/>
      </c>
      <c r="D562">
        <f>IF($M562="","",IF(ISNUMBER(INDEX(상세표[시작],$M562)),TEXT(INDEX(상세표[시작],$M562),"yyyy-mm-dd hh:mm"),INDEX(상세표[시작],$M562)&amp;""))</f>
        <v/>
      </c>
      <c r="E562">
        <f>IF($M562="","",IF(ISNUMBER(INDEX(상세표[종료],$M562)),TEXT(INDEX(상세표[종료],$M562),"yyyy-mm-dd hh:mm"),INDEX(상세표[종료],$M562)&amp;""))</f>
        <v/>
      </c>
      <c r="F562" s="20">
        <f>IF($M562="","",INDEX(상세표[기록 시간외],$M562))</f>
        <v/>
      </c>
      <c r="G562">
        <f>IF($M562="","",INDEX(상세표[시작월 기관],$M562)&amp;"")</f>
        <v/>
      </c>
      <c r="H562">
        <f>IF($M562="","",INDEX(상세표[종료월 기관],$M562)&amp;"")</f>
        <v/>
      </c>
      <c r="I562">
        <f>IF($M562="","",INDEX(상세표[월경계 판정],$M562)&amp;"")</f>
        <v/>
      </c>
      <c r="J562">
        <f>IF($M562="","",INDEX(상세표[반영월],$M562)&amp;"")</f>
        <v/>
      </c>
      <c r="K562">
        <f>IF($M562="","",INDEX(상세표[반영 기관],$M562)&amp;"")</f>
        <v/>
      </c>
      <c r="L562">
        <f>IF($M562="","",INDEX(상세표[기관 출처],$M562)&amp;"")</f>
        <v/>
      </c>
      <c r="M562" s="4">
        <f>IFERROR(MATCH(557,상세표[경계순번],0),"")</f>
        <v/>
      </c>
    </row>
    <row r="563">
      <c r="A563">
        <f>IF($M563="","",INDEX(상세표[사번],$M563)&amp;"")</f>
        <v/>
      </c>
      <c r="B563">
        <f>IF($M563="","",INDEX(상세표[성명],$M563)&amp;"")</f>
        <v/>
      </c>
      <c r="C563">
        <f>IF($M563="","",IF(INDEX(상세표[종료월],$M563)=대상월키,"전월→이번 달","이번 달→익월"))</f>
        <v/>
      </c>
      <c r="D563">
        <f>IF($M563="","",IF(ISNUMBER(INDEX(상세표[시작],$M563)),TEXT(INDEX(상세표[시작],$M563),"yyyy-mm-dd hh:mm"),INDEX(상세표[시작],$M563)&amp;""))</f>
        <v/>
      </c>
      <c r="E563">
        <f>IF($M563="","",IF(ISNUMBER(INDEX(상세표[종료],$M563)),TEXT(INDEX(상세표[종료],$M563),"yyyy-mm-dd hh:mm"),INDEX(상세표[종료],$M563)&amp;""))</f>
        <v/>
      </c>
      <c r="F563" s="20">
        <f>IF($M563="","",INDEX(상세표[기록 시간외],$M563))</f>
        <v/>
      </c>
      <c r="G563">
        <f>IF($M563="","",INDEX(상세표[시작월 기관],$M563)&amp;"")</f>
        <v/>
      </c>
      <c r="H563">
        <f>IF($M563="","",INDEX(상세표[종료월 기관],$M563)&amp;"")</f>
        <v/>
      </c>
      <c r="I563">
        <f>IF($M563="","",INDEX(상세표[월경계 판정],$M563)&amp;"")</f>
        <v/>
      </c>
      <c r="J563">
        <f>IF($M563="","",INDEX(상세표[반영월],$M563)&amp;"")</f>
        <v/>
      </c>
      <c r="K563">
        <f>IF($M563="","",INDEX(상세표[반영 기관],$M563)&amp;"")</f>
        <v/>
      </c>
      <c r="L563">
        <f>IF($M563="","",INDEX(상세표[기관 출처],$M563)&amp;"")</f>
        <v/>
      </c>
      <c r="M563" s="4">
        <f>IFERROR(MATCH(558,상세표[경계순번],0),"")</f>
        <v/>
      </c>
    </row>
    <row r="564">
      <c r="A564">
        <f>IF($M564="","",INDEX(상세표[사번],$M564)&amp;"")</f>
        <v/>
      </c>
      <c r="B564">
        <f>IF($M564="","",INDEX(상세표[성명],$M564)&amp;"")</f>
        <v/>
      </c>
      <c r="C564">
        <f>IF($M564="","",IF(INDEX(상세표[종료월],$M564)=대상월키,"전월→이번 달","이번 달→익월"))</f>
        <v/>
      </c>
      <c r="D564">
        <f>IF($M564="","",IF(ISNUMBER(INDEX(상세표[시작],$M564)),TEXT(INDEX(상세표[시작],$M564),"yyyy-mm-dd hh:mm"),INDEX(상세표[시작],$M564)&amp;""))</f>
        <v/>
      </c>
      <c r="E564">
        <f>IF($M564="","",IF(ISNUMBER(INDEX(상세표[종료],$M564)),TEXT(INDEX(상세표[종료],$M564),"yyyy-mm-dd hh:mm"),INDEX(상세표[종료],$M564)&amp;""))</f>
        <v/>
      </c>
      <c r="F564" s="20">
        <f>IF($M564="","",INDEX(상세표[기록 시간외],$M564))</f>
        <v/>
      </c>
      <c r="G564">
        <f>IF($M564="","",INDEX(상세표[시작월 기관],$M564)&amp;"")</f>
        <v/>
      </c>
      <c r="H564">
        <f>IF($M564="","",INDEX(상세표[종료월 기관],$M564)&amp;"")</f>
        <v/>
      </c>
      <c r="I564">
        <f>IF($M564="","",INDEX(상세표[월경계 판정],$M564)&amp;"")</f>
        <v/>
      </c>
      <c r="J564">
        <f>IF($M564="","",INDEX(상세표[반영월],$M564)&amp;"")</f>
        <v/>
      </c>
      <c r="K564">
        <f>IF($M564="","",INDEX(상세표[반영 기관],$M564)&amp;"")</f>
        <v/>
      </c>
      <c r="L564">
        <f>IF($M564="","",INDEX(상세표[기관 출처],$M564)&amp;"")</f>
        <v/>
      </c>
      <c r="M564" s="4">
        <f>IFERROR(MATCH(559,상세표[경계순번],0),"")</f>
        <v/>
      </c>
    </row>
    <row r="565">
      <c r="A565">
        <f>IF($M565="","",INDEX(상세표[사번],$M565)&amp;"")</f>
        <v/>
      </c>
      <c r="B565">
        <f>IF($M565="","",INDEX(상세표[성명],$M565)&amp;"")</f>
        <v/>
      </c>
      <c r="C565">
        <f>IF($M565="","",IF(INDEX(상세표[종료월],$M565)=대상월키,"전월→이번 달","이번 달→익월"))</f>
        <v/>
      </c>
      <c r="D565">
        <f>IF($M565="","",IF(ISNUMBER(INDEX(상세표[시작],$M565)),TEXT(INDEX(상세표[시작],$M565),"yyyy-mm-dd hh:mm"),INDEX(상세표[시작],$M565)&amp;""))</f>
        <v/>
      </c>
      <c r="E565">
        <f>IF($M565="","",IF(ISNUMBER(INDEX(상세표[종료],$M565)),TEXT(INDEX(상세표[종료],$M565),"yyyy-mm-dd hh:mm"),INDEX(상세표[종료],$M565)&amp;""))</f>
        <v/>
      </c>
      <c r="F565" s="20">
        <f>IF($M565="","",INDEX(상세표[기록 시간외],$M565))</f>
        <v/>
      </c>
      <c r="G565">
        <f>IF($M565="","",INDEX(상세표[시작월 기관],$M565)&amp;"")</f>
        <v/>
      </c>
      <c r="H565">
        <f>IF($M565="","",INDEX(상세표[종료월 기관],$M565)&amp;"")</f>
        <v/>
      </c>
      <c r="I565">
        <f>IF($M565="","",INDEX(상세표[월경계 판정],$M565)&amp;"")</f>
        <v/>
      </c>
      <c r="J565">
        <f>IF($M565="","",INDEX(상세표[반영월],$M565)&amp;"")</f>
        <v/>
      </c>
      <c r="K565">
        <f>IF($M565="","",INDEX(상세표[반영 기관],$M565)&amp;"")</f>
        <v/>
      </c>
      <c r="L565">
        <f>IF($M565="","",INDEX(상세표[기관 출처],$M565)&amp;"")</f>
        <v/>
      </c>
      <c r="M565" s="4">
        <f>IFERROR(MATCH(560,상세표[경계순번],0),"")</f>
        <v/>
      </c>
    </row>
    <row r="566">
      <c r="A566">
        <f>IF($M566="","",INDEX(상세표[사번],$M566)&amp;"")</f>
        <v/>
      </c>
      <c r="B566">
        <f>IF($M566="","",INDEX(상세표[성명],$M566)&amp;"")</f>
        <v/>
      </c>
      <c r="C566">
        <f>IF($M566="","",IF(INDEX(상세표[종료월],$M566)=대상월키,"전월→이번 달","이번 달→익월"))</f>
        <v/>
      </c>
      <c r="D566">
        <f>IF($M566="","",IF(ISNUMBER(INDEX(상세표[시작],$M566)),TEXT(INDEX(상세표[시작],$M566),"yyyy-mm-dd hh:mm"),INDEX(상세표[시작],$M566)&amp;""))</f>
        <v/>
      </c>
      <c r="E566">
        <f>IF($M566="","",IF(ISNUMBER(INDEX(상세표[종료],$M566)),TEXT(INDEX(상세표[종료],$M566),"yyyy-mm-dd hh:mm"),INDEX(상세표[종료],$M566)&amp;""))</f>
        <v/>
      </c>
      <c r="F566" s="20">
        <f>IF($M566="","",INDEX(상세표[기록 시간외],$M566))</f>
        <v/>
      </c>
      <c r="G566">
        <f>IF($M566="","",INDEX(상세표[시작월 기관],$M566)&amp;"")</f>
        <v/>
      </c>
      <c r="H566">
        <f>IF($M566="","",INDEX(상세표[종료월 기관],$M566)&amp;"")</f>
        <v/>
      </c>
      <c r="I566">
        <f>IF($M566="","",INDEX(상세표[월경계 판정],$M566)&amp;"")</f>
        <v/>
      </c>
      <c r="J566">
        <f>IF($M566="","",INDEX(상세표[반영월],$M566)&amp;"")</f>
        <v/>
      </c>
      <c r="K566">
        <f>IF($M566="","",INDEX(상세표[반영 기관],$M566)&amp;"")</f>
        <v/>
      </c>
      <c r="L566">
        <f>IF($M566="","",INDEX(상세표[기관 출처],$M566)&amp;"")</f>
        <v/>
      </c>
      <c r="M566" s="4">
        <f>IFERROR(MATCH(561,상세표[경계순번],0),"")</f>
        <v/>
      </c>
    </row>
    <row r="567">
      <c r="A567">
        <f>IF($M567="","",INDEX(상세표[사번],$M567)&amp;"")</f>
        <v/>
      </c>
      <c r="B567">
        <f>IF($M567="","",INDEX(상세표[성명],$M567)&amp;"")</f>
        <v/>
      </c>
      <c r="C567">
        <f>IF($M567="","",IF(INDEX(상세표[종료월],$M567)=대상월키,"전월→이번 달","이번 달→익월"))</f>
        <v/>
      </c>
      <c r="D567">
        <f>IF($M567="","",IF(ISNUMBER(INDEX(상세표[시작],$M567)),TEXT(INDEX(상세표[시작],$M567),"yyyy-mm-dd hh:mm"),INDEX(상세표[시작],$M567)&amp;""))</f>
        <v/>
      </c>
      <c r="E567">
        <f>IF($M567="","",IF(ISNUMBER(INDEX(상세표[종료],$M567)),TEXT(INDEX(상세표[종료],$M567),"yyyy-mm-dd hh:mm"),INDEX(상세표[종료],$M567)&amp;""))</f>
        <v/>
      </c>
      <c r="F567" s="20">
        <f>IF($M567="","",INDEX(상세표[기록 시간외],$M567))</f>
        <v/>
      </c>
      <c r="G567">
        <f>IF($M567="","",INDEX(상세표[시작월 기관],$M567)&amp;"")</f>
        <v/>
      </c>
      <c r="H567">
        <f>IF($M567="","",INDEX(상세표[종료월 기관],$M567)&amp;"")</f>
        <v/>
      </c>
      <c r="I567">
        <f>IF($M567="","",INDEX(상세표[월경계 판정],$M567)&amp;"")</f>
        <v/>
      </c>
      <c r="J567">
        <f>IF($M567="","",INDEX(상세표[반영월],$M567)&amp;"")</f>
        <v/>
      </c>
      <c r="K567">
        <f>IF($M567="","",INDEX(상세표[반영 기관],$M567)&amp;"")</f>
        <v/>
      </c>
      <c r="L567">
        <f>IF($M567="","",INDEX(상세표[기관 출처],$M567)&amp;"")</f>
        <v/>
      </c>
      <c r="M567" s="4">
        <f>IFERROR(MATCH(562,상세표[경계순번],0),"")</f>
        <v/>
      </c>
    </row>
    <row r="568">
      <c r="A568">
        <f>IF($M568="","",INDEX(상세표[사번],$M568)&amp;"")</f>
        <v/>
      </c>
      <c r="B568">
        <f>IF($M568="","",INDEX(상세표[성명],$M568)&amp;"")</f>
        <v/>
      </c>
      <c r="C568">
        <f>IF($M568="","",IF(INDEX(상세표[종료월],$M568)=대상월키,"전월→이번 달","이번 달→익월"))</f>
        <v/>
      </c>
      <c r="D568">
        <f>IF($M568="","",IF(ISNUMBER(INDEX(상세표[시작],$M568)),TEXT(INDEX(상세표[시작],$M568),"yyyy-mm-dd hh:mm"),INDEX(상세표[시작],$M568)&amp;""))</f>
        <v/>
      </c>
      <c r="E568">
        <f>IF($M568="","",IF(ISNUMBER(INDEX(상세표[종료],$M568)),TEXT(INDEX(상세표[종료],$M568),"yyyy-mm-dd hh:mm"),INDEX(상세표[종료],$M568)&amp;""))</f>
        <v/>
      </c>
      <c r="F568" s="20">
        <f>IF($M568="","",INDEX(상세표[기록 시간외],$M568))</f>
        <v/>
      </c>
      <c r="G568">
        <f>IF($M568="","",INDEX(상세표[시작월 기관],$M568)&amp;"")</f>
        <v/>
      </c>
      <c r="H568">
        <f>IF($M568="","",INDEX(상세표[종료월 기관],$M568)&amp;"")</f>
        <v/>
      </c>
      <c r="I568">
        <f>IF($M568="","",INDEX(상세표[월경계 판정],$M568)&amp;"")</f>
        <v/>
      </c>
      <c r="J568">
        <f>IF($M568="","",INDEX(상세표[반영월],$M568)&amp;"")</f>
        <v/>
      </c>
      <c r="K568">
        <f>IF($M568="","",INDEX(상세표[반영 기관],$M568)&amp;"")</f>
        <v/>
      </c>
      <c r="L568">
        <f>IF($M568="","",INDEX(상세표[기관 출처],$M568)&amp;"")</f>
        <v/>
      </c>
      <c r="M568" s="4">
        <f>IFERROR(MATCH(563,상세표[경계순번],0),"")</f>
        <v/>
      </c>
    </row>
    <row r="569">
      <c r="A569">
        <f>IF($M569="","",INDEX(상세표[사번],$M569)&amp;"")</f>
        <v/>
      </c>
      <c r="B569">
        <f>IF($M569="","",INDEX(상세표[성명],$M569)&amp;"")</f>
        <v/>
      </c>
      <c r="C569">
        <f>IF($M569="","",IF(INDEX(상세표[종료월],$M569)=대상월키,"전월→이번 달","이번 달→익월"))</f>
        <v/>
      </c>
      <c r="D569">
        <f>IF($M569="","",IF(ISNUMBER(INDEX(상세표[시작],$M569)),TEXT(INDEX(상세표[시작],$M569),"yyyy-mm-dd hh:mm"),INDEX(상세표[시작],$M569)&amp;""))</f>
        <v/>
      </c>
      <c r="E569">
        <f>IF($M569="","",IF(ISNUMBER(INDEX(상세표[종료],$M569)),TEXT(INDEX(상세표[종료],$M569),"yyyy-mm-dd hh:mm"),INDEX(상세표[종료],$M569)&amp;""))</f>
        <v/>
      </c>
      <c r="F569" s="20">
        <f>IF($M569="","",INDEX(상세표[기록 시간외],$M569))</f>
        <v/>
      </c>
      <c r="G569">
        <f>IF($M569="","",INDEX(상세표[시작월 기관],$M569)&amp;"")</f>
        <v/>
      </c>
      <c r="H569">
        <f>IF($M569="","",INDEX(상세표[종료월 기관],$M569)&amp;"")</f>
        <v/>
      </c>
      <c r="I569">
        <f>IF($M569="","",INDEX(상세표[월경계 판정],$M569)&amp;"")</f>
        <v/>
      </c>
      <c r="J569">
        <f>IF($M569="","",INDEX(상세표[반영월],$M569)&amp;"")</f>
        <v/>
      </c>
      <c r="K569">
        <f>IF($M569="","",INDEX(상세표[반영 기관],$M569)&amp;"")</f>
        <v/>
      </c>
      <c r="L569">
        <f>IF($M569="","",INDEX(상세표[기관 출처],$M569)&amp;"")</f>
        <v/>
      </c>
      <c r="M569" s="4">
        <f>IFERROR(MATCH(564,상세표[경계순번],0),"")</f>
        <v/>
      </c>
    </row>
    <row r="570">
      <c r="A570">
        <f>IF($M570="","",INDEX(상세표[사번],$M570)&amp;"")</f>
        <v/>
      </c>
      <c r="B570">
        <f>IF($M570="","",INDEX(상세표[성명],$M570)&amp;"")</f>
        <v/>
      </c>
      <c r="C570">
        <f>IF($M570="","",IF(INDEX(상세표[종료월],$M570)=대상월키,"전월→이번 달","이번 달→익월"))</f>
        <v/>
      </c>
      <c r="D570">
        <f>IF($M570="","",IF(ISNUMBER(INDEX(상세표[시작],$M570)),TEXT(INDEX(상세표[시작],$M570),"yyyy-mm-dd hh:mm"),INDEX(상세표[시작],$M570)&amp;""))</f>
        <v/>
      </c>
      <c r="E570">
        <f>IF($M570="","",IF(ISNUMBER(INDEX(상세표[종료],$M570)),TEXT(INDEX(상세표[종료],$M570),"yyyy-mm-dd hh:mm"),INDEX(상세표[종료],$M570)&amp;""))</f>
        <v/>
      </c>
      <c r="F570" s="20">
        <f>IF($M570="","",INDEX(상세표[기록 시간외],$M570))</f>
        <v/>
      </c>
      <c r="G570">
        <f>IF($M570="","",INDEX(상세표[시작월 기관],$M570)&amp;"")</f>
        <v/>
      </c>
      <c r="H570">
        <f>IF($M570="","",INDEX(상세표[종료월 기관],$M570)&amp;"")</f>
        <v/>
      </c>
      <c r="I570">
        <f>IF($M570="","",INDEX(상세표[월경계 판정],$M570)&amp;"")</f>
        <v/>
      </c>
      <c r="J570">
        <f>IF($M570="","",INDEX(상세표[반영월],$M570)&amp;"")</f>
        <v/>
      </c>
      <c r="K570">
        <f>IF($M570="","",INDEX(상세표[반영 기관],$M570)&amp;"")</f>
        <v/>
      </c>
      <c r="L570">
        <f>IF($M570="","",INDEX(상세표[기관 출처],$M570)&amp;"")</f>
        <v/>
      </c>
      <c r="M570" s="4">
        <f>IFERROR(MATCH(565,상세표[경계순번],0),"")</f>
        <v/>
      </c>
    </row>
    <row r="571">
      <c r="A571">
        <f>IF($M571="","",INDEX(상세표[사번],$M571)&amp;"")</f>
        <v/>
      </c>
      <c r="B571">
        <f>IF($M571="","",INDEX(상세표[성명],$M571)&amp;"")</f>
        <v/>
      </c>
      <c r="C571">
        <f>IF($M571="","",IF(INDEX(상세표[종료월],$M571)=대상월키,"전월→이번 달","이번 달→익월"))</f>
        <v/>
      </c>
      <c r="D571">
        <f>IF($M571="","",IF(ISNUMBER(INDEX(상세표[시작],$M571)),TEXT(INDEX(상세표[시작],$M571),"yyyy-mm-dd hh:mm"),INDEX(상세표[시작],$M571)&amp;""))</f>
        <v/>
      </c>
      <c r="E571">
        <f>IF($M571="","",IF(ISNUMBER(INDEX(상세표[종료],$M571)),TEXT(INDEX(상세표[종료],$M571),"yyyy-mm-dd hh:mm"),INDEX(상세표[종료],$M571)&amp;""))</f>
        <v/>
      </c>
      <c r="F571" s="20">
        <f>IF($M571="","",INDEX(상세표[기록 시간외],$M571))</f>
        <v/>
      </c>
      <c r="G571">
        <f>IF($M571="","",INDEX(상세표[시작월 기관],$M571)&amp;"")</f>
        <v/>
      </c>
      <c r="H571">
        <f>IF($M571="","",INDEX(상세표[종료월 기관],$M571)&amp;"")</f>
        <v/>
      </c>
      <c r="I571">
        <f>IF($M571="","",INDEX(상세표[월경계 판정],$M571)&amp;"")</f>
        <v/>
      </c>
      <c r="J571">
        <f>IF($M571="","",INDEX(상세표[반영월],$M571)&amp;"")</f>
        <v/>
      </c>
      <c r="K571">
        <f>IF($M571="","",INDEX(상세표[반영 기관],$M571)&amp;"")</f>
        <v/>
      </c>
      <c r="L571">
        <f>IF($M571="","",INDEX(상세표[기관 출처],$M571)&amp;"")</f>
        <v/>
      </c>
      <c r="M571" s="4">
        <f>IFERROR(MATCH(566,상세표[경계순번],0),"")</f>
        <v/>
      </c>
    </row>
    <row r="572">
      <c r="A572">
        <f>IF($M572="","",INDEX(상세표[사번],$M572)&amp;"")</f>
        <v/>
      </c>
      <c r="B572">
        <f>IF($M572="","",INDEX(상세표[성명],$M572)&amp;"")</f>
        <v/>
      </c>
      <c r="C572">
        <f>IF($M572="","",IF(INDEX(상세표[종료월],$M572)=대상월키,"전월→이번 달","이번 달→익월"))</f>
        <v/>
      </c>
      <c r="D572">
        <f>IF($M572="","",IF(ISNUMBER(INDEX(상세표[시작],$M572)),TEXT(INDEX(상세표[시작],$M572),"yyyy-mm-dd hh:mm"),INDEX(상세표[시작],$M572)&amp;""))</f>
        <v/>
      </c>
      <c r="E572">
        <f>IF($M572="","",IF(ISNUMBER(INDEX(상세표[종료],$M572)),TEXT(INDEX(상세표[종료],$M572),"yyyy-mm-dd hh:mm"),INDEX(상세표[종료],$M572)&amp;""))</f>
        <v/>
      </c>
      <c r="F572" s="20">
        <f>IF($M572="","",INDEX(상세표[기록 시간외],$M572))</f>
        <v/>
      </c>
      <c r="G572">
        <f>IF($M572="","",INDEX(상세표[시작월 기관],$M572)&amp;"")</f>
        <v/>
      </c>
      <c r="H572">
        <f>IF($M572="","",INDEX(상세표[종료월 기관],$M572)&amp;"")</f>
        <v/>
      </c>
      <c r="I572">
        <f>IF($M572="","",INDEX(상세표[월경계 판정],$M572)&amp;"")</f>
        <v/>
      </c>
      <c r="J572">
        <f>IF($M572="","",INDEX(상세표[반영월],$M572)&amp;"")</f>
        <v/>
      </c>
      <c r="K572">
        <f>IF($M572="","",INDEX(상세표[반영 기관],$M572)&amp;"")</f>
        <v/>
      </c>
      <c r="L572">
        <f>IF($M572="","",INDEX(상세표[기관 출처],$M572)&amp;"")</f>
        <v/>
      </c>
      <c r="M572" s="4">
        <f>IFERROR(MATCH(567,상세표[경계순번],0),"")</f>
        <v/>
      </c>
    </row>
    <row r="573">
      <c r="A573">
        <f>IF($M573="","",INDEX(상세표[사번],$M573)&amp;"")</f>
        <v/>
      </c>
      <c r="B573">
        <f>IF($M573="","",INDEX(상세표[성명],$M573)&amp;"")</f>
        <v/>
      </c>
      <c r="C573">
        <f>IF($M573="","",IF(INDEX(상세표[종료월],$M573)=대상월키,"전월→이번 달","이번 달→익월"))</f>
        <v/>
      </c>
      <c r="D573">
        <f>IF($M573="","",IF(ISNUMBER(INDEX(상세표[시작],$M573)),TEXT(INDEX(상세표[시작],$M573),"yyyy-mm-dd hh:mm"),INDEX(상세표[시작],$M573)&amp;""))</f>
        <v/>
      </c>
      <c r="E573">
        <f>IF($M573="","",IF(ISNUMBER(INDEX(상세표[종료],$M573)),TEXT(INDEX(상세표[종료],$M573),"yyyy-mm-dd hh:mm"),INDEX(상세표[종료],$M573)&amp;""))</f>
        <v/>
      </c>
      <c r="F573" s="20">
        <f>IF($M573="","",INDEX(상세표[기록 시간외],$M573))</f>
        <v/>
      </c>
      <c r="G573">
        <f>IF($M573="","",INDEX(상세표[시작월 기관],$M573)&amp;"")</f>
        <v/>
      </c>
      <c r="H573">
        <f>IF($M573="","",INDEX(상세표[종료월 기관],$M573)&amp;"")</f>
        <v/>
      </c>
      <c r="I573">
        <f>IF($M573="","",INDEX(상세표[월경계 판정],$M573)&amp;"")</f>
        <v/>
      </c>
      <c r="J573">
        <f>IF($M573="","",INDEX(상세표[반영월],$M573)&amp;"")</f>
        <v/>
      </c>
      <c r="K573">
        <f>IF($M573="","",INDEX(상세표[반영 기관],$M573)&amp;"")</f>
        <v/>
      </c>
      <c r="L573">
        <f>IF($M573="","",INDEX(상세표[기관 출처],$M573)&amp;"")</f>
        <v/>
      </c>
      <c r="M573" s="4">
        <f>IFERROR(MATCH(568,상세표[경계순번],0),"")</f>
        <v/>
      </c>
    </row>
    <row r="574">
      <c r="A574">
        <f>IF($M574="","",INDEX(상세표[사번],$M574)&amp;"")</f>
        <v/>
      </c>
      <c r="B574">
        <f>IF($M574="","",INDEX(상세표[성명],$M574)&amp;"")</f>
        <v/>
      </c>
      <c r="C574">
        <f>IF($M574="","",IF(INDEX(상세표[종료월],$M574)=대상월키,"전월→이번 달","이번 달→익월"))</f>
        <v/>
      </c>
      <c r="D574">
        <f>IF($M574="","",IF(ISNUMBER(INDEX(상세표[시작],$M574)),TEXT(INDEX(상세표[시작],$M574),"yyyy-mm-dd hh:mm"),INDEX(상세표[시작],$M574)&amp;""))</f>
        <v/>
      </c>
      <c r="E574">
        <f>IF($M574="","",IF(ISNUMBER(INDEX(상세표[종료],$M574)),TEXT(INDEX(상세표[종료],$M574),"yyyy-mm-dd hh:mm"),INDEX(상세표[종료],$M574)&amp;""))</f>
        <v/>
      </c>
      <c r="F574" s="20">
        <f>IF($M574="","",INDEX(상세표[기록 시간외],$M574))</f>
        <v/>
      </c>
      <c r="G574">
        <f>IF($M574="","",INDEX(상세표[시작월 기관],$M574)&amp;"")</f>
        <v/>
      </c>
      <c r="H574">
        <f>IF($M574="","",INDEX(상세표[종료월 기관],$M574)&amp;"")</f>
        <v/>
      </c>
      <c r="I574">
        <f>IF($M574="","",INDEX(상세표[월경계 판정],$M574)&amp;"")</f>
        <v/>
      </c>
      <c r="J574">
        <f>IF($M574="","",INDEX(상세표[반영월],$M574)&amp;"")</f>
        <v/>
      </c>
      <c r="K574">
        <f>IF($M574="","",INDEX(상세표[반영 기관],$M574)&amp;"")</f>
        <v/>
      </c>
      <c r="L574">
        <f>IF($M574="","",INDEX(상세표[기관 출처],$M574)&amp;"")</f>
        <v/>
      </c>
      <c r="M574" s="4">
        <f>IFERROR(MATCH(569,상세표[경계순번],0),"")</f>
        <v/>
      </c>
    </row>
    <row r="575">
      <c r="A575">
        <f>IF($M575="","",INDEX(상세표[사번],$M575)&amp;"")</f>
        <v/>
      </c>
      <c r="B575">
        <f>IF($M575="","",INDEX(상세표[성명],$M575)&amp;"")</f>
        <v/>
      </c>
      <c r="C575">
        <f>IF($M575="","",IF(INDEX(상세표[종료월],$M575)=대상월키,"전월→이번 달","이번 달→익월"))</f>
        <v/>
      </c>
      <c r="D575">
        <f>IF($M575="","",IF(ISNUMBER(INDEX(상세표[시작],$M575)),TEXT(INDEX(상세표[시작],$M575),"yyyy-mm-dd hh:mm"),INDEX(상세표[시작],$M575)&amp;""))</f>
        <v/>
      </c>
      <c r="E575">
        <f>IF($M575="","",IF(ISNUMBER(INDEX(상세표[종료],$M575)),TEXT(INDEX(상세표[종료],$M575),"yyyy-mm-dd hh:mm"),INDEX(상세표[종료],$M575)&amp;""))</f>
        <v/>
      </c>
      <c r="F575" s="20">
        <f>IF($M575="","",INDEX(상세표[기록 시간외],$M575))</f>
        <v/>
      </c>
      <c r="G575">
        <f>IF($M575="","",INDEX(상세표[시작월 기관],$M575)&amp;"")</f>
        <v/>
      </c>
      <c r="H575">
        <f>IF($M575="","",INDEX(상세표[종료월 기관],$M575)&amp;"")</f>
        <v/>
      </c>
      <c r="I575">
        <f>IF($M575="","",INDEX(상세표[월경계 판정],$M575)&amp;"")</f>
        <v/>
      </c>
      <c r="J575">
        <f>IF($M575="","",INDEX(상세표[반영월],$M575)&amp;"")</f>
        <v/>
      </c>
      <c r="K575">
        <f>IF($M575="","",INDEX(상세표[반영 기관],$M575)&amp;"")</f>
        <v/>
      </c>
      <c r="L575">
        <f>IF($M575="","",INDEX(상세표[기관 출처],$M575)&amp;"")</f>
        <v/>
      </c>
      <c r="M575" s="4">
        <f>IFERROR(MATCH(570,상세표[경계순번],0),"")</f>
        <v/>
      </c>
    </row>
    <row r="576">
      <c r="A576">
        <f>IF($M576="","",INDEX(상세표[사번],$M576)&amp;"")</f>
        <v/>
      </c>
      <c r="B576">
        <f>IF($M576="","",INDEX(상세표[성명],$M576)&amp;"")</f>
        <v/>
      </c>
      <c r="C576">
        <f>IF($M576="","",IF(INDEX(상세표[종료월],$M576)=대상월키,"전월→이번 달","이번 달→익월"))</f>
        <v/>
      </c>
      <c r="D576">
        <f>IF($M576="","",IF(ISNUMBER(INDEX(상세표[시작],$M576)),TEXT(INDEX(상세표[시작],$M576),"yyyy-mm-dd hh:mm"),INDEX(상세표[시작],$M576)&amp;""))</f>
        <v/>
      </c>
      <c r="E576">
        <f>IF($M576="","",IF(ISNUMBER(INDEX(상세표[종료],$M576)),TEXT(INDEX(상세표[종료],$M576),"yyyy-mm-dd hh:mm"),INDEX(상세표[종료],$M576)&amp;""))</f>
        <v/>
      </c>
      <c r="F576" s="20">
        <f>IF($M576="","",INDEX(상세표[기록 시간외],$M576))</f>
        <v/>
      </c>
      <c r="G576">
        <f>IF($M576="","",INDEX(상세표[시작월 기관],$M576)&amp;"")</f>
        <v/>
      </c>
      <c r="H576">
        <f>IF($M576="","",INDEX(상세표[종료월 기관],$M576)&amp;"")</f>
        <v/>
      </c>
      <c r="I576">
        <f>IF($M576="","",INDEX(상세표[월경계 판정],$M576)&amp;"")</f>
        <v/>
      </c>
      <c r="J576">
        <f>IF($M576="","",INDEX(상세표[반영월],$M576)&amp;"")</f>
        <v/>
      </c>
      <c r="K576">
        <f>IF($M576="","",INDEX(상세표[반영 기관],$M576)&amp;"")</f>
        <v/>
      </c>
      <c r="L576">
        <f>IF($M576="","",INDEX(상세표[기관 출처],$M576)&amp;"")</f>
        <v/>
      </c>
      <c r="M576" s="4">
        <f>IFERROR(MATCH(571,상세표[경계순번],0),"")</f>
        <v/>
      </c>
    </row>
    <row r="577">
      <c r="A577">
        <f>IF($M577="","",INDEX(상세표[사번],$M577)&amp;"")</f>
        <v/>
      </c>
      <c r="B577">
        <f>IF($M577="","",INDEX(상세표[성명],$M577)&amp;"")</f>
        <v/>
      </c>
      <c r="C577">
        <f>IF($M577="","",IF(INDEX(상세표[종료월],$M577)=대상월키,"전월→이번 달","이번 달→익월"))</f>
        <v/>
      </c>
      <c r="D577">
        <f>IF($M577="","",IF(ISNUMBER(INDEX(상세표[시작],$M577)),TEXT(INDEX(상세표[시작],$M577),"yyyy-mm-dd hh:mm"),INDEX(상세표[시작],$M577)&amp;""))</f>
        <v/>
      </c>
      <c r="E577">
        <f>IF($M577="","",IF(ISNUMBER(INDEX(상세표[종료],$M577)),TEXT(INDEX(상세표[종료],$M577),"yyyy-mm-dd hh:mm"),INDEX(상세표[종료],$M577)&amp;""))</f>
        <v/>
      </c>
      <c r="F577" s="20">
        <f>IF($M577="","",INDEX(상세표[기록 시간외],$M577))</f>
        <v/>
      </c>
      <c r="G577">
        <f>IF($M577="","",INDEX(상세표[시작월 기관],$M577)&amp;"")</f>
        <v/>
      </c>
      <c r="H577">
        <f>IF($M577="","",INDEX(상세표[종료월 기관],$M577)&amp;"")</f>
        <v/>
      </c>
      <c r="I577">
        <f>IF($M577="","",INDEX(상세표[월경계 판정],$M577)&amp;"")</f>
        <v/>
      </c>
      <c r="J577">
        <f>IF($M577="","",INDEX(상세표[반영월],$M577)&amp;"")</f>
        <v/>
      </c>
      <c r="K577">
        <f>IF($M577="","",INDEX(상세표[반영 기관],$M577)&amp;"")</f>
        <v/>
      </c>
      <c r="L577">
        <f>IF($M577="","",INDEX(상세표[기관 출처],$M577)&amp;"")</f>
        <v/>
      </c>
      <c r="M577" s="4">
        <f>IFERROR(MATCH(572,상세표[경계순번],0),"")</f>
        <v/>
      </c>
    </row>
    <row r="578">
      <c r="A578">
        <f>IF($M578="","",INDEX(상세표[사번],$M578)&amp;"")</f>
        <v/>
      </c>
      <c r="B578">
        <f>IF($M578="","",INDEX(상세표[성명],$M578)&amp;"")</f>
        <v/>
      </c>
      <c r="C578">
        <f>IF($M578="","",IF(INDEX(상세표[종료월],$M578)=대상월키,"전월→이번 달","이번 달→익월"))</f>
        <v/>
      </c>
      <c r="D578">
        <f>IF($M578="","",IF(ISNUMBER(INDEX(상세표[시작],$M578)),TEXT(INDEX(상세표[시작],$M578),"yyyy-mm-dd hh:mm"),INDEX(상세표[시작],$M578)&amp;""))</f>
        <v/>
      </c>
      <c r="E578">
        <f>IF($M578="","",IF(ISNUMBER(INDEX(상세표[종료],$M578)),TEXT(INDEX(상세표[종료],$M578),"yyyy-mm-dd hh:mm"),INDEX(상세표[종료],$M578)&amp;""))</f>
        <v/>
      </c>
      <c r="F578" s="20">
        <f>IF($M578="","",INDEX(상세표[기록 시간외],$M578))</f>
        <v/>
      </c>
      <c r="G578">
        <f>IF($M578="","",INDEX(상세표[시작월 기관],$M578)&amp;"")</f>
        <v/>
      </c>
      <c r="H578">
        <f>IF($M578="","",INDEX(상세표[종료월 기관],$M578)&amp;"")</f>
        <v/>
      </c>
      <c r="I578">
        <f>IF($M578="","",INDEX(상세표[월경계 판정],$M578)&amp;"")</f>
        <v/>
      </c>
      <c r="J578">
        <f>IF($M578="","",INDEX(상세표[반영월],$M578)&amp;"")</f>
        <v/>
      </c>
      <c r="K578">
        <f>IF($M578="","",INDEX(상세표[반영 기관],$M578)&amp;"")</f>
        <v/>
      </c>
      <c r="L578">
        <f>IF($M578="","",INDEX(상세표[기관 출처],$M578)&amp;"")</f>
        <v/>
      </c>
      <c r="M578" s="4">
        <f>IFERROR(MATCH(573,상세표[경계순번],0),"")</f>
        <v/>
      </c>
    </row>
    <row r="579">
      <c r="A579">
        <f>IF($M579="","",INDEX(상세표[사번],$M579)&amp;"")</f>
        <v/>
      </c>
      <c r="B579">
        <f>IF($M579="","",INDEX(상세표[성명],$M579)&amp;"")</f>
        <v/>
      </c>
      <c r="C579">
        <f>IF($M579="","",IF(INDEX(상세표[종료월],$M579)=대상월키,"전월→이번 달","이번 달→익월"))</f>
        <v/>
      </c>
      <c r="D579">
        <f>IF($M579="","",IF(ISNUMBER(INDEX(상세표[시작],$M579)),TEXT(INDEX(상세표[시작],$M579),"yyyy-mm-dd hh:mm"),INDEX(상세표[시작],$M579)&amp;""))</f>
        <v/>
      </c>
      <c r="E579">
        <f>IF($M579="","",IF(ISNUMBER(INDEX(상세표[종료],$M579)),TEXT(INDEX(상세표[종료],$M579),"yyyy-mm-dd hh:mm"),INDEX(상세표[종료],$M579)&amp;""))</f>
        <v/>
      </c>
      <c r="F579" s="20">
        <f>IF($M579="","",INDEX(상세표[기록 시간외],$M579))</f>
        <v/>
      </c>
      <c r="G579">
        <f>IF($M579="","",INDEX(상세표[시작월 기관],$M579)&amp;"")</f>
        <v/>
      </c>
      <c r="H579">
        <f>IF($M579="","",INDEX(상세표[종료월 기관],$M579)&amp;"")</f>
        <v/>
      </c>
      <c r="I579">
        <f>IF($M579="","",INDEX(상세표[월경계 판정],$M579)&amp;"")</f>
        <v/>
      </c>
      <c r="J579">
        <f>IF($M579="","",INDEX(상세표[반영월],$M579)&amp;"")</f>
        <v/>
      </c>
      <c r="K579">
        <f>IF($M579="","",INDEX(상세표[반영 기관],$M579)&amp;"")</f>
        <v/>
      </c>
      <c r="L579">
        <f>IF($M579="","",INDEX(상세표[기관 출처],$M579)&amp;"")</f>
        <v/>
      </c>
      <c r="M579" s="4">
        <f>IFERROR(MATCH(574,상세표[경계순번],0),"")</f>
        <v/>
      </c>
    </row>
    <row r="580">
      <c r="A580">
        <f>IF($M580="","",INDEX(상세표[사번],$M580)&amp;"")</f>
        <v/>
      </c>
      <c r="B580">
        <f>IF($M580="","",INDEX(상세표[성명],$M580)&amp;"")</f>
        <v/>
      </c>
      <c r="C580">
        <f>IF($M580="","",IF(INDEX(상세표[종료월],$M580)=대상월키,"전월→이번 달","이번 달→익월"))</f>
        <v/>
      </c>
      <c r="D580">
        <f>IF($M580="","",IF(ISNUMBER(INDEX(상세표[시작],$M580)),TEXT(INDEX(상세표[시작],$M580),"yyyy-mm-dd hh:mm"),INDEX(상세표[시작],$M580)&amp;""))</f>
        <v/>
      </c>
      <c r="E580">
        <f>IF($M580="","",IF(ISNUMBER(INDEX(상세표[종료],$M580)),TEXT(INDEX(상세표[종료],$M580),"yyyy-mm-dd hh:mm"),INDEX(상세표[종료],$M580)&amp;""))</f>
        <v/>
      </c>
      <c r="F580" s="20">
        <f>IF($M580="","",INDEX(상세표[기록 시간외],$M580))</f>
        <v/>
      </c>
      <c r="G580">
        <f>IF($M580="","",INDEX(상세표[시작월 기관],$M580)&amp;"")</f>
        <v/>
      </c>
      <c r="H580">
        <f>IF($M580="","",INDEX(상세표[종료월 기관],$M580)&amp;"")</f>
        <v/>
      </c>
      <c r="I580">
        <f>IF($M580="","",INDEX(상세표[월경계 판정],$M580)&amp;"")</f>
        <v/>
      </c>
      <c r="J580">
        <f>IF($M580="","",INDEX(상세표[반영월],$M580)&amp;"")</f>
        <v/>
      </c>
      <c r="K580">
        <f>IF($M580="","",INDEX(상세표[반영 기관],$M580)&amp;"")</f>
        <v/>
      </c>
      <c r="L580">
        <f>IF($M580="","",INDEX(상세표[기관 출처],$M580)&amp;"")</f>
        <v/>
      </c>
      <c r="M580" s="4">
        <f>IFERROR(MATCH(575,상세표[경계순번],0),"")</f>
        <v/>
      </c>
    </row>
    <row r="581">
      <c r="A581">
        <f>IF($M581="","",INDEX(상세표[사번],$M581)&amp;"")</f>
        <v/>
      </c>
      <c r="B581">
        <f>IF($M581="","",INDEX(상세표[성명],$M581)&amp;"")</f>
        <v/>
      </c>
      <c r="C581">
        <f>IF($M581="","",IF(INDEX(상세표[종료월],$M581)=대상월키,"전월→이번 달","이번 달→익월"))</f>
        <v/>
      </c>
      <c r="D581">
        <f>IF($M581="","",IF(ISNUMBER(INDEX(상세표[시작],$M581)),TEXT(INDEX(상세표[시작],$M581),"yyyy-mm-dd hh:mm"),INDEX(상세표[시작],$M581)&amp;""))</f>
        <v/>
      </c>
      <c r="E581">
        <f>IF($M581="","",IF(ISNUMBER(INDEX(상세표[종료],$M581)),TEXT(INDEX(상세표[종료],$M581),"yyyy-mm-dd hh:mm"),INDEX(상세표[종료],$M581)&amp;""))</f>
        <v/>
      </c>
      <c r="F581" s="20">
        <f>IF($M581="","",INDEX(상세표[기록 시간외],$M581))</f>
        <v/>
      </c>
      <c r="G581">
        <f>IF($M581="","",INDEX(상세표[시작월 기관],$M581)&amp;"")</f>
        <v/>
      </c>
      <c r="H581">
        <f>IF($M581="","",INDEX(상세표[종료월 기관],$M581)&amp;"")</f>
        <v/>
      </c>
      <c r="I581">
        <f>IF($M581="","",INDEX(상세표[월경계 판정],$M581)&amp;"")</f>
        <v/>
      </c>
      <c r="J581">
        <f>IF($M581="","",INDEX(상세표[반영월],$M581)&amp;"")</f>
        <v/>
      </c>
      <c r="K581">
        <f>IF($M581="","",INDEX(상세표[반영 기관],$M581)&amp;"")</f>
        <v/>
      </c>
      <c r="L581">
        <f>IF($M581="","",INDEX(상세표[기관 출처],$M581)&amp;"")</f>
        <v/>
      </c>
      <c r="M581" s="4">
        <f>IFERROR(MATCH(576,상세표[경계순번],0),"")</f>
        <v/>
      </c>
    </row>
    <row r="582">
      <c r="A582">
        <f>IF($M582="","",INDEX(상세표[사번],$M582)&amp;"")</f>
        <v/>
      </c>
      <c r="B582">
        <f>IF($M582="","",INDEX(상세표[성명],$M582)&amp;"")</f>
        <v/>
      </c>
      <c r="C582">
        <f>IF($M582="","",IF(INDEX(상세표[종료월],$M582)=대상월키,"전월→이번 달","이번 달→익월"))</f>
        <v/>
      </c>
      <c r="D582">
        <f>IF($M582="","",IF(ISNUMBER(INDEX(상세표[시작],$M582)),TEXT(INDEX(상세표[시작],$M582),"yyyy-mm-dd hh:mm"),INDEX(상세표[시작],$M582)&amp;""))</f>
        <v/>
      </c>
      <c r="E582">
        <f>IF($M582="","",IF(ISNUMBER(INDEX(상세표[종료],$M582)),TEXT(INDEX(상세표[종료],$M582),"yyyy-mm-dd hh:mm"),INDEX(상세표[종료],$M582)&amp;""))</f>
        <v/>
      </c>
      <c r="F582" s="20">
        <f>IF($M582="","",INDEX(상세표[기록 시간외],$M582))</f>
        <v/>
      </c>
      <c r="G582">
        <f>IF($M582="","",INDEX(상세표[시작월 기관],$M582)&amp;"")</f>
        <v/>
      </c>
      <c r="H582">
        <f>IF($M582="","",INDEX(상세표[종료월 기관],$M582)&amp;"")</f>
        <v/>
      </c>
      <c r="I582">
        <f>IF($M582="","",INDEX(상세표[월경계 판정],$M582)&amp;"")</f>
        <v/>
      </c>
      <c r="J582">
        <f>IF($M582="","",INDEX(상세표[반영월],$M582)&amp;"")</f>
        <v/>
      </c>
      <c r="K582">
        <f>IF($M582="","",INDEX(상세표[반영 기관],$M582)&amp;"")</f>
        <v/>
      </c>
      <c r="L582">
        <f>IF($M582="","",INDEX(상세표[기관 출처],$M582)&amp;"")</f>
        <v/>
      </c>
      <c r="M582" s="4">
        <f>IFERROR(MATCH(577,상세표[경계순번],0),"")</f>
        <v/>
      </c>
    </row>
    <row r="583">
      <c r="A583">
        <f>IF($M583="","",INDEX(상세표[사번],$M583)&amp;"")</f>
        <v/>
      </c>
      <c r="B583">
        <f>IF($M583="","",INDEX(상세표[성명],$M583)&amp;"")</f>
        <v/>
      </c>
      <c r="C583">
        <f>IF($M583="","",IF(INDEX(상세표[종료월],$M583)=대상월키,"전월→이번 달","이번 달→익월"))</f>
        <v/>
      </c>
      <c r="D583">
        <f>IF($M583="","",IF(ISNUMBER(INDEX(상세표[시작],$M583)),TEXT(INDEX(상세표[시작],$M583),"yyyy-mm-dd hh:mm"),INDEX(상세표[시작],$M583)&amp;""))</f>
        <v/>
      </c>
      <c r="E583">
        <f>IF($M583="","",IF(ISNUMBER(INDEX(상세표[종료],$M583)),TEXT(INDEX(상세표[종료],$M583),"yyyy-mm-dd hh:mm"),INDEX(상세표[종료],$M583)&amp;""))</f>
        <v/>
      </c>
      <c r="F583" s="20">
        <f>IF($M583="","",INDEX(상세표[기록 시간외],$M583))</f>
        <v/>
      </c>
      <c r="G583">
        <f>IF($M583="","",INDEX(상세표[시작월 기관],$M583)&amp;"")</f>
        <v/>
      </c>
      <c r="H583">
        <f>IF($M583="","",INDEX(상세표[종료월 기관],$M583)&amp;"")</f>
        <v/>
      </c>
      <c r="I583">
        <f>IF($M583="","",INDEX(상세표[월경계 판정],$M583)&amp;"")</f>
        <v/>
      </c>
      <c r="J583">
        <f>IF($M583="","",INDEX(상세표[반영월],$M583)&amp;"")</f>
        <v/>
      </c>
      <c r="K583">
        <f>IF($M583="","",INDEX(상세표[반영 기관],$M583)&amp;"")</f>
        <v/>
      </c>
      <c r="L583">
        <f>IF($M583="","",INDEX(상세표[기관 출처],$M583)&amp;"")</f>
        <v/>
      </c>
      <c r="M583" s="4">
        <f>IFERROR(MATCH(578,상세표[경계순번],0),"")</f>
        <v/>
      </c>
    </row>
    <row r="584">
      <c r="A584">
        <f>IF($M584="","",INDEX(상세표[사번],$M584)&amp;"")</f>
        <v/>
      </c>
      <c r="B584">
        <f>IF($M584="","",INDEX(상세표[성명],$M584)&amp;"")</f>
        <v/>
      </c>
      <c r="C584">
        <f>IF($M584="","",IF(INDEX(상세표[종료월],$M584)=대상월키,"전월→이번 달","이번 달→익월"))</f>
        <v/>
      </c>
      <c r="D584">
        <f>IF($M584="","",IF(ISNUMBER(INDEX(상세표[시작],$M584)),TEXT(INDEX(상세표[시작],$M584),"yyyy-mm-dd hh:mm"),INDEX(상세표[시작],$M584)&amp;""))</f>
        <v/>
      </c>
      <c r="E584">
        <f>IF($M584="","",IF(ISNUMBER(INDEX(상세표[종료],$M584)),TEXT(INDEX(상세표[종료],$M584),"yyyy-mm-dd hh:mm"),INDEX(상세표[종료],$M584)&amp;""))</f>
        <v/>
      </c>
      <c r="F584" s="20">
        <f>IF($M584="","",INDEX(상세표[기록 시간외],$M584))</f>
        <v/>
      </c>
      <c r="G584">
        <f>IF($M584="","",INDEX(상세표[시작월 기관],$M584)&amp;"")</f>
        <v/>
      </c>
      <c r="H584">
        <f>IF($M584="","",INDEX(상세표[종료월 기관],$M584)&amp;"")</f>
        <v/>
      </c>
      <c r="I584">
        <f>IF($M584="","",INDEX(상세표[월경계 판정],$M584)&amp;"")</f>
        <v/>
      </c>
      <c r="J584">
        <f>IF($M584="","",INDEX(상세표[반영월],$M584)&amp;"")</f>
        <v/>
      </c>
      <c r="K584">
        <f>IF($M584="","",INDEX(상세표[반영 기관],$M584)&amp;"")</f>
        <v/>
      </c>
      <c r="L584">
        <f>IF($M584="","",INDEX(상세표[기관 출처],$M584)&amp;"")</f>
        <v/>
      </c>
      <c r="M584" s="4">
        <f>IFERROR(MATCH(579,상세표[경계순번],0),"")</f>
        <v/>
      </c>
    </row>
    <row r="585">
      <c r="A585">
        <f>IF($M585="","",INDEX(상세표[사번],$M585)&amp;"")</f>
        <v/>
      </c>
      <c r="B585">
        <f>IF($M585="","",INDEX(상세표[성명],$M585)&amp;"")</f>
        <v/>
      </c>
      <c r="C585">
        <f>IF($M585="","",IF(INDEX(상세표[종료월],$M585)=대상월키,"전월→이번 달","이번 달→익월"))</f>
        <v/>
      </c>
      <c r="D585">
        <f>IF($M585="","",IF(ISNUMBER(INDEX(상세표[시작],$M585)),TEXT(INDEX(상세표[시작],$M585),"yyyy-mm-dd hh:mm"),INDEX(상세표[시작],$M585)&amp;""))</f>
        <v/>
      </c>
      <c r="E585">
        <f>IF($M585="","",IF(ISNUMBER(INDEX(상세표[종료],$M585)),TEXT(INDEX(상세표[종료],$M585),"yyyy-mm-dd hh:mm"),INDEX(상세표[종료],$M585)&amp;""))</f>
        <v/>
      </c>
      <c r="F585" s="20">
        <f>IF($M585="","",INDEX(상세표[기록 시간외],$M585))</f>
        <v/>
      </c>
      <c r="G585">
        <f>IF($M585="","",INDEX(상세표[시작월 기관],$M585)&amp;"")</f>
        <v/>
      </c>
      <c r="H585">
        <f>IF($M585="","",INDEX(상세표[종료월 기관],$M585)&amp;"")</f>
        <v/>
      </c>
      <c r="I585">
        <f>IF($M585="","",INDEX(상세표[월경계 판정],$M585)&amp;"")</f>
        <v/>
      </c>
      <c r="J585">
        <f>IF($M585="","",INDEX(상세표[반영월],$M585)&amp;"")</f>
        <v/>
      </c>
      <c r="K585">
        <f>IF($M585="","",INDEX(상세표[반영 기관],$M585)&amp;"")</f>
        <v/>
      </c>
      <c r="L585">
        <f>IF($M585="","",INDEX(상세표[기관 출처],$M585)&amp;"")</f>
        <v/>
      </c>
      <c r="M585" s="4">
        <f>IFERROR(MATCH(580,상세표[경계순번],0),"")</f>
        <v/>
      </c>
    </row>
    <row r="586">
      <c r="A586">
        <f>IF($M586="","",INDEX(상세표[사번],$M586)&amp;"")</f>
        <v/>
      </c>
      <c r="B586">
        <f>IF($M586="","",INDEX(상세표[성명],$M586)&amp;"")</f>
        <v/>
      </c>
      <c r="C586">
        <f>IF($M586="","",IF(INDEX(상세표[종료월],$M586)=대상월키,"전월→이번 달","이번 달→익월"))</f>
        <v/>
      </c>
      <c r="D586">
        <f>IF($M586="","",IF(ISNUMBER(INDEX(상세표[시작],$M586)),TEXT(INDEX(상세표[시작],$M586),"yyyy-mm-dd hh:mm"),INDEX(상세표[시작],$M586)&amp;""))</f>
        <v/>
      </c>
      <c r="E586">
        <f>IF($M586="","",IF(ISNUMBER(INDEX(상세표[종료],$M586)),TEXT(INDEX(상세표[종료],$M586),"yyyy-mm-dd hh:mm"),INDEX(상세표[종료],$M586)&amp;""))</f>
        <v/>
      </c>
      <c r="F586" s="20">
        <f>IF($M586="","",INDEX(상세표[기록 시간외],$M586))</f>
        <v/>
      </c>
      <c r="G586">
        <f>IF($M586="","",INDEX(상세표[시작월 기관],$M586)&amp;"")</f>
        <v/>
      </c>
      <c r="H586">
        <f>IF($M586="","",INDEX(상세표[종료월 기관],$M586)&amp;"")</f>
        <v/>
      </c>
      <c r="I586">
        <f>IF($M586="","",INDEX(상세표[월경계 판정],$M586)&amp;"")</f>
        <v/>
      </c>
      <c r="J586">
        <f>IF($M586="","",INDEX(상세표[반영월],$M586)&amp;"")</f>
        <v/>
      </c>
      <c r="K586">
        <f>IF($M586="","",INDEX(상세표[반영 기관],$M586)&amp;"")</f>
        <v/>
      </c>
      <c r="L586">
        <f>IF($M586="","",INDEX(상세표[기관 출처],$M586)&amp;"")</f>
        <v/>
      </c>
      <c r="M586" s="4">
        <f>IFERROR(MATCH(581,상세표[경계순번],0),"")</f>
        <v/>
      </c>
    </row>
    <row r="587">
      <c r="A587">
        <f>IF($M587="","",INDEX(상세표[사번],$M587)&amp;"")</f>
        <v/>
      </c>
      <c r="B587">
        <f>IF($M587="","",INDEX(상세표[성명],$M587)&amp;"")</f>
        <v/>
      </c>
      <c r="C587">
        <f>IF($M587="","",IF(INDEX(상세표[종료월],$M587)=대상월키,"전월→이번 달","이번 달→익월"))</f>
        <v/>
      </c>
      <c r="D587">
        <f>IF($M587="","",IF(ISNUMBER(INDEX(상세표[시작],$M587)),TEXT(INDEX(상세표[시작],$M587),"yyyy-mm-dd hh:mm"),INDEX(상세표[시작],$M587)&amp;""))</f>
        <v/>
      </c>
      <c r="E587">
        <f>IF($M587="","",IF(ISNUMBER(INDEX(상세표[종료],$M587)),TEXT(INDEX(상세표[종료],$M587),"yyyy-mm-dd hh:mm"),INDEX(상세표[종료],$M587)&amp;""))</f>
        <v/>
      </c>
      <c r="F587" s="20">
        <f>IF($M587="","",INDEX(상세표[기록 시간외],$M587))</f>
        <v/>
      </c>
      <c r="G587">
        <f>IF($M587="","",INDEX(상세표[시작월 기관],$M587)&amp;"")</f>
        <v/>
      </c>
      <c r="H587">
        <f>IF($M587="","",INDEX(상세표[종료월 기관],$M587)&amp;"")</f>
        <v/>
      </c>
      <c r="I587">
        <f>IF($M587="","",INDEX(상세표[월경계 판정],$M587)&amp;"")</f>
        <v/>
      </c>
      <c r="J587">
        <f>IF($M587="","",INDEX(상세표[반영월],$M587)&amp;"")</f>
        <v/>
      </c>
      <c r="K587">
        <f>IF($M587="","",INDEX(상세표[반영 기관],$M587)&amp;"")</f>
        <v/>
      </c>
      <c r="L587">
        <f>IF($M587="","",INDEX(상세표[기관 출처],$M587)&amp;"")</f>
        <v/>
      </c>
      <c r="M587" s="4">
        <f>IFERROR(MATCH(582,상세표[경계순번],0),"")</f>
        <v/>
      </c>
    </row>
    <row r="588">
      <c r="A588">
        <f>IF($M588="","",INDEX(상세표[사번],$M588)&amp;"")</f>
        <v/>
      </c>
      <c r="B588">
        <f>IF($M588="","",INDEX(상세표[성명],$M588)&amp;"")</f>
        <v/>
      </c>
      <c r="C588">
        <f>IF($M588="","",IF(INDEX(상세표[종료월],$M588)=대상월키,"전월→이번 달","이번 달→익월"))</f>
        <v/>
      </c>
      <c r="D588">
        <f>IF($M588="","",IF(ISNUMBER(INDEX(상세표[시작],$M588)),TEXT(INDEX(상세표[시작],$M588),"yyyy-mm-dd hh:mm"),INDEX(상세표[시작],$M588)&amp;""))</f>
        <v/>
      </c>
      <c r="E588">
        <f>IF($M588="","",IF(ISNUMBER(INDEX(상세표[종료],$M588)),TEXT(INDEX(상세표[종료],$M588),"yyyy-mm-dd hh:mm"),INDEX(상세표[종료],$M588)&amp;""))</f>
        <v/>
      </c>
      <c r="F588" s="20">
        <f>IF($M588="","",INDEX(상세표[기록 시간외],$M588))</f>
        <v/>
      </c>
      <c r="G588">
        <f>IF($M588="","",INDEX(상세표[시작월 기관],$M588)&amp;"")</f>
        <v/>
      </c>
      <c r="H588">
        <f>IF($M588="","",INDEX(상세표[종료월 기관],$M588)&amp;"")</f>
        <v/>
      </c>
      <c r="I588">
        <f>IF($M588="","",INDEX(상세표[월경계 판정],$M588)&amp;"")</f>
        <v/>
      </c>
      <c r="J588">
        <f>IF($M588="","",INDEX(상세표[반영월],$M588)&amp;"")</f>
        <v/>
      </c>
      <c r="K588">
        <f>IF($M588="","",INDEX(상세표[반영 기관],$M588)&amp;"")</f>
        <v/>
      </c>
      <c r="L588">
        <f>IF($M588="","",INDEX(상세표[기관 출처],$M588)&amp;"")</f>
        <v/>
      </c>
      <c r="M588" s="4">
        <f>IFERROR(MATCH(583,상세표[경계순번],0),"")</f>
        <v/>
      </c>
    </row>
    <row r="589">
      <c r="A589">
        <f>IF($M589="","",INDEX(상세표[사번],$M589)&amp;"")</f>
        <v/>
      </c>
      <c r="B589">
        <f>IF($M589="","",INDEX(상세표[성명],$M589)&amp;"")</f>
        <v/>
      </c>
      <c r="C589">
        <f>IF($M589="","",IF(INDEX(상세표[종료월],$M589)=대상월키,"전월→이번 달","이번 달→익월"))</f>
        <v/>
      </c>
      <c r="D589">
        <f>IF($M589="","",IF(ISNUMBER(INDEX(상세표[시작],$M589)),TEXT(INDEX(상세표[시작],$M589),"yyyy-mm-dd hh:mm"),INDEX(상세표[시작],$M589)&amp;""))</f>
        <v/>
      </c>
      <c r="E589">
        <f>IF($M589="","",IF(ISNUMBER(INDEX(상세표[종료],$M589)),TEXT(INDEX(상세표[종료],$M589),"yyyy-mm-dd hh:mm"),INDEX(상세표[종료],$M589)&amp;""))</f>
        <v/>
      </c>
      <c r="F589" s="20">
        <f>IF($M589="","",INDEX(상세표[기록 시간외],$M589))</f>
        <v/>
      </c>
      <c r="G589">
        <f>IF($M589="","",INDEX(상세표[시작월 기관],$M589)&amp;"")</f>
        <v/>
      </c>
      <c r="H589">
        <f>IF($M589="","",INDEX(상세표[종료월 기관],$M589)&amp;"")</f>
        <v/>
      </c>
      <c r="I589">
        <f>IF($M589="","",INDEX(상세표[월경계 판정],$M589)&amp;"")</f>
        <v/>
      </c>
      <c r="J589">
        <f>IF($M589="","",INDEX(상세표[반영월],$M589)&amp;"")</f>
        <v/>
      </c>
      <c r="K589">
        <f>IF($M589="","",INDEX(상세표[반영 기관],$M589)&amp;"")</f>
        <v/>
      </c>
      <c r="L589">
        <f>IF($M589="","",INDEX(상세표[기관 출처],$M589)&amp;"")</f>
        <v/>
      </c>
      <c r="M589" s="4">
        <f>IFERROR(MATCH(584,상세표[경계순번],0),"")</f>
        <v/>
      </c>
    </row>
    <row r="590">
      <c r="A590">
        <f>IF($M590="","",INDEX(상세표[사번],$M590)&amp;"")</f>
        <v/>
      </c>
      <c r="B590">
        <f>IF($M590="","",INDEX(상세표[성명],$M590)&amp;"")</f>
        <v/>
      </c>
      <c r="C590">
        <f>IF($M590="","",IF(INDEX(상세표[종료월],$M590)=대상월키,"전월→이번 달","이번 달→익월"))</f>
        <v/>
      </c>
      <c r="D590">
        <f>IF($M590="","",IF(ISNUMBER(INDEX(상세표[시작],$M590)),TEXT(INDEX(상세표[시작],$M590),"yyyy-mm-dd hh:mm"),INDEX(상세표[시작],$M590)&amp;""))</f>
        <v/>
      </c>
      <c r="E590">
        <f>IF($M590="","",IF(ISNUMBER(INDEX(상세표[종료],$M590)),TEXT(INDEX(상세표[종료],$M590),"yyyy-mm-dd hh:mm"),INDEX(상세표[종료],$M590)&amp;""))</f>
        <v/>
      </c>
      <c r="F590" s="20">
        <f>IF($M590="","",INDEX(상세표[기록 시간외],$M590))</f>
        <v/>
      </c>
      <c r="G590">
        <f>IF($M590="","",INDEX(상세표[시작월 기관],$M590)&amp;"")</f>
        <v/>
      </c>
      <c r="H590">
        <f>IF($M590="","",INDEX(상세표[종료월 기관],$M590)&amp;"")</f>
        <v/>
      </c>
      <c r="I590">
        <f>IF($M590="","",INDEX(상세표[월경계 판정],$M590)&amp;"")</f>
        <v/>
      </c>
      <c r="J590">
        <f>IF($M590="","",INDEX(상세표[반영월],$M590)&amp;"")</f>
        <v/>
      </c>
      <c r="K590">
        <f>IF($M590="","",INDEX(상세표[반영 기관],$M590)&amp;"")</f>
        <v/>
      </c>
      <c r="L590">
        <f>IF($M590="","",INDEX(상세표[기관 출처],$M590)&amp;"")</f>
        <v/>
      </c>
      <c r="M590" s="4">
        <f>IFERROR(MATCH(585,상세표[경계순번],0),"")</f>
        <v/>
      </c>
    </row>
    <row r="591">
      <c r="A591">
        <f>IF($M591="","",INDEX(상세표[사번],$M591)&amp;"")</f>
        <v/>
      </c>
      <c r="B591">
        <f>IF($M591="","",INDEX(상세표[성명],$M591)&amp;"")</f>
        <v/>
      </c>
      <c r="C591">
        <f>IF($M591="","",IF(INDEX(상세표[종료월],$M591)=대상월키,"전월→이번 달","이번 달→익월"))</f>
        <v/>
      </c>
      <c r="D591">
        <f>IF($M591="","",IF(ISNUMBER(INDEX(상세표[시작],$M591)),TEXT(INDEX(상세표[시작],$M591),"yyyy-mm-dd hh:mm"),INDEX(상세표[시작],$M591)&amp;""))</f>
        <v/>
      </c>
      <c r="E591">
        <f>IF($M591="","",IF(ISNUMBER(INDEX(상세표[종료],$M591)),TEXT(INDEX(상세표[종료],$M591),"yyyy-mm-dd hh:mm"),INDEX(상세표[종료],$M591)&amp;""))</f>
        <v/>
      </c>
      <c r="F591" s="20">
        <f>IF($M591="","",INDEX(상세표[기록 시간외],$M591))</f>
        <v/>
      </c>
      <c r="G591">
        <f>IF($M591="","",INDEX(상세표[시작월 기관],$M591)&amp;"")</f>
        <v/>
      </c>
      <c r="H591">
        <f>IF($M591="","",INDEX(상세표[종료월 기관],$M591)&amp;"")</f>
        <v/>
      </c>
      <c r="I591">
        <f>IF($M591="","",INDEX(상세표[월경계 판정],$M591)&amp;"")</f>
        <v/>
      </c>
      <c r="J591">
        <f>IF($M591="","",INDEX(상세표[반영월],$M591)&amp;"")</f>
        <v/>
      </c>
      <c r="K591">
        <f>IF($M591="","",INDEX(상세표[반영 기관],$M591)&amp;"")</f>
        <v/>
      </c>
      <c r="L591">
        <f>IF($M591="","",INDEX(상세표[기관 출처],$M591)&amp;"")</f>
        <v/>
      </c>
      <c r="M591" s="4">
        <f>IFERROR(MATCH(586,상세표[경계순번],0),"")</f>
        <v/>
      </c>
    </row>
    <row r="592">
      <c r="A592">
        <f>IF($M592="","",INDEX(상세표[사번],$M592)&amp;"")</f>
        <v/>
      </c>
      <c r="B592">
        <f>IF($M592="","",INDEX(상세표[성명],$M592)&amp;"")</f>
        <v/>
      </c>
      <c r="C592">
        <f>IF($M592="","",IF(INDEX(상세표[종료월],$M592)=대상월키,"전월→이번 달","이번 달→익월"))</f>
        <v/>
      </c>
      <c r="D592">
        <f>IF($M592="","",IF(ISNUMBER(INDEX(상세표[시작],$M592)),TEXT(INDEX(상세표[시작],$M592),"yyyy-mm-dd hh:mm"),INDEX(상세표[시작],$M592)&amp;""))</f>
        <v/>
      </c>
      <c r="E592">
        <f>IF($M592="","",IF(ISNUMBER(INDEX(상세표[종료],$M592)),TEXT(INDEX(상세표[종료],$M592),"yyyy-mm-dd hh:mm"),INDEX(상세표[종료],$M592)&amp;""))</f>
        <v/>
      </c>
      <c r="F592" s="20">
        <f>IF($M592="","",INDEX(상세표[기록 시간외],$M592))</f>
        <v/>
      </c>
      <c r="G592">
        <f>IF($M592="","",INDEX(상세표[시작월 기관],$M592)&amp;"")</f>
        <v/>
      </c>
      <c r="H592">
        <f>IF($M592="","",INDEX(상세표[종료월 기관],$M592)&amp;"")</f>
        <v/>
      </c>
      <c r="I592">
        <f>IF($M592="","",INDEX(상세표[월경계 판정],$M592)&amp;"")</f>
        <v/>
      </c>
      <c r="J592">
        <f>IF($M592="","",INDEX(상세표[반영월],$M592)&amp;"")</f>
        <v/>
      </c>
      <c r="K592">
        <f>IF($M592="","",INDEX(상세표[반영 기관],$M592)&amp;"")</f>
        <v/>
      </c>
      <c r="L592">
        <f>IF($M592="","",INDEX(상세표[기관 출처],$M592)&amp;"")</f>
        <v/>
      </c>
      <c r="M592" s="4">
        <f>IFERROR(MATCH(587,상세표[경계순번],0),"")</f>
        <v/>
      </c>
    </row>
    <row r="593">
      <c r="A593">
        <f>IF($M593="","",INDEX(상세표[사번],$M593)&amp;"")</f>
        <v/>
      </c>
      <c r="B593">
        <f>IF($M593="","",INDEX(상세표[성명],$M593)&amp;"")</f>
        <v/>
      </c>
      <c r="C593">
        <f>IF($M593="","",IF(INDEX(상세표[종료월],$M593)=대상월키,"전월→이번 달","이번 달→익월"))</f>
        <v/>
      </c>
      <c r="D593">
        <f>IF($M593="","",IF(ISNUMBER(INDEX(상세표[시작],$M593)),TEXT(INDEX(상세표[시작],$M593),"yyyy-mm-dd hh:mm"),INDEX(상세표[시작],$M593)&amp;""))</f>
        <v/>
      </c>
      <c r="E593">
        <f>IF($M593="","",IF(ISNUMBER(INDEX(상세표[종료],$M593)),TEXT(INDEX(상세표[종료],$M593),"yyyy-mm-dd hh:mm"),INDEX(상세표[종료],$M593)&amp;""))</f>
        <v/>
      </c>
      <c r="F593" s="20">
        <f>IF($M593="","",INDEX(상세표[기록 시간외],$M593))</f>
        <v/>
      </c>
      <c r="G593">
        <f>IF($M593="","",INDEX(상세표[시작월 기관],$M593)&amp;"")</f>
        <v/>
      </c>
      <c r="H593">
        <f>IF($M593="","",INDEX(상세표[종료월 기관],$M593)&amp;"")</f>
        <v/>
      </c>
      <c r="I593">
        <f>IF($M593="","",INDEX(상세표[월경계 판정],$M593)&amp;"")</f>
        <v/>
      </c>
      <c r="J593">
        <f>IF($M593="","",INDEX(상세표[반영월],$M593)&amp;"")</f>
        <v/>
      </c>
      <c r="K593">
        <f>IF($M593="","",INDEX(상세표[반영 기관],$M593)&amp;"")</f>
        <v/>
      </c>
      <c r="L593">
        <f>IF($M593="","",INDEX(상세표[기관 출처],$M593)&amp;"")</f>
        <v/>
      </c>
      <c r="M593" s="4">
        <f>IFERROR(MATCH(588,상세표[경계순번],0),"")</f>
        <v/>
      </c>
    </row>
    <row r="594">
      <c r="A594">
        <f>IF($M594="","",INDEX(상세표[사번],$M594)&amp;"")</f>
        <v/>
      </c>
      <c r="B594">
        <f>IF($M594="","",INDEX(상세표[성명],$M594)&amp;"")</f>
        <v/>
      </c>
      <c r="C594">
        <f>IF($M594="","",IF(INDEX(상세표[종료월],$M594)=대상월키,"전월→이번 달","이번 달→익월"))</f>
        <v/>
      </c>
      <c r="D594">
        <f>IF($M594="","",IF(ISNUMBER(INDEX(상세표[시작],$M594)),TEXT(INDEX(상세표[시작],$M594),"yyyy-mm-dd hh:mm"),INDEX(상세표[시작],$M594)&amp;""))</f>
        <v/>
      </c>
      <c r="E594">
        <f>IF($M594="","",IF(ISNUMBER(INDEX(상세표[종료],$M594)),TEXT(INDEX(상세표[종료],$M594),"yyyy-mm-dd hh:mm"),INDEX(상세표[종료],$M594)&amp;""))</f>
        <v/>
      </c>
      <c r="F594" s="20">
        <f>IF($M594="","",INDEX(상세표[기록 시간외],$M594))</f>
        <v/>
      </c>
      <c r="G594">
        <f>IF($M594="","",INDEX(상세표[시작월 기관],$M594)&amp;"")</f>
        <v/>
      </c>
      <c r="H594">
        <f>IF($M594="","",INDEX(상세표[종료월 기관],$M594)&amp;"")</f>
        <v/>
      </c>
      <c r="I594">
        <f>IF($M594="","",INDEX(상세표[월경계 판정],$M594)&amp;"")</f>
        <v/>
      </c>
      <c r="J594">
        <f>IF($M594="","",INDEX(상세표[반영월],$M594)&amp;"")</f>
        <v/>
      </c>
      <c r="K594">
        <f>IF($M594="","",INDEX(상세표[반영 기관],$M594)&amp;"")</f>
        <v/>
      </c>
      <c r="L594">
        <f>IF($M594="","",INDEX(상세표[기관 출처],$M594)&amp;"")</f>
        <v/>
      </c>
      <c r="M594" s="4">
        <f>IFERROR(MATCH(589,상세표[경계순번],0),"")</f>
        <v/>
      </c>
    </row>
    <row r="595">
      <c r="A595">
        <f>IF($M595="","",INDEX(상세표[사번],$M595)&amp;"")</f>
        <v/>
      </c>
      <c r="B595">
        <f>IF($M595="","",INDEX(상세표[성명],$M595)&amp;"")</f>
        <v/>
      </c>
      <c r="C595">
        <f>IF($M595="","",IF(INDEX(상세표[종료월],$M595)=대상월키,"전월→이번 달","이번 달→익월"))</f>
        <v/>
      </c>
      <c r="D595">
        <f>IF($M595="","",IF(ISNUMBER(INDEX(상세표[시작],$M595)),TEXT(INDEX(상세표[시작],$M595),"yyyy-mm-dd hh:mm"),INDEX(상세표[시작],$M595)&amp;""))</f>
        <v/>
      </c>
      <c r="E595">
        <f>IF($M595="","",IF(ISNUMBER(INDEX(상세표[종료],$M595)),TEXT(INDEX(상세표[종료],$M595),"yyyy-mm-dd hh:mm"),INDEX(상세표[종료],$M595)&amp;""))</f>
        <v/>
      </c>
      <c r="F595" s="20">
        <f>IF($M595="","",INDEX(상세표[기록 시간외],$M595))</f>
        <v/>
      </c>
      <c r="G595">
        <f>IF($M595="","",INDEX(상세표[시작월 기관],$M595)&amp;"")</f>
        <v/>
      </c>
      <c r="H595">
        <f>IF($M595="","",INDEX(상세표[종료월 기관],$M595)&amp;"")</f>
        <v/>
      </c>
      <c r="I595">
        <f>IF($M595="","",INDEX(상세표[월경계 판정],$M595)&amp;"")</f>
        <v/>
      </c>
      <c r="J595">
        <f>IF($M595="","",INDEX(상세표[반영월],$M595)&amp;"")</f>
        <v/>
      </c>
      <c r="K595">
        <f>IF($M595="","",INDEX(상세표[반영 기관],$M595)&amp;"")</f>
        <v/>
      </c>
      <c r="L595">
        <f>IF($M595="","",INDEX(상세표[기관 출처],$M595)&amp;"")</f>
        <v/>
      </c>
      <c r="M595" s="4">
        <f>IFERROR(MATCH(590,상세표[경계순번],0),"")</f>
        <v/>
      </c>
    </row>
    <row r="596">
      <c r="A596">
        <f>IF($M596="","",INDEX(상세표[사번],$M596)&amp;"")</f>
        <v/>
      </c>
      <c r="B596">
        <f>IF($M596="","",INDEX(상세표[성명],$M596)&amp;"")</f>
        <v/>
      </c>
      <c r="C596">
        <f>IF($M596="","",IF(INDEX(상세표[종료월],$M596)=대상월키,"전월→이번 달","이번 달→익월"))</f>
        <v/>
      </c>
      <c r="D596">
        <f>IF($M596="","",IF(ISNUMBER(INDEX(상세표[시작],$M596)),TEXT(INDEX(상세표[시작],$M596),"yyyy-mm-dd hh:mm"),INDEX(상세표[시작],$M596)&amp;""))</f>
        <v/>
      </c>
      <c r="E596">
        <f>IF($M596="","",IF(ISNUMBER(INDEX(상세표[종료],$M596)),TEXT(INDEX(상세표[종료],$M596),"yyyy-mm-dd hh:mm"),INDEX(상세표[종료],$M596)&amp;""))</f>
        <v/>
      </c>
      <c r="F596" s="20">
        <f>IF($M596="","",INDEX(상세표[기록 시간외],$M596))</f>
        <v/>
      </c>
      <c r="G596">
        <f>IF($M596="","",INDEX(상세표[시작월 기관],$M596)&amp;"")</f>
        <v/>
      </c>
      <c r="H596">
        <f>IF($M596="","",INDEX(상세표[종료월 기관],$M596)&amp;"")</f>
        <v/>
      </c>
      <c r="I596">
        <f>IF($M596="","",INDEX(상세표[월경계 판정],$M596)&amp;"")</f>
        <v/>
      </c>
      <c r="J596">
        <f>IF($M596="","",INDEX(상세표[반영월],$M596)&amp;"")</f>
        <v/>
      </c>
      <c r="K596">
        <f>IF($M596="","",INDEX(상세표[반영 기관],$M596)&amp;"")</f>
        <v/>
      </c>
      <c r="L596">
        <f>IF($M596="","",INDEX(상세표[기관 출처],$M596)&amp;"")</f>
        <v/>
      </c>
      <c r="M596" s="4">
        <f>IFERROR(MATCH(591,상세표[경계순번],0),"")</f>
        <v/>
      </c>
    </row>
    <row r="597">
      <c r="A597">
        <f>IF($M597="","",INDEX(상세표[사번],$M597)&amp;"")</f>
        <v/>
      </c>
      <c r="B597">
        <f>IF($M597="","",INDEX(상세표[성명],$M597)&amp;"")</f>
        <v/>
      </c>
      <c r="C597">
        <f>IF($M597="","",IF(INDEX(상세표[종료월],$M597)=대상월키,"전월→이번 달","이번 달→익월"))</f>
        <v/>
      </c>
      <c r="D597">
        <f>IF($M597="","",IF(ISNUMBER(INDEX(상세표[시작],$M597)),TEXT(INDEX(상세표[시작],$M597),"yyyy-mm-dd hh:mm"),INDEX(상세표[시작],$M597)&amp;""))</f>
        <v/>
      </c>
      <c r="E597">
        <f>IF($M597="","",IF(ISNUMBER(INDEX(상세표[종료],$M597)),TEXT(INDEX(상세표[종료],$M597),"yyyy-mm-dd hh:mm"),INDEX(상세표[종료],$M597)&amp;""))</f>
        <v/>
      </c>
      <c r="F597" s="20">
        <f>IF($M597="","",INDEX(상세표[기록 시간외],$M597))</f>
        <v/>
      </c>
      <c r="G597">
        <f>IF($M597="","",INDEX(상세표[시작월 기관],$M597)&amp;"")</f>
        <v/>
      </c>
      <c r="H597">
        <f>IF($M597="","",INDEX(상세표[종료월 기관],$M597)&amp;"")</f>
        <v/>
      </c>
      <c r="I597">
        <f>IF($M597="","",INDEX(상세표[월경계 판정],$M597)&amp;"")</f>
        <v/>
      </c>
      <c r="J597">
        <f>IF($M597="","",INDEX(상세표[반영월],$M597)&amp;"")</f>
        <v/>
      </c>
      <c r="K597">
        <f>IF($M597="","",INDEX(상세표[반영 기관],$M597)&amp;"")</f>
        <v/>
      </c>
      <c r="L597">
        <f>IF($M597="","",INDEX(상세표[기관 출처],$M597)&amp;"")</f>
        <v/>
      </c>
      <c r="M597" s="4">
        <f>IFERROR(MATCH(592,상세표[경계순번],0),"")</f>
        <v/>
      </c>
    </row>
    <row r="598">
      <c r="A598">
        <f>IF($M598="","",INDEX(상세표[사번],$M598)&amp;"")</f>
        <v/>
      </c>
      <c r="B598">
        <f>IF($M598="","",INDEX(상세표[성명],$M598)&amp;"")</f>
        <v/>
      </c>
      <c r="C598">
        <f>IF($M598="","",IF(INDEX(상세표[종료월],$M598)=대상월키,"전월→이번 달","이번 달→익월"))</f>
        <v/>
      </c>
      <c r="D598">
        <f>IF($M598="","",IF(ISNUMBER(INDEX(상세표[시작],$M598)),TEXT(INDEX(상세표[시작],$M598),"yyyy-mm-dd hh:mm"),INDEX(상세표[시작],$M598)&amp;""))</f>
        <v/>
      </c>
      <c r="E598">
        <f>IF($M598="","",IF(ISNUMBER(INDEX(상세표[종료],$M598)),TEXT(INDEX(상세표[종료],$M598),"yyyy-mm-dd hh:mm"),INDEX(상세표[종료],$M598)&amp;""))</f>
        <v/>
      </c>
      <c r="F598" s="20">
        <f>IF($M598="","",INDEX(상세표[기록 시간외],$M598))</f>
        <v/>
      </c>
      <c r="G598">
        <f>IF($M598="","",INDEX(상세표[시작월 기관],$M598)&amp;"")</f>
        <v/>
      </c>
      <c r="H598">
        <f>IF($M598="","",INDEX(상세표[종료월 기관],$M598)&amp;"")</f>
        <v/>
      </c>
      <c r="I598">
        <f>IF($M598="","",INDEX(상세표[월경계 판정],$M598)&amp;"")</f>
        <v/>
      </c>
      <c r="J598">
        <f>IF($M598="","",INDEX(상세표[반영월],$M598)&amp;"")</f>
        <v/>
      </c>
      <c r="K598">
        <f>IF($M598="","",INDEX(상세표[반영 기관],$M598)&amp;"")</f>
        <v/>
      </c>
      <c r="L598">
        <f>IF($M598="","",INDEX(상세표[기관 출처],$M598)&amp;"")</f>
        <v/>
      </c>
      <c r="M598" s="4">
        <f>IFERROR(MATCH(593,상세표[경계순번],0),"")</f>
        <v/>
      </c>
    </row>
    <row r="599">
      <c r="A599">
        <f>IF($M599="","",INDEX(상세표[사번],$M599)&amp;"")</f>
        <v/>
      </c>
      <c r="B599">
        <f>IF($M599="","",INDEX(상세표[성명],$M599)&amp;"")</f>
        <v/>
      </c>
      <c r="C599">
        <f>IF($M599="","",IF(INDEX(상세표[종료월],$M599)=대상월키,"전월→이번 달","이번 달→익월"))</f>
        <v/>
      </c>
      <c r="D599">
        <f>IF($M599="","",IF(ISNUMBER(INDEX(상세표[시작],$M599)),TEXT(INDEX(상세표[시작],$M599),"yyyy-mm-dd hh:mm"),INDEX(상세표[시작],$M599)&amp;""))</f>
        <v/>
      </c>
      <c r="E599">
        <f>IF($M599="","",IF(ISNUMBER(INDEX(상세표[종료],$M599)),TEXT(INDEX(상세표[종료],$M599),"yyyy-mm-dd hh:mm"),INDEX(상세표[종료],$M599)&amp;""))</f>
        <v/>
      </c>
      <c r="F599" s="20">
        <f>IF($M599="","",INDEX(상세표[기록 시간외],$M599))</f>
        <v/>
      </c>
      <c r="G599">
        <f>IF($M599="","",INDEX(상세표[시작월 기관],$M599)&amp;"")</f>
        <v/>
      </c>
      <c r="H599">
        <f>IF($M599="","",INDEX(상세표[종료월 기관],$M599)&amp;"")</f>
        <v/>
      </c>
      <c r="I599">
        <f>IF($M599="","",INDEX(상세표[월경계 판정],$M599)&amp;"")</f>
        <v/>
      </c>
      <c r="J599">
        <f>IF($M599="","",INDEX(상세표[반영월],$M599)&amp;"")</f>
        <v/>
      </c>
      <c r="K599">
        <f>IF($M599="","",INDEX(상세표[반영 기관],$M599)&amp;"")</f>
        <v/>
      </c>
      <c r="L599">
        <f>IF($M599="","",INDEX(상세표[기관 출처],$M599)&amp;"")</f>
        <v/>
      </c>
      <c r="M599" s="4">
        <f>IFERROR(MATCH(594,상세표[경계순번],0),"")</f>
        <v/>
      </c>
    </row>
    <row r="600">
      <c r="A600">
        <f>IF($M600="","",INDEX(상세표[사번],$M600)&amp;"")</f>
        <v/>
      </c>
      <c r="B600">
        <f>IF($M600="","",INDEX(상세표[성명],$M600)&amp;"")</f>
        <v/>
      </c>
      <c r="C600">
        <f>IF($M600="","",IF(INDEX(상세표[종료월],$M600)=대상월키,"전월→이번 달","이번 달→익월"))</f>
        <v/>
      </c>
      <c r="D600">
        <f>IF($M600="","",IF(ISNUMBER(INDEX(상세표[시작],$M600)),TEXT(INDEX(상세표[시작],$M600),"yyyy-mm-dd hh:mm"),INDEX(상세표[시작],$M600)&amp;""))</f>
        <v/>
      </c>
      <c r="E600">
        <f>IF($M600="","",IF(ISNUMBER(INDEX(상세표[종료],$M600)),TEXT(INDEX(상세표[종료],$M600),"yyyy-mm-dd hh:mm"),INDEX(상세표[종료],$M600)&amp;""))</f>
        <v/>
      </c>
      <c r="F600" s="20">
        <f>IF($M600="","",INDEX(상세표[기록 시간외],$M600))</f>
        <v/>
      </c>
      <c r="G600">
        <f>IF($M600="","",INDEX(상세표[시작월 기관],$M600)&amp;"")</f>
        <v/>
      </c>
      <c r="H600">
        <f>IF($M600="","",INDEX(상세표[종료월 기관],$M600)&amp;"")</f>
        <v/>
      </c>
      <c r="I600">
        <f>IF($M600="","",INDEX(상세표[월경계 판정],$M600)&amp;"")</f>
        <v/>
      </c>
      <c r="J600">
        <f>IF($M600="","",INDEX(상세표[반영월],$M600)&amp;"")</f>
        <v/>
      </c>
      <c r="K600">
        <f>IF($M600="","",INDEX(상세표[반영 기관],$M600)&amp;"")</f>
        <v/>
      </c>
      <c r="L600">
        <f>IF($M600="","",INDEX(상세표[기관 출처],$M600)&amp;"")</f>
        <v/>
      </c>
      <c r="M600" s="4">
        <f>IFERROR(MATCH(595,상세표[경계순번],0),"")</f>
        <v/>
      </c>
    </row>
    <row r="601">
      <c r="A601">
        <f>IF($M601="","",INDEX(상세표[사번],$M601)&amp;"")</f>
        <v/>
      </c>
      <c r="B601">
        <f>IF($M601="","",INDEX(상세표[성명],$M601)&amp;"")</f>
        <v/>
      </c>
      <c r="C601">
        <f>IF($M601="","",IF(INDEX(상세표[종료월],$M601)=대상월키,"전월→이번 달","이번 달→익월"))</f>
        <v/>
      </c>
      <c r="D601">
        <f>IF($M601="","",IF(ISNUMBER(INDEX(상세표[시작],$M601)),TEXT(INDEX(상세표[시작],$M601),"yyyy-mm-dd hh:mm"),INDEX(상세표[시작],$M601)&amp;""))</f>
        <v/>
      </c>
      <c r="E601">
        <f>IF($M601="","",IF(ISNUMBER(INDEX(상세표[종료],$M601)),TEXT(INDEX(상세표[종료],$M601),"yyyy-mm-dd hh:mm"),INDEX(상세표[종료],$M601)&amp;""))</f>
        <v/>
      </c>
      <c r="F601" s="20">
        <f>IF($M601="","",INDEX(상세표[기록 시간외],$M601))</f>
        <v/>
      </c>
      <c r="G601">
        <f>IF($M601="","",INDEX(상세표[시작월 기관],$M601)&amp;"")</f>
        <v/>
      </c>
      <c r="H601">
        <f>IF($M601="","",INDEX(상세표[종료월 기관],$M601)&amp;"")</f>
        <v/>
      </c>
      <c r="I601">
        <f>IF($M601="","",INDEX(상세표[월경계 판정],$M601)&amp;"")</f>
        <v/>
      </c>
      <c r="J601">
        <f>IF($M601="","",INDEX(상세표[반영월],$M601)&amp;"")</f>
        <v/>
      </c>
      <c r="K601">
        <f>IF($M601="","",INDEX(상세표[반영 기관],$M601)&amp;"")</f>
        <v/>
      </c>
      <c r="L601">
        <f>IF($M601="","",INDEX(상세표[기관 출처],$M601)&amp;"")</f>
        <v/>
      </c>
      <c r="M601" s="4">
        <f>IFERROR(MATCH(596,상세표[경계순번],0),"")</f>
        <v/>
      </c>
    </row>
    <row r="602">
      <c r="A602">
        <f>IF($M602="","",INDEX(상세표[사번],$M602)&amp;"")</f>
        <v/>
      </c>
      <c r="B602">
        <f>IF($M602="","",INDEX(상세표[성명],$M602)&amp;"")</f>
        <v/>
      </c>
      <c r="C602">
        <f>IF($M602="","",IF(INDEX(상세표[종료월],$M602)=대상월키,"전월→이번 달","이번 달→익월"))</f>
        <v/>
      </c>
      <c r="D602">
        <f>IF($M602="","",IF(ISNUMBER(INDEX(상세표[시작],$M602)),TEXT(INDEX(상세표[시작],$M602),"yyyy-mm-dd hh:mm"),INDEX(상세표[시작],$M602)&amp;""))</f>
        <v/>
      </c>
      <c r="E602">
        <f>IF($M602="","",IF(ISNUMBER(INDEX(상세표[종료],$M602)),TEXT(INDEX(상세표[종료],$M602),"yyyy-mm-dd hh:mm"),INDEX(상세표[종료],$M602)&amp;""))</f>
        <v/>
      </c>
      <c r="F602" s="20">
        <f>IF($M602="","",INDEX(상세표[기록 시간외],$M602))</f>
        <v/>
      </c>
      <c r="G602">
        <f>IF($M602="","",INDEX(상세표[시작월 기관],$M602)&amp;"")</f>
        <v/>
      </c>
      <c r="H602">
        <f>IF($M602="","",INDEX(상세표[종료월 기관],$M602)&amp;"")</f>
        <v/>
      </c>
      <c r="I602">
        <f>IF($M602="","",INDEX(상세표[월경계 판정],$M602)&amp;"")</f>
        <v/>
      </c>
      <c r="J602">
        <f>IF($M602="","",INDEX(상세표[반영월],$M602)&amp;"")</f>
        <v/>
      </c>
      <c r="K602">
        <f>IF($M602="","",INDEX(상세표[반영 기관],$M602)&amp;"")</f>
        <v/>
      </c>
      <c r="L602">
        <f>IF($M602="","",INDEX(상세표[기관 출처],$M602)&amp;"")</f>
        <v/>
      </c>
      <c r="M602" s="4">
        <f>IFERROR(MATCH(597,상세표[경계순번],0),"")</f>
        <v/>
      </c>
    </row>
    <row r="603">
      <c r="A603">
        <f>IF($M603="","",INDEX(상세표[사번],$M603)&amp;"")</f>
        <v/>
      </c>
      <c r="B603">
        <f>IF($M603="","",INDEX(상세표[성명],$M603)&amp;"")</f>
        <v/>
      </c>
      <c r="C603">
        <f>IF($M603="","",IF(INDEX(상세표[종료월],$M603)=대상월키,"전월→이번 달","이번 달→익월"))</f>
        <v/>
      </c>
      <c r="D603">
        <f>IF($M603="","",IF(ISNUMBER(INDEX(상세표[시작],$M603)),TEXT(INDEX(상세표[시작],$M603),"yyyy-mm-dd hh:mm"),INDEX(상세표[시작],$M603)&amp;""))</f>
        <v/>
      </c>
      <c r="E603">
        <f>IF($M603="","",IF(ISNUMBER(INDEX(상세표[종료],$M603)),TEXT(INDEX(상세표[종료],$M603),"yyyy-mm-dd hh:mm"),INDEX(상세표[종료],$M603)&amp;""))</f>
        <v/>
      </c>
      <c r="F603" s="20">
        <f>IF($M603="","",INDEX(상세표[기록 시간외],$M603))</f>
        <v/>
      </c>
      <c r="G603">
        <f>IF($M603="","",INDEX(상세표[시작월 기관],$M603)&amp;"")</f>
        <v/>
      </c>
      <c r="H603">
        <f>IF($M603="","",INDEX(상세표[종료월 기관],$M603)&amp;"")</f>
        <v/>
      </c>
      <c r="I603">
        <f>IF($M603="","",INDEX(상세표[월경계 판정],$M603)&amp;"")</f>
        <v/>
      </c>
      <c r="J603">
        <f>IF($M603="","",INDEX(상세표[반영월],$M603)&amp;"")</f>
        <v/>
      </c>
      <c r="K603">
        <f>IF($M603="","",INDEX(상세표[반영 기관],$M603)&amp;"")</f>
        <v/>
      </c>
      <c r="L603">
        <f>IF($M603="","",INDEX(상세표[기관 출처],$M603)&amp;"")</f>
        <v/>
      </c>
      <c r="M603" s="4">
        <f>IFERROR(MATCH(598,상세표[경계순번],0),"")</f>
        <v/>
      </c>
    </row>
    <row r="604">
      <c r="A604">
        <f>IF($M604="","",INDEX(상세표[사번],$M604)&amp;"")</f>
        <v/>
      </c>
      <c r="B604">
        <f>IF($M604="","",INDEX(상세표[성명],$M604)&amp;"")</f>
        <v/>
      </c>
      <c r="C604">
        <f>IF($M604="","",IF(INDEX(상세표[종료월],$M604)=대상월키,"전월→이번 달","이번 달→익월"))</f>
        <v/>
      </c>
      <c r="D604">
        <f>IF($M604="","",IF(ISNUMBER(INDEX(상세표[시작],$M604)),TEXT(INDEX(상세표[시작],$M604),"yyyy-mm-dd hh:mm"),INDEX(상세표[시작],$M604)&amp;""))</f>
        <v/>
      </c>
      <c r="E604">
        <f>IF($M604="","",IF(ISNUMBER(INDEX(상세표[종료],$M604)),TEXT(INDEX(상세표[종료],$M604),"yyyy-mm-dd hh:mm"),INDEX(상세표[종료],$M604)&amp;""))</f>
        <v/>
      </c>
      <c r="F604" s="20">
        <f>IF($M604="","",INDEX(상세표[기록 시간외],$M604))</f>
        <v/>
      </c>
      <c r="G604">
        <f>IF($M604="","",INDEX(상세표[시작월 기관],$M604)&amp;"")</f>
        <v/>
      </c>
      <c r="H604">
        <f>IF($M604="","",INDEX(상세표[종료월 기관],$M604)&amp;"")</f>
        <v/>
      </c>
      <c r="I604">
        <f>IF($M604="","",INDEX(상세표[월경계 판정],$M604)&amp;"")</f>
        <v/>
      </c>
      <c r="J604">
        <f>IF($M604="","",INDEX(상세표[반영월],$M604)&amp;"")</f>
        <v/>
      </c>
      <c r="K604">
        <f>IF($M604="","",INDEX(상세표[반영 기관],$M604)&amp;"")</f>
        <v/>
      </c>
      <c r="L604">
        <f>IF($M604="","",INDEX(상세표[기관 출처],$M604)&amp;"")</f>
        <v/>
      </c>
      <c r="M604" s="4">
        <f>IFERROR(MATCH(599,상세표[경계순번],0),"")</f>
        <v/>
      </c>
    </row>
    <row r="605">
      <c r="A605">
        <f>IF($M605="","",INDEX(상세표[사번],$M605)&amp;"")</f>
        <v/>
      </c>
      <c r="B605">
        <f>IF($M605="","",INDEX(상세표[성명],$M605)&amp;"")</f>
        <v/>
      </c>
      <c r="C605">
        <f>IF($M605="","",IF(INDEX(상세표[종료월],$M605)=대상월키,"전월→이번 달","이번 달→익월"))</f>
        <v/>
      </c>
      <c r="D605">
        <f>IF($M605="","",IF(ISNUMBER(INDEX(상세표[시작],$M605)),TEXT(INDEX(상세표[시작],$M605),"yyyy-mm-dd hh:mm"),INDEX(상세표[시작],$M605)&amp;""))</f>
        <v/>
      </c>
      <c r="E605">
        <f>IF($M605="","",IF(ISNUMBER(INDEX(상세표[종료],$M605)),TEXT(INDEX(상세표[종료],$M605),"yyyy-mm-dd hh:mm"),INDEX(상세표[종료],$M605)&amp;""))</f>
        <v/>
      </c>
      <c r="F605" s="20">
        <f>IF($M605="","",INDEX(상세표[기록 시간외],$M605))</f>
        <v/>
      </c>
      <c r="G605">
        <f>IF($M605="","",INDEX(상세표[시작월 기관],$M605)&amp;"")</f>
        <v/>
      </c>
      <c r="H605">
        <f>IF($M605="","",INDEX(상세표[종료월 기관],$M605)&amp;"")</f>
        <v/>
      </c>
      <c r="I605">
        <f>IF($M605="","",INDEX(상세표[월경계 판정],$M605)&amp;"")</f>
        <v/>
      </c>
      <c r="J605">
        <f>IF($M605="","",INDEX(상세표[반영월],$M605)&amp;"")</f>
        <v/>
      </c>
      <c r="K605">
        <f>IF($M605="","",INDEX(상세표[반영 기관],$M605)&amp;"")</f>
        <v/>
      </c>
      <c r="L605">
        <f>IF($M605="","",INDEX(상세표[기관 출처],$M605)&amp;"")</f>
        <v/>
      </c>
      <c r="M605" s="4">
        <f>IFERROR(MATCH(600,상세표[경계순번],0),"")</f>
        <v/>
      </c>
    </row>
    <row r="606">
      <c r="A606">
        <f>IF($M606="","",INDEX(상세표[사번],$M606)&amp;"")</f>
        <v/>
      </c>
      <c r="B606">
        <f>IF($M606="","",INDEX(상세표[성명],$M606)&amp;"")</f>
        <v/>
      </c>
      <c r="C606">
        <f>IF($M606="","",IF(INDEX(상세표[종료월],$M606)=대상월키,"전월→이번 달","이번 달→익월"))</f>
        <v/>
      </c>
      <c r="D606">
        <f>IF($M606="","",IF(ISNUMBER(INDEX(상세표[시작],$M606)),TEXT(INDEX(상세표[시작],$M606),"yyyy-mm-dd hh:mm"),INDEX(상세표[시작],$M606)&amp;""))</f>
        <v/>
      </c>
      <c r="E606">
        <f>IF($M606="","",IF(ISNUMBER(INDEX(상세표[종료],$M606)),TEXT(INDEX(상세표[종료],$M606),"yyyy-mm-dd hh:mm"),INDEX(상세표[종료],$M606)&amp;""))</f>
        <v/>
      </c>
      <c r="F606" s="20">
        <f>IF($M606="","",INDEX(상세표[기록 시간외],$M606))</f>
        <v/>
      </c>
      <c r="G606">
        <f>IF($M606="","",INDEX(상세표[시작월 기관],$M606)&amp;"")</f>
        <v/>
      </c>
      <c r="H606">
        <f>IF($M606="","",INDEX(상세표[종료월 기관],$M606)&amp;"")</f>
        <v/>
      </c>
      <c r="I606">
        <f>IF($M606="","",INDEX(상세표[월경계 판정],$M606)&amp;"")</f>
        <v/>
      </c>
      <c r="J606">
        <f>IF($M606="","",INDEX(상세표[반영월],$M606)&amp;"")</f>
        <v/>
      </c>
      <c r="K606">
        <f>IF($M606="","",INDEX(상세표[반영 기관],$M606)&amp;"")</f>
        <v/>
      </c>
      <c r="L606">
        <f>IF($M606="","",INDEX(상세표[기관 출처],$M606)&amp;"")</f>
        <v/>
      </c>
      <c r="M606" s="4">
        <f>IFERROR(MATCH(601,상세표[경계순번],0),"")</f>
        <v/>
      </c>
    </row>
    <row r="607">
      <c r="A607">
        <f>IF($M607="","",INDEX(상세표[사번],$M607)&amp;"")</f>
        <v/>
      </c>
      <c r="B607">
        <f>IF($M607="","",INDEX(상세표[성명],$M607)&amp;"")</f>
        <v/>
      </c>
      <c r="C607">
        <f>IF($M607="","",IF(INDEX(상세표[종료월],$M607)=대상월키,"전월→이번 달","이번 달→익월"))</f>
        <v/>
      </c>
      <c r="D607">
        <f>IF($M607="","",IF(ISNUMBER(INDEX(상세표[시작],$M607)),TEXT(INDEX(상세표[시작],$M607),"yyyy-mm-dd hh:mm"),INDEX(상세표[시작],$M607)&amp;""))</f>
        <v/>
      </c>
      <c r="E607">
        <f>IF($M607="","",IF(ISNUMBER(INDEX(상세표[종료],$M607)),TEXT(INDEX(상세표[종료],$M607),"yyyy-mm-dd hh:mm"),INDEX(상세표[종료],$M607)&amp;""))</f>
        <v/>
      </c>
      <c r="F607" s="20">
        <f>IF($M607="","",INDEX(상세표[기록 시간외],$M607))</f>
        <v/>
      </c>
      <c r="G607">
        <f>IF($M607="","",INDEX(상세표[시작월 기관],$M607)&amp;"")</f>
        <v/>
      </c>
      <c r="H607">
        <f>IF($M607="","",INDEX(상세표[종료월 기관],$M607)&amp;"")</f>
        <v/>
      </c>
      <c r="I607">
        <f>IF($M607="","",INDEX(상세표[월경계 판정],$M607)&amp;"")</f>
        <v/>
      </c>
      <c r="J607">
        <f>IF($M607="","",INDEX(상세표[반영월],$M607)&amp;"")</f>
        <v/>
      </c>
      <c r="K607">
        <f>IF($M607="","",INDEX(상세표[반영 기관],$M607)&amp;"")</f>
        <v/>
      </c>
      <c r="L607">
        <f>IF($M607="","",INDEX(상세표[기관 출처],$M607)&amp;"")</f>
        <v/>
      </c>
      <c r="M607" s="4">
        <f>IFERROR(MATCH(602,상세표[경계순번],0),"")</f>
        <v/>
      </c>
    </row>
    <row r="608">
      <c r="A608">
        <f>IF($M608="","",INDEX(상세표[사번],$M608)&amp;"")</f>
        <v/>
      </c>
      <c r="B608">
        <f>IF($M608="","",INDEX(상세표[성명],$M608)&amp;"")</f>
        <v/>
      </c>
      <c r="C608">
        <f>IF($M608="","",IF(INDEX(상세표[종료월],$M608)=대상월키,"전월→이번 달","이번 달→익월"))</f>
        <v/>
      </c>
      <c r="D608">
        <f>IF($M608="","",IF(ISNUMBER(INDEX(상세표[시작],$M608)),TEXT(INDEX(상세표[시작],$M608),"yyyy-mm-dd hh:mm"),INDEX(상세표[시작],$M608)&amp;""))</f>
        <v/>
      </c>
      <c r="E608">
        <f>IF($M608="","",IF(ISNUMBER(INDEX(상세표[종료],$M608)),TEXT(INDEX(상세표[종료],$M608),"yyyy-mm-dd hh:mm"),INDEX(상세표[종료],$M608)&amp;""))</f>
        <v/>
      </c>
      <c r="F608" s="20">
        <f>IF($M608="","",INDEX(상세표[기록 시간외],$M608))</f>
        <v/>
      </c>
      <c r="G608">
        <f>IF($M608="","",INDEX(상세표[시작월 기관],$M608)&amp;"")</f>
        <v/>
      </c>
      <c r="H608">
        <f>IF($M608="","",INDEX(상세표[종료월 기관],$M608)&amp;"")</f>
        <v/>
      </c>
      <c r="I608">
        <f>IF($M608="","",INDEX(상세표[월경계 판정],$M608)&amp;"")</f>
        <v/>
      </c>
      <c r="J608">
        <f>IF($M608="","",INDEX(상세표[반영월],$M608)&amp;"")</f>
        <v/>
      </c>
      <c r="K608">
        <f>IF($M608="","",INDEX(상세표[반영 기관],$M608)&amp;"")</f>
        <v/>
      </c>
      <c r="L608">
        <f>IF($M608="","",INDEX(상세표[기관 출처],$M608)&amp;"")</f>
        <v/>
      </c>
      <c r="M608" s="4">
        <f>IFERROR(MATCH(603,상세표[경계순번],0),"")</f>
        <v/>
      </c>
    </row>
    <row r="609">
      <c r="A609">
        <f>IF($M609="","",INDEX(상세표[사번],$M609)&amp;"")</f>
        <v/>
      </c>
      <c r="B609">
        <f>IF($M609="","",INDEX(상세표[성명],$M609)&amp;"")</f>
        <v/>
      </c>
      <c r="C609">
        <f>IF($M609="","",IF(INDEX(상세표[종료월],$M609)=대상월키,"전월→이번 달","이번 달→익월"))</f>
        <v/>
      </c>
      <c r="D609">
        <f>IF($M609="","",IF(ISNUMBER(INDEX(상세표[시작],$M609)),TEXT(INDEX(상세표[시작],$M609),"yyyy-mm-dd hh:mm"),INDEX(상세표[시작],$M609)&amp;""))</f>
        <v/>
      </c>
      <c r="E609">
        <f>IF($M609="","",IF(ISNUMBER(INDEX(상세표[종료],$M609)),TEXT(INDEX(상세표[종료],$M609),"yyyy-mm-dd hh:mm"),INDEX(상세표[종료],$M609)&amp;""))</f>
        <v/>
      </c>
      <c r="F609" s="20">
        <f>IF($M609="","",INDEX(상세표[기록 시간외],$M609))</f>
        <v/>
      </c>
      <c r="G609">
        <f>IF($M609="","",INDEX(상세표[시작월 기관],$M609)&amp;"")</f>
        <v/>
      </c>
      <c r="H609">
        <f>IF($M609="","",INDEX(상세표[종료월 기관],$M609)&amp;"")</f>
        <v/>
      </c>
      <c r="I609">
        <f>IF($M609="","",INDEX(상세표[월경계 판정],$M609)&amp;"")</f>
        <v/>
      </c>
      <c r="J609">
        <f>IF($M609="","",INDEX(상세표[반영월],$M609)&amp;"")</f>
        <v/>
      </c>
      <c r="K609">
        <f>IF($M609="","",INDEX(상세표[반영 기관],$M609)&amp;"")</f>
        <v/>
      </c>
      <c r="L609">
        <f>IF($M609="","",INDEX(상세표[기관 출처],$M609)&amp;"")</f>
        <v/>
      </c>
      <c r="M609" s="4">
        <f>IFERROR(MATCH(604,상세표[경계순번],0),"")</f>
        <v/>
      </c>
    </row>
    <row r="610">
      <c r="A610">
        <f>IF($M610="","",INDEX(상세표[사번],$M610)&amp;"")</f>
        <v/>
      </c>
      <c r="B610">
        <f>IF($M610="","",INDEX(상세표[성명],$M610)&amp;"")</f>
        <v/>
      </c>
      <c r="C610">
        <f>IF($M610="","",IF(INDEX(상세표[종료월],$M610)=대상월키,"전월→이번 달","이번 달→익월"))</f>
        <v/>
      </c>
      <c r="D610">
        <f>IF($M610="","",IF(ISNUMBER(INDEX(상세표[시작],$M610)),TEXT(INDEX(상세표[시작],$M610),"yyyy-mm-dd hh:mm"),INDEX(상세표[시작],$M610)&amp;""))</f>
        <v/>
      </c>
      <c r="E610">
        <f>IF($M610="","",IF(ISNUMBER(INDEX(상세표[종료],$M610)),TEXT(INDEX(상세표[종료],$M610),"yyyy-mm-dd hh:mm"),INDEX(상세표[종료],$M610)&amp;""))</f>
        <v/>
      </c>
      <c r="F610" s="20">
        <f>IF($M610="","",INDEX(상세표[기록 시간외],$M610))</f>
        <v/>
      </c>
      <c r="G610">
        <f>IF($M610="","",INDEX(상세표[시작월 기관],$M610)&amp;"")</f>
        <v/>
      </c>
      <c r="H610">
        <f>IF($M610="","",INDEX(상세표[종료월 기관],$M610)&amp;"")</f>
        <v/>
      </c>
      <c r="I610">
        <f>IF($M610="","",INDEX(상세표[월경계 판정],$M610)&amp;"")</f>
        <v/>
      </c>
      <c r="J610">
        <f>IF($M610="","",INDEX(상세표[반영월],$M610)&amp;"")</f>
        <v/>
      </c>
      <c r="K610">
        <f>IF($M610="","",INDEX(상세표[반영 기관],$M610)&amp;"")</f>
        <v/>
      </c>
      <c r="L610">
        <f>IF($M610="","",INDEX(상세표[기관 출처],$M610)&amp;"")</f>
        <v/>
      </c>
      <c r="M610" s="4">
        <f>IFERROR(MATCH(605,상세표[경계순번],0),"")</f>
        <v/>
      </c>
    </row>
    <row r="611">
      <c r="A611">
        <f>IF($M611="","",INDEX(상세표[사번],$M611)&amp;"")</f>
        <v/>
      </c>
      <c r="B611">
        <f>IF($M611="","",INDEX(상세표[성명],$M611)&amp;"")</f>
        <v/>
      </c>
      <c r="C611">
        <f>IF($M611="","",IF(INDEX(상세표[종료월],$M611)=대상월키,"전월→이번 달","이번 달→익월"))</f>
        <v/>
      </c>
      <c r="D611">
        <f>IF($M611="","",IF(ISNUMBER(INDEX(상세표[시작],$M611)),TEXT(INDEX(상세표[시작],$M611),"yyyy-mm-dd hh:mm"),INDEX(상세표[시작],$M611)&amp;""))</f>
        <v/>
      </c>
      <c r="E611">
        <f>IF($M611="","",IF(ISNUMBER(INDEX(상세표[종료],$M611)),TEXT(INDEX(상세표[종료],$M611),"yyyy-mm-dd hh:mm"),INDEX(상세표[종료],$M611)&amp;""))</f>
        <v/>
      </c>
      <c r="F611" s="20">
        <f>IF($M611="","",INDEX(상세표[기록 시간외],$M611))</f>
        <v/>
      </c>
      <c r="G611">
        <f>IF($M611="","",INDEX(상세표[시작월 기관],$M611)&amp;"")</f>
        <v/>
      </c>
      <c r="H611">
        <f>IF($M611="","",INDEX(상세표[종료월 기관],$M611)&amp;"")</f>
        <v/>
      </c>
      <c r="I611">
        <f>IF($M611="","",INDEX(상세표[월경계 판정],$M611)&amp;"")</f>
        <v/>
      </c>
      <c r="J611">
        <f>IF($M611="","",INDEX(상세표[반영월],$M611)&amp;"")</f>
        <v/>
      </c>
      <c r="K611">
        <f>IF($M611="","",INDEX(상세표[반영 기관],$M611)&amp;"")</f>
        <v/>
      </c>
      <c r="L611">
        <f>IF($M611="","",INDEX(상세표[기관 출처],$M611)&amp;"")</f>
        <v/>
      </c>
      <c r="M611" s="4">
        <f>IFERROR(MATCH(606,상세표[경계순번],0),"")</f>
        <v/>
      </c>
    </row>
    <row r="612">
      <c r="A612">
        <f>IF($M612="","",INDEX(상세표[사번],$M612)&amp;"")</f>
        <v/>
      </c>
      <c r="B612">
        <f>IF($M612="","",INDEX(상세표[성명],$M612)&amp;"")</f>
        <v/>
      </c>
      <c r="C612">
        <f>IF($M612="","",IF(INDEX(상세표[종료월],$M612)=대상월키,"전월→이번 달","이번 달→익월"))</f>
        <v/>
      </c>
      <c r="D612">
        <f>IF($M612="","",IF(ISNUMBER(INDEX(상세표[시작],$M612)),TEXT(INDEX(상세표[시작],$M612),"yyyy-mm-dd hh:mm"),INDEX(상세표[시작],$M612)&amp;""))</f>
        <v/>
      </c>
      <c r="E612">
        <f>IF($M612="","",IF(ISNUMBER(INDEX(상세표[종료],$M612)),TEXT(INDEX(상세표[종료],$M612),"yyyy-mm-dd hh:mm"),INDEX(상세표[종료],$M612)&amp;""))</f>
        <v/>
      </c>
      <c r="F612" s="20">
        <f>IF($M612="","",INDEX(상세표[기록 시간외],$M612))</f>
        <v/>
      </c>
      <c r="G612">
        <f>IF($M612="","",INDEX(상세표[시작월 기관],$M612)&amp;"")</f>
        <v/>
      </c>
      <c r="H612">
        <f>IF($M612="","",INDEX(상세표[종료월 기관],$M612)&amp;"")</f>
        <v/>
      </c>
      <c r="I612">
        <f>IF($M612="","",INDEX(상세표[월경계 판정],$M612)&amp;"")</f>
        <v/>
      </c>
      <c r="J612">
        <f>IF($M612="","",INDEX(상세표[반영월],$M612)&amp;"")</f>
        <v/>
      </c>
      <c r="K612">
        <f>IF($M612="","",INDEX(상세표[반영 기관],$M612)&amp;"")</f>
        <v/>
      </c>
      <c r="L612">
        <f>IF($M612="","",INDEX(상세표[기관 출처],$M612)&amp;"")</f>
        <v/>
      </c>
      <c r="M612" s="4">
        <f>IFERROR(MATCH(607,상세표[경계순번],0),"")</f>
        <v/>
      </c>
    </row>
    <row r="613">
      <c r="A613">
        <f>IF($M613="","",INDEX(상세표[사번],$M613)&amp;"")</f>
        <v/>
      </c>
      <c r="B613">
        <f>IF($M613="","",INDEX(상세표[성명],$M613)&amp;"")</f>
        <v/>
      </c>
      <c r="C613">
        <f>IF($M613="","",IF(INDEX(상세표[종료월],$M613)=대상월키,"전월→이번 달","이번 달→익월"))</f>
        <v/>
      </c>
      <c r="D613">
        <f>IF($M613="","",IF(ISNUMBER(INDEX(상세표[시작],$M613)),TEXT(INDEX(상세표[시작],$M613),"yyyy-mm-dd hh:mm"),INDEX(상세표[시작],$M613)&amp;""))</f>
        <v/>
      </c>
      <c r="E613">
        <f>IF($M613="","",IF(ISNUMBER(INDEX(상세표[종료],$M613)),TEXT(INDEX(상세표[종료],$M613),"yyyy-mm-dd hh:mm"),INDEX(상세표[종료],$M613)&amp;""))</f>
        <v/>
      </c>
      <c r="F613" s="20">
        <f>IF($M613="","",INDEX(상세표[기록 시간외],$M613))</f>
        <v/>
      </c>
      <c r="G613">
        <f>IF($M613="","",INDEX(상세표[시작월 기관],$M613)&amp;"")</f>
        <v/>
      </c>
      <c r="H613">
        <f>IF($M613="","",INDEX(상세표[종료월 기관],$M613)&amp;"")</f>
        <v/>
      </c>
      <c r="I613">
        <f>IF($M613="","",INDEX(상세표[월경계 판정],$M613)&amp;"")</f>
        <v/>
      </c>
      <c r="J613">
        <f>IF($M613="","",INDEX(상세표[반영월],$M613)&amp;"")</f>
        <v/>
      </c>
      <c r="K613">
        <f>IF($M613="","",INDEX(상세표[반영 기관],$M613)&amp;"")</f>
        <v/>
      </c>
      <c r="L613">
        <f>IF($M613="","",INDEX(상세표[기관 출처],$M613)&amp;"")</f>
        <v/>
      </c>
      <c r="M613" s="4">
        <f>IFERROR(MATCH(608,상세표[경계순번],0),"")</f>
        <v/>
      </c>
    </row>
    <row r="614">
      <c r="A614">
        <f>IF($M614="","",INDEX(상세표[사번],$M614)&amp;"")</f>
        <v/>
      </c>
      <c r="B614">
        <f>IF($M614="","",INDEX(상세표[성명],$M614)&amp;"")</f>
        <v/>
      </c>
      <c r="C614">
        <f>IF($M614="","",IF(INDEX(상세표[종료월],$M614)=대상월키,"전월→이번 달","이번 달→익월"))</f>
        <v/>
      </c>
      <c r="D614">
        <f>IF($M614="","",IF(ISNUMBER(INDEX(상세표[시작],$M614)),TEXT(INDEX(상세표[시작],$M614),"yyyy-mm-dd hh:mm"),INDEX(상세표[시작],$M614)&amp;""))</f>
        <v/>
      </c>
      <c r="E614">
        <f>IF($M614="","",IF(ISNUMBER(INDEX(상세표[종료],$M614)),TEXT(INDEX(상세표[종료],$M614),"yyyy-mm-dd hh:mm"),INDEX(상세표[종료],$M614)&amp;""))</f>
        <v/>
      </c>
      <c r="F614" s="20">
        <f>IF($M614="","",INDEX(상세표[기록 시간외],$M614))</f>
        <v/>
      </c>
      <c r="G614">
        <f>IF($M614="","",INDEX(상세표[시작월 기관],$M614)&amp;"")</f>
        <v/>
      </c>
      <c r="H614">
        <f>IF($M614="","",INDEX(상세표[종료월 기관],$M614)&amp;"")</f>
        <v/>
      </c>
      <c r="I614">
        <f>IF($M614="","",INDEX(상세표[월경계 판정],$M614)&amp;"")</f>
        <v/>
      </c>
      <c r="J614">
        <f>IF($M614="","",INDEX(상세표[반영월],$M614)&amp;"")</f>
        <v/>
      </c>
      <c r="K614">
        <f>IF($M614="","",INDEX(상세표[반영 기관],$M614)&amp;"")</f>
        <v/>
      </c>
      <c r="L614">
        <f>IF($M614="","",INDEX(상세표[기관 출처],$M614)&amp;"")</f>
        <v/>
      </c>
      <c r="M614" s="4">
        <f>IFERROR(MATCH(609,상세표[경계순번],0),"")</f>
        <v/>
      </c>
    </row>
    <row r="615">
      <c r="A615">
        <f>IF($M615="","",INDEX(상세표[사번],$M615)&amp;"")</f>
        <v/>
      </c>
      <c r="B615">
        <f>IF($M615="","",INDEX(상세표[성명],$M615)&amp;"")</f>
        <v/>
      </c>
      <c r="C615">
        <f>IF($M615="","",IF(INDEX(상세표[종료월],$M615)=대상월키,"전월→이번 달","이번 달→익월"))</f>
        <v/>
      </c>
      <c r="D615">
        <f>IF($M615="","",IF(ISNUMBER(INDEX(상세표[시작],$M615)),TEXT(INDEX(상세표[시작],$M615),"yyyy-mm-dd hh:mm"),INDEX(상세표[시작],$M615)&amp;""))</f>
        <v/>
      </c>
      <c r="E615">
        <f>IF($M615="","",IF(ISNUMBER(INDEX(상세표[종료],$M615)),TEXT(INDEX(상세표[종료],$M615),"yyyy-mm-dd hh:mm"),INDEX(상세표[종료],$M615)&amp;""))</f>
        <v/>
      </c>
      <c r="F615" s="20">
        <f>IF($M615="","",INDEX(상세표[기록 시간외],$M615))</f>
        <v/>
      </c>
      <c r="G615">
        <f>IF($M615="","",INDEX(상세표[시작월 기관],$M615)&amp;"")</f>
        <v/>
      </c>
      <c r="H615">
        <f>IF($M615="","",INDEX(상세표[종료월 기관],$M615)&amp;"")</f>
        <v/>
      </c>
      <c r="I615">
        <f>IF($M615="","",INDEX(상세표[월경계 판정],$M615)&amp;"")</f>
        <v/>
      </c>
      <c r="J615">
        <f>IF($M615="","",INDEX(상세표[반영월],$M615)&amp;"")</f>
        <v/>
      </c>
      <c r="K615">
        <f>IF($M615="","",INDEX(상세표[반영 기관],$M615)&amp;"")</f>
        <v/>
      </c>
      <c r="L615">
        <f>IF($M615="","",INDEX(상세표[기관 출처],$M615)&amp;"")</f>
        <v/>
      </c>
      <c r="M615" s="4">
        <f>IFERROR(MATCH(610,상세표[경계순번],0),"")</f>
        <v/>
      </c>
    </row>
    <row r="616">
      <c r="A616">
        <f>IF($M616="","",INDEX(상세표[사번],$M616)&amp;"")</f>
        <v/>
      </c>
      <c r="B616">
        <f>IF($M616="","",INDEX(상세표[성명],$M616)&amp;"")</f>
        <v/>
      </c>
      <c r="C616">
        <f>IF($M616="","",IF(INDEX(상세표[종료월],$M616)=대상월키,"전월→이번 달","이번 달→익월"))</f>
        <v/>
      </c>
      <c r="D616">
        <f>IF($M616="","",IF(ISNUMBER(INDEX(상세표[시작],$M616)),TEXT(INDEX(상세표[시작],$M616),"yyyy-mm-dd hh:mm"),INDEX(상세표[시작],$M616)&amp;""))</f>
        <v/>
      </c>
      <c r="E616">
        <f>IF($M616="","",IF(ISNUMBER(INDEX(상세표[종료],$M616)),TEXT(INDEX(상세표[종료],$M616),"yyyy-mm-dd hh:mm"),INDEX(상세표[종료],$M616)&amp;""))</f>
        <v/>
      </c>
      <c r="F616" s="20">
        <f>IF($M616="","",INDEX(상세표[기록 시간외],$M616))</f>
        <v/>
      </c>
      <c r="G616">
        <f>IF($M616="","",INDEX(상세표[시작월 기관],$M616)&amp;"")</f>
        <v/>
      </c>
      <c r="H616">
        <f>IF($M616="","",INDEX(상세표[종료월 기관],$M616)&amp;"")</f>
        <v/>
      </c>
      <c r="I616">
        <f>IF($M616="","",INDEX(상세표[월경계 판정],$M616)&amp;"")</f>
        <v/>
      </c>
      <c r="J616">
        <f>IF($M616="","",INDEX(상세표[반영월],$M616)&amp;"")</f>
        <v/>
      </c>
      <c r="K616">
        <f>IF($M616="","",INDEX(상세표[반영 기관],$M616)&amp;"")</f>
        <v/>
      </c>
      <c r="L616">
        <f>IF($M616="","",INDEX(상세표[기관 출처],$M616)&amp;"")</f>
        <v/>
      </c>
      <c r="M616" s="4">
        <f>IFERROR(MATCH(611,상세표[경계순번],0),"")</f>
        <v/>
      </c>
    </row>
    <row r="617">
      <c r="A617">
        <f>IF($M617="","",INDEX(상세표[사번],$M617)&amp;"")</f>
        <v/>
      </c>
      <c r="B617">
        <f>IF($M617="","",INDEX(상세표[성명],$M617)&amp;"")</f>
        <v/>
      </c>
      <c r="C617">
        <f>IF($M617="","",IF(INDEX(상세표[종료월],$M617)=대상월키,"전월→이번 달","이번 달→익월"))</f>
        <v/>
      </c>
      <c r="D617">
        <f>IF($M617="","",IF(ISNUMBER(INDEX(상세표[시작],$M617)),TEXT(INDEX(상세표[시작],$M617),"yyyy-mm-dd hh:mm"),INDEX(상세표[시작],$M617)&amp;""))</f>
        <v/>
      </c>
      <c r="E617">
        <f>IF($M617="","",IF(ISNUMBER(INDEX(상세표[종료],$M617)),TEXT(INDEX(상세표[종료],$M617),"yyyy-mm-dd hh:mm"),INDEX(상세표[종료],$M617)&amp;""))</f>
        <v/>
      </c>
      <c r="F617" s="20">
        <f>IF($M617="","",INDEX(상세표[기록 시간외],$M617))</f>
        <v/>
      </c>
      <c r="G617">
        <f>IF($M617="","",INDEX(상세표[시작월 기관],$M617)&amp;"")</f>
        <v/>
      </c>
      <c r="H617">
        <f>IF($M617="","",INDEX(상세표[종료월 기관],$M617)&amp;"")</f>
        <v/>
      </c>
      <c r="I617">
        <f>IF($M617="","",INDEX(상세표[월경계 판정],$M617)&amp;"")</f>
        <v/>
      </c>
      <c r="J617">
        <f>IF($M617="","",INDEX(상세표[반영월],$M617)&amp;"")</f>
        <v/>
      </c>
      <c r="K617">
        <f>IF($M617="","",INDEX(상세표[반영 기관],$M617)&amp;"")</f>
        <v/>
      </c>
      <c r="L617">
        <f>IF($M617="","",INDEX(상세표[기관 출처],$M617)&amp;"")</f>
        <v/>
      </c>
      <c r="M617" s="4">
        <f>IFERROR(MATCH(612,상세표[경계순번],0),"")</f>
        <v/>
      </c>
    </row>
    <row r="618">
      <c r="A618">
        <f>IF($M618="","",INDEX(상세표[사번],$M618)&amp;"")</f>
        <v/>
      </c>
      <c r="B618">
        <f>IF($M618="","",INDEX(상세표[성명],$M618)&amp;"")</f>
        <v/>
      </c>
      <c r="C618">
        <f>IF($M618="","",IF(INDEX(상세표[종료월],$M618)=대상월키,"전월→이번 달","이번 달→익월"))</f>
        <v/>
      </c>
      <c r="D618">
        <f>IF($M618="","",IF(ISNUMBER(INDEX(상세표[시작],$M618)),TEXT(INDEX(상세표[시작],$M618),"yyyy-mm-dd hh:mm"),INDEX(상세표[시작],$M618)&amp;""))</f>
        <v/>
      </c>
      <c r="E618">
        <f>IF($M618="","",IF(ISNUMBER(INDEX(상세표[종료],$M618)),TEXT(INDEX(상세표[종료],$M618),"yyyy-mm-dd hh:mm"),INDEX(상세표[종료],$M618)&amp;""))</f>
        <v/>
      </c>
      <c r="F618" s="20">
        <f>IF($M618="","",INDEX(상세표[기록 시간외],$M618))</f>
        <v/>
      </c>
      <c r="G618">
        <f>IF($M618="","",INDEX(상세표[시작월 기관],$M618)&amp;"")</f>
        <v/>
      </c>
      <c r="H618">
        <f>IF($M618="","",INDEX(상세표[종료월 기관],$M618)&amp;"")</f>
        <v/>
      </c>
      <c r="I618">
        <f>IF($M618="","",INDEX(상세표[월경계 판정],$M618)&amp;"")</f>
        <v/>
      </c>
      <c r="J618">
        <f>IF($M618="","",INDEX(상세표[반영월],$M618)&amp;"")</f>
        <v/>
      </c>
      <c r="K618">
        <f>IF($M618="","",INDEX(상세표[반영 기관],$M618)&amp;"")</f>
        <v/>
      </c>
      <c r="L618">
        <f>IF($M618="","",INDEX(상세표[기관 출처],$M618)&amp;"")</f>
        <v/>
      </c>
      <c r="M618" s="4">
        <f>IFERROR(MATCH(613,상세표[경계순번],0),"")</f>
        <v/>
      </c>
    </row>
    <row r="619">
      <c r="A619">
        <f>IF($M619="","",INDEX(상세표[사번],$M619)&amp;"")</f>
        <v/>
      </c>
      <c r="B619">
        <f>IF($M619="","",INDEX(상세표[성명],$M619)&amp;"")</f>
        <v/>
      </c>
      <c r="C619">
        <f>IF($M619="","",IF(INDEX(상세표[종료월],$M619)=대상월키,"전월→이번 달","이번 달→익월"))</f>
        <v/>
      </c>
      <c r="D619">
        <f>IF($M619="","",IF(ISNUMBER(INDEX(상세표[시작],$M619)),TEXT(INDEX(상세표[시작],$M619),"yyyy-mm-dd hh:mm"),INDEX(상세표[시작],$M619)&amp;""))</f>
        <v/>
      </c>
      <c r="E619">
        <f>IF($M619="","",IF(ISNUMBER(INDEX(상세표[종료],$M619)),TEXT(INDEX(상세표[종료],$M619),"yyyy-mm-dd hh:mm"),INDEX(상세표[종료],$M619)&amp;""))</f>
        <v/>
      </c>
      <c r="F619" s="20">
        <f>IF($M619="","",INDEX(상세표[기록 시간외],$M619))</f>
        <v/>
      </c>
      <c r="G619">
        <f>IF($M619="","",INDEX(상세표[시작월 기관],$M619)&amp;"")</f>
        <v/>
      </c>
      <c r="H619">
        <f>IF($M619="","",INDEX(상세표[종료월 기관],$M619)&amp;"")</f>
        <v/>
      </c>
      <c r="I619">
        <f>IF($M619="","",INDEX(상세표[월경계 판정],$M619)&amp;"")</f>
        <v/>
      </c>
      <c r="J619">
        <f>IF($M619="","",INDEX(상세표[반영월],$M619)&amp;"")</f>
        <v/>
      </c>
      <c r="K619">
        <f>IF($M619="","",INDEX(상세표[반영 기관],$M619)&amp;"")</f>
        <v/>
      </c>
      <c r="L619">
        <f>IF($M619="","",INDEX(상세표[기관 출처],$M619)&amp;"")</f>
        <v/>
      </c>
      <c r="M619" s="4">
        <f>IFERROR(MATCH(614,상세표[경계순번],0),"")</f>
        <v/>
      </c>
    </row>
    <row r="620">
      <c r="A620">
        <f>IF($M620="","",INDEX(상세표[사번],$M620)&amp;"")</f>
        <v/>
      </c>
      <c r="B620">
        <f>IF($M620="","",INDEX(상세표[성명],$M620)&amp;"")</f>
        <v/>
      </c>
      <c r="C620">
        <f>IF($M620="","",IF(INDEX(상세표[종료월],$M620)=대상월키,"전월→이번 달","이번 달→익월"))</f>
        <v/>
      </c>
      <c r="D620">
        <f>IF($M620="","",IF(ISNUMBER(INDEX(상세표[시작],$M620)),TEXT(INDEX(상세표[시작],$M620),"yyyy-mm-dd hh:mm"),INDEX(상세표[시작],$M620)&amp;""))</f>
        <v/>
      </c>
      <c r="E620">
        <f>IF($M620="","",IF(ISNUMBER(INDEX(상세표[종료],$M620)),TEXT(INDEX(상세표[종료],$M620),"yyyy-mm-dd hh:mm"),INDEX(상세표[종료],$M620)&amp;""))</f>
        <v/>
      </c>
      <c r="F620" s="20">
        <f>IF($M620="","",INDEX(상세표[기록 시간외],$M620))</f>
        <v/>
      </c>
      <c r="G620">
        <f>IF($M620="","",INDEX(상세표[시작월 기관],$M620)&amp;"")</f>
        <v/>
      </c>
      <c r="H620">
        <f>IF($M620="","",INDEX(상세표[종료월 기관],$M620)&amp;"")</f>
        <v/>
      </c>
      <c r="I620">
        <f>IF($M620="","",INDEX(상세표[월경계 판정],$M620)&amp;"")</f>
        <v/>
      </c>
      <c r="J620">
        <f>IF($M620="","",INDEX(상세표[반영월],$M620)&amp;"")</f>
        <v/>
      </c>
      <c r="K620">
        <f>IF($M620="","",INDEX(상세표[반영 기관],$M620)&amp;"")</f>
        <v/>
      </c>
      <c r="L620">
        <f>IF($M620="","",INDEX(상세표[기관 출처],$M620)&amp;"")</f>
        <v/>
      </c>
      <c r="M620" s="4">
        <f>IFERROR(MATCH(615,상세표[경계순번],0),"")</f>
        <v/>
      </c>
    </row>
    <row r="621">
      <c r="A621">
        <f>IF($M621="","",INDEX(상세표[사번],$M621)&amp;"")</f>
        <v/>
      </c>
      <c r="B621">
        <f>IF($M621="","",INDEX(상세표[성명],$M621)&amp;"")</f>
        <v/>
      </c>
      <c r="C621">
        <f>IF($M621="","",IF(INDEX(상세표[종료월],$M621)=대상월키,"전월→이번 달","이번 달→익월"))</f>
        <v/>
      </c>
      <c r="D621">
        <f>IF($M621="","",IF(ISNUMBER(INDEX(상세표[시작],$M621)),TEXT(INDEX(상세표[시작],$M621),"yyyy-mm-dd hh:mm"),INDEX(상세표[시작],$M621)&amp;""))</f>
        <v/>
      </c>
      <c r="E621">
        <f>IF($M621="","",IF(ISNUMBER(INDEX(상세표[종료],$M621)),TEXT(INDEX(상세표[종료],$M621),"yyyy-mm-dd hh:mm"),INDEX(상세표[종료],$M621)&amp;""))</f>
        <v/>
      </c>
      <c r="F621" s="20">
        <f>IF($M621="","",INDEX(상세표[기록 시간외],$M621))</f>
        <v/>
      </c>
      <c r="G621">
        <f>IF($M621="","",INDEX(상세표[시작월 기관],$M621)&amp;"")</f>
        <v/>
      </c>
      <c r="H621">
        <f>IF($M621="","",INDEX(상세표[종료월 기관],$M621)&amp;"")</f>
        <v/>
      </c>
      <c r="I621">
        <f>IF($M621="","",INDEX(상세표[월경계 판정],$M621)&amp;"")</f>
        <v/>
      </c>
      <c r="J621">
        <f>IF($M621="","",INDEX(상세표[반영월],$M621)&amp;"")</f>
        <v/>
      </c>
      <c r="K621">
        <f>IF($M621="","",INDEX(상세표[반영 기관],$M621)&amp;"")</f>
        <v/>
      </c>
      <c r="L621">
        <f>IF($M621="","",INDEX(상세표[기관 출처],$M621)&amp;"")</f>
        <v/>
      </c>
      <c r="M621" s="4">
        <f>IFERROR(MATCH(616,상세표[경계순번],0),"")</f>
        <v/>
      </c>
    </row>
    <row r="622">
      <c r="A622">
        <f>IF($M622="","",INDEX(상세표[사번],$M622)&amp;"")</f>
        <v/>
      </c>
      <c r="B622">
        <f>IF($M622="","",INDEX(상세표[성명],$M622)&amp;"")</f>
        <v/>
      </c>
      <c r="C622">
        <f>IF($M622="","",IF(INDEX(상세표[종료월],$M622)=대상월키,"전월→이번 달","이번 달→익월"))</f>
        <v/>
      </c>
      <c r="D622">
        <f>IF($M622="","",IF(ISNUMBER(INDEX(상세표[시작],$M622)),TEXT(INDEX(상세표[시작],$M622),"yyyy-mm-dd hh:mm"),INDEX(상세표[시작],$M622)&amp;""))</f>
        <v/>
      </c>
      <c r="E622">
        <f>IF($M622="","",IF(ISNUMBER(INDEX(상세표[종료],$M622)),TEXT(INDEX(상세표[종료],$M622),"yyyy-mm-dd hh:mm"),INDEX(상세표[종료],$M622)&amp;""))</f>
        <v/>
      </c>
      <c r="F622" s="20">
        <f>IF($M622="","",INDEX(상세표[기록 시간외],$M622))</f>
        <v/>
      </c>
      <c r="G622">
        <f>IF($M622="","",INDEX(상세표[시작월 기관],$M622)&amp;"")</f>
        <v/>
      </c>
      <c r="H622">
        <f>IF($M622="","",INDEX(상세표[종료월 기관],$M622)&amp;"")</f>
        <v/>
      </c>
      <c r="I622">
        <f>IF($M622="","",INDEX(상세표[월경계 판정],$M622)&amp;"")</f>
        <v/>
      </c>
      <c r="J622">
        <f>IF($M622="","",INDEX(상세표[반영월],$M622)&amp;"")</f>
        <v/>
      </c>
      <c r="K622">
        <f>IF($M622="","",INDEX(상세표[반영 기관],$M622)&amp;"")</f>
        <v/>
      </c>
      <c r="L622">
        <f>IF($M622="","",INDEX(상세표[기관 출처],$M622)&amp;"")</f>
        <v/>
      </c>
      <c r="M622" s="4">
        <f>IFERROR(MATCH(617,상세표[경계순번],0),"")</f>
        <v/>
      </c>
    </row>
    <row r="623">
      <c r="A623">
        <f>IF($M623="","",INDEX(상세표[사번],$M623)&amp;"")</f>
        <v/>
      </c>
      <c r="B623">
        <f>IF($M623="","",INDEX(상세표[성명],$M623)&amp;"")</f>
        <v/>
      </c>
      <c r="C623">
        <f>IF($M623="","",IF(INDEX(상세표[종료월],$M623)=대상월키,"전월→이번 달","이번 달→익월"))</f>
        <v/>
      </c>
      <c r="D623">
        <f>IF($M623="","",IF(ISNUMBER(INDEX(상세표[시작],$M623)),TEXT(INDEX(상세표[시작],$M623),"yyyy-mm-dd hh:mm"),INDEX(상세표[시작],$M623)&amp;""))</f>
        <v/>
      </c>
      <c r="E623">
        <f>IF($M623="","",IF(ISNUMBER(INDEX(상세표[종료],$M623)),TEXT(INDEX(상세표[종료],$M623),"yyyy-mm-dd hh:mm"),INDEX(상세표[종료],$M623)&amp;""))</f>
        <v/>
      </c>
      <c r="F623" s="20">
        <f>IF($M623="","",INDEX(상세표[기록 시간외],$M623))</f>
        <v/>
      </c>
      <c r="G623">
        <f>IF($M623="","",INDEX(상세표[시작월 기관],$M623)&amp;"")</f>
        <v/>
      </c>
      <c r="H623">
        <f>IF($M623="","",INDEX(상세표[종료월 기관],$M623)&amp;"")</f>
        <v/>
      </c>
      <c r="I623">
        <f>IF($M623="","",INDEX(상세표[월경계 판정],$M623)&amp;"")</f>
        <v/>
      </c>
      <c r="J623">
        <f>IF($M623="","",INDEX(상세표[반영월],$M623)&amp;"")</f>
        <v/>
      </c>
      <c r="K623">
        <f>IF($M623="","",INDEX(상세표[반영 기관],$M623)&amp;"")</f>
        <v/>
      </c>
      <c r="L623">
        <f>IF($M623="","",INDEX(상세표[기관 출처],$M623)&amp;"")</f>
        <v/>
      </c>
      <c r="M623" s="4">
        <f>IFERROR(MATCH(618,상세표[경계순번],0),"")</f>
        <v/>
      </c>
    </row>
    <row r="624">
      <c r="A624">
        <f>IF($M624="","",INDEX(상세표[사번],$M624)&amp;"")</f>
        <v/>
      </c>
      <c r="B624">
        <f>IF($M624="","",INDEX(상세표[성명],$M624)&amp;"")</f>
        <v/>
      </c>
      <c r="C624">
        <f>IF($M624="","",IF(INDEX(상세표[종료월],$M624)=대상월키,"전월→이번 달","이번 달→익월"))</f>
        <v/>
      </c>
      <c r="D624">
        <f>IF($M624="","",IF(ISNUMBER(INDEX(상세표[시작],$M624)),TEXT(INDEX(상세표[시작],$M624),"yyyy-mm-dd hh:mm"),INDEX(상세표[시작],$M624)&amp;""))</f>
        <v/>
      </c>
      <c r="E624">
        <f>IF($M624="","",IF(ISNUMBER(INDEX(상세표[종료],$M624)),TEXT(INDEX(상세표[종료],$M624),"yyyy-mm-dd hh:mm"),INDEX(상세표[종료],$M624)&amp;""))</f>
        <v/>
      </c>
      <c r="F624" s="20">
        <f>IF($M624="","",INDEX(상세표[기록 시간외],$M624))</f>
        <v/>
      </c>
      <c r="G624">
        <f>IF($M624="","",INDEX(상세표[시작월 기관],$M624)&amp;"")</f>
        <v/>
      </c>
      <c r="H624">
        <f>IF($M624="","",INDEX(상세표[종료월 기관],$M624)&amp;"")</f>
        <v/>
      </c>
      <c r="I624">
        <f>IF($M624="","",INDEX(상세표[월경계 판정],$M624)&amp;"")</f>
        <v/>
      </c>
      <c r="J624">
        <f>IF($M624="","",INDEX(상세표[반영월],$M624)&amp;"")</f>
        <v/>
      </c>
      <c r="K624">
        <f>IF($M624="","",INDEX(상세표[반영 기관],$M624)&amp;"")</f>
        <v/>
      </c>
      <c r="L624">
        <f>IF($M624="","",INDEX(상세표[기관 출처],$M624)&amp;"")</f>
        <v/>
      </c>
      <c r="M624" s="4">
        <f>IFERROR(MATCH(619,상세표[경계순번],0),"")</f>
        <v/>
      </c>
    </row>
    <row r="625">
      <c r="A625">
        <f>IF($M625="","",INDEX(상세표[사번],$M625)&amp;"")</f>
        <v/>
      </c>
      <c r="B625">
        <f>IF($M625="","",INDEX(상세표[성명],$M625)&amp;"")</f>
        <v/>
      </c>
      <c r="C625">
        <f>IF($M625="","",IF(INDEX(상세표[종료월],$M625)=대상월키,"전월→이번 달","이번 달→익월"))</f>
        <v/>
      </c>
      <c r="D625">
        <f>IF($M625="","",IF(ISNUMBER(INDEX(상세표[시작],$M625)),TEXT(INDEX(상세표[시작],$M625),"yyyy-mm-dd hh:mm"),INDEX(상세표[시작],$M625)&amp;""))</f>
        <v/>
      </c>
      <c r="E625">
        <f>IF($M625="","",IF(ISNUMBER(INDEX(상세표[종료],$M625)),TEXT(INDEX(상세표[종료],$M625),"yyyy-mm-dd hh:mm"),INDEX(상세표[종료],$M625)&amp;""))</f>
        <v/>
      </c>
      <c r="F625" s="20">
        <f>IF($M625="","",INDEX(상세표[기록 시간외],$M625))</f>
        <v/>
      </c>
      <c r="G625">
        <f>IF($M625="","",INDEX(상세표[시작월 기관],$M625)&amp;"")</f>
        <v/>
      </c>
      <c r="H625">
        <f>IF($M625="","",INDEX(상세표[종료월 기관],$M625)&amp;"")</f>
        <v/>
      </c>
      <c r="I625">
        <f>IF($M625="","",INDEX(상세표[월경계 판정],$M625)&amp;"")</f>
        <v/>
      </c>
      <c r="J625">
        <f>IF($M625="","",INDEX(상세표[반영월],$M625)&amp;"")</f>
        <v/>
      </c>
      <c r="K625">
        <f>IF($M625="","",INDEX(상세표[반영 기관],$M625)&amp;"")</f>
        <v/>
      </c>
      <c r="L625">
        <f>IF($M625="","",INDEX(상세표[기관 출처],$M625)&amp;"")</f>
        <v/>
      </c>
      <c r="M625" s="4">
        <f>IFERROR(MATCH(620,상세표[경계순번],0),"")</f>
        <v/>
      </c>
    </row>
    <row r="626">
      <c r="A626">
        <f>IF($M626="","",INDEX(상세표[사번],$M626)&amp;"")</f>
        <v/>
      </c>
      <c r="B626">
        <f>IF($M626="","",INDEX(상세표[성명],$M626)&amp;"")</f>
        <v/>
      </c>
      <c r="C626">
        <f>IF($M626="","",IF(INDEX(상세표[종료월],$M626)=대상월키,"전월→이번 달","이번 달→익월"))</f>
        <v/>
      </c>
      <c r="D626">
        <f>IF($M626="","",IF(ISNUMBER(INDEX(상세표[시작],$M626)),TEXT(INDEX(상세표[시작],$M626),"yyyy-mm-dd hh:mm"),INDEX(상세표[시작],$M626)&amp;""))</f>
        <v/>
      </c>
      <c r="E626">
        <f>IF($M626="","",IF(ISNUMBER(INDEX(상세표[종료],$M626)),TEXT(INDEX(상세표[종료],$M626),"yyyy-mm-dd hh:mm"),INDEX(상세표[종료],$M626)&amp;""))</f>
        <v/>
      </c>
      <c r="F626" s="20">
        <f>IF($M626="","",INDEX(상세표[기록 시간외],$M626))</f>
        <v/>
      </c>
      <c r="G626">
        <f>IF($M626="","",INDEX(상세표[시작월 기관],$M626)&amp;"")</f>
        <v/>
      </c>
      <c r="H626">
        <f>IF($M626="","",INDEX(상세표[종료월 기관],$M626)&amp;"")</f>
        <v/>
      </c>
      <c r="I626">
        <f>IF($M626="","",INDEX(상세표[월경계 판정],$M626)&amp;"")</f>
        <v/>
      </c>
      <c r="J626">
        <f>IF($M626="","",INDEX(상세표[반영월],$M626)&amp;"")</f>
        <v/>
      </c>
      <c r="K626">
        <f>IF($M626="","",INDEX(상세표[반영 기관],$M626)&amp;"")</f>
        <v/>
      </c>
      <c r="L626">
        <f>IF($M626="","",INDEX(상세표[기관 출처],$M626)&amp;"")</f>
        <v/>
      </c>
      <c r="M626" s="4">
        <f>IFERROR(MATCH(621,상세표[경계순번],0),"")</f>
        <v/>
      </c>
    </row>
    <row r="627">
      <c r="A627">
        <f>IF($M627="","",INDEX(상세표[사번],$M627)&amp;"")</f>
        <v/>
      </c>
      <c r="B627">
        <f>IF($M627="","",INDEX(상세표[성명],$M627)&amp;"")</f>
        <v/>
      </c>
      <c r="C627">
        <f>IF($M627="","",IF(INDEX(상세표[종료월],$M627)=대상월키,"전월→이번 달","이번 달→익월"))</f>
        <v/>
      </c>
      <c r="D627">
        <f>IF($M627="","",IF(ISNUMBER(INDEX(상세표[시작],$M627)),TEXT(INDEX(상세표[시작],$M627),"yyyy-mm-dd hh:mm"),INDEX(상세표[시작],$M627)&amp;""))</f>
        <v/>
      </c>
      <c r="E627">
        <f>IF($M627="","",IF(ISNUMBER(INDEX(상세표[종료],$M627)),TEXT(INDEX(상세표[종료],$M627),"yyyy-mm-dd hh:mm"),INDEX(상세표[종료],$M627)&amp;""))</f>
        <v/>
      </c>
      <c r="F627" s="20">
        <f>IF($M627="","",INDEX(상세표[기록 시간외],$M627))</f>
        <v/>
      </c>
      <c r="G627">
        <f>IF($M627="","",INDEX(상세표[시작월 기관],$M627)&amp;"")</f>
        <v/>
      </c>
      <c r="H627">
        <f>IF($M627="","",INDEX(상세표[종료월 기관],$M627)&amp;"")</f>
        <v/>
      </c>
      <c r="I627">
        <f>IF($M627="","",INDEX(상세표[월경계 판정],$M627)&amp;"")</f>
        <v/>
      </c>
      <c r="J627">
        <f>IF($M627="","",INDEX(상세표[반영월],$M627)&amp;"")</f>
        <v/>
      </c>
      <c r="K627">
        <f>IF($M627="","",INDEX(상세표[반영 기관],$M627)&amp;"")</f>
        <v/>
      </c>
      <c r="L627">
        <f>IF($M627="","",INDEX(상세표[기관 출처],$M627)&amp;"")</f>
        <v/>
      </c>
      <c r="M627" s="4">
        <f>IFERROR(MATCH(622,상세표[경계순번],0),"")</f>
        <v/>
      </c>
    </row>
    <row r="628">
      <c r="A628">
        <f>IF($M628="","",INDEX(상세표[사번],$M628)&amp;"")</f>
        <v/>
      </c>
      <c r="B628">
        <f>IF($M628="","",INDEX(상세표[성명],$M628)&amp;"")</f>
        <v/>
      </c>
      <c r="C628">
        <f>IF($M628="","",IF(INDEX(상세표[종료월],$M628)=대상월키,"전월→이번 달","이번 달→익월"))</f>
        <v/>
      </c>
      <c r="D628">
        <f>IF($M628="","",IF(ISNUMBER(INDEX(상세표[시작],$M628)),TEXT(INDEX(상세표[시작],$M628),"yyyy-mm-dd hh:mm"),INDEX(상세표[시작],$M628)&amp;""))</f>
        <v/>
      </c>
      <c r="E628">
        <f>IF($M628="","",IF(ISNUMBER(INDEX(상세표[종료],$M628)),TEXT(INDEX(상세표[종료],$M628),"yyyy-mm-dd hh:mm"),INDEX(상세표[종료],$M628)&amp;""))</f>
        <v/>
      </c>
      <c r="F628" s="20">
        <f>IF($M628="","",INDEX(상세표[기록 시간외],$M628))</f>
        <v/>
      </c>
      <c r="G628">
        <f>IF($M628="","",INDEX(상세표[시작월 기관],$M628)&amp;"")</f>
        <v/>
      </c>
      <c r="H628">
        <f>IF($M628="","",INDEX(상세표[종료월 기관],$M628)&amp;"")</f>
        <v/>
      </c>
      <c r="I628">
        <f>IF($M628="","",INDEX(상세표[월경계 판정],$M628)&amp;"")</f>
        <v/>
      </c>
      <c r="J628">
        <f>IF($M628="","",INDEX(상세표[반영월],$M628)&amp;"")</f>
        <v/>
      </c>
      <c r="K628">
        <f>IF($M628="","",INDEX(상세표[반영 기관],$M628)&amp;"")</f>
        <v/>
      </c>
      <c r="L628">
        <f>IF($M628="","",INDEX(상세표[기관 출처],$M628)&amp;"")</f>
        <v/>
      </c>
      <c r="M628" s="4">
        <f>IFERROR(MATCH(623,상세표[경계순번],0),"")</f>
        <v/>
      </c>
    </row>
    <row r="629">
      <c r="A629">
        <f>IF($M629="","",INDEX(상세표[사번],$M629)&amp;"")</f>
        <v/>
      </c>
      <c r="B629">
        <f>IF($M629="","",INDEX(상세표[성명],$M629)&amp;"")</f>
        <v/>
      </c>
      <c r="C629">
        <f>IF($M629="","",IF(INDEX(상세표[종료월],$M629)=대상월키,"전월→이번 달","이번 달→익월"))</f>
        <v/>
      </c>
      <c r="D629">
        <f>IF($M629="","",IF(ISNUMBER(INDEX(상세표[시작],$M629)),TEXT(INDEX(상세표[시작],$M629),"yyyy-mm-dd hh:mm"),INDEX(상세표[시작],$M629)&amp;""))</f>
        <v/>
      </c>
      <c r="E629">
        <f>IF($M629="","",IF(ISNUMBER(INDEX(상세표[종료],$M629)),TEXT(INDEX(상세표[종료],$M629),"yyyy-mm-dd hh:mm"),INDEX(상세표[종료],$M629)&amp;""))</f>
        <v/>
      </c>
      <c r="F629" s="20">
        <f>IF($M629="","",INDEX(상세표[기록 시간외],$M629))</f>
        <v/>
      </c>
      <c r="G629">
        <f>IF($M629="","",INDEX(상세표[시작월 기관],$M629)&amp;"")</f>
        <v/>
      </c>
      <c r="H629">
        <f>IF($M629="","",INDEX(상세표[종료월 기관],$M629)&amp;"")</f>
        <v/>
      </c>
      <c r="I629">
        <f>IF($M629="","",INDEX(상세표[월경계 판정],$M629)&amp;"")</f>
        <v/>
      </c>
      <c r="J629">
        <f>IF($M629="","",INDEX(상세표[반영월],$M629)&amp;"")</f>
        <v/>
      </c>
      <c r="K629">
        <f>IF($M629="","",INDEX(상세표[반영 기관],$M629)&amp;"")</f>
        <v/>
      </c>
      <c r="L629">
        <f>IF($M629="","",INDEX(상세표[기관 출처],$M629)&amp;"")</f>
        <v/>
      </c>
      <c r="M629" s="4">
        <f>IFERROR(MATCH(624,상세표[경계순번],0),"")</f>
        <v/>
      </c>
    </row>
    <row r="630">
      <c r="A630">
        <f>IF($M630="","",INDEX(상세표[사번],$M630)&amp;"")</f>
        <v/>
      </c>
      <c r="B630">
        <f>IF($M630="","",INDEX(상세표[성명],$M630)&amp;"")</f>
        <v/>
      </c>
      <c r="C630">
        <f>IF($M630="","",IF(INDEX(상세표[종료월],$M630)=대상월키,"전월→이번 달","이번 달→익월"))</f>
        <v/>
      </c>
      <c r="D630">
        <f>IF($M630="","",IF(ISNUMBER(INDEX(상세표[시작],$M630)),TEXT(INDEX(상세표[시작],$M630),"yyyy-mm-dd hh:mm"),INDEX(상세표[시작],$M630)&amp;""))</f>
        <v/>
      </c>
      <c r="E630">
        <f>IF($M630="","",IF(ISNUMBER(INDEX(상세표[종료],$M630)),TEXT(INDEX(상세표[종료],$M630),"yyyy-mm-dd hh:mm"),INDEX(상세표[종료],$M630)&amp;""))</f>
        <v/>
      </c>
      <c r="F630" s="20">
        <f>IF($M630="","",INDEX(상세표[기록 시간외],$M630))</f>
        <v/>
      </c>
      <c r="G630">
        <f>IF($M630="","",INDEX(상세표[시작월 기관],$M630)&amp;"")</f>
        <v/>
      </c>
      <c r="H630">
        <f>IF($M630="","",INDEX(상세표[종료월 기관],$M630)&amp;"")</f>
        <v/>
      </c>
      <c r="I630">
        <f>IF($M630="","",INDEX(상세표[월경계 판정],$M630)&amp;"")</f>
        <v/>
      </c>
      <c r="J630">
        <f>IF($M630="","",INDEX(상세표[반영월],$M630)&amp;"")</f>
        <v/>
      </c>
      <c r="K630">
        <f>IF($M630="","",INDEX(상세표[반영 기관],$M630)&amp;"")</f>
        <v/>
      </c>
      <c r="L630">
        <f>IF($M630="","",INDEX(상세표[기관 출처],$M630)&amp;"")</f>
        <v/>
      </c>
      <c r="M630" s="4">
        <f>IFERROR(MATCH(625,상세표[경계순번],0),"")</f>
        <v/>
      </c>
    </row>
    <row r="631">
      <c r="A631">
        <f>IF($M631="","",INDEX(상세표[사번],$M631)&amp;"")</f>
        <v/>
      </c>
      <c r="B631">
        <f>IF($M631="","",INDEX(상세표[성명],$M631)&amp;"")</f>
        <v/>
      </c>
      <c r="C631">
        <f>IF($M631="","",IF(INDEX(상세표[종료월],$M631)=대상월키,"전월→이번 달","이번 달→익월"))</f>
        <v/>
      </c>
      <c r="D631">
        <f>IF($M631="","",IF(ISNUMBER(INDEX(상세표[시작],$M631)),TEXT(INDEX(상세표[시작],$M631),"yyyy-mm-dd hh:mm"),INDEX(상세표[시작],$M631)&amp;""))</f>
        <v/>
      </c>
      <c r="E631">
        <f>IF($M631="","",IF(ISNUMBER(INDEX(상세표[종료],$M631)),TEXT(INDEX(상세표[종료],$M631),"yyyy-mm-dd hh:mm"),INDEX(상세표[종료],$M631)&amp;""))</f>
        <v/>
      </c>
      <c r="F631" s="20">
        <f>IF($M631="","",INDEX(상세표[기록 시간외],$M631))</f>
        <v/>
      </c>
      <c r="G631">
        <f>IF($M631="","",INDEX(상세표[시작월 기관],$M631)&amp;"")</f>
        <v/>
      </c>
      <c r="H631">
        <f>IF($M631="","",INDEX(상세표[종료월 기관],$M631)&amp;"")</f>
        <v/>
      </c>
      <c r="I631">
        <f>IF($M631="","",INDEX(상세표[월경계 판정],$M631)&amp;"")</f>
        <v/>
      </c>
      <c r="J631">
        <f>IF($M631="","",INDEX(상세표[반영월],$M631)&amp;"")</f>
        <v/>
      </c>
      <c r="K631">
        <f>IF($M631="","",INDEX(상세표[반영 기관],$M631)&amp;"")</f>
        <v/>
      </c>
      <c r="L631">
        <f>IF($M631="","",INDEX(상세표[기관 출처],$M631)&amp;"")</f>
        <v/>
      </c>
      <c r="M631" s="4">
        <f>IFERROR(MATCH(626,상세표[경계순번],0),"")</f>
        <v/>
      </c>
    </row>
    <row r="632">
      <c r="A632">
        <f>IF($M632="","",INDEX(상세표[사번],$M632)&amp;"")</f>
        <v/>
      </c>
      <c r="B632">
        <f>IF($M632="","",INDEX(상세표[성명],$M632)&amp;"")</f>
        <v/>
      </c>
      <c r="C632">
        <f>IF($M632="","",IF(INDEX(상세표[종료월],$M632)=대상월키,"전월→이번 달","이번 달→익월"))</f>
        <v/>
      </c>
      <c r="D632">
        <f>IF($M632="","",IF(ISNUMBER(INDEX(상세표[시작],$M632)),TEXT(INDEX(상세표[시작],$M632),"yyyy-mm-dd hh:mm"),INDEX(상세표[시작],$M632)&amp;""))</f>
        <v/>
      </c>
      <c r="E632">
        <f>IF($M632="","",IF(ISNUMBER(INDEX(상세표[종료],$M632)),TEXT(INDEX(상세표[종료],$M632),"yyyy-mm-dd hh:mm"),INDEX(상세표[종료],$M632)&amp;""))</f>
        <v/>
      </c>
      <c r="F632" s="20">
        <f>IF($M632="","",INDEX(상세표[기록 시간외],$M632))</f>
        <v/>
      </c>
      <c r="G632">
        <f>IF($M632="","",INDEX(상세표[시작월 기관],$M632)&amp;"")</f>
        <v/>
      </c>
      <c r="H632">
        <f>IF($M632="","",INDEX(상세표[종료월 기관],$M632)&amp;"")</f>
        <v/>
      </c>
      <c r="I632">
        <f>IF($M632="","",INDEX(상세표[월경계 판정],$M632)&amp;"")</f>
        <v/>
      </c>
      <c r="J632">
        <f>IF($M632="","",INDEX(상세표[반영월],$M632)&amp;"")</f>
        <v/>
      </c>
      <c r="K632">
        <f>IF($M632="","",INDEX(상세표[반영 기관],$M632)&amp;"")</f>
        <v/>
      </c>
      <c r="L632">
        <f>IF($M632="","",INDEX(상세표[기관 출처],$M632)&amp;"")</f>
        <v/>
      </c>
      <c r="M632" s="4">
        <f>IFERROR(MATCH(627,상세표[경계순번],0),"")</f>
        <v/>
      </c>
    </row>
    <row r="633">
      <c r="A633">
        <f>IF($M633="","",INDEX(상세표[사번],$M633)&amp;"")</f>
        <v/>
      </c>
      <c r="B633">
        <f>IF($M633="","",INDEX(상세표[성명],$M633)&amp;"")</f>
        <v/>
      </c>
      <c r="C633">
        <f>IF($M633="","",IF(INDEX(상세표[종료월],$M633)=대상월키,"전월→이번 달","이번 달→익월"))</f>
        <v/>
      </c>
      <c r="D633">
        <f>IF($M633="","",IF(ISNUMBER(INDEX(상세표[시작],$M633)),TEXT(INDEX(상세표[시작],$M633),"yyyy-mm-dd hh:mm"),INDEX(상세표[시작],$M633)&amp;""))</f>
        <v/>
      </c>
      <c r="E633">
        <f>IF($M633="","",IF(ISNUMBER(INDEX(상세표[종료],$M633)),TEXT(INDEX(상세표[종료],$M633),"yyyy-mm-dd hh:mm"),INDEX(상세표[종료],$M633)&amp;""))</f>
        <v/>
      </c>
      <c r="F633" s="20">
        <f>IF($M633="","",INDEX(상세표[기록 시간외],$M633))</f>
        <v/>
      </c>
      <c r="G633">
        <f>IF($M633="","",INDEX(상세표[시작월 기관],$M633)&amp;"")</f>
        <v/>
      </c>
      <c r="H633">
        <f>IF($M633="","",INDEX(상세표[종료월 기관],$M633)&amp;"")</f>
        <v/>
      </c>
      <c r="I633">
        <f>IF($M633="","",INDEX(상세표[월경계 판정],$M633)&amp;"")</f>
        <v/>
      </c>
      <c r="J633">
        <f>IF($M633="","",INDEX(상세표[반영월],$M633)&amp;"")</f>
        <v/>
      </c>
      <c r="K633">
        <f>IF($M633="","",INDEX(상세표[반영 기관],$M633)&amp;"")</f>
        <v/>
      </c>
      <c r="L633">
        <f>IF($M633="","",INDEX(상세표[기관 출처],$M633)&amp;"")</f>
        <v/>
      </c>
      <c r="M633" s="4">
        <f>IFERROR(MATCH(628,상세표[경계순번],0),"")</f>
        <v/>
      </c>
    </row>
    <row r="634">
      <c r="A634">
        <f>IF($M634="","",INDEX(상세표[사번],$M634)&amp;"")</f>
        <v/>
      </c>
      <c r="B634">
        <f>IF($M634="","",INDEX(상세표[성명],$M634)&amp;"")</f>
        <v/>
      </c>
      <c r="C634">
        <f>IF($M634="","",IF(INDEX(상세표[종료월],$M634)=대상월키,"전월→이번 달","이번 달→익월"))</f>
        <v/>
      </c>
      <c r="D634">
        <f>IF($M634="","",IF(ISNUMBER(INDEX(상세표[시작],$M634)),TEXT(INDEX(상세표[시작],$M634),"yyyy-mm-dd hh:mm"),INDEX(상세표[시작],$M634)&amp;""))</f>
        <v/>
      </c>
      <c r="E634">
        <f>IF($M634="","",IF(ISNUMBER(INDEX(상세표[종료],$M634)),TEXT(INDEX(상세표[종료],$M634),"yyyy-mm-dd hh:mm"),INDEX(상세표[종료],$M634)&amp;""))</f>
        <v/>
      </c>
      <c r="F634" s="20">
        <f>IF($M634="","",INDEX(상세표[기록 시간외],$M634))</f>
        <v/>
      </c>
      <c r="G634">
        <f>IF($M634="","",INDEX(상세표[시작월 기관],$M634)&amp;"")</f>
        <v/>
      </c>
      <c r="H634">
        <f>IF($M634="","",INDEX(상세표[종료월 기관],$M634)&amp;"")</f>
        <v/>
      </c>
      <c r="I634">
        <f>IF($M634="","",INDEX(상세표[월경계 판정],$M634)&amp;"")</f>
        <v/>
      </c>
      <c r="J634">
        <f>IF($M634="","",INDEX(상세표[반영월],$M634)&amp;"")</f>
        <v/>
      </c>
      <c r="K634">
        <f>IF($M634="","",INDEX(상세표[반영 기관],$M634)&amp;"")</f>
        <v/>
      </c>
      <c r="L634">
        <f>IF($M634="","",INDEX(상세표[기관 출처],$M634)&amp;"")</f>
        <v/>
      </c>
      <c r="M634" s="4">
        <f>IFERROR(MATCH(629,상세표[경계순번],0),"")</f>
        <v/>
      </c>
    </row>
    <row r="635">
      <c r="A635">
        <f>IF($M635="","",INDEX(상세표[사번],$M635)&amp;"")</f>
        <v/>
      </c>
      <c r="B635">
        <f>IF($M635="","",INDEX(상세표[성명],$M635)&amp;"")</f>
        <v/>
      </c>
      <c r="C635">
        <f>IF($M635="","",IF(INDEX(상세표[종료월],$M635)=대상월키,"전월→이번 달","이번 달→익월"))</f>
        <v/>
      </c>
      <c r="D635">
        <f>IF($M635="","",IF(ISNUMBER(INDEX(상세표[시작],$M635)),TEXT(INDEX(상세표[시작],$M635),"yyyy-mm-dd hh:mm"),INDEX(상세표[시작],$M635)&amp;""))</f>
        <v/>
      </c>
      <c r="E635">
        <f>IF($M635="","",IF(ISNUMBER(INDEX(상세표[종료],$M635)),TEXT(INDEX(상세표[종료],$M635),"yyyy-mm-dd hh:mm"),INDEX(상세표[종료],$M635)&amp;""))</f>
        <v/>
      </c>
      <c r="F635" s="20">
        <f>IF($M635="","",INDEX(상세표[기록 시간외],$M635))</f>
        <v/>
      </c>
      <c r="G635">
        <f>IF($M635="","",INDEX(상세표[시작월 기관],$M635)&amp;"")</f>
        <v/>
      </c>
      <c r="H635">
        <f>IF($M635="","",INDEX(상세표[종료월 기관],$M635)&amp;"")</f>
        <v/>
      </c>
      <c r="I635">
        <f>IF($M635="","",INDEX(상세표[월경계 판정],$M635)&amp;"")</f>
        <v/>
      </c>
      <c r="J635">
        <f>IF($M635="","",INDEX(상세표[반영월],$M635)&amp;"")</f>
        <v/>
      </c>
      <c r="K635">
        <f>IF($M635="","",INDEX(상세표[반영 기관],$M635)&amp;"")</f>
        <v/>
      </c>
      <c r="L635">
        <f>IF($M635="","",INDEX(상세표[기관 출처],$M635)&amp;"")</f>
        <v/>
      </c>
      <c r="M635" s="4">
        <f>IFERROR(MATCH(630,상세표[경계순번],0),"")</f>
        <v/>
      </c>
    </row>
    <row r="636">
      <c r="A636">
        <f>IF($M636="","",INDEX(상세표[사번],$M636)&amp;"")</f>
        <v/>
      </c>
      <c r="B636">
        <f>IF($M636="","",INDEX(상세표[성명],$M636)&amp;"")</f>
        <v/>
      </c>
      <c r="C636">
        <f>IF($M636="","",IF(INDEX(상세표[종료월],$M636)=대상월키,"전월→이번 달","이번 달→익월"))</f>
        <v/>
      </c>
      <c r="D636">
        <f>IF($M636="","",IF(ISNUMBER(INDEX(상세표[시작],$M636)),TEXT(INDEX(상세표[시작],$M636),"yyyy-mm-dd hh:mm"),INDEX(상세표[시작],$M636)&amp;""))</f>
        <v/>
      </c>
      <c r="E636">
        <f>IF($M636="","",IF(ISNUMBER(INDEX(상세표[종료],$M636)),TEXT(INDEX(상세표[종료],$M636),"yyyy-mm-dd hh:mm"),INDEX(상세표[종료],$M636)&amp;""))</f>
        <v/>
      </c>
      <c r="F636" s="20">
        <f>IF($M636="","",INDEX(상세표[기록 시간외],$M636))</f>
        <v/>
      </c>
      <c r="G636">
        <f>IF($M636="","",INDEX(상세표[시작월 기관],$M636)&amp;"")</f>
        <v/>
      </c>
      <c r="H636">
        <f>IF($M636="","",INDEX(상세표[종료월 기관],$M636)&amp;"")</f>
        <v/>
      </c>
      <c r="I636">
        <f>IF($M636="","",INDEX(상세표[월경계 판정],$M636)&amp;"")</f>
        <v/>
      </c>
      <c r="J636">
        <f>IF($M636="","",INDEX(상세표[반영월],$M636)&amp;"")</f>
        <v/>
      </c>
      <c r="K636">
        <f>IF($M636="","",INDEX(상세표[반영 기관],$M636)&amp;"")</f>
        <v/>
      </c>
      <c r="L636">
        <f>IF($M636="","",INDEX(상세표[기관 출처],$M636)&amp;"")</f>
        <v/>
      </c>
      <c r="M636" s="4">
        <f>IFERROR(MATCH(631,상세표[경계순번],0),"")</f>
        <v/>
      </c>
    </row>
    <row r="637">
      <c r="A637">
        <f>IF($M637="","",INDEX(상세표[사번],$M637)&amp;"")</f>
        <v/>
      </c>
      <c r="B637">
        <f>IF($M637="","",INDEX(상세표[성명],$M637)&amp;"")</f>
        <v/>
      </c>
      <c r="C637">
        <f>IF($M637="","",IF(INDEX(상세표[종료월],$M637)=대상월키,"전월→이번 달","이번 달→익월"))</f>
        <v/>
      </c>
      <c r="D637">
        <f>IF($M637="","",IF(ISNUMBER(INDEX(상세표[시작],$M637)),TEXT(INDEX(상세표[시작],$M637),"yyyy-mm-dd hh:mm"),INDEX(상세표[시작],$M637)&amp;""))</f>
        <v/>
      </c>
      <c r="E637">
        <f>IF($M637="","",IF(ISNUMBER(INDEX(상세표[종료],$M637)),TEXT(INDEX(상세표[종료],$M637),"yyyy-mm-dd hh:mm"),INDEX(상세표[종료],$M637)&amp;""))</f>
        <v/>
      </c>
      <c r="F637" s="20">
        <f>IF($M637="","",INDEX(상세표[기록 시간외],$M637))</f>
        <v/>
      </c>
      <c r="G637">
        <f>IF($M637="","",INDEX(상세표[시작월 기관],$M637)&amp;"")</f>
        <v/>
      </c>
      <c r="H637">
        <f>IF($M637="","",INDEX(상세표[종료월 기관],$M637)&amp;"")</f>
        <v/>
      </c>
      <c r="I637">
        <f>IF($M637="","",INDEX(상세표[월경계 판정],$M637)&amp;"")</f>
        <v/>
      </c>
      <c r="J637">
        <f>IF($M637="","",INDEX(상세표[반영월],$M637)&amp;"")</f>
        <v/>
      </c>
      <c r="K637">
        <f>IF($M637="","",INDEX(상세표[반영 기관],$M637)&amp;"")</f>
        <v/>
      </c>
      <c r="L637">
        <f>IF($M637="","",INDEX(상세표[기관 출처],$M637)&amp;"")</f>
        <v/>
      </c>
      <c r="M637" s="4">
        <f>IFERROR(MATCH(632,상세표[경계순번],0),"")</f>
        <v/>
      </c>
    </row>
    <row r="638">
      <c r="A638">
        <f>IF($M638="","",INDEX(상세표[사번],$M638)&amp;"")</f>
        <v/>
      </c>
      <c r="B638">
        <f>IF($M638="","",INDEX(상세표[성명],$M638)&amp;"")</f>
        <v/>
      </c>
      <c r="C638">
        <f>IF($M638="","",IF(INDEX(상세표[종료월],$M638)=대상월키,"전월→이번 달","이번 달→익월"))</f>
        <v/>
      </c>
      <c r="D638">
        <f>IF($M638="","",IF(ISNUMBER(INDEX(상세표[시작],$M638)),TEXT(INDEX(상세표[시작],$M638),"yyyy-mm-dd hh:mm"),INDEX(상세표[시작],$M638)&amp;""))</f>
        <v/>
      </c>
      <c r="E638">
        <f>IF($M638="","",IF(ISNUMBER(INDEX(상세표[종료],$M638)),TEXT(INDEX(상세표[종료],$M638),"yyyy-mm-dd hh:mm"),INDEX(상세표[종료],$M638)&amp;""))</f>
        <v/>
      </c>
      <c r="F638" s="20">
        <f>IF($M638="","",INDEX(상세표[기록 시간외],$M638))</f>
        <v/>
      </c>
      <c r="G638">
        <f>IF($M638="","",INDEX(상세표[시작월 기관],$M638)&amp;"")</f>
        <v/>
      </c>
      <c r="H638">
        <f>IF($M638="","",INDEX(상세표[종료월 기관],$M638)&amp;"")</f>
        <v/>
      </c>
      <c r="I638">
        <f>IF($M638="","",INDEX(상세표[월경계 판정],$M638)&amp;"")</f>
        <v/>
      </c>
      <c r="J638">
        <f>IF($M638="","",INDEX(상세표[반영월],$M638)&amp;"")</f>
        <v/>
      </c>
      <c r="K638">
        <f>IF($M638="","",INDEX(상세표[반영 기관],$M638)&amp;"")</f>
        <v/>
      </c>
      <c r="L638">
        <f>IF($M638="","",INDEX(상세표[기관 출처],$M638)&amp;"")</f>
        <v/>
      </c>
      <c r="M638" s="4">
        <f>IFERROR(MATCH(633,상세표[경계순번],0),"")</f>
        <v/>
      </c>
    </row>
    <row r="639">
      <c r="A639">
        <f>IF($M639="","",INDEX(상세표[사번],$M639)&amp;"")</f>
        <v/>
      </c>
      <c r="B639">
        <f>IF($M639="","",INDEX(상세표[성명],$M639)&amp;"")</f>
        <v/>
      </c>
      <c r="C639">
        <f>IF($M639="","",IF(INDEX(상세표[종료월],$M639)=대상월키,"전월→이번 달","이번 달→익월"))</f>
        <v/>
      </c>
      <c r="D639">
        <f>IF($M639="","",IF(ISNUMBER(INDEX(상세표[시작],$M639)),TEXT(INDEX(상세표[시작],$M639),"yyyy-mm-dd hh:mm"),INDEX(상세표[시작],$M639)&amp;""))</f>
        <v/>
      </c>
      <c r="E639">
        <f>IF($M639="","",IF(ISNUMBER(INDEX(상세표[종료],$M639)),TEXT(INDEX(상세표[종료],$M639),"yyyy-mm-dd hh:mm"),INDEX(상세표[종료],$M639)&amp;""))</f>
        <v/>
      </c>
      <c r="F639" s="20">
        <f>IF($M639="","",INDEX(상세표[기록 시간외],$M639))</f>
        <v/>
      </c>
      <c r="G639">
        <f>IF($M639="","",INDEX(상세표[시작월 기관],$M639)&amp;"")</f>
        <v/>
      </c>
      <c r="H639">
        <f>IF($M639="","",INDEX(상세표[종료월 기관],$M639)&amp;"")</f>
        <v/>
      </c>
      <c r="I639">
        <f>IF($M639="","",INDEX(상세표[월경계 판정],$M639)&amp;"")</f>
        <v/>
      </c>
      <c r="J639">
        <f>IF($M639="","",INDEX(상세표[반영월],$M639)&amp;"")</f>
        <v/>
      </c>
      <c r="K639">
        <f>IF($M639="","",INDEX(상세표[반영 기관],$M639)&amp;"")</f>
        <v/>
      </c>
      <c r="L639">
        <f>IF($M639="","",INDEX(상세표[기관 출처],$M639)&amp;"")</f>
        <v/>
      </c>
      <c r="M639" s="4">
        <f>IFERROR(MATCH(634,상세표[경계순번],0),"")</f>
        <v/>
      </c>
    </row>
    <row r="640">
      <c r="A640">
        <f>IF($M640="","",INDEX(상세표[사번],$M640)&amp;"")</f>
        <v/>
      </c>
      <c r="B640">
        <f>IF($M640="","",INDEX(상세표[성명],$M640)&amp;"")</f>
        <v/>
      </c>
      <c r="C640">
        <f>IF($M640="","",IF(INDEX(상세표[종료월],$M640)=대상월키,"전월→이번 달","이번 달→익월"))</f>
        <v/>
      </c>
      <c r="D640">
        <f>IF($M640="","",IF(ISNUMBER(INDEX(상세표[시작],$M640)),TEXT(INDEX(상세표[시작],$M640),"yyyy-mm-dd hh:mm"),INDEX(상세표[시작],$M640)&amp;""))</f>
        <v/>
      </c>
      <c r="E640">
        <f>IF($M640="","",IF(ISNUMBER(INDEX(상세표[종료],$M640)),TEXT(INDEX(상세표[종료],$M640),"yyyy-mm-dd hh:mm"),INDEX(상세표[종료],$M640)&amp;""))</f>
        <v/>
      </c>
      <c r="F640" s="20">
        <f>IF($M640="","",INDEX(상세표[기록 시간외],$M640))</f>
        <v/>
      </c>
      <c r="G640">
        <f>IF($M640="","",INDEX(상세표[시작월 기관],$M640)&amp;"")</f>
        <v/>
      </c>
      <c r="H640">
        <f>IF($M640="","",INDEX(상세표[종료월 기관],$M640)&amp;"")</f>
        <v/>
      </c>
      <c r="I640">
        <f>IF($M640="","",INDEX(상세표[월경계 판정],$M640)&amp;"")</f>
        <v/>
      </c>
      <c r="J640">
        <f>IF($M640="","",INDEX(상세표[반영월],$M640)&amp;"")</f>
        <v/>
      </c>
      <c r="K640">
        <f>IF($M640="","",INDEX(상세표[반영 기관],$M640)&amp;"")</f>
        <v/>
      </c>
      <c r="L640">
        <f>IF($M640="","",INDEX(상세표[기관 출처],$M640)&amp;"")</f>
        <v/>
      </c>
      <c r="M640" s="4">
        <f>IFERROR(MATCH(635,상세표[경계순번],0),"")</f>
        <v/>
      </c>
    </row>
    <row r="641">
      <c r="A641">
        <f>IF($M641="","",INDEX(상세표[사번],$M641)&amp;"")</f>
        <v/>
      </c>
      <c r="B641">
        <f>IF($M641="","",INDEX(상세표[성명],$M641)&amp;"")</f>
        <v/>
      </c>
      <c r="C641">
        <f>IF($M641="","",IF(INDEX(상세표[종료월],$M641)=대상월키,"전월→이번 달","이번 달→익월"))</f>
        <v/>
      </c>
      <c r="D641">
        <f>IF($M641="","",IF(ISNUMBER(INDEX(상세표[시작],$M641)),TEXT(INDEX(상세표[시작],$M641),"yyyy-mm-dd hh:mm"),INDEX(상세표[시작],$M641)&amp;""))</f>
        <v/>
      </c>
      <c r="E641">
        <f>IF($M641="","",IF(ISNUMBER(INDEX(상세표[종료],$M641)),TEXT(INDEX(상세표[종료],$M641),"yyyy-mm-dd hh:mm"),INDEX(상세표[종료],$M641)&amp;""))</f>
        <v/>
      </c>
      <c r="F641" s="20">
        <f>IF($M641="","",INDEX(상세표[기록 시간외],$M641))</f>
        <v/>
      </c>
      <c r="G641">
        <f>IF($M641="","",INDEX(상세표[시작월 기관],$M641)&amp;"")</f>
        <v/>
      </c>
      <c r="H641">
        <f>IF($M641="","",INDEX(상세표[종료월 기관],$M641)&amp;"")</f>
        <v/>
      </c>
      <c r="I641">
        <f>IF($M641="","",INDEX(상세표[월경계 판정],$M641)&amp;"")</f>
        <v/>
      </c>
      <c r="J641">
        <f>IF($M641="","",INDEX(상세표[반영월],$M641)&amp;"")</f>
        <v/>
      </c>
      <c r="K641">
        <f>IF($M641="","",INDEX(상세표[반영 기관],$M641)&amp;"")</f>
        <v/>
      </c>
      <c r="L641">
        <f>IF($M641="","",INDEX(상세표[기관 출처],$M641)&amp;"")</f>
        <v/>
      </c>
      <c r="M641" s="4">
        <f>IFERROR(MATCH(636,상세표[경계순번],0),"")</f>
        <v/>
      </c>
    </row>
    <row r="642">
      <c r="A642">
        <f>IF($M642="","",INDEX(상세표[사번],$M642)&amp;"")</f>
        <v/>
      </c>
      <c r="B642">
        <f>IF($M642="","",INDEX(상세표[성명],$M642)&amp;"")</f>
        <v/>
      </c>
      <c r="C642">
        <f>IF($M642="","",IF(INDEX(상세표[종료월],$M642)=대상월키,"전월→이번 달","이번 달→익월"))</f>
        <v/>
      </c>
      <c r="D642">
        <f>IF($M642="","",IF(ISNUMBER(INDEX(상세표[시작],$M642)),TEXT(INDEX(상세표[시작],$M642),"yyyy-mm-dd hh:mm"),INDEX(상세표[시작],$M642)&amp;""))</f>
        <v/>
      </c>
      <c r="E642">
        <f>IF($M642="","",IF(ISNUMBER(INDEX(상세표[종료],$M642)),TEXT(INDEX(상세표[종료],$M642),"yyyy-mm-dd hh:mm"),INDEX(상세표[종료],$M642)&amp;""))</f>
        <v/>
      </c>
      <c r="F642" s="20">
        <f>IF($M642="","",INDEX(상세표[기록 시간외],$M642))</f>
        <v/>
      </c>
      <c r="G642">
        <f>IF($M642="","",INDEX(상세표[시작월 기관],$M642)&amp;"")</f>
        <v/>
      </c>
      <c r="H642">
        <f>IF($M642="","",INDEX(상세표[종료월 기관],$M642)&amp;"")</f>
        <v/>
      </c>
      <c r="I642">
        <f>IF($M642="","",INDEX(상세표[월경계 판정],$M642)&amp;"")</f>
        <v/>
      </c>
      <c r="J642">
        <f>IF($M642="","",INDEX(상세표[반영월],$M642)&amp;"")</f>
        <v/>
      </c>
      <c r="K642">
        <f>IF($M642="","",INDEX(상세표[반영 기관],$M642)&amp;"")</f>
        <v/>
      </c>
      <c r="L642">
        <f>IF($M642="","",INDEX(상세표[기관 출처],$M642)&amp;"")</f>
        <v/>
      </c>
      <c r="M642" s="4">
        <f>IFERROR(MATCH(637,상세표[경계순번],0),"")</f>
        <v/>
      </c>
    </row>
    <row r="643">
      <c r="A643">
        <f>IF($M643="","",INDEX(상세표[사번],$M643)&amp;"")</f>
        <v/>
      </c>
      <c r="B643">
        <f>IF($M643="","",INDEX(상세표[성명],$M643)&amp;"")</f>
        <v/>
      </c>
      <c r="C643">
        <f>IF($M643="","",IF(INDEX(상세표[종료월],$M643)=대상월키,"전월→이번 달","이번 달→익월"))</f>
        <v/>
      </c>
      <c r="D643">
        <f>IF($M643="","",IF(ISNUMBER(INDEX(상세표[시작],$M643)),TEXT(INDEX(상세표[시작],$M643),"yyyy-mm-dd hh:mm"),INDEX(상세표[시작],$M643)&amp;""))</f>
        <v/>
      </c>
      <c r="E643">
        <f>IF($M643="","",IF(ISNUMBER(INDEX(상세표[종료],$M643)),TEXT(INDEX(상세표[종료],$M643),"yyyy-mm-dd hh:mm"),INDEX(상세표[종료],$M643)&amp;""))</f>
        <v/>
      </c>
      <c r="F643" s="20">
        <f>IF($M643="","",INDEX(상세표[기록 시간외],$M643))</f>
        <v/>
      </c>
      <c r="G643">
        <f>IF($M643="","",INDEX(상세표[시작월 기관],$M643)&amp;"")</f>
        <v/>
      </c>
      <c r="H643">
        <f>IF($M643="","",INDEX(상세표[종료월 기관],$M643)&amp;"")</f>
        <v/>
      </c>
      <c r="I643">
        <f>IF($M643="","",INDEX(상세표[월경계 판정],$M643)&amp;"")</f>
        <v/>
      </c>
      <c r="J643">
        <f>IF($M643="","",INDEX(상세표[반영월],$M643)&amp;"")</f>
        <v/>
      </c>
      <c r="K643">
        <f>IF($M643="","",INDEX(상세표[반영 기관],$M643)&amp;"")</f>
        <v/>
      </c>
      <c r="L643">
        <f>IF($M643="","",INDEX(상세표[기관 출처],$M643)&amp;"")</f>
        <v/>
      </c>
      <c r="M643" s="4">
        <f>IFERROR(MATCH(638,상세표[경계순번],0),"")</f>
        <v/>
      </c>
    </row>
    <row r="644">
      <c r="A644">
        <f>IF($M644="","",INDEX(상세표[사번],$M644)&amp;"")</f>
        <v/>
      </c>
      <c r="B644">
        <f>IF($M644="","",INDEX(상세표[성명],$M644)&amp;"")</f>
        <v/>
      </c>
      <c r="C644">
        <f>IF($M644="","",IF(INDEX(상세표[종료월],$M644)=대상월키,"전월→이번 달","이번 달→익월"))</f>
        <v/>
      </c>
      <c r="D644">
        <f>IF($M644="","",IF(ISNUMBER(INDEX(상세표[시작],$M644)),TEXT(INDEX(상세표[시작],$M644),"yyyy-mm-dd hh:mm"),INDEX(상세표[시작],$M644)&amp;""))</f>
        <v/>
      </c>
      <c r="E644">
        <f>IF($M644="","",IF(ISNUMBER(INDEX(상세표[종료],$M644)),TEXT(INDEX(상세표[종료],$M644),"yyyy-mm-dd hh:mm"),INDEX(상세표[종료],$M644)&amp;""))</f>
        <v/>
      </c>
      <c r="F644" s="20">
        <f>IF($M644="","",INDEX(상세표[기록 시간외],$M644))</f>
        <v/>
      </c>
      <c r="G644">
        <f>IF($M644="","",INDEX(상세표[시작월 기관],$M644)&amp;"")</f>
        <v/>
      </c>
      <c r="H644">
        <f>IF($M644="","",INDEX(상세표[종료월 기관],$M644)&amp;"")</f>
        <v/>
      </c>
      <c r="I644">
        <f>IF($M644="","",INDEX(상세표[월경계 판정],$M644)&amp;"")</f>
        <v/>
      </c>
      <c r="J644">
        <f>IF($M644="","",INDEX(상세표[반영월],$M644)&amp;"")</f>
        <v/>
      </c>
      <c r="K644">
        <f>IF($M644="","",INDEX(상세표[반영 기관],$M644)&amp;"")</f>
        <v/>
      </c>
      <c r="L644">
        <f>IF($M644="","",INDEX(상세표[기관 출처],$M644)&amp;"")</f>
        <v/>
      </c>
      <c r="M644" s="4">
        <f>IFERROR(MATCH(639,상세표[경계순번],0),"")</f>
        <v/>
      </c>
    </row>
    <row r="645">
      <c r="A645">
        <f>IF($M645="","",INDEX(상세표[사번],$M645)&amp;"")</f>
        <v/>
      </c>
      <c r="B645">
        <f>IF($M645="","",INDEX(상세표[성명],$M645)&amp;"")</f>
        <v/>
      </c>
      <c r="C645">
        <f>IF($M645="","",IF(INDEX(상세표[종료월],$M645)=대상월키,"전월→이번 달","이번 달→익월"))</f>
        <v/>
      </c>
      <c r="D645">
        <f>IF($M645="","",IF(ISNUMBER(INDEX(상세표[시작],$M645)),TEXT(INDEX(상세표[시작],$M645),"yyyy-mm-dd hh:mm"),INDEX(상세표[시작],$M645)&amp;""))</f>
        <v/>
      </c>
      <c r="E645">
        <f>IF($M645="","",IF(ISNUMBER(INDEX(상세표[종료],$M645)),TEXT(INDEX(상세표[종료],$M645),"yyyy-mm-dd hh:mm"),INDEX(상세표[종료],$M645)&amp;""))</f>
        <v/>
      </c>
      <c r="F645" s="20">
        <f>IF($M645="","",INDEX(상세표[기록 시간외],$M645))</f>
        <v/>
      </c>
      <c r="G645">
        <f>IF($M645="","",INDEX(상세표[시작월 기관],$M645)&amp;"")</f>
        <v/>
      </c>
      <c r="H645">
        <f>IF($M645="","",INDEX(상세표[종료월 기관],$M645)&amp;"")</f>
        <v/>
      </c>
      <c r="I645">
        <f>IF($M645="","",INDEX(상세표[월경계 판정],$M645)&amp;"")</f>
        <v/>
      </c>
      <c r="J645">
        <f>IF($M645="","",INDEX(상세표[반영월],$M645)&amp;"")</f>
        <v/>
      </c>
      <c r="K645">
        <f>IF($M645="","",INDEX(상세표[반영 기관],$M645)&amp;"")</f>
        <v/>
      </c>
      <c r="L645">
        <f>IF($M645="","",INDEX(상세표[기관 출처],$M645)&amp;"")</f>
        <v/>
      </c>
      <c r="M645" s="4">
        <f>IFERROR(MATCH(640,상세표[경계순번],0),"")</f>
        <v/>
      </c>
    </row>
    <row r="646">
      <c r="A646">
        <f>IF($M646="","",INDEX(상세표[사번],$M646)&amp;"")</f>
        <v/>
      </c>
      <c r="B646">
        <f>IF($M646="","",INDEX(상세표[성명],$M646)&amp;"")</f>
        <v/>
      </c>
      <c r="C646">
        <f>IF($M646="","",IF(INDEX(상세표[종료월],$M646)=대상월키,"전월→이번 달","이번 달→익월"))</f>
        <v/>
      </c>
      <c r="D646">
        <f>IF($M646="","",IF(ISNUMBER(INDEX(상세표[시작],$M646)),TEXT(INDEX(상세표[시작],$M646),"yyyy-mm-dd hh:mm"),INDEX(상세표[시작],$M646)&amp;""))</f>
        <v/>
      </c>
      <c r="E646">
        <f>IF($M646="","",IF(ISNUMBER(INDEX(상세표[종료],$M646)),TEXT(INDEX(상세표[종료],$M646),"yyyy-mm-dd hh:mm"),INDEX(상세표[종료],$M646)&amp;""))</f>
        <v/>
      </c>
      <c r="F646" s="20">
        <f>IF($M646="","",INDEX(상세표[기록 시간외],$M646))</f>
        <v/>
      </c>
      <c r="G646">
        <f>IF($M646="","",INDEX(상세표[시작월 기관],$M646)&amp;"")</f>
        <v/>
      </c>
      <c r="H646">
        <f>IF($M646="","",INDEX(상세표[종료월 기관],$M646)&amp;"")</f>
        <v/>
      </c>
      <c r="I646">
        <f>IF($M646="","",INDEX(상세표[월경계 판정],$M646)&amp;"")</f>
        <v/>
      </c>
      <c r="J646">
        <f>IF($M646="","",INDEX(상세표[반영월],$M646)&amp;"")</f>
        <v/>
      </c>
      <c r="K646">
        <f>IF($M646="","",INDEX(상세표[반영 기관],$M646)&amp;"")</f>
        <v/>
      </c>
      <c r="L646">
        <f>IF($M646="","",INDEX(상세표[기관 출처],$M646)&amp;"")</f>
        <v/>
      </c>
      <c r="M646" s="4">
        <f>IFERROR(MATCH(641,상세표[경계순번],0),"")</f>
        <v/>
      </c>
    </row>
    <row r="647">
      <c r="A647">
        <f>IF($M647="","",INDEX(상세표[사번],$M647)&amp;"")</f>
        <v/>
      </c>
      <c r="B647">
        <f>IF($M647="","",INDEX(상세표[성명],$M647)&amp;"")</f>
        <v/>
      </c>
      <c r="C647">
        <f>IF($M647="","",IF(INDEX(상세표[종료월],$M647)=대상월키,"전월→이번 달","이번 달→익월"))</f>
        <v/>
      </c>
      <c r="D647">
        <f>IF($M647="","",IF(ISNUMBER(INDEX(상세표[시작],$M647)),TEXT(INDEX(상세표[시작],$M647),"yyyy-mm-dd hh:mm"),INDEX(상세표[시작],$M647)&amp;""))</f>
        <v/>
      </c>
      <c r="E647">
        <f>IF($M647="","",IF(ISNUMBER(INDEX(상세표[종료],$M647)),TEXT(INDEX(상세표[종료],$M647),"yyyy-mm-dd hh:mm"),INDEX(상세표[종료],$M647)&amp;""))</f>
        <v/>
      </c>
      <c r="F647" s="20">
        <f>IF($M647="","",INDEX(상세표[기록 시간외],$M647))</f>
        <v/>
      </c>
      <c r="G647">
        <f>IF($M647="","",INDEX(상세표[시작월 기관],$M647)&amp;"")</f>
        <v/>
      </c>
      <c r="H647">
        <f>IF($M647="","",INDEX(상세표[종료월 기관],$M647)&amp;"")</f>
        <v/>
      </c>
      <c r="I647">
        <f>IF($M647="","",INDEX(상세표[월경계 판정],$M647)&amp;"")</f>
        <v/>
      </c>
      <c r="J647">
        <f>IF($M647="","",INDEX(상세표[반영월],$M647)&amp;"")</f>
        <v/>
      </c>
      <c r="K647">
        <f>IF($M647="","",INDEX(상세표[반영 기관],$M647)&amp;"")</f>
        <v/>
      </c>
      <c r="L647">
        <f>IF($M647="","",INDEX(상세표[기관 출처],$M647)&amp;"")</f>
        <v/>
      </c>
      <c r="M647" s="4">
        <f>IFERROR(MATCH(642,상세표[경계순번],0),"")</f>
        <v/>
      </c>
    </row>
    <row r="648">
      <c r="A648">
        <f>IF($M648="","",INDEX(상세표[사번],$M648)&amp;"")</f>
        <v/>
      </c>
      <c r="B648">
        <f>IF($M648="","",INDEX(상세표[성명],$M648)&amp;"")</f>
        <v/>
      </c>
      <c r="C648">
        <f>IF($M648="","",IF(INDEX(상세표[종료월],$M648)=대상월키,"전월→이번 달","이번 달→익월"))</f>
        <v/>
      </c>
      <c r="D648">
        <f>IF($M648="","",IF(ISNUMBER(INDEX(상세표[시작],$M648)),TEXT(INDEX(상세표[시작],$M648),"yyyy-mm-dd hh:mm"),INDEX(상세표[시작],$M648)&amp;""))</f>
        <v/>
      </c>
      <c r="E648">
        <f>IF($M648="","",IF(ISNUMBER(INDEX(상세표[종료],$M648)),TEXT(INDEX(상세표[종료],$M648),"yyyy-mm-dd hh:mm"),INDEX(상세표[종료],$M648)&amp;""))</f>
        <v/>
      </c>
      <c r="F648" s="20">
        <f>IF($M648="","",INDEX(상세표[기록 시간외],$M648))</f>
        <v/>
      </c>
      <c r="G648">
        <f>IF($M648="","",INDEX(상세표[시작월 기관],$M648)&amp;"")</f>
        <v/>
      </c>
      <c r="H648">
        <f>IF($M648="","",INDEX(상세표[종료월 기관],$M648)&amp;"")</f>
        <v/>
      </c>
      <c r="I648">
        <f>IF($M648="","",INDEX(상세표[월경계 판정],$M648)&amp;"")</f>
        <v/>
      </c>
      <c r="J648">
        <f>IF($M648="","",INDEX(상세표[반영월],$M648)&amp;"")</f>
        <v/>
      </c>
      <c r="K648">
        <f>IF($M648="","",INDEX(상세표[반영 기관],$M648)&amp;"")</f>
        <v/>
      </c>
      <c r="L648">
        <f>IF($M648="","",INDEX(상세표[기관 출처],$M648)&amp;"")</f>
        <v/>
      </c>
      <c r="M648" s="4">
        <f>IFERROR(MATCH(643,상세표[경계순번],0),"")</f>
        <v/>
      </c>
    </row>
    <row r="649">
      <c r="A649">
        <f>IF($M649="","",INDEX(상세표[사번],$M649)&amp;"")</f>
        <v/>
      </c>
      <c r="B649">
        <f>IF($M649="","",INDEX(상세표[성명],$M649)&amp;"")</f>
        <v/>
      </c>
      <c r="C649">
        <f>IF($M649="","",IF(INDEX(상세표[종료월],$M649)=대상월키,"전월→이번 달","이번 달→익월"))</f>
        <v/>
      </c>
      <c r="D649">
        <f>IF($M649="","",IF(ISNUMBER(INDEX(상세표[시작],$M649)),TEXT(INDEX(상세표[시작],$M649),"yyyy-mm-dd hh:mm"),INDEX(상세표[시작],$M649)&amp;""))</f>
        <v/>
      </c>
      <c r="E649">
        <f>IF($M649="","",IF(ISNUMBER(INDEX(상세표[종료],$M649)),TEXT(INDEX(상세표[종료],$M649),"yyyy-mm-dd hh:mm"),INDEX(상세표[종료],$M649)&amp;""))</f>
        <v/>
      </c>
      <c r="F649" s="20">
        <f>IF($M649="","",INDEX(상세표[기록 시간외],$M649))</f>
        <v/>
      </c>
      <c r="G649">
        <f>IF($M649="","",INDEX(상세표[시작월 기관],$M649)&amp;"")</f>
        <v/>
      </c>
      <c r="H649">
        <f>IF($M649="","",INDEX(상세표[종료월 기관],$M649)&amp;"")</f>
        <v/>
      </c>
      <c r="I649">
        <f>IF($M649="","",INDEX(상세표[월경계 판정],$M649)&amp;"")</f>
        <v/>
      </c>
      <c r="J649">
        <f>IF($M649="","",INDEX(상세표[반영월],$M649)&amp;"")</f>
        <v/>
      </c>
      <c r="K649">
        <f>IF($M649="","",INDEX(상세표[반영 기관],$M649)&amp;"")</f>
        <v/>
      </c>
      <c r="L649">
        <f>IF($M649="","",INDEX(상세표[기관 출처],$M649)&amp;"")</f>
        <v/>
      </c>
      <c r="M649" s="4">
        <f>IFERROR(MATCH(644,상세표[경계순번],0),"")</f>
        <v/>
      </c>
    </row>
    <row r="650">
      <c r="A650">
        <f>IF($M650="","",INDEX(상세표[사번],$M650)&amp;"")</f>
        <v/>
      </c>
      <c r="B650">
        <f>IF($M650="","",INDEX(상세표[성명],$M650)&amp;"")</f>
        <v/>
      </c>
      <c r="C650">
        <f>IF($M650="","",IF(INDEX(상세표[종료월],$M650)=대상월키,"전월→이번 달","이번 달→익월"))</f>
        <v/>
      </c>
      <c r="D650">
        <f>IF($M650="","",IF(ISNUMBER(INDEX(상세표[시작],$M650)),TEXT(INDEX(상세표[시작],$M650),"yyyy-mm-dd hh:mm"),INDEX(상세표[시작],$M650)&amp;""))</f>
        <v/>
      </c>
      <c r="E650">
        <f>IF($M650="","",IF(ISNUMBER(INDEX(상세표[종료],$M650)),TEXT(INDEX(상세표[종료],$M650),"yyyy-mm-dd hh:mm"),INDEX(상세표[종료],$M650)&amp;""))</f>
        <v/>
      </c>
      <c r="F650" s="20">
        <f>IF($M650="","",INDEX(상세표[기록 시간외],$M650))</f>
        <v/>
      </c>
      <c r="G650">
        <f>IF($M650="","",INDEX(상세표[시작월 기관],$M650)&amp;"")</f>
        <v/>
      </c>
      <c r="H650">
        <f>IF($M650="","",INDEX(상세표[종료월 기관],$M650)&amp;"")</f>
        <v/>
      </c>
      <c r="I650">
        <f>IF($M650="","",INDEX(상세표[월경계 판정],$M650)&amp;"")</f>
        <v/>
      </c>
      <c r="J650">
        <f>IF($M650="","",INDEX(상세표[반영월],$M650)&amp;"")</f>
        <v/>
      </c>
      <c r="K650">
        <f>IF($M650="","",INDEX(상세표[반영 기관],$M650)&amp;"")</f>
        <v/>
      </c>
      <c r="L650">
        <f>IF($M650="","",INDEX(상세표[기관 출처],$M650)&amp;"")</f>
        <v/>
      </c>
      <c r="M650" s="4">
        <f>IFERROR(MATCH(645,상세표[경계순번],0),"")</f>
        <v/>
      </c>
    </row>
    <row r="651">
      <c r="A651">
        <f>IF($M651="","",INDEX(상세표[사번],$M651)&amp;"")</f>
        <v/>
      </c>
      <c r="B651">
        <f>IF($M651="","",INDEX(상세표[성명],$M651)&amp;"")</f>
        <v/>
      </c>
      <c r="C651">
        <f>IF($M651="","",IF(INDEX(상세표[종료월],$M651)=대상월키,"전월→이번 달","이번 달→익월"))</f>
        <v/>
      </c>
      <c r="D651">
        <f>IF($M651="","",IF(ISNUMBER(INDEX(상세표[시작],$M651)),TEXT(INDEX(상세표[시작],$M651),"yyyy-mm-dd hh:mm"),INDEX(상세표[시작],$M651)&amp;""))</f>
        <v/>
      </c>
      <c r="E651">
        <f>IF($M651="","",IF(ISNUMBER(INDEX(상세표[종료],$M651)),TEXT(INDEX(상세표[종료],$M651),"yyyy-mm-dd hh:mm"),INDEX(상세표[종료],$M651)&amp;""))</f>
        <v/>
      </c>
      <c r="F651" s="20">
        <f>IF($M651="","",INDEX(상세표[기록 시간외],$M651))</f>
        <v/>
      </c>
      <c r="G651">
        <f>IF($M651="","",INDEX(상세표[시작월 기관],$M651)&amp;"")</f>
        <v/>
      </c>
      <c r="H651">
        <f>IF($M651="","",INDEX(상세표[종료월 기관],$M651)&amp;"")</f>
        <v/>
      </c>
      <c r="I651">
        <f>IF($M651="","",INDEX(상세표[월경계 판정],$M651)&amp;"")</f>
        <v/>
      </c>
      <c r="J651">
        <f>IF($M651="","",INDEX(상세표[반영월],$M651)&amp;"")</f>
        <v/>
      </c>
      <c r="K651">
        <f>IF($M651="","",INDEX(상세표[반영 기관],$M651)&amp;"")</f>
        <v/>
      </c>
      <c r="L651">
        <f>IF($M651="","",INDEX(상세표[기관 출처],$M651)&amp;"")</f>
        <v/>
      </c>
      <c r="M651" s="4">
        <f>IFERROR(MATCH(646,상세표[경계순번],0),"")</f>
        <v/>
      </c>
    </row>
    <row r="652">
      <c r="A652">
        <f>IF($M652="","",INDEX(상세표[사번],$M652)&amp;"")</f>
        <v/>
      </c>
      <c r="B652">
        <f>IF($M652="","",INDEX(상세표[성명],$M652)&amp;"")</f>
        <v/>
      </c>
      <c r="C652">
        <f>IF($M652="","",IF(INDEX(상세표[종료월],$M652)=대상월키,"전월→이번 달","이번 달→익월"))</f>
        <v/>
      </c>
      <c r="D652">
        <f>IF($M652="","",IF(ISNUMBER(INDEX(상세표[시작],$M652)),TEXT(INDEX(상세표[시작],$M652),"yyyy-mm-dd hh:mm"),INDEX(상세표[시작],$M652)&amp;""))</f>
        <v/>
      </c>
      <c r="E652">
        <f>IF($M652="","",IF(ISNUMBER(INDEX(상세표[종료],$M652)),TEXT(INDEX(상세표[종료],$M652),"yyyy-mm-dd hh:mm"),INDEX(상세표[종료],$M652)&amp;""))</f>
        <v/>
      </c>
      <c r="F652" s="20">
        <f>IF($M652="","",INDEX(상세표[기록 시간외],$M652))</f>
        <v/>
      </c>
      <c r="G652">
        <f>IF($M652="","",INDEX(상세표[시작월 기관],$M652)&amp;"")</f>
        <v/>
      </c>
      <c r="H652">
        <f>IF($M652="","",INDEX(상세표[종료월 기관],$M652)&amp;"")</f>
        <v/>
      </c>
      <c r="I652">
        <f>IF($M652="","",INDEX(상세표[월경계 판정],$M652)&amp;"")</f>
        <v/>
      </c>
      <c r="J652">
        <f>IF($M652="","",INDEX(상세표[반영월],$M652)&amp;"")</f>
        <v/>
      </c>
      <c r="K652">
        <f>IF($M652="","",INDEX(상세표[반영 기관],$M652)&amp;"")</f>
        <v/>
      </c>
      <c r="L652">
        <f>IF($M652="","",INDEX(상세표[기관 출처],$M652)&amp;"")</f>
        <v/>
      </c>
      <c r="M652" s="4">
        <f>IFERROR(MATCH(647,상세표[경계순번],0),"")</f>
        <v/>
      </c>
    </row>
    <row r="653">
      <c r="A653">
        <f>IF($M653="","",INDEX(상세표[사번],$M653)&amp;"")</f>
        <v/>
      </c>
      <c r="B653">
        <f>IF($M653="","",INDEX(상세표[성명],$M653)&amp;"")</f>
        <v/>
      </c>
      <c r="C653">
        <f>IF($M653="","",IF(INDEX(상세표[종료월],$M653)=대상월키,"전월→이번 달","이번 달→익월"))</f>
        <v/>
      </c>
      <c r="D653">
        <f>IF($M653="","",IF(ISNUMBER(INDEX(상세표[시작],$M653)),TEXT(INDEX(상세표[시작],$M653),"yyyy-mm-dd hh:mm"),INDEX(상세표[시작],$M653)&amp;""))</f>
        <v/>
      </c>
      <c r="E653">
        <f>IF($M653="","",IF(ISNUMBER(INDEX(상세표[종료],$M653)),TEXT(INDEX(상세표[종료],$M653),"yyyy-mm-dd hh:mm"),INDEX(상세표[종료],$M653)&amp;""))</f>
        <v/>
      </c>
      <c r="F653" s="20">
        <f>IF($M653="","",INDEX(상세표[기록 시간외],$M653))</f>
        <v/>
      </c>
      <c r="G653">
        <f>IF($M653="","",INDEX(상세표[시작월 기관],$M653)&amp;"")</f>
        <v/>
      </c>
      <c r="H653">
        <f>IF($M653="","",INDEX(상세표[종료월 기관],$M653)&amp;"")</f>
        <v/>
      </c>
      <c r="I653">
        <f>IF($M653="","",INDEX(상세표[월경계 판정],$M653)&amp;"")</f>
        <v/>
      </c>
      <c r="J653">
        <f>IF($M653="","",INDEX(상세표[반영월],$M653)&amp;"")</f>
        <v/>
      </c>
      <c r="K653">
        <f>IF($M653="","",INDEX(상세표[반영 기관],$M653)&amp;"")</f>
        <v/>
      </c>
      <c r="L653">
        <f>IF($M653="","",INDEX(상세표[기관 출처],$M653)&amp;"")</f>
        <v/>
      </c>
      <c r="M653" s="4">
        <f>IFERROR(MATCH(648,상세표[경계순번],0),"")</f>
        <v/>
      </c>
    </row>
    <row r="654">
      <c r="A654">
        <f>IF($M654="","",INDEX(상세표[사번],$M654)&amp;"")</f>
        <v/>
      </c>
      <c r="B654">
        <f>IF($M654="","",INDEX(상세표[성명],$M654)&amp;"")</f>
        <v/>
      </c>
      <c r="C654">
        <f>IF($M654="","",IF(INDEX(상세표[종료월],$M654)=대상월키,"전월→이번 달","이번 달→익월"))</f>
        <v/>
      </c>
      <c r="D654">
        <f>IF($M654="","",IF(ISNUMBER(INDEX(상세표[시작],$M654)),TEXT(INDEX(상세표[시작],$M654),"yyyy-mm-dd hh:mm"),INDEX(상세표[시작],$M654)&amp;""))</f>
        <v/>
      </c>
      <c r="E654">
        <f>IF($M654="","",IF(ISNUMBER(INDEX(상세표[종료],$M654)),TEXT(INDEX(상세표[종료],$M654),"yyyy-mm-dd hh:mm"),INDEX(상세표[종료],$M654)&amp;""))</f>
        <v/>
      </c>
      <c r="F654" s="20">
        <f>IF($M654="","",INDEX(상세표[기록 시간외],$M654))</f>
        <v/>
      </c>
      <c r="G654">
        <f>IF($M654="","",INDEX(상세표[시작월 기관],$M654)&amp;"")</f>
        <v/>
      </c>
      <c r="H654">
        <f>IF($M654="","",INDEX(상세표[종료월 기관],$M654)&amp;"")</f>
        <v/>
      </c>
      <c r="I654">
        <f>IF($M654="","",INDEX(상세표[월경계 판정],$M654)&amp;"")</f>
        <v/>
      </c>
      <c r="J654">
        <f>IF($M654="","",INDEX(상세표[반영월],$M654)&amp;"")</f>
        <v/>
      </c>
      <c r="K654">
        <f>IF($M654="","",INDEX(상세표[반영 기관],$M654)&amp;"")</f>
        <v/>
      </c>
      <c r="L654">
        <f>IF($M654="","",INDEX(상세표[기관 출처],$M654)&amp;"")</f>
        <v/>
      </c>
      <c r="M654" s="4">
        <f>IFERROR(MATCH(649,상세표[경계순번],0),"")</f>
        <v/>
      </c>
    </row>
    <row r="655">
      <c r="A655">
        <f>IF($M655="","",INDEX(상세표[사번],$M655)&amp;"")</f>
        <v/>
      </c>
      <c r="B655">
        <f>IF($M655="","",INDEX(상세표[성명],$M655)&amp;"")</f>
        <v/>
      </c>
      <c r="C655">
        <f>IF($M655="","",IF(INDEX(상세표[종료월],$M655)=대상월키,"전월→이번 달","이번 달→익월"))</f>
        <v/>
      </c>
      <c r="D655">
        <f>IF($M655="","",IF(ISNUMBER(INDEX(상세표[시작],$M655)),TEXT(INDEX(상세표[시작],$M655),"yyyy-mm-dd hh:mm"),INDEX(상세표[시작],$M655)&amp;""))</f>
        <v/>
      </c>
      <c r="E655">
        <f>IF($M655="","",IF(ISNUMBER(INDEX(상세표[종료],$M655)),TEXT(INDEX(상세표[종료],$M655),"yyyy-mm-dd hh:mm"),INDEX(상세표[종료],$M655)&amp;""))</f>
        <v/>
      </c>
      <c r="F655" s="20">
        <f>IF($M655="","",INDEX(상세표[기록 시간외],$M655))</f>
        <v/>
      </c>
      <c r="G655">
        <f>IF($M655="","",INDEX(상세표[시작월 기관],$M655)&amp;"")</f>
        <v/>
      </c>
      <c r="H655">
        <f>IF($M655="","",INDEX(상세표[종료월 기관],$M655)&amp;"")</f>
        <v/>
      </c>
      <c r="I655">
        <f>IF($M655="","",INDEX(상세표[월경계 판정],$M655)&amp;"")</f>
        <v/>
      </c>
      <c r="J655">
        <f>IF($M655="","",INDEX(상세표[반영월],$M655)&amp;"")</f>
        <v/>
      </c>
      <c r="K655">
        <f>IF($M655="","",INDEX(상세표[반영 기관],$M655)&amp;"")</f>
        <v/>
      </c>
      <c r="L655">
        <f>IF($M655="","",INDEX(상세표[기관 출처],$M655)&amp;"")</f>
        <v/>
      </c>
      <c r="M655" s="4">
        <f>IFERROR(MATCH(650,상세표[경계순번],0),"")</f>
        <v/>
      </c>
    </row>
    <row r="656">
      <c r="A656">
        <f>IF($M656="","",INDEX(상세표[사번],$M656)&amp;"")</f>
        <v/>
      </c>
      <c r="B656">
        <f>IF($M656="","",INDEX(상세표[성명],$M656)&amp;"")</f>
        <v/>
      </c>
      <c r="C656">
        <f>IF($M656="","",IF(INDEX(상세표[종료월],$M656)=대상월키,"전월→이번 달","이번 달→익월"))</f>
        <v/>
      </c>
      <c r="D656">
        <f>IF($M656="","",IF(ISNUMBER(INDEX(상세표[시작],$M656)),TEXT(INDEX(상세표[시작],$M656),"yyyy-mm-dd hh:mm"),INDEX(상세표[시작],$M656)&amp;""))</f>
        <v/>
      </c>
      <c r="E656">
        <f>IF($M656="","",IF(ISNUMBER(INDEX(상세표[종료],$M656)),TEXT(INDEX(상세표[종료],$M656),"yyyy-mm-dd hh:mm"),INDEX(상세표[종료],$M656)&amp;""))</f>
        <v/>
      </c>
      <c r="F656" s="20">
        <f>IF($M656="","",INDEX(상세표[기록 시간외],$M656))</f>
        <v/>
      </c>
      <c r="G656">
        <f>IF($M656="","",INDEX(상세표[시작월 기관],$M656)&amp;"")</f>
        <v/>
      </c>
      <c r="H656">
        <f>IF($M656="","",INDEX(상세표[종료월 기관],$M656)&amp;"")</f>
        <v/>
      </c>
      <c r="I656">
        <f>IF($M656="","",INDEX(상세표[월경계 판정],$M656)&amp;"")</f>
        <v/>
      </c>
      <c r="J656">
        <f>IF($M656="","",INDEX(상세표[반영월],$M656)&amp;"")</f>
        <v/>
      </c>
      <c r="K656">
        <f>IF($M656="","",INDEX(상세표[반영 기관],$M656)&amp;"")</f>
        <v/>
      </c>
      <c r="L656">
        <f>IF($M656="","",INDEX(상세표[기관 출처],$M656)&amp;"")</f>
        <v/>
      </c>
      <c r="M656" s="4">
        <f>IFERROR(MATCH(651,상세표[경계순번],0),"")</f>
        <v/>
      </c>
    </row>
    <row r="657">
      <c r="A657">
        <f>IF($M657="","",INDEX(상세표[사번],$M657)&amp;"")</f>
        <v/>
      </c>
      <c r="B657">
        <f>IF($M657="","",INDEX(상세표[성명],$M657)&amp;"")</f>
        <v/>
      </c>
      <c r="C657">
        <f>IF($M657="","",IF(INDEX(상세표[종료월],$M657)=대상월키,"전월→이번 달","이번 달→익월"))</f>
        <v/>
      </c>
      <c r="D657">
        <f>IF($M657="","",IF(ISNUMBER(INDEX(상세표[시작],$M657)),TEXT(INDEX(상세표[시작],$M657),"yyyy-mm-dd hh:mm"),INDEX(상세표[시작],$M657)&amp;""))</f>
        <v/>
      </c>
      <c r="E657">
        <f>IF($M657="","",IF(ISNUMBER(INDEX(상세표[종료],$M657)),TEXT(INDEX(상세표[종료],$M657),"yyyy-mm-dd hh:mm"),INDEX(상세표[종료],$M657)&amp;""))</f>
        <v/>
      </c>
      <c r="F657" s="20">
        <f>IF($M657="","",INDEX(상세표[기록 시간외],$M657))</f>
        <v/>
      </c>
      <c r="G657">
        <f>IF($M657="","",INDEX(상세표[시작월 기관],$M657)&amp;"")</f>
        <v/>
      </c>
      <c r="H657">
        <f>IF($M657="","",INDEX(상세표[종료월 기관],$M657)&amp;"")</f>
        <v/>
      </c>
      <c r="I657">
        <f>IF($M657="","",INDEX(상세표[월경계 판정],$M657)&amp;"")</f>
        <v/>
      </c>
      <c r="J657">
        <f>IF($M657="","",INDEX(상세표[반영월],$M657)&amp;"")</f>
        <v/>
      </c>
      <c r="K657">
        <f>IF($M657="","",INDEX(상세표[반영 기관],$M657)&amp;"")</f>
        <v/>
      </c>
      <c r="L657">
        <f>IF($M657="","",INDEX(상세표[기관 출처],$M657)&amp;"")</f>
        <v/>
      </c>
      <c r="M657" s="4">
        <f>IFERROR(MATCH(652,상세표[경계순번],0),"")</f>
        <v/>
      </c>
    </row>
    <row r="658">
      <c r="A658">
        <f>IF($M658="","",INDEX(상세표[사번],$M658)&amp;"")</f>
        <v/>
      </c>
      <c r="B658">
        <f>IF($M658="","",INDEX(상세표[성명],$M658)&amp;"")</f>
        <v/>
      </c>
      <c r="C658">
        <f>IF($M658="","",IF(INDEX(상세표[종료월],$M658)=대상월키,"전월→이번 달","이번 달→익월"))</f>
        <v/>
      </c>
      <c r="D658">
        <f>IF($M658="","",IF(ISNUMBER(INDEX(상세표[시작],$M658)),TEXT(INDEX(상세표[시작],$M658),"yyyy-mm-dd hh:mm"),INDEX(상세표[시작],$M658)&amp;""))</f>
        <v/>
      </c>
      <c r="E658">
        <f>IF($M658="","",IF(ISNUMBER(INDEX(상세표[종료],$M658)),TEXT(INDEX(상세표[종료],$M658),"yyyy-mm-dd hh:mm"),INDEX(상세표[종료],$M658)&amp;""))</f>
        <v/>
      </c>
      <c r="F658" s="20">
        <f>IF($M658="","",INDEX(상세표[기록 시간외],$M658))</f>
        <v/>
      </c>
      <c r="G658">
        <f>IF($M658="","",INDEX(상세표[시작월 기관],$M658)&amp;"")</f>
        <v/>
      </c>
      <c r="H658">
        <f>IF($M658="","",INDEX(상세표[종료월 기관],$M658)&amp;"")</f>
        <v/>
      </c>
      <c r="I658">
        <f>IF($M658="","",INDEX(상세표[월경계 판정],$M658)&amp;"")</f>
        <v/>
      </c>
      <c r="J658">
        <f>IF($M658="","",INDEX(상세표[반영월],$M658)&amp;"")</f>
        <v/>
      </c>
      <c r="K658">
        <f>IF($M658="","",INDEX(상세표[반영 기관],$M658)&amp;"")</f>
        <v/>
      </c>
      <c r="L658">
        <f>IF($M658="","",INDEX(상세표[기관 출처],$M658)&amp;"")</f>
        <v/>
      </c>
      <c r="M658" s="4">
        <f>IFERROR(MATCH(653,상세표[경계순번],0),"")</f>
        <v/>
      </c>
    </row>
    <row r="659">
      <c r="A659">
        <f>IF($M659="","",INDEX(상세표[사번],$M659)&amp;"")</f>
        <v/>
      </c>
      <c r="B659">
        <f>IF($M659="","",INDEX(상세표[성명],$M659)&amp;"")</f>
        <v/>
      </c>
      <c r="C659">
        <f>IF($M659="","",IF(INDEX(상세표[종료월],$M659)=대상월키,"전월→이번 달","이번 달→익월"))</f>
        <v/>
      </c>
      <c r="D659">
        <f>IF($M659="","",IF(ISNUMBER(INDEX(상세표[시작],$M659)),TEXT(INDEX(상세표[시작],$M659),"yyyy-mm-dd hh:mm"),INDEX(상세표[시작],$M659)&amp;""))</f>
        <v/>
      </c>
      <c r="E659">
        <f>IF($M659="","",IF(ISNUMBER(INDEX(상세표[종료],$M659)),TEXT(INDEX(상세표[종료],$M659),"yyyy-mm-dd hh:mm"),INDEX(상세표[종료],$M659)&amp;""))</f>
        <v/>
      </c>
      <c r="F659" s="20">
        <f>IF($M659="","",INDEX(상세표[기록 시간외],$M659))</f>
        <v/>
      </c>
      <c r="G659">
        <f>IF($M659="","",INDEX(상세표[시작월 기관],$M659)&amp;"")</f>
        <v/>
      </c>
      <c r="H659">
        <f>IF($M659="","",INDEX(상세표[종료월 기관],$M659)&amp;"")</f>
        <v/>
      </c>
      <c r="I659">
        <f>IF($M659="","",INDEX(상세표[월경계 판정],$M659)&amp;"")</f>
        <v/>
      </c>
      <c r="J659">
        <f>IF($M659="","",INDEX(상세표[반영월],$M659)&amp;"")</f>
        <v/>
      </c>
      <c r="K659">
        <f>IF($M659="","",INDEX(상세표[반영 기관],$M659)&amp;"")</f>
        <v/>
      </c>
      <c r="L659">
        <f>IF($M659="","",INDEX(상세표[기관 출처],$M659)&amp;"")</f>
        <v/>
      </c>
      <c r="M659" s="4">
        <f>IFERROR(MATCH(654,상세표[경계순번],0),"")</f>
        <v/>
      </c>
    </row>
    <row r="660">
      <c r="A660">
        <f>IF($M660="","",INDEX(상세표[사번],$M660)&amp;"")</f>
        <v/>
      </c>
      <c r="B660">
        <f>IF($M660="","",INDEX(상세표[성명],$M660)&amp;"")</f>
        <v/>
      </c>
      <c r="C660">
        <f>IF($M660="","",IF(INDEX(상세표[종료월],$M660)=대상월키,"전월→이번 달","이번 달→익월"))</f>
        <v/>
      </c>
      <c r="D660">
        <f>IF($M660="","",IF(ISNUMBER(INDEX(상세표[시작],$M660)),TEXT(INDEX(상세표[시작],$M660),"yyyy-mm-dd hh:mm"),INDEX(상세표[시작],$M660)&amp;""))</f>
        <v/>
      </c>
      <c r="E660">
        <f>IF($M660="","",IF(ISNUMBER(INDEX(상세표[종료],$M660)),TEXT(INDEX(상세표[종료],$M660),"yyyy-mm-dd hh:mm"),INDEX(상세표[종료],$M660)&amp;""))</f>
        <v/>
      </c>
      <c r="F660" s="20">
        <f>IF($M660="","",INDEX(상세표[기록 시간외],$M660))</f>
        <v/>
      </c>
      <c r="G660">
        <f>IF($M660="","",INDEX(상세표[시작월 기관],$M660)&amp;"")</f>
        <v/>
      </c>
      <c r="H660">
        <f>IF($M660="","",INDEX(상세표[종료월 기관],$M660)&amp;"")</f>
        <v/>
      </c>
      <c r="I660">
        <f>IF($M660="","",INDEX(상세표[월경계 판정],$M660)&amp;"")</f>
        <v/>
      </c>
      <c r="J660">
        <f>IF($M660="","",INDEX(상세표[반영월],$M660)&amp;"")</f>
        <v/>
      </c>
      <c r="K660">
        <f>IF($M660="","",INDEX(상세표[반영 기관],$M660)&amp;"")</f>
        <v/>
      </c>
      <c r="L660">
        <f>IF($M660="","",INDEX(상세표[기관 출처],$M660)&amp;"")</f>
        <v/>
      </c>
      <c r="M660" s="4">
        <f>IFERROR(MATCH(655,상세표[경계순번],0),"")</f>
        <v/>
      </c>
    </row>
    <row r="661">
      <c r="A661">
        <f>IF($M661="","",INDEX(상세표[사번],$M661)&amp;"")</f>
        <v/>
      </c>
      <c r="B661">
        <f>IF($M661="","",INDEX(상세표[성명],$M661)&amp;"")</f>
        <v/>
      </c>
      <c r="C661">
        <f>IF($M661="","",IF(INDEX(상세표[종료월],$M661)=대상월키,"전월→이번 달","이번 달→익월"))</f>
        <v/>
      </c>
      <c r="D661">
        <f>IF($M661="","",IF(ISNUMBER(INDEX(상세표[시작],$M661)),TEXT(INDEX(상세표[시작],$M661),"yyyy-mm-dd hh:mm"),INDEX(상세표[시작],$M661)&amp;""))</f>
        <v/>
      </c>
      <c r="E661">
        <f>IF($M661="","",IF(ISNUMBER(INDEX(상세표[종료],$M661)),TEXT(INDEX(상세표[종료],$M661),"yyyy-mm-dd hh:mm"),INDEX(상세표[종료],$M661)&amp;""))</f>
        <v/>
      </c>
      <c r="F661" s="20">
        <f>IF($M661="","",INDEX(상세표[기록 시간외],$M661))</f>
        <v/>
      </c>
      <c r="G661">
        <f>IF($M661="","",INDEX(상세표[시작월 기관],$M661)&amp;"")</f>
        <v/>
      </c>
      <c r="H661">
        <f>IF($M661="","",INDEX(상세표[종료월 기관],$M661)&amp;"")</f>
        <v/>
      </c>
      <c r="I661">
        <f>IF($M661="","",INDEX(상세표[월경계 판정],$M661)&amp;"")</f>
        <v/>
      </c>
      <c r="J661">
        <f>IF($M661="","",INDEX(상세표[반영월],$M661)&amp;"")</f>
        <v/>
      </c>
      <c r="K661">
        <f>IF($M661="","",INDEX(상세표[반영 기관],$M661)&amp;"")</f>
        <v/>
      </c>
      <c r="L661">
        <f>IF($M661="","",INDEX(상세표[기관 출처],$M661)&amp;"")</f>
        <v/>
      </c>
      <c r="M661" s="4">
        <f>IFERROR(MATCH(656,상세표[경계순번],0),"")</f>
        <v/>
      </c>
    </row>
    <row r="662">
      <c r="A662">
        <f>IF($M662="","",INDEX(상세표[사번],$M662)&amp;"")</f>
        <v/>
      </c>
      <c r="B662">
        <f>IF($M662="","",INDEX(상세표[성명],$M662)&amp;"")</f>
        <v/>
      </c>
      <c r="C662">
        <f>IF($M662="","",IF(INDEX(상세표[종료월],$M662)=대상월키,"전월→이번 달","이번 달→익월"))</f>
        <v/>
      </c>
      <c r="D662">
        <f>IF($M662="","",IF(ISNUMBER(INDEX(상세표[시작],$M662)),TEXT(INDEX(상세표[시작],$M662),"yyyy-mm-dd hh:mm"),INDEX(상세표[시작],$M662)&amp;""))</f>
        <v/>
      </c>
      <c r="E662">
        <f>IF($M662="","",IF(ISNUMBER(INDEX(상세표[종료],$M662)),TEXT(INDEX(상세표[종료],$M662),"yyyy-mm-dd hh:mm"),INDEX(상세표[종료],$M662)&amp;""))</f>
        <v/>
      </c>
      <c r="F662" s="20">
        <f>IF($M662="","",INDEX(상세표[기록 시간외],$M662))</f>
        <v/>
      </c>
      <c r="G662">
        <f>IF($M662="","",INDEX(상세표[시작월 기관],$M662)&amp;"")</f>
        <v/>
      </c>
      <c r="H662">
        <f>IF($M662="","",INDEX(상세표[종료월 기관],$M662)&amp;"")</f>
        <v/>
      </c>
      <c r="I662">
        <f>IF($M662="","",INDEX(상세표[월경계 판정],$M662)&amp;"")</f>
        <v/>
      </c>
      <c r="J662">
        <f>IF($M662="","",INDEX(상세표[반영월],$M662)&amp;"")</f>
        <v/>
      </c>
      <c r="K662">
        <f>IF($M662="","",INDEX(상세표[반영 기관],$M662)&amp;"")</f>
        <v/>
      </c>
      <c r="L662">
        <f>IF($M662="","",INDEX(상세표[기관 출처],$M662)&amp;"")</f>
        <v/>
      </c>
      <c r="M662" s="4">
        <f>IFERROR(MATCH(657,상세표[경계순번],0),"")</f>
        <v/>
      </c>
    </row>
    <row r="663">
      <c r="A663">
        <f>IF($M663="","",INDEX(상세표[사번],$M663)&amp;"")</f>
        <v/>
      </c>
      <c r="B663">
        <f>IF($M663="","",INDEX(상세표[성명],$M663)&amp;"")</f>
        <v/>
      </c>
      <c r="C663">
        <f>IF($M663="","",IF(INDEX(상세표[종료월],$M663)=대상월키,"전월→이번 달","이번 달→익월"))</f>
        <v/>
      </c>
      <c r="D663">
        <f>IF($M663="","",IF(ISNUMBER(INDEX(상세표[시작],$M663)),TEXT(INDEX(상세표[시작],$M663),"yyyy-mm-dd hh:mm"),INDEX(상세표[시작],$M663)&amp;""))</f>
        <v/>
      </c>
      <c r="E663">
        <f>IF($M663="","",IF(ISNUMBER(INDEX(상세표[종료],$M663)),TEXT(INDEX(상세표[종료],$M663),"yyyy-mm-dd hh:mm"),INDEX(상세표[종료],$M663)&amp;""))</f>
        <v/>
      </c>
      <c r="F663" s="20">
        <f>IF($M663="","",INDEX(상세표[기록 시간외],$M663))</f>
        <v/>
      </c>
      <c r="G663">
        <f>IF($M663="","",INDEX(상세표[시작월 기관],$M663)&amp;"")</f>
        <v/>
      </c>
      <c r="H663">
        <f>IF($M663="","",INDEX(상세표[종료월 기관],$M663)&amp;"")</f>
        <v/>
      </c>
      <c r="I663">
        <f>IF($M663="","",INDEX(상세표[월경계 판정],$M663)&amp;"")</f>
        <v/>
      </c>
      <c r="J663">
        <f>IF($M663="","",INDEX(상세표[반영월],$M663)&amp;"")</f>
        <v/>
      </c>
      <c r="K663">
        <f>IF($M663="","",INDEX(상세표[반영 기관],$M663)&amp;"")</f>
        <v/>
      </c>
      <c r="L663">
        <f>IF($M663="","",INDEX(상세표[기관 출처],$M663)&amp;"")</f>
        <v/>
      </c>
      <c r="M663" s="4">
        <f>IFERROR(MATCH(658,상세표[경계순번],0),"")</f>
        <v/>
      </c>
    </row>
    <row r="664">
      <c r="A664">
        <f>IF($M664="","",INDEX(상세표[사번],$M664)&amp;"")</f>
        <v/>
      </c>
      <c r="B664">
        <f>IF($M664="","",INDEX(상세표[성명],$M664)&amp;"")</f>
        <v/>
      </c>
      <c r="C664">
        <f>IF($M664="","",IF(INDEX(상세표[종료월],$M664)=대상월키,"전월→이번 달","이번 달→익월"))</f>
        <v/>
      </c>
      <c r="D664">
        <f>IF($M664="","",IF(ISNUMBER(INDEX(상세표[시작],$M664)),TEXT(INDEX(상세표[시작],$M664),"yyyy-mm-dd hh:mm"),INDEX(상세표[시작],$M664)&amp;""))</f>
        <v/>
      </c>
      <c r="E664">
        <f>IF($M664="","",IF(ISNUMBER(INDEX(상세표[종료],$M664)),TEXT(INDEX(상세표[종료],$M664),"yyyy-mm-dd hh:mm"),INDEX(상세표[종료],$M664)&amp;""))</f>
        <v/>
      </c>
      <c r="F664" s="20">
        <f>IF($M664="","",INDEX(상세표[기록 시간외],$M664))</f>
        <v/>
      </c>
      <c r="G664">
        <f>IF($M664="","",INDEX(상세표[시작월 기관],$M664)&amp;"")</f>
        <v/>
      </c>
      <c r="H664">
        <f>IF($M664="","",INDEX(상세표[종료월 기관],$M664)&amp;"")</f>
        <v/>
      </c>
      <c r="I664">
        <f>IF($M664="","",INDEX(상세표[월경계 판정],$M664)&amp;"")</f>
        <v/>
      </c>
      <c r="J664">
        <f>IF($M664="","",INDEX(상세표[반영월],$M664)&amp;"")</f>
        <v/>
      </c>
      <c r="K664">
        <f>IF($M664="","",INDEX(상세표[반영 기관],$M664)&amp;"")</f>
        <v/>
      </c>
      <c r="L664">
        <f>IF($M664="","",INDEX(상세표[기관 출처],$M664)&amp;"")</f>
        <v/>
      </c>
      <c r="M664" s="4">
        <f>IFERROR(MATCH(659,상세표[경계순번],0),"")</f>
        <v/>
      </c>
    </row>
    <row r="665">
      <c r="A665">
        <f>IF($M665="","",INDEX(상세표[사번],$M665)&amp;"")</f>
        <v/>
      </c>
      <c r="B665">
        <f>IF($M665="","",INDEX(상세표[성명],$M665)&amp;"")</f>
        <v/>
      </c>
      <c r="C665">
        <f>IF($M665="","",IF(INDEX(상세표[종료월],$M665)=대상월키,"전월→이번 달","이번 달→익월"))</f>
        <v/>
      </c>
      <c r="D665">
        <f>IF($M665="","",IF(ISNUMBER(INDEX(상세표[시작],$M665)),TEXT(INDEX(상세표[시작],$M665),"yyyy-mm-dd hh:mm"),INDEX(상세표[시작],$M665)&amp;""))</f>
        <v/>
      </c>
      <c r="E665">
        <f>IF($M665="","",IF(ISNUMBER(INDEX(상세표[종료],$M665)),TEXT(INDEX(상세표[종료],$M665),"yyyy-mm-dd hh:mm"),INDEX(상세표[종료],$M665)&amp;""))</f>
        <v/>
      </c>
      <c r="F665" s="20">
        <f>IF($M665="","",INDEX(상세표[기록 시간외],$M665))</f>
        <v/>
      </c>
      <c r="G665">
        <f>IF($M665="","",INDEX(상세표[시작월 기관],$M665)&amp;"")</f>
        <v/>
      </c>
      <c r="H665">
        <f>IF($M665="","",INDEX(상세표[종료월 기관],$M665)&amp;"")</f>
        <v/>
      </c>
      <c r="I665">
        <f>IF($M665="","",INDEX(상세표[월경계 판정],$M665)&amp;"")</f>
        <v/>
      </c>
      <c r="J665">
        <f>IF($M665="","",INDEX(상세표[반영월],$M665)&amp;"")</f>
        <v/>
      </c>
      <c r="K665">
        <f>IF($M665="","",INDEX(상세표[반영 기관],$M665)&amp;"")</f>
        <v/>
      </c>
      <c r="L665">
        <f>IF($M665="","",INDEX(상세표[기관 출처],$M665)&amp;"")</f>
        <v/>
      </c>
      <c r="M665" s="4">
        <f>IFERROR(MATCH(660,상세표[경계순번],0),"")</f>
        <v/>
      </c>
    </row>
    <row r="666">
      <c r="A666">
        <f>IF($M666="","",INDEX(상세표[사번],$M666)&amp;"")</f>
        <v/>
      </c>
      <c r="B666">
        <f>IF($M666="","",INDEX(상세표[성명],$M666)&amp;"")</f>
        <v/>
      </c>
      <c r="C666">
        <f>IF($M666="","",IF(INDEX(상세표[종료월],$M666)=대상월키,"전월→이번 달","이번 달→익월"))</f>
        <v/>
      </c>
      <c r="D666">
        <f>IF($M666="","",IF(ISNUMBER(INDEX(상세표[시작],$M666)),TEXT(INDEX(상세표[시작],$M666),"yyyy-mm-dd hh:mm"),INDEX(상세표[시작],$M666)&amp;""))</f>
        <v/>
      </c>
      <c r="E666">
        <f>IF($M666="","",IF(ISNUMBER(INDEX(상세표[종료],$M666)),TEXT(INDEX(상세표[종료],$M666),"yyyy-mm-dd hh:mm"),INDEX(상세표[종료],$M666)&amp;""))</f>
        <v/>
      </c>
      <c r="F666" s="20">
        <f>IF($M666="","",INDEX(상세표[기록 시간외],$M666))</f>
        <v/>
      </c>
      <c r="G666">
        <f>IF($M666="","",INDEX(상세표[시작월 기관],$M666)&amp;"")</f>
        <v/>
      </c>
      <c r="H666">
        <f>IF($M666="","",INDEX(상세표[종료월 기관],$M666)&amp;"")</f>
        <v/>
      </c>
      <c r="I666">
        <f>IF($M666="","",INDEX(상세표[월경계 판정],$M666)&amp;"")</f>
        <v/>
      </c>
      <c r="J666">
        <f>IF($M666="","",INDEX(상세표[반영월],$M666)&amp;"")</f>
        <v/>
      </c>
      <c r="K666">
        <f>IF($M666="","",INDEX(상세표[반영 기관],$M666)&amp;"")</f>
        <v/>
      </c>
      <c r="L666">
        <f>IF($M666="","",INDEX(상세표[기관 출처],$M666)&amp;"")</f>
        <v/>
      </c>
      <c r="M666" s="4">
        <f>IFERROR(MATCH(661,상세표[경계순번],0),"")</f>
        <v/>
      </c>
    </row>
    <row r="667">
      <c r="A667">
        <f>IF($M667="","",INDEX(상세표[사번],$M667)&amp;"")</f>
        <v/>
      </c>
      <c r="B667">
        <f>IF($M667="","",INDEX(상세표[성명],$M667)&amp;"")</f>
        <v/>
      </c>
      <c r="C667">
        <f>IF($M667="","",IF(INDEX(상세표[종료월],$M667)=대상월키,"전월→이번 달","이번 달→익월"))</f>
        <v/>
      </c>
      <c r="D667">
        <f>IF($M667="","",IF(ISNUMBER(INDEX(상세표[시작],$M667)),TEXT(INDEX(상세표[시작],$M667),"yyyy-mm-dd hh:mm"),INDEX(상세표[시작],$M667)&amp;""))</f>
        <v/>
      </c>
      <c r="E667">
        <f>IF($M667="","",IF(ISNUMBER(INDEX(상세표[종료],$M667)),TEXT(INDEX(상세표[종료],$M667),"yyyy-mm-dd hh:mm"),INDEX(상세표[종료],$M667)&amp;""))</f>
        <v/>
      </c>
      <c r="F667" s="20">
        <f>IF($M667="","",INDEX(상세표[기록 시간외],$M667))</f>
        <v/>
      </c>
      <c r="G667">
        <f>IF($M667="","",INDEX(상세표[시작월 기관],$M667)&amp;"")</f>
        <v/>
      </c>
      <c r="H667">
        <f>IF($M667="","",INDEX(상세표[종료월 기관],$M667)&amp;"")</f>
        <v/>
      </c>
      <c r="I667">
        <f>IF($M667="","",INDEX(상세표[월경계 판정],$M667)&amp;"")</f>
        <v/>
      </c>
      <c r="J667">
        <f>IF($M667="","",INDEX(상세표[반영월],$M667)&amp;"")</f>
        <v/>
      </c>
      <c r="K667">
        <f>IF($M667="","",INDEX(상세표[반영 기관],$M667)&amp;"")</f>
        <v/>
      </c>
      <c r="L667">
        <f>IF($M667="","",INDEX(상세표[기관 출처],$M667)&amp;"")</f>
        <v/>
      </c>
      <c r="M667" s="4">
        <f>IFERROR(MATCH(662,상세표[경계순번],0),"")</f>
        <v/>
      </c>
    </row>
    <row r="668">
      <c r="A668">
        <f>IF($M668="","",INDEX(상세표[사번],$M668)&amp;"")</f>
        <v/>
      </c>
      <c r="B668">
        <f>IF($M668="","",INDEX(상세표[성명],$M668)&amp;"")</f>
        <v/>
      </c>
      <c r="C668">
        <f>IF($M668="","",IF(INDEX(상세표[종료월],$M668)=대상월키,"전월→이번 달","이번 달→익월"))</f>
        <v/>
      </c>
      <c r="D668">
        <f>IF($M668="","",IF(ISNUMBER(INDEX(상세표[시작],$M668)),TEXT(INDEX(상세표[시작],$M668),"yyyy-mm-dd hh:mm"),INDEX(상세표[시작],$M668)&amp;""))</f>
        <v/>
      </c>
      <c r="E668">
        <f>IF($M668="","",IF(ISNUMBER(INDEX(상세표[종료],$M668)),TEXT(INDEX(상세표[종료],$M668),"yyyy-mm-dd hh:mm"),INDEX(상세표[종료],$M668)&amp;""))</f>
        <v/>
      </c>
      <c r="F668" s="20">
        <f>IF($M668="","",INDEX(상세표[기록 시간외],$M668))</f>
        <v/>
      </c>
      <c r="G668">
        <f>IF($M668="","",INDEX(상세표[시작월 기관],$M668)&amp;"")</f>
        <v/>
      </c>
      <c r="H668">
        <f>IF($M668="","",INDEX(상세표[종료월 기관],$M668)&amp;"")</f>
        <v/>
      </c>
      <c r="I668">
        <f>IF($M668="","",INDEX(상세표[월경계 판정],$M668)&amp;"")</f>
        <v/>
      </c>
      <c r="J668">
        <f>IF($M668="","",INDEX(상세표[반영월],$M668)&amp;"")</f>
        <v/>
      </c>
      <c r="K668">
        <f>IF($M668="","",INDEX(상세표[반영 기관],$M668)&amp;"")</f>
        <v/>
      </c>
      <c r="L668">
        <f>IF($M668="","",INDEX(상세표[기관 출처],$M668)&amp;"")</f>
        <v/>
      </c>
      <c r="M668" s="4">
        <f>IFERROR(MATCH(663,상세표[경계순번],0),"")</f>
        <v/>
      </c>
    </row>
    <row r="669">
      <c r="A669">
        <f>IF($M669="","",INDEX(상세표[사번],$M669)&amp;"")</f>
        <v/>
      </c>
      <c r="B669">
        <f>IF($M669="","",INDEX(상세표[성명],$M669)&amp;"")</f>
        <v/>
      </c>
      <c r="C669">
        <f>IF($M669="","",IF(INDEX(상세표[종료월],$M669)=대상월키,"전월→이번 달","이번 달→익월"))</f>
        <v/>
      </c>
      <c r="D669">
        <f>IF($M669="","",IF(ISNUMBER(INDEX(상세표[시작],$M669)),TEXT(INDEX(상세표[시작],$M669),"yyyy-mm-dd hh:mm"),INDEX(상세표[시작],$M669)&amp;""))</f>
        <v/>
      </c>
      <c r="E669">
        <f>IF($M669="","",IF(ISNUMBER(INDEX(상세표[종료],$M669)),TEXT(INDEX(상세표[종료],$M669),"yyyy-mm-dd hh:mm"),INDEX(상세표[종료],$M669)&amp;""))</f>
        <v/>
      </c>
      <c r="F669" s="20">
        <f>IF($M669="","",INDEX(상세표[기록 시간외],$M669))</f>
        <v/>
      </c>
      <c r="G669">
        <f>IF($M669="","",INDEX(상세표[시작월 기관],$M669)&amp;"")</f>
        <v/>
      </c>
      <c r="H669">
        <f>IF($M669="","",INDEX(상세표[종료월 기관],$M669)&amp;"")</f>
        <v/>
      </c>
      <c r="I669">
        <f>IF($M669="","",INDEX(상세표[월경계 판정],$M669)&amp;"")</f>
        <v/>
      </c>
      <c r="J669">
        <f>IF($M669="","",INDEX(상세표[반영월],$M669)&amp;"")</f>
        <v/>
      </c>
      <c r="K669">
        <f>IF($M669="","",INDEX(상세표[반영 기관],$M669)&amp;"")</f>
        <v/>
      </c>
      <c r="L669">
        <f>IF($M669="","",INDEX(상세표[기관 출처],$M669)&amp;"")</f>
        <v/>
      </c>
      <c r="M669" s="4">
        <f>IFERROR(MATCH(664,상세표[경계순번],0),"")</f>
        <v/>
      </c>
    </row>
    <row r="670">
      <c r="A670">
        <f>IF($M670="","",INDEX(상세표[사번],$M670)&amp;"")</f>
        <v/>
      </c>
      <c r="B670">
        <f>IF($M670="","",INDEX(상세표[성명],$M670)&amp;"")</f>
        <v/>
      </c>
      <c r="C670">
        <f>IF($M670="","",IF(INDEX(상세표[종료월],$M670)=대상월키,"전월→이번 달","이번 달→익월"))</f>
        <v/>
      </c>
      <c r="D670">
        <f>IF($M670="","",IF(ISNUMBER(INDEX(상세표[시작],$M670)),TEXT(INDEX(상세표[시작],$M670),"yyyy-mm-dd hh:mm"),INDEX(상세표[시작],$M670)&amp;""))</f>
        <v/>
      </c>
      <c r="E670">
        <f>IF($M670="","",IF(ISNUMBER(INDEX(상세표[종료],$M670)),TEXT(INDEX(상세표[종료],$M670),"yyyy-mm-dd hh:mm"),INDEX(상세표[종료],$M670)&amp;""))</f>
        <v/>
      </c>
      <c r="F670" s="20">
        <f>IF($M670="","",INDEX(상세표[기록 시간외],$M670))</f>
        <v/>
      </c>
      <c r="G670">
        <f>IF($M670="","",INDEX(상세표[시작월 기관],$M670)&amp;"")</f>
        <v/>
      </c>
      <c r="H670">
        <f>IF($M670="","",INDEX(상세표[종료월 기관],$M670)&amp;"")</f>
        <v/>
      </c>
      <c r="I670">
        <f>IF($M670="","",INDEX(상세표[월경계 판정],$M670)&amp;"")</f>
        <v/>
      </c>
      <c r="J670">
        <f>IF($M670="","",INDEX(상세표[반영월],$M670)&amp;"")</f>
        <v/>
      </c>
      <c r="K670">
        <f>IF($M670="","",INDEX(상세표[반영 기관],$M670)&amp;"")</f>
        <v/>
      </c>
      <c r="L670">
        <f>IF($M670="","",INDEX(상세표[기관 출처],$M670)&amp;"")</f>
        <v/>
      </c>
      <c r="M670" s="4">
        <f>IFERROR(MATCH(665,상세표[경계순번],0),"")</f>
        <v/>
      </c>
    </row>
    <row r="671">
      <c r="A671">
        <f>IF($M671="","",INDEX(상세표[사번],$M671)&amp;"")</f>
        <v/>
      </c>
      <c r="B671">
        <f>IF($M671="","",INDEX(상세표[성명],$M671)&amp;"")</f>
        <v/>
      </c>
      <c r="C671">
        <f>IF($M671="","",IF(INDEX(상세표[종료월],$M671)=대상월키,"전월→이번 달","이번 달→익월"))</f>
        <v/>
      </c>
      <c r="D671">
        <f>IF($M671="","",IF(ISNUMBER(INDEX(상세표[시작],$M671)),TEXT(INDEX(상세표[시작],$M671),"yyyy-mm-dd hh:mm"),INDEX(상세표[시작],$M671)&amp;""))</f>
        <v/>
      </c>
      <c r="E671">
        <f>IF($M671="","",IF(ISNUMBER(INDEX(상세표[종료],$M671)),TEXT(INDEX(상세표[종료],$M671),"yyyy-mm-dd hh:mm"),INDEX(상세표[종료],$M671)&amp;""))</f>
        <v/>
      </c>
      <c r="F671" s="20">
        <f>IF($M671="","",INDEX(상세표[기록 시간외],$M671))</f>
        <v/>
      </c>
      <c r="G671">
        <f>IF($M671="","",INDEX(상세표[시작월 기관],$M671)&amp;"")</f>
        <v/>
      </c>
      <c r="H671">
        <f>IF($M671="","",INDEX(상세표[종료월 기관],$M671)&amp;"")</f>
        <v/>
      </c>
      <c r="I671">
        <f>IF($M671="","",INDEX(상세표[월경계 판정],$M671)&amp;"")</f>
        <v/>
      </c>
      <c r="J671">
        <f>IF($M671="","",INDEX(상세표[반영월],$M671)&amp;"")</f>
        <v/>
      </c>
      <c r="K671">
        <f>IF($M671="","",INDEX(상세표[반영 기관],$M671)&amp;"")</f>
        <v/>
      </c>
      <c r="L671">
        <f>IF($M671="","",INDEX(상세표[기관 출처],$M671)&amp;"")</f>
        <v/>
      </c>
      <c r="M671" s="4">
        <f>IFERROR(MATCH(666,상세표[경계순번],0),"")</f>
        <v/>
      </c>
    </row>
    <row r="672">
      <c r="A672">
        <f>IF($M672="","",INDEX(상세표[사번],$M672)&amp;"")</f>
        <v/>
      </c>
      <c r="B672">
        <f>IF($M672="","",INDEX(상세표[성명],$M672)&amp;"")</f>
        <v/>
      </c>
      <c r="C672">
        <f>IF($M672="","",IF(INDEX(상세표[종료월],$M672)=대상월키,"전월→이번 달","이번 달→익월"))</f>
        <v/>
      </c>
      <c r="D672">
        <f>IF($M672="","",IF(ISNUMBER(INDEX(상세표[시작],$M672)),TEXT(INDEX(상세표[시작],$M672),"yyyy-mm-dd hh:mm"),INDEX(상세표[시작],$M672)&amp;""))</f>
        <v/>
      </c>
      <c r="E672">
        <f>IF($M672="","",IF(ISNUMBER(INDEX(상세표[종료],$M672)),TEXT(INDEX(상세표[종료],$M672),"yyyy-mm-dd hh:mm"),INDEX(상세표[종료],$M672)&amp;""))</f>
        <v/>
      </c>
      <c r="F672" s="20">
        <f>IF($M672="","",INDEX(상세표[기록 시간외],$M672))</f>
        <v/>
      </c>
      <c r="G672">
        <f>IF($M672="","",INDEX(상세표[시작월 기관],$M672)&amp;"")</f>
        <v/>
      </c>
      <c r="H672">
        <f>IF($M672="","",INDEX(상세표[종료월 기관],$M672)&amp;"")</f>
        <v/>
      </c>
      <c r="I672">
        <f>IF($M672="","",INDEX(상세표[월경계 판정],$M672)&amp;"")</f>
        <v/>
      </c>
      <c r="J672">
        <f>IF($M672="","",INDEX(상세표[반영월],$M672)&amp;"")</f>
        <v/>
      </c>
      <c r="K672">
        <f>IF($M672="","",INDEX(상세표[반영 기관],$M672)&amp;"")</f>
        <v/>
      </c>
      <c r="L672">
        <f>IF($M672="","",INDEX(상세표[기관 출처],$M672)&amp;"")</f>
        <v/>
      </c>
      <c r="M672" s="4">
        <f>IFERROR(MATCH(667,상세표[경계순번],0),"")</f>
        <v/>
      </c>
    </row>
    <row r="673">
      <c r="A673">
        <f>IF($M673="","",INDEX(상세표[사번],$M673)&amp;"")</f>
        <v/>
      </c>
      <c r="B673">
        <f>IF($M673="","",INDEX(상세표[성명],$M673)&amp;"")</f>
        <v/>
      </c>
      <c r="C673">
        <f>IF($M673="","",IF(INDEX(상세표[종료월],$M673)=대상월키,"전월→이번 달","이번 달→익월"))</f>
        <v/>
      </c>
      <c r="D673">
        <f>IF($M673="","",IF(ISNUMBER(INDEX(상세표[시작],$M673)),TEXT(INDEX(상세표[시작],$M673),"yyyy-mm-dd hh:mm"),INDEX(상세표[시작],$M673)&amp;""))</f>
        <v/>
      </c>
      <c r="E673">
        <f>IF($M673="","",IF(ISNUMBER(INDEX(상세표[종료],$M673)),TEXT(INDEX(상세표[종료],$M673),"yyyy-mm-dd hh:mm"),INDEX(상세표[종료],$M673)&amp;""))</f>
        <v/>
      </c>
      <c r="F673" s="20">
        <f>IF($M673="","",INDEX(상세표[기록 시간외],$M673))</f>
        <v/>
      </c>
      <c r="G673">
        <f>IF($M673="","",INDEX(상세표[시작월 기관],$M673)&amp;"")</f>
        <v/>
      </c>
      <c r="H673">
        <f>IF($M673="","",INDEX(상세표[종료월 기관],$M673)&amp;"")</f>
        <v/>
      </c>
      <c r="I673">
        <f>IF($M673="","",INDEX(상세표[월경계 판정],$M673)&amp;"")</f>
        <v/>
      </c>
      <c r="J673">
        <f>IF($M673="","",INDEX(상세표[반영월],$M673)&amp;"")</f>
        <v/>
      </c>
      <c r="K673">
        <f>IF($M673="","",INDEX(상세표[반영 기관],$M673)&amp;"")</f>
        <v/>
      </c>
      <c r="L673">
        <f>IF($M673="","",INDEX(상세표[기관 출처],$M673)&amp;"")</f>
        <v/>
      </c>
      <c r="M673" s="4">
        <f>IFERROR(MATCH(668,상세표[경계순번],0),"")</f>
        <v/>
      </c>
    </row>
    <row r="674">
      <c r="A674">
        <f>IF($M674="","",INDEX(상세표[사번],$M674)&amp;"")</f>
        <v/>
      </c>
      <c r="B674">
        <f>IF($M674="","",INDEX(상세표[성명],$M674)&amp;"")</f>
        <v/>
      </c>
      <c r="C674">
        <f>IF($M674="","",IF(INDEX(상세표[종료월],$M674)=대상월키,"전월→이번 달","이번 달→익월"))</f>
        <v/>
      </c>
      <c r="D674">
        <f>IF($M674="","",IF(ISNUMBER(INDEX(상세표[시작],$M674)),TEXT(INDEX(상세표[시작],$M674),"yyyy-mm-dd hh:mm"),INDEX(상세표[시작],$M674)&amp;""))</f>
        <v/>
      </c>
      <c r="E674">
        <f>IF($M674="","",IF(ISNUMBER(INDEX(상세표[종료],$M674)),TEXT(INDEX(상세표[종료],$M674),"yyyy-mm-dd hh:mm"),INDEX(상세표[종료],$M674)&amp;""))</f>
        <v/>
      </c>
      <c r="F674" s="20">
        <f>IF($M674="","",INDEX(상세표[기록 시간외],$M674))</f>
        <v/>
      </c>
      <c r="G674">
        <f>IF($M674="","",INDEX(상세표[시작월 기관],$M674)&amp;"")</f>
        <v/>
      </c>
      <c r="H674">
        <f>IF($M674="","",INDEX(상세표[종료월 기관],$M674)&amp;"")</f>
        <v/>
      </c>
      <c r="I674">
        <f>IF($M674="","",INDEX(상세표[월경계 판정],$M674)&amp;"")</f>
        <v/>
      </c>
      <c r="J674">
        <f>IF($M674="","",INDEX(상세표[반영월],$M674)&amp;"")</f>
        <v/>
      </c>
      <c r="K674">
        <f>IF($M674="","",INDEX(상세표[반영 기관],$M674)&amp;"")</f>
        <v/>
      </c>
      <c r="L674">
        <f>IF($M674="","",INDEX(상세표[기관 출처],$M674)&amp;"")</f>
        <v/>
      </c>
      <c r="M674" s="4">
        <f>IFERROR(MATCH(669,상세표[경계순번],0),"")</f>
        <v/>
      </c>
    </row>
    <row r="675">
      <c r="A675">
        <f>IF($M675="","",INDEX(상세표[사번],$M675)&amp;"")</f>
        <v/>
      </c>
      <c r="B675">
        <f>IF($M675="","",INDEX(상세표[성명],$M675)&amp;"")</f>
        <v/>
      </c>
      <c r="C675">
        <f>IF($M675="","",IF(INDEX(상세표[종료월],$M675)=대상월키,"전월→이번 달","이번 달→익월"))</f>
        <v/>
      </c>
      <c r="D675">
        <f>IF($M675="","",IF(ISNUMBER(INDEX(상세표[시작],$M675)),TEXT(INDEX(상세표[시작],$M675),"yyyy-mm-dd hh:mm"),INDEX(상세표[시작],$M675)&amp;""))</f>
        <v/>
      </c>
      <c r="E675">
        <f>IF($M675="","",IF(ISNUMBER(INDEX(상세표[종료],$M675)),TEXT(INDEX(상세표[종료],$M675),"yyyy-mm-dd hh:mm"),INDEX(상세표[종료],$M675)&amp;""))</f>
        <v/>
      </c>
      <c r="F675" s="20">
        <f>IF($M675="","",INDEX(상세표[기록 시간외],$M675))</f>
        <v/>
      </c>
      <c r="G675">
        <f>IF($M675="","",INDEX(상세표[시작월 기관],$M675)&amp;"")</f>
        <v/>
      </c>
      <c r="H675">
        <f>IF($M675="","",INDEX(상세표[종료월 기관],$M675)&amp;"")</f>
        <v/>
      </c>
      <c r="I675">
        <f>IF($M675="","",INDEX(상세표[월경계 판정],$M675)&amp;"")</f>
        <v/>
      </c>
      <c r="J675">
        <f>IF($M675="","",INDEX(상세표[반영월],$M675)&amp;"")</f>
        <v/>
      </c>
      <c r="K675">
        <f>IF($M675="","",INDEX(상세표[반영 기관],$M675)&amp;"")</f>
        <v/>
      </c>
      <c r="L675">
        <f>IF($M675="","",INDEX(상세표[기관 출처],$M675)&amp;"")</f>
        <v/>
      </c>
      <c r="M675" s="4">
        <f>IFERROR(MATCH(670,상세표[경계순번],0),"")</f>
        <v/>
      </c>
    </row>
    <row r="676">
      <c r="A676">
        <f>IF($M676="","",INDEX(상세표[사번],$M676)&amp;"")</f>
        <v/>
      </c>
      <c r="B676">
        <f>IF($M676="","",INDEX(상세표[성명],$M676)&amp;"")</f>
        <v/>
      </c>
      <c r="C676">
        <f>IF($M676="","",IF(INDEX(상세표[종료월],$M676)=대상월키,"전월→이번 달","이번 달→익월"))</f>
        <v/>
      </c>
      <c r="D676">
        <f>IF($M676="","",IF(ISNUMBER(INDEX(상세표[시작],$M676)),TEXT(INDEX(상세표[시작],$M676),"yyyy-mm-dd hh:mm"),INDEX(상세표[시작],$M676)&amp;""))</f>
        <v/>
      </c>
      <c r="E676">
        <f>IF($M676="","",IF(ISNUMBER(INDEX(상세표[종료],$M676)),TEXT(INDEX(상세표[종료],$M676),"yyyy-mm-dd hh:mm"),INDEX(상세표[종료],$M676)&amp;""))</f>
        <v/>
      </c>
      <c r="F676" s="20">
        <f>IF($M676="","",INDEX(상세표[기록 시간외],$M676))</f>
        <v/>
      </c>
      <c r="G676">
        <f>IF($M676="","",INDEX(상세표[시작월 기관],$M676)&amp;"")</f>
        <v/>
      </c>
      <c r="H676">
        <f>IF($M676="","",INDEX(상세표[종료월 기관],$M676)&amp;"")</f>
        <v/>
      </c>
      <c r="I676">
        <f>IF($M676="","",INDEX(상세표[월경계 판정],$M676)&amp;"")</f>
        <v/>
      </c>
      <c r="J676">
        <f>IF($M676="","",INDEX(상세표[반영월],$M676)&amp;"")</f>
        <v/>
      </c>
      <c r="K676">
        <f>IF($M676="","",INDEX(상세표[반영 기관],$M676)&amp;"")</f>
        <v/>
      </c>
      <c r="L676">
        <f>IF($M676="","",INDEX(상세표[기관 출처],$M676)&amp;"")</f>
        <v/>
      </c>
      <c r="M676" s="4">
        <f>IFERROR(MATCH(671,상세표[경계순번],0),"")</f>
        <v/>
      </c>
    </row>
    <row r="677">
      <c r="A677">
        <f>IF($M677="","",INDEX(상세표[사번],$M677)&amp;"")</f>
        <v/>
      </c>
      <c r="B677">
        <f>IF($M677="","",INDEX(상세표[성명],$M677)&amp;"")</f>
        <v/>
      </c>
      <c r="C677">
        <f>IF($M677="","",IF(INDEX(상세표[종료월],$M677)=대상월키,"전월→이번 달","이번 달→익월"))</f>
        <v/>
      </c>
      <c r="D677">
        <f>IF($M677="","",IF(ISNUMBER(INDEX(상세표[시작],$M677)),TEXT(INDEX(상세표[시작],$M677),"yyyy-mm-dd hh:mm"),INDEX(상세표[시작],$M677)&amp;""))</f>
        <v/>
      </c>
      <c r="E677">
        <f>IF($M677="","",IF(ISNUMBER(INDEX(상세표[종료],$M677)),TEXT(INDEX(상세표[종료],$M677),"yyyy-mm-dd hh:mm"),INDEX(상세표[종료],$M677)&amp;""))</f>
        <v/>
      </c>
      <c r="F677" s="20">
        <f>IF($M677="","",INDEX(상세표[기록 시간외],$M677))</f>
        <v/>
      </c>
      <c r="G677">
        <f>IF($M677="","",INDEX(상세표[시작월 기관],$M677)&amp;"")</f>
        <v/>
      </c>
      <c r="H677">
        <f>IF($M677="","",INDEX(상세표[종료월 기관],$M677)&amp;"")</f>
        <v/>
      </c>
      <c r="I677">
        <f>IF($M677="","",INDEX(상세표[월경계 판정],$M677)&amp;"")</f>
        <v/>
      </c>
      <c r="J677">
        <f>IF($M677="","",INDEX(상세표[반영월],$M677)&amp;"")</f>
        <v/>
      </c>
      <c r="K677">
        <f>IF($M677="","",INDEX(상세표[반영 기관],$M677)&amp;"")</f>
        <v/>
      </c>
      <c r="L677">
        <f>IF($M677="","",INDEX(상세표[기관 출처],$M677)&amp;"")</f>
        <v/>
      </c>
      <c r="M677" s="4">
        <f>IFERROR(MATCH(672,상세표[경계순번],0),"")</f>
        <v/>
      </c>
    </row>
    <row r="678">
      <c r="A678">
        <f>IF($M678="","",INDEX(상세표[사번],$M678)&amp;"")</f>
        <v/>
      </c>
      <c r="B678">
        <f>IF($M678="","",INDEX(상세표[성명],$M678)&amp;"")</f>
        <v/>
      </c>
      <c r="C678">
        <f>IF($M678="","",IF(INDEX(상세표[종료월],$M678)=대상월키,"전월→이번 달","이번 달→익월"))</f>
        <v/>
      </c>
      <c r="D678">
        <f>IF($M678="","",IF(ISNUMBER(INDEX(상세표[시작],$M678)),TEXT(INDEX(상세표[시작],$M678),"yyyy-mm-dd hh:mm"),INDEX(상세표[시작],$M678)&amp;""))</f>
        <v/>
      </c>
      <c r="E678">
        <f>IF($M678="","",IF(ISNUMBER(INDEX(상세표[종료],$M678)),TEXT(INDEX(상세표[종료],$M678),"yyyy-mm-dd hh:mm"),INDEX(상세표[종료],$M678)&amp;""))</f>
        <v/>
      </c>
      <c r="F678" s="20">
        <f>IF($M678="","",INDEX(상세표[기록 시간외],$M678))</f>
        <v/>
      </c>
      <c r="G678">
        <f>IF($M678="","",INDEX(상세표[시작월 기관],$M678)&amp;"")</f>
        <v/>
      </c>
      <c r="H678">
        <f>IF($M678="","",INDEX(상세표[종료월 기관],$M678)&amp;"")</f>
        <v/>
      </c>
      <c r="I678">
        <f>IF($M678="","",INDEX(상세표[월경계 판정],$M678)&amp;"")</f>
        <v/>
      </c>
      <c r="J678">
        <f>IF($M678="","",INDEX(상세표[반영월],$M678)&amp;"")</f>
        <v/>
      </c>
      <c r="K678">
        <f>IF($M678="","",INDEX(상세표[반영 기관],$M678)&amp;"")</f>
        <v/>
      </c>
      <c r="L678">
        <f>IF($M678="","",INDEX(상세표[기관 출처],$M678)&amp;"")</f>
        <v/>
      </c>
      <c r="M678" s="4">
        <f>IFERROR(MATCH(673,상세표[경계순번],0),"")</f>
        <v/>
      </c>
    </row>
    <row r="679">
      <c r="A679">
        <f>IF($M679="","",INDEX(상세표[사번],$M679)&amp;"")</f>
        <v/>
      </c>
      <c r="B679">
        <f>IF($M679="","",INDEX(상세표[성명],$M679)&amp;"")</f>
        <v/>
      </c>
      <c r="C679">
        <f>IF($M679="","",IF(INDEX(상세표[종료월],$M679)=대상월키,"전월→이번 달","이번 달→익월"))</f>
        <v/>
      </c>
      <c r="D679">
        <f>IF($M679="","",IF(ISNUMBER(INDEX(상세표[시작],$M679)),TEXT(INDEX(상세표[시작],$M679),"yyyy-mm-dd hh:mm"),INDEX(상세표[시작],$M679)&amp;""))</f>
        <v/>
      </c>
      <c r="E679">
        <f>IF($M679="","",IF(ISNUMBER(INDEX(상세표[종료],$M679)),TEXT(INDEX(상세표[종료],$M679),"yyyy-mm-dd hh:mm"),INDEX(상세표[종료],$M679)&amp;""))</f>
        <v/>
      </c>
      <c r="F679" s="20">
        <f>IF($M679="","",INDEX(상세표[기록 시간외],$M679))</f>
        <v/>
      </c>
      <c r="G679">
        <f>IF($M679="","",INDEX(상세표[시작월 기관],$M679)&amp;"")</f>
        <v/>
      </c>
      <c r="H679">
        <f>IF($M679="","",INDEX(상세표[종료월 기관],$M679)&amp;"")</f>
        <v/>
      </c>
      <c r="I679">
        <f>IF($M679="","",INDEX(상세표[월경계 판정],$M679)&amp;"")</f>
        <v/>
      </c>
      <c r="J679">
        <f>IF($M679="","",INDEX(상세표[반영월],$M679)&amp;"")</f>
        <v/>
      </c>
      <c r="K679">
        <f>IF($M679="","",INDEX(상세표[반영 기관],$M679)&amp;"")</f>
        <v/>
      </c>
      <c r="L679">
        <f>IF($M679="","",INDEX(상세표[기관 출처],$M679)&amp;"")</f>
        <v/>
      </c>
      <c r="M679" s="4">
        <f>IFERROR(MATCH(674,상세표[경계순번],0),"")</f>
        <v/>
      </c>
    </row>
    <row r="680">
      <c r="A680">
        <f>IF($M680="","",INDEX(상세표[사번],$M680)&amp;"")</f>
        <v/>
      </c>
      <c r="B680">
        <f>IF($M680="","",INDEX(상세표[성명],$M680)&amp;"")</f>
        <v/>
      </c>
      <c r="C680">
        <f>IF($M680="","",IF(INDEX(상세표[종료월],$M680)=대상월키,"전월→이번 달","이번 달→익월"))</f>
        <v/>
      </c>
      <c r="D680">
        <f>IF($M680="","",IF(ISNUMBER(INDEX(상세표[시작],$M680)),TEXT(INDEX(상세표[시작],$M680),"yyyy-mm-dd hh:mm"),INDEX(상세표[시작],$M680)&amp;""))</f>
        <v/>
      </c>
      <c r="E680">
        <f>IF($M680="","",IF(ISNUMBER(INDEX(상세표[종료],$M680)),TEXT(INDEX(상세표[종료],$M680),"yyyy-mm-dd hh:mm"),INDEX(상세표[종료],$M680)&amp;""))</f>
        <v/>
      </c>
      <c r="F680" s="20">
        <f>IF($M680="","",INDEX(상세표[기록 시간외],$M680))</f>
        <v/>
      </c>
      <c r="G680">
        <f>IF($M680="","",INDEX(상세표[시작월 기관],$M680)&amp;"")</f>
        <v/>
      </c>
      <c r="H680">
        <f>IF($M680="","",INDEX(상세표[종료월 기관],$M680)&amp;"")</f>
        <v/>
      </c>
      <c r="I680">
        <f>IF($M680="","",INDEX(상세표[월경계 판정],$M680)&amp;"")</f>
        <v/>
      </c>
      <c r="J680">
        <f>IF($M680="","",INDEX(상세표[반영월],$M680)&amp;"")</f>
        <v/>
      </c>
      <c r="K680">
        <f>IF($M680="","",INDEX(상세표[반영 기관],$M680)&amp;"")</f>
        <v/>
      </c>
      <c r="L680">
        <f>IF($M680="","",INDEX(상세표[기관 출처],$M680)&amp;"")</f>
        <v/>
      </c>
      <c r="M680" s="4">
        <f>IFERROR(MATCH(675,상세표[경계순번],0),"")</f>
        <v/>
      </c>
    </row>
    <row r="681">
      <c r="A681">
        <f>IF($M681="","",INDEX(상세표[사번],$M681)&amp;"")</f>
        <v/>
      </c>
      <c r="B681">
        <f>IF($M681="","",INDEX(상세표[성명],$M681)&amp;"")</f>
        <v/>
      </c>
      <c r="C681">
        <f>IF($M681="","",IF(INDEX(상세표[종료월],$M681)=대상월키,"전월→이번 달","이번 달→익월"))</f>
        <v/>
      </c>
      <c r="D681">
        <f>IF($M681="","",IF(ISNUMBER(INDEX(상세표[시작],$M681)),TEXT(INDEX(상세표[시작],$M681),"yyyy-mm-dd hh:mm"),INDEX(상세표[시작],$M681)&amp;""))</f>
        <v/>
      </c>
      <c r="E681">
        <f>IF($M681="","",IF(ISNUMBER(INDEX(상세표[종료],$M681)),TEXT(INDEX(상세표[종료],$M681),"yyyy-mm-dd hh:mm"),INDEX(상세표[종료],$M681)&amp;""))</f>
        <v/>
      </c>
      <c r="F681" s="20">
        <f>IF($M681="","",INDEX(상세표[기록 시간외],$M681))</f>
        <v/>
      </c>
      <c r="G681">
        <f>IF($M681="","",INDEX(상세표[시작월 기관],$M681)&amp;"")</f>
        <v/>
      </c>
      <c r="H681">
        <f>IF($M681="","",INDEX(상세표[종료월 기관],$M681)&amp;"")</f>
        <v/>
      </c>
      <c r="I681">
        <f>IF($M681="","",INDEX(상세표[월경계 판정],$M681)&amp;"")</f>
        <v/>
      </c>
      <c r="J681">
        <f>IF($M681="","",INDEX(상세표[반영월],$M681)&amp;"")</f>
        <v/>
      </c>
      <c r="K681">
        <f>IF($M681="","",INDEX(상세표[반영 기관],$M681)&amp;"")</f>
        <v/>
      </c>
      <c r="L681">
        <f>IF($M681="","",INDEX(상세표[기관 출처],$M681)&amp;"")</f>
        <v/>
      </c>
      <c r="M681" s="4">
        <f>IFERROR(MATCH(676,상세표[경계순번],0),"")</f>
        <v/>
      </c>
    </row>
    <row r="682">
      <c r="A682">
        <f>IF($M682="","",INDEX(상세표[사번],$M682)&amp;"")</f>
        <v/>
      </c>
      <c r="B682">
        <f>IF($M682="","",INDEX(상세표[성명],$M682)&amp;"")</f>
        <v/>
      </c>
      <c r="C682">
        <f>IF($M682="","",IF(INDEX(상세표[종료월],$M682)=대상월키,"전월→이번 달","이번 달→익월"))</f>
        <v/>
      </c>
      <c r="D682">
        <f>IF($M682="","",IF(ISNUMBER(INDEX(상세표[시작],$M682)),TEXT(INDEX(상세표[시작],$M682),"yyyy-mm-dd hh:mm"),INDEX(상세표[시작],$M682)&amp;""))</f>
        <v/>
      </c>
      <c r="E682">
        <f>IF($M682="","",IF(ISNUMBER(INDEX(상세표[종료],$M682)),TEXT(INDEX(상세표[종료],$M682),"yyyy-mm-dd hh:mm"),INDEX(상세표[종료],$M682)&amp;""))</f>
        <v/>
      </c>
      <c r="F682" s="20">
        <f>IF($M682="","",INDEX(상세표[기록 시간외],$M682))</f>
        <v/>
      </c>
      <c r="G682">
        <f>IF($M682="","",INDEX(상세표[시작월 기관],$M682)&amp;"")</f>
        <v/>
      </c>
      <c r="H682">
        <f>IF($M682="","",INDEX(상세표[종료월 기관],$M682)&amp;"")</f>
        <v/>
      </c>
      <c r="I682">
        <f>IF($M682="","",INDEX(상세표[월경계 판정],$M682)&amp;"")</f>
        <v/>
      </c>
      <c r="J682">
        <f>IF($M682="","",INDEX(상세표[반영월],$M682)&amp;"")</f>
        <v/>
      </c>
      <c r="K682">
        <f>IF($M682="","",INDEX(상세표[반영 기관],$M682)&amp;"")</f>
        <v/>
      </c>
      <c r="L682">
        <f>IF($M682="","",INDEX(상세표[기관 출처],$M682)&amp;"")</f>
        <v/>
      </c>
      <c r="M682" s="4">
        <f>IFERROR(MATCH(677,상세표[경계순번],0),"")</f>
        <v/>
      </c>
    </row>
    <row r="683">
      <c r="A683">
        <f>IF($M683="","",INDEX(상세표[사번],$M683)&amp;"")</f>
        <v/>
      </c>
      <c r="B683">
        <f>IF($M683="","",INDEX(상세표[성명],$M683)&amp;"")</f>
        <v/>
      </c>
      <c r="C683">
        <f>IF($M683="","",IF(INDEX(상세표[종료월],$M683)=대상월키,"전월→이번 달","이번 달→익월"))</f>
        <v/>
      </c>
      <c r="D683">
        <f>IF($M683="","",IF(ISNUMBER(INDEX(상세표[시작],$M683)),TEXT(INDEX(상세표[시작],$M683),"yyyy-mm-dd hh:mm"),INDEX(상세표[시작],$M683)&amp;""))</f>
        <v/>
      </c>
      <c r="E683">
        <f>IF($M683="","",IF(ISNUMBER(INDEX(상세표[종료],$M683)),TEXT(INDEX(상세표[종료],$M683),"yyyy-mm-dd hh:mm"),INDEX(상세표[종료],$M683)&amp;""))</f>
        <v/>
      </c>
      <c r="F683" s="20">
        <f>IF($M683="","",INDEX(상세표[기록 시간외],$M683))</f>
        <v/>
      </c>
      <c r="G683">
        <f>IF($M683="","",INDEX(상세표[시작월 기관],$M683)&amp;"")</f>
        <v/>
      </c>
      <c r="H683">
        <f>IF($M683="","",INDEX(상세표[종료월 기관],$M683)&amp;"")</f>
        <v/>
      </c>
      <c r="I683">
        <f>IF($M683="","",INDEX(상세표[월경계 판정],$M683)&amp;"")</f>
        <v/>
      </c>
      <c r="J683">
        <f>IF($M683="","",INDEX(상세표[반영월],$M683)&amp;"")</f>
        <v/>
      </c>
      <c r="K683">
        <f>IF($M683="","",INDEX(상세표[반영 기관],$M683)&amp;"")</f>
        <v/>
      </c>
      <c r="L683">
        <f>IF($M683="","",INDEX(상세표[기관 출처],$M683)&amp;"")</f>
        <v/>
      </c>
      <c r="M683" s="4">
        <f>IFERROR(MATCH(678,상세표[경계순번],0),"")</f>
        <v/>
      </c>
    </row>
    <row r="684">
      <c r="A684">
        <f>IF($M684="","",INDEX(상세표[사번],$M684)&amp;"")</f>
        <v/>
      </c>
      <c r="B684">
        <f>IF($M684="","",INDEX(상세표[성명],$M684)&amp;"")</f>
        <v/>
      </c>
      <c r="C684">
        <f>IF($M684="","",IF(INDEX(상세표[종료월],$M684)=대상월키,"전월→이번 달","이번 달→익월"))</f>
        <v/>
      </c>
      <c r="D684">
        <f>IF($M684="","",IF(ISNUMBER(INDEX(상세표[시작],$M684)),TEXT(INDEX(상세표[시작],$M684),"yyyy-mm-dd hh:mm"),INDEX(상세표[시작],$M684)&amp;""))</f>
        <v/>
      </c>
      <c r="E684">
        <f>IF($M684="","",IF(ISNUMBER(INDEX(상세표[종료],$M684)),TEXT(INDEX(상세표[종료],$M684),"yyyy-mm-dd hh:mm"),INDEX(상세표[종료],$M684)&amp;""))</f>
        <v/>
      </c>
      <c r="F684" s="20">
        <f>IF($M684="","",INDEX(상세표[기록 시간외],$M684))</f>
        <v/>
      </c>
      <c r="G684">
        <f>IF($M684="","",INDEX(상세표[시작월 기관],$M684)&amp;"")</f>
        <v/>
      </c>
      <c r="H684">
        <f>IF($M684="","",INDEX(상세표[종료월 기관],$M684)&amp;"")</f>
        <v/>
      </c>
      <c r="I684">
        <f>IF($M684="","",INDEX(상세표[월경계 판정],$M684)&amp;"")</f>
        <v/>
      </c>
      <c r="J684">
        <f>IF($M684="","",INDEX(상세표[반영월],$M684)&amp;"")</f>
        <v/>
      </c>
      <c r="K684">
        <f>IF($M684="","",INDEX(상세표[반영 기관],$M684)&amp;"")</f>
        <v/>
      </c>
      <c r="L684">
        <f>IF($M684="","",INDEX(상세표[기관 출처],$M684)&amp;"")</f>
        <v/>
      </c>
      <c r="M684" s="4">
        <f>IFERROR(MATCH(679,상세표[경계순번],0),"")</f>
        <v/>
      </c>
    </row>
    <row r="685">
      <c r="A685">
        <f>IF($M685="","",INDEX(상세표[사번],$M685)&amp;"")</f>
        <v/>
      </c>
      <c r="B685">
        <f>IF($M685="","",INDEX(상세표[성명],$M685)&amp;"")</f>
        <v/>
      </c>
      <c r="C685">
        <f>IF($M685="","",IF(INDEX(상세표[종료월],$M685)=대상월키,"전월→이번 달","이번 달→익월"))</f>
        <v/>
      </c>
      <c r="D685">
        <f>IF($M685="","",IF(ISNUMBER(INDEX(상세표[시작],$M685)),TEXT(INDEX(상세표[시작],$M685),"yyyy-mm-dd hh:mm"),INDEX(상세표[시작],$M685)&amp;""))</f>
        <v/>
      </c>
      <c r="E685">
        <f>IF($M685="","",IF(ISNUMBER(INDEX(상세표[종료],$M685)),TEXT(INDEX(상세표[종료],$M685),"yyyy-mm-dd hh:mm"),INDEX(상세표[종료],$M685)&amp;""))</f>
        <v/>
      </c>
      <c r="F685" s="20">
        <f>IF($M685="","",INDEX(상세표[기록 시간외],$M685))</f>
        <v/>
      </c>
      <c r="G685">
        <f>IF($M685="","",INDEX(상세표[시작월 기관],$M685)&amp;"")</f>
        <v/>
      </c>
      <c r="H685">
        <f>IF($M685="","",INDEX(상세표[종료월 기관],$M685)&amp;"")</f>
        <v/>
      </c>
      <c r="I685">
        <f>IF($M685="","",INDEX(상세표[월경계 판정],$M685)&amp;"")</f>
        <v/>
      </c>
      <c r="J685">
        <f>IF($M685="","",INDEX(상세표[반영월],$M685)&amp;"")</f>
        <v/>
      </c>
      <c r="K685">
        <f>IF($M685="","",INDEX(상세표[반영 기관],$M685)&amp;"")</f>
        <v/>
      </c>
      <c r="L685">
        <f>IF($M685="","",INDEX(상세표[기관 출처],$M685)&amp;"")</f>
        <v/>
      </c>
      <c r="M685" s="4">
        <f>IFERROR(MATCH(680,상세표[경계순번],0),"")</f>
        <v/>
      </c>
    </row>
    <row r="686">
      <c r="A686">
        <f>IF($M686="","",INDEX(상세표[사번],$M686)&amp;"")</f>
        <v/>
      </c>
      <c r="B686">
        <f>IF($M686="","",INDEX(상세표[성명],$M686)&amp;"")</f>
        <v/>
      </c>
      <c r="C686">
        <f>IF($M686="","",IF(INDEX(상세표[종료월],$M686)=대상월키,"전월→이번 달","이번 달→익월"))</f>
        <v/>
      </c>
      <c r="D686">
        <f>IF($M686="","",IF(ISNUMBER(INDEX(상세표[시작],$M686)),TEXT(INDEX(상세표[시작],$M686),"yyyy-mm-dd hh:mm"),INDEX(상세표[시작],$M686)&amp;""))</f>
        <v/>
      </c>
      <c r="E686">
        <f>IF($M686="","",IF(ISNUMBER(INDEX(상세표[종료],$M686)),TEXT(INDEX(상세표[종료],$M686),"yyyy-mm-dd hh:mm"),INDEX(상세표[종료],$M686)&amp;""))</f>
        <v/>
      </c>
      <c r="F686" s="20">
        <f>IF($M686="","",INDEX(상세표[기록 시간외],$M686))</f>
        <v/>
      </c>
      <c r="G686">
        <f>IF($M686="","",INDEX(상세표[시작월 기관],$M686)&amp;"")</f>
        <v/>
      </c>
      <c r="H686">
        <f>IF($M686="","",INDEX(상세표[종료월 기관],$M686)&amp;"")</f>
        <v/>
      </c>
      <c r="I686">
        <f>IF($M686="","",INDEX(상세표[월경계 판정],$M686)&amp;"")</f>
        <v/>
      </c>
      <c r="J686">
        <f>IF($M686="","",INDEX(상세표[반영월],$M686)&amp;"")</f>
        <v/>
      </c>
      <c r="K686">
        <f>IF($M686="","",INDEX(상세표[반영 기관],$M686)&amp;"")</f>
        <v/>
      </c>
      <c r="L686">
        <f>IF($M686="","",INDEX(상세표[기관 출처],$M686)&amp;"")</f>
        <v/>
      </c>
      <c r="M686" s="4">
        <f>IFERROR(MATCH(681,상세표[경계순번],0),"")</f>
        <v/>
      </c>
    </row>
    <row r="687">
      <c r="A687">
        <f>IF($M687="","",INDEX(상세표[사번],$M687)&amp;"")</f>
        <v/>
      </c>
      <c r="B687">
        <f>IF($M687="","",INDEX(상세표[성명],$M687)&amp;"")</f>
        <v/>
      </c>
      <c r="C687">
        <f>IF($M687="","",IF(INDEX(상세표[종료월],$M687)=대상월키,"전월→이번 달","이번 달→익월"))</f>
        <v/>
      </c>
      <c r="D687">
        <f>IF($M687="","",IF(ISNUMBER(INDEX(상세표[시작],$M687)),TEXT(INDEX(상세표[시작],$M687),"yyyy-mm-dd hh:mm"),INDEX(상세표[시작],$M687)&amp;""))</f>
        <v/>
      </c>
      <c r="E687">
        <f>IF($M687="","",IF(ISNUMBER(INDEX(상세표[종료],$M687)),TEXT(INDEX(상세표[종료],$M687),"yyyy-mm-dd hh:mm"),INDEX(상세표[종료],$M687)&amp;""))</f>
        <v/>
      </c>
      <c r="F687" s="20">
        <f>IF($M687="","",INDEX(상세표[기록 시간외],$M687))</f>
        <v/>
      </c>
      <c r="G687">
        <f>IF($M687="","",INDEX(상세표[시작월 기관],$M687)&amp;"")</f>
        <v/>
      </c>
      <c r="H687">
        <f>IF($M687="","",INDEX(상세표[종료월 기관],$M687)&amp;"")</f>
        <v/>
      </c>
      <c r="I687">
        <f>IF($M687="","",INDEX(상세표[월경계 판정],$M687)&amp;"")</f>
        <v/>
      </c>
      <c r="J687">
        <f>IF($M687="","",INDEX(상세표[반영월],$M687)&amp;"")</f>
        <v/>
      </c>
      <c r="K687">
        <f>IF($M687="","",INDEX(상세표[반영 기관],$M687)&amp;"")</f>
        <v/>
      </c>
      <c r="L687">
        <f>IF($M687="","",INDEX(상세표[기관 출처],$M687)&amp;"")</f>
        <v/>
      </c>
      <c r="M687" s="4">
        <f>IFERROR(MATCH(682,상세표[경계순번],0),"")</f>
        <v/>
      </c>
    </row>
    <row r="688">
      <c r="A688">
        <f>IF($M688="","",INDEX(상세표[사번],$M688)&amp;"")</f>
        <v/>
      </c>
      <c r="B688">
        <f>IF($M688="","",INDEX(상세표[성명],$M688)&amp;"")</f>
        <v/>
      </c>
      <c r="C688">
        <f>IF($M688="","",IF(INDEX(상세표[종료월],$M688)=대상월키,"전월→이번 달","이번 달→익월"))</f>
        <v/>
      </c>
      <c r="D688">
        <f>IF($M688="","",IF(ISNUMBER(INDEX(상세표[시작],$M688)),TEXT(INDEX(상세표[시작],$M688),"yyyy-mm-dd hh:mm"),INDEX(상세표[시작],$M688)&amp;""))</f>
        <v/>
      </c>
      <c r="E688">
        <f>IF($M688="","",IF(ISNUMBER(INDEX(상세표[종료],$M688)),TEXT(INDEX(상세표[종료],$M688),"yyyy-mm-dd hh:mm"),INDEX(상세표[종료],$M688)&amp;""))</f>
        <v/>
      </c>
      <c r="F688" s="20">
        <f>IF($M688="","",INDEX(상세표[기록 시간외],$M688))</f>
        <v/>
      </c>
      <c r="G688">
        <f>IF($M688="","",INDEX(상세표[시작월 기관],$M688)&amp;"")</f>
        <v/>
      </c>
      <c r="H688">
        <f>IF($M688="","",INDEX(상세표[종료월 기관],$M688)&amp;"")</f>
        <v/>
      </c>
      <c r="I688">
        <f>IF($M688="","",INDEX(상세표[월경계 판정],$M688)&amp;"")</f>
        <v/>
      </c>
      <c r="J688">
        <f>IF($M688="","",INDEX(상세표[반영월],$M688)&amp;"")</f>
        <v/>
      </c>
      <c r="K688">
        <f>IF($M688="","",INDEX(상세표[반영 기관],$M688)&amp;"")</f>
        <v/>
      </c>
      <c r="L688">
        <f>IF($M688="","",INDEX(상세표[기관 출처],$M688)&amp;"")</f>
        <v/>
      </c>
      <c r="M688" s="4">
        <f>IFERROR(MATCH(683,상세표[경계순번],0),"")</f>
        <v/>
      </c>
    </row>
    <row r="689">
      <c r="A689">
        <f>IF($M689="","",INDEX(상세표[사번],$M689)&amp;"")</f>
        <v/>
      </c>
      <c r="B689">
        <f>IF($M689="","",INDEX(상세표[성명],$M689)&amp;"")</f>
        <v/>
      </c>
      <c r="C689">
        <f>IF($M689="","",IF(INDEX(상세표[종료월],$M689)=대상월키,"전월→이번 달","이번 달→익월"))</f>
        <v/>
      </c>
      <c r="D689">
        <f>IF($M689="","",IF(ISNUMBER(INDEX(상세표[시작],$M689)),TEXT(INDEX(상세표[시작],$M689),"yyyy-mm-dd hh:mm"),INDEX(상세표[시작],$M689)&amp;""))</f>
        <v/>
      </c>
      <c r="E689">
        <f>IF($M689="","",IF(ISNUMBER(INDEX(상세표[종료],$M689)),TEXT(INDEX(상세표[종료],$M689),"yyyy-mm-dd hh:mm"),INDEX(상세표[종료],$M689)&amp;""))</f>
        <v/>
      </c>
      <c r="F689" s="20">
        <f>IF($M689="","",INDEX(상세표[기록 시간외],$M689))</f>
        <v/>
      </c>
      <c r="G689">
        <f>IF($M689="","",INDEX(상세표[시작월 기관],$M689)&amp;"")</f>
        <v/>
      </c>
      <c r="H689">
        <f>IF($M689="","",INDEX(상세표[종료월 기관],$M689)&amp;"")</f>
        <v/>
      </c>
      <c r="I689">
        <f>IF($M689="","",INDEX(상세표[월경계 판정],$M689)&amp;"")</f>
        <v/>
      </c>
      <c r="J689">
        <f>IF($M689="","",INDEX(상세표[반영월],$M689)&amp;"")</f>
        <v/>
      </c>
      <c r="K689">
        <f>IF($M689="","",INDEX(상세표[반영 기관],$M689)&amp;"")</f>
        <v/>
      </c>
      <c r="L689">
        <f>IF($M689="","",INDEX(상세표[기관 출처],$M689)&amp;"")</f>
        <v/>
      </c>
      <c r="M689" s="4">
        <f>IFERROR(MATCH(684,상세표[경계순번],0),"")</f>
        <v/>
      </c>
    </row>
    <row r="690">
      <c r="A690">
        <f>IF($M690="","",INDEX(상세표[사번],$M690)&amp;"")</f>
        <v/>
      </c>
      <c r="B690">
        <f>IF($M690="","",INDEX(상세표[성명],$M690)&amp;"")</f>
        <v/>
      </c>
      <c r="C690">
        <f>IF($M690="","",IF(INDEX(상세표[종료월],$M690)=대상월키,"전월→이번 달","이번 달→익월"))</f>
        <v/>
      </c>
      <c r="D690">
        <f>IF($M690="","",IF(ISNUMBER(INDEX(상세표[시작],$M690)),TEXT(INDEX(상세표[시작],$M690),"yyyy-mm-dd hh:mm"),INDEX(상세표[시작],$M690)&amp;""))</f>
        <v/>
      </c>
      <c r="E690">
        <f>IF($M690="","",IF(ISNUMBER(INDEX(상세표[종료],$M690)),TEXT(INDEX(상세표[종료],$M690),"yyyy-mm-dd hh:mm"),INDEX(상세표[종료],$M690)&amp;""))</f>
        <v/>
      </c>
      <c r="F690" s="20">
        <f>IF($M690="","",INDEX(상세표[기록 시간외],$M690))</f>
        <v/>
      </c>
      <c r="G690">
        <f>IF($M690="","",INDEX(상세표[시작월 기관],$M690)&amp;"")</f>
        <v/>
      </c>
      <c r="H690">
        <f>IF($M690="","",INDEX(상세표[종료월 기관],$M690)&amp;"")</f>
        <v/>
      </c>
      <c r="I690">
        <f>IF($M690="","",INDEX(상세표[월경계 판정],$M690)&amp;"")</f>
        <v/>
      </c>
      <c r="J690">
        <f>IF($M690="","",INDEX(상세표[반영월],$M690)&amp;"")</f>
        <v/>
      </c>
      <c r="K690">
        <f>IF($M690="","",INDEX(상세표[반영 기관],$M690)&amp;"")</f>
        <v/>
      </c>
      <c r="L690">
        <f>IF($M690="","",INDEX(상세표[기관 출처],$M690)&amp;"")</f>
        <v/>
      </c>
      <c r="M690" s="4">
        <f>IFERROR(MATCH(685,상세표[경계순번],0),"")</f>
        <v/>
      </c>
    </row>
    <row r="691">
      <c r="A691">
        <f>IF($M691="","",INDEX(상세표[사번],$M691)&amp;"")</f>
        <v/>
      </c>
      <c r="B691">
        <f>IF($M691="","",INDEX(상세표[성명],$M691)&amp;"")</f>
        <v/>
      </c>
      <c r="C691">
        <f>IF($M691="","",IF(INDEX(상세표[종료월],$M691)=대상월키,"전월→이번 달","이번 달→익월"))</f>
        <v/>
      </c>
      <c r="D691">
        <f>IF($M691="","",IF(ISNUMBER(INDEX(상세표[시작],$M691)),TEXT(INDEX(상세표[시작],$M691),"yyyy-mm-dd hh:mm"),INDEX(상세표[시작],$M691)&amp;""))</f>
        <v/>
      </c>
      <c r="E691">
        <f>IF($M691="","",IF(ISNUMBER(INDEX(상세표[종료],$M691)),TEXT(INDEX(상세표[종료],$M691),"yyyy-mm-dd hh:mm"),INDEX(상세표[종료],$M691)&amp;""))</f>
        <v/>
      </c>
      <c r="F691" s="20">
        <f>IF($M691="","",INDEX(상세표[기록 시간외],$M691))</f>
        <v/>
      </c>
      <c r="G691">
        <f>IF($M691="","",INDEX(상세표[시작월 기관],$M691)&amp;"")</f>
        <v/>
      </c>
      <c r="H691">
        <f>IF($M691="","",INDEX(상세표[종료월 기관],$M691)&amp;"")</f>
        <v/>
      </c>
      <c r="I691">
        <f>IF($M691="","",INDEX(상세표[월경계 판정],$M691)&amp;"")</f>
        <v/>
      </c>
      <c r="J691">
        <f>IF($M691="","",INDEX(상세표[반영월],$M691)&amp;"")</f>
        <v/>
      </c>
      <c r="K691">
        <f>IF($M691="","",INDEX(상세표[반영 기관],$M691)&amp;"")</f>
        <v/>
      </c>
      <c r="L691">
        <f>IF($M691="","",INDEX(상세표[기관 출처],$M691)&amp;"")</f>
        <v/>
      </c>
      <c r="M691" s="4">
        <f>IFERROR(MATCH(686,상세표[경계순번],0),"")</f>
        <v/>
      </c>
    </row>
    <row r="692">
      <c r="A692">
        <f>IF($M692="","",INDEX(상세표[사번],$M692)&amp;"")</f>
        <v/>
      </c>
      <c r="B692">
        <f>IF($M692="","",INDEX(상세표[성명],$M692)&amp;"")</f>
        <v/>
      </c>
      <c r="C692">
        <f>IF($M692="","",IF(INDEX(상세표[종료월],$M692)=대상월키,"전월→이번 달","이번 달→익월"))</f>
        <v/>
      </c>
      <c r="D692">
        <f>IF($M692="","",IF(ISNUMBER(INDEX(상세표[시작],$M692)),TEXT(INDEX(상세표[시작],$M692),"yyyy-mm-dd hh:mm"),INDEX(상세표[시작],$M692)&amp;""))</f>
        <v/>
      </c>
      <c r="E692">
        <f>IF($M692="","",IF(ISNUMBER(INDEX(상세표[종료],$M692)),TEXT(INDEX(상세표[종료],$M692),"yyyy-mm-dd hh:mm"),INDEX(상세표[종료],$M692)&amp;""))</f>
        <v/>
      </c>
      <c r="F692" s="20">
        <f>IF($M692="","",INDEX(상세표[기록 시간외],$M692))</f>
        <v/>
      </c>
      <c r="G692">
        <f>IF($M692="","",INDEX(상세표[시작월 기관],$M692)&amp;"")</f>
        <v/>
      </c>
      <c r="H692">
        <f>IF($M692="","",INDEX(상세표[종료월 기관],$M692)&amp;"")</f>
        <v/>
      </c>
      <c r="I692">
        <f>IF($M692="","",INDEX(상세표[월경계 판정],$M692)&amp;"")</f>
        <v/>
      </c>
      <c r="J692">
        <f>IF($M692="","",INDEX(상세표[반영월],$M692)&amp;"")</f>
        <v/>
      </c>
      <c r="K692">
        <f>IF($M692="","",INDEX(상세표[반영 기관],$M692)&amp;"")</f>
        <v/>
      </c>
      <c r="L692">
        <f>IF($M692="","",INDEX(상세표[기관 출처],$M692)&amp;"")</f>
        <v/>
      </c>
      <c r="M692" s="4">
        <f>IFERROR(MATCH(687,상세표[경계순번],0),"")</f>
        <v/>
      </c>
    </row>
    <row r="693">
      <c r="A693">
        <f>IF($M693="","",INDEX(상세표[사번],$M693)&amp;"")</f>
        <v/>
      </c>
      <c r="B693">
        <f>IF($M693="","",INDEX(상세표[성명],$M693)&amp;"")</f>
        <v/>
      </c>
      <c r="C693">
        <f>IF($M693="","",IF(INDEX(상세표[종료월],$M693)=대상월키,"전월→이번 달","이번 달→익월"))</f>
        <v/>
      </c>
      <c r="D693">
        <f>IF($M693="","",IF(ISNUMBER(INDEX(상세표[시작],$M693)),TEXT(INDEX(상세표[시작],$M693),"yyyy-mm-dd hh:mm"),INDEX(상세표[시작],$M693)&amp;""))</f>
        <v/>
      </c>
      <c r="E693">
        <f>IF($M693="","",IF(ISNUMBER(INDEX(상세표[종료],$M693)),TEXT(INDEX(상세표[종료],$M693),"yyyy-mm-dd hh:mm"),INDEX(상세표[종료],$M693)&amp;""))</f>
        <v/>
      </c>
      <c r="F693" s="20">
        <f>IF($M693="","",INDEX(상세표[기록 시간외],$M693))</f>
        <v/>
      </c>
      <c r="G693">
        <f>IF($M693="","",INDEX(상세표[시작월 기관],$M693)&amp;"")</f>
        <v/>
      </c>
      <c r="H693">
        <f>IF($M693="","",INDEX(상세표[종료월 기관],$M693)&amp;"")</f>
        <v/>
      </c>
      <c r="I693">
        <f>IF($M693="","",INDEX(상세표[월경계 판정],$M693)&amp;"")</f>
        <v/>
      </c>
      <c r="J693">
        <f>IF($M693="","",INDEX(상세표[반영월],$M693)&amp;"")</f>
        <v/>
      </c>
      <c r="K693">
        <f>IF($M693="","",INDEX(상세표[반영 기관],$M693)&amp;"")</f>
        <v/>
      </c>
      <c r="L693">
        <f>IF($M693="","",INDEX(상세표[기관 출처],$M693)&amp;"")</f>
        <v/>
      </c>
      <c r="M693" s="4">
        <f>IFERROR(MATCH(688,상세표[경계순번],0),"")</f>
        <v/>
      </c>
    </row>
    <row r="694">
      <c r="A694">
        <f>IF($M694="","",INDEX(상세표[사번],$M694)&amp;"")</f>
        <v/>
      </c>
      <c r="B694">
        <f>IF($M694="","",INDEX(상세표[성명],$M694)&amp;"")</f>
        <v/>
      </c>
      <c r="C694">
        <f>IF($M694="","",IF(INDEX(상세표[종료월],$M694)=대상월키,"전월→이번 달","이번 달→익월"))</f>
        <v/>
      </c>
      <c r="D694">
        <f>IF($M694="","",IF(ISNUMBER(INDEX(상세표[시작],$M694)),TEXT(INDEX(상세표[시작],$M694),"yyyy-mm-dd hh:mm"),INDEX(상세표[시작],$M694)&amp;""))</f>
        <v/>
      </c>
      <c r="E694">
        <f>IF($M694="","",IF(ISNUMBER(INDEX(상세표[종료],$M694)),TEXT(INDEX(상세표[종료],$M694),"yyyy-mm-dd hh:mm"),INDEX(상세표[종료],$M694)&amp;""))</f>
        <v/>
      </c>
      <c r="F694" s="20">
        <f>IF($M694="","",INDEX(상세표[기록 시간외],$M694))</f>
        <v/>
      </c>
      <c r="G694">
        <f>IF($M694="","",INDEX(상세표[시작월 기관],$M694)&amp;"")</f>
        <v/>
      </c>
      <c r="H694">
        <f>IF($M694="","",INDEX(상세표[종료월 기관],$M694)&amp;"")</f>
        <v/>
      </c>
      <c r="I694">
        <f>IF($M694="","",INDEX(상세표[월경계 판정],$M694)&amp;"")</f>
        <v/>
      </c>
      <c r="J694">
        <f>IF($M694="","",INDEX(상세표[반영월],$M694)&amp;"")</f>
        <v/>
      </c>
      <c r="K694">
        <f>IF($M694="","",INDEX(상세표[반영 기관],$M694)&amp;"")</f>
        <v/>
      </c>
      <c r="L694">
        <f>IF($M694="","",INDEX(상세표[기관 출처],$M694)&amp;"")</f>
        <v/>
      </c>
      <c r="M694" s="4">
        <f>IFERROR(MATCH(689,상세표[경계순번],0),"")</f>
        <v/>
      </c>
    </row>
    <row r="695">
      <c r="A695">
        <f>IF($M695="","",INDEX(상세표[사번],$M695)&amp;"")</f>
        <v/>
      </c>
      <c r="B695">
        <f>IF($M695="","",INDEX(상세표[성명],$M695)&amp;"")</f>
        <v/>
      </c>
      <c r="C695">
        <f>IF($M695="","",IF(INDEX(상세표[종료월],$M695)=대상월키,"전월→이번 달","이번 달→익월"))</f>
        <v/>
      </c>
      <c r="D695">
        <f>IF($M695="","",IF(ISNUMBER(INDEX(상세표[시작],$M695)),TEXT(INDEX(상세표[시작],$M695),"yyyy-mm-dd hh:mm"),INDEX(상세표[시작],$M695)&amp;""))</f>
        <v/>
      </c>
      <c r="E695">
        <f>IF($M695="","",IF(ISNUMBER(INDEX(상세표[종료],$M695)),TEXT(INDEX(상세표[종료],$M695),"yyyy-mm-dd hh:mm"),INDEX(상세표[종료],$M695)&amp;""))</f>
        <v/>
      </c>
      <c r="F695" s="20">
        <f>IF($M695="","",INDEX(상세표[기록 시간외],$M695))</f>
        <v/>
      </c>
      <c r="G695">
        <f>IF($M695="","",INDEX(상세표[시작월 기관],$M695)&amp;"")</f>
        <v/>
      </c>
      <c r="H695">
        <f>IF($M695="","",INDEX(상세표[종료월 기관],$M695)&amp;"")</f>
        <v/>
      </c>
      <c r="I695">
        <f>IF($M695="","",INDEX(상세표[월경계 판정],$M695)&amp;"")</f>
        <v/>
      </c>
      <c r="J695">
        <f>IF($M695="","",INDEX(상세표[반영월],$M695)&amp;"")</f>
        <v/>
      </c>
      <c r="K695">
        <f>IF($M695="","",INDEX(상세표[반영 기관],$M695)&amp;"")</f>
        <v/>
      </c>
      <c r="L695">
        <f>IF($M695="","",INDEX(상세표[기관 출처],$M695)&amp;"")</f>
        <v/>
      </c>
      <c r="M695" s="4">
        <f>IFERROR(MATCH(690,상세표[경계순번],0),"")</f>
        <v/>
      </c>
    </row>
    <row r="696">
      <c r="A696">
        <f>IF($M696="","",INDEX(상세표[사번],$M696)&amp;"")</f>
        <v/>
      </c>
      <c r="B696">
        <f>IF($M696="","",INDEX(상세표[성명],$M696)&amp;"")</f>
        <v/>
      </c>
      <c r="C696">
        <f>IF($M696="","",IF(INDEX(상세표[종료월],$M696)=대상월키,"전월→이번 달","이번 달→익월"))</f>
        <v/>
      </c>
      <c r="D696">
        <f>IF($M696="","",IF(ISNUMBER(INDEX(상세표[시작],$M696)),TEXT(INDEX(상세표[시작],$M696),"yyyy-mm-dd hh:mm"),INDEX(상세표[시작],$M696)&amp;""))</f>
        <v/>
      </c>
      <c r="E696">
        <f>IF($M696="","",IF(ISNUMBER(INDEX(상세표[종료],$M696)),TEXT(INDEX(상세표[종료],$M696),"yyyy-mm-dd hh:mm"),INDEX(상세표[종료],$M696)&amp;""))</f>
        <v/>
      </c>
      <c r="F696" s="20">
        <f>IF($M696="","",INDEX(상세표[기록 시간외],$M696))</f>
        <v/>
      </c>
      <c r="G696">
        <f>IF($M696="","",INDEX(상세표[시작월 기관],$M696)&amp;"")</f>
        <v/>
      </c>
      <c r="H696">
        <f>IF($M696="","",INDEX(상세표[종료월 기관],$M696)&amp;"")</f>
        <v/>
      </c>
      <c r="I696">
        <f>IF($M696="","",INDEX(상세표[월경계 판정],$M696)&amp;"")</f>
        <v/>
      </c>
      <c r="J696">
        <f>IF($M696="","",INDEX(상세표[반영월],$M696)&amp;"")</f>
        <v/>
      </c>
      <c r="K696">
        <f>IF($M696="","",INDEX(상세표[반영 기관],$M696)&amp;"")</f>
        <v/>
      </c>
      <c r="L696">
        <f>IF($M696="","",INDEX(상세표[기관 출처],$M696)&amp;"")</f>
        <v/>
      </c>
      <c r="M696" s="4">
        <f>IFERROR(MATCH(691,상세표[경계순번],0),"")</f>
        <v/>
      </c>
    </row>
    <row r="697">
      <c r="A697">
        <f>IF($M697="","",INDEX(상세표[사번],$M697)&amp;"")</f>
        <v/>
      </c>
      <c r="B697">
        <f>IF($M697="","",INDEX(상세표[성명],$M697)&amp;"")</f>
        <v/>
      </c>
      <c r="C697">
        <f>IF($M697="","",IF(INDEX(상세표[종료월],$M697)=대상월키,"전월→이번 달","이번 달→익월"))</f>
        <v/>
      </c>
      <c r="D697">
        <f>IF($M697="","",IF(ISNUMBER(INDEX(상세표[시작],$M697)),TEXT(INDEX(상세표[시작],$M697),"yyyy-mm-dd hh:mm"),INDEX(상세표[시작],$M697)&amp;""))</f>
        <v/>
      </c>
      <c r="E697">
        <f>IF($M697="","",IF(ISNUMBER(INDEX(상세표[종료],$M697)),TEXT(INDEX(상세표[종료],$M697),"yyyy-mm-dd hh:mm"),INDEX(상세표[종료],$M697)&amp;""))</f>
        <v/>
      </c>
      <c r="F697" s="20">
        <f>IF($M697="","",INDEX(상세표[기록 시간외],$M697))</f>
        <v/>
      </c>
      <c r="G697">
        <f>IF($M697="","",INDEX(상세표[시작월 기관],$M697)&amp;"")</f>
        <v/>
      </c>
      <c r="H697">
        <f>IF($M697="","",INDEX(상세표[종료월 기관],$M697)&amp;"")</f>
        <v/>
      </c>
      <c r="I697">
        <f>IF($M697="","",INDEX(상세표[월경계 판정],$M697)&amp;"")</f>
        <v/>
      </c>
      <c r="J697">
        <f>IF($M697="","",INDEX(상세표[반영월],$M697)&amp;"")</f>
        <v/>
      </c>
      <c r="K697">
        <f>IF($M697="","",INDEX(상세표[반영 기관],$M697)&amp;"")</f>
        <v/>
      </c>
      <c r="L697">
        <f>IF($M697="","",INDEX(상세표[기관 출처],$M697)&amp;"")</f>
        <v/>
      </c>
      <c r="M697" s="4">
        <f>IFERROR(MATCH(692,상세표[경계순번],0),"")</f>
        <v/>
      </c>
    </row>
    <row r="698">
      <c r="A698">
        <f>IF($M698="","",INDEX(상세표[사번],$M698)&amp;"")</f>
        <v/>
      </c>
      <c r="B698">
        <f>IF($M698="","",INDEX(상세표[성명],$M698)&amp;"")</f>
        <v/>
      </c>
      <c r="C698">
        <f>IF($M698="","",IF(INDEX(상세표[종료월],$M698)=대상월키,"전월→이번 달","이번 달→익월"))</f>
        <v/>
      </c>
      <c r="D698">
        <f>IF($M698="","",IF(ISNUMBER(INDEX(상세표[시작],$M698)),TEXT(INDEX(상세표[시작],$M698),"yyyy-mm-dd hh:mm"),INDEX(상세표[시작],$M698)&amp;""))</f>
        <v/>
      </c>
      <c r="E698">
        <f>IF($M698="","",IF(ISNUMBER(INDEX(상세표[종료],$M698)),TEXT(INDEX(상세표[종료],$M698),"yyyy-mm-dd hh:mm"),INDEX(상세표[종료],$M698)&amp;""))</f>
        <v/>
      </c>
      <c r="F698" s="20">
        <f>IF($M698="","",INDEX(상세표[기록 시간외],$M698))</f>
        <v/>
      </c>
      <c r="G698">
        <f>IF($M698="","",INDEX(상세표[시작월 기관],$M698)&amp;"")</f>
        <v/>
      </c>
      <c r="H698">
        <f>IF($M698="","",INDEX(상세표[종료월 기관],$M698)&amp;"")</f>
        <v/>
      </c>
      <c r="I698">
        <f>IF($M698="","",INDEX(상세표[월경계 판정],$M698)&amp;"")</f>
        <v/>
      </c>
      <c r="J698">
        <f>IF($M698="","",INDEX(상세표[반영월],$M698)&amp;"")</f>
        <v/>
      </c>
      <c r="K698">
        <f>IF($M698="","",INDEX(상세표[반영 기관],$M698)&amp;"")</f>
        <v/>
      </c>
      <c r="L698">
        <f>IF($M698="","",INDEX(상세표[기관 출처],$M698)&amp;"")</f>
        <v/>
      </c>
      <c r="M698" s="4">
        <f>IFERROR(MATCH(693,상세표[경계순번],0),"")</f>
        <v/>
      </c>
    </row>
    <row r="699">
      <c r="A699">
        <f>IF($M699="","",INDEX(상세표[사번],$M699)&amp;"")</f>
        <v/>
      </c>
      <c r="B699">
        <f>IF($M699="","",INDEX(상세표[성명],$M699)&amp;"")</f>
        <v/>
      </c>
      <c r="C699">
        <f>IF($M699="","",IF(INDEX(상세표[종료월],$M699)=대상월키,"전월→이번 달","이번 달→익월"))</f>
        <v/>
      </c>
      <c r="D699">
        <f>IF($M699="","",IF(ISNUMBER(INDEX(상세표[시작],$M699)),TEXT(INDEX(상세표[시작],$M699),"yyyy-mm-dd hh:mm"),INDEX(상세표[시작],$M699)&amp;""))</f>
        <v/>
      </c>
      <c r="E699">
        <f>IF($M699="","",IF(ISNUMBER(INDEX(상세표[종료],$M699)),TEXT(INDEX(상세표[종료],$M699),"yyyy-mm-dd hh:mm"),INDEX(상세표[종료],$M699)&amp;""))</f>
        <v/>
      </c>
      <c r="F699" s="20">
        <f>IF($M699="","",INDEX(상세표[기록 시간외],$M699))</f>
        <v/>
      </c>
      <c r="G699">
        <f>IF($M699="","",INDEX(상세표[시작월 기관],$M699)&amp;"")</f>
        <v/>
      </c>
      <c r="H699">
        <f>IF($M699="","",INDEX(상세표[종료월 기관],$M699)&amp;"")</f>
        <v/>
      </c>
      <c r="I699">
        <f>IF($M699="","",INDEX(상세표[월경계 판정],$M699)&amp;"")</f>
        <v/>
      </c>
      <c r="J699">
        <f>IF($M699="","",INDEX(상세표[반영월],$M699)&amp;"")</f>
        <v/>
      </c>
      <c r="K699">
        <f>IF($M699="","",INDEX(상세표[반영 기관],$M699)&amp;"")</f>
        <v/>
      </c>
      <c r="L699">
        <f>IF($M699="","",INDEX(상세표[기관 출처],$M699)&amp;"")</f>
        <v/>
      </c>
      <c r="M699" s="4">
        <f>IFERROR(MATCH(694,상세표[경계순번],0),"")</f>
        <v/>
      </c>
    </row>
    <row r="700">
      <c r="A700">
        <f>IF($M700="","",INDEX(상세표[사번],$M700)&amp;"")</f>
        <v/>
      </c>
      <c r="B700">
        <f>IF($M700="","",INDEX(상세표[성명],$M700)&amp;"")</f>
        <v/>
      </c>
      <c r="C700">
        <f>IF($M700="","",IF(INDEX(상세표[종료월],$M700)=대상월키,"전월→이번 달","이번 달→익월"))</f>
        <v/>
      </c>
      <c r="D700">
        <f>IF($M700="","",IF(ISNUMBER(INDEX(상세표[시작],$M700)),TEXT(INDEX(상세표[시작],$M700),"yyyy-mm-dd hh:mm"),INDEX(상세표[시작],$M700)&amp;""))</f>
        <v/>
      </c>
      <c r="E700">
        <f>IF($M700="","",IF(ISNUMBER(INDEX(상세표[종료],$M700)),TEXT(INDEX(상세표[종료],$M700),"yyyy-mm-dd hh:mm"),INDEX(상세표[종료],$M700)&amp;""))</f>
        <v/>
      </c>
      <c r="F700" s="20">
        <f>IF($M700="","",INDEX(상세표[기록 시간외],$M700))</f>
        <v/>
      </c>
      <c r="G700">
        <f>IF($M700="","",INDEX(상세표[시작월 기관],$M700)&amp;"")</f>
        <v/>
      </c>
      <c r="H700">
        <f>IF($M700="","",INDEX(상세표[종료월 기관],$M700)&amp;"")</f>
        <v/>
      </c>
      <c r="I700">
        <f>IF($M700="","",INDEX(상세표[월경계 판정],$M700)&amp;"")</f>
        <v/>
      </c>
      <c r="J700">
        <f>IF($M700="","",INDEX(상세표[반영월],$M700)&amp;"")</f>
        <v/>
      </c>
      <c r="K700">
        <f>IF($M700="","",INDEX(상세표[반영 기관],$M700)&amp;"")</f>
        <v/>
      </c>
      <c r="L700">
        <f>IF($M700="","",INDEX(상세표[기관 출처],$M700)&amp;"")</f>
        <v/>
      </c>
      <c r="M700" s="4">
        <f>IFERROR(MATCH(695,상세표[경계순번],0),"")</f>
        <v/>
      </c>
    </row>
    <row r="701">
      <c r="A701">
        <f>IF($M701="","",INDEX(상세표[사번],$M701)&amp;"")</f>
        <v/>
      </c>
      <c r="B701">
        <f>IF($M701="","",INDEX(상세표[성명],$M701)&amp;"")</f>
        <v/>
      </c>
      <c r="C701">
        <f>IF($M701="","",IF(INDEX(상세표[종료월],$M701)=대상월키,"전월→이번 달","이번 달→익월"))</f>
        <v/>
      </c>
      <c r="D701">
        <f>IF($M701="","",IF(ISNUMBER(INDEX(상세표[시작],$M701)),TEXT(INDEX(상세표[시작],$M701),"yyyy-mm-dd hh:mm"),INDEX(상세표[시작],$M701)&amp;""))</f>
        <v/>
      </c>
      <c r="E701">
        <f>IF($M701="","",IF(ISNUMBER(INDEX(상세표[종료],$M701)),TEXT(INDEX(상세표[종료],$M701),"yyyy-mm-dd hh:mm"),INDEX(상세표[종료],$M701)&amp;""))</f>
        <v/>
      </c>
      <c r="F701" s="20">
        <f>IF($M701="","",INDEX(상세표[기록 시간외],$M701))</f>
        <v/>
      </c>
      <c r="G701">
        <f>IF($M701="","",INDEX(상세표[시작월 기관],$M701)&amp;"")</f>
        <v/>
      </c>
      <c r="H701">
        <f>IF($M701="","",INDEX(상세표[종료월 기관],$M701)&amp;"")</f>
        <v/>
      </c>
      <c r="I701">
        <f>IF($M701="","",INDEX(상세표[월경계 판정],$M701)&amp;"")</f>
        <v/>
      </c>
      <c r="J701">
        <f>IF($M701="","",INDEX(상세표[반영월],$M701)&amp;"")</f>
        <v/>
      </c>
      <c r="K701">
        <f>IF($M701="","",INDEX(상세표[반영 기관],$M701)&amp;"")</f>
        <v/>
      </c>
      <c r="L701">
        <f>IF($M701="","",INDEX(상세표[기관 출처],$M701)&amp;"")</f>
        <v/>
      </c>
      <c r="M701" s="4">
        <f>IFERROR(MATCH(696,상세표[경계순번],0),"")</f>
        <v/>
      </c>
    </row>
    <row r="702">
      <c r="A702">
        <f>IF($M702="","",INDEX(상세표[사번],$M702)&amp;"")</f>
        <v/>
      </c>
      <c r="B702">
        <f>IF($M702="","",INDEX(상세표[성명],$M702)&amp;"")</f>
        <v/>
      </c>
      <c r="C702">
        <f>IF($M702="","",IF(INDEX(상세표[종료월],$M702)=대상월키,"전월→이번 달","이번 달→익월"))</f>
        <v/>
      </c>
      <c r="D702">
        <f>IF($M702="","",IF(ISNUMBER(INDEX(상세표[시작],$M702)),TEXT(INDEX(상세표[시작],$M702),"yyyy-mm-dd hh:mm"),INDEX(상세표[시작],$M702)&amp;""))</f>
        <v/>
      </c>
      <c r="E702">
        <f>IF($M702="","",IF(ISNUMBER(INDEX(상세표[종료],$M702)),TEXT(INDEX(상세표[종료],$M702),"yyyy-mm-dd hh:mm"),INDEX(상세표[종료],$M702)&amp;""))</f>
        <v/>
      </c>
      <c r="F702" s="20">
        <f>IF($M702="","",INDEX(상세표[기록 시간외],$M702))</f>
        <v/>
      </c>
      <c r="G702">
        <f>IF($M702="","",INDEX(상세표[시작월 기관],$M702)&amp;"")</f>
        <v/>
      </c>
      <c r="H702">
        <f>IF($M702="","",INDEX(상세표[종료월 기관],$M702)&amp;"")</f>
        <v/>
      </c>
      <c r="I702">
        <f>IF($M702="","",INDEX(상세표[월경계 판정],$M702)&amp;"")</f>
        <v/>
      </c>
      <c r="J702">
        <f>IF($M702="","",INDEX(상세표[반영월],$M702)&amp;"")</f>
        <v/>
      </c>
      <c r="K702">
        <f>IF($M702="","",INDEX(상세표[반영 기관],$M702)&amp;"")</f>
        <v/>
      </c>
      <c r="L702">
        <f>IF($M702="","",INDEX(상세표[기관 출처],$M702)&amp;"")</f>
        <v/>
      </c>
      <c r="M702" s="4">
        <f>IFERROR(MATCH(697,상세표[경계순번],0),"")</f>
        <v/>
      </c>
    </row>
    <row r="703">
      <c r="A703">
        <f>IF($M703="","",INDEX(상세표[사번],$M703)&amp;"")</f>
        <v/>
      </c>
      <c r="B703">
        <f>IF($M703="","",INDEX(상세표[성명],$M703)&amp;"")</f>
        <v/>
      </c>
      <c r="C703">
        <f>IF($M703="","",IF(INDEX(상세표[종료월],$M703)=대상월키,"전월→이번 달","이번 달→익월"))</f>
        <v/>
      </c>
      <c r="D703">
        <f>IF($M703="","",IF(ISNUMBER(INDEX(상세표[시작],$M703)),TEXT(INDEX(상세표[시작],$M703),"yyyy-mm-dd hh:mm"),INDEX(상세표[시작],$M703)&amp;""))</f>
        <v/>
      </c>
      <c r="E703">
        <f>IF($M703="","",IF(ISNUMBER(INDEX(상세표[종료],$M703)),TEXT(INDEX(상세표[종료],$M703),"yyyy-mm-dd hh:mm"),INDEX(상세표[종료],$M703)&amp;""))</f>
        <v/>
      </c>
      <c r="F703" s="20">
        <f>IF($M703="","",INDEX(상세표[기록 시간외],$M703))</f>
        <v/>
      </c>
      <c r="G703">
        <f>IF($M703="","",INDEX(상세표[시작월 기관],$M703)&amp;"")</f>
        <v/>
      </c>
      <c r="H703">
        <f>IF($M703="","",INDEX(상세표[종료월 기관],$M703)&amp;"")</f>
        <v/>
      </c>
      <c r="I703">
        <f>IF($M703="","",INDEX(상세표[월경계 판정],$M703)&amp;"")</f>
        <v/>
      </c>
      <c r="J703">
        <f>IF($M703="","",INDEX(상세표[반영월],$M703)&amp;"")</f>
        <v/>
      </c>
      <c r="K703">
        <f>IF($M703="","",INDEX(상세표[반영 기관],$M703)&amp;"")</f>
        <v/>
      </c>
      <c r="L703">
        <f>IF($M703="","",INDEX(상세표[기관 출처],$M703)&amp;"")</f>
        <v/>
      </c>
      <c r="M703" s="4">
        <f>IFERROR(MATCH(698,상세표[경계순번],0),"")</f>
        <v/>
      </c>
    </row>
    <row r="704">
      <c r="A704">
        <f>IF($M704="","",INDEX(상세표[사번],$M704)&amp;"")</f>
        <v/>
      </c>
      <c r="B704">
        <f>IF($M704="","",INDEX(상세표[성명],$M704)&amp;"")</f>
        <v/>
      </c>
      <c r="C704">
        <f>IF($M704="","",IF(INDEX(상세표[종료월],$M704)=대상월키,"전월→이번 달","이번 달→익월"))</f>
        <v/>
      </c>
      <c r="D704">
        <f>IF($M704="","",IF(ISNUMBER(INDEX(상세표[시작],$M704)),TEXT(INDEX(상세표[시작],$M704),"yyyy-mm-dd hh:mm"),INDEX(상세표[시작],$M704)&amp;""))</f>
        <v/>
      </c>
      <c r="E704">
        <f>IF($M704="","",IF(ISNUMBER(INDEX(상세표[종료],$M704)),TEXT(INDEX(상세표[종료],$M704),"yyyy-mm-dd hh:mm"),INDEX(상세표[종료],$M704)&amp;""))</f>
        <v/>
      </c>
      <c r="F704" s="20">
        <f>IF($M704="","",INDEX(상세표[기록 시간외],$M704))</f>
        <v/>
      </c>
      <c r="G704">
        <f>IF($M704="","",INDEX(상세표[시작월 기관],$M704)&amp;"")</f>
        <v/>
      </c>
      <c r="H704">
        <f>IF($M704="","",INDEX(상세표[종료월 기관],$M704)&amp;"")</f>
        <v/>
      </c>
      <c r="I704">
        <f>IF($M704="","",INDEX(상세표[월경계 판정],$M704)&amp;"")</f>
        <v/>
      </c>
      <c r="J704">
        <f>IF($M704="","",INDEX(상세표[반영월],$M704)&amp;"")</f>
        <v/>
      </c>
      <c r="K704">
        <f>IF($M704="","",INDEX(상세표[반영 기관],$M704)&amp;"")</f>
        <v/>
      </c>
      <c r="L704">
        <f>IF($M704="","",INDEX(상세표[기관 출처],$M704)&amp;"")</f>
        <v/>
      </c>
      <c r="M704" s="4">
        <f>IFERROR(MATCH(699,상세표[경계순번],0),"")</f>
        <v/>
      </c>
    </row>
    <row r="705">
      <c r="A705">
        <f>IF($M705="","",INDEX(상세표[사번],$M705)&amp;"")</f>
        <v/>
      </c>
      <c r="B705">
        <f>IF($M705="","",INDEX(상세표[성명],$M705)&amp;"")</f>
        <v/>
      </c>
      <c r="C705">
        <f>IF($M705="","",IF(INDEX(상세표[종료월],$M705)=대상월키,"전월→이번 달","이번 달→익월"))</f>
        <v/>
      </c>
      <c r="D705">
        <f>IF($M705="","",IF(ISNUMBER(INDEX(상세표[시작],$M705)),TEXT(INDEX(상세표[시작],$M705),"yyyy-mm-dd hh:mm"),INDEX(상세표[시작],$M705)&amp;""))</f>
        <v/>
      </c>
      <c r="E705">
        <f>IF($M705="","",IF(ISNUMBER(INDEX(상세표[종료],$M705)),TEXT(INDEX(상세표[종료],$M705),"yyyy-mm-dd hh:mm"),INDEX(상세표[종료],$M705)&amp;""))</f>
        <v/>
      </c>
      <c r="F705" s="20">
        <f>IF($M705="","",INDEX(상세표[기록 시간외],$M705))</f>
        <v/>
      </c>
      <c r="G705">
        <f>IF($M705="","",INDEX(상세표[시작월 기관],$M705)&amp;"")</f>
        <v/>
      </c>
      <c r="H705">
        <f>IF($M705="","",INDEX(상세표[종료월 기관],$M705)&amp;"")</f>
        <v/>
      </c>
      <c r="I705">
        <f>IF($M705="","",INDEX(상세표[월경계 판정],$M705)&amp;"")</f>
        <v/>
      </c>
      <c r="J705">
        <f>IF($M705="","",INDEX(상세표[반영월],$M705)&amp;"")</f>
        <v/>
      </c>
      <c r="K705">
        <f>IF($M705="","",INDEX(상세표[반영 기관],$M705)&amp;"")</f>
        <v/>
      </c>
      <c r="L705">
        <f>IF($M705="","",INDEX(상세표[기관 출처],$M705)&amp;"")</f>
        <v/>
      </c>
      <c r="M705" s="4">
        <f>IFERROR(MATCH(700,상세표[경계순번],0),"")</f>
        <v/>
      </c>
    </row>
    <row r="706">
      <c r="A706">
        <f>IF($M706="","",INDEX(상세표[사번],$M706)&amp;"")</f>
        <v/>
      </c>
      <c r="B706">
        <f>IF($M706="","",INDEX(상세표[성명],$M706)&amp;"")</f>
        <v/>
      </c>
      <c r="C706">
        <f>IF($M706="","",IF(INDEX(상세표[종료월],$M706)=대상월키,"전월→이번 달","이번 달→익월"))</f>
        <v/>
      </c>
      <c r="D706">
        <f>IF($M706="","",IF(ISNUMBER(INDEX(상세표[시작],$M706)),TEXT(INDEX(상세표[시작],$M706),"yyyy-mm-dd hh:mm"),INDEX(상세표[시작],$M706)&amp;""))</f>
        <v/>
      </c>
      <c r="E706">
        <f>IF($M706="","",IF(ISNUMBER(INDEX(상세표[종료],$M706)),TEXT(INDEX(상세표[종료],$M706),"yyyy-mm-dd hh:mm"),INDEX(상세표[종료],$M706)&amp;""))</f>
        <v/>
      </c>
      <c r="F706" s="20">
        <f>IF($M706="","",INDEX(상세표[기록 시간외],$M706))</f>
        <v/>
      </c>
      <c r="G706">
        <f>IF($M706="","",INDEX(상세표[시작월 기관],$M706)&amp;"")</f>
        <v/>
      </c>
      <c r="H706">
        <f>IF($M706="","",INDEX(상세표[종료월 기관],$M706)&amp;"")</f>
        <v/>
      </c>
      <c r="I706">
        <f>IF($M706="","",INDEX(상세표[월경계 판정],$M706)&amp;"")</f>
        <v/>
      </c>
      <c r="J706">
        <f>IF($M706="","",INDEX(상세표[반영월],$M706)&amp;"")</f>
        <v/>
      </c>
      <c r="K706">
        <f>IF($M706="","",INDEX(상세표[반영 기관],$M706)&amp;"")</f>
        <v/>
      </c>
      <c r="L706">
        <f>IF($M706="","",INDEX(상세표[기관 출처],$M706)&amp;"")</f>
        <v/>
      </c>
      <c r="M706" s="4">
        <f>IFERROR(MATCH(701,상세표[경계순번],0),"")</f>
        <v/>
      </c>
    </row>
    <row r="707">
      <c r="A707">
        <f>IF($M707="","",INDEX(상세표[사번],$M707)&amp;"")</f>
        <v/>
      </c>
      <c r="B707">
        <f>IF($M707="","",INDEX(상세표[성명],$M707)&amp;"")</f>
        <v/>
      </c>
      <c r="C707">
        <f>IF($M707="","",IF(INDEX(상세표[종료월],$M707)=대상월키,"전월→이번 달","이번 달→익월"))</f>
        <v/>
      </c>
      <c r="D707">
        <f>IF($M707="","",IF(ISNUMBER(INDEX(상세표[시작],$M707)),TEXT(INDEX(상세표[시작],$M707),"yyyy-mm-dd hh:mm"),INDEX(상세표[시작],$M707)&amp;""))</f>
        <v/>
      </c>
      <c r="E707">
        <f>IF($M707="","",IF(ISNUMBER(INDEX(상세표[종료],$M707)),TEXT(INDEX(상세표[종료],$M707),"yyyy-mm-dd hh:mm"),INDEX(상세표[종료],$M707)&amp;""))</f>
        <v/>
      </c>
      <c r="F707" s="20">
        <f>IF($M707="","",INDEX(상세표[기록 시간외],$M707))</f>
        <v/>
      </c>
      <c r="G707">
        <f>IF($M707="","",INDEX(상세표[시작월 기관],$M707)&amp;"")</f>
        <v/>
      </c>
      <c r="H707">
        <f>IF($M707="","",INDEX(상세표[종료월 기관],$M707)&amp;"")</f>
        <v/>
      </c>
      <c r="I707">
        <f>IF($M707="","",INDEX(상세표[월경계 판정],$M707)&amp;"")</f>
        <v/>
      </c>
      <c r="J707">
        <f>IF($M707="","",INDEX(상세표[반영월],$M707)&amp;"")</f>
        <v/>
      </c>
      <c r="K707">
        <f>IF($M707="","",INDEX(상세표[반영 기관],$M707)&amp;"")</f>
        <v/>
      </c>
      <c r="L707">
        <f>IF($M707="","",INDEX(상세표[기관 출처],$M707)&amp;"")</f>
        <v/>
      </c>
      <c r="M707" s="4">
        <f>IFERROR(MATCH(702,상세표[경계순번],0),"")</f>
        <v/>
      </c>
    </row>
    <row r="708">
      <c r="A708">
        <f>IF($M708="","",INDEX(상세표[사번],$M708)&amp;"")</f>
        <v/>
      </c>
      <c r="B708">
        <f>IF($M708="","",INDEX(상세표[성명],$M708)&amp;"")</f>
        <v/>
      </c>
      <c r="C708">
        <f>IF($M708="","",IF(INDEX(상세표[종료월],$M708)=대상월키,"전월→이번 달","이번 달→익월"))</f>
        <v/>
      </c>
      <c r="D708">
        <f>IF($M708="","",IF(ISNUMBER(INDEX(상세표[시작],$M708)),TEXT(INDEX(상세표[시작],$M708),"yyyy-mm-dd hh:mm"),INDEX(상세표[시작],$M708)&amp;""))</f>
        <v/>
      </c>
      <c r="E708">
        <f>IF($M708="","",IF(ISNUMBER(INDEX(상세표[종료],$M708)),TEXT(INDEX(상세표[종료],$M708),"yyyy-mm-dd hh:mm"),INDEX(상세표[종료],$M708)&amp;""))</f>
        <v/>
      </c>
      <c r="F708" s="20">
        <f>IF($M708="","",INDEX(상세표[기록 시간외],$M708))</f>
        <v/>
      </c>
      <c r="G708">
        <f>IF($M708="","",INDEX(상세표[시작월 기관],$M708)&amp;"")</f>
        <v/>
      </c>
      <c r="H708">
        <f>IF($M708="","",INDEX(상세표[종료월 기관],$M708)&amp;"")</f>
        <v/>
      </c>
      <c r="I708">
        <f>IF($M708="","",INDEX(상세표[월경계 판정],$M708)&amp;"")</f>
        <v/>
      </c>
      <c r="J708">
        <f>IF($M708="","",INDEX(상세표[반영월],$M708)&amp;"")</f>
        <v/>
      </c>
      <c r="K708">
        <f>IF($M708="","",INDEX(상세표[반영 기관],$M708)&amp;"")</f>
        <v/>
      </c>
      <c r="L708">
        <f>IF($M708="","",INDEX(상세표[기관 출처],$M708)&amp;"")</f>
        <v/>
      </c>
      <c r="M708" s="4">
        <f>IFERROR(MATCH(703,상세표[경계순번],0),"")</f>
        <v/>
      </c>
    </row>
    <row r="709">
      <c r="A709">
        <f>IF($M709="","",INDEX(상세표[사번],$M709)&amp;"")</f>
        <v/>
      </c>
      <c r="B709">
        <f>IF($M709="","",INDEX(상세표[성명],$M709)&amp;"")</f>
        <v/>
      </c>
      <c r="C709">
        <f>IF($M709="","",IF(INDEX(상세표[종료월],$M709)=대상월키,"전월→이번 달","이번 달→익월"))</f>
        <v/>
      </c>
      <c r="D709">
        <f>IF($M709="","",IF(ISNUMBER(INDEX(상세표[시작],$M709)),TEXT(INDEX(상세표[시작],$M709),"yyyy-mm-dd hh:mm"),INDEX(상세표[시작],$M709)&amp;""))</f>
        <v/>
      </c>
      <c r="E709">
        <f>IF($M709="","",IF(ISNUMBER(INDEX(상세표[종료],$M709)),TEXT(INDEX(상세표[종료],$M709),"yyyy-mm-dd hh:mm"),INDEX(상세표[종료],$M709)&amp;""))</f>
        <v/>
      </c>
      <c r="F709" s="20">
        <f>IF($M709="","",INDEX(상세표[기록 시간외],$M709))</f>
        <v/>
      </c>
      <c r="G709">
        <f>IF($M709="","",INDEX(상세표[시작월 기관],$M709)&amp;"")</f>
        <v/>
      </c>
      <c r="H709">
        <f>IF($M709="","",INDEX(상세표[종료월 기관],$M709)&amp;"")</f>
        <v/>
      </c>
      <c r="I709">
        <f>IF($M709="","",INDEX(상세표[월경계 판정],$M709)&amp;"")</f>
        <v/>
      </c>
      <c r="J709">
        <f>IF($M709="","",INDEX(상세표[반영월],$M709)&amp;"")</f>
        <v/>
      </c>
      <c r="K709">
        <f>IF($M709="","",INDEX(상세표[반영 기관],$M709)&amp;"")</f>
        <v/>
      </c>
      <c r="L709">
        <f>IF($M709="","",INDEX(상세표[기관 출처],$M709)&amp;"")</f>
        <v/>
      </c>
      <c r="M709" s="4">
        <f>IFERROR(MATCH(704,상세표[경계순번],0),"")</f>
        <v/>
      </c>
    </row>
    <row r="710">
      <c r="A710">
        <f>IF($M710="","",INDEX(상세표[사번],$M710)&amp;"")</f>
        <v/>
      </c>
      <c r="B710">
        <f>IF($M710="","",INDEX(상세표[성명],$M710)&amp;"")</f>
        <v/>
      </c>
      <c r="C710">
        <f>IF($M710="","",IF(INDEX(상세표[종료월],$M710)=대상월키,"전월→이번 달","이번 달→익월"))</f>
        <v/>
      </c>
      <c r="D710">
        <f>IF($M710="","",IF(ISNUMBER(INDEX(상세표[시작],$M710)),TEXT(INDEX(상세표[시작],$M710),"yyyy-mm-dd hh:mm"),INDEX(상세표[시작],$M710)&amp;""))</f>
        <v/>
      </c>
      <c r="E710">
        <f>IF($M710="","",IF(ISNUMBER(INDEX(상세표[종료],$M710)),TEXT(INDEX(상세표[종료],$M710),"yyyy-mm-dd hh:mm"),INDEX(상세표[종료],$M710)&amp;""))</f>
        <v/>
      </c>
      <c r="F710" s="20">
        <f>IF($M710="","",INDEX(상세표[기록 시간외],$M710))</f>
        <v/>
      </c>
      <c r="G710">
        <f>IF($M710="","",INDEX(상세표[시작월 기관],$M710)&amp;"")</f>
        <v/>
      </c>
      <c r="H710">
        <f>IF($M710="","",INDEX(상세표[종료월 기관],$M710)&amp;"")</f>
        <v/>
      </c>
      <c r="I710">
        <f>IF($M710="","",INDEX(상세표[월경계 판정],$M710)&amp;"")</f>
        <v/>
      </c>
      <c r="J710">
        <f>IF($M710="","",INDEX(상세표[반영월],$M710)&amp;"")</f>
        <v/>
      </c>
      <c r="K710">
        <f>IF($M710="","",INDEX(상세표[반영 기관],$M710)&amp;"")</f>
        <v/>
      </c>
      <c r="L710">
        <f>IF($M710="","",INDEX(상세표[기관 출처],$M710)&amp;"")</f>
        <v/>
      </c>
      <c r="M710" s="4">
        <f>IFERROR(MATCH(705,상세표[경계순번],0),"")</f>
        <v/>
      </c>
    </row>
    <row r="711">
      <c r="A711">
        <f>IF($M711="","",INDEX(상세표[사번],$M711)&amp;"")</f>
        <v/>
      </c>
      <c r="B711">
        <f>IF($M711="","",INDEX(상세표[성명],$M711)&amp;"")</f>
        <v/>
      </c>
      <c r="C711">
        <f>IF($M711="","",IF(INDEX(상세표[종료월],$M711)=대상월키,"전월→이번 달","이번 달→익월"))</f>
        <v/>
      </c>
      <c r="D711">
        <f>IF($M711="","",IF(ISNUMBER(INDEX(상세표[시작],$M711)),TEXT(INDEX(상세표[시작],$M711),"yyyy-mm-dd hh:mm"),INDEX(상세표[시작],$M711)&amp;""))</f>
        <v/>
      </c>
      <c r="E711">
        <f>IF($M711="","",IF(ISNUMBER(INDEX(상세표[종료],$M711)),TEXT(INDEX(상세표[종료],$M711),"yyyy-mm-dd hh:mm"),INDEX(상세표[종료],$M711)&amp;""))</f>
        <v/>
      </c>
      <c r="F711" s="20">
        <f>IF($M711="","",INDEX(상세표[기록 시간외],$M711))</f>
        <v/>
      </c>
      <c r="G711">
        <f>IF($M711="","",INDEX(상세표[시작월 기관],$M711)&amp;"")</f>
        <v/>
      </c>
      <c r="H711">
        <f>IF($M711="","",INDEX(상세표[종료월 기관],$M711)&amp;"")</f>
        <v/>
      </c>
      <c r="I711">
        <f>IF($M711="","",INDEX(상세표[월경계 판정],$M711)&amp;"")</f>
        <v/>
      </c>
      <c r="J711">
        <f>IF($M711="","",INDEX(상세표[반영월],$M711)&amp;"")</f>
        <v/>
      </c>
      <c r="K711">
        <f>IF($M711="","",INDEX(상세표[반영 기관],$M711)&amp;"")</f>
        <v/>
      </c>
      <c r="L711">
        <f>IF($M711="","",INDEX(상세표[기관 출처],$M711)&amp;"")</f>
        <v/>
      </c>
      <c r="M711" s="4">
        <f>IFERROR(MATCH(706,상세표[경계순번],0),"")</f>
        <v/>
      </c>
    </row>
    <row r="712">
      <c r="A712">
        <f>IF($M712="","",INDEX(상세표[사번],$M712)&amp;"")</f>
        <v/>
      </c>
      <c r="B712">
        <f>IF($M712="","",INDEX(상세표[성명],$M712)&amp;"")</f>
        <v/>
      </c>
      <c r="C712">
        <f>IF($M712="","",IF(INDEX(상세표[종료월],$M712)=대상월키,"전월→이번 달","이번 달→익월"))</f>
        <v/>
      </c>
      <c r="D712">
        <f>IF($M712="","",IF(ISNUMBER(INDEX(상세표[시작],$M712)),TEXT(INDEX(상세표[시작],$M712),"yyyy-mm-dd hh:mm"),INDEX(상세표[시작],$M712)&amp;""))</f>
        <v/>
      </c>
      <c r="E712">
        <f>IF($M712="","",IF(ISNUMBER(INDEX(상세표[종료],$M712)),TEXT(INDEX(상세표[종료],$M712),"yyyy-mm-dd hh:mm"),INDEX(상세표[종료],$M712)&amp;""))</f>
        <v/>
      </c>
      <c r="F712" s="20">
        <f>IF($M712="","",INDEX(상세표[기록 시간외],$M712))</f>
        <v/>
      </c>
      <c r="G712">
        <f>IF($M712="","",INDEX(상세표[시작월 기관],$M712)&amp;"")</f>
        <v/>
      </c>
      <c r="H712">
        <f>IF($M712="","",INDEX(상세표[종료월 기관],$M712)&amp;"")</f>
        <v/>
      </c>
      <c r="I712">
        <f>IF($M712="","",INDEX(상세표[월경계 판정],$M712)&amp;"")</f>
        <v/>
      </c>
      <c r="J712">
        <f>IF($M712="","",INDEX(상세표[반영월],$M712)&amp;"")</f>
        <v/>
      </c>
      <c r="K712">
        <f>IF($M712="","",INDEX(상세표[반영 기관],$M712)&amp;"")</f>
        <v/>
      </c>
      <c r="L712">
        <f>IF($M712="","",INDEX(상세표[기관 출처],$M712)&amp;"")</f>
        <v/>
      </c>
      <c r="M712" s="4">
        <f>IFERROR(MATCH(707,상세표[경계순번],0),"")</f>
        <v/>
      </c>
    </row>
    <row r="713">
      <c r="A713">
        <f>IF($M713="","",INDEX(상세표[사번],$M713)&amp;"")</f>
        <v/>
      </c>
      <c r="B713">
        <f>IF($M713="","",INDEX(상세표[성명],$M713)&amp;"")</f>
        <v/>
      </c>
      <c r="C713">
        <f>IF($M713="","",IF(INDEX(상세표[종료월],$M713)=대상월키,"전월→이번 달","이번 달→익월"))</f>
        <v/>
      </c>
      <c r="D713">
        <f>IF($M713="","",IF(ISNUMBER(INDEX(상세표[시작],$M713)),TEXT(INDEX(상세표[시작],$M713),"yyyy-mm-dd hh:mm"),INDEX(상세표[시작],$M713)&amp;""))</f>
        <v/>
      </c>
      <c r="E713">
        <f>IF($M713="","",IF(ISNUMBER(INDEX(상세표[종료],$M713)),TEXT(INDEX(상세표[종료],$M713),"yyyy-mm-dd hh:mm"),INDEX(상세표[종료],$M713)&amp;""))</f>
        <v/>
      </c>
      <c r="F713" s="20">
        <f>IF($M713="","",INDEX(상세표[기록 시간외],$M713))</f>
        <v/>
      </c>
      <c r="G713">
        <f>IF($M713="","",INDEX(상세표[시작월 기관],$M713)&amp;"")</f>
        <v/>
      </c>
      <c r="H713">
        <f>IF($M713="","",INDEX(상세표[종료월 기관],$M713)&amp;"")</f>
        <v/>
      </c>
      <c r="I713">
        <f>IF($M713="","",INDEX(상세표[월경계 판정],$M713)&amp;"")</f>
        <v/>
      </c>
      <c r="J713">
        <f>IF($M713="","",INDEX(상세표[반영월],$M713)&amp;"")</f>
        <v/>
      </c>
      <c r="K713">
        <f>IF($M713="","",INDEX(상세표[반영 기관],$M713)&amp;"")</f>
        <v/>
      </c>
      <c r="L713">
        <f>IF($M713="","",INDEX(상세표[기관 출처],$M713)&amp;"")</f>
        <v/>
      </c>
      <c r="M713" s="4">
        <f>IFERROR(MATCH(708,상세표[경계순번],0),"")</f>
        <v/>
      </c>
    </row>
    <row r="714">
      <c r="A714">
        <f>IF($M714="","",INDEX(상세표[사번],$M714)&amp;"")</f>
        <v/>
      </c>
      <c r="B714">
        <f>IF($M714="","",INDEX(상세표[성명],$M714)&amp;"")</f>
        <v/>
      </c>
      <c r="C714">
        <f>IF($M714="","",IF(INDEX(상세표[종료월],$M714)=대상월키,"전월→이번 달","이번 달→익월"))</f>
        <v/>
      </c>
      <c r="D714">
        <f>IF($M714="","",IF(ISNUMBER(INDEX(상세표[시작],$M714)),TEXT(INDEX(상세표[시작],$M714),"yyyy-mm-dd hh:mm"),INDEX(상세표[시작],$M714)&amp;""))</f>
        <v/>
      </c>
      <c r="E714">
        <f>IF($M714="","",IF(ISNUMBER(INDEX(상세표[종료],$M714)),TEXT(INDEX(상세표[종료],$M714),"yyyy-mm-dd hh:mm"),INDEX(상세표[종료],$M714)&amp;""))</f>
        <v/>
      </c>
      <c r="F714" s="20">
        <f>IF($M714="","",INDEX(상세표[기록 시간외],$M714))</f>
        <v/>
      </c>
      <c r="G714">
        <f>IF($M714="","",INDEX(상세표[시작월 기관],$M714)&amp;"")</f>
        <v/>
      </c>
      <c r="H714">
        <f>IF($M714="","",INDEX(상세표[종료월 기관],$M714)&amp;"")</f>
        <v/>
      </c>
      <c r="I714">
        <f>IF($M714="","",INDEX(상세표[월경계 판정],$M714)&amp;"")</f>
        <v/>
      </c>
      <c r="J714">
        <f>IF($M714="","",INDEX(상세표[반영월],$M714)&amp;"")</f>
        <v/>
      </c>
      <c r="K714">
        <f>IF($M714="","",INDEX(상세표[반영 기관],$M714)&amp;"")</f>
        <v/>
      </c>
      <c r="L714">
        <f>IF($M714="","",INDEX(상세표[기관 출처],$M714)&amp;"")</f>
        <v/>
      </c>
      <c r="M714" s="4">
        <f>IFERROR(MATCH(709,상세표[경계순번],0),"")</f>
        <v/>
      </c>
    </row>
    <row r="715">
      <c r="A715">
        <f>IF($M715="","",INDEX(상세표[사번],$M715)&amp;"")</f>
        <v/>
      </c>
      <c r="B715">
        <f>IF($M715="","",INDEX(상세표[성명],$M715)&amp;"")</f>
        <v/>
      </c>
      <c r="C715">
        <f>IF($M715="","",IF(INDEX(상세표[종료월],$M715)=대상월키,"전월→이번 달","이번 달→익월"))</f>
        <v/>
      </c>
      <c r="D715">
        <f>IF($M715="","",IF(ISNUMBER(INDEX(상세표[시작],$M715)),TEXT(INDEX(상세표[시작],$M715),"yyyy-mm-dd hh:mm"),INDEX(상세표[시작],$M715)&amp;""))</f>
        <v/>
      </c>
      <c r="E715">
        <f>IF($M715="","",IF(ISNUMBER(INDEX(상세표[종료],$M715)),TEXT(INDEX(상세표[종료],$M715),"yyyy-mm-dd hh:mm"),INDEX(상세표[종료],$M715)&amp;""))</f>
        <v/>
      </c>
      <c r="F715" s="20">
        <f>IF($M715="","",INDEX(상세표[기록 시간외],$M715))</f>
        <v/>
      </c>
      <c r="G715">
        <f>IF($M715="","",INDEX(상세표[시작월 기관],$M715)&amp;"")</f>
        <v/>
      </c>
      <c r="H715">
        <f>IF($M715="","",INDEX(상세표[종료월 기관],$M715)&amp;"")</f>
        <v/>
      </c>
      <c r="I715">
        <f>IF($M715="","",INDEX(상세표[월경계 판정],$M715)&amp;"")</f>
        <v/>
      </c>
      <c r="J715">
        <f>IF($M715="","",INDEX(상세표[반영월],$M715)&amp;"")</f>
        <v/>
      </c>
      <c r="K715">
        <f>IF($M715="","",INDEX(상세표[반영 기관],$M715)&amp;"")</f>
        <v/>
      </c>
      <c r="L715">
        <f>IF($M715="","",INDEX(상세표[기관 출처],$M715)&amp;"")</f>
        <v/>
      </c>
      <c r="M715" s="4">
        <f>IFERROR(MATCH(710,상세표[경계순번],0),"")</f>
        <v/>
      </c>
    </row>
    <row r="716">
      <c r="A716">
        <f>IF($M716="","",INDEX(상세표[사번],$M716)&amp;"")</f>
        <v/>
      </c>
      <c r="B716">
        <f>IF($M716="","",INDEX(상세표[성명],$M716)&amp;"")</f>
        <v/>
      </c>
      <c r="C716">
        <f>IF($M716="","",IF(INDEX(상세표[종료월],$M716)=대상월키,"전월→이번 달","이번 달→익월"))</f>
        <v/>
      </c>
      <c r="D716">
        <f>IF($M716="","",IF(ISNUMBER(INDEX(상세표[시작],$M716)),TEXT(INDEX(상세표[시작],$M716),"yyyy-mm-dd hh:mm"),INDEX(상세표[시작],$M716)&amp;""))</f>
        <v/>
      </c>
      <c r="E716">
        <f>IF($M716="","",IF(ISNUMBER(INDEX(상세표[종료],$M716)),TEXT(INDEX(상세표[종료],$M716),"yyyy-mm-dd hh:mm"),INDEX(상세표[종료],$M716)&amp;""))</f>
        <v/>
      </c>
      <c r="F716" s="20">
        <f>IF($M716="","",INDEX(상세표[기록 시간외],$M716))</f>
        <v/>
      </c>
      <c r="G716">
        <f>IF($M716="","",INDEX(상세표[시작월 기관],$M716)&amp;"")</f>
        <v/>
      </c>
      <c r="H716">
        <f>IF($M716="","",INDEX(상세표[종료월 기관],$M716)&amp;"")</f>
        <v/>
      </c>
      <c r="I716">
        <f>IF($M716="","",INDEX(상세표[월경계 판정],$M716)&amp;"")</f>
        <v/>
      </c>
      <c r="J716">
        <f>IF($M716="","",INDEX(상세표[반영월],$M716)&amp;"")</f>
        <v/>
      </c>
      <c r="K716">
        <f>IF($M716="","",INDEX(상세표[반영 기관],$M716)&amp;"")</f>
        <v/>
      </c>
      <c r="L716">
        <f>IF($M716="","",INDEX(상세표[기관 출처],$M716)&amp;"")</f>
        <v/>
      </c>
      <c r="M716" s="4">
        <f>IFERROR(MATCH(711,상세표[경계순번],0),"")</f>
        <v/>
      </c>
    </row>
    <row r="717">
      <c r="A717">
        <f>IF($M717="","",INDEX(상세표[사번],$M717)&amp;"")</f>
        <v/>
      </c>
      <c r="B717">
        <f>IF($M717="","",INDEX(상세표[성명],$M717)&amp;"")</f>
        <v/>
      </c>
      <c r="C717">
        <f>IF($M717="","",IF(INDEX(상세표[종료월],$M717)=대상월키,"전월→이번 달","이번 달→익월"))</f>
        <v/>
      </c>
      <c r="D717">
        <f>IF($M717="","",IF(ISNUMBER(INDEX(상세표[시작],$M717)),TEXT(INDEX(상세표[시작],$M717),"yyyy-mm-dd hh:mm"),INDEX(상세표[시작],$M717)&amp;""))</f>
        <v/>
      </c>
      <c r="E717">
        <f>IF($M717="","",IF(ISNUMBER(INDEX(상세표[종료],$M717)),TEXT(INDEX(상세표[종료],$M717),"yyyy-mm-dd hh:mm"),INDEX(상세표[종료],$M717)&amp;""))</f>
        <v/>
      </c>
      <c r="F717" s="20">
        <f>IF($M717="","",INDEX(상세표[기록 시간외],$M717))</f>
        <v/>
      </c>
      <c r="G717">
        <f>IF($M717="","",INDEX(상세표[시작월 기관],$M717)&amp;"")</f>
        <v/>
      </c>
      <c r="H717">
        <f>IF($M717="","",INDEX(상세표[종료월 기관],$M717)&amp;"")</f>
        <v/>
      </c>
      <c r="I717">
        <f>IF($M717="","",INDEX(상세표[월경계 판정],$M717)&amp;"")</f>
        <v/>
      </c>
      <c r="J717">
        <f>IF($M717="","",INDEX(상세표[반영월],$M717)&amp;"")</f>
        <v/>
      </c>
      <c r="K717">
        <f>IF($M717="","",INDEX(상세표[반영 기관],$M717)&amp;"")</f>
        <v/>
      </c>
      <c r="L717">
        <f>IF($M717="","",INDEX(상세표[기관 출처],$M717)&amp;"")</f>
        <v/>
      </c>
      <c r="M717" s="4">
        <f>IFERROR(MATCH(712,상세표[경계순번],0),"")</f>
        <v/>
      </c>
    </row>
    <row r="718">
      <c r="A718">
        <f>IF($M718="","",INDEX(상세표[사번],$M718)&amp;"")</f>
        <v/>
      </c>
      <c r="B718">
        <f>IF($M718="","",INDEX(상세표[성명],$M718)&amp;"")</f>
        <v/>
      </c>
      <c r="C718">
        <f>IF($M718="","",IF(INDEX(상세표[종료월],$M718)=대상월키,"전월→이번 달","이번 달→익월"))</f>
        <v/>
      </c>
      <c r="D718">
        <f>IF($M718="","",IF(ISNUMBER(INDEX(상세표[시작],$M718)),TEXT(INDEX(상세표[시작],$M718),"yyyy-mm-dd hh:mm"),INDEX(상세표[시작],$M718)&amp;""))</f>
        <v/>
      </c>
      <c r="E718">
        <f>IF($M718="","",IF(ISNUMBER(INDEX(상세표[종료],$M718)),TEXT(INDEX(상세표[종료],$M718),"yyyy-mm-dd hh:mm"),INDEX(상세표[종료],$M718)&amp;""))</f>
        <v/>
      </c>
      <c r="F718" s="20">
        <f>IF($M718="","",INDEX(상세표[기록 시간외],$M718))</f>
        <v/>
      </c>
      <c r="G718">
        <f>IF($M718="","",INDEX(상세표[시작월 기관],$M718)&amp;"")</f>
        <v/>
      </c>
      <c r="H718">
        <f>IF($M718="","",INDEX(상세표[종료월 기관],$M718)&amp;"")</f>
        <v/>
      </c>
      <c r="I718">
        <f>IF($M718="","",INDEX(상세표[월경계 판정],$M718)&amp;"")</f>
        <v/>
      </c>
      <c r="J718">
        <f>IF($M718="","",INDEX(상세표[반영월],$M718)&amp;"")</f>
        <v/>
      </c>
      <c r="K718">
        <f>IF($M718="","",INDEX(상세표[반영 기관],$M718)&amp;"")</f>
        <v/>
      </c>
      <c r="L718">
        <f>IF($M718="","",INDEX(상세표[기관 출처],$M718)&amp;"")</f>
        <v/>
      </c>
      <c r="M718" s="4">
        <f>IFERROR(MATCH(713,상세표[경계순번],0),"")</f>
        <v/>
      </c>
    </row>
    <row r="719">
      <c r="A719">
        <f>IF($M719="","",INDEX(상세표[사번],$M719)&amp;"")</f>
        <v/>
      </c>
      <c r="B719">
        <f>IF($M719="","",INDEX(상세표[성명],$M719)&amp;"")</f>
        <v/>
      </c>
      <c r="C719">
        <f>IF($M719="","",IF(INDEX(상세표[종료월],$M719)=대상월키,"전월→이번 달","이번 달→익월"))</f>
        <v/>
      </c>
      <c r="D719">
        <f>IF($M719="","",IF(ISNUMBER(INDEX(상세표[시작],$M719)),TEXT(INDEX(상세표[시작],$M719),"yyyy-mm-dd hh:mm"),INDEX(상세표[시작],$M719)&amp;""))</f>
        <v/>
      </c>
      <c r="E719">
        <f>IF($M719="","",IF(ISNUMBER(INDEX(상세표[종료],$M719)),TEXT(INDEX(상세표[종료],$M719),"yyyy-mm-dd hh:mm"),INDEX(상세표[종료],$M719)&amp;""))</f>
        <v/>
      </c>
      <c r="F719" s="20">
        <f>IF($M719="","",INDEX(상세표[기록 시간외],$M719))</f>
        <v/>
      </c>
      <c r="G719">
        <f>IF($M719="","",INDEX(상세표[시작월 기관],$M719)&amp;"")</f>
        <v/>
      </c>
      <c r="H719">
        <f>IF($M719="","",INDEX(상세표[종료월 기관],$M719)&amp;"")</f>
        <v/>
      </c>
      <c r="I719">
        <f>IF($M719="","",INDEX(상세표[월경계 판정],$M719)&amp;"")</f>
        <v/>
      </c>
      <c r="J719">
        <f>IF($M719="","",INDEX(상세표[반영월],$M719)&amp;"")</f>
        <v/>
      </c>
      <c r="K719">
        <f>IF($M719="","",INDEX(상세표[반영 기관],$M719)&amp;"")</f>
        <v/>
      </c>
      <c r="L719">
        <f>IF($M719="","",INDEX(상세표[기관 출처],$M719)&amp;"")</f>
        <v/>
      </c>
      <c r="M719" s="4">
        <f>IFERROR(MATCH(714,상세표[경계순번],0),"")</f>
        <v/>
      </c>
    </row>
    <row r="720">
      <c r="A720">
        <f>IF($M720="","",INDEX(상세표[사번],$M720)&amp;"")</f>
        <v/>
      </c>
      <c r="B720">
        <f>IF($M720="","",INDEX(상세표[성명],$M720)&amp;"")</f>
        <v/>
      </c>
      <c r="C720">
        <f>IF($M720="","",IF(INDEX(상세표[종료월],$M720)=대상월키,"전월→이번 달","이번 달→익월"))</f>
        <v/>
      </c>
      <c r="D720">
        <f>IF($M720="","",IF(ISNUMBER(INDEX(상세표[시작],$M720)),TEXT(INDEX(상세표[시작],$M720),"yyyy-mm-dd hh:mm"),INDEX(상세표[시작],$M720)&amp;""))</f>
        <v/>
      </c>
      <c r="E720">
        <f>IF($M720="","",IF(ISNUMBER(INDEX(상세표[종료],$M720)),TEXT(INDEX(상세표[종료],$M720),"yyyy-mm-dd hh:mm"),INDEX(상세표[종료],$M720)&amp;""))</f>
        <v/>
      </c>
      <c r="F720" s="20">
        <f>IF($M720="","",INDEX(상세표[기록 시간외],$M720))</f>
        <v/>
      </c>
      <c r="G720">
        <f>IF($M720="","",INDEX(상세표[시작월 기관],$M720)&amp;"")</f>
        <v/>
      </c>
      <c r="H720">
        <f>IF($M720="","",INDEX(상세표[종료월 기관],$M720)&amp;"")</f>
        <v/>
      </c>
      <c r="I720">
        <f>IF($M720="","",INDEX(상세표[월경계 판정],$M720)&amp;"")</f>
        <v/>
      </c>
      <c r="J720">
        <f>IF($M720="","",INDEX(상세표[반영월],$M720)&amp;"")</f>
        <v/>
      </c>
      <c r="K720">
        <f>IF($M720="","",INDEX(상세표[반영 기관],$M720)&amp;"")</f>
        <v/>
      </c>
      <c r="L720">
        <f>IF($M720="","",INDEX(상세표[기관 출처],$M720)&amp;"")</f>
        <v/>
      </c>
      <c r="M720" s="4">
        <f>IFERROR(MATCH(715,상세표[경계순번],0),"")</f>
        <v/>
      </c>
    </row>
    <row r="721">
      <c r="A721">
        <f>IF($M721="","",INDEX(상세표[사번],$M721)&amp;"")</f>
        <v/>
      </c>
      <c r="B721">
        <f>IF($M721="","",INDEX(상세표[성명],$M721)&amp;"")</f>
        <v/>
      </c>
      <c r="C721">
        <f>IF($M721="","",IF(INDEX(상세표[종료월],$M721)=대상월키,"전월→이번 달","이번 달→익월"))</f>
        <v/>
      </c>
      <c r="D721">
        <f>IF($M721="","",IF(ISNUMBER(INDEX(상세표[시작],$M721)),TEXT(INDEX(상세표[시작],$M721),"yyyy-mm-dd hh:mm"),INDEX(상세표[시작],$M721)&amp;""))</f>
        <v/>
      </c>
      <c r="E721">
        <f>IF($M721="","",IF(ISNUMBER(INDEX(상세표[종료],$M721)),TEXT(INDEX(상세표[종료],$M721),"yyyy-mm-dd hh:mm"),INDEX(상세표[종료],$M721)&amp;""))</f>
        <v/>
      </c>
      <c r="F721" s="20">
        <f>IF($M721="","",INDEX(상세표[기록 시간외],$M721))</f>
        <v/>
      </c>
      <c r="G721">
        <f>IF($M721="","",INDEX(상세표[시작월 기관],$M721)&amp;"")</f>
        <v/>
      </c>
      <c r="H721">
        <f>IF($M721="","",INDEX(상세표[종료월 기관],$M721)&amp;"")</f>
        <v/>
      </c>
      <c r="I721">
        <f>IF($M721="","",INDEX(상세표[월경계 판정],$M721)&amp;"")</f>
        <v/>
      </c>
      <c r="J721">
        <f>IF($M721="","",INDEX(상세표[반영월],$M721)&amp;"")</f>
        <v/>
      </c>
      <c r="K721">
        <f>IF($M721="","",INDEX(상세표[반영 기관],$M721)&amp;"")</f>
        <v/>
      </c>
      <c r="L721">
        <f>IF($M721="","",INDEX(상세표[기관 출처],$M721)&amp;"")</f>
        <v/>
      </c>
      <c r="M721" s="4">
        <f>IFERROR(MATCH(716,상세표[경계순번],0),"")</f>
        <v/>
      </c>
    </row>
    <row r="722">
      <c r="A722">
        <f>IF($M722="","",INDEX(상세표[사번],$M722)&amp;"")</f>
        <v/>
      </c>
      <c r="B722">
        <f>IF($M722="","",INDEX(상세표[성명],$M722)&amp;"")</f>
        <v/>
      </c>
      <c r="C722">
        <f>IF($M722="","",IF(INDEX(상세표[종료월],$M722)=대상월키,"전월→이번 달","이번 달→익월"))</f>
        <v/>
      </c>
      <c r="D722">
        <f>IF($M722="","",IF(ISNUMBER(INDEX(상세표[시작],$M722)),TEXT(INDEX(상세표[시작],$M722),"yyyy-mm-dd hh:mm"),INDEX(상세표[시작],$M722)&amp;""))</f>
        <v/>
      </c>
      <c r="E722">
        <f>IF($M722="","",IF(ISNUMBER(INDEX(상세표[종료],$M722)),TEXT(INDEX(상세표[종료],$M722),"yyyy-mm-dd hh:mm"),INDEX(상세표[종료],$M722)&amp;""))</f>
        <v/>
      </c>
      <c r="F722" s="20">
        <f>IF($M722="","",INDEX(상세표[기록 시간외],$M722))</f>
        <v/>
      </c>
      <c r="G722">
        <f>IF($M722="","",INDEX(상세표[시작월 기관],$M722)&amp;"")</f>
        <v/>
      </c>
      <c r="H722">
        <f>IF($M722="","",INDEX(상세표[종료월 기관],$M722)&amp;"")</f>
        <v/>
      </c>
      <c r="I722">
        <f>IF($M722="","",INDEX(상세표[월경계 판정],$M722)&amp;"")</f>
        <v/>
      </c>
      <c r="J722">
        <f>IF($M722="","",INDEX(상세표[반영월],$M722)&amp;"")</f>
        <v/>
      </c>
      <c r="K722">
        <f>IF($M722="","",INDEX(상세표[반영 기관],$M722)&amp;"")</f>
        <v/>
      </c>
      <c r="L722">
        <f>IF($M722="","",INDEX(상세표[기관 출처],$M722)&amp;"")</f>
        <v/>
      </c>
      <c r="M722" s="4">
        <f>IFERROR(MATCH(717,상세표[경계순번],0),"")</f>
        <v/>
      </c>
    </row>
    <row r="723">
      <c r="A723">
        <f>IF($M723="","",INDEX(상세표[사번],$M723)&amp;"")</f>
        <v/>
      </c>
      <c r="B723">
        <f>IF($M723="","",INDEX(상세표[성명],$M723)&amp;"")</f>
        <v/>
      </c>
      <c r="C723">
        <f>IF($M723="","",IF(INDEX(상세표[종료월],$M723)=대상월키,"전월→이번 달","이번 달→익월"))</f>
        <v/>
      </c>
      <c r="D723">
        <f>IF($M723="","",IF(ISNUMBER(INDEX(상세표[시작],$M723)),TEXT(INDEX(상세표[시작],$M723),"yyyy-mm-dd hh:mm"),INDEX(상세표[시작],$M723)&amp;""))</f>
        <v/>
      </c>
      <c r="E723">
        <f>IF($M723="","",IF(ISNUMBER(INDEX(상세표[종료],$M723)),TEXT(INDEX(상세표[종료],$M723),"yyyy-mm-dd hh:mm"),INDEX(상세표[종료],$M723)&amp;""))</f>
        <v/>
      </c>
      <c r="F723" s="20">
        <f>IF($M723="","",INDEX(상세표[기록 시간외],$M723))</f>
        <v/>
      </c>
      <c r="G723">
        <f>IF($M723="","",INDEX(상세표[시작월 기관],$M723)&amp;"")</f>
        <v/>
      </c>
      <c r="H723">
        <f>IF($M723="","",INDEX(상세표[종료월 기관],$M723)&amp;"")</f>
        <v/>
      </c>
      <c r="I723">
        <f>IF($M723="","",INDEX(상세표[월경계 판정],$M723)&amp;"")</f>
        <v/>
      </c>
      <c r="J723">
        <f>IF($M723="","",INDEX(상세표[반영월],$M723)&amp;"")</f>
        <v/>
      </c>
      <c r="K723">
        <f>IF($M723="","",INDEX(상세표[반영 기관],$M723)&amp;"")</f>
        <v/>
      </c>
      <c r="L723">
        <f>IF($M723="","",INDEX(상세표[기관 출처],$M723)&amp;"")</f>
        <v/>
      </c>
      <c r="M723" s="4">
        <f>IFERROR(MATCH(718,상세표[경계순번],0),"")</f>
        <v/>
      </c>
    </row>
    <row r="724">
      <c r="A724">
        <f>IF($M724="","",INDEX(상세표[사번],$M724)&amp;"")</f>
        <v/>
      </c>
      <c r="B724">
        <f>IF($M724="","",INDEX(상세표[성명],$M724)&amp;"")</f>
        <v/>
      </c>
      <c r="C724">
        <f>IF($M724="","",IF(INDEX(상세표[종료월],$M724)=대상월키,"전월→이번 달","이번 달→익월"))</f>
        <v/>
      </c>
      <c r="D724">
        <f>IF($M724="","",IF(ISNUMBER(INDEX(상세표[시작],$M724)),TEXT(INDEX(상세표[시작],$M724),"yyyy-mm-dd hh:mm"),INDEX(상세표[시작],$M724)&amp;""))</f>
        <v/>
      </c>
      <c r="E724">
        <f>IF($M724="","",IF(ISNUMBER(INDEX(상세표[종료],$M724)),TEXT(INDEX(상세표[종료],$M724),"yyyy-mm-dd hh:mm"),INDEX(상세표[종료],$M724)&amp;""))</f>
        <v/>
      </c>
      <c r="F724" s="20">
        <f>IF($M724="","",INDEX(상세표[기록 시간외],$M724))</f>
        <v/>
      </c>
      <c r="G724">
        <f>IF($M724="","",INDEX(상세표[시작월 기관],$M724)&amp;"")</f>
        <v/>
      </c>
      <c r="H724">
        <f>IF($M724="","",INDEX(상세표[종료월 기관],$M724)&amp;"")</f>
        <v/>
      </c>
      <c r="I724">
        <f>IF($M724="","",INDEX(상세표[월경계 판정],$M724)&amp;"")</f>
        <v/>
      </c>
      <c r="J724">
        <f>IF($M724="","",INDEX(상세표[반영월],$M724)&amp;"")</f>
        <v/>
      </c>
      <c r="K724">
        <f>IF($M724="","",INDEX(상세표[반영 기관],$M724)&amp;"")</f>
        <v/>
      </c>
      <c r="L724">
        <f>IF($M724="","",INDEX(상세표[기관 출처],$M724)&amp;"")</f>
        <v/>
      </c>
      <c r="M724" s="4">
        <f>IFERROR(MATCH(719,상세표[경계순번],0),"")</f>
        <v/>
      </c>
    </row>
    <row r="725">
      <c r="A725">
        <f>IF($M725="","",INDEX(상세표[사번],$M725)&amp;"")</f>
        <v/>
      </c>
      <c r="B725">
        <f>IF($M725="","",INDEX(상세표[성명],$M725)&amp;"")</f>
        <v/>
      </c>
      <c r="C725">
        <f>IF($M725="","",IF(INDEX(상세표[종료월],$M725)=대상월키,"전월→이번 달","이번 달→익월"))</f>
        <v/>
      </c>
      <c r="D725">
        <f>IF($M725="","",IF(ISNUMBER(INDEX(상세표[시작],$M725)),TEXT(INDEX(상세표[시작],$M725),"yyyy-mm-dd hh:mm"),INDEX(상세표[시작],$M725)&amp;""))</f>
        <v/>
      </c>
      <c r="E725">
        <f>IF($M725="","",IF(ISNUMBER(INDEX(상세표[종료],$M725)),TEXT(INDEX(상세표[종료],$M725),"yyyy-mm-dd hh:mm"),INDEX(상세표[종료],$M725)&amp;""))</f>
        <v/>
      </c>
      <c r="F725" s="20">
        <f>IF($M725="","",INDEX(상세표[기록 시간외],$M725))</f>
        <v/>
      </c>
      <c r="G725">
        <f>IF($M725="","",INDEX(상세표[시작월 기관],$M725)&amp;"")</f>
        <v/>
      </c>
      <c r="H725">
        <f>IF($M725="","",INDEX(상세표[종료월 기관],$M725)&amp;"")</f>
        <v/>
      </c>
      <c r="I725">
        <f>IF($M725="","",INDEX(상세표[월경계 판정],$M725)&amp;"")</f>
        <v/>
      </c>
      <c r="J725">
        <f>IF($M725="","",INDEX(상세표[반영월],$M725)&amp;"")</f>
        <v/>
      </c>
      <c r="K725">
        <f>IF($M725="","",INDEX(상세표[반영 기관],$M725)&amp;"")</f>
        <v/>
      </c>
      <c r="L725">
        <f>IF($M725="","",INDEX(상세표[기관 출처],$M725)&amp;"")</f>
        <v/>
      </c>
      <c r="M725" s="4">
        <f>IFERROR(MATCH(720,상세표[경계순번],0),"")</f>
        <v/>
      </c>
    </row>
    <row r="726">
      <c r="A726">
        <f>IF($M726="","",INDEX(상세표[사번],$M726)&amp;"")</f>
        <v/>
      </c>
      <c r="B726">
        <f>IF($M726="","",INDEX(상세표[성명],$M726)&amp;"")</f>
        <v/>
      </c>
      <c r="C726">
        <f>IF($M726="","",IF(INDEX(상세표[종료월],$M726)=대상월키,"전월→이번 달","이번 달→익월"))</f>
        <v/>
      </c>
      <c r="D726">
        <f>IF($M726="","",IF(ISNUMBER(INDEX(상세표[시작],$M726)),TEXT(INDEX(상세표[시작],$M726),"yyyy-mm-dd hh:mm"),INDEX(상세표[시작],$M726)&amp;""))</f>
        <v/>
      </c>
      <c r="E726">
        <f>IF($M726="","",IF(ISNUMBER(INDEX(상세표[종료],$M726)),TEXT(INDEX(상세표[종료],$M726),"yyyy-mm-dd hh:mm"),INDEX(상세표[종료],$M726)&amp;""))</f>
        <v/>
      </c>
      <c r="F726" s="20">
        <f>IF($M726="","",INDEX(상세표[기록 시간외],$M726))</f>
        <v/>
      </c>
      <c r="G726">
        <f>IF($M726="","",INDEX(상세표[시작월 기관],$M726)&amp;"")</f>
        <v/>
      </c>
      <c r="H726">
        <f>IF($M726="","",INDEX(상세표[종료월 기관],$M726)&amp;"")</f>
        <v/>
      </c>
      <c r="I726">
        <f>IF($M726="","",INDEX(상세표[월경계 판정],$M726)&amp;"")</f>
        <v/>
      </c>
      <c r="J726">
        <f>IF($M726="","",INDEX(상세표[반영월],$M726)&amp;"")</f>
        <v/>
      </c>
      <c r="K726">
        <f>IF($M726="","",INDEX(상세표[반영 기관],$M726)&amp;"")</f>
        <v/>
      </c>
      <c r="L726">
        <f>IF($M726="","",INDEX(상세표[기관 출처],$M726)&amp;"")</f>
        <v/>
      </c>
      <c r="M726" s="4">
        <f>IFERROR(MATCH(721,상세표[경계순번],0),"")</f>
        <v/>
      </c>
    </row>
    <row r="727">
      <c r="A727">
        <f>IF($M727="","",INDEX(상세표[사번],$M727)&amp;"")</f>
        <v/>
      </c>
      <c r="B727">
        <f>IF($M727="","",INDEX(상세표[성명],$M727)&amp;"")</f>
        <v/>
      </c>
      <c r="C727">
        <f>IF($M727="","",IF(INDEX(상세표[종료월],$M727)=대상월키,"전월→이번 달","이번 달→익월"))</f>
        <v/>
      </c>
      <c r="D727">
        <f>IF($M727="","",IF(ISNUMBER(INDEX(상세표[시작],$M727)),TEXT(INDEX(상세표[시작],$M727),"yyyy-mm-dd hh:mm"),INDEX(상세표[시작],$M727)&amp;""))</f>
        <v/>
      </c>
      <c r="E727">
        <f>IF($M727="","",IF(ISNUMBER(INDEX(상세표[종료],$M727)),TEXT(INDEX(상세표[종료],$M727),"yyyy-mm-dd hh:mm"),INDEX(상세표[종료],$M727)&amp;""))</f>
        <v/>
      </c>
      <c r="F727" s="20">
        <f>IF($M727="","",INDEX(상세표[기록 시간외],$M727))</f>
        <v/>
      </c>
      <c r="G727">
        <f>IF($M727="","",INDEX(상세표[시작월 기관],$M727)&amp;"")</f>
        <v/>
      </c>
      <c r="H727">
        <f>IF($M727="","",INDEX(상세표[종료월 기관],$M727)&amp;"")</f>
        <v/>
      </c>
      <c r="I727">
        <f>IF($M727="","",INDEX(상세표[월경계 판정],$M727)&amp;"")</f>
        <v/>
      </c>
      <c r="J727">
        <f>IF($M727="","",INDEX(상세표[반영월],$M727)&amp;"")</f>
        <v/>
      </c>
      <c r="K727">
        <f>IF($M727="","",INDEX(상세표[반영 기관],$M727)&amp;"")</f>
        <v/>
      </c>
      <c r="L727">
        <f>IF($M727="","",INDEX(상세표[기관 출처],$M727)&amp;"")</f>
        <v/>
      </c>
      <c r="M727" s="4">
        <f>IFERROR(MATCH(722,상세표[경계순번],0),"")</f>
        <v/>
      </c>
    </row>
    <row r="728">
      <c r="A728">
        <f>IF($M728="","",INDEX(상세표[사번],$M728)&amp;"")</f>
        <v/>
      </c>
      <c r="B728">
        <f>IF($M728="","",INDEX(상세표[성명],$M728)&amp;"")</f>
        <v/>
      </c>
      <c r="C728">
        <f>IF($M728="","",IF(INDEX(상세표[종료월],$M728)=대상월키,"전월→이번 달","이번 달→익월"))</f>
        <v/>
      </c>
      <c r="D728">
        <f>IF($M728="","",IF(ISNUMBER(INDEX(상세표[시작],$M728)),TEXT(INDEX(상세표[시작],$M728),"yyyy-mm-dd hh:mm"),INDEX(상세표[시작],$M728)&amp;""))</f>
        <v/>
      </c>
      <c r="E728">
        <f>IF($M728="","",IF(ISNUMBER(INDEX(상세표[종료],$M728)),TEXT(INDEX(상세표[종료],$M728),"yyyy-mm-dd hh:mm"),INDEX(상세표[종료],$M728)&amp;""))</f>
        <v/>
      </c>
      <c r="F728" s="20">
        <f>IF($M728="","",INDEX(상세표[기록 시간외],$M728))</f>
        <v/>
      </c>
      <c r="G728">
        <f>IF($M728="","",INDEX(상세표[시작월 기관],$M728)&amp;"")</f>
        <v/>
      </c>
      <c r="H728">
        <f>IF($M728="","",INDEX(상세표[종료월 기관],$M728)&amp;"")</f>
        <v/>
      </c>
      <c r="I728">
        <f>IF($M728="","",INDEX(상세표[월경계 판정],$M728)&amp;"")</f>
        <v/>
      </c>
      <c r="J728">
        <f>IF($M728="","",INDEX(상세표[반영월],$M728)&amp;"")</f>
        <v/>
      </c>
      <c r="K728">
        <f>IF($M728="","",INDEX(상세표[반영 기관],$M728)&amp;"")</f>
        <v/>
      </c>
      <c r="L728">
        <f>IF($M728="","",INDEX(상세표[기관 출처],$M728)&amp;"")</f>
        <v/>
      </c>
      <c r="M728" s="4">
        <f>IFERROR(MATCH(723,상세표[경계순번],0),"")</f>
        <v/>
      </c>
    </row>
    <row r="729">
      <c r="A729">
        <f>IF($M729="","",INDEX(상세표[사번],$M729)&amp;"")</f>
        <v/>
      </c>
      <c r="B729">
        <f>IF($M729="","",INDEX(상세표[성명],$M729)&amp;"")</f>
        <v/>
      </c>
      <c r="C729">
        <f>IF($M729="","",IF(INDEX(상세표[종료월],$M729)=대상월키,"전월→이번 달","이번 달→익월"))</f>
        <v/>
      </c>
      <c r="D729">
        <f>IF($M729="","",IF(ISNUMBER(INDEX(상세표[시작],$M729)),TEXT(INDEX(상세표[시작],$M729),"yyyy-mm-dd hh:mm"),INDEX(상세표[시작],$M729)&amp;""))</f>
        <v/>
      </c>
      <c r="E729">
        <f>IF($M729="","",IF(ISNUMBER(INDEX(상세표[종료],$M729)),TEXT(INDEX(상세표[종료],$M729),"yyyy-mm-dd hh:mm"),INDEX(상세표[종료],$M729)&amp;""))</f>
        <v/>
      </c>
      <c r="F729" s="20">
        <f>IF($M729="","",INDEX(상세표[기록 시간외],$M729))</f>
        <v/>
      </c>
      <c r="G729">
        <f>IF($M729="","",INDEX(상세표[시작월 기관],$M729)&amp;"")</f>
        <v/>
      </c>
      <c r="H729">
        <f>IF($M729="","",INDEX(상세표[종료월 기관],$M729)&amp;"")</f>
        <v/>
      </c>
      <c r="I729">
        <f>IF($M729="","",INDEX(상세표[월경계 판정],$M729)&amp;"")</f>
        <v/>
      </c>
      <c r="J729">
        <f>IF($M729="","",INDEX(상세표[반영월],$M729)&amp;"")</f>
        <v/>
      </c>
      <c r="K729">
        <f>IF($M729="","",INDEX(상세표[반영 기관],$M729)&amp;"")</f>
        <v/>
      </c>
      <c r="L729">
        <f>IF($M729="","",INDEX(상세표[기관 출처],$M729)&amp;"")</f>
        <v/>
      </c>
      <c r="M729" s="4">
        <f>IFERROR(MATCH(724,상세표[경계순번],0),"")</f>
        <v/>
      </c>
    </row>
    <row r="730">
      <c r="A730">
        <f>IF($M730="","",INDEX(상세표[사번],$M730)&amp;"")</f>
        <v/>
      </c>
      <c r="B730">
        <f>IF($M730="","",INDEX(상세표[성명],$M730)&amp;"")</f>
        <v/>
      </c>
      <c r="C730">
        <f>IF($M730="","",IF(INDEX(상세표[종료월],$M730)=대상월키,"전월→이번 달","이번 달→익월"))</f>
        <v/>
      </c>
      <c r="D730">
        <f>IF($M730="","",IF(ISNUMBER(INDEX(상세표[시작],$M730)),TEXT(INDEX(상세표[시작],$M730),"yyyy-mm-dd hh:mm"),INDEX(상세표[시작],$M730)&amp;""))</f>
        <v/>
      </c>
      <c r="E730">
        <f>IF($M730="","",IF(ISNUMBER(INDEX(상세표[종료],$M730)),TEXT(INDEX(상세표[종료],$M730),"yyyy-mm-dd hh:mm"),INDEX(상세표[종료],$M730)&amp;""))</f>
        <v/>
      </c>
      <c r="F730" s="20">
        <f>IF($M730="","",INDEX(상세표[기록 시간외],$M730))</f>
        <v/>
      </c>
      <c r="G730">
        <f>IF($M730="","",INDEX(상세표[시작월 기관],$M730)&amp;"")</f>
        <v/>
      </c>
      <c r="H730">
        <f>IF($M730="","",INDEX(상세표[종료월 기관],$M730)&amp;"")</f>
        <v/>
      </c>
      <c r="I730">
        <f>IF($M730="","",INDEX(상세표[월경계 판정],$M730)&amp;"")</f>
        <v/>
      </c>
      <c r="J730">
        <f>IF($M730="","",INDEX(상세표[반영월],$M730)&amp;"")</f>
        <v/>
      </c>
      <c r="K730">
        <f>IF($M730="","",INDEX(상세표[반영 기관],$M730)&amp;"")</f>
        <v/>
      </c>
      <c r="L730">
        <f>IF($M730="","",INDEX(상세표[기관 출처],$M730)&amp;"")</f>
        <v/>
      </c>
      <c r="M730" s="4">
        <f>IFERROR(MATCH(725,상세표[경계순번],0),"")</f>
        <v/>
      </c>
    </row>
    <row r="731">
      <c r="A731">
        <f>IF($M731="","",INDEX(상세표[사번],$M731)&amp;"")</f>
        <v/>
      </c>
      <c r="B731">
        <f>IF($M731="","",INDEX(상세표[성명],$M731)&amp;"")</f>
        <v/>
      </c>
      <c r="C731">
        <f>IF($M731="","",IF(INDEX(상세표[종료월],$M731)=대상월키,"전월→이번 달","이번 달→익월"))</f>
        <v/>
      </c>
      <c r="D731">
        <f>IF($M731="","",IF(ISNUMBER(INDEX(상세표[시작],$M731)),TEXT(INDEX(상세표[시작],$M731),"yyyy-mm-dd hh:mm"),INDEX(상세표[시작],$M731)&amp;""))</f>
        <v/>
      </c>
      <c r="E731">
        <f>IF($M731="","",IF(ISNUMBER(INDEX(상세표[종료],$M731)),TEXT(INDEX(상세표[종료],$M731),"yyyy-mm-dd hh:mm"),INDEX(상세표[종료],$M731)&amp;""))</f>
        <v/>
      </c>
      <c r="F731" s="20">
        <f>IF($M731="","",INDEX(상세표[기록 시간외],$M731))</f>
        <v/>
      </c>
      <c r="G731">
        <f>IF($M731="","",INDEX(상세표[시작월 기관],$M731)&amp;"")</f>
        <v/>
      </c>
      <c r="H731">
        <f>IF($M731="","",INDEX(상세표[종료월 기관],$M731)&amp;"")</f>
        <v/>
      </c>
      <c r="I731">
        <f>IF($M731="","",INDEX(상세표[월경계 판정],$M731)&amp;"")</f>
        <v/>
      </c>
      <c r="J731">
        <f>IF($M731="","",INDEX(상세표[반영월],$M731)&amp;"")</f>
        <v/>
      </c>
      <c r="K731">
        <f>IF($M731="","",INDEX(상세표[반영 기관],$M731)&amp;"")</f>
        <v/>
      </c>
      <c r="L731">
        <f>IF($M731="","",INDEX(상세표[기관 출처],$M731)&amp;"")</f>
        <v/>
      </c>
      <c r="M731" s="4">
        <f>IFERROR(MATCH(726,상세표[경계순번],0),"")</f>
        <v/>
      </c>
    </row>
    <row r="732">
      <c r="A732">
        <f>IF($M732="","",INDEX(상세표[사번],$M732)&amp;"")</f>
        <v/>
      </c>
      <c r="B732">
        <f>IF($M732="","",INDEX(상세표[성명],$M732)&amp;"")</f>
        <v/>
      </c>
      <c r="C732">
        <f>IF($M732="","",IF(INDEX(상세표[종료월],$M732)=대상월키,"전월→이번 달","이번 달→익월"))</f>
        <v/>
      </c>
      <c r="D732">
        <f>IF($M732="","",IF(ISNUMBER(INDEX(상세표[시작],$M732)),TEXT(INDEX(상세표[시작],$M732),"yyyy-mm-dd hh:mm"),INDEX(상세표[시작],$M732)&amp;""))</f>
        <v/>
      </c>
      <c r="E732">
        <f>IF($M732="","",IF(ISNUMBER(INDEX(상세표[종료],$M732)),TEXT(INDEX(상세표[종료],$M732),"yyyy-mm-dd hh:mm"),INDEX(상세표[종료],$M732)&amp;""))</f>
        <v/>
      </c>
      <c r="F732" s="20">
        <f>IF($M732="","",INDEX(상세표[기록 시간외],$M732))</f>
        <v/>
      </c>
      <c r="G732">
        <f>IF($M732="","",INDEX(상세표[시작월 기관],$M732)&amp;"")</f>
        <v/>
      </c>
      <c r="H732">
        <f>IF($M732="","",INDEX(상세표[종료월 기관],$M732)&amp;"")</f>
        <v/>
      </c>
      <c r="I732">
        <f>IF($M732="","",INDEX(상세표[월경계 판정],$M732)&amp;"")</f>
        <v/>
      </c>
      <c r="J732">
        <f>IF($M732="","",INDEX(상세표[반영월],$M732)&amp;"")</f>
        <v/>
      </c>
      <c r="K732">
        <f>IF($M732="","",INDEX(상세표[반영 기관],$M732)&amp;"")</f>
        <v/>
      </c>
      <c r="L732">
        <f>IF($M732="","",INDEX(상세표[기관 출처],$M732)&amp;"")</f>
        <v/>
      </c>
      <c r="M732" s="4">
        <f>IFERROR(MATCH(727,상세표[경계순번],0),"")</f>
        <v/>
      </c>
    </row>
    <row r="733">
      <c r="A733">
        <f>IF($M733="","",INDEX(상세표[사번],$M733)&amp;"")</f>
        <v/>
      </c>
      <c r="B733">
        <f>IF($M733="","",INDEX(상세표[성명],$M733)&amp;"")</f>
        <v/>
      </c>
      <c r="C733">
        <f>IF($M733="","",IF(INDEX(상세표[종료월],$M733)=대상월키,"전월→이번 달","이번 달→익월"))</f>
        <v/>
      </c>
      <c r="D733">
        <f>IF($M733="","",IF(ISNUMBER(INDEX(상세표[시작],$M733)),TEXT(INDEX(상세표[시작],$M733),"yyyy-mm-dd hh:mm"),INDEX(상세표[시작],$M733)&amp;""))</f>
        <v/>
      </c>
      <c r="E733">
        <f>IF($M733="","",IF(ISNUMBER(INDEX(상세표[종료],$M733)),TEXT(INDEX(상세표[종료],$M733),"yyyy-mm-dd hh:mm"),INDEX(상세표[종료],$M733)&amp;""))</f>
        <v/>
      </c>
      <c r="F733" s="20">
        <f>IF($M733="","",INDEX(상세표[기록 시간외],$M733))</f>
        <v/>
      </c>
      <c r="G733">
        <f>IF($M733="","",INDEX(상세표[시작월 기관],$M733)&amp;"")</f>
        <v/>
      </c>
      <c r="H733">
        <f>IF($M733="","",INDEX(상세표[종료월 기관],$M733)&amp;"")</f>
        <v/>
      </c>
      <c r="I733">
        <f>IF($M733="","",INDEX(상세표[월경계 판정],$M733)&amp;"")</f>
        <v/>
      </c>
      <c r="J733">
        <f>IF($M733="","",INDEX(상세표[반영월],$M733)&amp;"")</f>
        <v/>
      </c>
      <c r="K733">
        <f>IF($M733="","",INDEX(상세표[반영 기관],$M733)&amp;"")</f>
        <v/>
      </c>
      <c r="L733">
        <f>IF($M733="","",INDEX(상세표[기관 출처],$M733)&amp;"")</f>
        <v/>
      </c>
      <c r="M733" s="4">
        <f>IFERROR(MATCH(728,상세표[경계순번],0),"")</f>
        <v/>
      </c>
    </row>
    <row r="734">
      <c r="A734">
        <f>IF($M734="","",INDEX(상세표[사번],$M734)&amp;"")</f>
        <v/>
      </c>
      <c r="B734">
        <f>IF($M734="","",INDEX(상세표[성명],$M734)&amp;"")</f>
        <v/>
      </c>
      <c r="C734">
        <f>IF($M734="","",IF(INDEX(상세표[종료월],$M734)=대상월키,"전월→이번 달","이번 달→익월"))</f>
        <v/>
      </c>
      <c r="D734">
        <f>IF($M734="","",IF(ISNUMBER(INDEX(상세표[시작],$M734)),TEXT(INDEX(상세표[시작],$M734),"yyyy-mm-dd hh:mm"),INDEX(상세표[시작],$M734)&amp;""))</f>
        <v/>
      </c>
      <c r="E734">
        <f>IF($M734="","",IF(ISNUMBER(INDEX(상세표[종료],$M734)),TEXT(INDEX(상세표[종료],$M734),"yyyy-mm-dd hh:mm"),INDEX(상세표[종료],$M734)&amp;""))</f>
        <v/>
      </c>
      <c r="F734" s="20">
        <f>IF($M734="","",INDEX(상세표[기록 시간외],$M734))</f>
        <v/>
      </c>
      <c r="G734">
        <f>IF($M734="","",INDEX(상세표[시작월 기관],$M734)&amp;"")</f>
        <v/>
      </c>
      <c r="H734">
        <f>IF($M734="","",INDEX(상세표[종료월 기관],$M734)&amp;"")</f>
        <v/>
      </c>
      <c r="I734">
        <f>IF($M734="","",INDEX(상세표[월경계 판정],$M734)&amp;"")</f>
        <v/>
      </c>
      <c r="J734">
        <f>IF($M734="","",INDEX(상세표[반영월],$M734)&amp;"")</f>
        <v/>
      </c>
      <c r="K734">
        <f>IF($M734="","",INDEX(상세표[반영 기관],$M734)&amp;"")</f>
        <v/>
      </c>
      <c r="L734">
        <f>IF($M734="","",INDEX(상세표[기관 출처],$M734)&amp;"")</f>
        <v/>
      </c>
      <c r="M734" s="4">
        <f>IFERROR(MATCH(729,상세표[경계순번],0),"")</f>
        <v/>
      </c>
    </row>
    <row r="735">
      <c r="A735">
        <f>IF($M735="","",INDEX(상세표[사번],$M735)&amp;"")</f>
        <v/>
      </c>
      <c r="B735">
        <f>IF($M735="","",INDEX(상세표[성명],$M735)&amp;"")</f>
        <v/>
      </c>
      <c r="C735">
        <f>IF($M735="","",IF(INDEX(상세표[종료월],$M735)=대상월키,"전월→이번 달","이번 달→익월"))</f>
        <v/>
      </c>
      <c r="D735">
        <f>IF($M735="","",IF(ISNUMBER(INDEX(상세표[시작],$M735)),TEXT(INDEX(상세표[시작],$M735),"yyyy-mm-dd hh:mm"),INDEX(상세표[시작],$M735)&amp;""))</f>
        <v/>
      </c>
      <c r="E735">
        <f>IF($M735="","",IF(ISNUMBER(INDEX(상세표[종료],$M735)),TEXT(INDEX(상세표[종료],$M735),"yyyy-mm-dd hh:mm"),INDEX(상세표[종료],$M735)&amp;""))</f>
        <v/>
      </c>
      <c r="F735" s="20">
        <f>IF($M735="","",INDEX(상세표[기록 시간외],$M735))</f>
        <v/>
      </c>
      <c r="G735">
        <f>IF($M735="","",INDEX(상세표[시작월 기관],$M735)&amp;"")</f>
        <v/>
      </c>
      <c r="H735">
        <f>IF($M735="","",INDEX(상세표[종료월 기관],$M735)&amp;"")</f>
        <v/>
      </c>
      <c r="I735">
        <f>IF($M735="","",INDEX(상세표[월경계 판정],$M735)&amp;"")</f>
        <v/>
      </c>
      <c r="J735">
        <f>IF($M735="","",INDEX(상세표[반영월],$M735)&amp;"")</f>
        <v/>
      </c>
      <c r="K735">
        <f>IF($M735="","",INDEX(상세표[반영 기관],$M735)&amp;"")</f>
        <v/>
      </c>
      <c r="L735">
        <f>IF($M735="","",INDEX(상세표[기관 출처],$M735)&amp;"")</f>
        <v/>
      </c>
      <c r="M735" s="4">
        <f>IFERROR(MATCH(730,상세표[경계순번],0),"")</f>
        <v/>
      </c>
    </row>
    <row r="736">
      <c r="A736">
        <f>IF($M736="","",INDEX(상세표[사번],$M736)&amp;"")</f>
        <v/>
      </c>
      <c r="B736">
        <f>IF($M736="","",INDEX(상세표[성명],$M736)&amp;"")</f>
        <v/>
      </c>
      <c r="C736">
        <f>IF($M736="","",IF(INDEX(상세표[종료월],$M736)=대상월키,"전월→이번 달","이번 달→익월"))</f>
        <v/>
      </c>
      <c r="D736">
        <f>IF($M736="","",IF(ISNUMBER(INDEX(상세표[시작],$M736)),TEXT(INDEX(상세표[시작],$M736),"yyyy-mm-dd hh:mm"),INDEX(상세표[시작],$M736)&amp;""))</f>
        <v/>
      </c>
      <c r="E736">
        <f>IF($M736="","",IF(ISNUMBER(INDEX(상세표[종료],$M736)),TEXT(INDEX(상세표[종료],$M736),"yyyy-mm-dd hh:mm"),INDEX(상세표[종료],$M736)&amp;""))</f>
        <v/>
      </c>
      <c r="F736" s="20">
        <f>IF($M736="","",INDEX(상세표[기록 시간외],$M736))</f>
        <v/>
      </c>
      <c r="G736">
        <f>IF($M736="","",INDEX(상세표[시작월 기관],$M736)&amp;"")</f>
        <v/>
      </c>
      <c r="H736">
        <f>IF($M736="","",INDEX(상세표[종료월 기관],$M736)&amp;"")</f>
        <v/>
      </c>
      <c r="I736">
        <f>IF($M736="","",INDEX(상세표[월경계 판정],$M736)&amp;"")</f>
        <v/>
      </c>
      <c r="J736">
        <f>IF($M736="","",INDEX(상세표[반영월],$M736)&amp;"")</f>
        <v/>
      </c>
      <c r="K736">
        <f>IF($M736="","",INDEX(상세표[반영 기관],$M736)&amp;"")</f>
        <v/>
      </c>
      <c r="L736">
        <f>IF($M736="","",INDEX(상세표[기관 출처],$M736)&amp;"")</f>
        <v/>
      </c>
      <c r="M736" s="4">
        <f>IFERROR(MATCH(731,상세표[경계순번],0),"")</f>
        <v/>
      </c>
    </row>
    <row r="737">
      <c r="A737">
        <f>IF($M737="","",INDEX(상세표[사번],$M737)&amp;"")</f>
        <v/>
      </c>
      <c r="B737">
        <f>IF($M737="","",INDEX(상세표[성명],$M737)&amp;"")</f>
        <v/>
      </c>
      <c r="C737">
        <f>IF($M737="","",IF(INDEX(상세표[종료월],$M737)=대상월키,"전월→이번 달","이번 달→익월"))</f>
        <v/>
      </c>
      <c r="D737">
        <f>IF($M737="","",IF(ISNUMBER(INDEX(상세표[시작],$M737)),TEXT(INDEX(상세표[시작],$M737),"yyyy-mm-dd hh:mm"),INDEX(상세표[시작],$M737)&amp;""))</f>
        <v/>
      </c>
      <c r="E737">
        <f>IF($M737="","",IF(ISNUMBER(INDEX(상세표[종료],$M737)),TEXT(INDEX(상세표[종료],$M737),"yyyy-mm-dd hh:mm"),INDEX(상세표[종료],$M737)&amp;""))</f>
        <v/>
      </c>
      <c r="F737" s="20">
        <f>IF($M737="","",INDEX(상세표[기록 시간외],$M737))</f>
        <v/>
      </c>
      <c r="G737">
        <f>IF($M737="","",INDEX(상세표[시작월 기관],$M737)&amp;"")</f>
        <v/>
      </c>
      <c r="H737">
        <f>IF($M737="","",INDEX(상세표[종료월 기관],$M737)&amp;"")</f>
        <v/>
      </c>
      <c r="I737">
        <f>IF($M737="","",INDEX(상세표[월경계 판정],$M737)&amp;"")</f>
        <v/>
      </c>
      <c r="J737">
        <f>IF($M737="","",INDEX(상세표[반영월],$M737)&amp;"")</f>
        <v/>
      </c>
      <c r="K737">
        <f>IF($M737="","",INDEX(상세표[반영 기관],$M737)&amp;"")</f>
        <v/>
      </c>
      <c r="L737">
        <f>IF($M737="","",INDEX(상세표[기관 출처],$M737)&amp;"")</f>
        <v/>
      </c>
      <c r="M737" s="4">
        <f>IFERROR(MATCH(732,상세표[경계순번],0),"")</f>
        <v/>
      </c>
    </row>
    <row r="738">
      <c r="A738">
        <f>IF($M738="","",INDEX(상세표[사번],$M738)&amp;"")</f>
        <v/>
      </c>
      <c r="B738">
        <f>IF($M738="","",INDEX(상세표[성명],$M738)&amp;"")</f>
        <v/>
      </c>
      <c r="C738">
        <f>IF($M738="","",IF(INDEX(상세표[종료월],$M738)=대상월키,"전월→이번 달","이번 달→익월"))</f>
        <v/>
      </c>
      <c r="D738">
        <f>IF($M738="","",IF(ISNUMBER(INDEX(상세표[시작],$M738)),TEXT(INDEX(상세표[시작],$M738),"yyyy-mm-dd hh:mm"),INDEX(상세표[시작],$M738)&amp;""))</f>
        <v/>
      </c>
      <c r="E738">
        <f>IF($M738="","",IF(ISNUMBER(INDEX(상세표[종료],$M738)),TEXT(INDEX(상세표[종료],$M738),"yyyy-mm-dd hh:mm"),INDEX(상세표[종료],$M738)&amp;""))</f>
        <v/>
      </c>
      <c r="F738" s="20">
        <f>IF($M738="","",INDEX(상세표[기록 시간외],$M738))</f>
        <v/>
      </c>
      <c r="G738">
        <f>IF($M738="","",INDEX(상세표[시작월 기관],$M738)&amp;"")</f>
        <v/>
      </c>
      <c r="H738">
        <f>IF($M738="","",INDEX(상세표[종료월 기관],$M738)&amp;"")</f>
        <v/>
      </c>
      <c r="I738">
        <f>IF($M738="","",INDEX(상세표[월경계 판정],$M738)&amp;"")</f>
        <v/>
      </c>
      <c r="J738">
        <f>IF($M738="","",INDEX(상세표[반영월],$M738)&amp;"")</f>
        <v/>
      </c>
      <c r="K738">
        <f>IF($M738="","",INDEX(상세표[반영 기관],$M738)&amp;"")</f>
        <v/>
      </c>
      <c r="L738">
        <f>IF($M738="","",INDEX(상세표[기관 출처],$M738)&amp;"")</f>
        <v/>
      </c>
      <c r="M738" s="4">
        <f>IFERROR(MATCH(733,상세표[경계순번],0),"")</f>
        <v/>
      </c>
    </row>
    <row r="739">
      <c r="A739">
        <f>IF($M739="","",INDEX(상세표[사번],$M739)&amp;"")</f>
        <v/>
      </c>
      <c r="B739">
        <f>IF($M739="","",INDEX(상세표[성명],$M739)&amp;"")</f>
        <v/>
      </c>
      <c r="C739">
        <f>IF($M739="","",IF(INDEX(상세표[종료월],$M739)=대상월키,"전월→이번 달","이번 달→익월"))</f>
        <v/>
      </c>
      <c r="D739">
        <f>IF($M739="","",IF(ISNUMBER(INDEX(상세표[시작],$M739)),TEXT(INDEX(상세표[시작],$M739),"yyyy-mm-dd hh:mm"),INDEX(상세표[시작],$M739)&amp;""))</f>
        <v/>
      </c>
      <c r="E739">
        <f>IF($M739="","",IF(ISNUMBER(INDEX(상세표[종료],$M739)),TEXT(INDEX(상세표[종료],$M739),"yyyy-mm-dd hh:mm"),INDEX(상세표[종료],$M739)&amp;""))</f>
        <v/>
      </c>
      <c r="F739" s="20">
        <f>IF($M739="","",INDEX(상세표[기록 시간외],$M739))</f>
        <v/>
      </c>
      <c r="G739">
        <f>IF($M739="","",INDEX(상세표[시작월 기관],$M739)&amp;"")</f>
        <v/>
      </c>
      <c r="H739">
        <f>IF($M739="","",INDEX(상세표[종료월 기관],$M739)&amp;"")</f>
        <v/>
      </c>
      <c r="I739">
        <f>IF($M739="","",INDEX(상세표[월경계 판정],$M739)&amp;"")</f>
        <v/>
      </c>
      <c r="J739">
        <f>IF($M739="","",INDEX(상세표[반영월],$M739)&amp;"")</f>
        <v/>
      </c>
      <c r="K739">
        <f>IF($M739="","",INDEX(상세표[반영 기관],$M739)&amp;"")</f>
        <v/>
      </c>
      <c r="L739">
        <f>IF($M739="","",INDEX(상세표[기관 출처],$M739)&amp;"")</f>
        <v/>
      </c>
      <c r="M739" s="4">
        <f>IFERROR(MATCH(734,상세표[경계순번],0),"")</f>
        <v/>
      </c>
    </row>
    <row r="740">
      <c r="A740">
        <f>IF($M740="","",INDEX(상세표[사번],$M740)&amp;"")</f>
        <v/>
      </c>
      <c r="B740">
        <f>IF($M740="","",INDEX(상세표[성명],$M740)&amp;"")</f>
        <v/>
      </c>
      <c r="C740">
        <f>IF($M740="","",IF(INDEX(상세표[종료월],$M740)=대상월키,"전월→이번 달","이번 달→익월"))</f>
        <v/>
      </c>
      <c r="D740">
        <f>IF($M740="","",IF(ISNUMBER(INDEX(상세표[시작],$M740)),TEXT(INDEX(상세표[시작],$M740),"yyyy-mm-dd hh:mm"),INDEX(상세표[시작],$M740)&amp;""))</f>
        <v/>
      </c>
      <c r="E740">
        <f>IF($M740="","",IF(ISNUMBER(INDEX(상세표[종료],$M740)),TEXT(INDEX(상세표[종료],$M740),"yyyy-mm-dd hh:mm"),INDEX(상세표[종료],$M740)&amp;""))</f>
        <v/>
      </c>
      <c r="F740" s="20">
        <f>IF($M740="","",INDEX(상세표[기록 시간외],$M740))</f>
        <v/>
      </c>
      <c r="G740">
        <f>IF($M740="","",INDEX(상세표[시작월 기관],$M740)&amp;"")</f>
        <v/>
      </c>
      <c r="H740">
        <f>IF($M740="","",INDEX(상세표[종료월 기관],$M740)&amp;"")</f>
        <v/>
      </c>
      <c r="I740">
        <f>IF($M740="","",INDEX(상세표[월경계 판정],$M740)&amp;"")</f>
        <v/>
      </c>
      <c r="J740">
        <f>IF($M740="","",INDEX(상세표[반영월],$M740)&amp;"")</f>
        <v/>
      </c>
      <c r="K740">
        <f>IF($M740="","",INDEX(상세표[반영 기관],$M740)&amp;"")</f>
        <v/>
      </c>
      <c r="L740">
        <f>IF($M740="","",INDEX(상세표[기관 출처],$M740)&amp;"")</f>
        <v/>
      </c>
      <c r="M740" s="4">
        <f>IFERROR(MATCH(735,상세표[경계순번],0),"")</f>
        <v/>
      </c>
    </row>
    <row r="741">
      <c r="A741">
        <f>IF($M741="","",INDEX(상세표[사번],$M741)&amp;"")</f>
        <v/>
      </c>
      <c r="B741">
        <f>IF($M741="","",INDEX(상세표[성명],$M741)&amp;"")</f>
        <v/>
      </c>
      <c r="C741">
        <f>IF($M741="","",IF(INDEX(상세표[종료월],$M741)=대상월키,"전월→이번 달","이번 달→익월"))</f>
        <v/>
      </c>
      <c r="D741">
        <f>IF($M741="","",IF(ISNUMBER(INDEX(상세표[시작],$M741)),TEXT(INDEX(상세표[시작],$M741),"yyyy-mm-dd hh:mm"),INDEX(상세표[시작],$M741)&amp;""))</f>
        <v/>
      </c>
      <c r="E741">
        <f>IF($M741="","",IF(ISNUMBER(INDEX(상세표[종료],$M741)),TEXT(INDEX(상세표[종료],$M741),"yyyy-mm-dd hh:mm"),INDEX(상세표[종료],$M741)&amp;""))</f>
        <v/>
      </c>
      <c r="F741" s="20">
        <f>IF($M741="","",INDEX(상세표[기록 시간외],$M741))</f>
        <v/>
      </c>
      <c r="G741">
        <f>IF($M741="","",INDEX(상세표[시작월 기관],$M741)&amp;"")</f>
        <v/>
      </c>
      <c r="H741">
        <f>IF($M741="","",INDEX(상세표[종료월 기관],$M741)&amp;"")</f>
        <v/>
      </c>
      <c r="I741">
        <f>IF($M741="","",INDEX(상세표[월경계 판정],$M741)&amp;"")</f>
        <v/>
      </c>
      <c r="J741">
        <f>IF($M741="","",INDEX(상세표[반영월],$M741)&amp;"")</f>
        <v/>
      </c>
      <c r="K741">
        <f>IF($M741="","",INDEX(상세표[반영 기관],$M741)&amp;"")</f>
        <v/>
      </c>
      <c r="L741">
        <f>IF($M741="","",INDEX(상세표[기관 출처],$M741)&amp;"")</f>
        <v/>
      </c>
      <c r="M741" s="4">
        <f>IFERROR(MATCH(736,상세표[경계순번],0),"")</f>
        <v/>
      </c>
    </row>
    <row r="742">
      <c r="A742">
        <f>IF($M742="","",INDEX(상세표[사번],$M742)&amp;"")</f>
        <v/>
      </c>
      <c r="B742">
        <f>IF($M742="","",INDEX(상세표[성명],$M742)&amp;"")</f>
        <v/>
      </c>
      <c r="C742">
        <f>IF($M742="","",IF(INDEX(상세표[종료월],$M742)=대상월키,"전월→이번 달","이번 달→익월"))</f>
        <v/>
      </c>
      <c r="D742">
        <f>IF($M742="","",IF(ISNUMBER(INDEX(상세표[시작],$M742)),TEXT(INDEX(상세표[시작],$M742),"yyyy-mm-dd hh:mm"),INDEX(상세표[시작],$M742)&amp;""))</f>
        <v/>
      </c>
      <c r="E742">
        <f>IF($M742="","",IF(ISNUMBER(INDEX(상세표[종료],$M742)),TEXT(INDEX(상세표[종료],$M742),"yyyy-mm-dd hh:mm"),INDEX(상세표[종료],$M742)&amp;""))</f>
        <v/>
      </c>
      <c r="F742" s="20">
        <f>IF($M742="","",INDEX(상세표[기록 시간외],$M742))</f>
        <v/>
      </c>
      <c r="G742">
        <f>IF($M742="","",INDEX(상세표[시작월 기관],$M742)&amp;"")</f>
        <v/>
      </c>
      <c r="H742">
        <f>IF($M742="","",INDEX(상세표[종료월 기관],$M742)&amp;"")</f>
        <v/>
      </c>
      <c r="I742">
        <f>IF($M742="","",INDEX(상세표[월경계 판정],$M742)&amp;"")</f>
        <v/>
      </c>
      <c r="J742">
        <f>IF($M742="","",INDEX(상세표[반영월],$M742)&amp;"")</f>
        <v/>
      </c>
      <c r="K742">
        <f>IF($M742="","",INDEX(상세표[반영 기관],$M742)&amp;"")</f>
        <v/>
      </c>
      <c r="L742">
        <f>IF($M742="","",INDEX(상세표[기관 출처],$M742)&amp;"")</f>
        <v/>
      </c>
      <c r="M742" s="4">
        <f>IFERROR(MATCH(737,상세표[경계순번],0),"")</f>
        <v/>
      </c>
    </row>
    <row r="743">
      <c r="A743">
        <f>IF($M743="","",INDEX(상세표[사번],$M743)&amp;"")</f>
        <v/>
      </c>
      <c r="B743">
        <f>IF($M743="","",INDEX(상세표[성명],$M743)&amp;"")</f>
        <v/>
      </c>
      <c r="C743">
        <f>IF($M743="","",IF(INDEX(상세표[종료월],$M743)=대상월키,"전월→이번 달","이번 달→익월"))</f>
        <v/>
      </c>
      <c r="D743">
        <f>IF($M743="","",IF(ISNUMBER(INDEX(상세표[시작],$M743)),TEXT(INDEX(상세표[시작],$M743),"yyyy-mm-dd hh:mm"),INDEX(상세표[시작],$M743)&amp;""))</f>
        <v/>
      </c>
      <c r="E743">
        <f>IF($M743="","",IF(ISNUMBER(INDEX(상세표[종료],$M743)),TEXT(INDEX(상세표[종료],$M743),"yyyy-mm-dd hh:mm"),INDEX(상세표[종료],$M743)&amp;""))</f>
        <v/>
      </c>
      <c r="F743" s="20">
        <f>IF($M743="","",INDEX(상세표[기록 시간외],$M743))</f>
        <v/>
      </c>
      <c r="G743">
        <f>IF($M743="","",INDEX(상세표[시작월 기관],$M743)&amp;"")</f>
        <v/>
      </c>
      <c r="H743">
        <f>IF($M743="","",INDEX(상세표[종료월 기관],$M743)&amp;"")</f>
        <v/>
      </c>
      <c r="I743">
        <f>IF($M743="","",INDEX(상세표[월경계 판정],$M743)&amp;"")</f>
        <v/>
      </c>
      <c r="J743">
        <f>IF($M743="","",INDEX(상세표[반영월],$M743)&amp;"")</f>
        <v/>
      </c>
      <c r="K743">
        <f>IF($M743="","",INDEX(상세표[반영 기관],$M743)&amp;"")</f>
        <v/>
      </c>
      <c r="L743">
        <f>IF($M743="","",INDEX(상세표[기관 출처],$M743)&amp;"")</f>
        <v/>
      </c>
      <c r="M743" s="4">
        <f>IFERROR(MATCH(738,상세표[경계순번],0),"")</f>
        <v/>
      </c>
    </row>
    <row r="744">
      <c r="A744">
        <f>IF($M744="","",INDEX(상세표[사번],$M744)&amp;"")</f>
        <v/>
      </c>
      <c r="B744">
        <f>IF($M744="","",INDEX(상세표[성명],$M744)&amp;"")</f>
        <v/>
      </c>
      <c r="C744">
        <f>IF($M744="","",IF(INDEX(상세표[종료월],$M744)=대상월키,"전월→이번 달","이번 달→익월"))</f>
        <v/>
      </c>
      <c r="D744">
        <f>IF($M744="","",IF(ISNUMBER(INDEX(상세표[시작],$M744)),TEXT(INDEX(상세표[시작],$M744),"yyyy-mm-dd hh:mm"),INDEX(상세표[시작],$M744)&amp;""))</f>
        <v/>
      </c>
      <c r="E744">
        <f>IF($M744="","",IF(ISNUMBER(INDEX(상세표[종료],$M744)),TEXT(INDEX(상세표[종료],$M744),"yyyy-mm-dd hh:mm"),INDEX(상세표[종료],$M744)&amp;""))</f>
        <v/>
      </c>
      <c r="F744" s="20">
        <f>IF($M744="","",INDEX(상세표[기록 시간외],$M744))</f>
        <v/>
      </c>
      <c r="G744">
        <f>IF($M744="","",INDEX(상세표[시작월 기관],$M744)&amp;"")</f>
        <v/>
      </c>
      <c r="H744">
        <f>IF($M744="","",INDEX(상세표[종료월 기관],$M744)&amp;"")</f>
        <v/>
      </c>
      <c r="I744">
        <f>IF($M744="","",INDEX(상세표[월경계 판정],$M744)&amp;"")</f>
        <v/>
      </c>
      <c r="J744">
        <f>IF($M744="","",INDEX(상세표[반영월],$M744)&amp;"")</f>
        <v/>
      </c>
      <c r="K744">
        <f>IF($M744="","",INDEX(상세표[반영 기관],$M744)&amp;"")</f>
        <v/>
      </c>
      <c r="L744">
        <f>IF($M744="","",INDEX(상세표[기관 출처],$M744)&amp;"")</f>
        <v/>
      </c>
      <c r="M744" s="4">
        <f>IFERROR(MATCH(739,상세표[경계순번],0),"")</f>
        <v/>
      </c>
    </row>
    <row r="745">
      <c r="A745">
        <f>IF($M745="","",INDEX(상세표[사번],$M745)&amp;"")</f>
        <v/>
      </c>
      <c r="B745">
        <f>IF($M745="","",INDEX(상세표[성명],$M745)&amp;"")</f>
        <v/>
      </c>
      <c r="C745">
        <f>IF($M745="","",IF(INDEX(상세표[종료월],$M745)=대상월키,"전월→이번 달","이번 달→익월"))</f>
        <v/>
      </c>
      <c r="D745">
        <f>IF($M745="","",IF(ISNUMBER(INDEX(상세표[시작],$M745)),TEXT(INDEX(상세표[시작],$M745),"yyyy-mm-dd hh:mm"),INDEX(상세표[시작],$M745)&amp;""))</f>
        <v/>
      </c>
      <c r="E745">
        <f>IF($M745="","",IF(ISNUMBER(INDEX(상세표[종료],$M745)),TEXT(INDEX(상세표[종료],$M745),"yyyy-mm-dd hh:mm"),INDEX(상세표[종료],$M745)&amp;""))</f>
        <v/>
      </c>
      <c r="F745" s="20">
        <f>IF($M745="","",INDEX(상세표[기록 시간외],$M745))</f>
        <v/>
      </c>
      <c r="G745">
        <f>IF($M745="","",INDEX(상세표[시작월 기관],$M745)&amp;"")</f>
        <v/>
      </c>
      <c r="H745">
        <f>IF($M745="","",INDEX(상세표[종료월 기관],$M745)&amp;"")</f>
        <v/>
      </c>
      <c r="I745">
        <f>IF($M745="","",INDEX(상세표[월경계 판정],$M745)&amp;"")</f>
        <v/>
      </c>
      <c r="J745">
        <f>IF($M745="","",INDEX(상세표[반영월],$M745)&amp;"")</f>
        <v/>
      </c>
      <c r="K745">
        <f>IF($M745="","",INDEX(상세표[반영 기관],$M745)&amp;"")</f>
        <v/>
      </c>
      <c r="L745">
        <f>IF($M745="","",INDEX(상세표[기관 출처],$M745)&amp;"")</f>
        <v/>
      </c>
      <c r="M745" s="4">
        <f>IFERROR(MATCH(740,상세표[경계순번],0),"")</f>
        <v/>
      </c>
    </row>
    <row r="746">
      <c r="A746">
        <f>IF($M746="","",INDEX(상세표[사번],$M746)&amp;"")</f>
        <v/>
      </c>
      <c r="B746">
        <f>IF($M746="","",INDEX(상세표[성명],$M746)&amp;"")</f>
        <v/>
      </c>
      <c r="C746">
        <f>IF($M746="","",IF(INDEX(상세표[종료월],$M746)=대상월키,"전월→이번 달","이번 달→익월"))</f>
        <v/>
      </c>
      <c r="D746">
        <f>IF($M746="","",IF(ISNUMBER(INDEX(상세표[시작],$M746)),TEXT(INDEX(상세표[시작],$M746),"yyyy-mm-dd hh:mm"),INDEX(상세표[시작],$M746)&amp;""))</f>
        <v/>
      </c>
      <c r="E746">
        <f>IF($M746="","",IF(ISNUMBER(INDEX(상세표[종료],$M746)),TEXT(INDEX(상세표[종료],$M746),"yyyy-mm-dd hh:mm"),INDEX(상세표[종료],$M746)&amp;""))</f>
        <v/>
      </c>
      <c r="F746" s="20">
        <f>IF($M746="","",INDEX(상세표[기록 시간외],$M746))</f>
        <v/>
      </c>
      <c r="G746">
        <f>IF($M746="","",INDEX(상세표[시작월 기관],$M746)&amp;"")</f>
        <v/>
      </c>
      <c r="H746">
        <f>IF($M746="","",INDEX(상세표[종료월 기관],$M746)&amp;"")</f>
        <v/>
      </c>
      <c r="I746">
        <f>IF($M746="","",INDEX(상세표[월경계 판정],$M746)&amp;"")</f>
        <v/>
      </c>
      <c r="J746">
        <f>IF($M746="","",INDEX(상세표[반영월],$M746)&amp;"")</f>
        <v/>
      </c>
      <c r="K746">
        <f>IF($M746="","",INDEX(상세표[반영 기관],$M746)&amp;"")</f>
        <v/>
      </c>
      <c r="L746">
        <f>IF($M746="","",INDEX(상세표[기관 출처],$M746)&amp;"")</f>
        <v/>
      </c>
      <c r="M746" s="4">
        <f>IFERROR(MATCH(741,상세표[경계순번],0),"")</f>
        <v/>
      </c>
    </row>
    <row r="747">
      <c r="A747">
        <f>IF($M747="","",INDEX(상세표[사번],$M747)&amp;"")</f>
        <v/>
      </c>
      <c r="B747">
        <f>IF($M747="","",INDEX(상세표[성명],$M747)&amp;"")</f>
        <v/>
      </c>
      <c r="C747">
        <f>IF($M747="","",IF(INDEX(상세표[종료월],$M747)=대상월키,"전월→이번 달","이번 달→익월"))</f>
        <v/>
      </c>
      <c r="D747">
        <f>IF($M747="","",IF(ISNUMBER(INDEX(상세표[시작],$M747)),TEXT(INDEX(상세표[시작],$M747),"yyyy-mm-dd hh:mm"),INDEX(상세표[시작],$M747)&amp;""))</f>
        <v/>
      </c>
      <c r="E747">
        <f>IF($M747="","",IF(ISNUMBER(INDEX(상세표[종료],$M747)),TEXT(INDEX(상세표[종료],$M747),"yyyy-mm-dd hh:mm"),INDEX(상세표[종료],$M747)&amp;""))</f>
        <v/>
      </c>
      <c r="F747" s="20">
        <f>IF($M747="","",INDEX(상세표[기록 시간외],$M747))</f>
        <v/>
      </c>
      <c r="G747">
        <f>IF($M747="","",INDEX(상세표[시작월 기관],$M747)&amp;"")</f>
        <v/>
      </c>
      <c r="H747">
        <f>IF($M747="","",INDEX(상세표[종료월 기관],$M747)&amp;"")</f>
        <v/>
      </c>
      <c r="I747">
        <f>IF($M747="","",INDEX(상세표[월경계 판정],$M747)&amp;"")</f>
        <v/>
      </c>
      <c r="J747">
        <f>IF($M747="","",INDEX(상세표[반영월],$M747)&amp;"")</f>
        <v/>
      </c>
      <c r="K747">
        <f>IF($M747="","",INDEX(상세표[반영 기관],$M747)&amp;"")</f>
        <v/>
      </c>
      <c r="L747">
        <f>IF($M747="","",INDEX(상세표[기관 출처],$M747)&amp;"")</f>
        <v/>
      </c>
      <c r="M747" s="4">
        <f>IFERROR(MATCH(742,상세표[경계순번],0),"")</f>
        <v/>
      </c>
    </row>
    <row r="748">
      <c r="A748">
        <f>IF($M748="","",INDEX(상세표[사번],$M748)&amp;"")</f>
        <v/>
      </c>
      <c r="B748">
        <f>IF($M748="","",INDEX(상세표[성명],$M748)&amp;"")</f>
        <v/>
      </c>
      <c r="C748">
        <f>IF($M748="","",IF(INDEX(상세표[종료월],$M748)=대상월키,"전월→이번 달","이번 달→익월"))</f>
        <v/>
      </c>
      <c r="D748">
        <f>IF($M748="","",IF(ISNUMBER(INDEX(상세표[시작],$M748)),TEXT(INDEX(상세표[시작],$M748),"yyyy-mm-dd hh:mm"),INDEX(상세표[시작],$M748)&amp;""))</f>
        <v/>
      </c>
      <c r="E748">
        <f>IF($M748="","",IF(ISNUMBER(INDEX(상세표[종료],$M748)),TEXT(INDEX(상세표[종료],$M748),"yyyy-mm-dd hh:mm"),INDEX(상세표[종료],$M748)&amp;""))</f>
        <v/>
      </c>
      <c r="F748" s="20">
        <f>IF($M748="","",INDEX(상세표[기록 시간외],$M748))</f>
        <v/>
      </c>
      <c r="G748">
        <f>IF($M748="","",INDEX(상세표[시작월 기관],$M748)&amp;"")</f>
        <v/>
      </c>
      <c r="H748">
        <f>IF($M748="","",INDEX(상세표[종료월 기관],$M748)&amp;"")</f>
        <v/>
      </c>
      <c r="I748">
        <f>IF($M748="","",INDEX(상세표[월경계 판정],$M748)&amp;"")</f>
        <v/>
      </c>
      <c r="J748">
        <f>IF($M748="","",INDEX(상세표[반영월],$M748)&amp;"")</f>
        <v/>
      </c>
      <c r="K748">
        <f>IF($M748="","",INDEX(상세표[반영 기관],$M748)&amp;"")</f>
        <v/>
      </c>
      <c r="L748">
        <f>IF($M748="","",INDEX(상세표[기관 출처],$M748)&amp;"")</f>
        <v/>
      </c>
      <c r="M748" s="4">
        <f>IFERROR(MATCH(743,상세표[경계순번],0),"")</f>
        <v/>
      </c>
    </row>
    <row r="749">
      <c r="A749">
        <f>IF($M749="","",INDEX(상세표[사번],$M749)&amp;"")</f>
        <v/>
      </c>
      <c r="B749">
        <f>IF($M749="","",INDEX(상세표[성명],$M749)&amp;"")</f>
        <v/>
      </c>
      <c r="C749">
        <f>IF($M749="","",IF(INDEX(상세표[종료월],$M749)=대상월키,"전월→이번 달","이번 달→익월"))</f>
        <v/>
      </c>
      <c r="D749">
        <f>IF($M749="","",IF(ISNUMBER(INDEX(상세표[시작],$M749)),TEXT(INDEX(상세표[시작],$M749),"yyyy-mm-dd hh:mm"),INDEX(상세표[시작],$M749)&amp;""))</f>
        <v/>
      </c>
      <c r="E749">
        <f>IF($M749="","",IF(ISNUMBER(INDEX(상세표[종료],$M749)),TEXT(INDEX(상세표[종료],$M749),"yyyy-mm-dd hh:mm"),INDEX(상세표[종료],$M749)&amp;""))</f>
        <v/>
      </c>
      <c r="F749" s="20">
        <f>IF($M749="","",INDEX(상세표[기록 시간외],$M749))</f>
        <v/>
      </c>
      <c r="G749">
        <f>IF($M749="","",INDEX(상세표[시작월 기관],$M749)&amp;"")</f>
        <v/>
      </c>
      <c r="H749">
        <f>IF($M749="","",INDEX(상세표[종료월 기관],$M749)&amp;"")</f>
        <v/>
      </c>
      <c r="I749">
        <f>IF($M749="","",INDEX(상세표[월경계 판정],$M749)&amp;"")</f>
        <v/>
      </c>
      <c r="J749">
        <f>IF($M749="","",INDEX(상세표[반영월],$M749)&amp;"")</f>
        <v/>
      </c>
      <c r="K749">
        <f>IF($M749="","",INDEX(상세표[반영 기관],$M749)&amp;"")</f>
        <v/>
      </c>
      <c r="L749">
        <f>IF($M749="","",INDEX(상세표[기관 출처],$M749)&amp;"")</f>
        <v/>
      </c>
      <c r="M749" s="4">
        <f>IFERROR(MATCH(744,상세표[경계순번],0),"")</f>
        <v/>
      </c>
    </row>
    <row r="750">
      <c r="A750">
        <f>IF($M750="","",INDEX(상세표[사번],$M750)&amp;"")</f>
        <v/>
      </c>
      <c r="B750">
        <f>IF($M750="","",INDEX(상세표[성명],$M750)&amp;"")</f>
        <v/>
      </c>
      <c r="C750">
        <f>IF($M750="","",IF(INDEX(상세표[종료월],$M750)=대상월키,"전월→이번 달","이번 달→익월"))</f>
        <v/>
      </c>
      <c r="D750">
        <f>IF($M750="","",IF(ISNUMBER(INDEX(상세표[시작],$M750)),TEXT(INDEX(상세표[시작],$M750),"yyyy-mm-dd hh:mm"),INDEX(상세표[시작],$M750)&amp;""))</f>
        <v/>
      </c>
      <c r="E750">
        <f>IF($M750="","",IF(ISNUMBER(INDEX(상세표[종료],$M750)),TEXT(INDEX(상세표[종료],$M750),"yyyy-mm-dd hh:mm"),INDEX(상세표[종료],$M750)&amp;""))</f>
        <v/>
      </c>
      <c r="F750" s="20">
        <f>IF($M750="","",INDEX(상세표[기록 시간외],$M750))</f>
        <v/>
      </c>
      <c r="G750">
        <f>IF($M750="","",INDEX(상세표[시작월 기관],$M750)&amp;"")</f>
        <v/>
      </c>
      <c r="H750">
        <f>IF($M750="","",INDEX(상세표[종료월 기관],$M750)&amp;"")</f>
        <v/>
      </c>
      <c r="I750">
        <f>IF($M750="","",INDEX(상세표[월경계 판정],$M750)&amp;"")</f>
        <v/>
      </c>
      <c r="J750">
        <f>IF($M750="","",INDEX(상세표[반영월],$M750)&amp;"")</f>
        <v/>
      </c>
      <c r="K750">
        <f>IF($M750="","",INDEX(상세표[반영 기관],$M750)&amp;"")</f>
        <v/>
      </c>
      <c r="L750">
        <f>IF($M750="","",INDEX(상세표[기관 출처],$M750)&amp;"")</f>
        <v/>
      </c>
      <c r="M750" s="4">
        <f>IFERROR(MATCH(745,상세표[경계순번],0),"")</f>
        <v/>
      </c>
    </row>
    <row r="751">
      <c r="A751">
        <f>IF($M751="","",INDEX(상세표[사번],$M751)&amp;"")</f>
        <v/>
      </c>
      <c r="B751">
        <f>IF($M751="","",INDEX(상세표[성명],$M751)&amp;"")</f>
        <v/>
      </c>
      <c r="C751">
        <f>IF($M751="","",IF(INDEX(상세표[종료월],$M751)=대상월키,"전월→이번 달","이번 달→익월"))</f>
        <v/>
      </c>
      <c r="D751">
        <f>IF($M751="","",IF(ISNUMBER(INDEX(상세표[시작],$M751)),TEXT(INDEX(상세표[시작],$M751),"yyyy-mm-dd hh:mm"),INDEX(상세표[시작],$M751)&amp;""))</f>
        <v/>
      </c>
      <c r="E751">
        <f>IF($M751="","",IF(ISNUMBER(INDEX(상세표[종료],$M751)),TEXT(INDEX(상세표[종료],$M751),"yyyy-mm-dd hh:mm"),INDEX(상세표[종료],$M751)&amp;""))</f>
        <v/>
      </c>
      <c r="F751" s="20">
        <f>IF($M751="","",INDEX(상세표[기록 시간외],$M751))</f>
        <v/>
      </c>
      <c r="G751">
        <f>IF($M751="","",INDEX(상세표[시작월 기관],$M751)&amp;"")</f>
        <v/>
      </c>
      <c r="H751">
        <f>IF($M751="","",INDEX(상세표[종료월 기관],$M751)&amp;"")</f>
        <v/>
      </c>
      <c r="I751">
        <f>IF($M751="","",INDEX(상세표[월경계 판정],$M751)&amp;"")</f>
        <v/>
      </c>
      <c r="J751">
        <f>IF($M751="","",INDEX(상세표[반영월],$M751)&amp;"")</f>
        <v/>
      </c>
      <c r="K751">
        <f>IF($M751="","",INDEX(상세표[반영 기관],$M751)&amp;"")</f>
        <v/>
      </c>
      <c r="L751">
        <f>IF($M751="","",INDEX(상세표[기관 출처],$M751)&amp;"")</f>
        <v/>
      </c>
      <c r="M751" s="4">
        <f>IFERROR(MATCH(746,상세표[경계순번],0),"")</f>
        <v/>
      </c>
    </row>
    <row r="752">
      <c r="A752">
        <f>IF($M752="","",INDEX(상세표[사번],$M752)&amp;"")</f>
        <v/>
      </c>
      <c r="B752">
        <f>IF($M752="","",INDEX(상세표[성명],$M752)&amp;"")</f>
        <v/>
      </c>
      <c r="C752">
        <f>IF($M752="","",IF(INDEX(상세표[종료월],$M752)=대상월키,"전월→이번 달","이번 달→익월"))</f>
        <v/>
      </c>
      <c r="D752">
        <f>IF($M752="","",IF(ISNUMBER(INDEX(상세표[시작],$M752)),TEXT(INDEX(상세표[시작],$M752),"yyyy-mm-dd hh:mm"),INDEX(상세표[시작],$M752)&amp;""))</f>
        <v/>
      </c>
      <c r="E752">
        <f>IF($M752="","",IF(ISNUMBER(INDEX(상세표[종료],$M752)),TEXT(INDEX(상세표[종료],$M752),"yyyy-mm-dd hh:mm"),INDEX(상세표[종료],$M752)&amp;""))</f>
        <v/>
      </c>
      <c r="F752" s="20">
        <f>IF($M752="","",INDEX(상세표[기록 시간외],$M752))</f>
        <v/>
      </c>
      <c r="G752">
        <f>IF($M752="","",INDEX(상세표[시작월 기관],$M752)&amp;"")</f>
        <v/>
      </c>
      <c r="H752">
        <f>IF($M752="","",INDEX(상세표[종료월 기관],$M752)&amp;"")</f>
        <v/>
      </c>
      <c r="I752">
        <f>IF($M752="","",INDEX(상세표[월경계 판정],$M752)&amp;"")</f>
        <v/>
      </c>
      <c r="J752">
        <f>IF($M752="","",INDEX(상세표[반영월],$M752)&amp;"")</f>
        <v/>
      </c>
      <c r="K752">
        <f>IF($M752="","",INDEX(상세표[반영 기관],$M752)&amp;"")</f>
        <v/>
      </c>
      <c r="L752">
        <f>IF($M752="","",INDEX(상세표[기관 출처],$M752)&amp;"")</f>
        <v/>
      </c>
      <c r="M752" s="4">
        <f>IFERROR(MATCH(747,상세표[경계순번],0),"")</f>
        <v/>
      </c>
    </row>
    <row r="753">
      <c r="A753">
        <f>IF($M753="","",INDEX(상세표[사번],$M753)&amp;"")</f>
        <v/>
      </c>
      <c r="B753">
        <f>IF($M753="","",INDEX(상세표[성명],$M753)&amp;"")</f>
        <v/>
      </c>
      <c r="C753">
        <f>IF($M753="","",IF(INDEX(상세표[종료월],$M753)=대상월키,"전월→이번 달","이번 달→익월"))</f>
        <v/>
      </c>
      <c r="D753">
        <f>IF($M753="","",IF(ISNUMBER(INDEX(상세표[시작],$M753)),TEXT(INDEX(상세표[시작],$M753),"yyyy-mm-dd hh:mm"),INDEX(상세표[시작],$M753)&amp;""))</f>
        <v/>
      </c>
      <c r="E753">
        <f>IF($M753="","",IF(ISNUMBER(INDEX(상세표[종료],$M753)),TEXT(INDEX(상세표[종료],$M753),"yyyy-mm-dd hh:mm"),INDEX(상세표[종료],$M753)&amp;""))</f>
        <v/>
      </c>
      <c r="F753" s="20">
        <f>IF($M753="","",INDEX(상세표[기록 시간외],$M753))</f>
        <v/>
      </c>
      <c r="G753">
        <f>IF($M753="","",INDEX(상세표[시작월 기관],$M753)&amp;"")</f>
        <v/>
      </c>
      <c r="H753">
        <f>IF($M753="","",INDEX(상세표[종료월 기관],$M753)&amp;"")</f>
        <v/>
      </c>
      <c r="I753">
        <f>IF($M753="","",INDEX(상세표[월경계 판정],$M753)&amp;"")</f>
        <v/>
      </c>
      <c r="J753">
        <f>IF($M753="","",INDEX(상세표[반영월],$M753)&amp;"")</f>
        <v/>
      </c>
      <c r="K753">
        <f>IF($M753="","",INDEX(상세표[반영 기관],$M753)&amp;"")</f>
        <v/>
      </c>
      <c r="L753">
        <f>IF($M753="","",INDEX(상세표[기관 출처],$M753)&amp;"")</f>
        <v/>
      </c>
      <c r="M753" s="4">
        <f>IFERROR(MATCH(748,상세표[경계순번],0),"")</f>
        <v/>
      </c>
    </row>
    <row r="754">
      <c r="A754">
        <f>IF($M754="","",INDEX(상세표[사번],$M754)&amp;"")</f>
        <v/>
      </c>
      <c r="B754">
        <f>IF($M754="","",INDEX(상세표[성명],$M754)&amp;"")</f>
        <v/>
      </c>
      <c r="C754">
        <f>IF($M754="","",IF(INDEX(상세표[종료월],$M754)=대상월키,"전월→이번 달","이번 달→익월"))</f>
        <v/>
      </c>
      <c r="D754">
        <f>IF($M754="","",IF(ISNUMBER(INDEX(상세표[시작],$M754)),TEXT(INDEX(상세표[시작],$M754),"yyyy-mm-dd hh:mm"),INDEX(상세표[시작],$M754)&amp;""))</f>
        <v/>
      </c>
      <c r="E754">
        <f>IF($M754="","",IF(ISNUMBER(INDEX(상세표[종료],$M754)),TEXT(INDEX(상세표[종료],$M754),"yyyy-mm-dd hh:mm"),INDEX(상세표[종료],$M754)&amp;""))</f>
        <v/>
      </c>
      <c r="F754" s="20">
        <f>IF($M754="","",INDEX(상세표[기록 시간외],$M754))</f>
        <v/>
      </c>
      <c r="G754">
        <f>IF($M754="","",INDEX(상세표[시작월 기관],$M754)&amp;"")</f>
        <v/>
      </c>
      <c r="H754">
        <f>IF($M754="","",INDEX(상세표[종료월 기관],$M754)&amp;"")</f>
        <v/>
      </c>
      <c r="I754">
        <f>IF($M754="","",INDEX(상세표[월경계 판정],$M754)&amp;"")</f>
        <v/>
      </c>
      <c r="J754">
        <f>IF($M754="","",INDEX(상세표[반영월],$M754)&amp;"")</f>
        <v/>
      </c>
      <c r="K754">
        <f>IF($M754="","",INDEX(상세표[반영 기관],$M754)&amp;"")</f>
        <v/>
      </c>
      <c r="L754">
        <f>IF($M754="","",INDEX(상세표[기관 출처],$M754)&amp;"")</f>
        <v/>
      </c>
      <c r="M754" s="4">
        <f>IFERROR(MATCH(749,상세표[경계순번],0),"")</f>
        <v/>
      </c>
    </row>
    <row r="755">
      <c r="A755">
        <f>IF($M755="","",INDEX(상세표[사번],$M755)&amp;"")</f>
        <v/>
      </c>
      <c r="B755">
        <f>IF($M755="","",INDEX(상세표[성명],$M755)&amp;"")</f>
        <v/>
      </c>
      <c r="C755">
        <f>IF($M755="","",IF(INDEX(상세표[종료월],$M755)=대상월키,"전월→이번 달","이번 달→익월"))</f>
        <v/>
      </c>
      <c r="D755">
        <f>IF($M755="","",IF(ISNUMBER(INDEX(상세표[시작],$M755)),TEXT(INDEX(상세표[시작],$M755),"yyyy-mm-dd hh:mm"),INDEX(상세표[시작],$M755)&amp;""))</f>
        <v/>
      </c>
      <c r="E755">
        <f>IF($M755="","",IF(ISNUMBER(INDEX(상세표[종료],$M755)),TEXT(INDEX(상세표[종료],$M755),"yyyy-mm-dd hh:mm"),INDEX(상세표[종료],$M755)&amp;""))</f>
        <v/>
      </c>
      <c r="F755" s="20">
        <f>IF($M755="","",INDEX(상세표[기록 시간외],$M755))</f>
        <v/>
      </c>
      <c r="G755">
        <f>IF($M755="","",INDEX(상세표[시작월 기관],$M755)&amp;"")</f>
        <v/>
      </c>
      <c r="H755">
        <f>IF($M755="","",INDEX(상세표[종료월 기관],$M755)&amp;"")</f>
        <v/>
      </c>
      <c r="I755">
        <f>IF($M755="","",INDEX(상세표[월경계 판정],$M755)&amp;"")</f>
        <v/>
      </c>
      <c r="J755">
        <f>IF($M755="","",INDEX(상세표[반영월],$M755)&amp;"")</f>
        <v/>
      </c>
      <c r="K755">
        <f>IF($M755="","",INDEX(상세표[반영 기관],$M755)&amp;"")</f>
        <v/>
      </c>
      <c r="L755">
        <f>IF($M755="","",INDEX(상세표[기관 출처],$M755)&amp;"")</f>
        <v/>
      </c>
      <c r="M755" s="4">
        <f>IFERROR(MATCH(750,상세표[경계순번],0),"")</f>
        <v/>
      </c>
    </row>
    <row r="756">
      <c r="A756">
        <f>IF($M756="","",INDEX(상세표[사번],$M756)&amp;"")</f>
        <v/>
      </c>
      <c r="B756">
        <f>IF($M756="","",INDEX(상세표[성명],$M756)&amp;"")</f>
        <v/>
      </c>
      <c r="C756">
        <f>IF($M756="","",IF(INDEX(상세표[종료월],$M756)=대상월키,"전월→이번 달","이번 달→익월"))</f>
        <v/>
      </c>
      <c r="D756">
        <f>IF($M756="","",IF(ISNUMBER(INDEX(상세표[시작],$M756)),TEXT(INDEX(상세표[시작],$M756),"yyyy-mm-dd hh:mm"),INDEX(상세표[시작],$M756)&amp;""))</f>
        <v/>
      </c>
      <c r="E756">
        <f>IF($M756="","",IF(ISNUMBER(INDEX(상세표[종료],$M756)),TEXT(INDEX(상세표[종료],$M756),"yyyy-mm-dd hh:mm"),INDEX(상세표[종료],$M756)&amp;""))</f>
        <v/>
      </c>
      <c r="F756" s="20">
        <f>IF($M756="","",INDEX(상세표[기록 시간외],$M756))</f>
        <v/>
      </c>
      <c r="G756">
        <f>IF($M756="","",INDEX(상세표[시작월 기관],$M756)&amp;"")</f>
        <v/>
      </c>
      <c r="H756">
        <f>IF($M756="","",INDEX(상세표[종료월 기관],$M756)&amp;"")</f>
        <v/>
      </c>
      <c r="I756">
        <f>IF($M756="","",INDEX(상세표[월경계 판정],$M756)&amp;"")</f>
        <v/>
      </c>
      <c r="J756">
        <f>IF($M756="","",INDEX(상세표[반영월],$M756)&amp;"")</f>
        <v/>
      </c>
      <c r="K756">
        <f>IF($M756="","",INDEX(상세표[반영 기관],$M756)&amp;"")</f>
        <v/>
      </c>
      <c r="L756">
        <f>IF($M756="","",INDEX(상세표[기관 출처],$M756)&amp;"")</f>
        <v/>
      </c>
      <c r="M756" s="4">
        <f>IFERROR(MATCH(751,상세표[경계순번],0),"")</f>
        <v/>
      </c>
    </row>
    <row r="757">
      <c r="A757">
        <f>IF($M757="","",INDEX(상세표[사번],$M757)&amp;"")</f>
        <v/>
      </c>
      <c r="B757">
        <f>IF($M757="","",INDEX(상세표[성명],$M757)&amp;"")</f>
        <v/>
      </c>
      <c r="C757">
        <f>IF($M757="","",IF(INDEX(상세표[종료월],$M757)=대상월키,"전월→이번 달","이번 달→익월"))</f>
        <v/>
      </c>
      <c r="D757">
        <f>IF($M757="","",IF(ISNUMBER(INDEX(상세표[시작],$M757)),TEXT(INDEX(상세표[시작],$M757),"yyyy-mm-dd hh:mm"),INDEX(상세표[시작],$M757)&amp;""))</f>
        <v/>
      </c>
      <c r="E757">
        <f>IF($M757="","",IF(ISNUMBER(INDEX(상세표[종료],$M757)),TEXT(INDEX(상세표[종료],$M757),"yyyy-mm-dd hh:mm"),INDEX(상세표[종료],$M757)&amp;""))</f>
        <v/>
      </c>
      <c r="F757" s="20">
        <f>IF($M757="","",INDEX(상세표[기록 시간외],$M757))</f>
        <v/>
      </c>
      <c r="G757">
        <f>IF($M757="","",INDEX(상세표[시작월 기관],$M757)&amp;"")</f>
        <v/>
      </c>
      <c r="H757">
        <f>IF($M757="","",INDEX(상세표[종료월 기관],$M757)&amp;"")</f>
        <v/>
      </c>
      <c r="I757">
        <f>IF($M757="","",INDEX(상세표[월경계 판정],$M757)&amp;"")</f>
        <v/>
      </c>
      <c r="J757">
        <f>IF($M757="","",INDEX(상세표[반영월],$M757)&amp;"")</f>
        <v/>
      </c>
      <c r="K757">
        <f>IF($M757="","",INDEX(상세표[반영 기관],$M757)&amp;"")</f>
        <v/>
      </c>
      <c r="L757">
        <f>IF($M757="","",INDEX(상세표[기관 출처],$M757)&amp;"")</f>
        <v/>
      </c>
      <c r="M757" s="4">
        <f>IFERROR(MATCH(752,상세표[경계순번],0),"")</f>
        <v/>
      </c>
    </row>
    <row r="758">
      <c r="A758">
        <f>IF($M758="","",INDEX(상세표[사번],$M758)&amp;"")</f>
        <v/>
      </c>
      <c r="B758">
        <f>IF($M758="","",INDEX(상세표[성명],$M758)&amp;"")</f>
        <v/>
      </c>
      <c r="C758">
        <f>IF($M758="","",IF(INDEX(상세표[종료월],$M758)=대상월키,"전월→이번 달","이번 달→익월"))</f>
        <v/>
      </c>
      <c r="D758">
        <f>IF($M758="","",IF(ISNUMBER(INDEX(상세표[시작],$M758)),TEXT(INDEX(상세표[시작],$M758),"yyyy-mm-dd hh:mm"),INDEX(상세표[시작],$M758)&amp;""))</f>
        <v/>
      </c>
      <c r="E758">
        <f>IF($M758="","",IF(ISNUMBER(INDEX(상세표[종료],$M758)),TEXT(INDEX(상세표[종료],$M758),"yyyy-mm-dd hh:mm"),INDEX(상세표[종료],$M758)&amp;""))</f>
        <v/>
      </c>
      <c r="F758" s="20">
        <f>IF($M758="","",INDEX(상세표[기록 시간외],$M758))</f>
        <v/>
      </c>
      <c r="G758">
        <f>IF($M758="","",INDEX(상세표[시작월 기관],$M758)&amp;"")</f>
        <v/>
      </c>
      <c r="H758">
        <f>IF($M758="","",INDEX(상세표[종료월 기관],$M758)&amp;"")</f>
        <v/>
      </c>
      <c r="I758">
        <f>IF($M758="","",INDEX(상세표[월경계 판정],$M758)&amp;"")</f>
        <v/>
      </c>
      <c r="J758">
        <f>IF($M758="","",INDEX(상세표[반영월],$M758)&amp;"")</f>
        <v/>
      </c>
      <c r="K758">
        <f>IF($M758="","",INDEX(상세표[반영 기관],$M758)&amp;"")</f>
        <v/>
      </c>
      <c r="L758">
        <f>IF($M758="","",INDEX(상세표[기관 출처],$M758)&amp;"")</f>
        <v/>
      </c>
      <c r="M758" s="4">
        <f>IFERROR(MATCH(753,상세표[경계순번],0),"")</f>
        <v/>
      </c>
    </row>
    <row r="759">
      <c r="A759">
        <f>IF($M759="","",INDEX(상세표[사번],$M759)&amp;"")</f>
        <v/>
      </c>
      <c r="B759">
        <f>IF($M759="","",INDEX(상세표[성명],$M759)&amp;"")</f>
        <v/>
      </c>
      <c r="C759">
        <f>IF($M759="","",IF(INDEX(상세표[종료월],$M759)=대상월키,"전월→이번 달","이번 달→익월"))</f>
        <v/>
      </c>
      <c r="D759">
        <f>IF($M759="","",IF(ISNUMBER(INDEX(상세표[시작],$M759)),TEXT(INDEX(상세표[시작],$M759),"yyyy-mm-dd hh:mm"),INDEX(상세표[시작],$M759)&amp;""))</f>
        <v/>
      </c>
      <c r="E759">
        <f>IF($M759="","",IF(ISNUMBER(INDEX(상세표[종료],$M759)),TEXT(INDEX(상세표[종료],$M759),"yyyy-mm-dd hh:mm"),INDEX(상세표[종료],$M759)&amp;""))</f>
        <v/>
      </c>
      <c r="F759" s="20">
        <f>IF($M759="","",INDEX(상세표[기록 시간외],$M759))</f>
        <v/>
      </c>
      <c r="G759">
        <f>IF($M759="","",INDEX(상세표[시작월 기관],$M759)&amp;"")</f>
        <v/>
      </c>
      <c r="H759">
        <f>IF($M759="","",INDEX(상세표[종료월 기관],$M759)&amp;"")</f>
        <v/>
      </c>
      <c r="I759">
        <f>IF($M759="","",INDEX(상세표[월경계 판정],$M759)&amp;"")</f>
        <v/>
      </c>
      <c r="J759">
        <f>IF($M759="","",INDEX(상세표[반영월],$M759)&amp;"")</f>
        <v/>
      </c>
      <c r="K759">
        <f>IF($M759="","",INDEX(상세표[반영 기관],$M759)&amp;"")</f>
        <v/>
      </c>
      <c r="L759">
        <f>IF($M759="","",INDEX(상세표[기관 출처],$M759)&amp;"")</f>
        <v/>
      </c>
      <c r="M759" s="4">
        <f>IFERROR(MATCH(754,상세표[경계순번],0),"")</f>
        <v/>
      </c>
    </row>
    <row r="760">
      <c r="A760">
        <f>IF($M760="","",INDEX(상세표[사번],$M760)&amp;"")</f>
        <v/>
      </c>
      <c r="B760">
        <f>IF($M760="","",INDEX(상세표[성명],$M760)&amp;"")</f>
        <v/>
      </c>
      <c r="C760">
        <f>IF($M760="","",IF(INDEX(상세표[종료월],$M760)=대상월키,"전월→이번 달","이번 달→익월"))</f>
        <v/>
      </c>
      <c r="D760">
        <f>IF($M760="","",IF(ISNUMBER(INDEX(상세표[시작],$M760)),TEXT(INDEX(상세표[시작],$M760),"yyyy-mm-dd hh:mm"),INDEX(상세표[시작],$M760)&amp;""))</f>
        <v/>
      </c>
      <c r="E760">
        <f>IF($M760="","",IF(ISNUMBER(INDEX(상세표[종료],$M760)),TEXT(INDEX(상세표[종료],$M760),"yyyy-mm-dd hh:mm"),INDEX(상세표[종료],$M760)&amp;""))</f>
        <v/>
      </c>
      <c r="F760" s="20">
        <f>IF($M760="","",INDEX(상세표[기록 시간외],$M760))</f>
        <v/>
      </c>
      <c r="G760">
        <f>IF($M760="","",INDEX(상세표[시작월 기관],$M760)&amp;"")</f>
        <v/>
      </c>
      <c r="H760">
        <f>IF($M760="","",INDEX(상세표[종료월 기관],$M760)&amp;"")</f>
        <v/>
      </c>
      <c r="I760">
        <f>IF($M760="","",INDEX(상세표[월경계 판정],$M760)&amp;"")</f>
        <v/>
      </c>
      <c r="J760">
        <f>IF($M760="","",INDEX(상세표[반영월],$M760)&amp;"")</f>
        <v/>
      </c>
      <c r="K760">
        <f>IF($M760="","",INDEX(상세표[반영 기관],$M760)&amp;"")</f>
        <v/>
      </c>
      <c r="L760">
        <f>IF($M760="","",INDEX(상세표[기관 출처],$M760)&amp;"")</f>
        <v/>
      </c>
      <c r="M760" s="4">
        <f>IFERROR(MATCH(755,상세표[경계순번],0),"")</f>
        <v/>
      </c>
    </row>
    <row r="761">
      <c r="A761">
        <f>IF($M761="","",INDEX(상세표[사번],$M761)&amp;"")</f>
        <v/>
      </c>
      <c r="B761">
        <f>IF($M761="","",INDEX(상세표[성명],$M761)&amp;"")</f>
        <v/>
      </c>
      <c r="C761">
        <f>IF($M761="","",IF(INDEX(상세표[종료월],$M761)=대상월키,"전월→이번 달","이번 달→익월"))</f>
        <v/>
      </c>
      <c r="D761">
        <f>IF($M761="","",IF(ISNUMBER(INDEX(상세표[시작],$M761)),TEXT(INDEX(상세표[시작],$M761),"yyyy-mm-dd hh:mm"),INDEX(상세표[시작],$M761)&amp;""))</f>
        <v/>
      </c>
      <c r="E761">
        <f>IF($M761="","",IF(ISNUMBER(INDEX(상세표[종료],$M761)),TEXT(INDEX(상세표[종료],$M761),"yyyy-mm-dd hh:mm"),INDEX(상세표[종료],$M761)&amp;""))</f>
        <v/>
      </c>
      <c r="F761" s="20">
        <f>IF($M761="","",INDEX(상세표[기록 시간외],$M761))</f>
        <v/>
      </c>
      <c r="G761">
        <f>IF($M761="","",INDEX(상세표[시작월 기관],$M761)&amp;"")</f>
        <v/>
      </c>
      <c r="H761">
        <f>IF($M761="","",INDEX(상세표[종료월 기관],$M761)&amp;"")</f>
        <v/>
      </c>
      <c r="I761">
        <f>IF($M761="","",INDEX(상세표[월경계 판정],$M761)&amp;"")</f>
        <v/>
      </c>
      <c r="J761">
        <f>IF($M761="","",INDEX(상세표[반영월],$M761)&amp;"")</f>
        <v/>
      </c>
      <c r="K761">
        <f>IF($M761="","",INDEX(상세표[반영 기관],$M761)&amp;"")</f>
        <v/>
      </c>
      <c r="L761">
        <f>IF($M761="","",INDEX(상세표[기관 출처],$M761)&amp;"")</f>
        <v/>
      </c>
      <c r="M761" s="4">
        <f>IFERROR(MATCH(756,상세표[경계순번],0),"")</f>
        <v/>
      </c>
    </row>
    <row r="762">
      <c r="A762">
        <f>IF($M762="","",INDEX(상세표[사번],$M762)&amp;"")</f>
        <v/>
      </c>
      <c r="B762">
        <f>IF($M762="","",INDEX(상세표[성명],$M762)&amp;"")</f>
        <v/>
      </c>
      <c r="C762">
        <f>IF($M762="","",IF(INDEX(상세표[종료월],$M762)=대상월키,"전월→이번 달","이번 달→익월"))</f>
        <v/>
      </c>
      <c r="D762">
        <f>IF($M762="","",IF(ISNUMBER(INDEX(상세표[시작],$M762)),TEXT(INDEX(상세표[시작],$M762),"yyyy-mm-dd hh:mm"),INDEX(상세표[시작],$M762)&amp;""))</f>
        <v/>
      </c>
      <c r="E762">
        <f>IF($M762="","",IF(ISNUMBER(INDEX(상세표[종료],$M762)),TEXT(INDEX(상세표[종료],$M762),"yyyy-mm-dd hh:mm"),INDEX(상세표[종료],$M762)&amp;""))</f>
        <v/>
      </c>
      <c r="F762" s="20">
        <f>IF($M762="","",INDEX(상세표[기록 시간외],$M762))</f>
        <v/>
      </c>
      <c r="G762">
        <f>IF($M762="","",INDEX(상세표[시작월 기관],$M762)&amp;"")</f>
        <v/>
      </c>
      <c r="H762">
        <f>IF($M762="","",INDEX(상세표[종료월 기관],$M762)&amp;"")</f>
        <v/>
      </c>
      <c r="I762">
        <f>IF($M762="","",INDEX(상세표[월경계 판정],$M762)&amp;"")</f>
        <v/>
      </c>
      <c r="J762">
        <f>IF($M762="","",INDEX(상세표[반영월],$M762)&amp;"")</f>
        <v/>
      </c>
      <c r="K762">
        <f>IF($M762="","",INDEX(상세표[반영 기관],$M762)&amp;"")</f>
        <v/>
      </c>
      <c r="L762">
        <f>IF($M762="","",INDEX(상세표[기관 출처],$M762)&amp;"")</f>
        <v/>
      </c>
      <c r="M762" s="4">
        <f>IFERROR(MATCH(757,상세표[경계순번],0),"")</f>
        <v/>
      </c>
    </row>
    <row r="763">
      <c r="A763">
        <f>IF($M763="","",INDEX(상세표[사번],$M763)&amp;"")</f>
        <v/>
      </c>
      <c r="B763">
        <f>IF($M763="","",INDEX(상세표[성명],$M763)&amp;"")</f>
        <v/>
      </c>
      <c r="C763">
        <f>IF($M763="","",IF(INDEX(상세표[종료월],$M763)=대상월키,"전월→이번 달","이번 달→익월"))</f>
        <v/>
      </c>
      <c r="D763">
        <f>IF($M763="","",IF(ISNUMBER(INDEX(상세표[시작],$M763)),TEXT(INDEX(상세표[시작],$M763),"yyyy-mm-dd hh:mm"),INDEX(상세표[시작],$M763)&amp;""))</f>
        <v/>
      </c>
      <c r="E763">
        <f>IF($M763="","",IF(ISNUMBER(INDEX(상세표[종료],$M763)),TEXT(INDEX(상세표[종료],$M763),"yyyy-mm-dd hh:mm"),INDEX(상세표[종료],$M763)&amp;""))</f>
        <v/>
      </c>
      <c r="F763" s="20">
        <f>IF($M763="","",INDEX(상세표[기록 시간외],$M763))</f>
        <v/>
      </c>
      <c r="G763">
        <f>IF($M763="","",INDEX(상세표[시작월 기관],$M763)&amp;"")</f>
        <v/>
      </c>
      <c r="H763">
        <f>IF($M763="","",INDEX(상세표[종료월 기관],$M763)&amp;"")</f>
        <v/>
      </c>
      <c r="I763">
        <f>IF($M763="","",INDEX(상세표[월경계 판정],$M763)&amp;"")</f>
        <v/>
      </c>
      <c r="J763">
        <f>IF($M763="","",INDEX(상세표[반영월],$M763)&amp;"")</f>
        <v/>
      </c>
      <c r="K763">
        <f>IF($M763="","",INDEX(상세표[반영 기관],$M763)&amp;"")</f>
        <v/>
      </c>
      <c r="L763">
        <f>IF($M763="","",INDEX(상세표[기관 출처],$M763)&amp;"")</f>
        <v/>
      </c>
      <c r="M763" s="4">
        <f>IFERROR(MATCH(758,상세표[경계순번],0),"")</f>
        <v/>
      </c>
    </row>
    <row r="764">
      <c r="A764">
        <f>IF($M764="","",INDEX(상세표[사번],$M764)&amp;"")</f>
        <v/>
      </c>
      <c r="B764">
        <f>IF($M764="","",INDEX(상세표[성명],$M764)&amp;"")</f>
        <v/>
      </c>
      <c r="C764">
        <f>IF($M764="","",IF(INDEX(상세표[종료월],$M764)=대상월키,"전월→이번 달","이번 달→익월"))</f>
        <v/>
      </c>
      <c r="D764">
        <f>IF($M764="","",IF(ISNUMBER(INDEX(상세표[시작],$M764)),TEXT(INDEX(상세표[시작],$M764),"yyyy-mm-dd hh:mm"),INDEX(상세표[시작],$M764)&amp;""))</f>
        <v/>
      </c>
      <c r="E764">
        <f>IF($M764="","",IF(ISNUMBER(INDEX(상세표[종료],$M764)),TEXT(INDEX(상세표[종료],$M764),"yyyy-mm-dd hh:mm"),INDEX(상세표[종료],$M764)&amp;""))</f>
        <v/>
      </c>
      <c r="F764" s="20">
        <f>IF($M764="","",INDEX(상세표[기록 시간외],$M764))</f>
        <v/>
      </c>
      <c r="G764">
        <f>IF($M764="","",INDEX(상세표[시작월 기관],$M764)&amp;"")</f>
        <v/>
      </c>
      <c r="H764">
        <f>IF($M764="","",INDEX(상세표[종료월 기관],$M764)&amp;"")</f>
        <v/>
      </c>
      <c r="I764">
        <f>IF($M764="","",INDEX(상세표[월경계 판정],$M764)&amp;"")</f>
        <v/>
      </c>
      <c r="J764">
        <f>IF($M764="","",INDEX(상세표[반영월],$M764)&amp;"")</f>
        <v/>
      </c>
      <c r="K764">
        <f>IF($M764="","",INDEX(상세표[반영 기관],$M764)&amp;"")</f>
        <v/>
      </c>
      <c r="L764">
        <f>IF($M764="","",INDEX(상세표[기관 출처],$M764)&amp;"")</f>
        <v/>
      </c>
      <c r="M764" s="4">
        <f>IFERROR(MATCH(759,상세표[경계순번],0),"")</f>
        <v/>
      </c>
    </row>
    <row r="765">
      <c r="A765">
        <f>IF($M765="","",INDEX(상세표[사번],$M765)&amp;"")</f>
        <v/>
      </c>
      <c r="B765">
        <f>IF($M765="","",INDEX(상세표[성명],$M765)&amp;"")</f>
        <v/>
      </c>
      <c r="C765">
        <f>IF($M765="","",IF(INDEX(상세표[종료월],$M765)=대상월키,"전월→이번 달","이번 달→익월"))</f>
        <v/>
      </c>
      <c r="D765">
        <f>IF($M765="","",IF(ISNUMBER(INDEX(상세표[시작],$M765)),TEXT(INDEX(상세표[시작],$M765),"yyyy-mm-dd hh:mm"),INDEX(상세표[시작],$M765)&amp;""))</f>
        <v/>
      </c>
      <c r="E765">
        <f>IF($M765="","",IF(ISNUMBER(INDEX(상세표[종료],$M765)),TEXT(INDEX(상세표[종료],$M765),"yyyy-mm-dd hh:mm"),INDEX(상세표[종료],$M765)&amp;""))</f>
        <v/>
      </c>
      <c r="F765" s="20">
        <f>IF($M765="","",INDEX(상세표[기록 시간외],$M765))</f>
        <v/>
      </c>
      <c r="G765">
        <f>IF($M765="","",INDEX(상세표[시작월 기관],$M765)&amp;"")</f>
        <v/>
      </c>
      <c r="H765">
        <f>IF($M765="","",INDEX(상세표[종료월 기관],$M765)&amp;"")</f>
        <v/>
      </c>
      <c r="I765">
        <f>IF($M765="","",INDEX(상세표[월경계 판정],$M765)&amp;"")</f>
        <v/>
      </c>
      <c r="J765">
        <f>IF($M765="","",INDEX(상세표[반영월],$M765)&amp;"")</f>
        <v/>
      </c>
      <c r="K765">
        <f>IF($M765="","",INDEX(상세표[반영 기관],$M765)&amp;"")</f>
        <v/>
      </c>
      <c r="L765">
        <f>IF($M765="","",INDEX(상세표[기관 출처],$M765)&amp;"")</f>
        <v/>
      </c>
      <c r="M765" s="4">
        <f>IFERROR(MATCH(760,상세표[경계순번],0),"")</f>
        <v/>
      </c>
    </row>
    <row r="766">
      <c r="A766">
        <f>IF($M766="","",INDEX(상세표[사번],$M766)&amp;"")</f>
        <v/>
      </c>
      <c r="B766">
        <f>IF($M766="","",INDEX(상세표[성명],$M766)&amp;"")</f>
        <v/>
      </c>
      <c r="C766">
        <f>IF($M766="","",IF(INDEX(상세표[종료월],$M766)=대상월키,"전월→이번 달","이번 달→익월"))</f>
        <v/>
      </c>
      <c r="D766">
        <f>IF($M766="","",IF(ISNUMBER(INDEX(상세표[시작],$M766)),TEXT(INDEX(상세표[시작],$M766),"yyyy-mm-dd hh:mm"),INDEX(상세표[시작],$M766)&amp;""))</f>
        <v/>
      </c>
      <c r="E766">
        <f>IF($M766="","",IF(ISNUMBER(INDEX(상세표[종료],$M766)),TEXT(INDEX(상세표[종료],$M766),"yyyy-mm-dd hh:mm"),INDEX(상세표[종료],$M766)&amp;""))</f>
        <v/>
      </c>
      <c r="F766" s="20">
        <f>IF($M766="","",INDEX(상세표[기록 시간외],$M766))</f>
        <v/>
      </c>
      <c r="G766">
        <f>IF($M766="","",INDEX(상세표[시작월 기관],$M766)&amp;"")</f>
        <v/>
      </c>
      <c r="H766">
        <f>IF($M766="","",INDEX(상세표[종료월 기관],$M766)&amp;"")</f>
        <v/>
      </c>
      <c r="I766">
        <f>IF($M766="","",INDEX(상세표[월경계 판정],$M766)&amp;"")</f>
        <v/>
      </c>
      <c r="J766">
        <f>IF($M766="","",INDEX(상세표[반영월],$M766)&amp;"")</f>
        <v/>
      </c>
      <c r="K766">
        <f>IF($M766="","",INDEX(상세표[반영 기관],$M766)&amp;"")</f>
        <v/>
      </c>
      <c r="L766">
        <f>IF($M766="","",INDEX(상세표[기관 출처],$M766)&amp;"")</f>
        <v/>
      </c>
      <c r="M766" s="4">
        <f>IFERROR(MATCH(761,상세표[경계순번],0),"")</f>
        <v/>
      </c>
    </row>
    <row r="767">
      <c r="A767">
        <f>IF($M767="","",INDEX(상세표[사번],$M767)&amp;"")</f>
        <v/>
      </c>
      <c r="B767">
        <f>IF($M767="","",INDEX(상세표[성명],$M767)&amp;"")</f>
        <v/>
      </c>
      <c r="C767">
        <f>IF($M767="","",IF(INDEX(상세표[종료월],$M767)=대상월키,"전월→이번 달","이번 달→익월"))</f>
        <v/>
      </c>
      <c r="D767">
        <f>IF($M767="","",IF(ISNUMBER(INDEX(상세표[시작],$M767)),TEXT(INDEX(상세표[시작],$M767),"yyyy-mm-dd hh:mm"),INDEX(상세표[시작],$M767)&amp;""))</f>
        <v/>
      </c>
      <c r="E767">
        <f>IF($M767="","",IF(ISNUMBER(INDEX(상세표[종료],$M767)),TEXT(INDEX(상세표[종료],$M767),"yyyy-mm-dd hh:mm"),INDEX(상세표[종료],$M767)&amp;""))</f>
        <v/>
      </c>
      <c r="F767" s="20">
        <f>IF($M767="","",INDEX(상세표[기록 시간외],$M767))</f>
        <v/>
      </c>
      <c r="G767">
        <f>IF($M767="","",INDEX(상세표[시작월 기관],$M767)&amp;"")</f>
        <v/>
      </c>
      <c r="H767">
        <f>IF($M767="","",INDEX(상세표[종료월 기관],$M767)&amp;"")</f>
        <v/>
      </c>
      <c r="I767">
        <f>IF($M767="","",INDEX(상세표[월경계 판정],$M767)&amp;"")</f>
        <v/>
      </c>
      <c r="J767">
        <f>IF($M767="","",INDEX(상세표[반영월],$M767)&amp;"")</f>
        <v/>
      </c>
      <c r="K767">
        <f>IF($M767="","",INDEX(상세표[반영 기관],$M767)&amp;"")</f>
        <v/>
      </c>
      <c r="L767">
        <f>IF($M767="","",INDEX(상세표[기관 출처],$M767)&amp;"")</f>
        <v/>
      </c>
      <c r="M767" s="4">
        <f>IFERROR(MATCH(762,상세표[경계순번],0),"")</f>
        <v/>
      </c>
    </row>
    <row r="768">
      <c r="A768">
        <f>IF($M768="","",INDEX(상세표[사번],$M768)&amp;"")</f>
        <v/>
      </c>
      <c r="B768">
        <f>IF($M768="","",INDEX(상세표[성명],$M768)&amp;"")</f>
        <v/>
      </c>
      <c r="C768">
        <f>IF($M768="","",IF(INDEX(상세표[종료월],$M768)=대상월키,"전월→이번 달","이번 달→익월"))</f>
        <v/>
      </c>
      <c r="D768">
        <f>IF($M768="","",IF(ISNUMBER(INDEX(상세표[시작],$M768)),TEXT(INDEX(상세표[시작],$M768),"yyyy-mm-dd hh:mm"),INDEX(상세표[시작],$M768)&amp;""))</f>
        <v/>
      </c>
      <c r="E768">
        <f>IF($M768="","",IF(ISNUMBER(INDEX(상세표[종료],$M768)),TEXT(INDEX(상세표[종료],$M768),"yyyy-mm-dd hh:mm"),INDEX(상세표[종료],$M768)&amp;""))</f>
        <v/>
      </c>
      <c r="F768" s="20">
        <f>IF($M768="","",INDEX(상세표[기록 시간외],$M768))</f>
        <v/>
      </c>
      <c r="G768">
        <f>IF($M768="","",INDEX(상세표[시작월 기관],$M768)&amp;"")</f>
        <v/>
      </c>
      <c r="H768">
        <f>IF($M768="","",INDEX(상세표[종료월 기관],$M768)&amp;"")</f>
        <v/>
      </c>
      <c r="I768">
        <f>IF($M768="","",INDEX(상세표[월경계 판정],$M768)&amp;"")</f>
        <v/>
      </c>
      <c r="J768">
        <f>IF($M768="","",INDEX(상세표[반영월],$M768)&amp;"")</f>
        <v/>
      </c>
      <c r="K768">
        <f>IF($M768="","",INDEX(상세표[반영 기관],$M768)&amp;"")</f>
        <v/>
      </c>
      <c r="L768">
        <f>IF($M768="","",INDEX(상세표[기관 출처],$M768)&amp;"")</f>
        <v/>
      </c>
      <c r="M768" s="4">
        <f>IFERROR(MATCH(763,상세표[경계순번],0),"")</f>
        <v/>
      </c>
    </row>
    <row r="769">
      <c r="A769">
        <f>IF($M769="","",INDEX(상세표[사번],$M769)&amp;"")</f>
        <v/>
      </c>
      <c r="B769">
        <f>IF($M769="","",INDEX(상세표[성명],$M769)&amp;"")</f>
        <v/>
      </c>
      <c r="C769">
        <f>IF($M769="","",IF(INDEX(상세표[종료월],$M769)=대상월키,"전월→이번 달","이번 달→익월"))</f>
        <v/>
      </c>
      <c r="D769">
        <f>IF($M769="","",IF(ISNUMBER(INDEX(상세표[시작],$M769)),TEXT(INDEX(상세표[시작],$M769),"yyyy-mm-dd hh:mm"),INDEX(상세표[시작],$M769)&amp;""))</f>
        <v/>
      </c>
      <c r="E769">
        <f>IF($M769="","",IF(ISNUMBER(INDEX(상세표[종료],$M769)),TEXT(INDEX(상세표[종료],$M769),"yyyy-mm-dd hh:mm"),INDEX(상세표[종료],$M769)&amp;""))</f>
        <v/>
      </c>
      <c r="F769" s="20">
        <f>IF($M769="","",INDEX(상세표[기록 시간외],$M769))</f>
        <v/>
      </c>
      <c r="G769">
        <f>IF($M769="","",INDEX(상세표[시작월 기관],$M769)&amp;"")</f>
        <v/>
      </c>
      <c r="H769">
        <f>IF($M769="","",INDEX(상세표[종료월 기관],$M769)&amp;"")</f>
        <v/>
      </c>
      <c r="I769">
        <f>IF($M769="","",INDEX(상세표[월경계 판정],$M769)&amp;"")</f>
        <v/>
      </c>
      <c r="J769">
        <f>IF($M769="","",INDEX(상세표[반영월],$M769)&amp;"")</f>
        <v/>
      </c>
      <c r="K769">
        <f>IF($M769="","",INDEX(상세표[반영 기관],$M769)&amp;"")</f>
        <v/>
      </c>
      <c r="L769">
        <f>IF($M769="","",INDEX(상세표[기관 출처],$M769)&amp;"")</f>
        <v/>
      </c>
      <c r="M769" s="4">
        <f>IFERROR(MATCH(764,상세표[경계순번],0),"")</f>
        <v/>
      </c>
    </row>
    <row r="770">
      <c r="A770">
        <f>IF($M770="","",INDEX(상세표[사번],$M770)&amp;"")</f>
        <v/>
      </c>
      <c r="B770">
        <f>IF($M770="","",INDEX(상세표[성명],$M770)&amp;"")</f>
        <v/>
      </c>
      <c r="C770">
        <f>IF($M770="","",IF(INDEX(상세표[종료월],$M770)=대상월키,"전월→이번 달","이번 달→익월"))</f>
        <v/>
      </c>
      <c r="D770">
        <f>IF($M770="","",IF(ISNUMBER(INDEX(상세표[시작],$M770)),TEXT(INDEX(상세표[시작],$M770),"yyyy-mm-dd hh:mm"),INDEX(상세표[시작],$M770)&amp;""))</f>
        <v/>
      </c>
      <c r="E770">
        <f>IF($M770="","",IF(ISNUMBER(INDEX(상세표[종료],$M770)),TEXT(INDEX(상세표[종료],$M770),"yyyy-mm-dd hh:mm"),INDEX(상세표[종료],$M770)&amp;""))</f>
        <v/>
      </c>
      <c r="F770" s="20">
        <f>IF($M770="","",INDEX(상세표[기록 시간외],$M770))</f>
        <v/>
      </c>
      <c r="G770">
        <f>IF($M770="","",INDEX(상세표[시작월 기관],$M770)&amp;"")</f>
        <v/>
      </c>
      <c r="H770">
        <f>IF($M770="","",INDEX(상세표[종료월 기관],$M770)&amp;"")</f>
        <v/>
      </c>
      <c r="I770">
        <f>IF($M770="","",INDEX(상세표[월경계 판정],$M770)&amp;"")</f>
        <v/>
      </c>
      <c r="J770">
        <f>IF($M770="","",INDEX(상세표[반영월],$M770)&amp;"")</f>
        <v/>
      </c>
      <c r="K770">
        <f>IF($M770="","",INDEX(상세표[반영 기관],$M770)&amp;"")</f>
        <v/>
      </c>
      <c r="L770">
        <f>IF($M770="","",INDEX(상세표[기관 출처],$M770)&amp;"")</f>
        <v/>
      </c>
      <c r="M770" s="4">
        <f>IFERROR(MATCH(765,상세표[경계순번],0),"")</f>
        <v/>
      </c>
    </row>
    <row r="771">
      <c r="A771">
        <f>IF($M771="","",INDEX(상세표[사번],$M771)&amp;"")</f>
        <v/>
      </c>
      <c r="B771">
        <f>IF($M771="","",INDEX(상세표[성명],$M771)&amp;"")</f>
        <v/>
      </c>
      <c r="C771">
        <f>IF($M771="","",IF(INDEX(상세표[종료월],$M771)=대상월키,"전월→이번 달","이번 달→익월"))</f>
        <v/>
      </c>
      <c r="D771">
        <f>IF($M771="","",IF(ISNUMBER(INDEX(상세표[시작],$M771)),TEXT(INDEX(상세표[시작],$M771),"yyyy-mm-dd hh:mm"),INDEX(상세표[시작],$M771)&amp;""))</f>
        <v/>
      </c>
      <c r="E771">
        <f>IF($M771="","",IF(ISNUMBER(INDEX(상세표[종료],$M771)),TEXT(INDEX(상세표[종료],$M771),"yyyy-mm-dd hh:mm"),INDEX(상세표[종료],$M771)&amp;""))</f>
        <v/>
      </c>
      <c r="F771" s="20">
        <f>IF($M771="","",INDEX(상세표[기록 시간외],$M771))</f>
        <v/>
      </c>
      <c r="G771">
        <f>IF($M771="","",INDEX(상세표[시작월 기관],$M771)&amp;"")</f>
        <v/>
      </c>
      <c r="H771">
        <f>IF($M771="","",INDEX(상세표[종료월 기관],$M771)&amp;"")</f>
        <v/>
      </c>
      <c r="I771">
        <f>IF($M771="","",INDEX(상세표[월경계 판정],$M771)&amp;"")</f>
        <v/>
      </c>
      <c r="J771">
        <f>IF($M771="","",INDEX(상세표[반영월],$M771)&amp;"")</f>
        <v/>
      </c>
      <c r="K771">
        <f>IF($M771="","",INDEX(상세표[반영 기관],$M771)&amp;"")</f>
        <v/>
      </c>
      <c r="L771">
        <f>IF($M771="","",INDEX(상세표[기관 출처],$M771)&amp;"")</f>
        <v/>
      </c>
      <c r="M771" s="4">
        <f>IFERROR(MATCH(766,상세표[경계순번],0),"")</f>
        <v/>
      </c>
    </row>
    <row r="772">
      <c r="A772">
        <f>IF($M772="","",INDEX(상세표[사번],$M772)&amp;"")</f>
        <v/>
      </c>
      <c r="B772">
        <f>IF($M772="","",INDEX(상세표[성명],$M772)&amp;"")</f>
        <v/>
      </c>
      <c r="C772">
        <f>IF($M772="","",IF(INDEX(상세표[종료월],$M772)=대상월키,"전월→이번 달","이번 달→익월"))</f>
        <v/>
      </c>
      <c r="D772">
        <f>IF($M772="","",IF(ISNUMBER(INDEX(상세표[시작],$M772)),TEXT(INDEX(상세표[시작],$M772),"yyyy-mm-dd hh:mm"),INDEX(상세표[시작],$M772)&amp;""))</f>
        <v/>
      </c>
      <c r="E772">
        <f>IF($M772="","",IF(ISNUMBER(INDEX(상세표[종료],$M772)),TEXT(INDEX(상세표[종료],$M772),"yyyy-mm-dd hh:mm"),INDEX(상세표[종료],$M772)&amp;""))</f>
        <v/>
      </c>
      <c r="F772" s="20">
        <f>IF($M772="","",INDEX(상세표[기록 시간외],$M772))</f>
        <v/>
      </c>
      <c r="G772">
        <f>IF($M772="","",INDEX(상세표[시작월 기관],$M772)&amp;"")</f>
        <v/>
      </c>
      <c r="H772">
        <f>IF($M772="","",INDEX(상세표[종료월 기관],$M772)&amp;"")</f>
        <v/>
      </c>
      <c r="I772">
        <f>IF($M772="","",INDEX(상세표[월경계 판정],$M772)&amp;"")</f>
        <v/>
      </c>
      <c r="J772">
        <f>IF($M772="","",INDEX(상세표[반영월],$M772)&amp;"")</f>
        <v/>
      </c>
      <c r="K772">
        <f>IF($M772="","",INDEX(상세표[반영 기관],$M772)&amp;"")</f>
        <v/>
      </c>
      <c r="L772">
        <f>IF($M772="","",INDEX(상세표[기관 출처],$M772)&amp;"")</f>
        <v/>
      </c>
      <c r="M772" s="4">
        <f>IFERROR(MATCH(767,상세표[경계순번],0),"")</f>
        <v/>
      </c>
    </row>
    <row r="773">
      <c r="A773">
        <f>IF($M773="","",INDEX(상세표[사번],$M773)&amp;"")</f>
        <v/>
      </c>
      <c r="B773">
        <f>IF($M773="","",INDEX(상세표[성명],$M773)&amp;"")</f>
        <v/>
      </c>
      <c r="C773">
        <f>IF($M773="","",IF(INDEX(상세표[종료월],$M773)=대상월키,"전월→이번 달","이번 달→익월"))</f>
        <v/>
      </c>
      <c r="D773">
        <f>IF($M773="","",IF(ISNUMBER(INDEX(상세표[시작],$M773)),TEXT(INDEX(상세표[시작],$M773),"yyyy-mm-dd hh:mm"),INDEX(상세표[시작],$M773)&amp;""))</f>
        <v/>
      </c>
      <c r="E773">
        <f>IF($M773="","",IF(ISNUMBER(INDEX(상세표[종료],$M773)),TEXT(INDEX(상세표[종료],$M773),"yyyy-mm-dd hh:mm"),INDEX(상세표[종료],$M773)&amp;""))</f>
        <v/>
      </c>
      <c r="F773" s="20">
        <f>IF($M773="","",INDEX(상세표[기록 시간외],$M773))</f>
        <v/>
      </c>
      <c r="G773">
        <f>IF($M773="","",INDEX(상세표[시작월 기관],$M773)&amp;"")</f>
        <v/>
      </c>
      <c r="H773">
        <f>IF($M773="","",INDEX(상세표[종료월 기관],$M773)&amp;"")</f>
        <v/>
      </c>
      <c r="I773">
        <f>IF($M773="","",INDEX(상세표[월경계 판정],$M773)&amp;"")</f>
        <v/>
      </c>
      <c r="J773">
        <f>IF($M773="","",INDEX(상세표[반영월],$M773)&amp;"")</f>
        <v/>
      </c>
      <c r="K773">
        <f>IF($M773="","",INDEX(상세표[반영 기관],$M773)&amp;"")</f>
        <v/>
      </c>
      <c r="L773">
        <f>IF($M773="","",INDEX(상세표[기관 출처],$M773)&amp;"")</f>
        <v/>
      </c>
      <c r="M773" s="4">
        <f>IFERROR(MATCH(768,상세표[경계순번],0),"")</f>
        <v/>
      </c>
    </row>
    <row r="774">
      <c r="A774">
        <f>IF($M774="","",INDEX(상세표[사번],$M774)&amp;"")</f>
        <v/>
      </c>
      <c r="B774">
        <f>IF($M774="","",INDEX(상세표[성명],$M774)&amp;"")</f>
        <v/>
      </c>
      <c r="C774">
        <f>IF($M774="","",IF(INDEX(상세표[종료월],$M774)=대상월키,"전월→이번 달","이번 달→익월"))</f>
        <v/>
      </c>
      <c r="D774">
        <f>IF($M774="","",IF(ISNUMBER(INDEX(상세표[시작],$M774)),TEXT(INDEX(상세표[시작],$M774),"yyyy-mm-dd hh:mm"),INDEX(상세표[시작],$M774)&amp;""))</f>
        <v/>
      </c>
      <c r="E774">
        <f>IF($M774="","",IF(ISNUMBER(INDEX(상세표[종료],$M774)),TEXT(INDEX(상세표[종료],$M774),"yyyy-mm-dd hh:mm"),INDEX(상세표[종료],$M774)&amp;""))</f>
        <v/>
      </c>
      <c r="F774" s="20">
        <f>IF($M774="","",INDEX(상세표[기록 시간외],$M774))</f>
        <v/>
      </c>
      <c r="G774">
        <f>IF($M774="","",INDEX(상세표[시작월 기관],$M774)&amp;"")</f>
        <v/>
      </c>
      <c r="H774">
        <f>IF($M774="","",INDEX(상세표[종료월 기관],$M774)&amp;"")</f>
        <v/>
      </c>
      <c r="I774">
        <f>IF($M774="","",INDEX(상세표[월경계 판정],$M774)&amp;"")</f>
        <v/>
      </c>
      <c r="J774">
        <f>IF($M774="","",INDEX(상세표[반영월],$M774)&amp;"")</f>
        <v/>
      </c>
      <c r="K774">
        <f>IF($M774="","",INDEX(상세표[반영 기관],$M774)&amp;"")</f>
        <v/>
      </c>
      <c r="L774">
        <f>IF($M774="","",INDEX(상세표[기관 출처],$M774)&amp;"")</f>
        <v/>
      </c>
      <c r="M774" s="4">
        <f>IFERROR(MATCH(769,상세표[경계순번],0),"")</f>
        <v/>
      </c>
    </row>
    <row r="775">
      <c r="A775">
        <f>IF($M775="","",INDEX(상세표[사번],$M775)&amp;"")</f>
        <v/>
      </c>
      <c r="B775">
        <f>IF($M775="","",INDEX(상세표[성명],$M775)&amp;"")</f>
        <v/>
      </c>
      <c r="C775">
        <f>IF($M775="","",IF(INDEX(상세표[종료월],$M775)=대상월키,"전월→이번 달","이번 달→익월"))</f>
        <v/>
      </c>
      <c r="D775">
        <f>IF($M775="","",IF(ISNUMBER(INDEX(상세표[시작],$M775)),TEXT(INDEX(상세표[시작],$M775),"yyyy-mm-dd hh:mm"),INDEX(상세표[시작],$M775)&amp;""))</f>
        <v/>
      </c>
      <c r="E775">
        <f>IF($M775="","",IF(ISNUMBER(INDEX(상세표[종료],$M775)),TEXT(INDEX(상세표[종료],$M775),"yyyy-mm-dd hh:mm"),INDEX(상세표[종료],$M775)&amp;""))</f>
        <v/>
      </c>
      <c r="F775" s="20">
        <f>IF($M775="","",INDEX(상세표[기록 시간외],$M775))</f>
        <v/>
      </c>
      <c r="G775">
        <f>IF($M775="","",INDEX(상세표[시작월 기관],$M775)&amp;"")</f>
        <v/>
      </c>
      <c r="H775">
        <f>IF($M775="","",INDEX(상세표[종료월 기관],$M775)&amp;"")</f>
        <v/>
      </c>
      <c r="I775">
        <f>IF($M775="","",INDEX(상세표[월경계 판정],$M775)&amp;"")</f>
        <v/>
      </c>
      <c r="J775">
        <f>IF($M775="","",INDEX(상세표[반영월],$M775)&amp;"")</f>
        <v/>
      </c>
      <c r="K775">
        <f>IF($M775="","",INDEX(상세표[반영 기관],$M775)&amp;"")</f>
        <v/>
      </c>
      <c r="L775">
        <f>IF($M775="","",INDEX(상세표[기관 출처],$M775)&amp;"")</f>
        <v/>
      </c>
      <c r="M775" s="4">
        <f>IFERROR(MATCH(770,상세표[경계순번],0),"")</f>
        <v/>
      </c>
    </row>
    <row r="776">
      <c r="A776">
        <f>IF($M776="","",INDEX(상세표[사번],$M776)&amp;"")</f>
        <v/>
      </c>
      <c r="B776">
        <f>IF($M776="","",INDEX(상세표[성명],$M776)&amp;"")</f>
        <v/>
      </c>
      <c r="C776">
        <f>IF($M776="","",IF(INDEX(상세표[종료월],$M776)=대상월키,"전월→이번 달","이번 달→익월"))</f>
        <v/>
      </c>
      <c r="D776">
        <f>IF($M776="","",IF(ISNUMBER(INDEX(상세표[시작],$M776)),TEXT(INDEX(상세표[시작],$M776),"yyyy-mm-dd hh:mm"),INDEX(상세표[시작],$M776)&amp;""))</f>
        <v/>
      </c>
      <c r="E776">
        <f>IF($M776="","",IF(ISNUMBER(INDEX(상세표[종료],$M776)),TEXT(INDEX(상세표[종료],$M776),"yyyy-mm-dd hh:mm"),INDEX(상세표[종료],$M776)&amp;""))</f>
        <v/>
      </c>
      <c r="F776" s="20">
        <f>IF($M776="","",INDEX(상세표[기록 시간외],$M776))</f>
        <v/>
      </c>
      <c r="G776">
        <f>IF($M776="","",INDEX(상세표[시작월 기관],$M776)&amp;"")</f>
        <v/>
      </c>
      <c r="H776">
        <f>IF($M776="","",INDEX(상세표[종료월 기관],$M776)&amp;"")</f>
        <v/>
      </c>
      <c r="I776">
        <f>IF($M776="","",INDEX(상세표[월경계 판정],$M776)&amp;"")</f>
        <v/>
      </c>
      <c r="J776">
        <f>IF($M776="","",INDEX(상세표[반영월],$M776)&amp;"")</f>
        <v/>
      </c>
      <c r="K776">
        <f>IF($M776="","",INDEX(상세표[반영 기관],$M776)&amp;"")</f>
        <v/>
      </c>
      <c r="L776">
        <f>IF($M776="","",INDEX(상세표[기관 출처],$M776)&amp;"")</f>
        <v/>
      </c>
      <c r="M776" s="4">
        <f>IFERROR(MATCH(771,상세표[경계순번],0),"")</f>
        <v/>
      </c>
    </row>
    <row r="777">
      <c r="A777">
        <f>IF($M777="","",INDEX(상세표[사번],$M777)&amp;"")</f>
        <v/>
      </c>
      <c r="B777">
        <f>IF($M777="","",INDEX(상세표[성명],$M777)&amp;"")</f>
        <v/>
      </c>
      <c r="C777">
        <f>IF($M777="","",IF(INDEX(상세표[종료월],$M777)=대상월키,"전월→이번 달","이번 달→익월"))</f>
        <v/>
      </c>
      <c r="D777">
        <f>IF($M777="","",IF(ISNUMBER(INDEX(상세표[시작],$M777)),TEXT(INDEX(상세표[시작],$M777),"yyyy-mm-dd hh:mm"),INDEX(상세표[시작],$M777)&amp;""))</f>
        <v/>
      </c>
      <c r="E777">
        <f>IF($M777="","",IF(ISNUMBER(INDEX(상세표[종료],$M777)),TEXT(INDEX(상세표[종료],$M777),"yyyy-mm-dd hh:mm"),INDEX(상세표[종료],$M777)&amp;""))</f>
        <v/>
      </c>
      <c r="F777" s="20">
        <f>IF($M777="","",INDEX(상세표[기록 시간외],$M777))</f>
        <v/>
      </c>
      <c r="G777">
        <f>IF($M777="","",INDEX(상세표[시작월 기관],$M777)&amp;"")</f>
        <v/>
      </c>
      <c r="H777">
        <f>IF($M777="","",INDEX(상세표[종료월 기관],$M777)&amp;"")</f>
        <v/>
      </c>
      <c r="I777">
        <f>IF($M777="","",INDEX(상세표[월경계 판정],$M777)&amp;"")</f>
        <v/>
      </c>
      <c r="J777">
        <f>IF($M777="","",INDEX(상세표[반영월],$M777)&amp;"")</f>
        <v/>
      </c>
      <c r="K777">
        <f>IF($M777="","",INDEX(상세표[반영 기관],$M777)&amp;"")</f>
        <v/>
      </c>
      <c r="L777">
        <f>IF($M777="","",INDEX(상세표[기관 출처],$M777)&amp;"")</f>
        <v/>
      </c>
      <c r="M777" s="4">
        <f>IFERROR(MATCH(772,상세표[경계순번],0),"")</f>
        <v/>
      </c>
    </row>
    <row r="778">
      <c r="A778">
        <f>IF($M778="","",INDEX(상세표[사번],$M778)&amp;"")</f>
        <v/>
      </c>
      <c r="B778">
        <f>IF($M778="","",INDEX(상세표[성명],$M778)&amp;"")</f>
        <v/>
      </c>
      <c r="C778">
        <f>IF($M778="","",IF(INDEX(상세표[종료월],$M778)=대상월키,"전월→이번 달","이번 달→익월"))</f>
        <v/>
      </c>
      <c r="D778">
        <f>IF($M778="","",IF(ISNUMBER(INDEX(상세표[시작],$M778)),TEXT(INDEX(상세표[시작],$M778),"yyyy-mm-dd hh:mm"),INDEX(상세표[시작],$M778)&amp;""))</f>
        <v/>
      </c>
      <c r="E778">
        <f>IF($M778="","",IF(ISNUMBER(INDEX(상세표[종료],$M778)),TEXT(INDEX(상세표[종료],$M778),"yyyy-mm-dd hh:mm"),INDEX(상세표[종료],$M778)&amp;""))</f>
        <v/>
      </c>
      <c r="F778" s="20">
        <f>IF($M778="","",INDEX(상세표[기록 시간외],$M778))</f>
        <v/>
      </c>
      <c r="G778">
        <f>IF($M778="","",INDEX(상세표[시작월 기관],$M778)&amp;"")</f>
        <v/>
      </c>
      <c r="H778">
        <f>IF($M778="","",INDEX(상세표[종료월 기관],$M778)&amp;"")</f>
        <v/>
      </c>
      <c r="I778">
        <f>IF($M778="","",INDEX(상세표[월경계 판정],$M778)&amp;"")</f>
        <v/>
      </c>
      <c r="J778">
        <f>IF($M778="","",INDEX(상세표[반영월],$M778)&amp;"")</f>
        <v/>
      </c>
      <c r="K778">
        <f>IF($M778="","",INDEX(상세표[반영 기관],$M778)&amp;"")</f>
        <v/>
      </c>
      <c r="L778">
        <f>IF($M778="","",INDEX(상세표[기관 출처],$M778)&amp;"")</f>
        <v/>
      </c>
      <c r="M778" s="4">
        <f>IFERROR(MATCH(773,상세표[경계순번],0),"")</f>
        <v/>
      </c>
    </row>
    <row r="779">
      <c r="A779">
        <f>IF($M779="","",INDEX(상세표[사번],$M779)&amp;"")</f>
        <v/>
      </c>
      <c r="B779">
        <f>IF($M779="","",INDEX(상세표[성명],$M779)&amp;"")</f>
        <v/>
      </c>
      <c r="C779">
        <f>IF($M779="","",IF(INDEX(상세표[종료월],$M779)=대상월키,"전월→이번 달","이번 달→익월"))</f>
        <v/>
      </c>
      <c r="D779">
        <f>IF($M779="","",IF(ISNUMBER(INDEX(상세표[시작],$M779)),TEXT(INDEX(상세표[시작],$M779),"yyyy-mm-dd hh:mm"),INDEX(상세표[시작],$M779)&amp;""))</f>
        <v/>
      </c>
      <c r="E779">
        <f>IF($M779="","",IF(ISNUMBER(INDEX(상세표[종료],$M779)),TEXT(INDEX(상세표[종료],$M779),"yyyy-mm-dd hh:mm"),INDEX(상세표[종료],$M779)&amp;""))</f>
        <v/>
      </c>
      <c r="F779" s="20">
        <f>IF($M779="","",INDEX(상세표[기록 시간외],$M779))</f>
        <v/>
      </c>
      <c r="G779">
        <f>IF($M779="","",INDEX(상세표[시작월 기관],$M779)&amp;"")</f>
        <v/>
      </c>
      <c r="H779">
        <f>IF($M779="","",INDEX(상세표[종료월 기관],$M779)&amp;"")</f>
        <v/>
      </c>
      <c r="I779">
        <f>IF($M779="","",INDEX(상세표[월경계 판정],$M779)&amp;"")</f>
        <v/>
      </c>
      <c r="J779">
        <f>IF($M779="","",INDEX(상세표[반영월],$M779)&amp;"")</f>
        <v/>
      </c>
      <c r="K779">
        <f>IF($M779="","",INDEX(상세표[반영 기관],$M779)&amp;"")</f>
        <v/>
      </c>
      <c r="L779">
        <f>IF($M779="","",INDEX(상세표[기관 출처],$M779)&amp;"")</f>
        <v/>
      </c>
      <c r="M779" s="4">
        <f>IFERROR(MATCH(774,상세표[경계순번],0),"")</f>
        <v/>
      </c>
    </row>
    <row r="780">
      <c r="A780">
        <f>IF($M780="","",INDEX(상세표[사번],$M780)&amp;"")</f>
        <v/>
      </c>
      <c r="B780">
        <f>IF($M780="","",INDEX(상세표[성명],$M780)&amp;"")</f>
        <v/>
      </c>
      <c r="C780">
        <f>IF($M780="","",IF(INDEX(상세표[종료월],$M780)=대상월키,"전월→이번 달","이번 달→익월"))</f>
        <v/>
      </c>
      <c r="D780">
        <f>IF($M780="","",IF(ISNUMBER(INDEX(상세표[시작],$M780)),TEXT(INDEX(상세표[시작],$M780),"yyyy-mm-dd hh:mm"),INDEX(상세표[시작],$M780)&amp;""))</f>
        <v/>
      </c>
      <c r="E780">
        <f>IF($M780="","",IF(ISNUMBER(INDEX(상세표[종료],$M780)),TEXT(INDEX(상세표[종료],$M780),"yyyy-mm-dd hh:mm"),INDEX(상세표[종료],$M780)&amp;""))</f>
        <v/>
      </c>
      <c r="F780" s="20">
        <f>IF($M780="","",INDEX(상세표[기록 시간외],$M780))</f>
        <v/>
      </c>
      <c r="G780">
        <f>IF($M780="","",INDEX(상세표[시작월 기관],$M780)&amp;"")</f>
        <v/>
      </c>
      <c r="H780">
        <f>IF($M780="","",INDEX(상세표[종료월 기관],$M780)&amp;"")</f>
        <v/>
      </c>
      <c r="I780">
        <f>IF($M780="","",INDEX(상세표[월경계 판정],$M780)&amp;"")</f>
        <v/>
      </c>
      <c r="J780">
        <f>IF($M780="","",INDEX(상세표[반영월],$M780)&amp;"")</f>
        <v/>
      </c>
      <c r="K780">
        <f>IF($M780="","",INDEX(상세표[반영 기관],$M780)&amp;"")</f>
        <v/>
      </c>
      <c r="L780">
        <f>IF($M780="","",INDEX(상세표[기관 출처],$M780)&amp;"")</f>
        <v/>
      </c>
      <c r="M780" s="4">
        <f>IFERROR(MATCH(775,상세표[경계순번],0),"")</f>
        <v/>
      </c>
    </row>
    <row r="781">
      <c r="A781">
        <f>IF($M781="","",INDEX(상세표[사번],$M781)&amp;"")</f>
        <v/>
      </c>
      <c r="B781">
        <f>IF($M781="","",INDEX(상세표[성명],$M781)&amp;"")</f>
        <v/>
      </c>
      <c r="C781">
        <f>IF($M781="","",IF(INDEX(상세표[종료월],$M781)=대상월키,"전월→이번 달","이번 달→익월"))</f>
        <v/>
      </c>
      <c r="D781">
        <f>IF($M781="","",IF(ISNUMBER(INDEX(상세표[시작],$M781)),TEXT(INDEX(상세표[시작],$M781),"yyyy-mm-dd hh:mm"),INDEX(상세표[시작],$M781)&amp;""))</f>
        <v/>
      </c>
      <c r="E781">
        <f>IF($M781="","",IF(ISNUMBER(INDEX(상세표[종료],$M781)),TEXT(INDEX(상세표[종료],$M781),"yyyy-mm-dd hh:mm"),INDEX(상세표[종료],$M781)&amp;""))</f>
        <v/>
      </c>
      <c r="F781" s="20">
        <f>IF($M781="","",INDEX(상세표[기록 시간외],$M781))</f>
        <v/>
      </c>
      <c r="G781">
        <f>IF($M781="","",INDEX(상세표[시작월 기관],$M781)&amp;"")</f>
        <v/>
      </c>
      <c r="H781">
        <f>IF($M781="","",INDEX(상세표[종료월 기관],$M781)&amp;"")</f>
        <v/>
      </c>
      <c r="I781">
        <f>IF($M781="","",INDEX(상세표[월경계 판정],$M781)&amp;"")</f>
        <v/>
      </c>
      <c r="J781">
        <f>IF($M781="","",INDEX(상세표[반영월],$M781)&amp;"")</f>
        <v/>
      </c>
      <c r="K781">
        <f>IF($M781="","",INDEX(상세표[반영 기관],$M781)&amp;"")</f>
        <v/>
      </c>
      <c r="L781">
        <f>IF($M781="","",INDEX(상세표[기관 출처],$M781)&amp;"")</f>
        <v/>
      </c>
      <c r="M781" s="4">
        <f>IFERROR(MATCH(776,상세표[경계순번],0),"")</f>
        <v/>
      </c>
    </row>
    <row r="782">
      <c r="A782">
        <f>IF($M782="","",INDEX(상세표[사번],$M782)&amp;"")</f>
        <v/>
      </c>
      <c r="B782">
        <f>IF($M782="","",INDEX(상세표[성명],$M782)&amp;"")</f>
        <v/>
      </c>
      <c r="C782">
        <f>IF($M782="","",IF(INDEX(상세표[종료월],$M782)=대상월키,"전월→이번 달","이번 달→익월"))</f>
        <v/>
      </c>
      <c r="D782">
        <f>IF($M782="","",IF(ISNUMBER(INDEX(상세표[시작],$M782)),TEXT(INDEX(상세표[시작],$M782),"yyyy-mm-dd hh:mm"),INDEX(상세표[시작],$M782)&amp;""))</f>
        <v/>
      </c>
      <c r="E782">
        <f>IF($M782="","",IF(ISNUMBER(INDEX(상세표[종료],$M782)),TEXT(INDEX(상세표[종료],$M782),"yyyy-mm-dd hh:mm"),INDEX(상세표[종료],$M782)&amp;""))</f>
        <v/>
      </c>
      <c r="F782" s="20">
        <f>IF($M782="","",INDEX(상세표[기록 시간외],$M782))</f>
        <v/>
      </c>
      <c r="G782">
        <f>IF($M782="","",INDEX(상세표[시작월 기관],$M782)&amp;"")</f>
        <v/>
      </c>
      <c r="H782">
        <f>IF($M782="","",INDEX(상세표[종료월 기관],$M782)&amp;"")</f>
        <v/>
      </c>
      <c r="I782">
        <f>IF($M782="","",INDEX(상세표[월경계 판정],$M782)&amp;"")</f>
        <v/>
      </c>
      <c r="J782">
        <f>IF($M782="","",INDEX(상세표[반영월],$M782)&amp;"")</f>
        <v/>
      </c>
      <c r="K782">
        <f>IF($M782="","",INDEX(상세표[반영 기관],$M782)&amp;"")</f>
        <v/>
      </c>
      <c r="L782">
        <f>IF($M782="","",INDEX(상세표[기관 출처],$M782)&amp;"")</f>
        <v/>
      </c>
      <c r="M782" s="4">
        <f>IFERROR(MATCH(777,상세표[경계순번],0),"")</f>
        <v/>
      </c>
    </row>
    <row r="783">
      <c r="A783">
        <f>IF($M783="","",INDEX(상세표[사번],$M783)&amp;"")</f>
        <v/>
      </c>
      <c r="B783">
        <f>IF($M783="","",INDEX(상세표[성명],$M783)&amp;"")</f>
        <v/>
      </c>
      <c r="C783">
        <f>IF($M783="","",IF(INDEX(상세표[종료월],$M783)=대상월키,"전월→이번 달","이번 달→익월"))</f>
        <v/>
      </c>
      <c r="D783">
        <f>IF($M783="","",IF(ISNUMBER(INDEX(상세표[시작],$M783)),TEXT(INDEX(상세표[시작],$M783),"yyyy-mm-dd hh:mm"),INDEX(상세표[시작],$M783)&amp;""))</f>
        <v/>
      </c>
      <c r="E783">
        <f>IF($M783="","",IF(ISNUMBER(INDEX(상세표[종료],$M783)),TEXT(INDEX(상세표[종료],$M783),"yyyy-mm-dd hh:mm"),INDEX(상세표[종료],$M783)&amp;""))</f>
        <v/>
      </c>
      <c r="F783" s="20">
        <f>IF($M783="","",INDEX(상세표[기록 시간외],$M783))</f>
        <v/>
      </c>
      <c r="G783">
        <f>IF($M783="","",INDEX(상세표[시작월 기관],$M783)&amp;"")</f>
        <v/>
      </c>
      <c r="H783">
        <f>IF($M783="","",INDEX(상세표[종료월 기관],$M783)&amp;"")</f>
        <v/>
      </c>
      <c r="I783">
        <f>IF($M783="","",INDEX(상세표[월경계 판정],$M783)&amp;"")</f>
        <v/>
      </c>
      <c r="J783">
        <f>IF($M783="","",INDEX(상세표[반영월],$M783)&amp;"")</f>
        <v/>
      </c>
      <c r="K783">
        <f>IF($M783="","",INDEX(상세표[반영 기관],$M783)&amp;"")</f>
        <v/>
      </c>
      <c r="L783">
        <f>IF($M783="","",INDEX(상세표[기관 출처],$M783)&amp;"")</f>
        <v/>
      </c>
      <c r="M783" s="4">
        <f>IFERROR(MATCH(778,상세표[경계순번],0),"")</f>
        <v/>
      </c>
    </row>
    <row r="784">
      <c r="A784">
        <f>IF($M784="","",INDEX(상세표[사번],$M784)&amp;"")</f>
        <v/>
      </c>
      <c r="B784">
        <f>IF($M784="","",INDEX(상세표[성명],$M784)&amp;"")</f>
        <v/>
      </c>
      <c r="C784">
        <f>IF($M784="","",IF(INDEX(상세표[종료월],$M784)=대상월키,"전월→이번 달","이번 달→익월"))</f>
        <v/>
      </c>
      <c r="D784">
        <f>IF($M784="","",IF(ISNUMBER(INDEX(상세표[시작],$M784)),TEXT(INDEX(상세표[시작],$M784),"yyyy-mm-dd hh:mm"),INDEX(상세표[시작],$M784)&amp;""))</f>
        <v/>
      </c>
      <c r="E784">
        <f>IF($M784="","",IF(ISNUMBER(INDEX(상세표[종료],$M784)),TEXT(INDEX(상세표[종료],$M784),"yyyy-mm-dd hh:mm"),INDEX(상세표[종료],$M784)&amp;""))</f>
        <v/>
      </c>
      <c r="F784" s="20">
        <f>IF($M784="","",INDEX(상세표[기록 시간외],$M784))</f>
        <v/>
      </c>
      <c r="G784">
        <f>IF($M784="","",INDEX(상세표[시작월 기관],$M784)&amp;"")</f>
        <v/>
      </c>
      <c r="H784">
        <f>IF($M784="","",INDEX(상세표[종료월 기관],$M784)&amp;"")</f>
        <v/>
      </c>
      <c r="I784">
        <f>IF($M784="","",INDEX(상세표[월경계 판정],$M784)&amp;"")</f>
        <v/>
      </c>
      <c r="J784">
        <f>IF($M784="","",INDEX(상세표[반영월],$M784)&amp;"")</f>
        <v/>
      </c>
      <c r="K784">
        <f>IF($M784="","",INDEX(상세표[반영 기관],$M784)&amp;"")</f>
        <v/>
      </c>
      <c r="L784">
        <f>IF($M784="","",INDEX(상세표[기관 출처],$M784)&amp;"")</f>
        <v/>
      </c>
      <c r="M784" s="4">
        <f>IFERROR(MATCH(779,상세표[경계순번],0),"")</f>
        <v/>
      </c>
    </row>
    <row r="785">
      <c r="A785">
        <f>IF($M785="","",INDEX(상세표[사번],$M785)&amp;"")</f>
        <v/>
      </c>
      <c r="B785">
        <f>IF($M785="","",INDEX(상세표[성명],$M785)&amp;"")</f>
        <v/>
      </c>
      <c r="C785">
        <f>IF($M785="","",IF(INDEX(상세표[종료월],$M785)=대상월키,"전월→이번 달","이번 달→익월"))</f>
        <v/>
      </c>
      <c r="D785">
        <f>IF($M785="","",IF(ISNUMBER(INDEX(상세표[시작],$M785)),TEXT(INDEX(상세표[시작],$M785),"yyyy-mm-dd hh:mm"),INDEX(상세표[시작],$M785)&amp;""))</f>
        <v/>
      </c>
      <c r="E785">
        <f>IF($M785="","",IF(ISNUMBER(INDEX(상세표[종료],$M785)),TEXT(INDEX(상세표[종료],$M785),"yyyy-mm-dd hh:mm"),INDEX(상세표[종료],$M785)&amp;""))</f>
        <v/>
      </c>
      <c r="F785" s="20">
        <f>IF($M785="","",INDEX(상세표[기록 시간외],$M785))</f>
        <v/>
      </c>
      <c r="G785">
        <f>IF($M785="","",INDEX(상세표[시작월 기관],$M785)&amp;"")</f>
        <v/>
      </c>
      <c r="H785">
        <f>IF($M785="","",INDEX(상세표[종료월 기관],$M785)&amp;"")</f>
        <v/>
      </c>
      <c r="I785">
        <f>IF($M785="","",INDEX(상세표[월경계 판정],$M785)&amp;"")</f>
        <v/>
      </c>
      <c r="J785">
        <f>IF($M785="","",INDEX(상세표[반영월],$M785)&amp;"")</f>
        <v/>
      </c>
      <c r="K785">
        <f>IF($M785="","",INDEX(상세표[반영 기관],$M785)&amp;"")</f>
        <v/>
      </c>
      <c r="L785">
        <f>IF($M785="","",INDEX(상세표[기관 출처],$M785)&amp;"")</f>
        <v/>
      </c>
      <c r="M785" s="4">
        <f>IFERROR(MATCH(780,상세표[경계순번],0),"")</f>
        <v/>
      </c>
    </row>
    <row r="786">
      <c r="A786">
        <f>IF($M786="","",INDEX(상세표[사번],$M786)&amp;"")</f>
        <v/>
      </c>
      <c r="B786">
        <f>IF($M786="","",INDEX(상세표[성명],$M786)&amp;"")</f>
        <v/>
      </c>
      <c r="C786">
        <f>IF($M786="","",IF(INDEX(상세표[종료월],$M786)=대상월키,"전월→이번 달","이번 달→익월"))</f>
        <v/>
      </c>
      <c r="D786">
        <f>IF($M786="","",IF(ISNUMBER(INDEX(상세표[시작],$M786)),TEXT(INDEX(상세표[시작],$M786),"yyyy-mm-dd hh:mm"),INDEX(상세표[시작],$M786)&amp;""))</f>
        <v/>
      </c>
      <c r="E786">
        <f>IF($M786="","",IF(ISNUMBER(INDEX(상세표[종료],$M786)),TEXT(INDEX(상세표[종료],$M786),"yyyy-mm-dd hh:mm"),INDEX(상세표[종료],$M786)&amp;""))</f>
        <v/>
      </c>
      <c r="F786" s="20">
        <f>IF($M786="","",INDEX(상세표[기록 시간외],$M786))</f>
        <v/>
      </c>
      <c r="G786">
        <f>IF($M786="","",INDEX(상세표[시작월 기관],$M786)&amp;"")</f>
        <v/>
      </c>
      <c r="H786">
        <f>IF($M786="","",INDEX(상세표[종료월 기관],$M786)&amp;"")</f>
        <v/>
      </c>
      <c r="I786">
        <f>IF($M786="","",INDEX(상세표[월경계 판정],$M786)&amp;"")</f>
        <v/>
      </c>
      <c r="J786">
        <f>IF($M786="","",INDEX(상세표[반영월],$M786)&amp;"")</f>
        <v/>
      </c>
      <c r="K786">
        <f>IF($M786="","",INDEX(상세표[반영 기관],$M786)&amp;"")</f>
        <v/>
      </c>
      <c r="L786">
        <f>IF($M786="","",INDEX(상세표[기관 출처],$M786)&amp;"")</f>
        <v/>
      </c>
      <c r="M786" s="4">
        <f>IFERROR(MATCH(781,상세표[경계순번],0),"")</f>
        <v/>
      </c>
    </row>
    <row r="787">
      <c r="A787">
        <f>IF($M787="","",INDEX(상세표[사번],$M787)&amp;"")</f>
        <v/>
      </c>
      <c r="B787">
        <f>IF($M787="","",INDEX(상세표[성명],$M787)&amp;"")</f>
        <v/>
      </c>
      <c r="C787">
        <f>IF($M787="","",IF(INDEX(상세표[종료월],$M787)=대상월키,"전월→이번 달","이번 달→익월"))</f>
        <v/>
      </c>
      <c r="D787">
        <f>IF($M787="","",IF(ISNUMBER(INDEX(상세표[시작],$M787)),TEXT(INDEX(상세표[시작],$M787),"yyyy-mm-dd hh:mm"),INDEX(상세표[시작],$M787)&amp;""))</f>
        <v/>
      </c>
      <c r="E787">
        <f>IF($M787="","",IF(ISNUMBER(INDEX(상세표[종료],$M787)),TEXT(INDEX(상세표[종료],$M787),"yyyy-mm-dd hh:mm"),INDEX(상세표[종료],$M787)&amp;""))</f>
        <v/>
      </c>
      <c r="F787" s="20">
        <f>IF($M787="","",INDEX(상세표[기록 시간외],$M787))</f>
        <v/>
      </c>
      <c r="G787">
        <f>IF($M787="","",INDEX(상세표[시작월 기관],$M787)&amp;"")</f>
        <v/>
      </c>
      <c r="H787">
        <f>IF($M787="","",INDEX(상세표[종료월 기관],$M787)&amp;"")</f>
        <v/>
      </c>
      <c r="I787">
        <f>IF($M787="","",INDEX(상세표[월경계 판정],$M787)&amp;"")</f>
        <v/>
      </c>
      <c r="J787">
        <f>IF($M787="","",INDEX(상세표[반영월],$M787)&amp;"")</f>
        <v/>
      </c>
      <c r="K787">
        <f>IF($M787="","",INDEX(상세표[반영 기관],$M787)&amp;"")</f>
        <v/>
      </c>
      <c r="L787">
        <f>IF($M787="","",INDEX(상세표[기관 출처],$M787)&amp;"")</f>
        <v/>
      </c>
      <c r="M787" s="4">
        <f>IFERROR(MATCH(782,상세표[경계순번],0),"")</f>
        <v/>
      </c>
    </row>
    <row r="788">
      <c r="A788">
        <f>IF($M788="","",INDEX(상세표[사번],$M788)&amp;"")</f>
        <v/>
      </c>
      <c r="B788">
        <f>IF($M788="","",INDEX(상세표[성명],$M788)&amp;"")</f>
        <v/>
      </c>
      <c r="C788">
        <f>IF($M788="","",IF(INDEX(상세표[종료월],$M788)=대상월키,"전월→이번 달","이번 달→익월"))</f>
        <v/>
      </c>
      <c r="D788">
        <f>IF($M788="","",IF(ISNUMBER(INDEX(상세표[시작],$M788)),TEXT(INDEX(상세표[시작],$M788),"yyyy-mm-dd hh:mm"),INDEX(상세표[시작],$M788)&amp;""))</f>
        <v/>
      </c>
      <c r="E788">
        <f>IF($M788="","",IF(ISNUMBER(INDEX(상세표[종료],$M788)),TEXT(INDEX(상세표[종료],$M788),"yyyy-mm-dd hh:mm"),INDEX(상세표[종료],$M788)&amp;""))</f>
        <v/>
      </c>
      <c r="F788" s="20">
        <f>IF($M788="","",INDEX(상세표[기록 시간외],$M788))</f>
        <v/>
      </c>
      <c r="G788">
        <f>IF($M788="","",INDEX(상세표[시작월 기관],$M788)&amp;"")</f>
        <v/>
      </c>
      <c r="H788">
        <f>IF($M788="","",INDEX(상세표[종료월 기관],$M788)&amp;"")</f>
        <v/>
      </c>
      <c r="I788">
        <f>IF($M788="","",INDEX(상세표[월경계 판정],$M788)&amp;"")</f>
        <v/>
      </c>
      <c r="J788">
        <f>IF($M788="","",INDEX(상세표[반영월],$M788)&amp;"")</f>
        <v/>
      </c>
      <c r="K788">
        <f>IF($M788="","",INDEX(상세표[반영 기관],$M788)&amp;"")</f>
        <v/>
      </c>
      <c r="L788">
        <f>IF($M788="","",INDEX(상세표[기관 출처],$M788)&amp;"")</f>
        <v/>
      </c>
      <c r="M788" s="4">
        <f>IFERROR(MATCH(783,상세표[경계순번],0),"")</f>
        <v/>
      </c>
    </row>
    <row r="789">
      <c r="A789">
        <f>IF($M789="","",INDEX(상세표[사번],$M789)&amp;"")</f>
        <v/>
      </c>
      <c r="B789">
        <f>IF($M789="","",INDEX(상세표[성명],$M789)&amp;"")</f>
        <v/>
      </c>
      <c r="C789">
        <f>IF($M789="","",IF(INDEX(상세표[종료월],$M789)=대상월키,"전월→이번 달","이번 달→익월"))</f>
        <v/>
      </c>
      <c r="D789">
        <f>IF($M789="","",IF(ISNUMBER(INDEX(상세표[시작],$M789)),TEXT(INDEX(상세표[시작],$M789),"yyyy-mm-dd hh:mm"),INDEX(상세표[시작],$M789)&amp;""))</f>
        <v/>
      </c>
      <c r="E789">
        <f>IF($M789="","",IF(ISNUMBER(INDEX(상세표[종료],$M789)),TEXT(INDEX(상세표[종료],$M789),"yyyy-mm-dd hh:mm"),INDEX(상세표[종료],$M789)&amp;""))</f>
        <v/>
      </c>
      <c r="F789" s="20">
        <f>IF($M789="","",INDEX(상세표[기록 시간외],$M789))</f>
        <v/>
      </c>
      <c r="G789">
        <f>IF($M789="","",INDEX(상세표[시작월 기관],$M789)&amp;"")</f>
        <v/>
      </c>
      <c r="H789">
        <f>IF($M789="","",INDEX(상세표[종료월 기관],$M789)&amp;"")</f>
        <v/>
      </c>
      <c r="I789">
        <f>IF($M789="","",INDEX(상세표[월경계 판정],$M789)&amp;"")</f>
        <v/>
      </c>
      <c r="J789">
        <f>IF($M789="","",INDEX(상세표[반영월],$M789)&amp;"")</f>
        <v/>
      </c>
      <c r="K789">
        <f>IF($M789="","",INDEX(상세표[반영 기관],$M789)&amp;"")</f>
        <v/>
      </c>
      <c r="L789">
        <f>IF($M789="","",INDEX(상세표[기관 출처],$M789)&amp;"")</f>
        <v/>
      </c>
      <c r="M789" s="4">
        <f>IFERROR(MATCH(784,상세표[경계순번],0),"")</f>
        <v/>
      </c>
    </row>
    <row r="790">
      <c r="A790">
        <f>IF($M790="","",INDEX(상세표[사번],$M790)&amp;"")</f>
        <v/>
      </c>
      <c r="B790">
        <f>IF($M790="","",INDEX(상세표[성명],$M790)&amp;"")</f>
        <v/>
      </c>
      <c r="C790">
        <f>IF($M790="","",IF(INDEX(상세표[종료월],$M790)=대상월키,"전월→이번 달","이번 달→익월"))</f>
        <v/>
      </c>
      <c r="D790">
        <f>IF($M790="","",IF(ISNUMBER(INDEX(상세표[시작],$M790)),TEXT(INDEX(상세표[시작],$M790),"yyyy-mm-dd hh:mm"),INDEX(상세표[시작],$M790)&amp;""))</f>
        <v/>
      </c>
      <c r="E790">
        <f>IF($M790="","",IF(ISNUMBER(INDEX(상세표[종료],$M790)),TEXT(INDEX(상세표[종료],$M790),"yyyy-mm-dd hh:mm"),INDEX(상세표[종료],$M790)&amp;""))</f>
        <v/>
      </c>
      <c r="F790" s="20">
        <f>IF($M790="","",INDEX(상세표[기록 시간외],$M790))</f>
        <v/>
      </c>
      <c r="G790">
        <f>IF($M790="","",INDEX(상세표[시작월 기관],$M790)&amp;"")</f>
        <v/>
      </c>
      <c r="H790">
        <f>IF($M790="","",INDEX(상세표[종료월 기관],$M790)&amp;"")</f>
        <v/>
      </c>
      <c r="I790">
        <f>IF($M790="","",INDEX(상세표[월경계 판정],$M790)&amp;"")</f>
        <v/>
      </c>
      <c r="J790">
        <f>IF($M790="","",INDEX(상세표[반영월],$M790)&amp;"")</f>
        <v/>
      </c>
      <c r="K790">
        <f>IF($M790="","",INDEX(상세표[반영 기관],$M790)&amp;"")</f>
        <v/>
      </c>
      <c r="L790">
        <f>IF($M790="","",INDEX(상세표[기관 출처],$M790)&amp;"")</f>
        <v/>
      </c>
      <c r="M790" s="4">
        <f>IFERROR(MATCH(785,상세표[경계순번],0),"")</f>
        <v/>
      </c>
    </row>
    <row r="791">
      <c r="A791">
        <f>IF($M791="","",INDEX(상세표[사번],$M791)&amp;"")</f>
        <v/>
      </c>
      <c r="B791">
        <f>IF($M791="","",INDEX(상세표[성명],$M791)&amp;"")</f>
        <v/>
      </c>
      <c r="C791">
        <f>IF($M791="","",IF(INDEX(상세표[종료월],$M791)=대상월키,"전월→이번 달","이번 달→익월"))</f>
        <v/>
      </c>
      <c r="D791">
        <f>IF($M791="","",IF(ISNUMBER(INDEX(상세표[시작],$M791)),TEXT(INDEX(상세표[시작],$M791),"yyyy-mm-dd hh:mm"),INDEX(상세표[시작],$M791)&amp;""))</f>
        <v/>
      </c>
      <c r="E791">
        <f>IF($M791="","",IF(ISNUMBER(INDEX(상세표[종료],$M791)),TEXT(INDEX(상세표[종료],$M791),"yyyy-mm-dd hh:mm"),INDEX(상세표[종료],$M791)&amp;""))</f>
        <v/>
      </c>
      <c r="F791" s="20">
        <f>IF($M791="","",INDEX(상세표[기록 시간외],$M791))</f>
        <v/>
      </c>
      <c r="G791">
        <f>IF($M791="","",INDEX(상세표[시작월 기관],$M791)&amp;"")</f>
        <v/>
      </c>
      <c r="H791">
        <f>IF($M791="","",INDEX(상세표[종료월 기관],$M791)&amp;"")</f>
        <v/>
      </c>
      <c r="I791">
        <f>IF($M791="","",INDEX(상세표[월경계 판정],$M791)&amp;"")</f>
        <v/>
      </c>
      <c r="J791">
        <f>IF($M791="","",INDEX(상세표[반영월],$M791)&amp;"")</f>
        <v/>
      </c>
      <c r="K791">
        <f>IF($M791="","",INDEX(상세표[반영 기관],$M791)&amp;"")</f>
        <v/>
      </c>
      <c r="L791">
        <f>IF($M791="","",INDEX(상세표[기관 출처],$M791)&amp;"")</f>
        <v/>
      </c>
      <c r="M791" s="4">
        <f>IFERROR(MATCH(786,상세표[경계순번],0),"")</f>
        <v/>
      </c>
    </row>
    <row r="792">
      <c r="A792">
        <f>IF($M792="","",INDEX(상세표[사번],$M792)&amp;"")</f>
        <v/>
      </c>
      <c r="B792">
        <f>IF($M792="","",INDEX(상세표[성명],$M792)&amp;"")</f>
        <v/>
      </c>
      <c r="C792">
        <f>IF($M792="","",IF(INDEX(상세표[종료월],$M792)=대상월키,"전월→이번 달","이번 달→익월"))</f>
        <v/>
      </c>
      <c r="D792">
        <f>IF($M792="","",IF(ISNUMBER(INDEX(상세표[시작],$M792)),TEXT(INDEX(상세표[시작],$M792),"yyyy-mm-dd hh:mm"),INDEX(상세표[시작],$M792)&amp;""))</f>
        <v/>
      </c>
      <c r="E792">
        <f>IF($M792="","",IF(ISNUMBER(INDEX(상세표[종료],$M792)),TEXT(INDEX(상세표[종료],$M792),"yyyy-mm-dd hh:mm"),INDEX(상세표[종료],$M792)&amp;""))</f>
        <v/>
      </c>
      <c r="F792" s="20">
        <f>IF($M792="","",INDEX(상세표[기록 시간외],$M792))</f>
        <v/>
      </c>
      <c r="G792">
        <f>IF($M792="","",INDEX(상세표[시작월 기관],$M792)&amp;"")</f>
        <v/>
      </c>
      <c r="H792">
        <f>IF($M792="","",INDEX(상세표[종료월 기관],$M792)&amp;"")</f>
        <v/>
      </c>
      <c r="I792">
        <f>IF($M792="","",INDEX(상세표[월경계 판정],$M792)&amp;"")</f>
        <v/>
      </c>
      <c r="J792">
        <f>IF($M792="","",INDEX(상세표[반영월],$M792)&amp;"")</f>
        <v/>
      </c>
      <c r="K792">
        <f>IF($M792="","",INDEX(상세표[반영 기관],$M792)&amp;"")</f>
        <v/>
      </c>
      <c r="L792">
        <f>IF($M792="","",INDEX(상세표[기관 출처],$M792)&amp;"")</f>
        <v/>
      </c>
      <c r="M792" s="4">
        <f>IFERROR(MATCH(787,상세표[경계순번],0),"")</f>
        <v/>
      </c>
    </row>
    <row r="793">
      <c r="A793">
        <f>IF($M793="","",INDEX(상세표[사번],$M793)&amp;"")</f>
        <v/>
      </c>
      <c r="B793">
        <f>IF($M793="","",INDEX(상세표[성명],$M793)&amp;"")</f>
        <v/>
      </c>
      <c r="C793">
        <f>IF($M793="","",IF(INDEX(상세표[종료월],$M793)=대상월키,"전월→이번 달","이번 달→익월"))</f>
        <v/>
      </c>
      <c r="D793">
        <f>IF($M793="","",IF(ISNUMBER(INDEX(상세표[시작],$M793)),TEXT(INDEX(상세표[시작],$M793),"yyyy-mm-dd hh:mm"),INDEX(상세표[시작],$M793)&amp;""))</f>
        <v/>
      </c>
      <c r="E793">
        <f>IF($M793="","",IF(ISNUMBER(INDEX(상세표[종료],$M793)),TEXT(INDEX(상세표[종료],$M793),"yyyy-mm-dd hh:mm"),INDEX(상세표[종료],$M793)&amp;""))</f>
        <v/>
      </c>
      <c r="F793" s="20">
        <f>IF($M793="","",INDEX(상세표[기록 시간외],$M793))</f>
        <v/>
      </c>
      <c r="G793">
        <f>IF($M793="","",INDEX(상세표[시작월 기관],$M793)&amp;"")</f>
        <v/>
      </c>
      <c r="H793">
        <f>IF($M793="","",INDEX(상세표[종료월 기관],$M793)&amp;"")</f>
        <v/>
      </c>
      <c r="I793">
        <f>IF($M793="","",INDEX(상세표[월경계 판정],$M793)&amp;"")</f>
        <v/>
      </c>
      <c r="J793">
        <f>IF($M793="","",INDEX(상세표[반영월],$M793)&amp;"")</f>
        <v/>
      </c>
      <c r="K793">
        <f>IF($M793="","",INDEX(상세표[반영 기관],$M793)&amp;"")</f>
        <v/>
      </c>
      <c r="L793">
        <f>IF($M793="","",INDEX(상세표[기관 출처],$M793)&amp;"")</f>
        <v/>
      </c>
      <c r="M793" s="4">
        <f>IFERROR(MATCH(788,상세표[경계순번],0),"")</f>
        <v/>
      </c>
    </row>
    <row r="794">
      <c r="A794">
        <f>IF($M794="","",INDEX(상세표[사번],$M794)&amp;"")</f>
        <v/>
      </c>
      <c r="B794">
        <f>IF($M794="","",INDEX(상세표[성명],$M794)&amp;"")</f>
        <v/>
      </c>
      <c r="C794">
        <f>IF($M794="","",IF(INDEX(상세표[종료월],$M794)=대상월키,"전월→이번 달","이번 달→익월"))</f>
        <v/>
      </c>
      <c r="D794">
        <f>IF($M794="","",IF(ISNUMBER(INDEX(상세표[시작],$M794)),TEXT(INDEX(상세표[시작],$M794),"yyyy-mm-dd hh:mm"),INDEX(상세표[시작],$M794)&amp;""))</f>
        <v/>
      </c>
      <c r="E794">
        <f>IF($M794="","",IF(ISNUMBER(INDEX(상세표[종료],$M794)),TEXT(INDEX(상세표[종료],$M794),"yyyy-mm-dd hh:mm"),INDEX(상세표[종료],$M794)&amp;""))</f>
        <v/>
      </c>
      <c r="F794" s="20">
        <f>IF($M794="","",INDEX(상세표[기록 시간외],$M794))</f>
        <v/>
      </c>
      <c r="G794">
        <f>IF($M794="","",INDEX(상세표[시작월 기관],$M794)&amp;"")</f>
        <v/>
      </c>
      <c r="H794">
        <f>IF($M794="","",INDEX(상세표[종료월 기관],$M794)&amp;"")</f>
        <v/>
      </c>
      <c r="I794">
        <f>IF($M794="","",INDEX(상세표[월경계 판정],$M794)&amp;"")</f>
        <v/>
      </c>
      <c r="J794">
        <f>IF($M794="","",INDEX(상세표[반영월],$M794)&amp;"")</f>
        <v/>
      </c>
      <c r="K794">
        <f>IF($M794="","",INDEX(상세표[반영 기관],$M794)&amp;"")</f>
        <v/>
      </c>
      <c r="L794">
        <f>IF($M794="","",INDEX(상세표[기관 출처],$M794)&amp;"")</f>
        <v/>
      </c>
      <c r="M794" s="4">
        <f>IFERROR(MATCH(789,상세표[경계순번],0),"")</f>
        <v/>
      </c>
    </row>
    <row r="795">
      <c r="A795">
        <f>IF($M795="","",INDEX(상세표[사번],$M795)&amp;"")</f>
        <v/>
      </c>
      <c r="B795">
        <f>IF($M795="","",INDEX(상세표[성명],$M795)&amp;"")</f>
        <v/>
      </c>
      <c r="C795">
        <f>IF($M795="","",IF(INDEX(상세표[종료월],$M795)=대상월키,"전월→이번 달","이번 달→익월"))</f>
        <v/>
      </c>
      <c r="D795">
        <f>IF($M795="","",IF(ISNUMBER(INDEX(상세표[시작],$M795)),TEXT(INDEX(상세표[시작],$M795),"yyyy-mm-dd hh:mm"),INDEX(상세표[시작],$M795)&amp;""))</f>
        <v/>
      </c>
      <c r="E795">
        <f>IF($M795="","",IF(ISNUMBER(INDEX(상세표[종료],$M795)),TEXT(INDEX(상세표[종료],$M795),"yyyy-mm-dd hh:mm"),INDEX(상세표[종료],$M795)&amp;""))</f>
        <v/>
      </c>
      <c r="F795" s="20">
        <f>IF($M795="","",INDEX(상세표[기록 시간외],$M795))</f>
        <v/>
      </c>
      <c r="G795">
        <f>IF($M795="","",INDEX(상세표[시작월 기관],$M795)&amp;"")</f>
        <v/>
      </c>
      <c r="H795">
        <f>IF($M795="","",INDEX(상세표[종료월 기관],$M795)&amp;"")</f>
        <v/>
      </c>
      <c r="I795">
        <f>IF($M795="","",INDEX(상세표[월경계 판정],$M795)&amp;"")</f>
        <v/>
      </c>
      <c r="J795">
        <f>IF($M795="","",INDEX(상세표[반영월],$M795)&amp;"")</f>
        <v/>
      </c>
      <c r="K795">
        <f>IF($M795="","",INDEX(상세표[반영 기관],$M795)&amp;"")</f>
        <v/>
      </c>
      <c r="L795">
        <f>IF($M795="","",INDEX(상세표[기관 출처],$M795)&amp;"")</f>
        <v/>
      </c>
      <c r="M795" s="4">
        <f>IFERROR(MATCH(790,상세표[경계순번],0),"")</f>
        <v/>
      </c>
    </row>
    <row r="796">
      <c r="A796">
        <f>IF($M796="","",INDEX(상세표[사번],$M796)&amp;"")</f>
        <v/>
      </c>
      <c r="B796">
        <f>IF($M796="","",INDEX(상세표[성명],$M796)&amp;"")</f>
        <v/>
      </c>
      <c r="C796">
        <f>IF($M796="","",IF(INDEX(상세표[종료월],$M796)=대상월키,"전월→이번 달","이번 달→익월"))</f>
        <v/>
      </c>
      <c r="D796">
        <f>IF($M796="","",IF(ISNUMBER(INDEX(상세표[시작],$M796)),TEXT(INDEX(상세표[시작],$M796),"yyyy-mm-dd hh:mm"),INDEX(상세표[시작],$M796)&amp;""))</f>
        <v/>
      </c>
      <c r="E796">
        <f>IF($M796="","",IF(ISNUMBER(INDEX(상세표[종료],$M796)),TEXT(INDEX(상세표[종료],$M796),"yyyy-mm-dd hh:mm"),INDEX(상세표[종료],$M796)&amp;""))</f>
        <v/>
      </c>
      <c r="F796" s="20">
        <f>IF($M796="","",INDEX(상세표[기록 시간외],$M796))</f>
        <v/>
      </c>
      <c r="G796">
        <f>IF($M796="","",INDEX(상세표[시작월 기관],$M796)&amp;"")</f>
        <v/>
      </c>
      <c r="H796">
        <f>IF($M796="","",INDEX(상세표[종료월 기관],$M796)&amp;"")</f>
        <v/>
      </c>
      <c r="I796">
        <f>IF($M796="","",INDEX(상세표[월경계 판정],$M796)&amp;"")</f>
        <v/>
      </c>
      <c r="J796">
        <f>IF($M796="","",INDEX(상세표[반영월],$M796)&amp;"")</f>
        <v/>
      </c>
      <c r="K796">
        <f>IF($M796="","",INDEX(상세표[반영 기관],$M796)&amp;"")</f>
        <v/>
      </c>
      <c r="L796">
        <f>IF($M796="","",INDEX(상세표[기관 출처],$M796)&amp;"")</f>
        <v/>
      </c>
      <c r="M796" s="4">
        <f>IFERROR(MATCH(791,상세표[경계순번],0),"")</f>
        <v/>
      </c>
    </row>
    <row r="797">
      <c r="A797">
        <f>IF($M797="","",INDEX(상세표[사번],$M797)&amp;"")</f>
        <v/>
      </c>
      <c r="B797">
        <f>IF($M797="","",INDEX(상세표[성명],$M797)&amp;"")</f>
        <v/>
      </c>
      <c r="C797">
        <f>IF($M797="","",IF(INDEX(상세표[종료월],$M797)=대상월키,"전월→이번 달","이번 달→익월"))</f>
        <v/>
      </c>
      <c r="D797">
        <f>IF($M797="","",IF(ISNUMBER(INDEX(상세표[시작],$M797)),TEXT(INDEX(상세표[시작],$M797),"yyyy-mm-dd hh:mm"),INDEX(상세표[시작],$M797)&amp;""))</f>
        <v/>
      </c>
      <c r="E797">
        <f>IF($M797="","",IF(ISNUMBER(INDEX(상세표[종료],$M797)),TEXT(INDEX(상세표[종료],$M797),"yyyy-mm-dd hh:mm"),INDEX(상세표[종료],$M797)&amp;""))</f>
        <v/>
      </c>
      <c r="F797" s="20">
        <f>IF($M797="","",INDEX(상세표[기록 시간외],$M797))</f>
        <v/>
      </c>
      <c r="G797">
        <f>IF($M797="","",INDEX(상세표[시작월 기관],$M797)&amp;"")</f>
        <v/>
      </c>
      <c r="H797">
        <f>IF($M797="","",INDEX(상세표[종료월 기관],$M797)&amp;"")</f>
        <v/>
      </c>
      <c r="I797">
        <f>IF($M797="","",INDEX(상세표[월경계 판정],$M797)&amp;"")</f>
        <v/>
      </c>
      <c r="J797">
        <f>IF($M797="","",INDEX(상세표[반영월],$M797)&amp;"")</f>
        <v/>
      </c>
      <c r="K797">
        <f>IF($M797="","",INDEX(상세표[반영 기관],$M797)&amp;"")</f>
        <v/>
      </c>
      <c r="L797">
        <f>IF($M797="","",INDEX(상세표[기관 출처],$M797)&amp;"")</f>
        <v/>
      </c>
      <c r="M797" s="4">
        <f>IFERROR(MATCH(792,상세표[경계순번],0),"")</f>
        <v/>
      </c>
    </row>
    <row r="798">
      <c r="A798">
        <f>IF($M798="","",INDEX(상세표[사번],$M798)&amp;"")</f>
        <v/>
      </c>
      <c r="B798">
        <f>IF($M798="","",INDEX(상세표[성명],$M798)&amp;"")</f>
        <v/>
      </c>
      <c r="C798">
        <f>IF($M798="","",IF(INDEX(상세표[종료월],$M798)=대상월키,"전월→이번 달","이번 달→익월"))</f>
        <v/>
      </c>
      <c r="D798">
        <f>IF($M798="","",IF(ISNUMBER(INDEX(상세표[시작],$M798)),TEXT(INDEX(상세표[시작],$M798),"yyyy-mm-dd hh:mm"),INDEX(상세표[시작],$M798)&amp;""))</f>
        <v/>
      </c>
      <c r="E798">
        <f>IF($M798="","",IF(ISNUMBER(INDEX(상세표[종료],$M798)),TEXT(INDEX(상세표[종료],$M798),"yyyy-mm-dd hh:mm"),INDEX(상세표[종료],$M798)&amp;""))</f>
        <v/>
      </c>
      <c r="F798" s="20">
        <f>IF($M798="","",INDEX(상세표[기록 시간외],$M798))</f>
        <v/>
      </c>
      <c r="G798">
        <f>IF($M798="","",INDEX(상세표[시작월 기관],$M798)&amp;"")</f>
        <v/>
      </c>
      <c r="H798">
        <f>IF($M798="","",INDEX(상세표[종료월 기관],$M798)&amp;"")</f>
        <v/>
      </c>
      <c r="I798">
        <f>IF($M798="","",INDEX(상세표[월경계 판정],$M798)&amp;"")</f>
        <v/>
      </c>
      <c r="J798">
        <f>IF($M798="","",INDEX(상세표[반영월],$M798)&amp;"")</f>
        <v/>
      </c>
      <c r="K798">
        <f>IF($M798="","",INDEX(상세표[반영 기관],$M798)&amp;"")</f>
        <v/>
      </c>
      <c r="L798">
        <f>IF($M798="","",INDEX(상세표[기관 출처],$M798)&amp;"")</f>
        <v/>
      </c>
      <c r="M798" s="4">
        <f>IFERROR(MATCH(793,상세표[경계순번],0),"")</f>
        <v/>
      </c>
    </row>
    <row r="799">
      <c r="A799">
        <f>IF($M799="","",INDEX(상세표[사번],$M799)&amp;"")</f>
        <v/>
      </c>
      <c r="B799">
        <f>IF($M799="","",INDEX(상세표[성명],$M799)&amp;"")</f>
        <v/>
      </c>
      <c r="C799">
        <f>IF($M799="","",IF(INDEX(상세표[종료월],$M799)=대상월키,"전월→이번 달","이번 달→익월"))</f>
        <v/>
      </c>
      <c r="D799">
        <f>IF($M799="","",IF(ISNUMBER(INDEX(상세표[시작],$M799)),TEXT(INDEX(상세표[시작],$M799),"yyyy-mm-dd hh:mm"),INDEX(상세표[시작],$M799)&amp;""))</f>
        <v/>
      </c>
      <c r="E799">
        <f>IF($M799="","",IF(ISNUMBER(INDEX(상세표[종료],$M799)),TEXT(INDEX(상세표[종료],$M799),"yyyy-mm-dd hh:mm"),INDEX(상세표[종료],$M799)&amp;""))</f>
        <v/>
      </c>
      <c r="F799" s="20">
        <f>IF($M799="","",INDEX(상세표[기록 시간외],$M799))</f>
        <v/>
      </c>
      <c r="G799">
        <f>IF($M799="","",INDEX(상세표[시작월 기관],$M799)&amp;"")</f>
        <v/>
      </c>
      <c r="H799">
        <f>IF($M799="","",INDEX(상세표[종료월 기관],$M799)&amp;"")</f>
        <v/>
      </c>
      <c r="I799">
        <f>IF($M799="","",INDEX(상세표[월경계 판정],$M799)&amp;"")</f>
        <v/>
      </c>
      <c r="J799">
        <f>IF($M799="","",INDEX(상세표[반영월],$M799)&amp;"")</f>
        <v/>
      </c>
      <c r="K799">
        <f>IF($M799="","",INDEX(상세표[반영 기관],$M799)&amp;"")</f>
        <v/>
      </c>
      <c r="L799">
        <f>IF($M799="","",INDEX(상세표[기관 출처],$M799)&amp;"")</f>
        <v/>
      </c>
      <c r="M799" s="4">
        <f>IFERROR(MATCH(794,상세표[경계순번],0),"")</f>
        <v/>
      </c>
    </row>
    <row r="800">
      <c r="A800">
        <f>IF($M800="","",INDEX(상세표[사번],$M800)&amp;"")</f>
        <v/>
      </c>
      <c r="B800">
        <f>IF($M800="","",INDEX(상세표[성명],$M800)&amp;"")</f>
        <v/>
      </c>
      <c r="C800">
        <f>IF($M800="","",IF(INDEX(상세표[종료월],$M800)=대상월키,"전월→이번 달","이번 달→익월"))</f>
        <v/>
      </c>
      <c r="D800">
        <f>IF($M800="","",IF(ISNUMBER(INDEX(상세표[시작],$M800)),TEXT(INDEX(상세표[시작],$M800),"yyyy-mm-dd hh:mm"),INDEX(상세표[시작],$M800)&amp;""))</f>
        <v/>
      </c>
      <c r="E800">
        <f>IF($M800="","",IF(ISNUMBER(INDEX(상세표[종료],$M800)),TEXT(INDEX(상세표[종료],$M800),"yyyy-mm-dd hh:mm"),INDEX(상세표[종료],$M800)&amp;""))</f>
        <v/>
      </c>
      <c r="F800" s="20">
        <f>IF($M800="","",INDEX(상세표[기록 시간외],$M800))</f>
        <v/>
      </c>
      <c r="G800">
        <f>IF($M800="","",INDEX(상세표[시작월 기관],$M800)&amp;"")</f>
        <v/>
      </c>
      <c r="H800">
        <f>IF($M800="","",INDEX(상세표[종료월 기관],$M800)&amp;"")</f>
        <v/>
      </c>
      <c r="I800">
        <f>IF($M800="","",INDEX(상세표[월경계 판정],$M800)&amp;"")</f>
        <v/>
      </c>
      <c r="J800">
        <f>IF($M800="","",INDEX(상세표[반영월],$M800)&amp;"")</f>
        <v/>
      </c>
      <c r="K800">
        <f>IF($M800="","",INDEX(상세표[반영 기관],$M800)&amp;"")</f>
        <v/>
      </c>
      <c r="L800">
        <f>IF($M800="","",INDEX(상세표[기관 출처],$M800)&amp;"")</f>
        <v/>
      </c>
      <c r="M800" s="4">
        <f>IFERROR(MATCH(795,상세표[경계순번],0),"")</f>
        <v/>
      </c>
    </row>
    <row r="801">
      <c r="A801">
        <f>IF($M801="","",INDEX(상세표[사번],$M801)&amp;"")</f>
        <v/>
      </c>
      <c r="B801">
        <f>IF($M801="","",INDEX(상세표[성명],$M801)&amp;"")</f>
        <v/>
      </c>
      <c r="C801">
        <f>IF($M801="","",IF(INDEX(상세표[종료월],$M801)=대상월키,"전월→이번 달","이번 달→익월"))</f>
        <v/>
      </c>
      <c r="D801">
        <f>IF($M801="","",IF(ISNUMBER(INDEX(상세표[시작],$M801)),TEXT(INDEX(상세표[시작],$M801),"yyyy-mm-dd hh:mm"),INDEX(상세표[시작],$M801)&amp;""))</f>
        <v/>
      </c>
      <c r="E801">
        <f>IF($M801="","",IF(ISNUMBER(INDEX(상세표[종료],$M801)),TEXT(INDEX(상세표[종료],$M801),"yyyy-mm-dd hh:mm"),INDEX(상세표[종료],$M801)&amp;""))</f>
        <v/>
      </c>
      <c r="F801" s="20">
        <f>IF($M801="","",INDEX(상세표[기록 시간외],$M801))</f>
        <v/>
      </c>
      <c r="G801">
        <f>IF($M801="","",INDEX(상세표[시작월 기관],$M801)&amp;"")</f>
        <v/>
      </c>
      <c r="H801">
        <f>IF($M801="","",INDEX(상세표[종료월 기관],$M801)&amp;"")</f>
        <v/>
      </c>
      <c r="I801">
        <f>IF($M801="","",INDEX(상세표[월경계 판정],$M801)&amp;"")</f>
        <v/>
      </c>
      <c r="J801">
        <f>IF($M801="","",INDEX(상세표[반영월],$M801)&amp;"")</f>
        <v/>
      </c>
      <c r="K801">
        <f>IF($M801="","",INDEX(상세표[반영 기관],$M801)&amp;"")</f>
        <v/>
      </c>
      <c r="L801">
        <f>IF($M801="","",INDEX(상세표[기관 출처],$M801)&amp;"")</f>
        <v/>
      </c>
      <c r="M801" s="4">
        <f>IFERROR(MATCH(796,상세표[경계순번],0),"")</f>
        <v/>
      </c>
    </row>
    <row r="802">
      <c r="A802">
        <f>IF($M802="","",INDEX(상세표[사번],$M802)&amp;"")</f>
        <v/>
      </c>
      <c r="B802">
        <f>IF($M802="","",INDEX(상세표[성명],$M802)&amp;"")</f>
        <v/>
      </c>
      <c r="C802">
        <f>IF($M802="","",IF(INDEX(상세표[종료월],$M802)=대상월키,"전월→이번 달","이번 달→익월"))</f>
        <v/>
      </c>
      <c r="D802">
        <f>IF($M802="","",IF(ISNUMBER(INDEX(상세표[시작],$M802)),TEXT(INDEX(상세표[시작],$M802),"yyyy-mm-dd hh:mm"),INDEX(상세표[시작],$M802)&amp;""))</f>
        <v/>
      </c>
      <c r="E802">
        <f>IF($M802="","",IF(ISNUMBER(INDEX(상세표[종료],$M802)),TEXT(INDEX(상세표[종료],$M802),"yyyy-mm-dd hh:mm"),INDEX(상세표[종료],$M802)&amp;""))</f>
        <v/>
      </c>
      <c r="F802" s="20">
        <f>IF($M802="","",INDEX(상세표[기록 시간외],$M802))</f>
        <v/>
      </c>
      <c r="G802">
        <f>IF($M802="","",INDEX(상세표[시작월 기관],$M802)&amp;"")</f>
        <v/>
      </c>
      <c r="H802">
        <f>IF($M802="","",INDEX(상세표[종료월 기관],$M802)&amp;"")</f>
        <v/>
      </c>
      <c r="I802">
        <f>IF($M802="","",INDEX(상세표[월경계 판정],$M802)&amp;"")</f>
        <v/>
      </c>
      <c r="J802">
        <f>IF($M802="","",INDEX(상세표[반영월],$M802)&amp;"")</f>
        <v/>
      </c>
      <c r="K802">
        <f>IF($M802="","",INDEX(상세표[반영 기관],$M802)&amp;"")</f>
        <v/>
      </c>
      <c r="L802">
        <f>IF($M802="","",INDEX(상세표[기관 출처],$M802)&amp;"")</f>
        <v/>
      </c>
      <c r="M802" s="4">
        <f>IFERROR(MATCH(797,상세표[경계순번],0),"")</f>
        <v/>
      </c>
    </row>
    <row r="803">
      <c r="A803">
        <f>IF($M803="","",INDEX(상세표[사번],$M803)&amp;"")</f>
        <v/>
      </c>
      <c r="B803">
        <f>IF($M803="","",INDEX(상세표[성명],$M803)&amp;"")</f>
        <v/>
      </c>
      <c r="C803">
        <f>IF($M803="","",IF(INDEX(상세표[종료월],$M803)=대상월키,"전월→이번 달","이번 달→익월"))</f>
        <v/>
      </c>
      <c r="D803">
        <f>IF($M803="","",IF(ISNUMBER(INDEX(상세표[시작],$M803)),TEXT(INDEX(상세표[시작],$M803),"yyyy-mm-dd hh:mm"),INDEX(상세표[시작],$M803)&amp;""))</f>
        <v/>
      </c>
      <c r="E803">
        <f>IF($M803="","",IF(ISNUMBER(INDEX(상세표[종료],$M803)),TEXT(INDEX(상세표[종료],$M803),"yyyy-mm-dd hh:mm"),INDEX(상세표[종료],$M803)&amp;""))</f>
        <v/>
      </c>
      <c r="F803" s="20">
        <f>IF($M803="","",INDEX(상세표[기록 시간외],$M803))</f>
        <v/>
      </c>
      <c r="G803">
        <f>IF($M803="","",INDEX(상세표[시작월 기관],$M803)&amp;"")</f>
        <v/>
      </c>
      <c r="H803">
        <f>IF($M803="","",INDEX(상세표[종료월 기관],$M803)&amp;"")</f>
        <v/>
      </c>
      <c r="I803">
        <f>IF($M803="","",INDEX(상세표[월경계 판정],$M803)&amp;"")</f>
        <v/>
      </c>
      <c r="J803">
        <f>IF($M803="","",INDEX(상세표[반영월],$M803)&amp;"")</f>
        <v/>
      </c>
      <c r="K803">
        <f>IF($M803="","",INDEX(상세표[반영 기관],$M803)&amp;"")</f>
        <v/>
      </c>
      <c r="L803">
        <f>IF($M803="","",INDEX(상세표[기관 출처],$M803)&amp;"")</f>
        <v/>
      </c>
      <c r="M803" s="4">
        <f>IFERROR(MATCH(798,상세표[경계순번],0),"")</f>
        <v/>
      </c>
    </row>
    <row r="804">
      <c r="A804">
        <f>IF($M804="","",INDEX(상세표[사번],$M804)&amp;"")</f>
        <v/>
      </c>
      <c r="B804">
        <f>IF($M804="","",INDEX(상세표[성명],$M804)&amp;"")</f>
        <v/>
      </c>
      <c r="C804">
        <f>IF($M804="","",IF(INDEX(상세표[종료월],$M804)=대상월키,"전월→이번 달","이번 달→익월"))</f>
        <v/>
      </c>
      <c r="D804">
        <f>IF($M804="","",IF(ISNUMBER(INDEX(상세표[시작],$M804)),TEXT(INDEX(상세표[시작],$M804),"yyyy-mm-dd hh:mm"),INDEX(상세표[시작],$M804)&amp;""))</f>
        <v/>
      </c>
      <c r="E804">
        <f>IF($M804="","",IF(ISNUMBER(INDEX(상세표[종료],$M804)),TEXT(INDEX(상세표[종료],$M804),"yyyy-mm-dd hh:mm"),INDEX(상세표[종료],$M804)&amp;""))</f>
        <v/>
      </c>
      <c r="F804" s="20">
        <f>IF($M804="","",INDEX(상세표[기록 시간외],$M804))</f>
        <v/>
      </c>
      <c r="G804">
        <f>IF($M804="","",INDEX(상세표[시작월 기관],$M804)&amp;"")</f>
        <v/>
      </c>
      <c r="H804">
        <f>IF($M804="","",INDEX(상세표[종료월 기관],$M804)&amp;"")</f>
        <v/>
      </c>
      <c r="I804">
        <f>IF($M804="","",INDEX(상세표[월경계 판정],$M804)&amp;"")</f>
        <v/>
      </c>
      <c r="J804">
        <f>IF($M804="","",INDEX(상세표[반영월],$M804)&amp;"")</f>
        <v/>
      </c>
      <c r="K804">
        <f>IF($M804="","",INDEX(상세표[반영 기관],$M804)&amp;"")</f>
        <v/>
      </c>
      <c r="L804">
        <f>IF($M804="","",INDEX(상세표[기관 출처],$M804)&amp;"")</f>
        <v/>
      </c>
      <c r="M804" s="4">
        <f>IFERROR(MATCH(799,상세표[경계순번],0),"")</f>
        <v/>
      </c>
    </row>
    <row r="805">
      <c r="A805">
        <f>IF($M805="","",INDEX(상세표[사번],$M805)&amp;"")</f>
        <v/>
      </c>
      <c r="B805">
        <f>IF($M805="","",INDEX(상세표[성명],$M805)&amp;"")</f>
        <v/>
      </c>
      <c r="C805">
        <f>IF($M805="","",IF(INDEX(상세표[종료월],$M805)=대상월키,"전월→이번 달","이번 달→익월"))</f>
        <v/>
      </c>
      <c r="D805">
        <f>IF($M805="","",IF(ISNUMBER(INDEX(상세표[시작],$M805)),TEXT(INDEX(상세표[시작],$M805),"yyyy-mm-dd hh:mm"),INDEX(상세표[시작],$M805)&amp;""))</f>
        <v/>
      </c>
      <c r="E805">
        <f>IF($M805="","",IF(ISNUMBER(INDEX(상세표[종료],$M805)),TEXT(INDEX(상세표[종료],$M805),"yyyy-mm-dd hh:mm"),INDEX(상세표[종료],$M805)&amp;""))</f>
        <v/>
      </c>
      <c r="F805" s="20">
        <f>IF($M805="","",INDEX(상세표[기록 시간외],$M805))</f>
        <v/>
      </c>
      <c r="G805">
        <f>IF($M805="","",INDEX(상세표[시작월 기관],$M805)&amp;"")</f>
        <v/>
      </c>
      <c r="H805">
        <f>IF($M805="","",INDEX(상세표[종료월 기관],$M805)&amp;"")</f>
        <v/>
      </c>
      <c r="I805">
        <f>IF($M805="","",INDEX(상세표[월경계 판정],$M805)&amp;"")</f>
        <v/>
      </c>
      <c r="J805">
        <f>IF($M805="","",INDEX(상세표[반영월],$M805)&amp;"")</f>
        <v/>
      </c>
      <c r="K805">
        <f>IF($M805="","",INDEX(상세표[반영 기관],$M805)&amp;"")</f>
        <v/>
      </c>
      <c r="L805">
        <f>IF($M805="","",INDEX(상세표[기관 출처],$M805)&amp;"")</f>
        <v/>
      </c>
      <c r="M805" s="4">
        <f>IFERROR(MATCH(800,상세표[경계순번],0),"")</f>
        <v/>
      </c>
    </row>
    <row r="806">
      <c r="A806">
        <f>IF($M806="","",INDEX(상세표[사번],$M806)&amp;"")</f>
        <v/>
      </c>
      <c r="B806">
        <f>IF($M806="","",INDEX(상세표[성명],$M806)&amp;"")</f>
        <v/>
      </c>
      <c r="C806">
        <f>IF($M806="","",IF(INDEX(상세표[종료월],$M806)=대상월키,"전월→이번 달","이번 달→익월"))</f>
        <v/>
      </c>
      <c r="D806">
        <f>IF($M806="","",IF(ISNUMBER(INDEX(상세표[시작],$M806)),TEXT(INDEX(상세표[시작],$M806),"yyyy-mm-dd hh:mm"),INDEX(상세표[시작],$M806)&amp;""))</f>
        <v/>
      </c>
      <c r="E806">
        <f>IF($M806="","",IF(ISNUMBER(INDEX(상세표[종료],$M806)),TEXT(INDEX(상세표[종료],$M806),"yyyy-mm-dd hh:mm"),INDEX(상세표[종료],$M806)&amp;""))</f>
        <v/>
      </c>
      <c r="F806" s="20">
        <f>IF($M806="","",INDEX(상세표[기록 시간외],$M806))</f>
        <v/>
      </c>
      <c r="G806">
        <f>IF($M806="","",INDEX(상세표[시작월 기관],$M806)&amp;"")</f>
        <v/>
      </c>
      <c r="H806">
        <f>IF($M806="","",INDEX(상세표[종료월 기관],$M806)&amp;"")</f>
        <v/>
      </c>
      <c r="I806">
        <f>IF($M806="","",INDEX(상세표[월경계 판정],$M806)&amp;"")</f>
        <v/>
      </c>
      <c r="J806">
        <f>IF($M806="","",INDEX(상세표[반영월],$M806)&amp;"")</f>
        <v/>
      </c>
      <c r="K806">
        <f>IF($M806="","",INDEX(상세표[반영 기관],$M806)&amp;"")</f>
        <v/>
      </c>
      <c r="L806">
        <f>IF($M806="","",INDEX(상세표[기관 출처],$M806)&amp;"")</f>
        <v/>
      </c>
      <c r="M806" s="4">
        <f>IFERROR(MATCH(801,상세표[경계순번],0),"")</f>
        <v/>
      </c>
    </row>
    <row r="807">
      <c r="A807">
        <f>IF($M807="","",INDEX(상세표[사번],$M807)&amp;"")</f>
        <v/>
      </c>
      <c r="B807">
        <f>IF($M807="","",INDEX(상세표[성명],$M807)&amp;"")</f>
        <v/>
      </c>
      <c r="C807">
        <f>IF($M807="","",IF(INDEX(상세표[종료월],$M807)=대상월키,"전월→이번 달","이번 달→익월"))</f>
        <v/>
      </c>
      <c r="D807">
        <f>IF($M807="","",IF(ISNUMBER(INDEX(상세표[시작],$M807)),TEXT(INDEX(상세표[시작],$M807),"yyyy-mm-dd hh:mm"),INDEX(상세표[시작],$M807)&amp;""))</f>
        <v/>
      </c>
      <c r="E807">
        <f>IF($M807="","",IF(ISNUMBER(INDEX(상세표[종료],$M807)),TEXT(INDEX(상세표[종료],$M807),"yyyy-mm-dd hh:mm"),INDEX(상세표[종료],$M807)&amp;""))</f>
        <v/>
      </c>
      <c r="F807" s="20">
        <f>IF($M807="","",INDEX(상세표[기록 시간외],$M807))</f>
        <v/>
      </c>
      <c r="G807">
        <f>IF($M807="","",INDEX(상세표[시작월 기관],$M807)&amp;"")</f>
        <v/>
      </c>
      <c r="H807">
        <f>IF($M807="","",INDEX(상세표[종료월 기관],$M807)&amp;"")</f>
        <v/>
      </c>
      <c r="I807">
        <f>IF($M807="","",INDEX(상세표[월경계 판정],$M807)&amp;"")</f>
        <v/>
      </c>
      <c r="J807">
        <f>IF($M807="","",INDEX(상세표[반영월],$M807)&amp;"")</f>
        <v/>
      </c>
      <c r="K807">
        <f>IF($M807="","",INDEX(상세표[반영 기관],$M807)&amp;"")</f>
        <v/>
      </c>
      <c r="L807">
        <f>IF($M807="","",INDEX(상세표[기관 출처],$M807)&amp;"")</f>
        <v/>
      </c>
      <c r="M807" s="4">
        <f>IFERROR(MATCH(802,상세표[경계순번],0),"")</f>
        <v/>
      </c>
    </row>
    <row r="808">
      <c r="A808">
        <f>IF($M808="","",INDEX(상세표[사번],$M808)&amp;"")</f>
        <v/>
      </c>
      <c r="B808">
        <f>IF($M808="","",INDEX(상세표[성명],$M808)&amp;"")</f>
        <v/>
      </c>
      <c r="C808">
        <f>IF($M808="","",IF(INDEX(상세표[종료월],$M808)=대상월키,"전월→이번 달","이번 달→익월"))</f>
        <v/>
      </c>
      <c r="D808">
        <f>IF($M808="","",IF(ISNUMBER(INDEX(상세표[시작],$M808)),TEXT(INDEX(상세표[시작],$M808),"yyyy-mm-dd hh:mm"),INDEX(상세표[시작],$M808)&amp;""))</f>
        <v/>
      </c>
      <c r="E808">
        <f>IF($M808="","",IF(ISNUMBER(INDEX(상세표[종료],$M808)),TEXT(INDEX(상세표[종료],$M808),"yyyy-mm-dd hh:mm"),INDEX(상세표[종료],$M808)&amp;""))</f>
        <v/>
      </c>
      <c r="F808" s="20">
        <f>IF($M808="","",INDEX(상세표[기록 시간외],$M808))</f>
        <v/>
      </c>
      <c r="G808">
        <f>IF($M808="","",INDEX(상세표[시작월 기관],$M808)&amp;"")</f>
        <v/>
      </c>
      <c r="H808">
        <f>IF($M808="","",INDEX(상세표[종료월 기관],$M808)&amp;"")</f>
        <v/>
      </c>
      <c r="I808">
        <f>IF($M808="","",INDEX(상세표[월경계 판정],$M808)&amp;"")</f>
        <v/>
      </c>
      <c r="J808">
        <f>IF($M808="","",INDEX(상세표[반영월],$M808)&amp;"")</f>
        <v/>
      </c>
      <c r="K808">
        <f>IF($M808="","",INDEX(상세표[반영 기관],$M808)&amp;"")</f>
        <v/>
      </c>
      <c r="L808">
        <f>IF($M808="","",INDEX(상세표[기관 출처],$M808)&amp;"")</f>
        <v/>
      </c>
      <c r="M808" s="4">
        <f>IFERROR(MATCH(803,상세표[경계순번],0),"")</f>
        <v/>
      </c>
    </row>
    <row r="809">
      <c r="A809">
        <f>IF($M809="","",INDEX(상세표[사번],$M809)&amp;"")</f>
        <v/>
      </c>
      <c r="B809">
        <f>IF($M809="","",INDEX(상세표[성명],$M809)&amp;"")</f>
        <v/>
      </c>
      <c r="C809">
        <f>IF($M809="","",IF(INDEX(상세표[종료월],$M809)=대상월키,"전월→이번 달","이번 달→익월"))</f>
        <v/>
      </c>
      <c r="D809">
        <f>IF($M809="","",IF(ISNUMBER(INDEX(상세표[시작],$M809)),TEXT(INDEX(상세표[시작],$M809),"yyyy-mm-dd hh:mm"),INDEX(상세표[시작],$M809)&amp;""))</f>
        <v/>
      </c>
      <c r="E809">
        <f>IF($M809="","",IF(ISNUMBER(INDEX(상세표[종료],$M809)),TEXT(INDEX(상세표[종료],$M809),"yyyy-mm-dd hh:mm"),INDEX(상세표[종료],$M809)&amp;""))</f>
        <v/>
      </c>
      <c r="F809" s="20">
        <f>IF($M809="","",INDEX(상세표[기록 시간외],$M809))</f>
        <v/>
      </c>
      <c r="G809">
        <f>IF($M809="","",INDEX(상세표[시작월 기관],$M809)&amp;"")</f>
        <v/>
      </c>
      <c r="H809">
        <f>IF($M809="","",INDEX(상세표[종료월 기관],$M809)&amp;"")</f>
        <v/>
      </c>
      <c r="I809">
        <f>IF($M809="","",INDEX(상세표[월경계 판정],$M809)&amp;"")</f>
        <v/>
      </c>
      <c r="J809">
        <f>IF($M809="","",INDEX(상세표[반영월],$M809)&amp;"")</f>
        <v/>
      </c>
      <c r="K809">
        <f>IF($M809="","",INDEX(상세표[반영 기관],$M809)&amp;"")</f>
        <v/>
      </c>
      <c r="L809">
        <f>IF($M809="","",INDEX(상세표[기관 출처],$M809)&amp;"")</f>
        <v/>
      </c>
      <c r="M809" s="4">
        <f>IFERROR(MATCH(804,상세표[경계순번],0),"")</f>
        <v/>
      </c>
    </row>
    <row r="810">
      <c r="A810">
        <f>IF($M810="","",INDEX(상세표[사번],$M810)&amp;"")</f>
        <v/>
      </c>
      <c r="B810">
        <f>IF($M810="","",INDEX(상세표[성명],$M810)&amp;"")</f>
        <v/>
      </c>
      <c r="C810">
        <f>IF($M810="","",IF(INDEX(상세표[종료월],$M810)=대상월키,"전월→이번 달","이번 달→익월"))</f>
        <v/>
      </c>
      <c r="D810">
        <f>IF($M810="","",IF(ISNUMBER(INDEX(상세표[시작],$M810)),TEXT(INDEX(상세표[시작],$M810),"yyyy-mm-dd hh:mm"),INDEX(상세표[시작],$M810)&amp;""))</f>
        <v/>
      </c>
      <c r="E810">
        <f>IF($M810="","",IF(ISNUMBER(INDEX(상세표[종료],$M810)),TEXT(INDEX(상세표[종료],$M810),"yyyy-mm-dd hh:mm"),INDEX(상세표[종료],$M810)&amp;""))</f>
        <v/>
      </c>
      <c r="F810" s="20">
        <f>IF($M810="","",INDEX(상세표[기록 시간외],$M810))</f>
        <v/>
      </c>
      <c r="G810">
        <f>IF($M810="","",INDEX(상세표[시작월 기관],$M810)&amp;"")</f>
        <v/>
      </c>
      <c r="H810">
        <f>IF($M810="","",INDEX(상세표[종료월 기관],$M810)&amp;"")</f>
        <v/>
      </c>
      <c r="I810">
        <f>IF($M810="","",INDEX(상세표[월경계 판정],$M810)&amp;"")</f>
        <v/>
      </c>
      <c r="J810">
        <f>IF($M810="","",INDEX(상세표[반영월],$M810)&amp;"")</f>
        <v/>
      </c>
      <c r="K810">
        <f>IF($M810="","",INDEX(상세표[반영 기관],$M810)&amp;"")</f>
        <v/>
      </c>
      <c r="L810">
        <f>IF($M810="","",INDEX(상세표[기관 출처],$M810)&amp;"")</f>
        <v/>
      </c>
      <c r="M810" s="4">
        <f>IFERROR(MATCH(805,상세표[경계순번],0),"")</f>
        <v/>
      </c>
    </row>
    <row r="811">
      <c r="A811">
        <f>IF($M811="","",INDEX(상세표[사번],$M811)&amp;"")</f>
        <v/>
      </c>
      <c r="B811">
        <f>IF($M811="","",INDEX(상세표[성명],$M811)&amp;"")</f>
        <v/>
      </c>
      <c r="C811">
        <f>IF($M811="","",IF(INDEX(상세표[종료월],$M811)=대상월키,"전월→이번 달","이번 달→익월"))</f>
        <v/>
      </c>
      <c r="D811">
        <f>IF($M811="","",IF(ISNUMBER(INDEX(상세표[시작],$M811)),TEXT(INDEX(상세표[시작],$M811),"yyyy-mm-dd hh:mm"),INDEX(상세표[시작],$M811)&amp;""))</f>
        <v/>
      </c>
      <c r="E811">
        <f>IF($M811="","",IF(ISNUMBER(INDEX(상세표[종료],$M811)),TEXT(INDEX(상세표[종료],$M811),"yyyy-mm-dd hh:mm"),INDEX(상세표[종료],$M811)&amp;""))</f>
        <v/>
      </c>
      <c r="F811" s="20">
        <f>IF($M811="","",INDEX(상세표[기록 시간외],$M811))</f>
        <v/>
      </c>
      <c r="G811">
        <f>IF($M811="","",INDEX(상세표[시작월 기관],$M811)&amp;"")</f>
        <v/>
      </c>
      <c r="H811">
        <f>IF($M811="","",INDEX(상세표[종료월 기관],$M811)&amp;"")</f>
        <v/>
      </c>
      <c r="I811">
        <f>IF($M811="","",INDEX(상세표[월경계 판정],$M811)&amp;"")</f>
        <v/>
      </c>
      <c r="J811">
        <f>IF($M811="","",INDEX(상세표[반영월],$M811)&amp;"")</f>
        <v/>
      </c>
      <c r="K811">
        <f>IF($M811="","",INDEX(상세표[반영 기관],$M811)&amp;"")</f>
        <v/>
      </c>
      <c r="L811">
        <f>IF($M811="","",INDEX(상세표[기관 출처],$M811)&amp;"")</f>
        <v/>
      </c>
      <c r="M811" s="4">
        <f>IFERROR(MATCH(806,상세표[경계순번],0),"")</f>
        <v/>
      </c>
    </row>
    <row r="812">
      <c r="A812">
        <f>IF($M812="","",INDEX(상세표[사번],$M812)&amp;"")</f>
        <v/>
      </c>
      <c r="B812">
        <f>IF($M812="","",INDEX(상세표[성명],$M812)&amp;"")</f>
        <v/>
      </c>
      <c r="C812">
        <f>IF($M812="","",IF(INDEX(상세표[종료월],$M812)=대상월키,"전월→이번 달","이번 달→익월"))</f>
        <v/>
      </c>
      <c r="D812">
        <f>IF($M812="","",IF(ISNUMBER(INDEX(상세표[시작],$M812)),TEXT(INDEX(상세표[시작],$M812),"yyyy-mm-dd hh:mm"),INDEX(상세표[시작],$M812)&amp;""))</f>
        <v/>
      </c>
      <c r="E812">
        <f>IF($M812="","",IF(ISNUMBER(INDEX(상세표[종료],$M812)),TEXT(INDEX(상세표[종료],$M812),"yyyy-mm-dd hh:mm"),INDEX(상세표[종료],$M812)&amp;""))</f>
        <v/>
      </c>
      <c r="F812" s="20">
        <f>IF($M812="","",INDEX(상세표[기록 시간외],$M812))</f>
        <v/>
      </c>
      <c r="G812">
        <f>IF($M812="","",INDEX(상세표[시작월 기관],$M812)&amp;"")</f>
        <v/>
      </c>
      <c r="H812">
        <f>IF($M812="","",INDEX(상세표[종료월 기관],$M812)&amp;"")</f>
        <v/>
      </c>
      <c r="I812">
        <f>IF($M812="","",INDEX(상세표[월경계 판정],$M812)&amp;"")</f>
        <v/>
      </c>
      <c r="J812">
        <f>IF($M812="","",INDEX(상세표[반영월],$M812)&amp;"")</f>
        <v/>
      </c>
      <c r="K812">
        <f>IF($M812="","",INDEX(상세표[반영 기관],$M812)&amp;"")</f>
        <v/>
      </c>
      <c r="L812">
        <f>IF($M812="","",INDEX(상세표[기관 출처],$M812)&amp;"")</f>
        <v/>
      </c>
      <c r="M812" s="4">
        <f>IFERROR(MATCH(807,상세표[경계순번],0),"")</f>
        <v/>
      </c>
    </row>
    <row r="813">
      <c r="A813">
        <f>IF($M813="","",INDEX(상세표[사번],$M813)&amp;"")</f>
        <v/>
      </c>
      <c r="B813">
        <f>IF($M813="","",INDEX(상세표[성명],$M813)&amp;"")</f>
        <v/>
      </c>
      <c r="C813">
        <f>IF($M813="","",IF(INDEX(상세표[종료월],$M813)=대상월키,"전월→이번 달","이번 달→익월"))</f>
        <v/>
      </c>
      <c r="D813">
        <f>IF($M813="","",IF(ISNUMBER(INDEX(상세표[시작],$M813)),TEXT(INDEX(상세표[시작],$M813),"yyyy-mm-dd hh:mm"),INDEX(상세표[시작],$M813)&amp;""))</f>
        <v/>
      </c>
      <c r="E813">
        <f>IF($M813="","",IF(ISNUMBER(INDEX(상세표[종료],$M813)),TEXT(INDEX(상세표[종료],$M813),"yyyy-mm-dd hh:mm"),INDEX(상세표[종료],$M813)&amp;""))</f>
        <v/>
      </c>
      <c r="F813" s="20">
        <f>IF($M813="","",INDEX(상세표[기록 시간외],$M813))</f>
        <v/>
      </c>
      <c r="G813">
        <f>IF($M813="","",INDEX(상세표[시작월 기관],$M813)&amp;"")</f>
        <v/>
      </c>
      <c r="H813">
        <f>IF($M813="","",INDEX(상세표[종료월 기관],$M813)&amp;"")</f>
        <v/>
      </c>
      <c r="I813">
        <f>IF($M813="","",INDEX(상세표[월경계 판정],$M813)&amp;"")</f>
        <v/>
      </c>
      <c r="J813">
        <f>IF($M813="","",INDEX(상세표[반영월],$M813)&amp;"")</f>
        <v/>
      </c>
      <c r="K813">
        <f>IF($M813="","",INDEX(상세표[반영 기관],$M813)&amp;"")</f>
        <v/>
      </c>
      <c r="L813">
        <f>IF($M813="","",INDEX(상세표[기관 출처],$M813)&amp;"")</f>
        <v/>
      </c>
      <c r="M813" s="4">
        <f>IFERROR(MATCH(808,상세표[경계순번],0),"")</f>
        <v/>
      </c>
    </row>
    <row r="814">
      <c r="A814">
        <f>IF($M814="","",INDEX(상세표[사번],$M814)&amp;"")</f>
        <v/>
      </c>
      <c r="B814">
        <f>IF($M814="","",INDEX(상세표[성명],$M814)&amp;"")</f>
        <v/>
      </c>
      <c r="C814">
        <f>IF($M814="","",IF(INDEX(상세표[종료월],$M814)=대상월키,"전월→이번 달","이번 달→익월"))</f>
        <v/>
      </c>
      <c r="D814">
        <f>IF($M814="","",IF(ISNUMBER(INDEX(상세표[시작],$M814)),TEXT(INDEX(상세표[시작],$M814),"yyyy-mm-dd hh:mm"),INDEX(상세표[시작],$M814)&amp;""))</f>
        <v/>
      </c>
      <c r="E814">
        <f>IF($M814="","",IF(ISNUMBER(INDEX(상세표[종료],$M814)),TEXT(INDEX(상세표[종료],$M814),"yyyy-mm-dd hh:mm"),INDEX(상세표[종료],$M814)&amp;""))</f>
        <v/>
      </c>
      <c r="F814" s="20">
        <f>IF($M814="","",INDEX(상세표[기록 시간외],$M814))</f>
        <v/>
      </c>
      <c r="G814">
        <f>IF($M814="","",INDEX(상세표[시작월 기관],$M814)&amp;"")</f>
        <v/>
      </c>
      <c r="H814">
        <f>IF($M814="","",INDEX(상세표[종료월 기관],$M814)&amp;"")</f>
        <v/>
      </c>
      <c r="I814">
        <f>IF($M814="","",INDEX(상세표[월경계 판정],$M814)&amp;"")</f>
        <v/>
      </c>
      <c r="J814">
        <f>IF($M814="","",INDEX(상세표[반영월],$M814)&amp;"")</f>
        <v/>
      </c>
      <c r="K814">
        <f>IF($M814="","",INDEX(상세표[반영 기관],$M814)&amp;"")</f>
        <v/>
      </c>
      <c r="L814">
        <f>IF($M814="","",INDEX(상세표[기관 출처],$M814)&amp;"")</f>
        <v/>
      </c>
      <c r="M814" s="4">
        <f>IFERROR(MATCH(809,상세표[경계순번],0),"")</f>
        <v/>
      </c>
    </row>
    <row r="815">
      <c r="A815">
        <f>IF($M815="","",INDEX(상세표[사번],$M815)&amp;"")</f>
        <v/>
      </c>
      <c r="B815">
        <f>IF($M815="","",INDEX(상세표[성명],$M815)&amp;"")</f>
        <v/>
      </c>
      <c r="C815">
        <f>IF($M815="","",IF(INDEX(상세표[종료월],$M815)=대상월키,"전월→이번 달","이번 달→익월"))</f>
        <v/>
      </c>
      <c r="D815">
        <f>IF($M815="","",IF(ISNUMBER(INDEX(상세표[시작],$M815)),TEXT(INDEX(상세표[시작],$M815),"yyyy-mm-dd hh:mm"),INDEX(상세표[시작],$M815)&amp;""))</f>
        <v/>
      </c>
      <c r="E815">
        <f>IF($M815="","",IF(ISNUMBER(INDEX(상세표[종료],$M815)),TEXT(INDEX(상세표[종료],$M815),"yyyy-mm-dd hh:mm"),INDEX(상세표[종료],$M815)&amp;""))</f>
        <v/>
      </c>
      <c r="F815" s="20">
        <f>IF($M815="","",INDEX(상세표[기록 시간외],$M815))</f>
        <v/>
      </c>
      <c r="G815">
        <f>IF($M815="","",INDEX(상세표[시작월 기관],$M815)&amp;"")</f>
        <v/>
      </c>
      <c r="H815">
        <f>IF($M815="","",INDEX(상세표[종료월 기관],$M815)&amp;"")</f>
        <v/>
      </c>
      <c r="I815">
        <f>IF($M815="","",INDEX(상세표[월경계 판정],$M815)&amp;"")</f>
        <v/>
      </c>
      <c r="J815">
        <f>IF($M815="","",INDEX(상세표[반영월],$M815)&amp;"")</f>
        <v/>
      </c>
      <c r="K815">
        <f>IF($M815="","",INDEX(상세표[반영 기관],$M815)&amp;"")</f>
        <v/>
      </c>
      <c r="L815">
        <f>IF($M815="","",INDEX(상세표[기관 출처],$M815)&amp;"")</f>
        <v/>
      </c>
      <c r="M815" s="4">
        <f>IFERROR(MATCH(810,상세표[경계순번],0),"")</f>
        <v/>
      </c>
    </row>
    <row r="816">
      <c r="A816">
        <f>IF($M816="","",INDEX(상세표[사번],$M816)&amp;"")</f>
        <v/>
      </c>
      <c r="B816">
        <f>IF($M816="","",INDEX(상세표[성명],$M816)&amp;"")</f>
        <v/>
      </c>
      <c r="C816">
        <f>IF($M816="","",IF(INDEX(상세표[종료월],$M816)=대상월키,"전월→이번 달","이번 달→익월"))</f>
        <v/>
      </c>
      <c r="D816">
        <f>IF($M816="","",IF(ISNUMBER(INDEX(상세표[시작],$M816)),TEXT(INDEX(상세표[시작],$M816),"yyyy-mm-dd hh:mm"),INDEX(상세표[시작],$M816)&amp;""))</f>
        <v/>
      </c>
      <c r="E816">
        <f>IF($M816="","",IF(ISNUMBER(INDEX(상세표[종료],$M816)),TEXT(INDEX(상세표[종료],$M816),"yyyy-mm-dd hh:mm"),INDEX(상세표[종료],$M816)&amp;""))</f>
        <v/>
      </c>
      <c r="F816" s="20">
        <f>IF($M816="","",INDEX(상세표[기록 시간외],$M816))</f>
        <v/>
      </c>
      <c r="G816">
        <f>IF($M816="","",INDEX(상세표[시작월 기관],$M816)&amp;"")</f>
        <v/>
      </c>
      <c r="H816">
        <f>IF($M816="","",INDEX(상세표[종료월 기관],$M816)&amp;"")</f>
        <v/>
      </c>
      <c r="I816">
        <f>IF($M816="","",INDEX(상세표[월경계 판정],$M816)&amp;"")</f>
        <v/>
      </c>
      <c r="J816">
        <f>IF($M816="","",INDEX(상세표[반영월],$M816)&amp;"")</f>
        <v/>
      </c>
      <c r="K816">
        <f>IF($M816="","",INDEX(상세표[반영 기관],$M816)&amp;"")</f>
        <v/>
      </c>
      <c r="L816">
        <f>IF($M816="","",INDEX(상세표[기관 출처],$M816)&amp;"")</f>
        <v/>
      </c>
      <c r="M816" s="4">
        <f>IFERROR(MATCH(811,상세표[경계순번],0),"")</f>
        <v/>
      </c>
    </row>
    <row r="817">
      <c r="A817">
        <f>IF($M817="","",INDEX(상세표[사번],$M817)&amp;"")</f>
        <v/>
      </c>
      <c r="B817">
        <f>IF($M817="","",INDEX(상세표[성명],$M817)&amp;"")</f>
        <v/>
      </c>
      <c r="C817">
        <f>IF($M817="","",IF(INDEX(상세표[종료월],$M817)=대상월키,"전월→이번 달","이번 달→익월"))</f>
        <v/>
      </c>
      <c r="D817">
        <f>IF($M817="","",IF(ISNUMBER(INDEX(상세표[시작],$M817)),TEXT(INDEX(상세표[시작],$M817),"yyyy-mm-dd hh:mm"),INDEX(상세표[시작],$M817)&amp;""))</f>
        <v/>
      </c>
      <c r="E817">
        <f>IF($M817="","",IF(ISNUMBER(INDEX(상세표[종료],$M817)),TEXT(INDEX(상세표[종료],$M817),"yyyy-mm-dd hh:mm"),INDEX(상세표[종료],$M817)&amp;""))</f>
        <v/>
      </c>
      <c r="F817" s="20">
        <f>IF($M817="","",INDEX(상세표[기록 시간외],$M817))</f>
        <v/>
      </c>
      <c r="G817">
        <f>IF($M817="","",INDEX(상세표[시작월 기관],$M817)&amp;"")</f>
        <v/>
      </c>
      <c r="H817">
        <f>IF($M817="","",INDEX(상세표[종료월 기관],$M817)&amp;"")</f>
        <v/>
      </c>
      <c r="I817">
        <f>IF($M817="","",INDEX(상세표[월경계 판정],$M817)&amp;"")</f>
        <v/>
      </c>
      <c r="J817">
        <f>IF($M817="","",INDEX(상세표[반영월],$M817)&amp;"")</f>
        <v/>
      </c>
      <c r="K817">
        <f>IF($M817="","",INDEX(상세표[반영 기관],$M817)&amp;"")</f>
        <v/>
      </c>
      <c r="L817">
        <f>IF($M817="","",INDEX(상세표[기관 출처],$M817)&amp;"")</f>
        <v/>
      </c>
      <c r="M817" s="4">
        <f>IFERROR(MATCH(812,상세표[경계순번],0),"")</f>
        <v/>
      </c>
    </row>
    <row r="818">
      <c r="A818">
        <f>IF($M818="","",INDEX(상세표[사번],$M818)&amp;"")</f>
        <v/>
      </c>
      <c r="B818">
        <f>IF($M818="","",INDEX(상세표[성명],$M818)&amp;"")</f>
        <v/>
      </c>
      <c r="C818">
        <f>IF($M818="","",IF(INDEX(상세표[종료월],$M818)=대상월키,"전월→이번 달","이번 달→익월"))</f>
        <v/>
      </c>
      <c r="D818">
        <f>IF($M818="","",IF(ISNUMBER(INDEX(상세표[시작],$M818)),TEXT(INDEX(상세표[시작],$M818),"yyyy-mm-dd hh:mm"),INDEX(상세표[시작],$M818)&amp;""))</f>
        <v/>
      </c>
      <c r="E818">
        <f>IF($M818="","",IF(ISNUMBER(INDEX(상세표[종료],$M818)),TEXT(INDEX(상세표[종료],$M818),"yyyy-mm-dd hh:mm"),INDEX(상세표[종료],$M818)&amp;""))</f>
        <v/>
      </c>
      <c r="F818" s="20">
        <f>IF($M818="","",INDEX(상세표[기록 시간외],$M818))</f>
        <v/>
      </c>
      <c r="G818">
        <f>IF($M818="","",INDEX(상세표[시작월 기관],$M818)&amp;"")</f>
        <v/>
      </c>
      <c r="H818">
        <f>IF($M818="","",INDEX(상세표[종료월 기관],$M818)&amp;"")</f>
        <v/>
      </c>
      <c r="I818">
        <f>IF($M818="","",INDEX(상세표[월경계 판정],$M818)&amp;"")</f>
        <v/>
      </c>
      <c r="J818">
        <f>IF($M818="","",INDEX(상세표[반영월],$M818)&amp;"")</f>
        <v/>
      </c>
      <c r="K818">
        <f>IF($M818="","",INDEX(상세표[반영 기관],$M818)&amp;"")</f>
        <v/>
      </c>
      <c r="L818">
        <f>IF($M818="","",INDEX(상세표[기관 출처],$M818)&amp;"")</f>
        <v/>
      </c>
      <c r="M818" s="4">
        <f>IFERROR(MATCH(813,상세표[경계순번],0),"")</f>
        <v/>
      </c>
    </row>
    <row r="819">
      <c r="A819">
        <f>IF($M819="","",INDEX(상세표[사번],$M819)&amp;"")</f>
        <v/>
      </c>
      <c r="B819">
        <f>IF($M819="","",INDEX(상세표[성명],$M819)&amp;"")</f>
        <v/>
      </c>
      <c r="C819">
        <f>IF($M819="","",IF(INDEX(상세표[종료월],$M819)=대상월키,"전월→이번 달","이번 달→익월"))</f>
        <v/>
      </c>
      <c r="D819">
        <f>IF($M819="","",IF(ISNUMBER(INDEX(상세표[시작],$M819)),TEXT(INDEX(상세표[시작],$M819),"yyyy-mm-dd hh:mm"),INDEX(상세표[시작],$M819)&amp;""))</f>
        <v/>
      </c>
      <c r="E819">
        <f>IF($M819="","",IF(ISNUMBER(INDEX(상세표[종료],$M819)),TEXT(INDEX(상세표[종료],$M819),"yyyy-mm-dd hh:mm"),INDEX(상세표[종료],$M819)&amp;""))</f>
        <v/>
      </c>
      <c r="F819" s="20">
        <f>IF($M819="","",INDEX(상세표[기록 시간외],$M819))</f>
        <v/>
      </c>
      <c r="G819">
        <f>IF($M819="","",INDEX(상세표[시작월 기관],$M819)&amp;"")</f>
        <v/>
      </c>
      <c r="H819">
        <f>IF($M819="","",INDEX(상세표[종료월 기관],$M819)&amp;"")</f>
        <v/>
      </c>
      <c r="I819">
        <f>IF($M819="","",INDEX(상세표[월경계 판정],$M819)&amp;"")</f>
        <v/>
      </c>
      <c r="J819">
        <f>IF($M819="","",INDEX(상세표[반영월],$M819)&amp;"")</f>
        <v/>
      </c>
      <c r="K819">
        <f>IF($M819="","",INDEX(상세표[반영 기관],$M819)&amp;"")</f>
        <v/>
      </c>
      <c r="L819">
        <f>IF($M819="","",INDEX(상세표[기관 출처],$M819)&amp;"")</f>
        <v/>
      </c>
      <c r="M819" s="4">
        <f>IFERROR(MATCH(814,상세표[경계순번],0),"")</f>
        <v/>
      </c>
    </row>
    <row r="820">
      <c r="A820">
        <f>IF($M820="","",INDEX(상세표[사번],$M820)&amp;"")</f>
        <v/>
      </c>
      <c r="B820">
        <f>IF($M820="","",INDEX(상세표[성명],$M820)&amp;"")</f>
        <v/>
      </c>
      <c r="C820">
        <f>IF($M820="","",IF(INDEX(상세표[종료월],$M820)=대상월키,"전월→이번 달","이번 달→익월"))</f>
        <v/>
      </c>
      <c r="D820">
        <f>IF($M820="","",IF(ISNUMBER(INDEX(상세표[시작],$M820)),TEXT(INDEX(상세표[시작],$M820),"yyyy-mm-dd hh:mm"),INDEX(상세표[시작],$M820)&amp;""))</f>
        <v/>
      </c>
      <c r="E820">
        <f>IF($M820="","",IF(ISNUMBER(INDEX(상세표[종료],$M820)),TEXT(INDEX(상세표[종료],$M820),"yyyy-mm-dd hh:mm"),INDEX(상세표[종료],$M820)&amp;""))</f>
        <v/>
      </c>
      <c r="F820" s="20">
        <f>IF($M820="","",INDEX(상세표[기록 시간외],$M820))</f>
        <v/>
      </c>
      <c r="G820">
        <f>IF($M820="","",INDEX(상세표[시작월 기관],$M820)&amp;"")</f>
        <v/>
      </c>
      <c r="H820">
        <f>IF($M820="","",INDEX(상세표[종료월 기관],$M820)&amp;"")</f>
        <v/>
      </c>
      <c r="I820">
        <f>IF($M820="","",INDEX(상세표[월경계 판정],$M820)&amp;"")</f>
        <v/>
      </c>
      <c r="J820">
        <f>IF($M820="","",INDEX(상세표[반영월],$M820)&amp;"")</f>
        <v/>
      </c>
      <c r="K820">
        <f>IF($M820="","",INDEX(상세표[반영 기관],$M820)&amp;"")</f>
        <v/>
      </c>
      <c r="L820">
        <f>IF($M820="","",INDEX(상세표[기관 출처],$M820)&amp;"")</f>
        <v/>
      </c>
      <c r="M820" s="4">
        <f>IFERROR(MATCH(815,상세표[경계순번],0),"")</f>
        <v/>
      </c>
    </row>
    <row r="821">
      <c r="A821">
        <f>IF($M821="","",INDEX(상세표[사번],$M821)&amp;"")</f>
        <v/>
      </c>
      <c r="B821">
        <f>IF($M821="","",INDEX(상세표[성명],$M821)&amp;"")</f>
        <v/>
      </c>
      <c r="C821">
        <f>IF($M821="","",IF(INDEX(상세표[종료월],$M821)=대상월키,"전월→이번 달","이번 달→익월"))</f>
        <v/>
      </c>
      <c r="D821">
        <f>IF($M821="","",IF(ISNUMBER(INDEX(상세표[시작],$M821)),TEXT(INDEX(상세표[시작],$M821),"yyyy-mm-dd hh:mm"),INDEX(상세표[시작],$M821)&amp;""))</f>
        <v/>
      </c>
      <c r="E821">
        <f>IF($M821="","",IF(ISNUMBER(INDEX(상세표[종료],$M821)),TEXT(INDEX(상세표[종료],$M821),"yyyy-mm-dd hh:mm"),INDEX(상세표[종료],$M821)&amp;""))</f>
        <v/>
      </c>
      <c r="F821" s="20">
        <f>IF($M821="","",INDEX(상세표[기록 시간외],$M821))</f>
        <v/>
      </c>
      <c r="G821">
        <f>IF($M821="","",INDEX(상세표[시작월 기관],$M821)&amp;"")</f>
        <v/>
      </c>
      <c r="H821">
        <f>IF($M821="","",INDEX(상세표[종료월 기관],$M821)&amp;"")</f>
        <v/>
      </c>
      <c r="I821">
        <f>IF($M821="","",INDEX(상세표[월경계 판정],$M821)&amp;"")</f>
        <v/>
      </c>
      <c r="J821">
        <f>IF($M821="","",INDEX(상세표[반영월],$M821)&amp;"")</f>
        <v/>
      </c>
      <c r="K821">
        <f>IF($M821="","",INDEX(상세표[반영 기관],$M821)&amp;"")</f>
        <v/>
      </c>
      <c r="L821">
        <f>IF($M821="","",INDEX(상세표[기관 출처],$M821)&amp;"")</f>
        <v/>
      </c>
      <c r="M821" s="4">
        <f>IFERROR(MATCH(816,상세표[경계순번],0),"")</f>
        <v/>
      </c>
    </row>
    <row r="822">
      <c r="A822">
        <f>IF($M822="","",INDEX(상세표[사번],$M822)&amp;"")</f>
        <v/>
      </c>
      <c r="B822">
        <f>IF($M822="","",INDEX(상세표[성명],$M822)&amp;"")</f>
        <v/>
      </c>
      <c r="C822">
        <f>IF($M822="","",IF(INDEX(상세표[종료월],$M822)=대상월키,"전월→이번 달","이번 달→익월"))</f>
        <v/>
      </c>
      <c r="D822">
        <f>IF($M822="","",IF(ISNUMBER(INDEX(상세표[시작],$M822)),TEXT(INDEX(상세표[시작],$M822),"yyyy-mm-dd hh:mm"),INDEX(상세표[시작],$M822)&amp;""))</f>
        <v/>
      </c>
      <c r="E822">
        <f>IF($M822="","",IF(ISNUMBER(INDEX(상세표[종료],$M822)),TEXT(INDEX(상세표[종료],$M822),"yyyy-mm-dd hh:mm"),INDEX(상세표[종료],$M822)&amp;""))</f>
        <v/>
      </c>
      <c r="F822" s="20">
        <f>IF($M822="","",INDEX(상세표[기록 시간외],$M822))</f>
        <v/>
      </c>
      <c r="G822">
        <f>IF($M822="","",INDEX(상세표[시작월 기관],$M822)&amp;"")</f>
        <v/>
      </c>
      <c r="H822">
        <f>IF($M822="","",INDEX(상세표[종료월 기관],$M822)&amp;"")</f>
        <v/>
      </c>
      <c r="I822">
        <f>IF($M822="","",INDEX(상세표[월경계 판정],$M822)&amp;"")</f>
        <v/>
      </c>
      <c r="J822">
        <f>IF($M822="","",INDEX(상세표[반영월],$M822)&amp;"")</f>
        <v/>
      </c>
      <c r="K822">
        <f>IF($M822="","",INDEX(상세표[반영 기관],$M822)&amp;"")</f>
        <v/>
      </c>
      <c r="L822">
        <f>IF($M822="","",INDEX(상세표[기관 출처],$M822)&amp;"")</f>
        <v/>
      </c>
      <c r="M822" s="4">
        <f>IFERROR(MATCH(817,상세표[경계순번],0),"")</f>
        <v/>
      </c>
    </row>
    <row r="823">
      <c r="A823">
        <f>IF($M823="","",INDEX(상세표[사번],$M823)&amp;"")</f>
        <v/>
      </c>
      <c r="B823">
        <f>IF($M823="","",INDEX(상세표[성명],$M823)&amp;"")</f>
        <v/>
      </c>
      <c r="C823">
        <f>IF($M823="","",IF(INDEX(상세표[종료월],$M823)=대상월키,"전월→이번 달","이번 달→익월"))</f>
        <v/>
      </c>
      <c r="D823">
        <f>IF($M823="","",IF(ISNUMBER(INDEX(상세표[시작],$M823)),TEXT(INDEX(상세표[시작],$M823),"yyyy-mm-dd hh:mm"),INDEX(상세표[시작],$M823)&amp;""))</f>
        <v/>
      </c>
      <c r="E823">
        <f>IF($M823="","",IF(ISNUMBER(INDEX(상세표[종료],$M823)),TEXT(INDEX(상세표[종료],$M823),"yyyy-mm-dd hh:mm"),INDEX(상세표[종료],$M823)&amp;""))</f>
        <v/>
      </c>
      <c r="F823" s="20">
        <f>IF($M823="","",INDEX(상세표[기록 시간외],$M823))</f>
        <v/>
      </c>
      <c r="G823">
        <f>IF($M823="","",INDEX(상세표[시작월 기관],$M823)&amp;"")</f>
        <v/>
      </c>
      <c r="H823">
        <f>IF($M823="","",INDEX(상세표[종료월 기관],$M823)&amp;"")</f>
        <v/>
      </c>
      <c r="I823">
        <f>IF($M823="","",INDEX(상세표[월경계 판정],$M823)&amp;"")</f>
        <v/>
      </c>
      <c r="J823">
        <f>IF($M823="","",INDEX(상세표[반영월],$M823)&amp;"")</f>
        <v/>
      </c>
      <c r="K823">
        <f>IF($M823="","",INDEX(상세표[반영 기관],$M823)&amp;"")</f>
        <v/>
      </c>
      <c r="L823">
        <f>IF($M823="","",INDEX(상세표[기관 출처],$M823)&amp;"")</f>
        <v/>
      </c>
      <c r="M823" s="4">
        <f>IFERROR(MATCH(818,상세표[경계순번],0),"")</f>
        <v/>
      </c>
    </row>
    <row r="824">
      <c r="A824">
        <f>IF($M824="","",INDEX(상세표[사번],$M824)&amp;"")</f>
        <v/>
      </c>
      <c r="B824">
        <f>IF($M824="","",INDEX(상세표[성명],$M824)&amp;"")</f>
        <v/>
      </c>
      <c r="C824">
        <f>IF($M824="","",IF(INDEX(상세표[종료월],$M824)=대상월키,"전월→이번 달","이번 달→익월"))</f>
        <v/>
      </c>
      <c r="D824">
        <f>IF($M824="","",IF(ISNUMBER(INDEX(상세표[시작],$M824)),TEXT(INDEX(상세표[시작],$M824),"yyyy-mm-dd hh:mm"),INDEX(상세표[시작],$M824)&amp;""))</f>
        <v/>
      </c>
      <c r="E824">
        <f>IF($M824="","",IF(ISNUMBER(INDEX(상세표[종료],$M824)),TEXT(INDEX(상세표[종료],$M824),"yyyy-mm-dd hh:mm"),INDEX(상세표[종료],$M824)&amp;""))</f>
        <v/>
      </c>
      <c r="F824" s="20">
        <f>IF($M824="","",INDEX(상세표[기록 시간외],$M824))</f>
        <v/>
      </c>
      <c r="G824">
        <f>IF($M824="","",INDEX(상세표[시작월 기관],$M824)&amp;"")</f>
        <v/>
      </c>
      <c r="H824">
        <f>IF($M824="","",INDEX(상세표[종료월 기관],$M824)&amp;"")</f>
        <v/>
      </c>
      <c r="I824">
        <f>IF($M824="","",INDEX(상세표[월경계 판정],$M824)&amp;"")</f>
        <v/>
      </c>
      <c r="J824">
        <f>IF($M824="","",INDEX(상세표[반영월],$M824)&amp;"")</f>
        <v/>
      </c>
      <c r="K824">
        <f>IF($M824="","",INDEX(상세표[반영 기관],$M824)&amp;"")</f>
        <v/>
      </c>
      <c r="L824">
        <f>IF($M824="","",INDEX(상세표[기관 출처],$M824)&amp;"")</f>
        <v/>
      </c>
      <c r="M824" s="4">
        <f>IFERROR(MATCH(819,상세표[경계순번],0),"")</f>
        <v/>
      </c>
    </row>
    <row r="825">
      <c r="A825">
        <f>IF($M825="","",INDEX(상세표[사번],$M825)&amp;"")</f>
        <v/>
      </c>
      <c r="B825">
        <f>IF($M825="","",INDEX(상세표[성명],$M825)&amp;"")</f>
        <v/>
      </c>
      <c r="C825">
        <f>IF($M825="","",IF(INDEX(상세표[종료월],$M825)=대상월키,"전월→이번 달","이번 달→익월"))</f>
        <v/>
      </c>
      <c r="D825">
        <f>IF($M825="","",IF(ISNUMBER(INDEX(상세표[시작],$M825)),TEXT(INDEX(상세표[시작],$M825),"yyyy-mm-dd hh:mm"),INDEX(상세표[시작],$M825)&amp;""))</f>
        <v/>
      </c>
      <c r="E825">
        <f>IF($M825="","",IF(ISNUMBER(INDEX(상세표[종료],$M825)),TEXT(INDEX(상세표[종료],$M825),"yyyy-mm-dd hh:mm"),INDEX(상세표[종료],$M825)&amp;""))</f>
        <v/>
      </c>
      <c r="F825" s="20">
        <f>IF($M825="","",INDEX(상세표[기록 시간외],$M825))</f>
        <v/>
      </c>
      <c r="G825">
        <f>IF($M825="","",INDEX(상세표[시작월 기관],$M825)&amp;"")</f>
        <v/>
      </c>
      <c r="H825">
        <f>IF($M825="","",INDEX(상세표[종료월 기관],$M825)&amp;"")</f>
        <v/>
      </c>
      <c r="I825">
        <f>IF($M825="","",INDEX(상세표[월경계 판정],$M825)&amp;"")</f>
        <v/>
      </c>
      <c r="J825">
        <f>IF($M825="","",INDEX(상세표[반영월],$M825)&amp;"")</f>
        <v/>
      </c>
      <c r="K825">
        <f>IF($M825="","",INDEX(상세표[반영 기관],$M825)&amp;"")</f>
        <v/>
      </c>
      <c r="L825">
        <f>IF($M825="","",INDEX(상세표[기관 출처],$M825)&amp;"")</f>
        <v/>
      </c>
      <c r="M825" s="4">
        <f>IFERROR(MATCH(820,상세표[경계순번],0),"")</f>
        <v/>
      </c>
    </row>
    <row r="826">
      <c r="A826">
        <f>IF($M826="","",INDEX(상세표[사번],$M826)&amp;"")</f>
        <v/>
      </c>
      <c r="B826">
        <f>IF($M826="","",INDEX(상세표[성명],$M826)&amp;"")</f>
        <v/>
      </c>
      <c r="C826">
        <f>IF($M826="","",IF(INDEX(상세표[종료월],$M826)=대상월키,"전월→이번 달","이번 달→익월"))</f>
        <v/>
      </c>
      <c r="D826">
        <f>IF($M826="","",IF(ISNUMBER(INDEX(상세표[시작],$M826)),TEXT(INDEX(상세표[시작],$M826),"yyyy-mm-dd hh:mm"),INDEX(상세표[시작],$M826)&amp;""))</f>
        <v/>
      </c>
      <c r="E826">
        <f>IF($M826="","",IF(ISNUMBER(INDEX(상세표[종료],$M826)),TEXT(INDEX(상세표[종료],$M826),"yyyy-mm-dd hh:mm"),INDEX(상세표[종료],$M826)&amp;""))</f>
        <v/>
      </c>
      <c r="F826" s="20">
        <f>IF($M826="","",INDEX(상세표[기록 시간외],$M826))</f>
        <v/>
      </c>
      <c r="G826">
        <f>IF($M826="","",INDEX(상세표[시작월 기관],$M826)&amp;"")</f>
        <v/>
      </c>
      <c r="H826">
        <f>IF($M826="","",INDEX(상세표[종료월 기관],$M826)&amp;"")</f>
        <v/>
      </c>
      <c r="I826">
        <f>IF($M826="","",INDEX(상세표[월경계 판정],$M826)&amp;"")</f>
        <v/>
      </c>
      <c r="J826">
        <f>IF($M826="","",INDEX(상세표[반영월],$M826)&amp;"")</f>
        <v/>
      </c>
      <c r="K826">
        <f>IF($M826="","",INDEX(상세표[반영 기관],$M826)&amp;"")</f>
        <v/>
      </c>
      <c r="L826">
        <f>IF($M826="","",INDEX(상세표[기관 출처],$M826)&amp;"")</f>
        <v/>
      </c>
      <c r="M826" s="4">
        <f>IFERROR(MATCH(821,상세표[경계순번],0),"")</f>
        <v/>
      </c>
    </row>
    <row r="827">
      <c r="A827">
        <f>IF($M827="","",INDEX(상세표[사번],$M827)&amp;"")</f>
        <v/>
      </c>
      <c r="B827">
        <f>IF($M827="","",INDEX(상세표[성명],$M827)&amp;"")</f>
        <v/>
      </c>
      <c r="C827">
        <f>IF($M827="","",IF(INDEX(상세표[종료월],$M827)=대상월키,"전월→이번 달","이번 달→익월"))</f>
        <v/>
      </c>
      <c r="D827">
        <f>IF($M827="","",IF(ISNUMBER(INDEX(상세표[시작],$M827)),TEXT(INDEX(상세표[시작],$M827),"yyyy-mm-dd hh:mm"),INDEX(상세표[시작],$M827)&amp;""))</f>
        <v/>
      </c>
      <c r="E827">
        <f>IF($M827="","",IF(ISNUMBER(INDEX(상세표[종료],$M827)),TEXT(INDEX(상세표[종료],$M827),"yyyy-mm-dd hh:mm"),INDEX(상세표[종료],$M827)&amp;""))</f>
        <v/>
      </c>
      <c r="F827" s="20">
        <f>IF($M827="","",INDEX(상세표[기록 시간외],$M827))</f>
        <v/>
      </c>
      <c r="G827">
        <f>IF($M827="","",INDEX(상세표[시작월 기관],$M827)&amp;"")</f>
        <v/>
      </c>
      <c r="H827">
        <f>IF($M827="","",INDEX(상세표[종료월 기관],$M827)&amp;"")</f>
        <v/>
      </c>
      <c r="I827">
        <f>IF($M827="","",INDEX(상세표[월경계 판정],$M827)&amp;"")</f>
        <v/>
      </c>
      <c r="J827">
        <f>IF($M827="","",INDEX(상세표[반영월],$M827)&amp;"")</f>
        <v/>
      </c>
      <c r="K827">
        <f>IF($M827="","",INDEX(상세표[반영 기관],$M827)&amp;"")</f>
        <v/>
      </c>
      <c r="L827">
        <f>IF($M827="","",INDEX(상세표[기관 출처],$M827)&amp;"")</f>
        <v/>
      </c>
      <c r="M827" s="4">
        <f>IFERROR(MATCH(822,상세표[경계순번],0),"")</f>
        <v/>
      </c>
    </row>
    <row r="828">
      <c r="A828">
        <f>IF($M828="","",INDEX(상세표[사번],$M828)&amp;"")</f>
        <v/>
      </c>
      <c r="B828">
        <f>IF($M828="","",INDEX(상세표[성명],$M828)&amp;"")</f>
        <v/>
      </c>
      <c r="C828">
        <f>IF($M828="","",IF(INDEX(상세표[종료월],$M828)=대상월키,"전월→이번 달","이번 달→익월"))</f>
        <v/>
      </c>
      <c r="D828">
        <f>IF($M828="","",IF(ISNUMBER(INDEX(상세표[시작],$M828)),TEXT(INDEX(상세표[시작],$M828),"yyyy-mm-dd hh:mm"),INDEX(상세표[시작],$M828)&amp;""))</f>
        <v/>
      </c>
      <c r="E828">
        <f>IF($M828="","",IF(ISNUMBER(INDEX(상세표[종료],$M828)),TEXT(INDEX(상세표[종료],$M828),"yyyy-mm-dd hh:mm"),INDEX(상세표[종료],$M828)&amp;""))</f>
        <v/>
      </c>
      <c r="F828" s="20">
        <f>IF($M828="","",INDEX(상세표[기록 시간외],$M828))</f>
        <v/>
      </c>
      <c r="G828">
        <f>IF($M828="","",INDEX(상세표[시작월 기관],$M828)&amp;"")</f>
        <v/>
      </c>
      <c r="H828">
        <f>IF($M828="","",INDEX(상세표[종료월 기관],$M828)&amp;"")</f>
        <v/>
      </c>
      <c r="I828">
        <f>IF($M828="","",INDEX(상세표[월경계 판정],$M828)&amp;"")</f>
        <v/>
      </c>
      <c r="J828">
        <f>IF($M828="","",INDEX(상세표[반영월],$M828)&amp;"")</f>
        <v/>
      </c>
      <c r="K828">
        <f>IF($M828="","",INDEX(상세표[반영 기관],$M828)&amp;"")</f>
        <v/>
      </c>
      <c r="L828">
        <f>IF($M828="","",INDEX(상세표[기관 출처],$M828)&amp;"")</f>
        <v/>
      </c>
      <c r="M828" s="4">
        <f>IFERROR(MATCH(823,상세표[경계순번],0),"")</f>
        <v/>
      </c>
    </row>
    <row r="829">
      <c r="A829">
        <f>IF($M829="","",INDEX(상세표[사번],$M829)&amp;"")</f>
        <v/>
      </c>
      <c r="B829">
        <f>IF($M829="","",INDEX(상세표[성명],$M829)&amp;"")</f>
        <v/>
      </c>
      <c r="C829">
        <f>IF($M829="","",IF(INDEX(상세표[종료월],$M829)=대상월키,"전월→이번 달","이번 달→익월"))</f>
        <v/>
      </c>
      <c r="D829">
        <f>IF($M829="","",IF(ISNUMBER(INDEX(상세표[시작],$M829)),TEXT(INDEX(상세표[시작],$M829),"yyyy-mm-dd hh:mm"),INDEX(상세표[시작],$M829)&amp;""))</f>
        <v/>
      </c>
      <c r="E829">
        <f>IF($M829="","",IF(ISNUMBER(INDEX(상세표[종료],$M829)),TEXT(INDEX(상세표[종료],$M829),"yyyy-mm-dd hh:mm"),INDEX(상세표[종료],$M829)&amp;""))</f>
        <v/>
      </c>
      <c r="F829" s="20">
        <f>IF($M829="","",INDEX(상세표[기록 시간외],$M829))</f>
        <v/>
      </c>
      <c r="G829">
        <f>IF($M829="","",INDEX(상세표[시작월 기관],$M829)&amp;"")</f>
        <v/>
      </c>
      <c r="H829">
        <f>IF($M829="","",INDEX(상세표[종료월 기관],$M829)&amp;"")</f>
        <v/>
      </c>
      <c r="I829">
        <f>IF($M829="","",INDEX(상세표[월경계 판정],$M829)&amp;"")</f>
        <v/>
      </c>
      <c r="J829">
        <f>IF($M829="","",INDEX(상세표[반영월],$M829)&amp;"")</f>
        <v/>
      </c>
      <c r="K829">
        <f>IF($M829="","",INDEX(상세표[반영 기관],$M829)&amp;"")</f>
        <v/>
      </c>
      <c r="L829">
        <f>IF($M829="","",INDEX(상세표[기관 출처],$M829)&amp;"")</f>
        <v/>
      </c>
      <c r="M829" s="4">
        <f>IFERROR(MATCH(824,상세표[경계순번],0),"")</f>
        <v/>
      </c>
    </row>
    <row r="830">
      <c r="A830">
        <f>IF($M830="","",INDEX(상세표[사번],$M830)&amp;"")</f>
        <v/>
      </c>
      <c r="B830">
        <f>IF($M830="","",INDEX(상세표[성명],$M830)&amp;"")</f>
        <v/>
      </c>
      <c r="C830">
        <f>IF($M830="","",IF(INDEX(상세표[종료월],$M830)=대상월키,"전월→이번 달","이번 달→익월"))</f>
        <v/>
      </c>
      <c r="D830">
        <f>IF($M830="","",IF(ISNUMBER(INDEX(상세표[시작],$M830)),TEXT(INDEX(상세표[시작],$M830),"yyyy-mm-dd hh:mm"),INDEX(상세표[시작],$M830)&amp;""))</f>
        <v/>
      </c>
      <c r="E830">
        <f>IF($M830="","",IF(ISNUMBER(INDEX(상세표[종료],$M830)),TEXT(INDEX(상세표[종료],$M830),"yyyy-mm-dd hh:mm"),INDEX(상세표[종료],$M830)&amp;""))</f>
        <v/>
      </c>
      <c r="F830" s="20">
        <f>IF($M830="","",INDEX(상세표[기록 시간외],$M830))</f>
        <v/>
      </c>
      <c r="G830">
        <f>IF($M830="","",INDEX(상세표[시작월 기관],$M830)&amp;"")</f>
        <v/>
      </c>
      <c r="H830">
        <f>IF($M830="","",INDEX(상세표[종료월 기관],$M830)&amp;"")</f>
        <v/>
      </c>
      <c r="I830">
        <f>IF($M830="","",INDEX(상세표[월경계 판정],$M830)&amp;"")</f>
        <v/>
      </c>
      <c r="J830">
        <f>IF($M830="","",INDEX(상세표[반영월],$M830)&amp;"")</f>
        <v/>
      </c>
      <c r="K830">
        <f>IF($M830="","",INDEX(상세표[반영 기관],$M830)&amp;"")</f>
        <v/>
      </c>
      <c r="L830">
        <f>IF($M830="","",INDEX(상세표[기관 출처],$M830)&amp;"")</f>
        <v/>
      </c>
      <c r="M830" s="4">
        <f>IFERROR(MATCH(825,상세표[경계순번],0),"")</f>
        <v/>
      </c>
    </row>
    <row r="831">
      <c r="A831">
        <f>IF($M831="","",INDEX(상세표[사번],$M831)&amp;"")</f>
        <v/>
      </c>
      <c r="B831">
        <f>IF($M831="","",INDEX(상세표[성명],$M831)&amp;"")</f>
        <v/>
      </c>
      <c r="C831">
        <f>IF($M831="","",IF(INDEX(상세표[종료월],$M831)=대상월키,"전월→이번 달","이번 달→익월"))</f>
        <v/>
      </c>
      <c r="D831">
        <f>IF($M831="","",IF(ISNUMBER(INDEX(상세표[시작],$M831)),TEXT(INDEX(상세표[시작],$M831),"yyyy-mm-dd hh:mm"),INDEX(상세표[시작],$M831)&amp;""))</f>
        <v/>
      </c>
      <c r="E831">
        <f>IF($M831="","",IF(ISNUMBER(INDEX(상세표[종료],$M831)),TEXT(INDEX(상세표[종료],$M831),"yyyy-mm-dd hh:mm"),INDEX(상세표[종료],$M831)&amp;""))</f>
        <v/>
      </c>
      <c r="F831" s="20">
        <f>IF($M831="","",INDEX(상세표[기록 시간외],$M831))</f>
        <v/>
      </c>
      <c r="G831">
        <f>IF($M831="","",INDEX(상세표[시작월 기관],$M831)&amp;"")</f>
        <v/>
      </c>
      <c r="H831">
        <f>IF($M831="","",INDEX(상세표[종료월 기관],$M831)&amp;"")</f>
        <v/>
      </c>
      <c r="I831">
        <f>IF($M831="","",INDEX(상세표[월경계 판정],$M831)&amp;"")</f>
        <v/>
      </c>
      <c r="J831">
        <f>IF($M831="","",INDEX(상세표[반영월],$M831)&amp;"")</f>
        <v/>
      </c>
      <c r="K831">
        <f>IF($M831="","",INDEX(상세표[반영 기관],$M831)&amp;"")</f>
        <v/>
      </c>
      <c r="L831">
        <f>IF($M831="","",INDEX(상세표[기관 출처],$M831)&amp;"")</f>
        <v/>
      </c>
      <c r="M831" s="4">
        <f>IFERROR(MATCH(826,상세표[경계순번],0),"")</f>
        <v/>
      </c>
    </row>
    <row r="832">
      <c r="A832">
        <f>IF($M832="","",INDEX(상세표[사번],$M832)&amp;"")</f>
        <v/>
      </c>
      <c r="B832">
        <f>IF($M832="","",INDEX(상세표[성명],$M832)&amp;"")</f>
        <v/>
      </c>
      <c r="C832">
        <f>IF($M832="","",IF(INDEX(상세표[종료월],$M832)=대상월키,"전월→이번 달","이번 달→익월"))</f>
        <v/>
      </c>
      <c r="D832">
        <f>IF($M832="","",IF(ISNUMBER(INDEX(상세표[시작],$M832)),TEXT(INDEX(상세표[시작],$M832),"yyyy-mm-dd hh:mm"),INDEX(상세표[시작],$M832)&amp;""))</f>
        <v/>
      </c>
      <c r="E832">
        <f>IF($M832="","",IF(ISNUMBER(INDEX(상세표[종료],$M832)),TEXT(INDEX(상세표[종료],$M832),"yyyy-mm-dd hh:mm"),INDEX(상세표[종료],$M832)&amp;""))</f>
        <v/>
      </c>
      <c r="F832" s="20">
        <f>IF($M832="","",INDEX(상세표[기록 시간외],$M832))</f>
        <v/>
      </c>
      <c r="G832">
        <f>IF($M832="","",INDEX(상세표[시작월 기관],$M832)&amp;"")</f>
        <v/>
      </c>
      <c r="H832">
        <f>IF($M832="","",INDEX(상세표[종료월 기관],$M832)&amp;"")</f>
        <v/>
      </c>
      <c r="I832">
        <f>IF($M832="","",INDEX(상세표[월경계 판정],$M832)&amp;"")</f>
        <v/>
      </c>
      <c r="J832">
        <f>IF($M832="","",INDEX(상세표[반영월],$M832)&amp;"")</f>
        <v/>
      </c>
      <c r="K832">
        <f>IF($M832="","",INDEX(상세표[반영 기관],$M832)&amp;"")</f>
        <v/>
      </c>
      <c r="L832">
        <f>IF($M832="","",INDEX(상세표[기관 출처],$M832)&amp;"")</f>
        <v/>
      </c>
      <c r="M832" s="4">
        <f>IFERROR(MATCH(827,상세표[경계순번],0),"")</f>
        <v/>
      </c>
    </row>
    <row r="833">
      <c r="A833">
        <f>IF($M833="","",INDEX(상세표[사번],$M833)&amp;"")</f>
        <v/>
      </c>
      <c r="B833">
        <f>IF($M833="","",INDEX(상세표[성명],$M833)&amp;"")</f>
        <v/>
      </c>
      <c r="C833">
        <f>IF($M833="","",IF(INDEX(상세표[종료월],$M833)=대상월키,"전월→이번 달","이번 달→익월"))</f>
        <v/>
      </c>
      <c r="D833">
        <f>IF($M833="","",IF(ISNUMBER(INDEX(상세표[시작],$M833)),TEXT(INDEX(상세표[시작],$M833),"yyyy-mm-dd hh:mm"),INDEX(상세표[시작],$M833)&amp;""))</f>
        <v/>
      </c>
      <c r="E833">
        <f>IF($M833="","",IF(ISNUMBER(INDEX(상세표[종료],$M833)),TEXT(INDEX(상세표[종료],$M833),"yyyy-mm-dd hh:mm"),INDEX(상세표[종료],$M833)&amp;""))</f>
        <v/>
      </c>
      <c r="F833" s="20">
        <f>IF($M833="","",INDEX(상세표[기록 시간외],$M833))</f>
        <v/>
      </c>
      <c r="G833">
        <f>IF($M833="","",INDEX(상세표[시작월 기관],$M833)&amp;"")</f>
        <v/>
      </c>
      <c r="H833">
        <f>IF($M833="","",INDEX(상세표[종료월 기관],$M833)&amp;"")</f>
        <v/>
      </c>
      <c r="I833">
        <f>IF($M833="","",INDEX(상세표[월경계 판정],$M833)&amp;"")</f>
        <v/>
      </c>
      <c r="J833">
        <f>IF($M833="","",INDEX(상세표[반영월],$M833)&amp;"")</f>
        <v/>
      </c>
      <c r="K833">
        <f>IF($M833="","",INDEX(상세표[반영 기관],$M833)&amp;"")</f>
        <v/>
      </c>
      <c r="L833">
        <f>IF($M833="","",INDEX(상세표[기관 출처],$M833)&amp;"")</f>
        <v/>
      </c>
      <c r="M833" s="4">
        <f>IFERROR(MATCH(828,상세표[경계순번],0),"")</f>
        <v/>
      </c>
    </row>
    <row r="834">
      <c r="A834">
        <f>IF($M834="","",INDEX(상세표[사번],$M834)&amp;"")</f>
        <v/>
      </c>
      <c r="B834">
        <f>IF($M834="","",INDEX(상세표[성명],$M834)&amp;"")</f>
        <v/>
      </c>
      <c r="C834">
        <f>IF($M834="","",IF(INDEX(상세표[종료월],$M834)=대상월키,"전월→이번 달","이번 달→익월"))</f>
        <v/>
      </c>
      <c r="D834">
        <f>IF($M834="","",IF(ISNUMBER(INDEX(상세표[시작],$M834)),TEXT(INDEX(상세표[시작],$M834),"yyyy-mm-dd hh:mm"),INDEX(상세표[시작],$M834)&amp;""))</f>
        <v/>
      </c>
      <c r="E834">
        <f>IF($M834="","",IF(ISNUMBER(INDEX(상세표[종료],$M834)),TEXT(INDEX(상세표[종료],$M834),"yyyy-mm-dd hh:mm"),INDEX(상세표[종료],$M834)&amp;""))</f>
        <v/>
      </c>
      <c r="F834" s="20">
        <f>IF($M834="","",INDEX(상세표[기록 시간외],$M834))</f>
        <v/>
      </c>
      <c r="G834">
        <f>IF($M834="","",INDEX(상세표[시작월 기관],$M834)&amp;"")</f>
        <v/>
      </c>
      <c r="H834">
        <f>IF($M834="","",INDEX(상세표[종료월 기관],$M834)&amp;"")</f>
        <v/>
      </c>
      <c r="I834">
        <f>IF($M834="","",INDEX(상세표[월경계 판정],$M834)&amp;"")</f>
        <v/>
      </c>
      <c r="J834">
        <f>IF($M834="","",INDEX(상세표[반영월],$M834)&amp;"")</f>
        <v/>
      </c>
      <c r="K834">
        <f>IF($M834="","",INDEX(상세표[반영 기관],$M834)&amp;"")</f>
        <v/>
      </c>
      <c r="L834">
        <f>IF($M834="","",INDEX(상세표[기관 출처],$M834)&amp;"")</f>
        <v/>
      </c>
      <c r="M834" s="4">
        <f>IFERROR(MATCH(829,상세표[경계순번],0),"")</f>
        <v/>
      </c>
    </row>
    <row r="835">
      <c r="A835">
        <f>IF($M835="","",INDEX(상세표[사번],$M835)&amp;"")</f>
        <v/>
      </c>
      <c r="B835">
        <f>IF($M835="","",INDEX(상세표[성명],$M835)&amp;"")</f>
        <v/>
      </c>
      <c r="C835">
        <f>IF($M835="","",IF(INDEX(상세표[종료월],$M835)=대상월키,"전월→이번 달","이번 달→익월"))</f>
        <v/>
      </c>
      <c r="D835">
        <f>IF($M835="","",IF(ISNUMBER(INDEX(상세표[시작],$M835)),TEXT(INDEX(상세표[시작],$M835),"yyyy-mm-dd hh:mm"),INDEX(상세표[시작],$M835)&amp;""))</f>
        <v/>
      </c>
      <c r="E835">
        <f>IF($M835="","",IF(ISNUMBER(INDEX(상세표[종료],$M835)),TEXT(INDEX(상세표[종료],$M835),"yyyy-mm-dd hh:mm"),INDEX(상세표[종료],$M835)&amp;""))</f>
        <v/>
      </c>
      <c r="F835" s="20">
        <f>IF($M835="","",INDEX(상세표[기록 시간외],$M835))</f>
        <v/>
      </c>
      <c r="G835">
        <f>IF($M835="","",INDEX(상세표[시작월 기관],$M835)&amp;"")</f>
        <v/>
      </c>
      <c r="H835">
        <f>IF($M835="","",INDEX(상세표[종료월 기관],$M835)&amp;"")</f>
        <v/>
      </c>
      <c r="I835">
        <f>IF($M835="","",INDEX(상세표[월경계 판정],$M835)&amp;"")</f>
        <v/>
      </c>
      <c r="J835">
        <f>IF($M835="","",INDEX(상세표[반영월],$M835)&amp;"")</f>
        <v/>
      </c>
      <c r="K835">
        <f>IF($M835="","",INDEX(상세표[반영 기관],$M835)&amp;"")</f>
        <v/>
      </c>
      <c r="L835">
        <f>IF($M835="","",INDEX(상세표[기관 출처],$M835)&amp;"")</f>
        <v/>
      </c>
      <c r="M835" s="4">
        <f>IFERROR(MATCH(830,상세표[경계순번],0),"")</f>
        <v/>
      </c>
    </row>
    <row r="836">
      <c r="A836">
        <f>IF($M836="","",INDEX(상세표[사번],$M836)&amp;"")</f>
        <v/>
      </c>
      <c r="B836">
        <f>IF($M836="","",INDEX(상세표[성명],$M836)&amp;"")</f>
        <v/>
      </c>
      <c r="C836">
        <f>IF($M836="","",IF(INDEX(상세표[종료월],$M836)=대상월키,"전월→이번 달","이번 달→익월"))</f>
        <v/>
      </c>
      <c r="D836">
        <f>IF($M836="","",IF(ISNUMBER(INDEX(상세표[시작],$M836)),TEXT(INDEX(상세표[시작],$M836),"yyyy-mm-dd hh:mm"),INDEX(상세표[시작],$M836)&amp;""))</f>
        <v/>
      </c>
      <c r="E836">
        <f>IF($M836="","",IF(ISNUMBER(INDEX(상세표[종료],$M836)),TEXT(INDEX(상세표[종료],$M836),"yyyy-mm-dd hh:mm"),INDEX(상세표[종료],$M836)&amp;""))</f>
        <v/>
      </c>
      <c r="F836" s="20">
        <f>IF($M836="","",INDEX(상세표[기록 시간외],$M836))</f>
        <v/>
      </c>
      <c r="G836">
        <f>IF($M836="","",INDEX(상세표[시작월 기관],$M836)&amp;"")</f>
        <v/>
      </c>
      <c r="H836">
        <f>IF($M836="","",INDEX(상세표[종료월 기관],$M836)&amp;"")</f>
        <v/>
      </c>
      <c r="I836">
        <f>IF($M836="","",INDEX(상세표[월경계 판정],$M836)&amp;"")</f>
        <v/>
      </c>
      <c r="J836">
        <f>IF($M836="","",INDEX(상세표[반영월],$M836)&amp;"")</f>
        <v/>
      </c>
      <c r="K836">
        <f>IF($M836="","",INDEX(상세표[반영 기관],$M836)&amp;"")</f>
        <v/>
      </c>
      <c r="L836">
        <f>IF($M836="","",INDEX(상세표[기관 출처],$M836)&amp;"")</f>
        <v/>
      </c>
      <c r="M836" s="4">
        <f>IFERROR(MATCH(831,상세표[경계순번],0),"")</f>
        <v/>
      </c>
    </row>
    <row r="837">
      <c r="A837">
        <f>IF($M837="","",INDEX(상세표[사번],$M837)&amp;"")</f>
        <v/>
      </c>
      <c r="B837">
        <f>IF($M837="","",INDEX(상세표[성명],$M837)&amp;"")</f>
        <v/>
      </c>
      <c r="C837">
        <f>IF($M837="","",IF(INDEX(상세표[종료월],$M837)=대상월키,"전월→이번 달","이번 달→익월"))</f>
        <v/>
      </c>
      <c r="D837">
        <f>IF($M837="","",IF(ISNUMBER(INDEX(상세표[시작],$M837)),TEXT(INDEX(상세표[시작],$M837),"yyyy-mm-dd hh:mm"),INDEX(상세표[시작],$M837)&amp;""))</f>
        <v/>
      </c>
      <c r="E837">
        <f>IF($M837="","",IF(ISNUMBER(INDEX(상세표[종료],$M837)),TEXT(INDEX(상세표[종료],$M837),"yyyy-mm-dd hh:mm"),INDEX(상세표[종료],$M837)&amp;""))</f>
        <v/>
      </c>
      <c r="F837" s="20">
        <f>IF($M837="","",INDEX(상세표[기록 시간외],$M837))</f>
        <v/>
      </c>
      <c r="G837">
        <f>IF($M837="","",INDEX(상세표[시작월 기관],$M837)&amp;"")</f>
        <v/>
      </c>
      <c r="H837">
        <f>IF($M837="","",INDEX(상세표[종료월 기관],$M837)&amp;"")</f>
        <v/>
      </c>
      <c r="I837">
        <f>IF($M837="","",INDEX(상세표[월경계 판정],$M837)&amp;"")</f>
        <v/>
      </c>
      <c r="J837">
        <f>IF($M837="","",INDEX(상세표[반영월],$M837)&amp;"")</f>
        <v/>
      </c>
      <c r="K837">
        <f>IF($M837="","",INDEX(상세표[반영 기관],$M837)&amp;"")</f>
        <v/>
      </c>
      <c r="L837">
        <f>IF($M837="","",INDEX(상세표[기관 출처],$M837)&amp;"")</f>
        <v/>
      </c>
      <c r="M837" s="4">
        <f>IFERROR(MATCH(832,상세표[경계순번],0),"")</f>
        <v/>
      </c>
    </row>
    <row r="838">
      <c r="A838">
        <f>IF($M838="","",INDEX(상세표[사번],$M838)&amp;"")</f>
        <v/>
      </c>
      <c r="B838">
        <f>IF($M838="","",INDEX(상세표[성명],$M838)&amp;"")</f>
        <v/>
      </c>
      <c r="C838">
        <f>IF($M838="","",IF(INDEX(상세표[종료월],$M838)=대상월키,"전월→이번 달","이번 달→익월"))</f>
        <v/>
      </c>
      <c r="D838">
        <f>IF($M838="","",IF(ISNUMBER(INDEX(상세표[시작],$M838)),TEXT(INDEX(상세표[시작],$M838),"yyyy-mm-dd hh:mm"),INDEX(상세표[시작],$M838)&amp;""))</f>
        <v/>
      </c>
      <c r="E838">
        <f>IF($M838="","",IF(ISNUMBER(INDEX(상세표[종료],$M838)),TEXT(INDEX(상세표[종료],$M838),"yyyy-mm-dd hh:mm"),INDEX(상세표[종료],$M838)&amp;""))</f>
        <v/>
      </c>
      <c r="F838" s="20">
        <f>IF($M838="","",INDEX(상세표[기록 시간외],$M838))</f>
        <v/>
      </c>
      <c r="G838">
        <f>IF($M838="","",INDEX(상세표[시작월 기관],$M838)&amp;"")</f>
        <v/>
      </c>
      <c r="H838">
        <f>IF($M838="","",INDEX(상세표[종료월 기관],$M838)&amp;"")</f>
        <v/>
      </c>
      <c r="I838">
        <f>IF($M838="","",INDEX(상세표[월경계 판정],$M838)&amp;"")</f>
        <v/>
      </c>
      <c r="J838">
        <f>IF($M838="","",INDEX(상세표[반영월],$M838)&amp;"")</f>
        <v/>
      </c>
      <c r="K838">
        <f>IF($M838="","",INDEX(상세표[반영 기관],$M838)&amp;"")</f>
        <v/>
      </c>
      <c r="L838">
        <f>IF($M838="","",INDEX(상세표[기관 출처],$M838)&amp;"")</f>
        <v/>
      </c>
      <c r="M838" s="4">
        <f>IFERROR(MATCH(833,상세표[경계순번],0),"")</f>
        <v/>
      </c>
    </row>
    <row r="839">
      <c r="A839">
        <f>IF($M839="","",INDEX(상세표[사번],$M839)&amp;"")</f>
        <v/>
      </c>
      <c r="B839">
        <f>IF($M839="","",INDEX(상세표[성명],$M839)&amp;"")</f>
        <v/>
      </c>
      <c r="C839">
        <f>IF($M839="","",IF(INDEX(상세표[종료월],$M839)=대상월키,"전월→이번 달","이번 달→익월"))</f>
        <v/>
      </c>
      <c r="D839">
        <f>IF($M839="","",IF(ISNUMBER(INDEX(상세표[시작],$M839)),TEXT(INDEX(상세표[시작],$M839),"yyyy-mm-dd hh:mm"),INDEX(상세표[시작],$M839)&amp;""))</f>
        <v/>
      </c>
      <c r="E839">
        <f>IF($M839="","",IF(ISNUMBER(INDEX(상세표[종료],$M839)),TEXT(INDEX(상세표[종료],$M839),"yyyy-mm-dd hh:mm"),INDEX(상세표[종료],$M839)&amp;""))</f>
        <v/>
      </c>
      <c r="F839" s="20">
        <f>IF($M839="","",INDEX(상세표[기록 시간외],$M839))</f>
        <v/>
      </c>
      <c r="G839">
        <f>IF($M839="","",INDEX(상세표[시작월 기관],$M839)&amp;"")</f>
        <v/>
      </c>
      <c r="H839">
        <f>IF($M839="","",INDEX(상세표[종료월 기관],$M839)&amp;"")</f>
        <v/>
      </c>
      <c r="I839">
        <f>IF($M839="","",INDEX(상세표[월경계 판정],$M839)&amp;"")</f>
        <v/>
      </c>
      <c r="J839">
        <f>IF($M839="","",INDEX(상세표[반영월],$M839)&amp;"")</f>
        <v/>
      </c>
      <c r="K839">
        <f>IF($M839="","",INDEX(상세표[반영 기관],$M839)&amp;"")</f>
        <v/>
      </c>
      <c r="L839">
        <f>IF($M839="","",INDEX(상세표[기관 출처],$M839)&amp;"")</f>
        <v/>
      </c>
      <c r="M839" s="4">
        <f>IFERROR(MATCH(834,상세표[경계순번],0),"")</f>
        <v/>
      </c>
    </row>
    <row r="840">
      <c r="A840">
        <f>IF($M840="","",INDEX(상세표[사번],$M840)&amp;"")</f>
        <v/>
      </c>
      <c r="B840">
        <f>IF($M840="","",INDEX(상세표[성명],$M840)&amp;"")</f>
        <v/>
      </c>
      <c r="C840">
        <f>IF($M840="","",IF(INDEX(상세표[종료월],$M840)=대상월키,"전월→이번 달","이번 달→익월"))</f>
        <v/>
      </c>
      <c r="D840">
        <f>IF($M840="","",IF(ISNUMBER(INDEX(상세표[시작],$M840)),TEXT(INDEX(상세표[시작],$M840),"yyyy-mm-dd hh:mm"),INDEX(상세표[시작],$M840)&amp;""))</f>
        <v/>
      </c>
      <c r="E840">
        <f>IF($M840="","",IF(ISNUMBER(INDEX(상세표[종료],$M840)),TEXT(INDEX(상세표[종료],$M840),"yyyy-mm-dd hh:mm"),INDEX(상세표[종료],$M840)&amp;""))</f>
        <v/>
      </c>
      <c r="F840" s="20">
        <f>IF($M840="","",INDEX(상세표[기록 시간외],$M840))</f>
        <v/>
      </c>
      <c r="G840">
        <f>IF($M840="","",INDEX(상세표[시작월 기관],$M840)&amp;"")</f>
        <v/>
      </c>
      <c r="H840">
        <f>IF($M840="","",INDEX(상세표[종료월 기관],$M840)&amp;"")</f>
        <v/>
      </c>
      <c r="I840">
        <f>IF($M840="","",INDEX(상세표[월경계 판정],$M840)&amp;"")</f>
        <v/>
      </c>
      <c r="J840">
        <f>IF($M840="","",INDEX(상세표[반영월],$M840)&amp;"")</f>
        <v/>
      </c>
      <c r="K840">
        <f>IF($M840="","",INDEX(상세표[반영 기관],$M840)&amp;"")</f>
        <v/>
      </c>
      <c r="L840">
        <f>IF($M840="","",INDEX(상세표[기관 출처],$M840)&amp;"")</f>
        <v/>
      </c>
      <c r="M840" s="4">
        <f>IFERROR(MATCH(835,상세표[경계순번],0),"")</f>
        <v/>
      </c>
    </row>
    <row r="841">
      <c r="A841">
        <f>IF($M841="","",INDEX(상세표[사번],$M841)&amp;"")</f>
        <v/>
      </c>
      <c r="B841">
        <f>IF($M841="","",INDEX(상세표[성명],$M841)&amp;"")</f>
        <v/>
      </c>
      <c r="C841">
        <f>IF($M841="","",IF(INDEX(상세표[종료월],$M841)=대상월키,"전월→이번 달","이번 달→익월"))</f>
        <v/>
      </c>
      <c r="D841">
        <f>IF($M841="","",IF(ISNUMBER(INDEX(상세표[시작],$M841)),TEXT(INDEX(상세표[시작],$M841),"yyyy-mm-dd hh:mm"),INDEX(상세표[시작],$M841)&amp;""))</f>
        <v/>
      </c>
      <c r="E841">
        <f>IF($M841="","",IF(ISNUMBER(INDEX(상세표[종료],$M841)),TEXT(INDEX(상세표[종료],$M841),"yyyy-mm-dd hh:mm"),INDEX(상세표[종료],$M841)&amp;""))</f>
        <v/>
      </c>
      <c r="F841" s="20">
        <f>IF($M841="","",INDEX(상세표[기록 시간외],$M841))</f>
        <v/>
      </c>
      <c r="G841">
        <f>IF($M841="","",INDEX(상세표[시작월 기관],$M841)&amp;"")</f>
        <v/>
      </c>
      <c r="H841">
        <f>IF($M841="","",INDEX(상세표[종료월 기관],$M841)&amp;"")</f>
        <v/>
      </c>
      <c r="I841">
        <f>IF($M841="","",INDEX(상세표[월경계 판정],$M841)&amp;"")</f>
        <v/>
      </c>
      <c r="J841">
        <f>IF($M841="","",INDEX(상세표[반영월],$M841)&amp;"")</f>
        <v/>
      </c>
      <c r="K841">
        <f>IF($M841="","",INDEX(상세표[반영 기관],$M841)&amp;"")</f>
        <v/>
      </c>
      <c r="L841">
        <f>IF($M841="","",INDEX(상세표[기관 출처],$M841)&amp;"")</f>
        <v/>
      </c>
      <c r="M841" s="4">
        <f>IFERROR(MATCH(836,상세표[경계순번],0),"")</f>
        <v/>
      </c>
    </row>
    <row r="842">
      <c r="A842">
        <f>IF($M842="","",INDEX(상세표[사번],$M842)&amp;"")</f>
        <v/>
      </c>
      <c r="B842">
        <f>IF($M842="","",INDEX(상세표[성명],$M842)&amp;"")</f>
        <v/>
      </c>
      <c r="C842">
        <f>IF($M842="","",IF(INDEX(상세표[종료월],$M842)=대상월키,"전월→이번 달","이번 달→익월"))</f>
        <v/>
      </c>
      <c r="D842">
        <f>IF($M842="","",IF(ISNUMBER(INDEX(상세표[시작],$M842)),TEXT(INDEX(상세표[시작],$M842),"yyyy-mm-dd hh:mm"),INDEX(상세표[시작],$M842)&amp;""))</f>
        <v/>
      </c>
      <c r="E842">
        <f>IF($M842="","",IF(ISNUMBER(INDEX(상세표[종료],$M842)),TEXT(INDEX(상세표[종료],$M842),"yyyy-mm-dd hh:mm"),INDEX(상세표[종료],$M842)&amp;""))</f>
        <v/>
      </c>
      <c r="F842" s="20">
        <f>IF($M842="","",INDEX(상세표[기록 시간외],$M842))</f>
        <v/>
      </c>
      <c r="G842">
        <f>IF($M842="","",INDEX(상세표[시작월 기관],$M842)&amp;"")</f>
        <v/>
      </c>
      <c r="H842">
        <f>IF($M842="","",INDEX(상세표[종료월 기관],$M842)&amp;"")</f>
        <v/>
      </c>
      <c r="I842">
        <f>IF($M842="","",INDEX(상세표[월경계 판정],$M842)&amp;"")</f>
        <v/>
      </c>
      <c r="J842">
        <f>IF($M842="","",INDEX(상세표[반영월],$M842)&amp;"")</f>
        <v/>
      </c>
      <c r="K842">
        <f>IF($M842="","",INDEX(상세표[반영 기관],$M842)&amp;"")</f>
        <v/>
      </c>
      <c r="L842">
        <f>IF($M842="","",INDEX(상세표[기관 출처],$M842)&amp;"")</f>
        <v/>
      </c>
      <c r="M842" s="4">
        <f>IFERROR(MATCH(837,상세표[경계순번],0),"")</f>
        <v/>
      </c>
    </row>
    <row r="843">
      <c r="A843">
        <f>IF($M843="","",INDEX(상세표[사번],$M843)&amp;"")</f>
        <v/>
      </c>
      <c r="B843">
        <f>IF($M843="","",INDEX(상세표[성명],$M843)&amp;"")</f>
        <v/>
      </c>
      <c r="C843">
        <f>IF($M843="","",IF(INDEX(상세표[종료월],$M843)=대상월키,"전월→이번 달","이번 달→익월"))</f>
        <v/>
      </c>
      <c r="D843">
        <f>IF($M843="","",IF(ISNUMBER(INDEX(상세표[시작],$M843)),TEXT(INDEX(상세표[시작],$M843),"yyyy-mm-dd hh:mm"),INDEX(상세표[시작],$M843)&amp;""))</f>
        <v/>
      </c>
      <c r="E843">
        <f>IF($M843="","",IF(ISNUMBER(INDEX(상세표[종료],$M843)),TEXT(INDEX(상세표[종료],$M843),"yyyy-mm-dd hh:mm"),INDEX(상세표[종료],$M843)&amp;""))</f>
        <v/>
      </c>
      <c r="F843" s="20">
        <f>IF($M843="","",INDEX(상세표[기록 시간외],$M843))</f>
        <v/>
      </c>
      <c r="G843">
        <f>IF($M843="","",INDEX(상세표[시작월 기관],$M843)&amp;"")</f>
        <v/>
      </c>
      <c r="H843">
        <f>IF($M843="","",INDEX(상세표[종료월 기관],$M843)&amp;"")</f>
        <v/>
      </c>
      <c r="I843">
        <f>IF($M843="","",INDEX(상세표[월경계 판정],$M843)&amp;"")</f>
        <v/>
      </c>
      <c r="J843">
        <f>IF($M843="","",INDEX(상세표[반영월],$M843)&amp;"")</f>
        <v/>
      </c>
      <c r="K843">
        <f>IF($M843="","",INDEX(상세표[반영 기관],$M843)&amp;"")</f>
        <v/>
      </c>
      <c r="L843">
        <f>IF($M843="","",INDEX(상세표[기관 출처],$M843)&amp;"")</f>
        <v/>
      </c>
      <c r="M843" s="4">
        <f>IFERROR(MATCH(838,상세표[경계순번],0),"")</f>
        <v/>
      </c>
    </row>
    <row r="844">
      <c r="A844">
        <f>IF($M844="","",INDEX(상세표[사번],$M844)&amp;"")</f>
        <v/>
      </c>
      <c r="B844">
        <f>IF($M844="","",INDEX(상세표[성명],$M844)&amp;"")</f>
        <v/>
      </c>
      <c r="C844">
        <f>IF($M844="","",IF(INDEX(상세표[종료월],$M844)=대상월키,"전월→이번 달","이번 달→익월"))</f>
        <v/>
      </c>
      <c r="D844">
        <f>IF($M844="","",IF(ISNUMBER(INDEX(상세표[시작],$M844)),TEXT(INDEX(상세표[시작],$M844),"yyyy-mm-dd hh:mm"),INDEX(상세표[시작],$M844)&amp;""))</f>
        <v/>
      </c>
      <c r="E844">
        <f>IF($M844="","",IF(ISNUMBER(INDEX(상세표[종료],$M844)),TEXT(INDEX(상세표[종료],$M844),"yyyy-mm-dd hh:mm"),INDEX(상세표[종료],$M844)&amp;""))</f>
        <v/>
      </c>
      <c r="F844" s="20">
        <f>IF($M844="","",INDEX(상세표[기록 시간외],$M844))</f>
        <v/>
      </c>
      <c r="G844">
        <f>IF($M844="","",INDEX(상세표[시작월 기관],$M844)&amp;"")</f>
        <v/>
      </c>
      <c r="H844">
        <f>IF($M844="","",INDEX(상세표[종료월 기관],$M844)&amp;"")</f>
        <v/>
      </c>
      <c r="I844">
        <f>IF($M844="","",INDEX(상세표[월경계 판정],$M844)&amp;"")</f>
        <v/>
      </c>
      <c r="J844">
        <f>IF($M844="","",INDEX(상세표[반영월],$M844)&amp;"")</f>
        <v/>
      </c>
      <c r="K844">
        <f>IF($M844="","",INDEX(상세표[반영 기관],$M844)&amp;"")</f>
        <v/>
      </c>
      <c r="L844">
        <f>IF($M844="","",INDEX(상세표[기관 출처],$M844)&amp;"")</f>
        <v/>
      </c>
      <c r="M844" s="4">
        <f>IFERROR(MATCH(839,상세표[경계순번],0),"")</f>
        <v/>
      </c>
    </row>
    <row r="845">
      <c r="A845">
        <f>IF($M845="","",INDEX(상세표[사번],$M845)&amp;"")</f>
        <v/>
      </c>
      <c r="B845">
        <f>IF($M845="","",INDEX(상세표[성명],$M845)&amp;"")</f>
        <v/>
      </c>
      <c r="C845">
        <f>IF($M845="","",IF(INDEX(상세표[종료월],$M845)=대상월키,"전월→이번 달","이번 달→익월"))</f>
        <v/>
      </c>
      <c r="D845">
        <f>IF($M845="","",IF(ISNUMBER(INDEX(상세표[시작],$M845)),TEXT(INDEX(상세표[시작],$M845),"yyyy-mm-dd hh:mm"),INDEX(상세표[시작],$M845)&amp;""))</f>
        <v/>
      </c>
      <c r="E845">
        <f>IF($M845="","",IF(ISNUMBER(INDEX(상세표[종료],$M845)),TEXT(INDEX(상세표[종료],$M845),"yyyy-mm-dd hh:mm"),INDEX(상세표[종료],$M845)&amp;""))</f>
        <v/>
      </c>
      <c r="F845" s="20">
        <f>IF($M845="","",INDEX(상세표[기록 시간외],$M845))</f>
        <v/>
      </c>
      <c r="G845">
        <f>IF($M845="","",INDEX(상세표[시작월 기관],$M845)&amp;"")</f>
        <v/>
      </c>
      <c r="H845">
        <f>IF($M845="","",INDEX(상세표[종료월 기관],$M845)&amp;"")</f>
        <v/>
      </c>
      <c r="I845">
        <f>IF($M845="","",INDEX(상세표[월경계 판정],$M845)&amp;"")</f>
        <v/>
      </c>
      <c r="J845">
        <f>IF($M845="","",INDEX(상세표[반영월],$M845)&amp;"")</f>
        <v/>
      </c>
      <c r="K845">
        <f>IF($M845="","",INDEX(상세표[반영 기관],$M845)&amp;"")</f>
        <v/>
      </c>
      <c r="L845">
        <f>IF($M845="","",INDEX(상세표[기관 출처],$M845)&amp;"")</f>
        <v/>
      </c>
      <c r="M845" s="4">
        <f>IFERROR(MATCH(840,상세표[경계순번],0),"")</f>
        <v/>
      </c>
    </row>
    <row r="846">
      <c r="A846">
        <f>IF($M846="","",INDEX(상세표[사번],$M846)&amp;"")</f>
        <v/>
      </c>
      <c r="B846">
        <f>IF($M846="","",INDEX(상세표[성명],$M846)&amp;"")</f>
        <v/>
      </c>
      <c r="C846">
        <f>IF($M846="","",IF(INDEX(상세표[종료월],$M846)=대상월키,"전월→이번 달","이번 달→익월"))</f>
        <v/>
      </c>
      <c r="D846">
        <f>IF($M846="","",IF(ISNUMBER(INDEX(상세표[시작],$M846)),TEXT(INDEX(상세표[시작],$M846),"yyyy-mm-dd hh:mm"),INDEX(상세표[시작],$M846)&amp;""))</f>
        <v/>
      </c>
      <c r="E846">
        <f>IF($M846="","",IF(ISNUMBER(INDEX(상세표[종료],$M846)),TEXT(INDEX(상세표[종료],$M846),"yyyy-mm-dd hh:mm"),INDEX(상세표[종료],$M846)&amp;""))</f>
        <v/>
      </c>
      <c r="F846" s="20">
        <f>IF($M846="","",INDEX(상세표[기록 시간외],$M846))</f>
        <v/>
      </c>
      <c r="G846">
        <f>IF($M846="","",INDEX(상세표[시작월 기관],$M846)&amp;"")</f>
        <v/>
      </c>
      <c r="H846">
        <f>IF($M846="","",INDEX(상세표[종료월 기관],$M846)&amp;"")</f>
        <v/>
      </c>
      <c r="I846">
        <f>IF($M846="","",INDEX(상세표[월경계 판정],$M846)&amp;"")</f>
        <v/>
      </c>
      <c r="J846">
        <f>IF($M846="","",INDEX(상세표[반영월],$M846)&amp;"")</f>
        <v/>
      </c>
      <c r="K846">
        <f>IF($M846="","",INDEX(상세표[반영 기관],$M846)&amp;"")</f>
        <v/>
      </c>
      <c r="L846">
        <f>IF($M846="","",INDEX(상세표[기관 출처],$M846)&amp;"")</f>
        <v/>
      </c>
      <c r="M846" s="4">
        <f>IFERROR(MATCH(841,상세표[경계순번],0),"")</f>
        <v/>
      </c>
    </row>
    <row r="847">
      <c r="A847">
        <f>IF($M847="","",INDEX(상세표[사번],$M847)&amp;"")</f>
        <v/>
      </c>
      <c r="B847">
        <f>IF($M847="","",INDEX(상세표[성명],$M847)&amp;"")</f>
        <v/>
      </c>
      <c r="C847">
        <f>IF($M847="","",IF(INDEX(상세표[종료월],$M847)=대상월키,"전월→이번 달","이번 달→익월"))</f>
        <v/>
      </c>
      <c r="D847">
        <f>IF($M847="","",IF(ISNUMBER(INDEX(상세표[시작],$M847)),TEXT(INDEX(상세표[시작],$M847),"yyyy-mm-dd hh:mm"),INDEX(상세표[시작],$M847)&amp;""))</f>
        <v/>
      </c>
      <c r="E847">
        <f>IF($M847="","",IF(ISNUMBER(INDEX(상세표[종료],$M847)),TEXT(INDEX(상세표[종료],$M847),"yyyy-mm-dd hh:mm"),INDEX(상세표[종료],$M847)&amp;""))</f>
        <v/>
      </c>
      <c r="F847" s="20">
        <f>IF($M847="","",INDEX(상세표[기록 시간외],$M847))</f>
        <v/>
      </c>
      <c r="G847">
        <f>IF($M847="","",INDEX(상세표[시작월 기관],$M847)&amp;"")</f>
        <v/>
      </c>
      <c r="H847">
        <f>IF($M847="","",INDEX(상세표[종료월 기관],$M847)&amp;"")</f>
        <v/>
      </c>
      <c r="I847">
        <f>IF($M847="","",INDEX(상세표[월경계 판정],$M847)&amp;"")</f>
        <v/>
      </c>
      <c r="J847">
        <f>IF($M847="","",INDEX(상세표[반영월],$M847)&amp;"")</f>
        <v/>
      </c>
      <c r="K847">
        <f>IF($M847="","",INDEX(상세표[반영 기관],$M847)&amp;"")</f>
        <v/>
      </c>
      <c r="L847">
        <f>IF($M847="","",INDEX(상세표[기관 출처],$M847)&amp;"")</f>
        <v/>
      </c>
      <c r="M847" s="4">
        <f>IFERROR(MATCH(842,상세표[경계순번],0),"")</f>
        <v/>
      </c>
    </row>
    <row r="848">
      <c r="A848">
        <f>IF($M848="","",INDEX(상세표[사번],$M848)&amp;"")</f>
        <v/>
      </c>
      <c r="B848">
        <f>IF($M848="","",INDEX(상세표[성명],$M848)&amp;"")</f>
        <v/>
      </c>
      <c r="C848">
        <f>IF($M848="","",IF(INDEX(상세표[종료월],$M848)=대상월키,"전월→이번 달","이번 달→익월"))</f>
        <v/>
      </c>
      <c r="D848">
        <f>IF($M848="","",IF(ISNUMBER(INDEX(상세표[시작],$M848)),TEXT(INDEX(상세표[시작],$M848),"yyyy-mm-dd hh:mm"),INDEX(상세표[시작],$M848)&amp;""))</f>
        <v/>
      </c>
      <c r="E848">
        <f>IF($M848="","",IF(ISNUMBER(INDEX(상세표[종료],$M848)),TEXT(INDEX(상세표[종료],$M848),"yyyy-mm-dd hh:mm"),INDEX(상세표[종료],$M848)&amp;""))</f>
        <v/>
      </c>
      <c r="F848" s="20">
        <f>IF($M848="","",INDEX(상세표[기록 시간외],$M848))</f>
        <v/>
      </c>
      <c r="G848">
        <f>IF($M848="","",INDEX(상세표[시작월 기관],$M848)&amp;"")</f>
        <v/>
      </c>
      <c r="H848">
        <f>IF($M848="","",INDEX(상세표[종료월 기관],$M848)&amp;"")</f>
        <v/>
      </c>
      <c r="I848">
        <f>IF($M848="","",INDEX(상세표[월경계 판정],$M848)&amp;"")</f>
        <v/>
      </c>
      <c r="J848">
        <f>IF($M848="","",INDEX(상세표[반영월],$M848)&amp;"")</f>
        <v/>
      </c>
      <c r="K848">
        <f>IF($M848="","",INDEX(상세표[반영 기관],$M848)&amp;"")</f>
        <v/>
      </c>
      <c r="L848">
        <f>IF($M848="","",INDEX(상세표[기관 출처],$M848)&amp;"")</f>
        <v/>
      </c>
      <c r="M848" s="4">
        <f>IFERROR(MATCH(843,상세표[경계순번],0),"")</f>
        <v/>
      </c>
    </row>
    <row r="849">
      <c r="A849">
        <f>IF($M849="","",INDEX(상세표[사번],$M849)&amp;"")</f>
        <v/>
      </c>
      <c r="B849">
        <f>IF($M849="","",INDEX(상세표[성명],$M849)&amp;"")</f>
        <v/>
      </c>
      <c r="C849">
        <f>IF($M849="","",IF(INDEX(상세표[종료월],$M849)=대상월키,"전월→이번 달","이번 달→익월"))</f>
        <v/>
      </c>
      <c r="D849">
        <f>IF($M849="","",IF(ISNUMBER(INDEX(상세표[시작],$M849)),TEXT(INDEX(상세표[시작],$M849),"yyyy-mm-dd hh:mm"),INDEX(상세표[시작],$M849)&amp;""))</f>
        <v/>
      </c>
      <c r="E849">
        <f>IF($M849="","",IF(ISNUMBER(INDEX(상세표[종료],$M849)),TEXT(INDEX(상세표[종료],$M849),"yyyy-mm-dd hh:mm"),INDEX(상세표[종료],$M849)&amp;""))</f>
        <v/>
      </c>
      <c r="F849" s="20">
        <f>IF($M849="","",INDEX(상세표[기록 시간외],$M849))</f>
        <v/>
      </c>
      <c r="G849">
        <f>IF($M849="","",INDEX(상세표[시작월 기관],$M849)&amp;"")</f>
        <v/>
      </c>
      <c r="H849">
        <f>IF($M849="","",INDEX(상세표[종료월 기관],$M849)&amp;"")</f>
        <v/>
      </c>
      <c r="I849">
        <f>IF($M849="","",INDEX(상세표[월경계 판정],$M849)&amp;"")</f>
        <v/>
      </c>
      <c r="J849">
        <f>IF($M849="","",INDEX(상세표[반영월],$M849)&amp;"")</f>
        <v/>
      </c>
      <c r="K849">
        <f>IF($M849="","",INDEX(상세표[반영 기관],$M849)&amp;"")</f>
        <v/>
      </c>
      <c r="L849">
        <f>IF($M849="","",INDEX(상세표[기관 출처],$M849)&amp;"")</f>
        <v/>
      </c>
      <c r="M849" s="4">
        <f>IFERROR(MATCH(844,상세표[경계순번],0),"")</f>
        <v/>
      </c>
    </row>
    <row r="850">
      <c r="A850">
        <f>IF($M850="","",INDEX(상세표[사번],$M850)&amp;"")</f>
        <v/>
      </c>
      <c r="B850">
        <f>IF($M850="","",INDEX(상세표[성명],$M850)&amp;"")</f>
        <v/>
      </c>
      <c r="C850">
        <f>IF($M850="","",IF(INDEX(상세표[종료월],$M850)=대상월키,"전월→이번 달","이번 달→익월"))</f>
        <v/>
      </c>
      <c r="D850">
        <f>IF($M850="","",IF(ISNUMBER(INDEX(상세표[시작],$M850)),TEXT(INDEX(상세표[시작],$M850),"yyyy-mm-dd hh:mm"),INDEX(상세표[시작],$M850)&amp;""))</f>
        <v/>
      </c>
      <c r="E850">
        <f>IF($M850="","",IF(ISNUMBER(INDEX(상세표[종료],$M850)),TEXT(INDEX(상세표[종료],$M850),"yyyy-mm-dd hh:mm"),INDEX(상세표[종료],$M850)&amp;""))</f>
        <v/>
      </c>
      <c r="F850" s="20">
        <f>IF($M850="","",INDEX(상세표[기록 시간외],$M850))</f>
        <v/>
      </c>
      <c r="G850">
        <f>IF($M850="","",INDEX(상세표[시작월 기관],$M850)&amp;"")</f>
        <v/>
      </c>
      <c r="H850">
        <f>IF($M850="","",INDEX(상세표[종료월 기관],$M850)&amp;"")</f>
        <v/>
      </c>
      <c r="I850">
        <f>IF($M850="","",INDEX(상세표[월경계 판정],$M850)&amp;"")</f>
        <v/>
      </c>
      <c r="J850">
        <f>IF($M850="","",INDEX(상세표[반영월],$M850)&amp;"")</f>
        <v/>
      </c>
      <c r="K850">
        <f>IF($M850="","",INDEX(상세표[반영 기관],$M850)&amp;"")</f>
        <v/>
      </c>
      <c r="L850">
        <f>IF($M850="","",INDEX(상세표[기관 출처],$M850)&amp;"")</f>
        <v/>
      </c>
      <c r="M850" s="4">
        <f>IFERROR(MATCH(845,상세표[경계순번],0),"")</f>
        <v/>
      </c>
    </row>
    <row r="851">
      <c r="A851">
        <f>IF($M851="","",INDEX(상세표[사번],$M851)&amp;"")</f>
        <v/>
      </c>
      <c r="B851">
        <f>IF($M851="","",INDEX(상세표[성명],$M851)&amp;"")</f>
        <v/>
      </c>
      <c r="C851">
        <f>IF($M851="","",IF(INDEX(상세표[종료월],$M851)=대상월키,"전월→이번 달","이번 달→익월"))</f>
        <v/>
      </c>
      <c r="D851">
        <f>IF($M851="","",IF(ISNUMBER(INDEX(상세표[시작],$M851)),TEXT(INDEX(상세표[시작],$M851),"yyyy-mm-dd hh:mm"),INDEX(상세표[시작],$M851)&amp;""))</f>
        <v/>
      </c>
      <c r="E851">
        <f>IF($M851="","",IF(ISNUMBER(INDEX(상세표[종료],$M851)),TEXT(INDEX(상세표[종료],$M851),"yyyy-mm-dd hh:mm"),INDEX(상세표[종료],$M851)&amp;""))</f>
        <v/>
      </c>
      <c r="F851" s="20">
        <f>IF($M851="","",INDEX(상세표[기록 시간외],$M851))</f>
        <v/>
      </c>
      <c r="G851">
        <f>IF($M851="","",INDEX(상세표[시작월 기관],$M851)&amp;"")</f>
        <v/>
      </c>
      <c r="H851">
        <f>IF($M851="","",INDEX(상세표[종료월 기관],$M851)&amp;"")</f>
        <v/>
      </c>
      <c r="I851">
        <f>IF($M851="","",INDEX(상세표[월경계 판정],$M851)&amp;"")</f>
        <v/>
      </c>
      <c r="J851">
        <f>IF($M851="","",INDEX(상세표[반영월],$M851)&amp;"")</f>
        <v/>
      </c>
      <c r="K851">
        <f>IF($M851="","",INDEX(상세표[반영 기관],$M851)&amp;"")</f>
        <v/>
      </c>
      <c r="L851">
        <f>IF($M851="","",INDEX(상세표[기관 출처],$M851)&amp;"")</f>
        <v/>
      </c>
      <c r="M851" s="4">
        <f>IFERROR(MATCH(846,상세표[경계순번],0),"")</f>
        <v/>
      </c>
    </row>
    <row r="852">
      <c r="A852">
        <f>IF($M852="","",INDEX(상세표[사번],$M852)&amp;"")</f>
        <v/>
      </c>
      <c r="B852">
        <f>IF($M852="","",INDEX(상세표[성명],$M852)&amp;"")</f>
        <v/>
      </c>
      <c r="C852">
        <f>IF($M852="","",IF(INDEX(상세표[종료월],$M852)=대상월키,"전월→이번 달","이번 달→익월"))</f>
        <v/>
      </c>
      <c r="D852">
        <f>IF($M852="","",IF(ISNUMBER(INDEX(상세표[시작],$M852)),TEXT(INDEX(상세표[시작],$M852),"yyyy-mm-dd hh:mm"),INDEX(상세표[시작],$M852)&amp;""))</f>
        <v/>
      </c>
      <c r="E852">
        <f>IF($M852="","",IF(ISNUMBER(INDEX(상세표[종료],$M852)),TEXT(INDEX(상세표[종료],$M852),"yyyy-mm-dd hh:mm"),INDEX(상세표[종료],$M852)&amp;""))</f>
        <v/>
      </c>
      <c r="F852" s="20">
        <f>IF($M852="","",INDEX(상세표[기록 시간외],$M852))</f>
        <v/>
      </c>
      <c r="G852">
        <f>IF($M852="","",INDEX(상세표[시작월 기관],$M852)&amp;"")</f>
        <v/>
      </c>
      <c r="H852">
        <f>IF($M852="","",INDEX(상세표[종료월 기관],$M852)&amp;"")</f>
        <v/>
      </c>
      <c r="I852">
        <f>IF($M852="","",INDEX(상세표[월경계 판정],$M852)&amp;"")</f>
        <v/>
      </c>
      <c r="J852">
        <f>IF($M852="","",INDEX(상세표[반영월],$M852)&amp;"")</f>
        <v/>
      </c>
      <c r="K852">
        <f>IF($M852="","",INDEX(상세표[반영 기관],$M852)&amp;"")</f>
        <v/>
      </c>
      <c r="L852">
        <f>IF($M852="","",INDEX(상세표[기관 출처],$M852)&amp;"")</f>
        <v/>
      </c>
      <c r="M852" s="4">
        <f>IFERROR(MATCH(847,상세표[경계순번],0),"")</f>
        <v/>
      </c>
    </row>
    <row r="853">
      <c r="A853">
        <f>IF($M853="","",INDEX(상세표[사번],$M853)&amp;"")</f>
        <v/>
      </c>
      <c r="B853">
        <f>IF($M853="","",INDEX(상세표[성명],$M853)&amp;"")</f>
        <v/>
      </c>
      <c r="C853">
        <f>IF($M853="","",IF(INDEX(상세표[종료월],$M853)=대상월키,"전월→이번 달","이번 달→익월"))</f>
        <v/>
      </c>
      <c r="D853">
        <f>IF($M853="","",IF(ISNUMBER(INDEX(상세표[시작],$M853)),TEXT(INDEX(상세표[시작],$M853),"yyyy-mm-dd hh:mm"),INDEX(상세표[시작],$M853)&amp;""))</f>
        <v/>
      </c>
      <c r="E853">
        <f>IF($M853="","",IF(ISNUMBER(INDEX(상세표[종료],$M853)),TEXT(INDEX(상세표[종료],$M853),"yyyy-mm-dd hh:mm"),INDEX(상세표[종료],$M853)&amp;""))</f>
        <v/>
      </c>
      <c r="F853" s="20">
        <f>IF($M853="","",INDEX(상세표[기록 시간외],$M853))</f>
        <v/>
      </c>
      <c r="G853">
        <f>IF($M853="","",INDEX(상세표[시작월 기관],$M853)&amp;"")</f>
        <v/>
      </c>
      <c r="H853">
        <f>IF($M853="","",INDEX(상세표[종료월 기관],$M853)&amp;"")</f>
        <v/>
      </c>
      <c r="I853">
        <f>IF($M853="","",INDEX(상세표[월경계 판정],$M853)&amp;"")</f>
        <v/>
      </c>
      <c r="J853">
        <f>IF($M853="","",INDEX(상세표[반영월],$M853)&amp;"")</f>
        <v/>
      </c>
      <c r="K853">
        <f>IF($M853="","",INDEX(상세표[반영 기관],$M853)&amp;"")</f>
        <v/>
      </c>
      <c r="L853">
        <f>IF($M853="","",INDEX(상세표[기관 출처],$M853)&amp;"")</f>
        <v/>
      </c>
      <c r="M853" s="4">
        <f>IFERROR(MATCH(848,상세표[경계순번],0),"")</f>
        <v/>
      </c>
    </row>
    <row r="854">
      <c r="A854">
        <f>IF($M854="","",INDEX(상세표[사번],$M854)&amp;"")</f>
        <v/>
      </c>
      <c r="B854">
        <f>IF($M854="","",INDEX(상세표[성명],$M854)&amp;"")</f>
        <v/>
      </c>
      <c r="C854">
        <f>IF($M854="","",IF(INDEX(상세표[종료월],$M854)=대상월키,"전월→이번 달","이번 달→익월"))</f>
        <v/>
      </c>
      <c r="D854">
        <f>IF($M854="","",IF(ISNUMBER(INDEX(상세표[시작],$M854)),TEXT(INDEX(상세표[시작],$M854),"yyyy-mm-dd hh:mm"),INDEX(상세표[시작],$M854)&amp;""))</f>
        <v/>
      </c>
      <c r="E854">
        <f>IF($M854="","",IF(ISNUMBER(INDEX(상세표[종료],$M854)),TEXT(INDEX(상세표[종료],$M854),"yyyy-mm-dd hh:mm"),INDEX(상세표[종료],$M854)&amp;""))</f>
        <v/>
      </c>
      <c r="F854" s="20">
        <f>IF($M854="","",INDEX(상세표[기록 시간외],$M854))</f>
        <v/>
      </c>
      <c r="G854">
        <f>IF($M854="","",INDEX(상세표[시작월 기관],$M854)&amp;"")</f>
        <v/>
      </c>
      <c r="H854">
        <f>IF($M854="","",INDEX(상세표[종료월 기관],$M854)&amp;"")</f>
        <v/>
      </c>
      <c r="I854">
        <f>IF($M854="","",INDEX(상세표[월경계 판정],$M854)&amp;"")</f>
        <v/>
      </c>
      <c r="J854">
        <f>IF($M854="","",INDEX(상세표[반영월],$M854)&amp;"")</f>
        <v/>
      </c>
      <c r="K854">
        <f>IF($M854="","",INDEX(상세표[반영 기관],$M854)&amp;"")</f>
        <v/>
      </c>
      <c r="L854">
        <f>IF($M854="","",INDEX(상세표[기관 출처],$M854)&amp;"")</f>
        <v/>
      </c>
      <c r="M854" s="4">
        <f>IFERROR(MATCH(849,상세표[경계순번],0),"")</f>
        <v/>
      </c>
    </row>
    <row r="855">
      <c r="A855">
        <f>IF($M855="","",INDEX(상세표[사번],$M855)&amp;"")</f>
        <v/>
      </c>
      <c r="B855">
        <f>IF($M855="","",INDEX(상세표[성명],$M855)&amp;"")</f>
        <v/>
      </c>
      <c r="C855">
        <f>IF($M855="","",IF(INDEX(상세표[종료월],$M855)=대상월키,"전월→이번 달","이번 달→익월"))</f>
        <v/>
      </c>
      <c r="D855">
        <f>IF($M855="","",IF(ISNUMBER(INDEX(상세표[시작],$M855)),TEXT(INDEX(상세표[시작],$M855),"yyyy-mm-dd hh:mm"),INDEX(상세표[시작],$M855)&amp;""))</f>
        <v/>
      </c>
      <c r="E855">
        <f>IF($M855="","",IF(ISNUMBER(INDEX(상세표[종료],$M855)),TEXT(INDEX(상세표[종료],$M855),"yyyy-mm-dd hh:mm"),INDEX(상세표[종료],$M855)&amp;""))</f>
        <v/>
      </c>
      <c r="F855" s="20">
        <f>IF($M855="","",INDEX(상세표[기록 시간외],$M855))</f>
        <v/>
      </c>
      <c r="G855">
        <f>IF($M855="","",INDEX(상세표[시작월 기관],$M855)&amp;"")</f>
        <v/>
      </c>
      <c r="H855">
        <f>IF($M855="","",INDEX(상세표[종료월 기관],$M855)&amp;"")</f>
        <v/>
      </c>
      <c r="I855">
        <f>IF($M855="","",INDEX(상세표[월경계 판정],$M855)&amp;"")</f>
        <v/>
      </c>
      <c r="J855">
        <f>IF($M855="","",INDEX(상세표[반영월],$M855)&amp;"")</f>
        <v/>
      </c>
      <c r="K855">
        <f>IF($M855="","",INDEX(상세표[반영 기관],$M855)&amp;"")</f>
        <v/>
      </c>
      <c r="L855">
        <f>IF($M855="","",INDEX(상세표[기관 출처],$M855)&amp;"")</f>
        <v/>
      </c>
      <c r="M855" s="4">
        <f>IFERROR(MATCH(850,상세표[경계순번],0),"")</f>
        <v/>
      </c>
    </row>
    <row r="856">
      <c r="A856">
        <f>IF($M856="","",INDEX(상세표[사번],$M856)&amp;"")</f>
        <v/>
      </c>
      <c r="B856">
        <f>IF($M856="","",INDEX(상세표[성명],$M856)&amp;"")</f>
        <v/>
      </c>
      <c r="C856">
        <f>IF($M856="","",IF(INDEX(상세표[종료월],$M856)=대상월키,"전월→이번 달","이번 달→익월"))</f>
        <v/>
      </c>
      <c r="D856">
        <f>IF($M856="","",IF(ISNUMBER(INDEX(상세표[시작],$M856)),TEXT(INDEX(상세표[시작],$M856),"yyyy-mm-dd hh:mm"),INDEX(상세표[시작],$M856)&amp;""))</f>
        <v/>
      </c>
      <c r="E856">
        <f>IF($M856="","",IF(ISNUMBER(INDEX(상세표[종료],$M856)),TEXT(INDEX(상세표[종료],$M856),"yyyy-mm-dd hh:mm"),INDEX(상세표[종료],$M856)&amp;""))</f>
        <v/>
      </c>
      <c r="F856" s="20">
        <f>IF($M856="","",INDEX(상세표[기록 시간외],$M856))</f>
        <v/>
      </c>
      <c r="G856">
        <f>IF($M856="","",INDEX(상세표[시작월 기관],$M856)&amp;"")</f>
        <v/>
      </c>
      <c r="H856">
        <f>IF($M856="","",INDEX(상세표[종료월 기관],$M856)&amp;"")</f>
        <v/>
      </c>
      <c r="I856">
        <f>IF($M856="","",INDEX(상세표[월경계 판정],$M856)&amp;"")</f>
        <v/>
      </c>
      <c r="J856">
        <f>IF($M856="","",INDEX(상세표[반영월],$M856)&amp;"")</f>
        <v/>
      </c>
      <c r="K856">
        <f>IF($M856="","",INDEX(상세표[반영 기관],$M856)&amp;"")</f>
        <v/>
      </c>
      <c r="L856">
        <f>IF($M856="","",INDEX(상세표[기관 출처],$M856)&amp;"")</f>
        <v/>
      </c>
      <c r="M856" s="4">
        <f>IFERROR(MATCH(851,상세표[경계순번],0),"")</f>
        <v/>
      </c>
    </row>
    <row r="857">
      <c r="A857">
        <f>IF($M857="","",INDEX(상세표[사번],$M857)&amp;"")</f>
        <v/>
      </c>
      <c r="B857">
        <f>IF($M857="","",INDEX(상세표[성명],$M857)&amp;"")</f>
        <v/>
      </c>
      <c r="C857">
        <f>IF($M857="","",IF(INDEX(상세표[종료월],$M857)=대상월키,"전월→이번 달","이번 달→익월"))</f>
        <v/>
      </c>
      <c r="D857">
        <f>IF($M857="","",IF(ISNUMBER(INDEX(상세표[시작],$M857)),TEXT(INDEX(상세표[시작],$M857),"yyyy-mm-dd hh:mm"),INDEX(상세표[시작],$M857)&amp;""))</f>
        <v/>
      </c>
      <c r="E857">
        <f>IF($M857="","",IF(ISNUMBER(INDEX(상세표[종료],$M857)),TEXT(INDEX(상세표[종료],$M857),"yyyy-mm-dd hh:mm"),INDEX(상세표[종료],$M857)&amp;""))</f>
        <v/>
      </c>
      <c r="F857" s="20">
        <f>IF($M857="","",INDEX(상세표[기록 시간외],$M857))</f>
        <v/>
      </c>
      <c r="G857">
        <f>IF($M857="","",INDEX(상세표[시작월 기관],$M857)&amp;"")</f>
        <v/>
      </c>
      <c r="H857">
        <f>IF($M857="","",INDEX(상세표[종료월 기관],$M857)&amp;"")</f>
        <v/>
      </c>
      <c r="I857">
        <f>IF($M857="","",INDEX(상세표[월경계 판정],$M857)&amp;"")</f>
        <v/>
      </c>
      <c r="J857">
        <f>IF($M857="","",INDEX(상세표[반영월],$M857)&amp;"")</f>
        <v/>
      </c>
      <c r="K857">
        <f>IF($M857="","",INDEX(상세표[반영 기관],$M857)&amp;"")</f>
        <v/>
      </c>
      <c r="L857">
        <f>IF($M857="","",INDEX(상세표[기관 출처],$M857)&amp;"")</f>
        <v/>
      </c>
      <c r="M857" s="4">
        <f>IFERROR(MATCH(852,상세표[경계순번],0),"")</f>
        <v/>
      </c>
    </row>
    <row r="858">
      <c r="A858">
        <f>IF($M858="","",INDEX(상세표[사번],$M858)&amp;"")</f>
        <v/>
      </c>
      <c r="B858">
        <f>IF($M858="","",INDEX(상세표[성명],$M858)&amp;"")</f>
        <v/>
      </c>
      <c r="C858">
        <f>IF($M858="","",IF(INDEX(상세표[종료월],$M858)=대상월키,"전월→이번 달","이번 달→익월"))</f>
        <v/>
      </c>
      <c r="D858">
        <f>IF($M858="","",IF(ISNUMBER(INDEX(상세표[시작],$M858)),TEXT(INDEX(상세표[시작],$M858),"yyyy-mm-dd hh:mm"),INDEX(상세표[시작],$M858)&amp;""))</f>
        <v/>
      </c>
      <c r="E858">
        <f>IF($M858="","",IF(ISNUMBER(INDEX(상세표[종료],$M858)),TEXT(INDEX(상세표[종료],$M858),"yyyy-mm-dd hh:mm"),INDEX(상세표[종료],$M858)&amp;""))</f>
        <v/>
      </c>
      <c r="F858" s="20">
        <f>IF($M858="","",INDEX(상세표[기록 시간외],$M858))</f>
        <v/>
      </c>
      <c r="G858">
        <f>IF($M858="","",INDEX(상세표[시작월 기관],$M858)&amp;"")</f>
        <v/>
      </c>
      <c r="H858">
        <f>IF($M858="","",INDEX(상세표[종료월 기관],$M858)&amp;"")</f>
        <v/>
      </c>
      <c r="I858">
        <f>IF($M858="","",INDEX(상세표[월경계 판정],$M858)&amp;"")</f>
        <v/>
      </c>
      <c r="J858">
        <f>IF($M858="","",INDEX(상세표[반영월],$M858)&amp;"")</f>
        <v/>
      </c>
      <c r="K858">
        <f>IF($M858="","",INDEX(상세표[반영 기관],$M858)&amp;"")</f>
        <v/>
      </c>
      <c r="L858">
        <f>IF($M858="","",INDEX(상세표[기관 출처],$M858)&amp;"")</f>
        <v/>
      </c>
      <c r="M858" s="4">
        <f>IFERROR(MATCH(853,상세표[경계순번],0),"")</f>
        <v/>
      </c>
    </row>
    <row r="859">
      <c r="A859">
        <f>IF($M859="","",INDEX(상세표[사번],$M859)&amp;"")</f>
        <v/>
      </c>
      <c r="B859">
        <f>IF($M859="","",INDEX(상세표[성명],$M859)&amp;"")</f>
        <v/>
      </c>
      <c r="C859">
        <f>IF($M859="","",IF(INDEX(상세표[종료월],$M859)=대상월키,"전월→이번 달","이번 달→익월"))</f>
        <v/>
      </c>
      <c r="D859">
        <f>IF($M859="","",IF(ISNUMBER(INDEX(상세표[시작],$M859)),TEXT(INDEX(상세표[시작],$M859),"yyyy-mm-dd hh:mm"),INDEX(상세표[시작],$M859)&amp;""))</f>
        <v/>
      </c>
      <c r="E859">
        <f>IF($M859="","",IF(ISNUMBER(INDEX(상세표[종료],$M859)),TEXT(INDEX(상세표[종료],$M859),"yyyy-mm-dd hh:mm"),INDEX(상세표[종료],$M859)&amp;""))</f>
        <v/>
      </c>
      <c r="F859" s="20">
        <f>IF($M859="","",INDEX(상세표[기록 시간외],$M859))</f>
        <v/>
      </c>
      <c r="G859">
        <f>IF($M859="","",INDEX(상세표[시작월 기관],$M859)&amp;"")</f>
        <v/>
      </c>
      <c r="H859">
        <f>IF($M859="","",INDEX(상세표[종료월 기관],$M859)&amp;"")</f>
        <v/>
      </c>
      <c r="I859">
        <f>IF($M859="","",INDEX(상세표[월경계 판정],$M859)&amp;"")</f>
        <v/>
      </c>
      <c r="J859">
        <f>IF($M859="","",INDEX(상세표[반영월],$M859)&amp;"")</f>
        <v/>
      </c>
      <c r="K859">
        <f>IF($M859="","",INDEX(상세표[반영 기관],$M859)&amp;"")</f>
        <v/>
      </c>
      <c r="L859">
        <f>IF($M859="","",INDEX(상세표[기관 출처],$M859)&amp;"")</f>
        <v/>
      </c>
      <c r="M859" s="4">
        <f>IFERROR(MATCH(854,상세표[경계순번],0),"")</f>
        <v/>
      </c>
    </row>
    <row r="860">
      <c r="A860">
        <f>IF($M860="","",INDEX(상세표[사번],$M860)&amp;"")</f>
        <v/>
      </c>
      <c r="B860">
        <f>IF($M860="","",INDEX(상세표[성명],$M860)&amp;"")</f>
        <v/>
      </c>
      <c r="C860">
        <f>IF($M860="","",IF(INDEX(상세표[종료월],$M860)=대상월키,"전월→이번 달","이번 달→익월"))</f>
        <v/>
      </c>
      <c r="D860">
        <f>IF($M860="","",IF(ISNUMBER(INDEX(상세표[시작],$M860)),TEXT(INDEX(상세표[시작],$M860),"yyyy-mm-dd hh:mm"),INDEX(상세표[시작],$M860)&amp;""))</f>
        <v/>
      </c>
      <c r="E860">
        <f>IF($M860="","",IF(ISNUMBER(INDEX(상세표[종료],$M860)),TEXT(INDEX(상세표[종료],$M860),"yyyy-mm-dd hh:mm"),INDEX(상세표[종료],$M860)&amp;""))</f>
        <v/>
      </c>
      <c r="F860" s="20">
        <f>IF($M860="","",INDEX(상세표[기록 시간외],$M860))</f>
        <v/>
      </c>
      <c r="G860">
        <f>IF($M860="","",INDEX(상세표[시작월 기관],$M860)&amp;"")</f>
        <v/>
      </c>
      <c r="H860">
        <f>IF($M860="","",INDEX(상세표[종료월 기관],$M860)&amp;"")</f>
        <v/>
      </c>
      <c r="I860">
        <f>IF($M860="","",INDEX(상세표[월경계 판정],$M860)&amp;"")</f>
        <v/>
      </c>
      <c r="J860">
        <f>IF($M860="","",INDEX(상세표[반영월],$M860)&amp;"")</f>
        <v/>
      </c>
      <c r="K860">
        <f>IF($M860="","",INDEX(상세표[반영 기관],$M860)&amp;"")</f>
        <v/>
      </c>
      <c r="L860">
        <f>IF($M860="","",INDEX(상세표[기관 출처],$M860)&amp;"")</f>
        <v/>
      </c>
      <c r="M860" s="4">
        <f>IFERROR(MATCH(855,상세표[경계순번],0),"")</f>
        <v/>
      </c>
    </row>
    <row r="861">
      <c r="A861">
        <f>IF($M861="","",INDEX(상세표[사번],$M861)&amp;"")</f>
        <v/>
      </c>
      <c r="B861">
        <f>IF($M861="","",INDEX(상세표[성명],$M861)&amp;"")</f>
        <v/>
      </c>
      <c r="C861">
        <f>IF($M861="","",IF(INDEX(상세표[종료월],$M861)=대상월키,"전월→이번 달","이번 달→익월"))</f>
        <v/>
      </c>
      <c r="D861">
        <f>IF($M861="","",IF(ISNUMBER(INDEX(상세표[시작],$M861)),TEXT(INDEX(상세표[시작],$M861),"yyyy-mm-dd hh:mm"),INDEX(상세표[시작],$M861)&amp;""))</f>
        <v/>
      </c>
      <c r="E861">
        <f>IF($M861="","",IF(ISNUMBER(INDEX(상세표[종료],$M861)),TEXT(INDEX(상세표[종료],$M861),"yyyy-mm-dd hh:mm"),INDEX(상세표[종료],$M861)&amp;""))</f>
        <v/>
      </c>
      <c r="F861" s="20">
        <f>IF($M861="","",INDEX(상세표[기록 시간외],$M861))</f>
        <v/>
      </c>
      <c r="G861">
        <f>IF($M861="","",INDEX(상세표[시작월 기관],$M861)&amp;"")</f>
        <v/>
      </c>
      <c r="H861">
        <f>IF($M861="","",INDEX(상세표[종료월 기관],$M861)&amp;"")</f>
        <v/>
      </c>
      <c r="I861">
        <f>IF($M861="","",INDEX(상세표[월경계 판정],$M861)&amp;"")</f>
        <v/>
      </c>
      <c r="J861">
        <f>IF($M861="","",INDEX(상세표[반영월],$M861)&amp;"")</f>
        <v/>
      </c>
      <c r="K861">
        <f>IF($M861="","",INDEX(상세표[반영 기관],$M861)&amp;"")</f>
        <v/>
      </c>
      <c r="L861">
        <f>IF($M861="","",INDEX(상세표[기관 출처],$M861)&amp;"")</f>
        <v/>
      </c>
      <c r="M861" s="4">
        <f>IFERROR(MATCH(856,상세표[경계순번],0),"")</f>
        <v/>
      </c>
    </row>
    <row r="862">
      <c r="A862">
        <f>IF($M862="","",INDEX(상세표[사번],$M862)&amp;"")</f>
        <v/>
      </c>
      <c r="B862">
        <f>IF($M862="","",INDEX(상세표[성명],$M862)&amp;"")</f>
        <v/>
      </c>
      <c r="C862">
        <f>IF($M862="","",IF(INDEX(상세표[종료월],$M862)=대상월키,"전월→이번 달","이번 달→익월"))</f>
        <v/>
      </c>
      <c r="D862">
        <f>IF($M862="","",IF(ISNUMBER(INDEX(상세표[시작],$M862)),TEXT(INDEX(상세표[시작],$M862),"yyyy-mm-dd hh:mm"),INDEX(상세표[시작],$M862)&amp;""))</f>
        <v/>
      </c>
      <c r="E862">
        <f>IF($M862="","",IF(ISNUMBER(INDEX(상세표[종료],$M862)),TEXT(INDEX(상세표[종료],$M862),"yyyy-mm-dd hh:mm"),INDEX(상세표[종료],$M862)&amp;""))</f>
        <v/>
      </c>
      <c r="F862" s="20">
        <f>IF($M862="","",INDEX(상세표[기록 시간외],$M862))</f>
        <v/>
      </c>
      <c r="G862">
        <f>IF($M862="","",INDEX(상세표[시작월 기관],$M862)&amp;"")</f>
        <v/>
      </c>
      <c r="H862">
        <f>IF($M862="","",INDEX(상세표[종료월 기관],$M862)&amp;"")</f>
        <v/>
      </c>
      <c r="I862">
        <f>IF($M862="","",INDEX(상세표[월경계 판정],$M862)&amp;"")</f>
        <v/>
      </c>
      <c r="J862">
        <f>IF($M862="","",INDEX(상세표[반영월],$M862)&amp;"")</f>
        <v/>
      </c>
      <c r="K862">
        <f>IF($M862="","",INDEX(상세표[반영 기관],$M862)&amp;"")</f>
        <v/>
      </c>
      <c r="L862">
        <f>IF($M862="","",INDEX(상세표[기관 출처],$M862)&amp;"")</f>
        <v/>
      </c>
      <c r="M862" s="4">
        <f>IFERROR(MATCH(857,상세표[경계순번],0),"")</f>
        <v/>
      </c>
    </row>
    <row r="863">
      <c r="A863">
        <f>IF($M863="","",INDEX(상세표[사번],$M863)&amp;"")</f>
        <v/>
      </c>
      <c r="B863">
        <f>IF($M863="","",INDEX(상세표[성명],$M863)&amp;"")</f>
        <v/>
      </c>
      <c r="C863">
        <f>IF($M863="","",IF(INDEX(상세표[종료월],$M863)=대상월키,"전월→이번 달","이번 달→익월"))</f>
        <v/>
      </c>
      <c r="D863">
        <f>IF($M863="","",IF(ISNUMBER(INDEX(상세표[시작],$M863)),TEXT(INDEX(상세표[시작],$M863),"yyyy-mm-dd hh:mm"),INDEX(상세표[시작],$M863)&amp;""))</f>
        <v/>
      </c>
      <c r="E863">
        <f>IF($M863="","",IF(ISNUMBER(INDEX(상세표[종료],$M863)),TEXT(INDEX(상세표[종료],$M863),"yyyy-mm-dd hh:mm"),INDEX(상세표[종료],$M863)&amp;""))</f>
        <v/>
      </c>
      <c r="F863" s="20">
        <f>IF($M863="","",INDEX(상세표[기록 시간외],$M863))</f>
        <v/>
      </c>
      <c r="G863">
        <f>IF($M863="","",INDEX(상세표[시작월 기관],$M863)&amp;"")</f>
        <v/>
      </c>
      <c r="H863">
        <f>IF($M863="","",INDEX(상세표[종료월 기관],$M863)&amp;"")</f>
        <v/>
      </c>
      <c r="I863">
        <f>IF($M863="","",INDEX(상세표[월경계 판정],$M863)&amp;"")</f>
        <v/>
      </c>
      <c r="J863">
        <f>IF($M863="","",INDEX(상세표[반영월],$M863)&amp;"")</f>
        <v/>
      </c>
      <c r="K863">
        <f>IF($M863="","",INDEX(상세표[반영 기관],$M863)&amp;"")</f>
        <v/>
      </c>
      <c r="L863">
        <f>IF($M863="","",INDEX(상세표[기관 출처],$M863)&amp;"")</f>
        <v/>
      </c>
      <c r="M863" s="4">
        <f>IFERROR(MATCH(858,상세표[경계순번],0),"")</f>
        <v/>
      </c>
    </row>
    <row r="864">
      <c r="A864">
        <f>IF($M864="","",INDEX(상세표[사번],$M864)&amp;"")</f>
        <v/>
      </c>
      <c r="B864">
        <f>IF($M864="","",INDEX(상세표[성명],$M864)&amp;"")</f>
        <v/>
      </c>
      <c r="C864">
        <f>IF($M864="","",IF(INDEX(상세표[종료월],$M864)=대상월키,"전월→이번 달","이번 달→익월"))</f>
        <v/>
      </c>
      <c r="D864">
        <f>IF($M864="","",IF(ISNUMBER(INDEX(상세표[시작],$M864)),TEXT(INDEX(상세표[시작],$M864),"yyyy-mm-dd hh:mm"),INDEX(상세표[시작],$M864)&amp;""))</f>
        <v/>
      </c>
      <c r="E864">
        <f>IF($M864="","",IF(ISNUMBER(INDEX(상세표[종료],$M864)),TEXT(INDEX(상세표[종료],$M864),"yyyy-mm-dd hh:mm"),INDEX(상세표[종료],$M864)&amp;""))</f>
        <v/>
      </c>
      <c r="F864" s="20">
        <f>IF($M864="","",INDEX(상세표[기록 시간외],$M864))</f>
        <v/>
      </c>
      <c r="G864">
        <f>IF($M864="","",INDEX(상세표[시작월 기관],$M864)&amp;"")</f>
        <v/>
      </c>
      <c r="H864">
        <f>IF($M864="","",INDEX(상세표[종료월 기관],$M864)&amp;"")</f>
        <v/>
      </c>
      <c r="I864">
        <f>IF($M864="","",INDEX(상세표[월경계 판정],$M864)&amp;"")</f>
        <v/>
      </c>
      <c r="J864">
        <f>IF($M864="","",INDEX(상세표[반영월],$M864)&amp;"")</f>
        <v/>
      </c>
      <c r="K864">
        <f>IF($M864="","",INDEX(상세표[반영 기관],$M864)&amp;"")</f>
        <v/>
      </c>
      <c r="L864">
        <f>IF($M864="","",INDEX(상세표[기관 출처],$M864)&amp;"")</f>
        <v/>
      </c>
      <c r="M864" s="4">
        <f>IFERROR(MATCH(859,상세표[경계순번],0),"")</f>
        <v/>
      </c>
    </row>
    <row r="865">
      <c r="A865">
        <f>IF($M865="","",INDEX(상세표[사번],$M865)&amp;"")</f>
        <v/>
      </c>
      <c r="B865">
        <f>IF($M865="","",INDEX(상세표[성명],$M865)&amp;"")</f>
        <v/>
      </c>
      <c r="C865">
        <f>IF($M865="","",IF(INDEX(상세표[종료월],$M865)=대상월키,"전월→이번 달","이번 달→익월"))</f>
        <v/>
      </c>
      <c r="D865">
        <f>IF($M865="","",IF(ISNUMBER(INDEX(상세표[시작],$M865)),TEXT(INDEX(상세표[시작],$M865),"yyyy-mm-dd hh:mm"),INDEX(상세표[시작],$M865)&amp;""))</f>
        <v/>
      </c>
      <c r="E865">
        <f>IF($M865="","",IF(ISNUMBER(INDEX(상세표[종료],$M865)),TEXT(INDEX(상세표[종료],$M865),"yyyy-mm-dd hh:mm"),INDEX(상세표[종료],$M865)&amp;""))</f>
        <v/>
      </c>
      <c r="F865" s="20">
        <f>IF($M865="","",INDEX(상세표[기록 시간외],$M865))</f>
        <v/>
      </c>
      <c r="G865">
        <f>IF($M865="","",INDEX(상세표[시작월 기관],$M865)&amp;"")</f>
        <v/>
      </c>
      <c r="H865">
        <f>IF($M865="","",INDEX(상세표[종료월 기관],$M865)&amp;"")</f>
        <v/>
      </c>
      <c r="I865">
        <f>IF($M865="","",INDEX(상세표[월경계 판정],$M865)&amp;"")</f>
        <v/>
      </c>
      <c r="J865">
        <f>IF($M865="","",INDEX(상세표[반영월],$M865)&amp;"")</f>
        <v/>
      </c>
      <c r="K865">
        <f>IF($M865="","",INDEX(상세표[반영 기관],$M865)&amp;"")</f>
        <v/>
      </c>
      <c r="L865">
        <f>IF($M865="","",INDEX(상세표[기관 출처],$M865)&amp;"")</f>
        <v/>
      </c>
      <c r="M865" s="4">
        <f>IFERROR(MATCH(860,상세표[경계순번],0),"")</f>
        <v/>
      </c>
    </row>
    <row r="866">
      <c r="A866">
        <f>IF($M866="","",INDEX(상세표[사번],$M866)&amp;"")</f>
        <v/>
      </c>
      <c r="B866">
        <f>IF($M866="","",INDEX(상세표[성명],$M866)&amp;"")</f>
        <v/>
      </c>
      <c r="C866">
        <f>IF($M866="","",IF(INDEX(상세표[종료월],$M866)=대상월키,"전월→이번 달","이번 달→익월"))</f>
        <v/>
      </c>
      <c r="D866">
        <f>IF($M866="","",IF(ISNUMBER(INDEX(상세표[시작],$M866)),TEXT(INDEX(상세표[시작],$M866),"yyyy-mm-dd hh:mm"),INDEX(상세표[시작],$M866)&amp;""))</f>
        <v/>
      </c>
      <c r="E866">
        <f>IF($M866="","",IF(ISNUMBER(INDEX(상세표[종료],$M866)),TEXT(INDEX(상세표[종료],$M866),"yyyy-mm-dd hh:mm"),INDEX(상세표[종료],$M866)&amp;""))</f>
        <v/>
      </c>
      <c r="F866" s="20">
        <f>IF($M866="","",INDEX(상세표[기록 시간외],$M866))</f>
        <v/>
      </c>
      <c r="G866">
        <f>IF($M866="","",INDEX(상세표[시작월 기관],$M866)&amp;"")</f>
        <v/>
      </c>
      <c r="H866">
        <f>IF($M866="","",INDEX(상세표[종료월 기관],$M866)&amp;"")</f>
        <v/>
      </c>
      <c r="I866">
        <f>IF($M866="","",INDEX(상세표[월경계 판정],$M866)&amp;"")</f>
        <v/>
      </c>
      <c r="J866">
        <f>IF($M866="","",INDEX(상세표[반영월],$M866)&amp;"")</f>
        <v/>
      </c>
      <c r="K866">
        <f>IF($M866="","",INDEX(상세표[반영 기관],$M866)&amp;"")</f>
        <v/>
      </c>
      <c r="L866">
        <f>IF($M866="","",INDEX(상세표[기관 출처],$M866)&amp;"")</f>
        <v/>
      </c>
      <c r="M866" s="4">
        <f>IFERROR(MATCH(861,상세표[경계순번],0),"")</f>
        <v/>
      </c>
    </row>
    <row r="867">
      <c r="A867">
        <f>IF($M867="","",INDEX(상세표[사번],$M867)&amp;"")</f>
        <v/>
      </c>
      <c r="B867">
        <f>IF($M867="","",INDEX(상세표[성명],$M867)&amp;"")</f>
        <v/>
      </c>
      <c r="C867">
        <f>IF($M867="","",IF(INDEX(상세표[종료월],$M867)=대상월키,"전월→이번 달","이번 달→익월"))</f>
        <v/>
      </c>
      <c r="D867">
        <f>IF($M867="","",IF(ISNUMBER(INDEX(상세표[시작],$M867)),TEXT(INDEX(상세표[시작],$M867),"yyyy-mm-dd hh:mm"),INDEX(상세표[시작],$M867)&amp;""))</f>
        <v/>
      </c>
      <c r="E867">
        <f>IF($M867="","",IF(ISNUMBER(INDEX(상세표[종료],$M867)),TEXT(INDEX(상세표[종료],$M867),"yyyy-mm-dd hh:mm"),INDEX(상세표[종료],$M867)&amp;""))</f>
        <v/>
      </c>
      <c r="F867" s="20">
        <f>IF($M867="","",INDEX(상세표[기록 시간외],$M867))</f>
        <v/>
      </c>
      <c r="G867">
        <f>IF($M867="","",INDEX(상세표[시작월 기관],$M867)&amp;"")</f>
        <v/>
      </c>
      <c r="H867">
        <f>IF($M867="","",INDEX(상세표[종료월 기관],$M867)&amp;"")</f>
        <v/>
      </c>
      <c r="I867">
        <f>IF($M867="","",INDEX(상세표[월경계 판정],$M867)&amp;"")</f>
        <v/>
      </c>
      <c r="J867">
        <f>IF($M867="","",INDEX(상세표[반영월],$M867)&amp;"")</f>
        <v/>
      </c>
      <c r="K867">
        <f>IF($M867="","",INDEX(상세표[반영 기관],$M867)&amp;"")</f>
        <v/>
      </c>
      <c r="L867">
        <f>IF($M867="","",INDEX(상세표[기관 출처],$M867)&amp;"")</f>
        <v/>
      </c>
      <c r="M867" s="4">
        <f>IFERROR(MATCH(862,상세표[경계순번],0),"")</f>
        <v/>
      </c>
    </row>
    <row r="868">
      <c r="A868">
        <f>IF($M868="","",INDEX(상세표[사번],$M868)&amp;"")</f>
        <v/>
      </c>
      <c r="B868">
        <f>IF($M868="","",INDEX(상세표[성명],$M868)&amp;"")</f>
        <v/>
      </c>
      <c r="C868">
        <f>IF($M868="","",IF(INDEX(상세표[종료월],$M868)=대상월키,"전월→이번 달","이번 달→익월"))</f>
        <v/>
      </c>
      <c r="D868">
        <f>IF($M868="","",IF(ISNUMBER(INDEX(상세표[시작],$M868)),TEXT(INDEX(상세표[시작],$M868),"yyyy-mm-dd hh:mm"),INDEX(상세표[시작],$M868)&amp;""))</f>
        <v/>
      </c>
      <c r="E868">
        <f>IF($M868="","",IF(ISNUMBER(INDEX(상세표[종료],$M868)),TEXT(INDEX(상세표[종료],$M868),"yyyy-mm-dd hh:mm"),INDEX(상세표[종료],$M868)&amp;""))</f>
        <v/>
      </c>
      <c r="F868" s="20">
        <f>IF($M868="","",INDEX(상세표[기록 시간외],$M868))</f>
        <v/>
      </c>
      <c r="G868">
        <f>IF($M868="","",INDEX(상세표[시작월 기관],$M868)&amp;"")</f>
        <v/>
      </c>
      <c r="H868">
        <f>IF($M868="","",INDEX(상세표[종료월 기관],$M868)&amp;"")</f>
        <v/>
      </c>
      <c r="I868">
        <f>IF($M868="","",INDEX(상세표[월경계 판정],$M868)&amp;"")</f>
        <v/>
      </c>
      <c r="J868">
        <f>IF($M868="","",INDEX(상세표[반영월],$M868)&amp;"")</f>
        <v/>
      </c>
      <c r="K868">
        <f>IF($M868="","",INDEX(상세표[반영 기관],$M868)&amp;"")</f>
        <v/>
      </c>
      <c r="L868">
        <f>IF($M868="","",INDEX(상세표[기관 출처],$M868)&amp;"")</f>
        <v/>
      </c>
      <c r="M868" s="4">
        <f>IFERROR(MATCH(863,상세표[경계순번],0),"")</f>
        <v/>
      </c>
    </row>
    <row r="869">
      <c r="A869">
        <f>IF($M869="","",INDEX(상세표[사번],$M869)&amp;"")</f>
        <v/>
      </c>
      <c r="B869">
        <f>IF($M869="","",INDEX(상세표[성명],$M869)&amp;"")</f>
        <v/>
      </c>
      <c r="C869">
        <f>IF($M869="","",IF(INDEX(상세표[종료월],$M869)=대상월키,"전월→이번 달","이번 달→익월"))</f>
        <v/>
      </c>
      <c r="D869">
        <f>IF($M869="","",IF(ISNUMBER(INDEX(상세표[시작],$M869)),TEXT(INDEX(상세표[시작],$M869),"yyyy-mm-dd hh:mm"),INDEX(상세표[시작],$M869)&amp;""))</f>
        <v/>
      </c>
      <c r="E869">
        <f>IF($M869="","",IF(ISNUMBER(INDEX(상세표[종료],$M869)),TEXT(INDEX(상세표[종료],$M869),"yyyy-mm-dd hh:mm"),INDEX(상세표[종료],$M869)&amp;""))</f>
        <v/>
      </c>
      <c r="F869" s="20">
        <f>IF($M869="","",INDEX(상세표[기록 시간외],$M869))</f>
        <v/>
      </c>
      <c r="G869">
        <f>IF($M869="","",INDEX(상세표[시작월 기관],$M869)&amp;"")</f>
        <v/>
      </c>
      <c r="H869">
        <f>IF($M869="","",INDEX(상세표[종료월 기관],$M869)&amp;"")</f>
        <v/>
      </c>
      <c r="I869">
        <f>IF($M869="","",INDEX(상세표[월경계 판정],$M869)&amp;"")</f>
        <v/>
      </c>
      <c r="J869">
        <f>IF($M869="","",INDEX(상세표[반영월],$M869)&amp;"")</f>
        <v/>
      </c>
      <c r="K869">
        <f>IF($M869="","",INDEX(상세표[반영 기관],$M869)&amp;"")</f>
        <v/>
      </c>
      <c r="L869">
        <f>IF($M869="","",INDEX(상세표[기관 출처],$M869)&amp;"")</f>
        <v/>
      </c>
      <c r="M869" s="4">
        <f>IFERROR(MATCH(864,상세표[경계순번],0),"")</f>
        <v/>
      </c>
    </row>
    <row r="870">
      <c r="A870">
        <f>IF($M870="","",INDEX(상세표[사번],$M870)&amp;"")</f>
        <v/>
      </c>
      <c r="B870">
        <f>IF($M870="","",INDEX(상세표[성명],$M870)&amp;"")</f>
        <v/>
      </c>
      <c r="C870">
        <f>IF($M870="","",IF(INDEX(상세표[종료월],$M870)=대상월키,"전월→이번 달","이번 달→익월"))</f>
        <v/>
      </c>
      <c r="D870">
        <f>IF($M870="","",IF(ISNUMBER(INDEX(상세표[시작],$M870)),TEXT(INDEX(상세표[시작],$M870),"yyyy-mm-dd hh:mm"),INDEX(상세표[시작],$M870)&amp;""))</f>
        <v/>
      </c>
      <c r="E870">
        <f>IF($M870="","",IF(ISNUMBER(INDEX(상세표[종료],$M870)),TEXT(INDEX(상세표[종료],$M870),"yyyy-mm-dd hh:mm"),INDEX(상세표[종료],$M870)&amp;""))</f>
        <v/>
      </c>
      <c r="F870" s="20">
        <f>IF($M870="","",INDEX(상세표[기록 시간외],$M870))</f>
        <v/>
      </c>
      <c r="G870">
        <f>IF($M870="","",INDEX(상세표[시작월 기관],$M870)&amp;"")</f>
        <v/>
      </c>
      <c r="H870">
        <f>IF($M870="","",INDEX(상세표[종료월 기관],$M870)&amp;"")</f>
        <v/>
      </c>
      <c r="I870">
        <f>IF($M870="","",INDEX(상세표[월경계 판정],$M870)&amp;"")</f>
        <v/>
      </c>
      <c r="J870">
        <f>IF($M870="","",INDEX(상세표[반영월],$M870)&amp;"")</f>
        <v/>
      </c>
      <c r="K870">
        <f>IF($M870="","",INDEX(상세표[반영 기관],$M870)&amp;"")</f>
        <v/>
      </c>
      <c r="L870">
        <f>IF($M870="","",INDEX(상세표[기관 출처],$M870)&amp;"")</f>
        <v/>
      </c>
      <c r="M870" s="4">
        <f>IFERROR(MATCH(865,상세표[경계순번],0),"")</f>
        <v/>
      </c>
    </row>
    <row r="871">
      <c r="A871">
        <f>IF($M871="","",INDEX(상세표[사번],$M871)&amp;"")</f>
        <v/>
      </c>
      <c r="B871">
        <f>IF($M871="","",INDEX(상세표[성명],$M871)&amp;"")</f>
        <v/>
      </c>
      <c r="C871">
        <f>IF($M871="","",IF(INDEX(상세표[종료월],$M871)=대상월키,"전월→이번 달","이번 달→익월"))</f>
        <v/>
      </c>
      <c r="D871">
        <f>IF($M871="","",IF(ISNUMBER(INDEX(상세표[시작],$M871)),TEXT(INDEX(상세표[시작],$M871),"yyyy-mm-dd hh:mm"),INDEX(상세표[시작],$M871)&amp;""))</f>
        <v/>
      </c>
      <c r="E871">
        <f>IF($M871="","",IF(ISNUMBER(INDEX(상세표[종료],$M871)),TEXT(INDEX(상세표[종료],$M871),"yyyy-mm-dd hh:mm"),INDEX(상세표[종료],$M871)&amp;""))</f>
        <v/>
      </c>
      <c r="F871" s="20">
        <f>IF($M871="","",INDEX(상세표[기록 시간외],$M871))</f>
        <v/>
      </c>
      <c r="G871">
        <f>IF($M871="","",INDEX(상세표[시작월 기관],$M871)&amp;"")</f>
        <v/>
      </c>
      <c r="H871">
        <f>IF($M871="","",INDEX(상세표[종료월 기관],$M871)&amp;"")</f>
        <v/>
      </c>
      <c r="I871">
        <f>IF($M871="","",INDEX(상세표[월경계 판정],$M871)&amp;"")</f>
        <v/>
      </c>
      <c r="J871">
        <f>IF($M871="","",INDEX(상세표[반영월],$M871)&amp;"")</f>
        <v/>
      </c>
      <c r="K871">
        <f>IF($M871="","",INDEX(상세표[반영 기관],$M871)&amp;"")</f>
        <v/>
      </c>
      <c r="L871">
        <f>IF($M871="","",INDEX(상세표[기관 출처],$M871)&amp;"")</f>
        <v/>
      </c>
      <c r="M871" s="4">
        <f>IFERROR(MATCH(866,상세표[경계순번],0),"")</f>
        <v/>
      </c>
    </row>
    <row r="872">
      <c r="A872">
        <f>IF($M872="","",INDEX(상세표[사번],$M872)&amp;"")</f>
        <v/>
      </c>
      <c r="B872">
        <f>IF($M872="","",INDEX(상세표[성명],$M872)&amp;"")</f>
        <v/>
      </c>
      <c r="C872">
        <f>IF($M872="","",IF(INDEX(상세표[종료월],$M872)=대상월키,"전월→이번 달","이번 달→익월"))</f>
        <v/>
      </c>
      <c r="D872">
        <f>IF($M872="","",IF(ISNUMBER(INDEX(상세표[시작],$M872)),TEXT(INDEX(상세표[시작],$M872),"yyyy-mm-dd hh:mm"),INDEX(상세표[시작],$M872)&amp;""))</f>
        <v/>
      </c>
      <c r="E872">
        <f>IF($M872="","",IF(ISNUMBER(INDEX(상세표[종료],$M872)),TEXT(INDEX(상세표[종료],$M872),"yyyy-mm-dd hh:mm"),INDEX(상세표[종료],$M872)&amp;""))</f>
        <v/>
      </c>
      <c r="F872" s="20">
        <f>IF($M872="","",INDEX(상세표[기록 시간외],$M872))</f>
        <v/>
      </c>
      <c r="G872">
        <f>IF($M872="","",INDEX(상세표[시작월 기관],$M872)&amp;"")</f>
        <v/>
      </c>
      <c r="H872">
        <f>IF($M872="","",INDEX(상세표[종료월 기관],$M872)&amp;"")</f>
        <v/>
      </c>
      <c r="I872">
        <f>IF($M872="","",INDEX(상세표[월경계 판정],$M872)&amp;"")</f>
        <v/>
      </c>
      <c r="J872">
        <f>IF($M872="","",INDEX(상세표[반영월],$M872)&amp;"")</f>
        <v/>
      </c>
      <c r="K872">
        <f>IF($M872="","",INDEX(상세표[반영 기관],$M872)&amp;"")</f>
        <v/>
      </c>
      <c r="L872">
        <f>IF($M872="","",INDEX(상세표[기관 출처],$M872)&amp;"")</f>
        <v/>
      </c>
      <c r="M872" s="4">
        <f>IFERROR(MATCH(867,상세표[경계순번],0),"")</f>
        <v/>
      </c>
    </row>
    <row r="873">
      <c r="A873">
        <f>IF($M873="","",INDEX(상세표[사번],$M873)&amp;"")</f>
        <v/>
      </c>
      <c r="B873">
        <f>IF($M873="","",INDEX(상세표[성명],$M873)&amp;"")</f>
        <v/>
      </c>
      <c r="C873">
        <f>IF($M873="","",IF(INDEX(상세표[종료월],$M873)=대상월키,"전월→이번 달","이번 달→익월"))</f>
        <v/>
      </c>
      <c r="D873">
        <f>IF($M873="","",IF(ISNUMBER(INDEX(상세표[시작],$M873)),TEXT(INDEX(상세표[시작],$M873),"yyyy-mm-dd hh:mm"),INDEX(상세표[시작],$M873)&amp;""))</f>
        <v/>
      </c>
      <c r="E873">
        <f>IF($M873="","",IF(ISNUMBER(INDEX(상세표[종료],$M873)),TEXT(INDEX(상세표[종료],$M873),"yyyy-mm-dd hh:mm"),INDEX(상세표[종료],$M873)&amp;""))</f>
        <v/>
      </c>
      <c r="F873" s="20">
        <f>IF($M873="","",INDEX(상세표[기록 시간외],$M873))</f>
        <v/>
      </c>
      <c r="G873">
        <f>IF($M873="","",INDEX(상세표[시작월 기관],$M873)&amp;"")</f>
        <v/>
      </c>
      <c r="H873">
        <f>IF($M873="","",INDEX(상세표[종료월 기관],$M873)&amp;"")</f>
        <v/>
      </c>
      <c r="I873">
        <f>IF($M873="","",INDEX(상세표[월경계 판정],$M873)&amp;"")</f>
        <v/>
      </c>
      <c r="J873">
        <f>IF($M873="","",INDEX(상세표[반영월],$M873)&amp;"")</f>
        <v/>
      </c>
      <c r="K873">
        <f>IF($M873="","",INDEX(상세표[반영 기관],$M873)&amp;"")</f>
        <v/>
      </c>
      <c r="L873">
        <f>IF($M873="","",INDEX(상세표[기관 출처],$M873)&amp;"")</f>
        <v/>
      </c>
      <c r="M873" s="4">
        <f>IFERROR(MATCH(868,상세표[경계순번],0),"")</f>
        <v/>
      </c>
    </row>
    <row r="874">
      <c r="A874">
        <f>IF($M874="","",INDEX(상세표[사번],$M874)&amp;"")</f>
        <v/>
      </c>
      <c r="B874">
        <f>IF($M874="","",INDEX(상세표[성명],$M874)&amp;"")</f>
        <v/>
      </c>
      <c r="C874">
        <f>IF($M874="","",IF(INDEX(상세표[종료월],$M874)=대상월키,"전월→이번 달","이번 달→익월"))</f>
        <v/>
      </c>
      <c r="D874">
        <f>IF($M874="","",IF(ISNUMBER(INDEX(상세표[시작],$M874)),TEXT(INDEX(상세표[시작],$M874),"yyyy-mm-dd hh:mm"),INDEX(상세표[시작],$M874)&amp;""))</f>
        <v/>
      </c>
      <c r="E874">
        <f>IF($M874="","",IF(ISNUMBER(INDEX(상세표[종료],$M874)),TEXT(INDEX(상세표[종료],$M874),"yyyy-mm-dd hh:mm"),INDEX(상세표[종료],$M874)&amp;""))</f>
        <v/>
      </c>
      <c r="F874" s="20">
        <f>IF($M874="","",INDEX(상세표[기록 시간외],$M874))</f>
        <v/>
      </c>
      <c r="G874">
        <f>IF($M874="","",INDEX(상세표[시작월 기관],$M874)&amp;"")</f>
        <v/>
      </c>
      <c r="H874">
        <f>IF($M874="","",INDEX(상세표[종료월 기관],$M874)&amp;"")</f>
        <v/>
      </c>
      <c r="I874">
        <f>IF($M874="","",INDEX(상세표[월경계 판정],$M874)&amp;"")</f>
        <v/>
      </c>
      <c r="J874">
        <f>IF($M874="","",INDEX(상세표[반영월],$M874)&amp;"")</f>
        <v/>
      </c>
      <c r="K874">
        <f>IF($M874="","",INDEX(상세표[반영 기관],$M874)&amp;"")</f>
        <v/>
      </c>
      <c r="L874">
        <f>IF($M874="","",INDEX(상세표[기관 출처],$M874)&amp;"")</f>
        <v/>
      </c>
      <c r="M874" s="4">
        <f>IFERROR(MATCH(869,상세표[경계순번],0),"")</f>
        <v/>
      </c>
    </row>
    <row r="875">
      <c r="A875">
        <f>IF($M875="","",INDEX(상세표[사번],$M875)&amp;"")</f>
        <v/>
      </c>
      <c r="B875">
        <f>IF($M875="","",INDEX(상세표[성명],$M875)&amp;"")</f>
        <v/>
      </c>
      <c r="C875">
        <f>IF($M875="","",IF(INDEX(상세표[종료월],$M875)=대상월키,"전월→이번 달","이번 달→익월"))</f>
        <v/>
      </c>
      <c r="D875">
        <f>IF($M875="","",IF(ISNUMBER(INDEX(상세표[시작],$M875)),TEXT(INDEX(상세표[시작],$M875),"yyyy-mm-dd hh:mm"),INDEX(상세표[시작],$M875)&amp;""))</f>
        <v/>
      </c>
      <c r="E875">
        <f>IF($M875="","",IF(ISNUMBER(INDEX(상세표[종료],$M875)),TEXT(INDEX(상세표[종료],$M875),"yyyy-mm-dd hh:mm"),INDEX(상세표[종료],$M875)&amp;""))</f>
        <v/>
      </c>
      <c r="F875" s="20">
        <f>IF($M875="","",INDEX(상세표[기록 시간외],$M875))</f>
        <v/>
      </c>
      <c r="G875">
        <f>IF($M875="","",INDEX(상세표[시작월 기관],$M875)&amp;"")</f>
        <v/>
      </c>
      <c r="H875">
        <f>IF($M875="","",INDEX(상세표[종료월 기관],$M875)&amp;"")</f>
        <v/>
      </c>
      <c r="I875">
        <f>IF($M875="","",INDEX(상세표[월경계 판정],$M875)&amp;"")</f>
        <v/>
      </c>
      <c r="J875">
        <f>IF($M875="","",INDEX(상세표[반영월],$M875)&amp;"")</f>
        <v/>
      </c>
      <c r="K875">
        <f>IF($M875="","",INDEX(상세표[반영 기관],$M875)&amp;"")</f>
        <v/>
      </c>
      <c r="L875">
        <f>IF($M875="","",INDEX(상세표[기관 출처],$M875)&amp;"")</f>
        <v/>
      </c>
      <c r="M875" s="4">
        <f>IFERROR(MATCH(870,상세표[경계순번],0),"")</f>
        <v/>
      </c>
    </row>
    <row r="876">
      <c r="A876">
        <f>IF($M876="","",INDEX(상세표[사번],$M876)&amp;"")</f>
        <v/>
      </c>
      <c r="B876">
        <f>IF($M876="","",INDEX(상세표[성명],$M876)&amp;"")</f>
        <v/>
      </c>
      <c r="C876">
        <f>IF($M876="","",IF(INDEX(상세표[종료월],$M876)=대상월키,"전월→이번 달","이번 달→익월"))</f>
        <v/>
      </c>
      <c r="D876">
        <f>IF($M876="","",IF(ISNUMBER(INDEX(상세표[시작],$M876)),TEXT(INDEX(상세표[시작],$M876),"yyyy-mm-dd hh:mm"),INDEX(상세표[시작],$M876)&amp;""))</f>
        <v/>
      </c>
      <c r="E876">
        <f>IF($M876="","",IF(ISNUMBER(INDEX(상세표[종료],$M876)),TEXT(INDEX(상세표[종료],$M876),"yyyy-mm-dd hh:mm"),INDEX(상세표[종료],$M876)&amp;""))</f>
        <v/>
      </c>
      <c r="F876" s="20">
        <f>IF($M876="","",INDEX(상세표[기록 시간외],$M876))</f>
        <v/>
      </c>
      <c r="G876">
        <f>IF($M876="","",INDEX(상세표[시작월 기관],$M876)&amp;"")</f>
        <v/>
      </c>
      <c r="H876">
        <f>IF($M876="","",INDEX(상세표[종료월 기관],$M876)&amp;"")</f>
        <v/>
      </c>
      <c r="I876">
        <f>IF($M876="","",INDEX(상세표[월경계 판정],$M876)&amp;"")</f>
        <v/>
      </c>
      <c r="J876">
        <f>IF($M876="","",INDEX(상세표[반영월],$M876)&amp;"")</f>
        <v/>
      </c>
      <c r="K876">
        <f>IF($M876="","",INDEX(상세표[반영 기관],$M876)&amp;"")</f>
        <v/>
      </c>
      <c r="L876">
        <f>IF($M876="","",INDEX(상세표[기관 출처],$M876)&amp;"")</f>
        <v/>
      </c>
      <c r="M876" s="4">
        <f>IFERROR(MATCH(871,상세표[경계순번],0),"")</f>
        <v/>
      </c>
    </row>
    <row r="877">
      <c r="A877">
        <f>IF($M877="","",INDEX(상세표[사번],$M877)&amp;"")</f>
        <v/>
      </c>
      <c r="B877">
        <f>IF($M877="","",INDEX(상세표[성명],$M877)&amp;"")</f>
        <v/>
      </c>
      <c r="C877">
        <f>IF($M877="","",IF(INDEX(상세표[종료월],$M877)=대상월키,"전월→이번 달","이번 달→익월"))</f>
        <v/>
      </c>
      <c r="D877">
        <f>IF($M877="","",IF(ISNUMBER(INDEX(상세표[시작],$M877)),TEXT(INDEX(상세표[시작],$M877),"yyyy-mm-dd hh:mm"),INDEX(상세표[시작],$M877)&amp;""))</f>
        <v/>
      </c>
      <c r="E877">
        <f>IF($M877="","",IF(ISNUMBER(INDEX(상세표[종료],$M877)),TEXT(INDEX(상세표[종료],$M877),"yyyy-mm-dd hh:mm"),INDEX(상세표[종료],$M877)&amp;""))</f>
        <v/>
      </c>
      <c r="F877" s="20">
        <f>IF($M877="","",INDEX(상세표[기록 시간외],$M877))</f>
        <v/>
      </c>
      <c r="G877">
        <f>IF($M877="","",INDEX(상세표[시작월 기관],$M877)&amp;"")</f>
        <v/>
      </c>
      <c r="H877">
        <f>IF($M877="","",INDEX(상세표[종료월 기관],$M877)&amp;"")</f>
        <v/>
      </c>
      <c r="I877">
        <f>IF($M877="","",INDEX(상세표[월경계 판정],$M877)&amp;"")</f>
        <v/>
      </c>
      <c r="J877">
        <f>IF($M877="","",INDEX(상세표[반영월],$M877)&amp;"")</f>
        <v/>
      </c>
      <c r="K877">
        <f>IF($M877="","",INDEX(상세표[반영 기관],$M877)&amp;"")</f>
        <v/>
      </c>
      <c r="L877">
        <f>IF($M877="","",INDEX(상세표[기관 출처],$M877)&amp;"")</f>
        <v/>
      </c>
      <c r="M877" s="4">
        <f>IFERROR(MATCH(872,상세표[경계순번],0),"")</f>
        <v/>
      </c>
    </row>
    <row r="878">
      <c r="A878">
        <f>IF($M878="","",INDEX(상세표[사번],$M878)&amp;"")</f>
        <v/>
      </c>
      <c r="B878">
        <f>IF($M878="","",INDEX(상세표[성명],$M878)&amp;"")</f>
        <v/>
      </c>
      <c r="C878">
        <f>IF($M878="","",IF(INDEX(상세표[종료월],$M878)=대상월키,"전월→이번 달","이번 달→익월"))</f>
        <v/>
      </c>
      <c r="D878">
        <f>IF($M878="","",IF(ISNUMBER(INDEX(상세표[시작],$M878)),TEXT(INDEX(상세표[시작],$M878),"yyyy-mm-dd hh:mm"),INDEX(상세표[시작],$M878)&amp;""))</f>
        <v/>
      </c>
      <c r="E878">
        <f>IF($M878="","",IF(ISNUMBER(INDEX(상세표[종료],$M878)),TEXT(INDEX(상세표[종료],$M878),"yyyy-mm-dd hh:mm"),INDEX(상세표[종료],$M878)&amp;""))</f>
        <v/>
      </c>
      <c r="F878" s="20">
        <f>IF($M878="","",INDEX(상세표[기록 시간외],$M878))</f>
        <v/>
      </c>
      <c r="G878">
        <f>IF($M878="","",INDEX(상세표[시작월 기관],$M878)&amp;"")</f>
        <v/>
      </c>
      <c r="H878">
        <f>IF($M878="","",INDEX(상세표[종료월 기관],$M878)&amp;"")</f>
        <v/>
      </c>
      <c r="I878">
        <f>IF($M878="","",INDEX(상세표[월경계 판정],$M878)&amp;"")</f>
        <v/>
      </c>
      <c r="J878">
        <f>IF($M878="","",INDEX(상세표[반영월],$M878)&amp;"")</f>
        <v/>
      </c>
      <c r="K878">
        <f>IF($M878="","",INDEX(상세표[반영 기관],$M878)&amp;"")</f>
        <v/>
      </c>
      <c r="L878">
        <f>IF($M878="","",INDEX(상세표[기관 출처],$M878)&amp;"")</f>
        <v/>
      </c>
      <c r="M878" s="4">
        <f>IFERROR(MATCH(873,상세표[경계순번],0),"")</f>
        <v/>
      </c>
    </row>
    <row r="879">
      <c r="A879">
        <f>IF($M879="","",INDEX(상세표[사번],$M879)&amp;"")</f>
        <v/>
      </c>
      <c r="B879">
        <f>IF($M879="","",INDEX(상세표[성명],$M879)&amp;"")</f>
        <v/>
      </c>
      <c r="C879">
        <f>IF($M879="","",IF(INDEX(상세표[종료월],$M879)=대상월키,"전월→이번 달","이번 달→익월"))</f>
        <v/>
      </c>
      <c r="D879">
        <f>IF($M879="","",IF(ISNUMBER(INDEX(상세표[시작],$M879)),TEXT(INDEX(상세표[시작],$M879),"yyyy-mm-dd hh:mm"),INDEX(상세표[시작],$M879)&amp;""))</f>
        <v/>
      </c>
      <c r="E879">
        <f>IF($M879="","",IF(ISNUMBER(INDEX(상세표[종료],$M879)),TEXT(INDEX(상세표[종료],$M879),"yyyy-mm-dd hh:mm"),INDEX(상세표[종료],$M879)&amp;""))</f>
        <v/>
      </c>
      <c r="F879" s="20">
        <f>IF($M879="","",INDEX(상세표[기록 시간외],$M879))</f>
        <v/>
      </c>
      <c r="G879">
        <f>IF($M879="","",INDEX(상세표[시작월 기관],$M879)&amp;"")</f>
        <v/>
      </c>
      <c r="H879">
        <f>IF($M879="","",INDEX(상세표[종료월 기관],$M879)&amp;"")</f>
        <v/>
      </c>
      <c r="I879">
        <f>IF($M879="","",INDEX(상세표[월경계 판정],$M879)&amp;"")</f>
        <v/>
      </c>
      <c r="J879">
        <f>IF($M879="","",INDEX(상세표[반영월],$M879)&amp;"")</f>
        <v/>
      </c>
      <c r="K879">
        <f>IF($M879="","",INDEX(상세표[반영 기관],$M879)&amp;"")</f>
        <v/>
      </c>
      <c r="L879">
        <f>IF($M879="","",INDEX(상세표[기관 출처],$M879)&amp;"")</f>
        <v/>
      </c>
      <c r="M879" s="4">
        <f>IFERROR(MATCH(874,상세표[경계순번],0),"")</f>
        <v/>
      </c>
    </row>
    <row r="880">
      <c r="A880">
        <f>IF($M880="","",INDEX(상세표[사번],$M880)&amp;"")</f>
        <v/>
      </c>
      <c r="B880">
        <f>IF($M880="","",INDEX(상세표[성명],$M880)&amp;"")</f>
        <v/>
      </c>
      <c r="C880">
        <f>IF($M880="","",IF(INDEX(상세표[종료월],$M880)=대상월키,"전월→이번 달","이번 달→익월"))</f>
        <v/>
      </c>
      <c r="D880">
        <f>IF($M880="","",IF(ISNUMBER(INDEX(상세표[시작],$M880)),TEXT(INDEX(상세표[시작],$M880),"yyyy-mm-dd hh:mm"),INDEX(상세표[시작],$M880)&amp;""))</f>
        <v/>
      </c>
      <c r="E880">
        <f>IF($M880="","",IF(ISNUMBER(INDEX(상세표[종료],$M880)),TEXT(INDEX(상세표[종료],$M880),"yyyy-mm-dd hh:mm"),INDEX(상세표[종료],$M880)&amp;""))</f>
        <v/>
      </c>
      <c r="F880" s="20">
        <f>IF($M880="","",INDEX(상세표[기록 시간외],$M880))</f>
        <v/>
      </c>
      <c r="G880">
        <f>IF($M880="","",INDEX(상세표[시작월 기관],$M880)&amp;"")</f>
        <v/>
      </c>
      <c r="H880">
        <f>IF($M880="","",INDEX(상세표[종료월 기관],$M880)&amp;"")</f>
        <v/>
      </c>
      <c r="I880">
        <f>IF($M880="","",INDEX(상세표[월경계 판정],$M880)&amp;"")</f>
        <v/>
      </c>
      <c r="J880">
        <f>IF($M880="","",INDEX(상세표[반영월],$M880)&amp;"")</f>
        <v/>
      </c>
      <c r="K880">
        <f>IF($M880="","",INDEX(상세표[반영 기관],$M880)&amp;"")</f>
        <v/>
      </c>
      <c r="L880">
        <f>IF($M880="","",INDEX(상세표[기관 출처],$M880)&amp;"")</f>
        <v/>
      </c>
      <c r="M880" s="4">
        <f>IFERROR(MATCH(875,상세표[경계순번],0),"")</f>
        <v/>
      </c>
    </row>
    <row r="881">
      <c r="A881">
        <f>IF($M881="","",INDEX(상세표[사번],$M881)&amp;"")</f>
        <v/>
      </c>
      <c r="B881">
        <f>IF($M881="","",INDEX(상세표[성명],$M881)&amp;"")</f>
        <v/>
      </c>
      <c r="C881">
        <f>IF($M881="","",IF(INDEX(상세표[종료월],$M881)=대상월키,"전월→이번 달","이번 달→익월"))</f>
        <v/>
      </c>
      <c r="D881">
        <f>IF($M881="","",IF(ISNUMBER(INDEX(상세표[시작],$M881)),TEXT(INDEX(상세표[시작],$M881),"yyyy-mm-dd hh:mm"),INDEX(상세표[시작],$M881)&amp;""))</f>
        <v/>
      </c>
      <c r="E881">
        <f>IF($M881="","",IF(ISNUMBER(INDEX(상세표[종료],$M881)),TEXT(INDEX(상세표[종료],$M881),"yyyy-mm-dd hh:mm"),INDEX(상세표[종료],$M881)&amp;""))</f>
        <v/>
      </c>
      <c r="F881" s="20">
        <f>IF($M881="","",INDEX(상세표[기록 시간외],$M881))</f>
        <v/>
      </c>
      <c r="G881">
        <f>IF($M881="","",INDEX(상세표[시작월 기관],$M881)&amp;"")</f>
        <v/>
      </c>
      <c r="H881">
        <f>IF($M881="","",INDEX(상세표[종료월 기관],$M881)&amp;"")</f>
        <v/>
      </c>
      <c r="I881">
        <f>IF($M881="","",INDEX(상세표[월경계 판정],$M881)&amp;"")</f>
        <v/>
      </c>
      <c r="J881">
        <f>IF($M881="","",INDEX(상세표[반영월],$M881)&amp;"")</f>
        <v/>
      </c>
      <c r="K881">
        <f>IF($M881="","",INDEX(상세표[반영 기관],$M881)&amp;"")</f>
        <v/>
      </c>
      <c r="L881">
        <f>IF($M881="","",INDEX(상세표[기관 출처],$M881)&amp;"")</f>
        <v/>
      </c>
      <c r="M881" s="4">
        <f>IFERROR(MATCH(876,상세표[경계순번],0),"")</f>
        <v/>
      </c>
    </row>
    <row r="882">
      <c r="A882">
        <f>IF($M882="","",INDEX(상세표[사번],$M882)&amp;"")</f>
        <v/>
      </c>
      <c r="B882">
        <f>IF($M882="","",INDEX(상세표[성명],$M882)&amp;"")</f>
        <v/>
      </c>
      <c r="C882">
        <f>IF($M882="","",IF(INDEX(상세표[종료월],$M882)=대상월키,"전월→이번 달","이번 달→익월"))</f>
        <v/>
      </c>
      <c r="D882">
        <f>IF($M882="","",IF(ISNUMBER(INDEX(상세표[시작],$M882)),TEXT(INDEX(상세표[시작],$M882),"yyyy-mm-dd hh:mm"),INDEX(상세표[시작],$M882)&amp;""))</f>
        <v/>
      </c>
      <c r="E882">
        <f>IF($M882="","",IF(ISNUMBER(INDEX(상세표[종료],$M882)),TEXT(INDEX(상세표[종료],$M882),"yyyy-mm-dd hh:mm"),INDEX(상세표[종료],$M882)&amp;""))</f>
        <v/>
      </c>
      <c r="F882" s="20">
        <f>IF($M882="","",INDEX(상세표[기록 시간외],$M882))</f>
        <v/>
      </c>
      <c r="G882">
        <f>IF($M882="","",INDEX(상세표[시작월 기관],$M882)&amp;"")</f>
        <v/>
      </c>
      <c r="H882">
        <f>IF($M882="","",INDEX(상세표[종료월 기관],$M882)&amp;"")</f>
        <v/>
      </c>
      <c r="I882">
        <f>IF($M882="","",INDEX(상세표[월경계 판정],$M882)&amp;"")</f>
        <v/>
      </c>
      <c r="J882">
        <f>IF($M882="","",INDEX(상세표[반영월],$M882)&amp;"")</f>
        <v/>
      </c>
      <c r="K882">
        <f>IF($M882="","",INDEX(상세표[반영 기관],$M882)&amp;"")</f>
        <v/>
      </c>
      <c r="L882">
        <f>IF($M882="","",INDEX(상세표[기관 출처],$M882)&amp;"")</f>
        <v/>
      </c>
      <c r="M882" s="4">
        <f>IFERROR(MATCH(877,상세표[경계순번],0),"")</f>
        <v/>
      </c>
    </row>
    <row r="883">
      <c r="A883">
        <f>IF($M883="","",INDEX(상세표[사번],$M883)&amp;"")</f>
        <v/>
      </c>
      <c r="B883">
        <f>IF($M883="","",INDEX(상세표[성명],$M883)&amp;"")</f>
        <v/>
      </c>
      <c r="C883">
        <f>IF($M883="","",IF(INDEX(상세표[종료월],$M883)=대상월키,"전월→이번 달","이번 달→익월"))</f>
        <v/>
      </c>
      <c r="D883">
        <f>IF($M883="","",IF(ISNUMBER(INDEX(상세표[시작],$M883)),TEXT(INDEX(상세표[시작],$M883),"yyyy-mm-dd hh:mm"),INDEX(상세표[시작],$M883)&amp;""))</f>
        <v/>
      </c>
      <c r="E883">
        <f>IF($M883="","",IF(ISNUMBER(INDEX(상세표[종료],$M883)),TEXT(INDEX(상세표[종료],$M883),"yyyy-mm-dd hh:mm"),INDEX(상세표[종료],$M883)&amp;""))</f>
        <v/>
      </c>
      <c r="F883" s="20">
        <f>IF($M883="","",INDEX(상세표[기록 시간외],$M883))</f>
        <v/>
      </c>
      <c r="G883">
        <f>IF($M883="","",INDEX(상세표[시작월 기관],$M883)&amp;"")</f>
        <v/>
      </c>
      <c r="H883">
        <f>IF($M883="","",INDEX(상세표[종료월 기관],$M883)&amp;"")</f>
        <v/>
      </c>
      <c r="I883">
        <f>IF($M883="","",INDEX(상세표[월경계 판정],$M883)&amp;"")</f>
        <v/>
      </c>
      <c r="J883">
        <f>IF($M883="","",INDEX(상세표[반영월],$M883)&amp;"")</f>
        <v/>
      </c>
      <c r="K883">
        <f>IF($M883="","",INDEX(상세표[반영 기관],$M883)&amp;"")</f>
        <v/>
      </c>
      <c r="L883">
        <f>IF($M883="","",INDEX(상세표[기관 출처],$M883)&amp;"")</f>
        <v/>
      </c>
      <c r="M883" s="4">
        <f>IFERROR(MATCH(878,상세표[경계순번],0),"")</f>
        <v/>
      </c>
    </row>
    <row r="884">
      <c r="A884">
        <f>IF($M884="","",INDEX(상세표[사번],$M884)&amp;"")</f>
        <v/>
      </c>
      <c r="B884">
        <f>IF($M884="","",INDEX(상세표[성명],$M884)&amp;"")</f>
        <v/>
      </c>
      <c r="C884">
        <f>IF($M884="","",IF(INDEX(상세표[종료월],$M884)=대상월키,"전월→이번 달","이번 달→익월"))</f>
        <v/>
      </c>
      <c r="D884">
        <f>IF($M884="","",IF(ISNUMBER(INDEX(상세표[시작],$M884)),TEXT(INDEX(상세표[시작],$M884),"yyyy-mm-dd hh:mm"),INDEX(상세표[시작],$M884)&amp;""))</f>
        <v/>
      </c>
      <c r="E884">
        <f>IF($M884="","",IF(ISNUMBER(INDEX(상세표[종료],$M884)),TEXT(INDEX(상세표[종료],$M884),"yyyy-mm-dd hh:mm"),INDEX(상세표[종료],$M884)&amp;""))</f>
        <v/>
      </c>
      <c r="F884" s="20">
        <f>IF($M884="","",INDEX(상세표[기록 시간외],$M884))</f>
        <v/>
      </c>
      <c r="G884">
        <f>IF($M884="","",INDEX(상세표[시작월 기관],$M884)&amp;"")</f>
        <v/>
      </c>
      <c r="H884">
        <f>IF($M884="","",INDEX(상세표[종료월 기관],$M884)&amp;"")</f>
        <v/>
      </c>
      <c r="I884">
        <f>IF($M884="","",INDEX(상세표[월경계 판정],$M884)&amp;"")</f>
        <v/>
      </c>
      <c r="J884">
        <f>IF($M884="","",INDEX(상세표[반영월],$M884)&amp;"")</f>
        <v/>
      </c>
      <c r="K884">
        <f>IF($M884="","",INDEX(상세표[반영 기관],$M884)&amp;"")</f>
        <v/>
      </c>
      <c r="L884">
        <f>IF($M884="","",INDEX(상세표[기관 출처],$M884)&amp;"")</f>
        <v/>
      </c>
      <c r="M884" s="4">
        <f>IFERROR(MATCH(879,상세표[경계순번],0),"")</f>
        <v/>
      </c>
    </row>
    <row r="885">
      <c r="A885">
        <f>IF($M885="","",INDEX(상세표[사번],$M885)&amp;"")</f>
        <v/>
      </c>
      <c r="B885">
        <f>IF($M885="","",INDEX(상세표[성명],$M885)&amp;"")</f>
        <v/>
      </c>
      <c r="C885">
        <f>IF($M885="","",IF(INDEX(상세표[종료월],$M885)=대상월키,"전월→이번 달","이번 달→익월"))</f>
        <v/>
      </c>
      <c r="D885">
        <f>IF($M885="","",IF(ISNUMBER(INDEX(상세표[시작],$M885)),TEXT(INDEX(상세표[시작],$M885),"yyyy-mm-dd hh:mm"),INDEX(상세표[시작],$M885)&amp;""))</f>
        <v/>
      </c>
      <c r="E885">
        <f>IF($M885="","",IF(ISNUMBER(INDEX(상세표[종료],$M885)),TEXT(INDEX(상세표[종료],$M885),"yyyy-mm-dd hh:mm"),INDEX(상세표[종료],$M885)&amp;""))</f>
        <v/>
      </c>
      <c r="F885" s="20">
        <f>IF($M885="","",INDEX(상세표[기록 시간외],$M885))</f>
        <v/>
      </c>
      <c r="G885">
        <f>IF($M885="","",INDEX(상세표[시작월 기관],$M885)&amp;"")</f>
        <v/>
      </c>
      <c r="H885">
        <f>IF($M885="","",INDEX(상세표[종료월 기관],$M885)&amp;"")</f>
        <v/>
      </c>
      <c r="I885">
        <f>IF($M885="","",INDEX(상세표[월경계 판정],$M885)&amp;"")</f>
        <v/>
      </c>
      <c r="J885">
        <f>IF($M885="","",INDEX(상세표[반영월],$M885)&amp;"")</f>
        <v/>
      </c>
      <c r="K885">
        <f>IF($M885="","",INDEX(상세표[반영 기관],$M885)&amp;"")</f>
        <v/>
      </c>
      <c r="L885">
        <f>IF($M885="","",INDEX(상세표[기관 출처],$M885)&amp;"")</f>
        <v/>
      </c>
      <c r="M885" s="4">
        <f>IFERROR(MATCH(880,상세표[경계순번],0),"")</f>
        <v/>
      </c>
    </row>
    <row r="886">
      <c r="A886">
        <f>IF($M886="","",INDEX(상세표[사번],$M886)&amp;"")</f>
        <v/>
      </c>
      <c r="B886">
        <f>IF($M886="","",INDEX(상세표[성명],$M886)&amp;"")</f>
        <v/>
      </c>
      <c r="C886">
        <f>IF($M886="","",IF(INDEX(상세표[종료월],$M886)=대상월키,"전월→이번 달","이번 달→익월"))</f>
        <v/>
      </c>
      <c r="D886">
        <f>IF($M886="","",IF(ISNUMBER(INDEX(상세표[시작],$M886)),TEXT(INDEX(상세표[시작],$M886),"yyyy-mm-dd hh:mm"),INDEX(상세표[시작],$M886)&amp;""))</f>
        <v/>
      </c>
      <c r="E886">
        <f>IF($M886="","",IF(ISNUMBER(INDEX(상세표[종료],$M886)),TEXT(INDEX(상세표[종료],$M886),"yyyy-mm-dd hh:mm"),INDEX(상세표[종료],$M886)&amp;""))</f>
        <v/>
      </c>
      <c r="F886" s="20">
        <f>IF($M886="","",INDEX(상세표[기록 시간외],$M886))</f>
        <v/>
      </c>
      <c r="G886">
        <f>IF($M886="","",INDEX(상세표[시작월 기관],$M886)&amp;"")</f>
        <v/>
      </c>
      <c r="H886">
        <f>IF($M886="","",INDEX(상세표[종료월 기관],$M886)&amp;"")</f>
        <v/>
      </c>
      <c r="I886">
        <f>IF($M886="","",INDEX(상세표[월경계 판정],$M886)&amp;"")</f>
        <v/>
      </c>
      <c r="J886">
        <f>IF($M886="","",INDEX(상세표[반영월],$M886)&amp;"")</f>
        <v/>
      </c>
      <c r="K886">
        <f>IF($M886="","",INDEX(상세표[반영 기관],$M886)&amp;"")</f>
        <v/>
      </c>
      <c r="L886">
        <f>IF($M886="","",INDEX(상세표[기관 출처],$M886)&amp;"")</f>
        <v/>
      </c>
      <c r="M886" s="4">
        <f>IFERROR(MATCH(881,상세표[경계순번],0),"")</f>
        <v/>
      </c>
    </row>
    <row r="887">
      <c r="A887">
        <f>IF($M887="","",INDEX(상세표[사번],$M887)&amp;"")</f>
        <v/>
      </c>
      <c r="B887">
        <f>IF($M887="","",INDEX(상세표[성명],$M887)&amp;"")</f>
        <v/>
      </c>
      <c r="C887">
        <f>IF($M887="","",IF(INDEX(상세표[종료월],$M887)=대상월키,"전월→이번 달","이번 달→익월"))</f>
        <v/>
      </c>
      <c r="D887">
        <f>IF($M887="","",IF(ISNUMBER(INDEX(상세표[시작],$M887)),TEXT(INDEX(상세표[시작],$M887),"yyyy-mm-dd hh:mm"),INDEX(상세표[시작],$M887)&amp;""))</f>
        <v/>
      </c>
      <c r="E887">
        <f>IF($M887="","",IF(ISNUMBER(INDEX(상세표[종료],$M887)),TEXT(INDEX(상세표[종료],$M887),"yyyy-mm-dd hh:mm"),INDEX(상세표[종료],$M887)&amp;""))</f>
        <v/>
      </c>
      <c r="F887" s="20">
        <f>IF($M887="","",INDEX(상세표[기록 시간외],$M887))</f>
        <v/>
      </c>
      <c r="G887">
        <f>IF($M887="","",INDEX(상세표[시작월 기관],$M887)&amp;"")</f>
        <v/>
      </c>
      <c r="H887">
        <f>IF($M887="","",INDEX(상세표[종료월 기관],$M887)&amp;"")</f>
        <v/>
      </c>
      <c r="I887">
        <f>IF($M887="","",INDEX(상세표[월경계 판정],$M887)&amp;"")</f>
        <v/>
      </c>
      <c r="J887">
        <f>IF($M887="","",INDEX(상세표[반영월],$M887)&amp;"")</f>
        <v/>
      </c>
      <c r="K887">
        <f>IF($M887="","",INDEX(상세표[반영 기관],$M887)&amp;"")</f>
        <v/>
      </c>
      <c r="L887">
        <f>IF($M887="","",INDEX(상세표[기관 출처],$M887)&amp;"")</f>
        <v/>
      </c>
      <c r="M887" s="4">
        <f>IFERROR(MATCH(882,상세표[경계순번],0),"")</f>
        <v/>
      </c>
    </row>
    <row r="888">
      <c r="A888">
        <f>IF($M888="","",INDEX(상세표[사번],$M888)&amp;"")</f>
        <v/>
      </c>
      <c r="B888">
        <f>IF($M888="","",INDEX(상세표[성명],$M888)&amp;"")</f>
        <v/>
      </c>
      <c r="C888">
        <f>IF($M888="","",IF(INDEX(상세표[종료월],$M888)=대상월키,"전월→이번 달","이번 달→익월"))</f>
        <v/>
      </c>
      <c r="D888">
        <f>IF($M888="","",IF(ISNUMBER(INDEX(상세표[시작],$M888)),TEXT(INDEX(상세표[시작],$M888),"yyyy-mm-dd hh:mm"),INDEX(상세표[시작],$M888)&amp;""))</f>
        <v/>
      </c>
      <c r="E888">
        <f>IF($M888="","",IF(ISNUMBER(INDEX(상세표[종료],$M888)),TEXT(INDEX(상세표[종료],$M888),"yyyy-mm-dd hh:mm"),INDEX(상세표[종료],$M888)&amp;""))</f>
        <v/>
      </c>
      <c r="F888" s="20">
        <f>IF($M888="","",INDEX(상세표[기록 시간외],$M888))</f>
        <v/>
      </c>
      <c r="G888">
        <f>IF($M888="","",INDEX(상세표[시작월 기관],$M888)&amp;"")</f>
        <v/>
      </c>
      <c r="H888">
        <f>IF($M888="","",INDEX(상세표[종료월 기관],$M888)&amp;"")</f>
        <v/>
      </c>
      <c r="I888">
        <f>IF($M888="","",INDEX(상세표[월경계 판정],$M888)&amp;"")</f>
        <v/>
      </c>
      <c r="J888">
        <f>IF($M888="","",INDEX(상세표[반영월],$M888)&amp;"")</f>
        <v/>
      </c>
      <c r="K888">
        <f>IF($M888="","",INDEX(상세표[반영 기관],$M888)&amp;"")</f>
        <v/>
      </c>
      <c r="L888">
        <f>IF($M888="","",INDEX(상세표[기관 출처],$M888)&amp;"")</f>
        <v/>
      </c>
      <c r="M888" s="4">
        <f>IFERROR(MATCH(883,상세표[경계순번],0),"")</f>
        <v/>
      </c>
    </row>
    <row r="889">
      <c r="A889">
        <f>IF($M889="","",INDEX(상세표[사번],$M889)&amp;"")</f>
        <v/>
      </c>
      <c r="B889">
        <f>IF($M889="","",INDEX(상세표[성명],$M889)&amp;"")</f>
        <v/>
      </c>
      <c r="C889">
        <f>IF($M889="","",IF(INDEX(상세표[종료월],$M889)=대상월키,"전월→이번 달","이번 달→익월"))</f>
        <v/>
      </c>
      <c r="D889">
        <f>IF($M889="","",IF(ISNUMBER(INDEX(상세표[시작],$M889)),TEXT(INDEX(상세표[시작],$M889),"yyyy-mm-dd hh:mm"),INDEX(상세표[시작],$M889)&amp;""))</f>
        <v/>
      </c>
      <c r="E889">
        <f>IF($M889="","",IF(ISNUMBER(INDEX(상세표[종료],$M889)),TEXT(INDEX(상세표[종료],$M889),"yyyy-mm-dd hh:mm"),INDEX(상세표[종료],$M889)&amp;""))</f>
        <v/>
      </c>
      <c r="F889" s="20">
        <f>IF($M889="","",INDEX(상세표[기록 시간외],$M889))</f>
        <v/>
      </c>
      <c r="G889">
        <f>IF($M889="","",INDEX(상세표[시작월 기관],$M889)&amp;"")</f>
        <v/>
      </c>
      <c r="H889">
        <f>IF($M889="","",INDEX(상세표[종료월 기관],$M889)&amp;"")</f>
        <v/>
      </c>
      <c r="I889">
        <f>IF($M889="","",INDEX(상세표[월경계 판정],$M889)&amp;"")</f>
        <v/>
      </c>
      <c r="J889">
        <f>IF($M889="","",INDEX(상세표[반영월],$M889)&amp;"")</f>
        <v/>
      </c>
      <c r="K889">
        <f>IF($M889="","",INDEX(상세표[반영 기관],$M889)&amp;"")</f>
        <v/>
      </c>
      <c r="L889">
        <f>IF($M889="","",INDEX(상세표[기관 출처],$M889)&amp;"")</f>
        <v/>
      </c>
      <c r="M889" s="4">
        <f>IFERROR(MATCH(884,상세표[경계순번],0),"")</f>
        <v/>
      </c>
    </row>
    <row r="890">
      <c r="A890">
        <f>IF($M890="","",INDEX(상세표[사번],$M890)&amp;"")</f>
        <v/>
      </c>
      <c r="B890">
        <f>IF($M890="","",INDEX(상세표[성명],$M890)&amp;"")</f>
        <v/>
      </c>
      <c r="C890">
        <f>IF($M890="","",IF(INDEX(상세표[종료월],$M890)=대상월키,"전월→이번 달","이번 달→익월"))</f>
        <v/>
      </c>
      <c r="D890">
        <f>IF($M890="","",IF(ISNUMBER(INDEX(상세표[시작],$M890)),TEXT(INDEX(상세표[시작],$M890),"yyyy-mm-dd hh:mm"),INDEX(상세표[시작],$M890)&amp;""))</f>
        <v/>
      </c>
      <c r="E890">
        <f>IF($M890="","",IF(ISNUMBER(INDEX(상세표[종료],$M890)),TEXT(INDEX(상세표[종료],$M890),"yyyy-mm-dd hh:mm"),INDEX(상세표[종료],$M890)&amp;""))</f>
        <v/>
      </c>
      <c r="F890" s="20">
        <f>IF($M890="","",INDEX(상세표[기록 시간외],$M890))</f>
        <v/>
      </c>
      <c r="G890">
        <f>IF($M890="","",INDEX(상세표[시작월 기관],$M890)&amp;"")</f>
        <v/>
      </c>
      <c r="H890">
        <f>IF($M890="","",INDEX(상세표[종료월 기관],$M890)&amp;"")</f>
        <v/>
      </c>
      <c r="I890">
        <f>IF($M890="","",INDEX(상세표[월경계 판정],$M890)&amp;"")</f>
        <v/>
      </c>
      <c r="J890">
        <f>IF($M890="","",INDEX(상세표[반영월],$M890)&amp;"")</f>
        <v/>
      </c>
      <c r="K890">
        <f>IF($M890="","",INDEX(상세표[반영 기관],$M890)&amp;"")</f>
        <v/>
      </c>
      <c r="L890">
        <f>IF($M890="","",INDEX(상세표[기관 출처],$M890)&amp;"")</f>
        <v/>
      </c>
      <c r="M890" s="4">
        <f>IFERROR(MATCH(885,상세표[경계순번],0),"")</f>
        <v/>
      </c>
    </row>
    <row r="891">
      <c r="A891">
        <f>IF($M891="","",INDEX(상세표[사번],$M891)&amp;"")</f>
        <v/>
      </c>
      <c r="B891">
        <f>IF($M891="","",INDEX(상세표[성명],$M891)&amp;"")</f>
        <v/>
      </c>
      <c r="C891">
        <f>IF($M891="","",IF(INDEX(상세표[종료월],$M891)=대상월키,"전월→이번 달","이번 달→익월"))</f>
        <v/>
      </c>
      <c r="D891">
        <f>IF($M891="","",IF(ISNUMBER(INDEX(상세표[시작],$M891)),TEXT(INDEX(상세표[시작],$M891),"yyyy-mm-dd hh:mm"),INDEX(상세표[시작],$M891)&amp;""))</f>
        <v/>
      </c>
      <c r="E891">
        <f>IF($M891="","",IF(ISNUMBER(INDEX(상세표[종료],$M891)),TEXT(INDEX(상세표[종료],$M891),"yyyy-mm-dd hh:mm"),INDEX(상세표[종료],$M891)&amp;""))</f>
        <v/>
      </c>
      <c r="F891" s="20">
        <f>IF($M891="","",INDEX(상세표[기록 시간외],$M891))</f>
        <v/>
      </c>
      <c r="G891">
        <f>IF($M891="","",INDEX(상세표[시작월 기관],$M891)&amp;"")</f>
        <v/>
      </c>
      <c r="H891">
        <f>IF($M891="","",INDEX(상세표[종료월 기관],$M891)&amp;"")</f>
        <v/>
      </c>
      <c r="I891">
        <f>IF($M891="","",INDEX(상세표[월경계 판정],$M891)&amp;"")</f>
        <v/>
      </c>
      <c r="J891">
        <f>IF($M891="","",INDEX(상세표[반영월],$M891)&amp;"")</f>
        <v/>
      </c>
      <c r="K891">
        <f>IF($M891="","",INDEX(상세표[반영 기관],$M891)&amp;"")</f>
        <v/>
      </c>
      <c r="L891">
        <f>IF($M891="","",INDEX(상세표[기관 출처],$M891)&amp;"")</f>
        <v/>
      </c>
      <c r="M891" s="4">
        <f>IFERROR(MATCH(886,상세표[경계순번],0),"")</f>
        <v/>
      </c>
    </row>
    <row r="892">
      <c r="A892">
        <f>IF($M892="","",INDEX(상세표[사번],$M892)&amp;"")</f>
        <v/>
      </c>
      <c r="B892">
        <f>IF($M892="","",INDEX(상세표[성명],$M892)&amp;"")</f>
        <v/>
      </c>
      <c r="C892">
        <f>IF($M892="","",IF(INDEX(상세표[종료월],$M892)=대상월키,"전월→이번 달","이번 달→익월"))</f>
        <v/>
      </c>
      <c r="D892">
        <f>IF($M892="","",IF(ISNUMBER(INDEX(상세표[시작],$M892)),TEXT(INDEX(상세표[시작],$M892),"yyyy-mm-dd hh:mm"),INDEX(상세표[시작],$M892)&amp;""))</f>
        <v/>
      </c>
      <c r="E892">
        <f>IF($M892="","",IF(ISNUMBER(INDEX(상세표[종료],$M892)),TEXT(INDEX(상세표[종료],$M892),"yyyy-mm-dd hh:mm"),INDEX(상세표[종료],$M892)&amp;""))</f>
        <v/>
      </c>
      <c r="F892" s="20">
        <f>IF($M892="","",INDEX(상세표[기록 시간외],$M892))</f>
        <v/>
      </c>
      <c r="G892">
        <f>IF($M892="","",INDEX(상세표[시작월 기관],$M892)&amp;"")</f>
        <v/>
      </c>
      <c r="H892">
        <f>IF($M892="","",INDEX(상세표[종료월 기관],$M892)&amp;"")</f>
        <v/>
      </c>
      <c r="I892">
        <f>IF($M892="","",INDEX(상세표[월경계 판정],$M892)&amp;"")</f>
        <v/>
      </c>
      <c r="J892">
        <f>IF($M892="","",INDEX(상세표[반영월],$M892)&amp;"")</f>
        <v/>
      </c>
      <c r="K892">
        <f>IF($M892="","",INDEX(상세표[반영 기관],$M892)&amp;"")</f>
        <v/>
      </c>
      <c r="L892">
        <f>IF($M892="","",INDEX(상세표[기관 출처],$M892)&amp;"")</f>
        <v/>
      </c>
      <c r="M892" s="4">
        <f>IFERROR(MATCH(887,상세표[경계순번],0),"")</f>
        <v/>
      </c>
    </row>
    <row r="893">
      <c r="A893">
        <f>IF($M893="","",INDEX(상세표[사번],$M893)&amp;"")</f>
        <v/>
      </c>
      <c r="B893">
        <f>IF($M893="","",INDEX(상세표[성명],$M893)&amp;"")</f>
        <v/>
      </c>
      <c r="C893">
        <f>IF($M893="","",IF(INDEX(상세표[종료월],$M893)=대상월키,"전월→이번 달","이번 달→익월"))</f>
        <v/>
      </c>
      <c r="D893">
        <f>IF($M893="","",IF(ISNUMBER(INDEX(상세표[시작],$M893)),TEXT(INDEX(상세표[시작],$M893),"yyyy-mm-dd hh:mm"),INDEX(상세표[시작],$M893)&amp;""))</f>
        <v/>
      </c>
      <c r="E893">
        <f>IF($M893="","",IF(ISNUMBER(INDEX(상세표[종료],$M893)),TEXT(INDEX(상세표[종료],$M893),"yyyy-mm-dd hh:mm"),INDEX(상세표[종료],$M893)&amp;""))</f>
        <v/>
      </c>
      <c r="F893" s="20">
        <f>IF($M893="","",INDEX(상세표[기록 시간외],$M893))</f>
        <v/>
      </c>
      <c r="G893">
        <f>IF($M893="","",INDEX(상세표[시작월 기관],$M893)&amp;"")</f>
        <v/>
      </c>
      <c r="H893">
        <f>IF($M893="","",INDEX(상세표[종료월 기관],$M893)&amp;"")</f>
        <v/>
      </c>
      <c r="I893">
        <f>IF($M893="","",INDEX(상세표[월경계 판정],$M893)&amp;"")</f>
        <v/>
      </c>
      <c r="J893">
        <f>IF($M893="","",INDEX(상세표[반영월],$M893)&amp;"")</f>
        <v/>
      </c>
      <c r="K893">
        <f>IF($M893="","",INDEX(상세표[반영 기관],$M893)&amp;"")</f>
        <v/>
      </c>
      <c r="L893">
        <f>IF($M893="","",INDEX(상세표[기관 출처],$M893)&amp;"")</f>
        <v/>
      </c>
      <c r="M893" s="4">
        <f>IFERROR(MATCH(888,상세표[경계순번],0),"")</f>
        <v/>
      </c>
    </row>
    <row r="894">
      <c r="A894">
        <f>IF($M894="","",INDEX(상세표[사번],$M894)&amp;"")</f>
        <v/>
      </c>
      <c r="B894">
        <f>IF($M894="","",INDEX(상세표[성명],$M894)&amp;"")</f>
        <v/>
      </c>
      <c r="C894">
        <f>IF($M894="","",IF(INDEX(상세표[종료월],$M894)=대상월키,"전월→이번 달","이번 달→익월"))</f>
        <v/>
      </c>
      <c r="D894">
        <f>IF($M894="","",IF(ISNUMBER(INDEX(상세표[시작],$M894)),TEXT(INDEX(상세표[시작],$M894),"yyyy-mm-dd hh:mm"),INDEX(상세표[시작],$M894)&amp;""))</f>
        <v/>
      </c>
      <c r="E894">
        <f>IF($M894="","",IF(ISNUMBER(INDEX(상세표[종료],$M894)),TEXT(INDEX(상세표[종료],$M894),"yyyy-mm-dd hh:mm"),INDEX(상세표[종료],$M894)&amp;""))</f>
        <v/>
      </c>
      <c r="F894" s="20">
        <f>IF($M894="","",INDEX(상세표[기록 시간외],$M894))</f>
        <v/>
      </c>
      <c r="G894">
        <f>IF($M894="","",INDEX(상세표[시작월 기관],$M894)&amp;"")</f>
        <v/>
      </c>
      <c r="H894">
        <f>IF($M894="","",INDEX(상세표[종료월 기관],$M894)&amp;"")</f>
        <v/>
      </c>
      <c r="I894">
        <f>IF($M894="","",INDEX(상세표[월경계 판정],$M894)&amp;"")</f>
        <v/>
      </c>
      <c r="J894">
        <f>IF($M894="","",INDEX(상세표[반영월],$M894)&amp;"")</f>
        <v/>
      </c>
      <c r="K894">
        <f>IF($M894="","",INDEX(상세표[반영 기관],$M894)&amp;"")</f>
        <v/>
      </c>
      <c r="L894">
        <f>IF($M894="","",INDEX(상세표[기관 출처],$M894)&amp;"")</f>
        <v/>
      </c>
      <c r="M894" s="4">
        <f>IFERROR(MATCH(889,상세표[경계순번],0),"")</f>
        <v/>
      </c>
    </row>
    <row r="895">
      <c r="A895">
        <f>IF($M895="","",INDEX(상세표[사번],$M895)&amp;"")</f>
        <v/>
      </c>
      <c r="B895">
        <f>IF($M895="","",INDEX(상세표[성명],$M895)&amp;"")</f>
        <v/>
      </c>
      <c r="C895">
        <f>IF($M895="","",IF(INDEX(상세표[종료월],$M895)=대상월키,"전월→이번 달","이번 달→익월"))</f>
        <v/>
      </c>
      <c r="D895">
        <f>IF($M895="","",IF(ISNUMBER(INDEX(상세표[시작],$M895)),TEXT(INDEX(상세표[시작],$M895),"yyyy-mm-dd hh:mm"),INDEX(상세표[시작],$M895)&amp;""))</f>
        <v/>
      </c>
      <c r="E895">
        <f>IF($M895="","",IF(ISNUMBER(INDEX(상세표[종료],$M895)),TEXT(INDEX(상세표[종료],$M895),"yyyy-mm-dd hh:mm"),INDEX(상세표[종료],$M895)&amp;""))</f>
        <v/>
      </c>
      <c r="F895" s="20">
        <f>IF($M895="","",INDEX(상세표[기록 시간외],$M895))</f>
        <v/>
      </c>
      <c r="G895">
        <f>IF($M895="","",INDEX(상세표[시작월 기관],$M895)&amp;"")</f>
        <v/>
      </c>
      <c r="H895">
        <f>IF($M895="","",INDEX(상세표[종료월 기관],$M895)&amp;"")</f>
        <v/>
      </c>
      <c r="I895">
        <f>IF($M895="","",INDEX(상세표[월경계 판정],$M895)&amp;"")</f>
        <v/>
      </c>
      <c r="J895">
        <f>IF($M895="","",INDEX(상세표[반영월],$M895)&amp;"")</f>
        <v/>
      </c>
      <c r="K895">
        <f>IF($M895="","",INDEX(상세표[반영 기관],$M895)&amp;"")</f>
        <v/>
      </c>
      <c r="L895">
        <f>IF($M895="","",INDEX(상세표[기관 출처],$M895)&amp;"")</f>
        <v/>
      </c>
      <c r="M895" s="4">
        <f>IFERROR(MATCH(890,상세표[경계순번],0),"")</f>
        <v/>
      </c>
    </row>
    <row r="896">
      <c r="A896">
        <f>IF($M896="","",INDEX(상세표[사번],$M896)&amp;"")</f>
        <v/>
      </c>
      <c r="B896">
        <f>IF($M896="","",INDEX(상세표[성명],$M896)&amp;"")</f>
        <v/>
      </c>
      <c r="C896">
        <f>IF($M896="","",IF(INDEX(상세표[종료월],$M896)=대상월키,"전월→이번 달","이번 달→익월"))</f>
        <v/>
      </c>
      <c r="D896">
        <f>IF($M896="","",IF(ISNUMBER(INDEX(상세표[시작],$M896)),TEXT(INDEX(상세표[시작],$M896),"yyyy-mm-dd hh:mm"),INDEX(상세표[시작],$M896)&amp;""))</f>
        <v/>
      </c>
      <c r="E896">
        <f>IF($M896="","",IF(ISNUMBER(INDEX(상세표[종료],$M896)),TEXT(INDEX(상세표[종료],$M896),"yyyy-mm-dd hh:mm"),INDEX(상세표[종료],$M896)&amp;""))</f>
        <v/>
      </c>
      <c r="F896" s="20">
        <f>IF($M896="","",INDEX(상세표[기록 시간외],$M896))</f>
        <v/>
      </c>
      <c r="G896">
        <f>IF($M896="","",INDEX(상세표[시작월 기관],$M896)&amp;"")</f>
        <v/>
      </c>
      <c r="H896">
        <f>IF($M896="","",INDEX(상세표[종료월 기관],$M896)&amp;"")</f>
        <v/>
      </c>
      <c r="I896">
        <f>IF($M896="","",INDEX(상세표[월경계 판정],$M896)&amp;"")</f>
        <v/>
      </c>
      <c r="J896">
        <f>IF($M896="","",INDEX(상세표[반영월],$M896)&amp;"")</f>
        <v/>
      </c>
      <c r="K896">
        <f>IF($M896="","",INDEX(상세표[반영 기관],$M896)&amp;"")</f>
        <v/>
      </c>
      <c r="L896">
        <f>IF($M896="","",INDEX(상세표[기관 출처],$M896)&amp;"")</f>
        <v/>
      </c>
      <c r="M896" s="4">
        <f>IFERROR(MATCH(891,상세표[경계순번],0),"")</f>
        <v/>
      </c>
    </row>
    <row r="897">
      <c r="A897">
        <f>IF($M897="","",INDEX(상세표[사번],$M897)&amp;"")</f>
        <v/>
      </c>
      <c r="B897">
        <f>IF($M897="","",INDEX(상세표[성명],$M897)&amp;"")</f>
        <v/>
      </c>
      <c r="C897">
        <f>IF($M897="","",IF(INDEX(상세표[종료월],$M897)=대상월키,"전월→이번 달","이번 달→익월"))</f>
        <v/>
      </c>
      <c r="D897">
        <f>IF($M897="","",IF(ISNUMBER(INDEX(상세표[시작],$M897)),TEXT(INDEX(상세표[시작],$M897),"yyyy-mm-dd hh:mm"),INDEX(상세표[시작],$M897)&amp;""))</f>
        <v/>
      </c>
      <c r="E897">
        <f>IF($M897="","",IF(ISNUMBER(INDEX(상세표[종료],$M897)),TEXT(INDEX(상세표[종료],$M897),"yyyy-mm-dd hh:mm"),INDEX(상세표[종료],$M897)&amp;""))</f>
        <v/>
      </c>
      <c r="F897" s="20">
        <f>IF($M897="","",INDEX(상세표[기록 시간외],$M897))</f>
        <v/>
      </c>
      <c r="G897">
        <f>IF($M897="","",INDEX(상세표[시작월 기관],$M897)&amp;"")</f>
        <v/>
      </c>
      <c r="H897">
        <f>IF($M897="","",INDEX(상세표[종료월 기관],$M897)&amp;"")</f>
        <v/>
      </c>
      <c r="I897">
        <f>IF($M897="","",INDEX(상세표[월경계 판정],$M897)&amp;"")</f>
        <v/>
      </c>
      <c r="J897">
        <f>IF($M897="","",INDEX(상세표[반영월],$M897)&amp;"")</f>
        <v/>
      </c>
      <c r="K897">
        <f>IF($M897="","",INDEX(상세표[반영 기관],$M897)&amp;"")</f>
        <v/>
      </c>
      <c r="L897">
        <f>IF($M897="","",INDEX(상세표[기관 출처],$M897)&amp;"")</f>
        <v/>
      </c>
      <c r="M897" s="4">
        <f>IFERROR(MATCH(892,상세표[경계순번],0),"")</f>
        <v/>
      </c>
    </row>
    <row r="898">
      <c r="A898">
        <f>IF($M898="","",INDEX(상세표[사번],$M898)&amp;"")</f>
        <v/>
      </c>
      <c r="B898">
        <f>IF($M898="","",INDEX(상세표[성명],$M898)&amp;"")</f>
        <v/>
      </c>
      <c r="C898">
        <f>IF($M898="","",IF(INDEX(상세표[종료월],$M898)=대상월키,"전월→이번 달","이번 달→익월"))</f>
        <v/>
      </c>
      <c r="D898">
        <f>IF($M898="","",IF(ISNUMBER(INDEX(상세표[시작],$M898)),TEXT(INDEX(상세표[시작],$M898),"yyyy-mm-dd hh:mm"),INDEX(상세표[시작],$M898)&amp;""))</f>
        <v/>
      </c>
      <c r="E898">
        <f>IF($M898="","",IF(ISNUMBER(INDEX(상세표[종료],$M898)),TEXT(INDEX(상세표[종료],$M898),"yyyy-mm-dd hh:mm"),INDEX(상세표[종료],$M898)&amp;""))</f>
        <v/>
      </c>
      <c r="F898" s="20">
        <f>IF($M898="","",INDEX(상세표[기록 시간외],$M898))</f>
        <v/>
      </c>
      <c r="G898">
        <f>IF($M898="","",INDEX(상세표[시작월 기관],$M898)&amp;"")</f>
        <v/>
      </c>
      <c r="H898">
        <f>IF($M898="","",INDEX(상세표[종료월 기관],$M898)&amp;"")</f>
        <v/>
      </c>
      <c r="I898">
        <f>IF($M898="","",INDEX(상세표[월경계 판정],$M898)&amp;"")</f>
        <v/>
      </c>
      <c r="J898">
        <f>IF($M898="","",INDEX(상세표[반영월],$M898)&amp;"")</f>
        <v/>
      </c>
      <c r="K898">
        <f>IF($M898="","",INDEX(상세표[반영 기관],$M898)&amp;"")</f>
        <v/>
      </c>
      <c r="L898">
        <f>IF($M898="","",INDEX(상세표[기관 출처],$M898)&amp;"")</f>
        <v/>
      </c>
      <c r="M898" s="4">
        <f>IFERROR(MATCH(893,상세표[경계순번],0),"")</f>
        <v/>
      </c>
    </row>
    <row r="899">
      <c r="A899">
        <f>IF($M899="","",INDEX(상세표[사번],$M899)&amp;"")</f>
        <v/>
      </c>
      <c r="B899">
        <f>IF($M899="","",INDEX(상세표[성명],$M899)&amp;"")</f>
        <v/>
      </c>
      <c r="C899">
        <f>IF($M899="","",IF(INDEX(상세표[종료월],$M899)=대상월키,"전월→이번 달","이번 달→익월"))</f>
        <v/>
      </c>
      <c r="D899">
        <f>IF($M899="","",IF(ISNUMBER(INDEX(상세표[시작],$M899)),TEXT(INDEX(상세표[시작],$M899),"yyyy-mm-dd hh:mm"),INDEX(상세표[시작],$M899)&amp;""))</f>
        <v/>
      </c>
      <c r="E899">
        <f>IF($M899="","",IF(ISNUMBER(INDEX(상세표[종료],$M899)),TEXT(INDEX(상세표[종료],$M899),"yyyy-mm-dd hh:mm"),INDEX(상세표[종료],$M899)&amp;""))</f>
        <v/>
      </c>
      <c r="F899" s="20">
        <f>IF($M899="","",INDEX(상세표[기록 시간외],$M899))</f>
        <v/>
      </c>
      <c r="G899">
        <f>IF($M899="","",INDEX(상세표[시작월 기관],$M899)&amp;"")</f>
        <v/>
      </c>
      <c r="H899">
        <f>IF($M899="","",INDEX(상세표[종료월 기관],$M899)&amp;"")</f>
        <v/>
      </c>
      <c r="I899">
        <f>IF($M899="","",INDEX(상세표[월경계 판정],$M899)&amp;"")</f>
        <v/>
      </c>
      <c r="J899">
        <f>IF($M899="","",INDEX(상세표[반영월],$M899)&amp;"")</f>
        <v/>
      </c>
      <c r="K899">
        <f>IF($M899="","",INDEX(상세표[반영 기관],$M899)&amp;"")</f>
        <v/>
      </c>
      <c r="L899">
        <f>IF($M899="","",INDEX(상세표[기관 출처],$M899)&amp;"")</f>
        <v/>
      </c>
      <c r="M899" s="4">
        <f>IFERROR(MATCH(894,상세표[경계순번],0),"")</f>
        <v/>
      </c>
    </row>
    <row r="900">
      <c r="A900">
        <f>IF($M900="","",INDEX(상세표[사번],$M900)&amp;"")</f>
        <v/>
      </c>
      <c r="B900">
        <f>IF($M900="","",INDEX(상세표[성명],$M900)&amp;"")</f>
        <v/>
      </c>
      <c r="C900">
        <f>IF($M900="","",IF(INDEX(상세표[종료월],$M900)=대상월키,"전월→이번 달","이번 달→익월"))</f>
        <v/>
      </c>
      <c r="D900">
        <f>IF($M900="","",IF(ISNUMBER(INDEX(상세표[시작],$M900)),TEXT(INDEX(상세표[시작],$M900),"yyyy-mm-dd hh:mm"),INDEX(상세표[시작],$M900)&amp;""))</f>
        <v/>
      </c>
      <c r="E900">
        <f>IF($M900="","",IF(ISNUMBER(INDEX(상세표[종료],$M900)),TEXT(INDEX(상세표[종료],$M900),"yyyy-mm-dd hh:mm"),INDEX(상세표[종료],$M900)&amp;""))</f>
        <v/>
      </c>
      <c r="F900" s="20">
        <f>IF($M900="","",INDEX(상세표[기록 시간외],$M900))</f>
        <v/>
      </c>
      <c r="G900">
        <f>IF($M900="","",INDEX(상세표[시작월 기관],$M900)&amp;"")</f>
        <v/>
      </c>
      <c r="H900">
        <f>IF($M900="","",INDEX(상세표[종료월 기관],$M900)&amp;"")</f>
        <v/>
      </c>
      <c r="I900">
        <f>IF($M900="","",INDEX(상세표[월경계 판정],$M900)&amp;"")</f>
        <v/>
      </c>
      <c r="J900">
        <f>IF($M900="","",INDEX(상세표[반영월],$M900)&amp;"")</f>
        <v/>
      </c>
      <c r="K900">
        <f>IF($M900="","",INDEX(상세표[반영 기관],$M900)&amp;"")</f>
        <v/>
      </c>
      <c r="L900">
        <f>IF($M900="","",INDEX(상세표[기관 출처],$M900)&amp;"")</f>
        <v/>
      </c>
      <c r="M900" s="4">
        <f>IFERROR(MATCH(895,상세표[경계순번],0),"")</f>
        <v/>
      </c>
    </row>
    <row r="901">
      <c r="A901">
        <f>IF($M901="","",INDEX(상세표[사번],$M901)&amp;"")</f>
        <v/>
      </c>
      <c r="B901">
        <f>IF($M901="","",INDEX(상세표[성명],$M901)&amp;"")</f>
        <v/>
      </c>
      <c r="C901">
        <f>IF($M901="","",IF(INDEX(상세표[종료월],$M901)=대상월키,"전월→이번 달","이번 달→익월"))</f>
        <v/>
      </c>
      <c r="D901">
        <f>IF($M901="","",IF(ISNUMBER(INDEX(상세표[시작],$M901)),TEXT(INDEX(상세표[시작],$M901),"yyyy-mm-dd hh:mm"),INDEX(상세표[시작],$M901)&amp;""))</f>
        <v/>
      </c>
      <c r="E901">
        <f>IF($M901="","",IF(ISNUMBER(INDEX(상세표[종료],$M901)),TEXT(INDEX(상세표[종료],$M901),"yyyy-mm-dd hh:mm"),INDEX(상세표[종료],$M901)&amp;""))</f>
        <v/>
      </c>
      <c r="F901" s="20">
        <f>IF($M901="","",INDEX(상세표[기록 시간외],$M901))</f>
        <v/>
      </c>
      <c r="G901">
        <f>IF($M901="","",INDEX(상세표[시작월 기관],$M901)&amp;"")</f>
        <v/>
      </c>
      <c r="H901">
        <f>IF($M901="","",INDEX(상세표[종료월 기관],$M901)&amp;"")</f>
        <v/>
      </c>
      <c r="I901">
        <f>IF($M901="","",INDEX(상세표[월경계 판정],$M901)&amp;"")</f>
        <v/>
      </c>
      <c r="J901">
        <f>IF($M901="","",INDEX(상세표[반영월],$M901)&amp;"")</f>
        <v/>
      </c>
      <c r="K901">
        <f>IF($M901="","",INDEX(상세표[반영 기관],$M901)&amp;"")</f>
        <v/>
      </c>
      <c r="L901">
        <f>IF($M901="","",INDEX(상세표[기관 출처],$M901)&amp;"")</f>
        <v/>
      </c>
      <c r="M901" s="4">
        <f>IFERROR(MATCH(896,상세표[경계순번],0),"")</f>
        <v/>
      </c>
    </row>
    <row r="902">
      <c r="A902">
        <f>IF($M902="","",INDEX(상세표[사번],$M902)&amp;"")</f>
        <v/>
      </c>
      <c r="B902">
        <f>IF($M902="","",INDEX(상세표[성명],$M902)&amp;"")</f>
        <v/>
      </c>
      <c r="C902">
        <f>IF($M902="","",IF(INDEX(상세표[종료월],$M902)=대상월키,"전월→이번 달","이번 달→익월"))</f>
        <v/>
      </c>
      <c r="D902">
        <f>IF($M902="","",IF(ISNUMBER(INDEX(상세표[시작],$M902)),TEXT(INDEX(상세표[시작],$M902),"yyyy-mm-dd hh:mm"),INDEX(상세표[시작],$M902)&amp;""))</f>
        <v/>
      </c>
      <c r="E902">
        <f>IF($M902="","",IF(ISNUMBER(INDEX(상세표[종료],$M902)),TEXT(INDEX(상세표[종료],$M902),"yyyy-mm-dd hh:mm"),INDEX(상세표[종료],$M902)&amp;""))</f>
        <v/>
      </c>
      <c r="F902" s="20">
        <f>IF($M902="","",INDEX(상세표[기록 시간외],$M902))</f>
        <v/>
      </c>
      <c r="G902">
        <f>IF($M902="","",INDEX(상세표[시작월 기관],$M902)&amp;"")</f>
        <v/>
      </c>
      <c r="H902">
        <f>IF($M902="","",INDEX(상세표[종료월 기관],$M902)&amp;"")</f>
        <v/>
      </c>
      <c r="I902">
        <f>IF($M902="","",INDEX(상세표[월경계 판정],$M902)&amp;"")</f>
        <v/>
      </c>
      <c r="J902">
        <f>IF($M902="","",INDEX(상세표[반영월],$M902)&amp;"")</f>
        <v/>
      </c>
      <c r="K902">
        <f>IF($M902="","",INDEX(상세표[반영 기관],$M902)&amp;"")</f>
        <v/>
      </c>
      <c r="L902">
        <f>IF($M902="","",INDEX(상세표[기관 출처],$M902)&amp;"")</f>
        <v/>
      </c>
      <c r="M902" s="4">
        <f>IFERROR(MATCH(897,상세표[경계순번],0),"")</f>
        <v/>
      </c>
    </row>
    <row r="903">
      <c r="A903">
        <f>IF($M903="","",INDEX(상세표[사번],$M903)&amp;"")</f>
        <v/>
      </c>
      <c r="B903">
        <f>IF($M903="","",INDEX(상세표[성명],$M903)&amp;"")</f>
        <v/>
      </c>
      <c r="C903">
        <f>IF($M903="","",IF(INDEX(상세표[종료월],$M903)=대상월키,"전월→이번 달","이번 달→익월"))</f>
        <v/>
      </c>
      <c r="D903">
        <f>IF($M903="","",IF(ISNUMBER(INDEX(상세표[시작],$M903)),TEXT(INDEX(상세표[시작],$M903),"yyyy-mm-dd hh:mm"),INDEX(상세표[시작],$M903)&amp;""))</f>
        <v/>
      </c>
      <c r="E903">
        <f>IF($M903="","",IF(ISNUMBER(INDEX(상세표[종료],$M903)),TEXT(INDEX(상세표[종료],$M903),"yyyy-mm-dd hh:mm"),INDEX(상세표[종료],$M903)&amp;""))</f>
        <v/>
      </c>
      <c r="F903" s="20">
        <f>IF($M903="","",INDEX(상세표[기록 시간외],$M903))</f>
        <v/>
      </c>
      <c r="G903">
        <f>IF($M903="","",INDEX(상세표[시작월 기관],$M903)&amp;"")</f>
        <v/>
      </c>
      <c r="H903">
        <f>IF($M903="","",INDEX(상세표[종료월 기관],$M903)&amp;"")</f>
        <v/>
      </c>
      <c r="I903">
        <f>IF($M903="","",INDEX(상세표[월경계 판정],$M903)&amp;"")</f>
        <v/>
      </c>
      <c r="J903">
        <f>IF($M903="","",INDEX(상세표[반영월],$M903)&amp;"")</f>
        <v/>
      </c>
      <c r="K903">
        <f>IF($M903="","",INDEX(상세표[반영 기관],$M903)&amp;"")</f>
        <v/>
      </c>
      <c r="L903">
        <f>IF($M903="","",INDEX(상세표[기관 출처],$M903)&amp;"")</f>
        <v/>
      </c>
      <c r="M903" s="4">
        <f>IFERROR(MATCH(898,상세표[경계순번],0),"")</f>
        <v/>
      </c>
    </row>
    <row r="904">
      <c r="A904">
        <f>IF($M904="","",INDEX(상세표[사번],$M904)&amp;"")</f>
        <v/>
      </c>
      <c r="B904">
        <f>IF($M904="","",INDEX(상세표[성명],$M904)&amp;"")</f>
        <v/>
      </c>
      <c r="C904">
        <f>IF($M904="","",IF(INDEX(상세표[종료월],$M904)=대상월키,"전월→이번 달","이번 달→익월"))</f>
        <v/>
      </c>
      <c r="D904">
        <f>IF($M904="","",IF(ISNUMBER(INDEX(상세표[시작],$M904)),TEXT(INDEX(상세표[시작],$M904),"yyyy-mm-dd hh:mm"),INDEX(상세표[시작],$M904)&amp;""))</f>
        <v/>
      </c>
      <c r="E904">
        <f>IF($M904="","",IF(ISNUMBER(INDEX(상세표[종료],$M904)),TEXT(INDEX(상세표[종료],$M904),"yyyy-mm-dd hh:mm"),INDEX(상세표[종료],$M904)&amp;""))</f>
        <v/>
      </c>
      <c r="F904" s="20">
        <f>IF($M904="","",INDEX(상세표[기록 시간외],$M904))</f>
        <v/>
      </c>
      <c r="G904">
        <f>IF($M904="","",INDEX(상세표[시작월 기관],$M904)&amp;"")</f>
        <v/>
      </c>
      <c r="H904">
        <f>IF($M904="","",INDEX(상세표[종료월 기관],$M904)&amp;"")</f>
        <v/>
      </c>
      <c r="I904">
        <f>IF($M904="","",INDEX(상세표[월경계 판정],$M904)&amp;"")</f>
        <v/>
      </c>
      <c r="J904">
        <f>IF($M904="","",INDEX(상세표[반영월],$M904)&amp;"")</f>
        <v/>
      </c>
      <c r="K904">
        <f>IF($M904="","",INDEX(상세표[반영 기관],$M904)&amp;"")</f>
        <v/>
      </c>
      <c r="L904">
        <f>IF($M904="","",INDEX(상세표[기관 출처],$M904)&amp;"")</f>
        <v/>
      </c>
      <c r="M904" s="4">
        <f>IFERROR(MATCH(899,상세표[경계순번],0),"")</f>
        <v/>
      </c>
    </row>
    <row r="905">
      <c r="A905">
        <f>IF($M905="","",INDEX(상세표[사번],$M905)&amp;"")</f>
        <v/>
      </c>
      <c r="B905">
        <f>IF($M905="","",INDEX(상세표[성명],$M905)&amp;"")</f>
        <v/>
      </c>
      <c r="C905">
        <f>IF($M905="","",IF(INDEX(상세표[종료월],$M905)=대상월키,"전월→이번 달","이번 달→익월"))</f>
        <v/>
      </c>
      <c r="D905">
        <f>IF($M905="","",IF(ISNUMBER(INDEX(상세표[시작],$M905)),TEXT(INDEX(상세표[시작],$M905),"yyyy-mm-dd hh:mm"),INDEX(상세표[시작],$M905)&amp;""))</f>
        <v/>
      </c>
      <c r="E905">
        <f>IF($M905="","",IF(ISNUMBER(INDEX(상세표[종료],$M905)),TEXT(INDEX(상세표[종료],$M905),"yyyy-mm-dd hh:mm"),INDEX(상세표[종료],$M905)&amp;""))</f>
        <v/>
      </c>
      <c r="F905" s="20">
        <f>IF($M905="","",INDEX(상세표[기록 시간외],$M905))</f>
        <v/>
      </c>
      <c r="G905">
        <f>IF($M905="","",INDEX(상세표[시작월 기관],$M905)&amp;"")</f>
        <v/>
      </c>
      <c r="H905">
        <f>IF($M905="","",INDEX(상세표[종료월 기관],$M905)&amp;"")</f>
        <v/>
      </c>
      <c r="I905">
        <f>IF($M905="","",INDEX(상세표[월경계 판정],$M905)&amp;"")</f>
        <v/>
      </c>
      <c r="J905">
        <f>IF($M905="","",INDEX(상세표[반영월],$M905)&amp;"")</f>
        <v/>
      </c>
      <c r="K905">
        <f>IF($M905="","",INDEX(상세표[반영 기관],$M905)&amp;"")</f>
        <v/>
      </c>
      <c r="L905">
        <f>IF($M905="","",INDEX(상세표[기관 출처],$M905)&amp;"")</f>
        <v/>
      </c>
      <c r="M905" s="4">
        <f>IFERROR(MATCH(900,상세표[경계순번],0),"")</f>
        <v/>
      </c>
    </row>
    <row r="906">
      <c r="A906">
        <f>IF($M906="","",INDEX(상세표[사번],$M906)&amp;"")</f>
        <v/>
      </c>
      <c r="B906">
        <f>IF($M906="","",INDEX(상세표[성명],$M906)&amp;"")</f>
        <v/>
      </c>
      <c r="C906">
        <f>IF($M906="","",IF(INDEX(상세표[종료월],$M906)=대상월키,"전월→이번 달","이번 달→익월"))</f>
        <v/>
      </c>
      <c r="D906">
        <f>IF($M906="","",IF(ISNUMBER(INDEX(상세표[시작],$M906)),TEXT(INDEX(상세표[시작],$M906),"yyyy-mm-dd hh:mm"),INDEX(상세표[시작],$M906)&amp;""))</f>
        <v/>
      </c>
      <c r="E906">
        <f>IF($M906="","",IF(ISNUMBER(INDEX(상세표[종료],$M906)),TEXT(INDEX(상세표[종료],$M906),"yyyy-mm-dd hh:mm"),INDEX(상세표[종료],$M906)&amp;""))</f>
        <v/>
      </c>
      <c r="F906" s="20">
        <f>IF($M906="","",INDEX(상세표[기록 시간외],$M906))</f>
        <v/>
      </c>
      <c r="G906">
        <f>IF($M906="","",INDEX(상세표[시작월 기관],$M906)&amp;"")</f>
        <v/>
      </c>
      <c r="H906">
        <f>IF($M906="","",INDEX(상세표[종료월 기관],$M906)&amp;"")</f>
        <v/>
      </c>
      <c r="I906">
        <f>IF($M906="","",INDEX(상세표[월경계 판정],$M906)&amp;"")</f>
        <v/>
      </c>
      <c r="J906">
        <f>IF($M906="","",INDEX(상세표[반영월],$M906)&amp;"")</f>
        <v/>
      </c>
      <c r="K906">
        <f>IF($M906="","",INDEX(상세표[반영 기관],$M906)&amp;"")</f>
        <v/>
      </c>
      <c r="L906">
        <f>IF($M906="","",INDEX(상세표[기관 출처],$M906)&amp;"")</f>
        <v/>
      </c>
      <c r="M906" s="4">
        <f>IFERROR(MATCH(901,상세표[경계순번],0),"")</f>
        <v/>
      </c>
    </row>
    <row r="907">
      <c r="A907">
        <f>IF($M907="","",INDEX(상세표[사번],$M907)&amp;"")</f>
        <v/>
      </c>
      <c r="B907">
        <f>IF($M907="","",INDEX(상세표[성명],$M907)&amp;"")</f>
        <v/>
      </c>
      <c r="C907">
        <f>IF($M907="","",IF(INDEX(상세표[종료월],$M907)=대상월키,"전월→이번 달","이번 달→익월"))</f>
        <v/>
      </c>
      <c r="D907">
        <f>IF($M907="","",IF(ISNUMBER(INDEX(상세표[시작],$M907)),TEXT(INDEX(상세표[시작],$M907),"yyyy-mm-dd hh:mm"),INDEX(상세표[시작],$M907)&amp;""))</f>
        <v/>
      </c>
      <c r="E907">
        <f>IF($M907="","",IF(ISNUMBER(INDEX(상세표[종료],$M907)),TEXT(INDEX(상세표[종료],$M907),"yyyy-mm-dd hh:mm"),INDEX(상세표[종료],$M907)&amp;""))</f>
        <v/>
      </c>
      <c r="F907" s="20">
        <f>IF($M907="","",INDEX(상세표[기록 시간외],$M907))</f>
        <v/>
      </c>
      <c r="G907">
        <f>IF($M907="","",INDEX(상세표[시작월 기관],$M907)&amp;"")</f>
        <v/>
      </c>
      <c r="H907">
        <f>IF($M907="","",INDEX(상세표[종료월 기관],$M907)&amp;"")</f>
        <v/>
      </c>
      <c r="I907">
        <f>IF($M907="","",INDEX(상세표[월경계 판정],$M907)&amp;"")</f>
        <v/>
      </c>
      <c r="J907">
        <f>IF($M907="","",INDEX(상세표[반영월],$M907)&amp;"")</f>
        <v/>
      </c>
      <c r="K907">
        <f>IF($M907="","",INDEX(상세표[반영 기관],$M907)&amp;"")</f>
        <v/>
      </c>
      <c r="L907">
        <f>IF($M907="","",INDEX(상세표[기관 출처],$M907)&amp;"")</f>
        <v/>
      </c>
      <c r="M907" s="4">
        <f>IFERROR(MATCH(902,상세표[경계순번],0),"")</f>
        <v/>
      </c>
    </row>
    <row r="908">
      <c r="A908">
        <f>IF($M908="","",INDEX(상세표[사번],$M908)&amp;"")</f>
        <v/>
      </c>
      <c r="B908">
        <f>IF($M908="","",INDEX(상세표[성명],$M908)&amp;"")</f>
        <v/>
      </c>
      <c r="C908">
        <f>IF($M908="","",IF(INDEX(상세표[종료월],$M908)=대상월키,"전월→이번 달","이번 달→익월"))</f>
        <v/>
      </c>
      <c r="D908">
        <f>IF($M908="","",IF(ISNUMBER(INDEX(상세표[시작],$M908)),TEXT(INDEX(상세표[시작],$M908),"yyyy-mm-dd hh:mm"),INDEX(상세표[시작],$M908)&amp;""))</f>
        <v/>
      </c>
      <c r="E908">
        <f>IF($M908="","",IF(ISNUMBER(INDEX(상세표[종료],$M908)),TEXT(INDEX(상세표[종료],$M908),"yyyy-mm-dd hh:mm"),INDEX(상세표[종료],$M908)&amp;""))</f>
        <v/>
      </c>
      <c r="F908" s="20">
        <f>IF($M908="","",INDEX(상세표[기록 시간외],$M908))</f>
        <v/>
      </c>
      <c r="G908">
        <f>IF($M908="","",INDEX(상세표[시작월 기관],$M908)&amp;"")</f>
        <v/>
      </c>
      <c r="H908">
        <f>IF($M908="","",INDEX(상세표[종료월 기관],$M908)&amp;"")</f>
        <v/>
      </c>
      <c r="I908">
        <f>IF($M908="","",INDEX(상세표[월경계 판정],$M908)&amp;"")</f>
        <v/>
      </c>
      <c r="J908">
        <f>IF($M908="","",INDEX(상세표[반영월],$M908)&amp;"")</f>
        <v/>
      </c>
      <c r="K908">
        <f>IF($M908="","",INDEX(상세표[반영 기관],$M908)&amp;"")</f>
        <v/>
      </c>
      <c r="L908">
        <f>IF($M908="","",INDEX(상세표[기관 출처],$M908)&amp;"")</f>
        <v/>
      </c>
      <c r="M908" s="4">
        <f>IFERROR(MATCH(903,상세표[경계순번],0),"")</f>
        <v/>
      </c>
    </row>
    <row r="909">
      <c r="A909">
        <f>IF($M909="","",INDEX(상세표[사번],$M909)&amp;"")</f>
        <v/>
      </c>
      <c r="B909">
        <f>IF($M909="","",INDEX(상세표[성명],$M909)&amp;"")</f>
        <v/>
      </c>
      <c r="C909">
        <f>IF($M909="","",IF(INDEX(상세표[종료월],$M909)=대상월키,"전월→이번 달","이번 달→익월"))</f>
        <v/>
      </c>
      <c r="D909">
        <f>IF($M909="","",IF(ISNUMBER(INDEX(상세표[시작],$M909)),TEXT(INDEX(상세표[시작],$M909),"yyyy-mm-dd hh:mm"),INDEX(상세표[시작],$M909)&amp;""))</f>
        <v/>
      </c>
      <c r="E909">
        <f>IF($M909="","",IF(ISNUMBER(INDEX(상세표[종료],$M909)),TEXT(INDEX(상세표[종료],$M909),"yyyy-mm-dd hh:mm"),INDEX(상세표[종료],$M909)&amp;""))</f>
        <v/>
      </c>
      <c r="F909" s="20">
        <f>IF($M909="","",INDEX(상세표[기록 시간외],$M909))</f>
        <v/>
      </c>
      <c r="G909">
        <f>IF($M909="","",INDEX(상세표[시작월 기관],$M909)&amp;"")</f>
        <v/>
      </c>
      <c r="H909">
        <f>IF($M909="","",INDEX(상세표[종료월 기관],$M909)&amp;"")</f>
        <v/>
      </c>
      <c r="I909">
        <f>IF($M909="","",INDEX(상세표[월경계 판정],$M909)&amp;"")</f>
        <v/>
      </c>
      <c r="J909">
        <f>IF($M909="","",INDEX(상세표[반영월],$M909)&amp;"")</f>
        <v/>
      </c>
      <c r="K909">
        <f>IF($M909="","",INDEX(상세표[반영 기관],$M909)&amp;"")</f>
        <v/>
      </c>
      <c r="L909">
        <f>IF($M909="","",INDEX(상세표[기관 출처],$M909)&amp;"")</f>
        <v/>
      </c>
      <c r="M909" s="4">
        <f>IFERROR(MATCH(904,상세표[경계순번],0),"")</f>
        <v/>
      </c>
    </row>
    <row r="910">
      <c r="A910">
        <f>IF($M910="","",INDEX(상세표[사번],$M910)&amp;"")</f>
        <v/>
      </c>
      <c r="B910">
        <f>IF($M910="","",INDEX(상세표[성명],$M910)&amp;"")</f>
        <v/>
      </c>
      <c r="C910">
        <f>IF($M910="","",IF(INDEX(상세표[종료월],$M910)=대상월키,"전월→이번 달","이번 달→익월"))</f>
        <v/>
      </c>
      <c r="D910">
        <f>IF($M910="","",IF(ISNUMBER(INDEX(상세표[시작],$M910)),TEXT(INDEX(상세표[시작],$M910),"yyyy-mm-dd hh:mm"),INDEX(상세표[시작],$M910)&amp;""))</f>
        <v/>
      </c>
      <c r="E910">
        <f>IF($M910="","",IF(ISNUMBER(INDEX(상세표[종료],$M910)),TEXT(INDEX(상세표[종료],$M910),"yyyy-mm-dd hh:mm"),INDEX(상세표[종료],$M910)&amp;""))</f>
        <v/>
      </c>
      <c r="F910" s="20">
        <f>IF($M910="","",INDEX(상세표[기록 시간외],$M910))</f>
        <v/>
      </c>
      <c r="G910">
        <f>IF($M910="","",INDEX(상세표[시작월 기관],$M910)&amp;"")</f>
        <v/>
      </c>
      <c r="H910">
        <f>IF($M910="","",INDEX(상세표[종료월 기관],$M910)&amp;"")</f>
        <v/>
      </c>
      <c r="I910">
        <f>IF($M910="","",INDEX(상세표[월경계 판정],$M910)&amp;"")</f>
        <v/>
      </c>
      <c r="J910">
        <f>IF($M910="","",INDEX(상세표[반영월],$M910)&amp;"")</f>
        <v/>
      </c>
      <c r="K910">
        <f>IF($M910="","",INDEX(상세표[반영 기관],$M910)&amp;"")</f>
        <v/>
      </c>
      <c r="L910">
        <f>IF($M910="","",INDEX(상세표[기관 출처],$M910)&amp;"")</f>
        <v/>
      </c>
      <c r="M910" s="4">
        <f>IFERROR(MATCH(905,상세표[경계순번],0),"")</f>
        <v/>
      </c>
    </row>
    <row r="911">
      <c r="A911">
        <f>IF($M911="","",INDEX(상세표[사번],$M911)&amp;"")</f>
        <v/>
      </c>
      <c r="B911">
        <f>IF($M911="","",INDEX(상세표[성명],$M911)&amp;"")</f>
        <v/>
      </c>
      <c r="C911">
        <f>IF($M911="","",IF(INDEX(상세표[종료월],$M911)=대상월키,"전월→이번 달","이번 달→익월"))</f>
        <v/>
      </c>
      <c r="D911">
        <f>IF($M911="","",IF(ISNUMBER(INDEX(상세표[시작],$M911)),TEXT(INDEX(상세표[시작],$M911),"yyyy-mm-dd hh:mm"),INDEX(상세표[시작],$M911)&amp;""))</f>
        <v/>
      </c>
      <c r="E911">
        <f>IF($M911="","",IF(ISNUMBER(INDEX(상세표[종료],$M911)),TEXT(INDEX(상세표[종료],$M911),"yyyy-mm-dd hh:mm"),INDEX(상세표[종료],$M911)&amp;""))</f>
        <v/>
      </c>
      <c r="F911" s="20">
        <f>IF($M911="","",INDEX(상세표[기록 시간외],$M911))</f>
        <v/>
      </c>
      <c r="G911">
        <f>IF($M911="","",INDEX(상세표[시작월 기관],$M911)&amp;"")</f>
        <v/>
      </c>
      <c r="H911">
        <f>IF($M911="","",INDEX(상세표[종료월 기관],$M911)&amp;"")</f>
        <v/>
      </c>
      <c r="I911">
        <f>IF($M911="","",INDEX(상세표[월경계 판정],$M911)&amp;"")</f>
        <v/>
      </c>
      <c r="J911">
        <f>IF($M911="","",INDEX(상세표[반영월],$M911)&amp;"")</f>
        <v/>
      </c>
      <c r="K911">
        <f>IF($M911="","",INDEX(상세표[반영 기관],$M911)&amp;"")</f>
        <v/>
      </c>
      <c r="L911">
        <f>IF($M911="","",INDEX(상세표[기관 출처],$M911)&amp;"")</f>
        <v/>
      </c>
      <c r="M911" s="4">
        <f>IFERROR(MATCH(906,상세표[경계순번],0),"")</f>
        <v/>
      </c>
    </row>
    <row r="912">
      <c r="A912">
        <f>IF($M912="","",INDEX(상세표[사번],$M912)&amp;"")</f>
        <v/>
      </c>
      <c r="B912">
        <f>IF($M912="","",INDEX(상세표[성명],$M912)&amp;"")</f>
        <v/>
      </c>
      <c r="C912">
        <f>IF($M912="","",IF(INDEX(상세표[종료월],$M912)=대상월키,"전월→이번 달","이번 달→익월"))</f>
        <v/>
      </c>
      <c r="D912">
        <f>IF($M912="","",IF(ISNUMBER(INDEX(상세표[시작],$M912)),TEXT(INDEX(상세표[시작],$M912),"yyyy-mm-dd hh:mm"),INDEX(상세표[시작],$M912)&amp;""))</f>
        <v/>
      </c>
      <c r="E912">
        <f>IF($M912="","",IF(ISNUMBER(INDEX(상세표[종료],$M912)),TEXT(INDEX(상세표[종료],$M912),"yyyy-mm-dd hh:mm"),INDEX(상세표[종료],$M912)&amp;""))</f>
        <v/>
      </c>
      <c r="F912" s="20">
        <f>IF($M912="","",INDEX(상세표[기록 시간외],$M912))</f>
        <v/>
      </c>
      <c r="G912">
        <f>IF($M912="","",INDEX(상세표[시작월 기관],$M912)&amp;"")</f>
        <v/>
      </c>
      <c r="H912">
        <f>IF($M912="","",INDEX(상세표[종료월 기관],$M912)&amp;"")</f>
        <v/>
      </c>
      <c r="I912">
        <f>IF($M912="","",INDEX(상세표[월경계 판정],$M912)&amp;"")</f>
        <v/>
      </c>
      <c r="J912">
        <f>IF($M912="","",INDEX(상세표[반영월],$M912)&amp;"")</f>
        <v/>
      </c>
      <c r="K912">
        <f>IF($M912="","",INDEX(상세표[반영 기관],$M912)&amp;"")</f>
        <v/>
      </c>
      <c r="L912">
        <f>IF($M912="","",INDEX(상세표[기관 출처],$M912)&amp;"")</f>
        <v/>
      </c>
      <c r="M912" s="4">
        <f>IFERROR(MATCH(907,상세표[경계순번],0),"")</f>
        <v/>
      </c>
    </row>
    <row r="913">
      <c r="A913">
        <f>IF($M913="","",INDEX(상세표[사번],$M913)&amp;"")</f>
        <v/>
      </c>
      <c r="B913">
        <f>IF($M913="","",INDEX(상세표[성명],$M913)&amp;"")</f>
        <v/>
      </c>
      <c r="C913">
        <f>IF($M913="","",IF(INDEX(상세표[종료월],$M913)=대상월키,"전월→이번 달","이번 달→익월"))</f>
        <v/>
      </c>
      <c r="D913">
        <f>IF($M913="","",IF(ISNUMBER(INDEX(상세표[시작],$M913)),TEXT(INDEX(상세표[시작],$M913),"yyyy-mm-dd hh:mm"),INDEX(상세표[시작],$M913)&amp;""))</f>
        <v/>
      </c>
      <c r="E913">
        <f>IF($M913="","",IF(ISNUMBER(INDEX(상세표[종료],$M913)),TEXT(INDEX(상세표[종료],$M913),"yyyy-mm-dd hh:mm"),INDEX(상세표[종료],$M913)&amp;""))</f>
        <v/>
      </c>
      <c r="F913" s="20">
        <f>IF($M913="","",INDEX(상세표[기록 시간외],$M913))</f>
        <v/>
      </c>
      <c r="G913">
        <f>IF($M913="","",INDEX(상세표[시작월 기관],$M913)&amp;"")</f>
        <v/>
      </c>
      <c r="H913">
        <f>IF($M913="","",INDEX(상세표[종료월 기관],$M913)&amp;"")</f>
        <v/>
      </c>
      <c r="I913">
        <f>IF($M913="","",INDEX(상세표[월경계 판정],$M913)&amp;"")</f>
        <v/>
      </c>
      <c r="J913">
        <f>IF($M913="","",INDEX(상세표[반영월],$M913)&amp;"")</f>
        <v/>
      </c>
      <c r="K913">
        <f>IF($M913="","",INDEX(상세표[반영 기관],$M913)&amp;"")</f>
        <v/>
      </c>
      <c r="L913">
        <f>IF($M913="","",INDEX(상세표[기관 출처],$M913)&amp;"")</f>
        <v/>
      </c>
      <c r="M913" s="4">
        <f>IFERROR(MATCH(908,상세표[경계순번],0),"")</f>
        <v/>
      </c>
    </row>
    <row r="914">
      <c r="A914">
        <f>IF($M914="","",INDEX(상세표[사번],$M914)&amp;"")</f>
        <v/>
      </c>
      <c r="B914">
        <f>IF($M914="","",INDEX(상세표[성명],$M914)&amp;"")</f>
        <v/>
      </c>
      <c r="C914">
        <f>IF($M914="","",IF(INDEX(상세표[종료월],$M914)=대상월키,"전월→이번 달","이번 달→익월"))</f>
        <v/>
      </c>
      <c r="D914">
        <f>IF($M914="","",IF(ISNUMBER(INDEX(상세표[시작],$M914)),TEXT(INDEX(상세표[시작],$M914),"yyyy-mm-dd hh:mm"),INDEX(상세표[시작],$M914)&amp;""))</f>
        <v/>
      </c>
      <c r="E914">
        <f>IF($M914="","",IF(ISNUMBER(INDEX(상세표[종료],$M914)),TEXT(INDEX(상세표[종료],$M914),"yyyy-mm-dd hh:mm"),INDEX(상세표[종료],$M914)&amp;""))</f>
        <v/>
      </c>
      <c r="F914" s="20">
        <f>IF($M914="","",INDEX(상세표[기록 시간외],$M914))</f>
        <v/>
      </c>
      <c r="G914">
        <f>IF($M914="","",INDEX(상세표[시작월 기관],$M914)&amp;"")</f>
        <v/>
      </c>
      <c r="H914">
        <f>IF($M914="","",INDEX(상세표[종료월 기관],$M914)&amp;"")</f>
        <v/>
      </c>
      <c r="I914">
        <f>IF($M914="","",INDEX(상세표[월경계 판정],$M914)&amp;"")</f>
        <v/>
      </c>
      <c r="J914">
        <f>IF($M914="","",INDEX(상세표[반영월],$M914)&amp;"")</f>
        <v/>
      </c>
      <c r="K914">
        <f>IF($M914="","",INDEX(상세표[반영 기관],$M914)&amp;"")</f>
        <v/>
      </c>
      <c r="L914">
        <f>IF($M914="","",INDEX(상세표[기관 출처],$M914)&amp;"")</f>
        <v/>
      </c>
      <c r="M914" s="4">
        <f>IFERROR(MATCH(909,상세표[경계순번],0),"")</f>
        <v/>
      </c>
    </row>
    <row r="915">
      <c r="A915">
        <f>IF($M915="","",INDEX(상세표[사번],$M915)&amp;"")</f>
        <v/>
      </c>
      <c r="B915">
        <f>IF($M915="","",INDEX(상세표[성명],$M915)&amp;"")</f>
        <v/>
      </c>
      <c r="C915">
        <f>IF($M915="","",IF(INDEX(상세표[종료월],$M915)=대상월키,"전월→이번 달","이번 달→익월"))</f>
        <v/>
      </c>
      <c r="D915">
        <f>IF($M915="","",IF(ISNUMBER(INDEX(상세표[시작],$M915)),TEXT(INDEX(상세표[시작],$M915),"yyyy-mm-dd hh:mm"),INDEX(상세표[시작],$M915)&amp;""))</f>
        <v/>
      </c>
      <c r="E915">
        <f>IF($M915="","",IF(ISNUMBER(INDEX(상세표[종료],$M915)),TEXT(INDEX(상세표[종료],$M915),"yyyy-mm-dd hh:mm"),INDEX(상세표[종료],$M915)&amp;""))</f>
        <v/>
      </c>
      <c r="F915" s="20">
        <f>IF($M915="","",INDEX(상세표[기록 시간외],$M915))</f>
        <v/>
      </c>
      <c r="G915">
        <f>IF($M915="","",INDEX(상세표[시작월 기관],$M915)&amp;"")</f>
        <v/>
      </c>
      <c r="H915">
        <f>IF($M915="","",INDEX(상세표[종료월 기관],$M915)&amp;"")</f>
        <v/>
      </c>
      <c r="I915">
        <f>IF($M915="","",INDEX(상세표[월경계 판정],$M915)&amp;"")</f>
        <v/>
      </c>
      <c r="J915">
        <f>IF($M915="","",INDEX(상세표[반영월],$M915)&amp;"")</f>
        <v/>
      </c>
      <c r="K915">
        <f>IF($M915="","",INDEX(상세표[반영 기관],$M915)&amp;"")</f>
        <v/>
      </c>
      <c r="L915">
        <f>IF($M915="","",INDEX(상세표[기관 출처],$M915)&amp;"")</f>
        <v/>
      </c>
      <c r="M915" s="4">
        <f>IFERROR(MATCH(910,상세표[경계순번],0),"")</f>
        <v/>
      </c>
    </row>
    <row r="916">
      <c r="A916">
        <f>IF($M916="","",INDEX(상세표[사번],$M916)&amp;"")</f>
        <v/>
      </c>
      <c r="B916">
        <f>IF($M916="","",INDEX(상세표[성명],$M916)&amp;"")</f>
        <v/>
      </c>
      <c r="C916">
        <f>IF($M916="","",IF(INDEX(상세표[종료월],$M916)=대상월키,"전월→이번 달","이번 달→익월"))</f>
        <v/>
      </c>
      <c r="D916">
        <f>IF($M916="","",IF(ISNUMBER(INDEX(상세표[시작],$M916)),TEXT(INDEX(상세표[시작],$M916),"yyyy-mm-dd hh:mm"),INDEX(상세표[시작],$M916)&amp;""))</f>
        <v/>
      </c>
      <c r="E916">
        <f>IF($M916="","",IF(ISNUMBER(INDEX(상세표[종료],$M916)),TEXT(INDEX(상세표[종료],$M916),"yyyy-mm-dd hh:mm"),INDEX(상세표[종료],$M916)&amp;""))</f>
        <v/>
      </c>
      <c r="F916" s="20">
        <f>IF($M916="","",INDEX(상세표[기록 시간외],$M916))</f>
        <v/>
      </c>
      <c r="G916">
        <f>IF($M916="","",INDEX(상세표[시작월 기관],$M916)&amp;"")</f>
        <v/>
      </c>
      <c r="H916">
        <f>IF($M916="","",INDEX(상세표[종료월 기관],$M916)&amp;"")</f>
        <v/>
      </c>
      <c r="I916">
        <f>IF($M916="","",INDEX(상세표[월경계 판정],$M916)&amp;"")</f>
        <v/>
      </c>
      <c r="J916">
        <f>IF($M916="","",INDEX(상세표[반영월],$M916)&amp;"")</f>
        <v/>
      </c>
      <c r="K916">
        <f>IF($M916="","",INDEX(상세표[반영 기관],$M916)&amp;"")</f>
        <v/>
      </c>
      <c r="L916">
        <f>IF($M916="","",INDEX(상세표[기관 출처],$M916)&amp;"")</f>
        <v/>
      </c>
      <c r="M916" s="4">
        <f>IFERROR(MATCH(911,상세표[경계순번],0),"")</f>
        <v/>
      </c>
    </row>
    <row r="917">
      <c r="A917">
        <f>IF($M917="","",INDEX(상세표[사번],$M917)&amp;"")</f>
        <v/>
      </c>
      <c r="B917">
        <f>IF($M917="","",INDEX(상세표[성명],$M917)&amp;"")</f>
        <v/>
      </c>
      <c r="C917">
        <f>IF($M917="","",IF(INDEX(상세표[종료월],$M917)=대상월키,"전월→이번 달","이번 달→익월"))</f>
        <v/>
      </c>
      <c r="D917">
        <f>IF($M917="","",IF(ISNUMBER(INDEX(상세표[시작],$M917)),TEXT(INDEX(상세표[시작],$M917),"yyyy-mm-dd hh:mm"),INDEX(상세표[시작],$M917)&amp;""))</f>
        <v/>
      </c>
      <c r="E917">
        <f>IF($M917="","",IF(ISNUMBER(INDEX(상세표[종료],$M917)),TEXT(INDEX(상세표[종료],$M917),"yyyy-mm-dd hh:mm"),INDEX(상세표[종료],$M917)&amp;""))</f>
        <v/>
      </c>
      <c r="F917" s="20">
        <f>IF($M917="","",INDEX(상세표[기록 시간외],$M917))</f>
        <v/>
      </c>
      <c r="G917">
        <f>IF($M917="","",INDEX(상세표[시작월 기관],$M917)&amp;"")</f>
        <v/>
      </c>
      <c r="H917">
        <f>IF($M917="","",INDEX(상세표[종료월 기관],$M917)&amp;"")</f>
        <v/>
      </c>
      <c r="I917">
        <f>IF($M917="","",INDEX(상세표[월경계 판정],$M917)&amp;"")</f>
        <v/>
      </c>
      <c r="J917">
        <f>IF($M917="","",INDEX(상세표[반영월],$M917)&amp;"")</f>
        <v/>
      </c>
      <c r="K917">
        <f>IF($M917="","",INDEX(상세표[반영 기관],$M917)&amp;"")</f>
        <v/>
      </c>
      <c r="L917">
        <f>IF($M917="","",INDEX(상세표[기관 출처],$M917)&amp;"")</f>
        <v/>
      </c>
      <c r="M917" s="4">
        <f>IFERROR(MATCH(912,상세표[경계순번],0),"")</f>
        <v/>
      </c>
    </row>
    <row r="918">
      <c r="A918">
        <f>IF($M918="","",INDEX(상세표[사번],$M918)&amp;"")</f>
        <v/>
      </c>
      <c r="B918">
        <f>IF($M918="","",INDEX(상세표[성명],$M918)&amp;"")</f>
        <v/>
      </c>
      <c r="C918">
        <f>IF($M918="","",IF(INDEX(상세표[종료월],$M918)=대상월키,"전월→이번 달","이번 달→익월"))</f>
        <v/>
      </c>
      <c r="D918">
        <f>IF($M918="","",IF(ISNUMBER(INDEX(상세표[시작],$M918)),TEXT(INDEX(상세표[시작],$M918),"yyyy-mm-dd hh:mm"),INDEX(상세표[시작],$M918)&amp;""))</f>
        <v/>
      </c>
      <c r="E918">
        <f>IF($M918="","",IF(ISNUMBER(INDEX(상세표[종료],$M918)),TEXT(INDEX(상세표[종료],$M918),"yyyy-mm-dd hh:mm"),INDEX(상세표[종료],$M918)&amp;""))</f>
        <v/>
      </c>
      <c r="F918" s="20">
        <f>IF($M918="","",INDEX(상세표[기록 시간외],$M918))</f>
        <v/>
      </c>
      <c r="G918">
        <f>IF($M918="","",INDEX(상세표[시작월 기관],$M918)&amp;"")</f>
        <v/>
      </c>
      <c r="H918">
        <f>IF($M918="","",INDEX(상세표[종료월 기관],$M918)&amp;"")</f>
        <v/>
      </c>
      <c r="I918">
        <f>IF($M918="","",INDEX(상세표[월경계 판정],$M918)&amp;"")</f>
        <v/>
      </c>
      <c r="J918">
        <f>IF($M918="","",INDEX(상세표[반영월],$M918)&amp;"")</f>
        <v/>
      </c>
      <c r="K918">
        <f>IF($M918="","",INDEX(상세표[반영 기관],$M918)&amp;"")</f>
        <v/>
      </c>
      <c r="L918">
        <f>IF($M918="","",INDEX(상세표[기관 출처],$M918)&amp;"")</f>
        <v/>
      </c>
      <c r="M918" s="4">
        <f>IFERROR(MATCH(913,상세표[경계순번],0),"")</f>
        <v/>
      </c>
    </row>
    <row r="919">
      <c r="A919">
        <f>IF($M919="","",INDEX(상세표[사번],$M919)&amp;"")</f>
        <v/>
      </c>
      <c r="B919">
        <f>IF($M919="","",INDEX(상세표[성명],$M919)&amp;"")</f>
        <v/>
      </c>
      <c r="C919">
        <f>IF($M919="","",IF(INDEX(상세표[종료월],$M919)=대상월키,"전월→이번 달","이번 달→익월"))</f>
        <v/>
      </c>
      <c r="D919">
        <f>IF($M919="","",IF(ISNUMBER(INDEX(상세표[시작],$M919)),TEXT(INDEX(상세표[시작],$M919),"yyyy-mm-dd hh:mm"),INDEX(상세표[시작],$M919)&amp;""))</f>
        <v/>
      </c>
      <c r="E919">
        <f>IF($M919="","",IF(ISNUMBER(INDEX(상세표[종료],$M919)),TEXT(INDEX(상세표[종료],$M919),"yyyy-mm-dd hh:mm"),INDEX(상세표[종료],$M919)&amp;""))</f>
        <v/>
      </c>
      <c r="F919" s="20">
        <f>IF($M919="","",INDEX(상세표[기록 시간외],$M919))</f>
        <v/>
      </c>
      <c r="G919">
        <f>IF($M919="","",INDEX(상세표[시작월 기관],$M919)&amp;"")</f>
        <v/>
      </c>
      <c r="H919">
        <f>IF($M919="","",INDEX(상세표[종료월 기관],$M919)&amp;"")</f>
        <v/>
      </c>
      <c r="I919">
        <f>IF($M919="","",INDEX(상세표[월경계 판정],$M919)&amp;"")</f>
        <v/>
      </c>
      <c r="J919">
        <f>IF($M919="","",INDEX(상세표[반영월],$M919)&amp;"")</f>
        <v/>
      </c>
      <c r="K919">
        <f>IF($M919="","",INDEX(상세표[반영 기관],$M919)&amp;"")</f>
        <v/>
      </c>
      <c r="L919">
        <f>IF($M919="","",INDEX(상세표[기관 출처],$M919)&amp;"")</f>
        <v/>
      </c>
      <c r="M919" s="4">
        <f>IFERROR(MATCH(914,상세표[경계순번],0),"")</f>
        <v/>
      </c>
    </row>
    <row r="920">
      <c r="A920">
        <f>IF($M920="","",INDEX(상세표[사번],$M920)&amp;"")</f>
        <v/>
      </c>
      <c r="B920">
        <f>IF($M920="","",INDEX(상세표[성명],$M920)&amp;"")</f>
        <v/>
      </c>
      <c r="C920">
        <f>IF($M920="","",IF(INDEX(상세표[종료월],$M920)=대상월키,"전월→이번 달","이번 달→익월"))</f>
        <v/>
      </c>
      <c r="D920">
        <f>IF($M920="","",IF(ISNUMBER(INDEX(상세표[시작],$M920)),TEXT(INDEX(상세표[시작],$M920),"yyyy-mm-dd hh:mm"),INDEX(상세표[시작],$M920)&amp;""))</f>
        <v/>
      </c>
      <c r="E920">
        <f>IF($M920="","",IF(ISNUMBER(INDEX(상세표[종료],$M920)),TEXT(INDEX(상세표[종료],$M920),"yyyy-mm-dd hh:mm"),INDEX(상세표[종료],$M920)&amp;""))</f>
        <v/>
      </c>
      <c r="F920" s="20">
        <f>IF($M920="","",INDEX(상세표[기록 시간외],$M920))</f>
        <v/>
      </c>
      <c r="G920">
        <f>IF($M920="","",INDEX(상세표[시작월 기관],$M920)&amp;"")</f>
        <v/>
      </c>
      <c r="H920">
        <f>IF($M920="","",INDEX(상세표[종료월 기관],$M920)&amp;"")</f>
        <v/>
      </c>
      <c r="I920">
        <f>IF($M920="","",INDEX(상세표[월경계 판정],$M920)&amp;"")</f>
        <v/>
      </c>
      <c r="J920">
        <f>IF($M920="","",INDEX(상세표[반영월],$M920)&amp;"")</f>
        <v/>
      </c>
      <c r="K920">
        <f>IF($M920="","",INDEX(상세표[반영 기관],$M920)&amp;"")</f>
        <v/>
      </c>
      <c r="L920">
        <f>IF($M920="","",INDEX(상세표[기관 출처],$M920)&amp;"")</f>
        <v/>
      </c>
      <c r="M920" s="4">
        <f>IFERROR(MATCH(915,상세표[경계순번],0),"")</f>
        <v/>
      </c>
    </row>
    <row r="921">
      <c r="A921">
        <f>IF($M921="","",INDEX(상세표[사번],$M921)&amp;"")</f>
        <v/>
      </c>
      <c r="B921">
        <f>IF($M921="","",INDEX(상세표[성명],$M921)&amp;"")</f>
        <v/>
      </c>
      <c r="C921">
        <f>IF($M921="","",IF(INDEX(상세표[종료월],$M921)=대상월키,"전월→이번 달","이번 달→익월"))</f>
        <v/>
      </c>
      <c r="D921">
        <f>IF($M921="","",IF(ISNUMBER(INDEX(상세표[시작],$M921)),TEXT(INDEX(상세표[시작],$M921),"yyyy-mm-dd hh:mm"),INDEX(상세표[시작],$M921)&amp;""))</f>
        <v/>
      </c>
      <c r="E921">
        <f>IF($M921="","",IF(ISNUMBER(INDEX(상세표[종료],$M921)),TEXT(INDEX(상세표[종료],$M921),"yyyy-mm-dd hh:mm"),INDEX(상세표[종료],$M921)&amp;""))</f>
        <v/>
      </c>
      <c r="F921" s="20">
        <f>IF($M921="","",INDEX(상세표[기록 시간외],$M921))</f>
        <v/>
      </c>
      <c r="G921">
        <f>IF($M921="","",INDEX(상세표[시작월 기관],$M921)&amp;"")</f>
        <v/>
      </c>
      <c r="H921">
        <f>IF($M921="","",INDEX(상세표[종료월 기관],$M921)&amp;"")</f>
        <v/>
      </c>
      <c r="I921">
        <f>IF($M921="","",INDEX(상세표[월경계 판정],$M921)&amp;"")</f>
        <v/>
      </c>
      <c r="J921">
        <f>IF($M921="","",INDEX(상세표[반영월],$M921)&amp;"")</f>
        <v/>
      </c>
      <c r="K921">
        <f>IF($M921="","",INDEX(상세표[반영 기관],$M921)&amp;"")</f>
        <v/>
      </c>
      <c r="L921">
        <f>IF($M921="","",INDEX(상세표[기관 출처],$M921)&amp;"")</f>
        <v/>
      </c>
      <c r="M921" s="4">
        <f>IFERROR(MATCH(916,상세표[경계순번],0),"")</f>
        <v/>
      </c>
    </row>
    <row r="922">
      <c r="A922">
        <f>IF($M922="","",INDEX(상세표[사번],$M922)&amp;"")</f>
        <v/>
      </c>
      <c r="B922">
        <f>IF($M922="","",INDEX(상세표[성명],$M922)&amp;"")</f>
        <v/>
      </c>
      <c r="C922">
        <f>IF($M922="","",IF(INDEX(상세표[종료월],$M922)=대상월키,"전월→이번 달","이번 달→익월"))</f>
        <v/>
      </c>
      <c r="D922">
        <f>IF($M922="","",IF(ISNUMBER(INDEX(상세표[시작],$M922)),TEXT(INDEX(상세표[시작],$M922),"yyyy-mm-dd hh:mm"),INDEX(상세표[시작],$M922)&amp;""))</f>
        <v/>
      </c>
      <c r="E922">
        <f>IF($M922="","",IF(ISNUMBER(INDEX(상세표[종료],$M922)),TEXT(INDEX(상세표[종료],$M922),"yyyy-mm-dd hh:mm"),INDEX(상세표[종료],$M922)&amp;""))</f>
        <v/>
      </c>
      <c r="F922" s="20">
        <f>IF($M922="","",INDEX(상세표[기록 시간외],$M922))</f>
        <v/>
      </c>
      <c r="G922">
        <f>IF($M922="","",INDEX(상세표[시작월 기관],$M922)&amp;"")</f>
        <v/>
      </c>
      <c r="H922">
        <f>IF($M922="","",INDEX(상세표[종료월 기관],$M922)&amp;"")</f>
        <v/>
      </c>
      <c r="I922">
        <f>IF($M922="","",INDEX(상세표[월경계 판정],$M922)&amp;"")</f>
        <v/>
      </c>
      <c r="J922">
        <f>IF($M922="","",INDEX(상세표[반영월],$M922)&amp;"")</f>
        <v/>
      </c>
      <c r="K922">
        <f>IF($M922="","",INDEX(상세표[반영 기관],$M922)&amp;"")</f>
        <v/>
      </c>
      <c r="L922">
        <f>IF($M922="","",INDEX(상세표[기관 출처],$M922)&amp;"")</f>
        <v/>
      </c>
      <c r="M922" s="4">
        <f>IFERROR(MATCH(917,상세표[경계순번],0),"")</f>
        <v/>
      </c>
    </row>
    <row r="923">
      <c r="A923">
        <f>IF($M923="","",INDEX(상세표[사번],$M923)&amp;"")</f>
        <v/>
      </c>
      <c r="B923">
        <f>IF($M923="","",INDEX(상세표[성명],$M923)&amp;"")</f>
        <v/>
      </c>
      <c r="C923">
        <f>IF($M923="","",IF(INDEX(상세표[종료월],$M923)=대상월키,"전월→이번 달","이번 달→익월"))</f>
        <v/>
      </c>
      <c r="D923">
        <f>IF($M923="","",IF(ISNUMBER(INDEX(상세표[시작],$M923)),TEXT(INDEX(상세표[시작],$M923),"yyyy-mm-dd hh:mm"),INDEX(상세표[시작],$M923)&amp;""))</f>
        <v/>
      </c>
      <c r="E923">
        <f>IF($M923="","",IF(ISNUMBER(INDEX(상세표[종료],$M923)),TEXT(INDEX(상세표[종료],$M923),"yyyy-mm-dd hh:mm"),INDEX(상세표[종료],$M923)&amp;""))</f>
        <v/>
      </c>
      <c r="F923" s="20">
        <f>IF($M923="","",INDEX(상세표[기록 시간외],$M923))</f>
        <v/>
      </c>
      <c r="G923">
        <f>IF($M923="","",INDEX(상세표[시작월 기관],$M923)&amp;"")</f>
        <v/>
      </c>
      <c r="H923">
        <f>IF($M923="","",INDEX(상세표[종료월 기관],$M923)&amp;"")</f>
        <v/>
      </c>
      <c r="I923">
        <f>IF($M923="","",INDEX(상세표[월경계 판정],$M923)&amp;"")</f>
        <v/>
      </c>
      <c r="J923">
        <f>IF($M923="","",INDEX(상세표[반영월],$M923)&amp;"")</f>
        <v/>
      </c>
      <c r="K923">
        <f>IF($M923="","",INDEX(상세표[반영 기관],$M923)&amp;"")</f>
        <v/>
      </c>
      <c r="L923">
        <f>IF($M923="","",INDEX(상세표[기관 출처],$M923)&amp;"")</f>
        <v/>
      </c>
      <c r="M923" s="4">
        <f>IFERROR(MATCH(918,상세표[경계순번],0),"")</f>
        <v/>
      </c>
    </row>
    <row r="924">
      <c r="A924">
        <f>IF($M924="","",INDEX(상세표[사번],$M924)&amp;"")</f>
        <v/>
      </c>
      <c r="B924">
        <f>IF($M924="","",INDEX(상세표[성명],$M924)&amp;"")</f>
        <v/>
      </c>
      <c r="C924">
        <f>IF($M924="","",IF(INDEX(상세표[종료월],$M924)=대상월키,"전월→이번 달","이번 달→익월"))</f>
        <v/>
      </c>
      <c r="D924">
        <f>IF($M924="","",IF(ISNUMBER(INDEX(상세표[시작],$M924)),TEXT(INDEX(상세표[시작],$M924),"yyyy-mm-dd hh:mm"),INDEX(상세표[시작],$M924)&amp;""))</f>
        <v/>
      </c>
      <c r="E924">
        <f>IF($M924="","",IF(ISNUMBER(INDEX(상세표[종료],$M924)),TEXT(INDEX(상세표[종료],$M924),"yyyy-mm-dd hh:mm"),INDEX(상세표[종료],$M924)&amp;""))</f>
        <v/>
      </c>
      <c r="F924" s="20">
        <f>IF($M924="","",INDEX(상세표[기록 시간외],$M924))</f>
        <v/>
      </c>
      <c r="G924">
        <f>IF($M924="","",INDEX(상세표[시작월 기관],$M924)&amp;"")</f>
        <v/>
      </c>
      <c r="H924">
        <f>IF($M924="","",INDEX(상세표[종료월 기관],$M924)&amp;"")</f>
        <v/>
      </c>
      <c r="I924">
        <f>IF($M924="","",INDEX(상세표[월경계 판정],$M924)&amp;"")</f>
        <v/>
      </c>
      <c r="J924">
        <f>IF($M924="","",INDEX(상세표[반영월],$M924)&amp;"")</f>
        <v/>
      </c>
      <c r="K924">
        <f>IF($M924="","",INDEX(상세표[반영 기관],$M924)&amp;"")</f>
        <v/>
      </c>
      <c r="L924">
        <f>IF($M924="","",INDEX(상세표[기관 출처],$M924)&amp;"")</f>
        <v/>
      </c>
      <c r="M924" s="4">
        <f>IFERROR(MATCH(919,상세표[경계순번],0),"")</f>
        <v/>
      </c>
    </row>
    <row r="925">
      <c r="A925">
        <f>IF($M925="","",INDEX(상세표[사번],$M925)&amp;"")</f>
        <v/>
      </c>
      <c r="B925">
        <f>IF($M925="","",INDEX(상세표[성명],$M925)&amp;"")</f>
        <v/>
      </c>
      <c r="C925">
        <f>IF($M925="","",IF(INDEX(상세표[종료월],$M925)=대상월키,"전월→이번 달","이번 달→익월"))</f>
        <v/>
      </c>
      <c r="D925">
        <f>IF($M925="","",IF(ISNUMBER(INDEX(상세표[시작],$M925)),TEXT(INDEX(상세표[시작],$M925),"yyyy-mm-dd hh:mm"),INDEX(상세표[시작],$M925)&amp;""))</f>
        <v/>
      </c>
      <c r="E925">
        <f>IF($M925="","",IF(ISNUMBER(INDEX(상세표[종료],$M925)),TEXT(INDEX(상세표[종료],$M925),"yyyy-mm-dd hh:mm"),INDEX(상세표[종료],$M925)&amp;""))</f>
        <v/>
      </c>
      <c r="F925" s="20">
        <f>IF($M925="","",INDEX(상세표[기록 시간외],$M925))</f>
        <v/>
      </c>
      <c r="G925">
        <f>IF($M925="","",INDEX(상세표[시작월 기관],$M925)&amp;"")</f>
        <v/>
      </c>
      <c r="H925">
        <f>IF($M925="","",INDEX(상세표[종료월 기관],$M925)&amp;"")</f>
        <v/>
      </c>
      <c r="I925">
        <f>IF($M925="","",INDEX(상세표[월경계 판정],$M925)&amp;"")</f>
        <v/>
      </c>
      <c r="J925">
        <f>IF($M925="","",INDEX(상세표[반영월],$M925)&amp;"")</f>
        <v/>
      </c>
      <c r="K925">
        <f>IF($M925="","",INDEX(상세표[반영 기관],$M925)&amp;"")</f>
        <v/>
      </c>
      <c r="L925">
        <f>IF($M925="","",INDEX(상세표[기관 출처],$M925)&amp;"")</f>
        <v/>
      </c>
      <c r="M925" s="4">
        <f>IFERROR(MATCH(920,상세표[경계순번],0),"")</f>
        <v/>
      </c>
    </row>
    <row r="926">
      <c r="A926">
        <f>IF($M926="","",INDEX(상세표[사번],$M926)&amp;"")</f>
        <v/>
      </c>
      <c r="B926">
        <f>IF($M926="","",INDEX(상세표[성명],$M926)&amp;"")</f>
        <v/>
      </c>
      <c r="C926">
        <f>IF($M926="","",IF(INDEX(상세표[종료월],$M926)=대상월키,"전월→이번 달","이번 달→익월"))</f>
        <v/>
      </c>
      <c r="D926">
        <f>IF($M926="","",IF(ISNUMBER(INDEX(상세표[시작],$M926)),TEXT(INDEX(상세표[시작],$M926),"yyyy-mm-dd hh:mm"),INDEX(상세표[시작],$M926)&amp;""))</f>
        <v/>
      </c>
      <c r="E926">
        <f>IF($M926="","",IF(ISNUMBER(INDEX(상세표[종료],$M926)),TEXT(INDEX(상세표[종료],$M926),"yyyy-mm-dd hh:mm"),INDEX(상세표[종료],$M926)&amp;""))</f>
        <v/>
      </c>
      <c r="F926" s="20">
        <f>IF($M926="","",INDEX(상세표[기록 시간외],$M926))</f>
        <v/>
      </c>
      <c r="G926">
        <f>IF($M926="","",INDEX(상세표[시작월 기관],$M926)&amp;"")</f>
        <v/>
      </c>
      <c r="H926">
        <f>IF($M926="","",INDEX(상세표[종료월 기관],$M926)&amp;"")</f>
        <v/>
      </c>
      <c r="I926">
        <f>IF($M926="","",INDEX(상세표[월경계 판정],$M926)&amp;"")</f>
        <v/>
      </c>
      <c r="J926">
        <f>IF($M926="","",INDEX(상세표[반영월],$M926)&amp;"")</f>
        <v/>
      </c>
      <c r="K926">
        <f>IF($M926="","",INDEX(상세표[반영 기관],$M926)&amp;"")</f>
        <v/>
      </c>
      <c r="L926">
        <f>IF($M926="","",INDEX(상세표[기관 출처],$M926)&amp;"")</f>
        <v/>
      </c>
      <c r="M926" s="4">
        <f>IFERROR(MATCH(921,상세표[경계순번],0),"")</f>
        <v/>
      </c>
    </row>
    <row r="927">
      <c r="A927">
        <f>IF($M927="","",INDEX(상세표[사번],$M927)&amp;"")</f>
        <v/>
      </c>
      <c r="B927">
        <f>IF($M927="","",INDEX(상세표[성명],$M927)&amp;"")</f>
        <v/>
      </c>
      <c r="C927">
        <f>IF($M927="","",IF(INDEX(상세표[종료월],$M927)=대상월키,"전월→이번 달","이번 달→익월"))</f>
        <v/>
      </c>
      <c r="D927">
        <f>IF($M927="","",IF(ISNUMBER(INDEX(상세표[시작],$M927)),TEXT(INDEX(상세표[시작],$M927),"yyyy-mm-dd hh:mm"),INDEX(상세표[시작],$M927)&amp;""))</f>
        <v/>
      </c>
      <c r="E927">
        <f>IF($M927="","",IF(ISNUMBER(INDEX(상세표[종료],$M927)),TEXT(INDEX(상세표[종료],$M927),"yyyy-mm-dd hh:mm"),INDEX(상세표[종료],$M927)&amp;""))</f>
        <v/>
      </c>
      <c r="F927" s="20">
        <f>IF($M927="","",INDEX(상세표[기록 시간외],$M927))</f>
        <v/>
      </c>
      <c r="G927">
        <f>IF($M927="","",INDEX(상세표[시작월 기관],$M927)&amp;"")</f>
        <v/>
      </c>
      <c r="H927">
        <f>IF($M927="","",INDEX(상세표[종료월 기관],$M927)&amp;"")</f>
        <v/>
      </c>
      <c r="I927">
        <f>IF($M927="","",INDEX(상세표[월경계 판정],$M927)&amp;"")</f>
        <v/>
      </c>
      <c r="J927">
        <f>IF($M927="","",INDEX(상세표[반영월],$M927)&amp;"")</f>
        <v/>
      </c>
      <c r="K927">
        <f>IF($M927="","",INDEX(상세표[반영 기관],$M927)&amp;"")</f>
        <v/>
      </c>
      <c r="L927">
        <f>IF($M927="","",INDEX(상세표[기관 출처],$M927)&amp;"")</f>
        <v/>
      </c>
      <c r="M927" s="4">
        <f>IFERROR(MATCH(922,상세표[경계순번],0),"")</f>
        <v/>
      </c>
    </row>
    <row r="928">
      <c r="A928">
        <f>IF($M928="","",INDEX(상세표[사번],$M928)&amp;"")</f>
        <v/>
      </c>
      <c r="B928">
        <f>IF($M928="","",INDEX(상세표[성명],$M928)&amp;"")</f>
        <v/>
      </c>
      <c r="C928">
        <f>IF($M928="","",IF(INDEX(상세표[종료월],$M928)=대상월키,"전월→이번 달","이번 달→익월"))</f>
        <v/>
      </c>
      <c r="D928">
        <f>IF($M928="","",IF(ISNUMBER(INDEX(상세표[시작],$M928)),TEXT(INDEX(상세표[시작],$M928),"yyyy-mm-dd hh:mm"),INDEX(상세표[시작],$M928)&amp;""))</f>
        <v/>
      </c>
      <c r="E928">
        <f>IF($M928="","",IF(ISNUMBER(INDEX(상세표[종료],$M928)),TEXT(INDEX(상세표[종료],$M928),"yyyy-mm-dd hh:mm"),INDEX(상세표[종료],$M928)&amp;""))</f>
        <v/>
      </c>
      <c r="F928" s="20">
        <f>IF($M928="","",INDEX(상세표[기록 시간외],$M928))</f>
        <v/>
      </c>
      <c r="G928">
        <f>IF($M928="","",INDEX(상세표[시작월 기관],$M928)&amp;"")</f>
        <v/>
      </c>
      <c r="H928">
        <f>IF($M928="","",INDEX(상세표[종료월 기관],$M928)&amp;"")</f>
        <v/>
      </c>
      <c r="I928">
        <f>IF($M928="","",INDEX(상세표[월경계 판정],$M928)&amp;"")</f>
        <v/>
      </c>
      <c r="J928">
        <f>IF($M928="","",INDEX(상세표[반영월],$M928)&amp;"")</f>
        <v/>
      </c>
      <c r="K928">
        <f>IF($M928="","",INDEX(상세표[반영 기관],$M928)&amp;"")</f>
        <v/>
      </c>
      <c r="L928">
        <f>IF($M928="","",INDEX(상세표[기관 출처],$M928)&amp;"")</f>
        <v/>
      </c>
      <c r="M928" s="4">
        <f>IFERROR(MATCH(923,상세표[경계순번],0),"")</f>
        <v/>
      </c>
    </row>
    <row r="929">
      <c r="A929">
        <f>IF($M929="","",INDEX(상세표[사번],$M929)&amp;"")</f>
        <v/>
      </c>
      <c r="B929">
        <f>IF($M929="","",INDEX(상세표[성명],$M929)&amp;"")</f>
        <v/>
      </c>
      <c r="C929">
        <f>IF($M929="","",IF(INDEX(상세표[종료월],$M929)=대상월키,"전월→이번 달","이번 달→익월"))</f>
        <v/>
      </c>
      <c r="D929">
        <f>IF($M929="","",IF(ISNUMBER(INDEX(상세표[시작],$M929)),TEXT(INDEX(상세표[시작],$M929),"yyyy-mm-dd hh:mm"),INDEX(상세표[시작],$M929)&amp;""))</f>
        <v/>
      </c>
      <c r="E929">
        <f>IF($M929="","",IF(ISNUMBER(INDEX(상세표[종료],$M929)),TEXT(INDEX(상세표[종료],$M929),"yyyy-mm-dd hh:mm"),INDEX(상세표[종료],$M929)&amp;""))</f>
        <v/>
      </c>
      <c r="F929" s="20">
        <f>IF($M929="","",INDEX(상세표[기록 시간외],$M929))</f>
        <v/>
      </c>
      <c r="G929">
        <f>IF($M929="","",INDEX(상세표[시작월 기관],$M929)&amp;"")</f>
        <v/>
      </c>
      <c r="H929">
        <f>IF($M929="","",INDEX(상세표[종료월 기관],$M929)&amp;"")</f>
        <v/>
      </c>
      <c r="I929">
        <f>IF($M929="","",INDEX(상세표[월경계 판정],$M929)&amp;"")</f>
        <v/>
      </c>
      <c r="J929">
        <f>IF($M929="","",INDEX(상세표[반영월],$M929)&amp;"")</f>
        <v/>
      </c>
      <c r="K929">
        <f>IF($M929="","",INDEX(상세표[반영 기관],$M929)&amp;"")</f>
        <v/>
      </c>
      <c r="L929">
        <f>IF($M929="","",INDEX(상세표[기관 출처],$M929)&amp;"")</f>
        <v/>
      </c>
      <c r="M929" s="4">
        <f>IFERROR(MATCH(924,상세표[경계순번],0),"")</f>
        <v/>
      </c>
    </row>
    <row r="930">
      <c r="A930">
        <f>IF($M930="","",INDEX(상세표[사번],$M930)&amp;"")</f>
        <v/>
      </c>
      <c r="B930">
        <f>IF($M930="","",INDEX(상세표[성명],$M930)&amp;"")</f>
        <v/>
      </c>
      <c r="C930">
        <f>IF($M930="","",IF(INDEX(상세표[종료월],$M930)=대상월키,"전월→이번 달","이번 달→익월"))</f>
        <v/>
      </c>
      <c r="D930">
        <f>IF($M930="","",IF(ISNUMBER(INDEX(상세표[시작],$M930)),TEXT(INDEX(상세표[시작],$M930),"yyyy-mm-dd hh:mm"),INDEX(상세표[시작],$M930)&amp;""))</f>
        <v/>
      </c>
      <c r="E930">
        <f>IF($M930="","",IF(ISNUMBER(INDEX(상세표[종료],$M930)),TEXT(INDEX(상세표[종료],$M930),"yyyy-mm-dd hh:mm"),INDEX(상세표[종료],$M930)&amp;""))</f>
        <v/>
      </c>
      <c r="F930" s="20">
        <f>IF($M930="","",INDEX(상세표[기록 시간외],$M930))</f>
        <v/>
      </c>
      <c r="G930">
        <f>IF($M930="","",INDEX(상세표[시작월 기관],$M930)&amp;"")</f>
        <v/>
      </c>
      <c r="H930">
        <f>IF($M930="","",INDEX(상세표[종료월 기관],$M930)&amp;"")</f>
        <v/>
      </c>
      <c r="I930">
        <f>IF($M930="","",INDEX(상세표[월경계 판정],$M930)&amp;"")</f>
        <v/>
      </c>
      <c r="J930">
        <f>IF($M930="","",INDEX(상세표[반영월],$M930)&amp;"")</f>
        <v/>
      </c>
      <c r="K930">
        <f>IF($M930="","",INDEX(상세표[반영 기관],$M930)&amp;"")</f>
        <v/>
      </c>
      <c r="L930">
        <f>IF($M930="","",INDEX(상세표[기관 출처],$M930)&amp;"")</f>
        <v/>
      </c>
      <c r="M930" s="4">
        <f>IFERROR(MATCH(925,상세표[경계순번],0),"")</f>
        <v/>
      </c>
    </row>
    <row r="931">
      <c r="A931">
        <f>IF($M931="","",INDEX(상세표[사번],$M931)&amp;"")</f>
        <v/>
      </c>
      <c r="B931">
        <f>IF($M931="","",INDEX(상세표[성명],$M931)&amp;"")</f>
        <v/>
      </c>
      <c r="C931">
        <f>IF($M931="","",IF(INDEX(상세표[종료월],$M931)=대상월키,"전월→이번 달","이번 달→익월"))</f>
        <v/>
      </c>
      <c r="D931">
        <f>IF($M931="","",IF(ISNUMBER(INDEX(상세표[시작],$M931)),TEXT(INDEX(상세표[시작],$M931),"yyyy-mm-dd hh:mm"),INDEX(상세표[시작],$M931)&amp;""))</f>
        <v/>
      </c>
      <c r="E931">
        <f>IF($M931="","",IF(ISNUMBER(INDEX(상세표[종료],$M931)),TEXT(INDEX(상세표[종료],$M931),"yyyy-mm-dd hh:mm"),INDEX(상세표[종료],$M931)&amp;""))</f>
        <v/>
      </c>
      <c r="F931" s="20">
        <f>IF($M931="","",INDEX(상세표[기록 시간외],$M931))</f>
        <v/>
      </c>
      <c r="G931">
        <f>IF($M931="","",INDEX(상세표[시작월 기관],$M931)&amp;"")</f>
        <v/>
      </c>
      <c r="H931">
        <f>IF($M931="","",INDEX(상세표[종료월 기관],$M931)&amp;"")</f>
        <v/>
      </c>
      <c r="I931">
        <f>IF($M931="","",INDEX(상세표[월경계 판정],$M931)&amp;"")</f>
        <v/>
      </c>
      <c r="J931">
        <f>IF($M931="","",INDEX(상세표[반영월],$M931)&amp;"")</f>
        <v/>
      </c>
      <c r="K931">
        <f>IF($M931="","",INDEX(상세표[반영 기관],$M931)&amp;"")</f>
        <v/>
      </c>
      <c r="L931">
        <f>IF($M931="","",INDEX(상세표[기관 출처],$M931)&amp;"")</f>
        <v/>
      </c>
      <c r="M931" s="4">
        <f>IFERROR(MATCH(926,상세표[경계순번],0),"")</f>
        <v/>
      </c>
    </row>
    <row r="932">
      <c r="A932">
        <f>IF($M932="","",INDEX(상세표[사번],$M932)&amp;"")</f>
        <v/>
      </c>
      <c r="B932">
        <f>IF($M932="","",INDEX(상세표[성명],$M932)&amp;"")</f>
        <v/>
      </c>
      <c r="C932">
        <f>IF($M932="","",IF(INDEX(상세표[종료월],$M932)=대상월키,"전월→이번 달","이번 달→익월"))</f>
        <v/>
      </c>
      <c r="D932">
        <f>IF($M932="","",IF(ISNUMBER(INDEX(상세표[시작],$M932)),TEXT(INDEX(상세표[시작],$M932),"yyyy-mm-dd hh:mm"),INDEX(상세표[시작],$M932)&amp;""))</f>
        <v/>
      </c>
      <c r="E932">
        <f>IF($M932="","",IF(ISNUMBER(INDEX(상세표[종료],$M932)),TEXT(INDEX(상세표[종료],$M932),"yyyy-mm-dd hh:mm"),INDEX(상세표[종료],$M932)&amp;""))</f>
        <v/>
      </c>
      <c r="F932" s="20">
        <f>IF($M932="","",INDEX(상세표[기록 시간외],$M932))</f>
        <v/>
      </c>
      <c r="G932">
        <f>IF($M932="","",INDEX(상세표[시작월 기관],$M932)&amp;"")</f>
        <v/>
      </c>
      <c r="H932">
        <f>IF($M932="","",INDEX(상세표[종료월 기관],$M932)&amp;"")</f>
        <v/>
      </c>
      <c r="I932">
        <f>IF($M932="","",INDEX(상세표[월경계 판정],$M932)&amp;"")</f>
        <v/>
      </c>
      <c r="J932">
        <f>IF($M932="","",INDEX(상세표[반영월],$M932)&amp;"")</f>
        <v/>
      </c>
      <c r="K932">
        <f>IF($M932="","",INDEX(상세표[반영 기관],$M932)&amp;"")</f>
        <v/>
      </c>
      <c r="L932">
        <f>IF($M932="","",INDEX(상세표[기관 출처],$M932)&amp;"")</f>
        <v/>
      </c>
      <c r="M932" s="4">
        <f>IFERROR(MATCH(927,상세표[경계순번],0),"")</f>
        <v/>
      </c>
    </row>
    <row r="933">
      <c r="A933">
        <f>IF($M933="","",INDEX(상세표[사번],$M933)&amp;"")</f>
        <v/>
      </c>
      <c r="B933">
        <f>IF($M933="","",INDEX(상세표[성명],$M933)&amp;"")</f>
        <v/>
      </c>
      <c r="C933">
        <f>IF($M933="","",IF(INDEX(상세표[종료월],$M933)=대상월키,"전월→이번 달","이번 달→익월"))</f>
        <v/>
      </c>
      <c r="D933">
        <f>IF($M933="","",IF(ISNUMBER(INDEX(상세표[시작],$M933)),TEXT(INDEX(상세표[시작],$M933),"yyyy-mm-dd hh:mm"),INDEX(상세표[시작],$M933)&amp;""))</f>
        <v/>
      </c>
      <c r="E933">
        <f>IF($M933="","",IF(ISNUMBER(INDEX(상세표[종료],$M933)),TEXT(INDEX(상세표[종료],$M933),"yyyy-mm-dd hh:mm"),INDEX(상세표[종료],$M933)&amp;""))</f>
        <v/>
      </c>
      <c r="F933" s="20">
        <f>IF($M933="","",INDEX(상세표[기록 시간외],$M933))</f>
        <v/>
      </c>
      <c r="G933">
        <f>IF($M933="","",INDEX(상세표[시작월 기관],$M933)&amp;"")</f>
        <v/>
      </c>
      <c r="H933">
        <f>IF($M933="","",INDEX(상세표[종료월 기관],$M933)&amp;"")</f>
        <v/>
      </c>
      <c r="I933">
        <f>IF($M933="","",INDEX(상세표[월경계 판정],$M933)&amp;"")</f>
        <v/>
      </c>
      <c r="J933">
        <f>IF($M933="","",INDEX(상세표[반영월],$M933)&amp;"")</f>
        <v/>
      </c>
      <c r="K933">
        <f>IF($M933="","",INDEX(상세표[반영 기관],$M933)&amp;"")</f>
        <v/>
      </c>
      <c r="L933">
        <f>IF($M933="","",INDEX(상세표[기관 출처],$M933)&amp;"")</f>
        <v/>
      </c>
      <c r="M933" s="4">
        <f>IFERROR(MATCH(928,상세표[경계순번],0),"")</f>
        <v/>
      </c>
    </row>
    <row r="934">
      <c r="A934">
        <f>IF($M934="","",INDEX(상세표[사번],$M934)&amp;"")</f>
        <v/>
      </c>
      <c r="B934">
        <f>IF($M934="","",INDEX(상세표[성명],$M934)&amp;"")</f>
        <v/>
      </c>
      <c r="C934">
        <f>IF($M934="","",IF(INDEX(상세표[종료월],$M934)=대상월키,"전월→이번 달","이번 달→익월"))</f>
        <v/>
      </c>
      <c r="D934">
        <f>IF($M934="","",IF(ISNUMBER(INDEX(상세표[시작],$M934)),TEXT(INDEX(상세표[시작],$M934),"yyyy-mm-dd hh:mm"),INDEX(상세표[시작],$M934)&amp;""))</f>
        <v/>
      </c>
      <c r="E934">
        <f>IF($M934="","",IF(ISNUMBER(INDEX(상세표[종료],$M934)),TEXT(INDEX(상세표[종료],$M934),"yyyy-mm-dd hh:mm"),INDEX(상세표[종료],$M934)&amp;""))</f>
        <v/>
      </c>
      <c r="F934" s="20">
        <f>IF($M934="","",INDEX(상세표[기록 시간외],$M934))</f>
        <v/>
      </c>
      <c r="G934">
        <f>IF($M934="","",INDEX(상세표[시작월 기관],$M934)&amp;"")</f>
        <v/>
      </c>
      <c r="H934">
        <f>IF($M934="","",INDEX(상세표[종료월 기관],$M934)&amp;"")</f>
        <v/>
      </c>
      <c r="I934">
        <f>IF($M934="","",INDEX(상세표[월경계 판정],$M934)&amp;"")</f>
        <v/>
      </c>
      <c r="J934">
        <f>IF($M934="","",INDEX(상세표[반영월],$M934)&amp;"")</f>
        <v/>
      </c>
      <c r="K934">
        <f>IF($M934="","",INDEX(상세표[반영 기관],$M934)&amp;"")</f>
        <v/>
      </c>
      <c r="L934">
        <f>IF($M934="","",INDEX(상세표[기관 출처],$M934)&amp;"")</f>
        <v/>
      </c>
      <c r="M934" s="4">
        <f>IFERROR(MATCH(929,상세표[경계순번],0),"")</f>
        <v/>
      </c>
    </row>
    <row r="935">
      <c r="A935">
        <f>IF($M935="","",INDEX(상세표[사번],$M935)&amp;"")</f>
        <v/>
      </c>
      <c r="B935">
        <f>IF($M935="","",INDEX(상세표[성명],$M935)&amp;"")</f>
        <v/>
      </c>
      <c r="C935">
        <f>IF($M935="","",IF(INDEX(상세표[종료월],$M935)=대상월키,"전월→이번 달","이번 달→익월"))</f>
        <v/>
      </c>
      <c r="D935">
        <f>IF($M935="","",IF(ISNUMBER(INDEX(상세표[시작],$M935)),TEXT(INDEX(상세표[시작],$M935),"yyyy-mm-dd hh:mm"),INDEX(상세표[시작],$M935)&amp;""))</f>
        <v/>
      </c>
      <c r="E935">
        <f>IF($M935="","",IF(ISNUMBER(INDEX(상세표[종료],$M935)),TEXT(INDEX(상세표[종료],$M935),"yyyy-mm-dd hh:mm"),INDEX(상세표[종료],$M935)&amp;""))</f>
        <v/>
      </c>
      <c r="F935" s="20">
        <f>IF($M935="","",INDEX(상세표[기록 시간외],$M935))</f>
        <v/>
      </c>
      <c r="G935">
        <f>IF($M935="","",INDEX(상세표[시작월 기관],$M935)&amp;"")</f>
        <v/>
      </c>
      <c r="H935">
        <f>IF($M935="","",INDEX(상세표[종료월 기관],$M935)&amp;"")</f>
        <v/>
      </c>
      <c r="I935">
        <f>IF($M935="","",INDEX(상세표[월경계 판정],$M935)&amp;"")</f>
        <v/>
      </c>
      <c r="J935">
        <f>IF($M935="","",INDEX(상세표[반영월],$M935)&amp;"")</f>
        <v/>
      </c>
      <c r="K935">
        <f>IF($M935="","",INDEX(상세표[반영 기관],$M935)&amp;"")</f>
        <v/>
      </c>
      <c r="L935">
        <f>IF($M935="","",INDEX(상세표[기관 출처],$M935)&amp;"")</f>
        <v/>
      </c>
      <c r="M935" s="4">
        <f>IFERROR(MATCH(930,상세표[경계순번],0),"")</f>
        <v/>
      </c>
    </row>
    <row r="936">
      <c r="A936">
        <f>IF($M936="","",INDEX(상세표[사번],$M936)&amp;"")</f>
        <v/>
      </c>
      <c r="B936">
        <f>IF($M936="","",INDEX(상세표[성명],$M936)&amp;"")</f>
        <v/>
      </c>
      <c r="C936">
        <f>IF($M936="","",IF(INDEX(상세표[종료월],$M936)=대상월키,"전월→이번 달","이번 달→익월"))</f>
        <v/>
      </c>
      <c r="D936">
        <f>IF($M936="","",IF(ISNUMBER(INDEX(상세표[시작],$M936)),TEXT(INDEX(상세표[시작],$M936),"yyyy-mm-dd hh:mm"),INDEX(상세표[시작],$M936)&amp;""))</f>
        <v/>
      </c>
      <c r="E936">
        <f>IF($M936="","",IF(ISNUMBER(INDEX(상세표[종료],$M936)),TEXT(INDEX(상세표[종료],$M936),"yyyy-mm-dd hh:mm"),INDEX(상세표[종료],$M936)&amp;""))</f>
        <v/>
      </c>
      <c r="F936" s="20">
        <f>IF($M936="","",INDEX(상세표[기록 시간외],$M936))</f>
        <v/>
      </c>
      <c r="G936">
        <f>IF($M936="","",INDEX(상세표[시작월 기관],$M936)&amp;"")</f>
        <v/>
      </c>
      <c r="H936">
        <f>IF($M936="","",INDEX(상세표[종료월 기관],$M936)&amp;"")</f>
        <v/>
      </c>
      <c r="I936">
        <f>IF($M936="","",INDEX(상세표[월경계 판정],$M936)&amp;"")</f>
        <v/>
      </c>
      <c r="J936">
        <f>IF($M936="","",INDEX(상세표[반영월],$M936)&amp;"")</f>
        <v/>
      </c>
      <c r="K936">
        <f>IF($M936="","",INDEX(상세표[반영 기관],$M936)&amp;"")</f>
        <v/>
      </c>
      <c r="L936">
        <f>IF($M936="","",INDEX(상세표[기관 출처],$M936)&amp;"")</f>
        <v/>
      </c>
      <c r="M936" s="4">
        <f>IFERROR(MATCH(931,상세표[경계순번],0),"")</f>
        <v/>
      </c>
    </row>
    <row r="937">
      <c r="A937">
        <f>IF($M937="","",INDEX(상세표[사번],$M937)&amp;"")</f>
        <v/>
      </c>
      <c r="B937">
        <f>IF($M937="","",INDEX(상세표[성명],$M937)&amp;"")</f>
        <v/>
      </c>
      <c r="C937">
        <f>IF($M937="","",IF(INDEX(상세표[종료월],$M937)=대상월키,"전월→이번 달","이번 달→익월"))</f>
        <v/>
      </c>
      <c r="D937">
        <f>IF($M937="","",IF(ISNUMBER(INDEX(상세표[시작],$M937)),TEXT(INDEX(상세표[시작],$M937),"yyyy-mm-dd hh:mm"),INDEX(상세표[시작],$M937)&amp;""))</f>
        <v/>
      </c>
      <c r="E937">
        <f>IF($M937="","",IF(ISNUMBER(INDEX(상세표[종료],$M937)),TEXT(INDEX(상세표[종료],$M937),"yyyy-mm-dd hh:mm"),INDEX(상세표[종료],$M937)&amp;""))</f>
        <v/>
      </c>
      <c r="F937" s="20">
        <f>IF($M937="","",INDEX(상세표[기록 시간외],$M937))</f>
        <v/>
      </c>
      <c r="G937">
        <f>IF($M937="","",INDEX(상세표[시작월 기관],$M937)&amp;"")</f>
        <v/>
      </c>
      <c r="H937">
        <f>IF($M937="","",INDEX(상세표[종료월 기관],$M937)&amp;"")</f>
        <v/>
      </c>
      <c r="I937">
        <f>IF($M937="","",INDEX(상세표[월경계 판정],$M937)&amp;"")</f>
        <v/>
      </c>
      <c r="J937">
        <f>IF($M937="","",INDEX(상세표[반영월],$M937)&amp;"")</f>
        <v/>
      </c>
      <c r="K937">
        <f>IF($M937="","",INDEX(상세표[반영 기관],$M937)&amp;"")</f>
        <v/>
      </c>
      <c r="L937">
        <f>IF($M937="","",INDEX(상세표[기관 출처],$M937)&amp;"")</f>
        <v/>
      </c>
      <c r="M937" s="4">
        <f>IFERROR(MATCH(932,상세표[경계순번],0),"")</f>
        <v/>
      </c>
    </row>
    <row r="938">
      <c r="A938">
        <f>IF($M938="","",INDEX(상세표[사번],$M938)&amp;"")</f>
        <v/>
      </c>
      <c r="B938">
        <f>IF($M938="","",INDEX(상세표[성명],$M938)&amp;"")</f>
        <v/>
      </c>
      <c r="C938">
        <f>IF($M938="","",IF(INDEX(상세표[종료월],$M938)=대상월키,"전월→이번 달","이번 달→익월"))</f>
        <v/>
      </c>
      <c r="D938">
        <f>IF($M938="","",IF(ISNUMBER(INDEX(상세표[시작],$M938)),TEXT(INDEX(상세표[시작],$M938),"yyyy-mm-dd hh:mm"),INDEX(상세표[시작],$M938)&amp;""))</f>
        <v/>
      </c>
      <c r="E938">
        <f>IF($M938="","",IF(ISNUMBER(INDEX(상세표[종료],$M938)),TEXT(INDEX(상세표[종료],$M938),"yyyy-mm-dd hh:mm"),INDEX(상세표[종료],$M938)&amp;""))</f>
        <v/>
      </c>
      <c r="F938" s="20">
        <f>IF($M938="","",INDEX(상세표[기록 시간외],$M938))</f>
        <v/>
      </c>
      <c r="G938">
        <f>IF($M938="","",INDEX(상세표[시작월 기관],$M938)&amp;"")</f>
        <v/>
      </c>
      <c r="H938">
        <f>IF($M938="","",INDEX(상세표[종료월 기관],$M938)&amp;"")</f>
        <v/>
      </c>
      <c r="I938">
        <f>IF($M938="","",INDEX(상세표[월경계 판정],$M938)&amp;"")</f>
        <v/>
      </c>
      <c r="J938">
        <f>IF($M938="","",INDEX(상세표[반영월],$M938)&amp;"")</f>
        <v/>
      </c>
      <c r="K938">
        <f>IF($M938="","",INDEX(상세표[반영 기관],$M938)&amp;"")</f>
        <v/>
      </c>
      <c r="L938">
        <f>IF($M938="","",INDEX(상세표[기관 출처],$M938)&amp;"")</f>
        <v/>
      </c>
      <c r="M938" s="4">
        <f>IFERROR(MATCH(933,상세표[경계순번],0),"")</f>
        <v/>
      </c>
    </row>
    <row r="939">
      <c r="A939">
        <f>IF($M939="","",INDEX(상세표[사번],$M939)&amp;"")</f>
        <v/>
      </c>
      <c r="B939">
        <f>IF($M939="","",INDEX(상세표[성명],$M939)&amp;"")</f>
        <v/>
      </c>
      <c r="C939">
        <f>IF($M939="","",IF(INDEX(상세표[종료월],$M939)=대상월키,"전월→이번 달","이번 달→익월"))</f>
        <v/>
      </c>
      <c r="D939">
        <f>IF($M939="","",IF(ISNUMBER(INDEX(상세표[시작],$M939)),TEXT(INDEX(상세표[시작],$M939),"yyyy-mm-dd hh:mm"),INDEX(상세표[시작],$M939)&amp;""))</f>
        <v/>
      </c>
      <c r="E939">
        <f>IF($M939="","",IF(ISNUMBER(INDEX(상세표[종료],$M939)),TEXT(INDEX(상세표[종료],$M939),"yyyy-mm-dd hh:mm"),INDEX(상세표[종료],$M939)&amp;""))</f>
        <v/>
      </c>
      <c r="F939" s="20">
        <f>IF($M939="","",INDEX(상세표[기록 시간외],$M939))</f>
        <v/>
      </c>
      <c r="G939">
        <f>IF($M939="","",INDEX(상세표[시작월 기관],$M939)&amp;"")</f>
        <v/>
      </c>
      <c r="H939">
        <f>IF($M939="","",INDEX(상세표[종료월 기관],$M939)&amp;"")</f>
        <v/>
      </c>
      <c r="I939">
        <f>IF($M939="","",INDEX(상세표[월경계 판정],$M939)&amp;"")</f>
        <v/>
      </c>
      <c r="J939">
        <f>IF($M939="","",INDEX(상세표[반영월],$M939)&amp;"")</f>
        <v/>
      </c>
      <c r="K939">
        <f>IF($M939="","",INDEX(상세표[반영 기관],$M939)&amp;"")</f>
        <v/>
      </c>
      <c r="L939">
        <f>IF($M939="","",INDEX(상세표[기관 출처],$M939)&amp;"")</f>
        <v/>
      </c>
      <c r="M939" s="4">
        <f>IFERROR(MATCH(934,상세표[경계순번],0),"")</f>
        <v/>
      </c>
    </row>
    <row r="940">
      <c r="A940">
        <f>IF($M940="","",INDEX(상세표[사번],$M940)&amp;"")</f>
        <v/>
      </c>
      <c r="B940">
        <f>IF($M940="","",INDEX(상세표[성명],$M940)&amp;"")</f>
        <v/>
      </c>
      <c r="C940">
        <f>IF($M940="","",IF(INDEX(상세표[종료월],$M940)=대상월키,"전월→이번 달","이번 달→익월"))</f>
        <v/>
      </c>
      <c r="D940">
        <f>IF($M940="","",IF(ISNUMBER(INDEX(상세표[시작],$M940)),TEXT(INDEX(상세표[시작],$M940),"yyyy-mm-dd hh:mm"),INDEX(상세표[시작],$M940)&amp;""))</f>
        <v/>
      </c>
      <c r="E940">
        <f>IF($M940="","",IF(ISNUMBER(INDEX(상세표[종료],$M940)),TEXT(INDEX(상세표[종료],$M940),"yyyy-mm-dd hh:mm"),INDEX(상세표[종료],$M940)&amp;""))</f>
        <v/>
      </c>
      <c r="F940" s="20">
        <f>IF($M940="","",INDEX(상세표[기록 시간외],$M940))</f>
        <v/>
      </c>
      <c r="G940">
        <f>IF($M940="","",INDEX(상세표[시작월 기관],$M940)&amp;"")</f>
        <v/>
      </c>
      <c r="H940">
        <f>IF($M940="","",INDEX(상세표[종료월 기관],$M940)&amp;"")</f>
        <v/>
      </c>
      <c r="I940">
        <f>IF($M940="","",INDEX(상세표[월경계 판정],$M940)&amp;"")</f>
        <v/>
      </c>
      <c r="J940">
        <f>IF($M940="","",INDEX(상세표[반영월],$M940)&amp;"")</f>
        <v/>
      </c>
      <c r="K940">
        <f>IF($M940="","",INDEX(상세표[반영 기관],$M940)&amp;"")</f>
        <v/>
      </c>
      <c r="L940">
        <f>IF($M940="","",INDEX(상세표[기관 출처],$M940)&amp;"")</f>
        <v/>
      </c>
      <c r="M940" s="4">
        <f>IFERROR(MATCH(935,상세표[경계순번],0),"")</f>
        <v/>
      </c>
    </row>
    <row r="941">
      <c r="A941">
        <f>IF($M941="","",INDEX(상세표[사번],$M941)&amp;"")</f>
        <v/>
      </c>
      <c r="B941">
        <f>IF($M941="","",INDEX(상세표[성명],$M941)&amp;"")</f>
        <v/>
      </c>
      <c r="C941">
        <f>IF($M941="","",IF(INDEX(상세표[종료월],$M941)=대상월키,"전월→이번 달","이번 달→익월"))</f>
        <v/>
      </c>
      <c r="D941">
        <f>IF($M941="","",IF(ISNUMBER(INDEX(상세표[시작],$M941)),TEXT(INDEX(상세표[시작],$M941),"yyyy-mm-dd hh:mm"),INDEX(상세표[시작],$M941)&amp;""))</f>
        <v/>
      </c>
      <c r="E941">
        <f>IF($M941="","",IF(ISNUMBER(INDEX(상세표[종료],$M941)),TEXT(INDEX(상세표[종료],$M941),"yyyy-mm-dd hh:mm"),INDEX(상세표[종료],$M941)&amp;""))</f>
        <v/>
      </c>
      <c r="F941" s="20">
        <f>IF($M941="","",INDEX(상세표[기록 시간외],$M941))</f>
        <v/>
      </c>
      <c r="G941">
        <f>IF($M941="","",INDEX(상세표[시작월 기관],$M941)&amp;"")</f>
        <v/>
      </c>
      <c r="H941">
        <f>IF($M941="","",INDEX(상세표[종료월 기관],$M941)&amp;"")</f>
        <v/>
      </c>
      <c r="I941">
        <f>IF($M941="","",INDEX(상세표[월경계 판정],$M941)&amp;"")</f>
        <v/>
      </c>
      <c r="J941">
        <f>IF($M941="","",INDEX(상세표[반영월],$M941)&amp;"")</f>
        <v/>
      </c>
      <c r="K941">
        <f>IF($M941="","",INDEX(상세표[반영 기관],$M941)&amp;"")</f>
        <v/>
      </c>
      <c r="L941">
        <f>IF($M941="","",INDEX(상세표[기관 출처],$M941)&amp;"")</f>
        <v/>
      </c>
      <c r="M941" s="4">
        <f>IFERROR(MATCH(936,상세표[경계순번],0),"")</f>
        <v/>
      </c>
    </row>
    <row r="942">
      <c r="A942">
        <f>IF($M942="","",INDEX(상세표[사번],$M942)&amp;"")</f>
        <v/>
      </c>
      <c r="B942">
        <f>IF($M942="","",INDEX(상세표[성명],$M942)&amp;"")</f>
        <v/>
      </c>
      <c r="C942">
        <f>IF($M942="","",IF(INDEX(상세표[종료월],$M942)=대상월키,"전월→이번 달","이번 달→익월"))</f>
        <v/>
      </c>
      <c r="D942">
        <f>IF($M942="","",IF(ISNUMBER(INDEX(상세표[시작],$M942)),TEXT(INDEX(상세표[시작],$M942),"yyyy-mm-dd hh:mm"),INDEX(상세표[시작],$M942)&amp;""))</f>
        <v/>
      </c>
      <c r="E942">
        <f>IF($M942="","",IF(ISNUMBER(INDEX(상세표[종료],$M942)),TEXT(INDEX(상세표[종료],$M942),"yyyy-mm-dd hh:mm"),INDEX(상세표[종료],$M942)&amp;""))</f>
        <v/>
      </c>
      <c r="F942" s="20">
        <f>IF($M942="","",INDEX(상세표[기록 시간외],$M942))</f>
        <v/>
      </c>
      <c r="G942">
        <f>IF($M942="","",INDEX(상세표[시작월 기관],$M942)&amp;"")</f>
        <v/>
      </c>
      <c r="H942">
        <f>IF($M942="","",INDEX(상세표[종료월 기관],$M942)&amp;"")</f>
        <v/>
      </c>
      <c r="I942">
        <f>IF($M942="","",INDEX(상세표[월경계 판정],$M942)&amp;"")</f>
        <v/>
      </c>
      <c r="J942">
        <f>IF($M942="","",INDEX(상세표[반영월],$M942)&amp;"")</f>
        <v/>
      </c>
      <c r="K942">
        <f>IF($M942="","",INDEX(상세표[반영 기관],$M942)&amp;"")</f>
        <v/>
      </c>
      <c r="L942">
        <f>IF($M942="","",INDEX(상세표[기관 출처],$M942)&amp;"")</f>
        <v/>
      </c>
      <c r="M942" s="4">
        <f>IFERROR(MATCH(937,상세표[경계순번],0),"")</f>
        <v/>
      </c>
    </row>
    <row r="943">
      <c r="A943">
        <f>IF($M943="","",INDEX(상세표[사번],$M943)&amp;"")</f>
        <v/>
      </c>
      <c r="B943">
        <f>IF($M943="","",INDEX(상세표[성명],$M943)&amp;"")</f>
        <v/>
      </c>
      <c r="C943">
        <f>IF($M943="","",IF(INDEX(상세표[종료월],$M943)=대상월키,"전월→이번 달","이번 달→익월"))</f>
        <v/>
      </c>
      <c r="D943">
        <f>IF($M943="","",IF(ISNUMBER(INDEX(상세표[시작],$M943)),TEXT(INDEX(상세표[시작],$M943),"yyyy-mm-dd hh:mm"),INDEX(상세표[시작],$M943)&amp;""))</f>
        <v/>
      </c>
      <c r="E943">
        <f>IF($M943="","",IF(ISNUMBER(INDEX(상세표[종료],$M943)),TEXT(INDEX(상세표[종료],$M943),"yyyy-mm-dd hh:mm"),INDEX(상세표[종료],$M943)&amp;""))</f>
        <v/>
      </c>
      <c r="F943" s="20">
        <f>IF($M943="","",INDEX(상세표[기록 시간외],$M943))</f>
        <v/>
      </c>
      <c r="G943">
        <f>IF($M943="","",INDEX(상세표[시작월 기관],$M943)&amp;"")</f>
        <v/>
      </c>
      <c r="H943">
        <f>IF($M943="","",INDEX(상세표[종료월 기관],$M943)&amp;"")</f>
        <v/>
      </c>
      <c r="I943">
        <f>IF($M943="","",INDEX(상세표[월경계 판정],$M943)&amp;"")</f>
        <v/>
      </c>
      <c r="J943">
        <f>IF($M943="","",INDEX(상세표[반영월],$M943)&amp;"")</f>
        <v/>
      </c>
      <c r="K943">
        <f>IF($M943="","",INDEX(상세표[반영 기관],$M943)&amp;"")</f>
        <v/>
      </c>
      <c r="L943">
        <f>IF($M943="","",INDEX(상세표[기관 출처],$M943)&amp;"")</f>
        <v/>
      </c>
      <c r="M943" s="4">
        <f>IFERROR(MATCH(938,상세표[경계순번],0),"")</f>
        <v/>
      </c>
    </row>
    <row r="944">
      <c r="A944">
        <f>IF($M944="","",INDEX(상세표[사번],$M944)&amp;"")</f>
        <v/>
      </c>
      <c r="B944">
        <f>IF($M944="","",INDEX(상세표[성명],$M944)&amp;"")</f>
        <v/>
      </c>
      <c r="C944">
        <f>IF($M944="","",IF(INDEX(상세표[종료월],$M944)=대상월키,"전월→이번 달","이번 달→익월"))</f>
        <v/>
      </c>
      <c r="D944">
        <f>IF($M944="","",IF(ISNUMBER(INDEX(상세표[시작],$M944)),TEXT(INDEX(상세표[시작],$M944),"yyyy-mm-dd hh:mm"),INDEX(상세표[시작],$M944)&amp;""))</f>
        <v/>
      </c>
      <c r="E944">
        <f>IF($M944="","",IF(ISNUMBER(INDEX(상세표[종료],$M944)),TEXT(INDEX(상세표[종료],$M944),"yyyy-mm-dd hh:mm"),INDEX(상세표[종료],$M944)&amp;""))</f>
        <v/>
      </c>
      <c r="F944" s="20">
        <f>IF($M944="","",INDEX(상세표[기록 시간외],$M944))</f>
        <v/>
      </c>
      <c r="G944">
        <f>IF($M944="","",INDEX(상세표[시작월 기관],$M944)&amp;"")</f>
        <v/>
      </c>
      <c r="H944">
        <f>IF($M944="","",INDEX(상세표[종료월 기관],$M944)&amp;"")</f>
        <v/>
      </c>
      <c r="I944">
        <f>IF($M944="","",INDEX(상세표[월경계 판정],$M944)&amp;"")</f>
        <v/>
      </c>
      <c r="J944">
        <f>IF($M944="","",INDEX(상세표[반영월],$M944)&amp;"")</f>
        <v/>
      </c>
      <c r="K944">
        <f>IF($M944="","",INDEX(상세표[반영 기관],$M944)&amp;"")</f>
        <v/>
      </c>
      <c r="L944">
        <f>IF($M944="","",INDEX(상세표[기관 출처],$M944)&amp;"")</f>
        <v/>
      </c>
      <c r="M944" s="4">
        <f>IFERROR(MATCH(939,상세표[경계순번],0),"")</f>
        <v/>
      </c>
    </row>
    <row r="945">
      <c r="A945">
        <f>IF($M945="","",INDEX(상세표[사번],$M945)&amp;"")</f>
        <v/>
      </c>
      <c r="B945">
        <f>IF($M945="","",INDEX(상세표[성명],$M945)&amp;"")</f>
        <v/>
      </c>
      <c r="C945">
        <f>IF($M945="","",IF(INDEX(상세표[종료월],$M945)=대상월키,"전월→이번 달","이번 달→익월"))</f>
        <v/>
      </c>
      <c r="D945">
        <f>IF($M945="","",IF(ISNUMBER(INDEX(상세표[시작],$M945)),TEXT(INDEX(상세표[시작],$M945),"yyyy-mm-dd hh:mm"),INDEX(상세표[시작],$M945)&amp;""))</f>
        <v/>
      </c>
      <c r="E945">
        <f>IF($M945="","",IF(ISNUMBER(INDEX(상세표[종료],$M945)),TEXT(INDEX(상세표[종료],$M945),"yyyy-mm-dd hh:mm"),INDEX(상세표[종료],$M945)&amp;""))</f>
        <v/>
      </c>
      <c r="F945" s="20">
        <f>IF($M945="","",INDEX(상세표[기록 시간외],$M945))</f>
        <v/>
      </c>
      <c r="G945">
        <f>IF($M945="","",INDEX(상세표[시작월 기관],$M945)&amp;"")</f>
        <v/>
      </c>
      <c r="H945">
        <f>IF($M945="","",INDEX(상세표[종료월 기관],$M945)&amp;"")</f>
        <v/>
      </c>
      <c r="I945">
        <f>IF($M945="","",INDEX(상세표[월경계 판정],$M945)&amp;"")</f>
        <v/>
      </c>
      <c r="J945">
        <f>IF($M945="","",INDEX(상세표[반영월],$M945)&amp;"")</f>
        <v/>
      </c>
      <c r="K945">
        <f>IF($M945="","",INDEX(상세표[반영 기관],$M945)&amp;"")</f>
        <v/>
      </c>
      <c r="L945">
        <f>IF($M945="","",INDEX(상세표[기관 출처],$M945)&amp;"")</f>
        <v/>
      </c>
      <c r="M945" s="4">
        <f>IFERROR(MATCH(940,상세표[경계순번],0),"")</f>
        <v/>
      </c>
    </row>
    <row r="946">
      <c r="A946">
        <f>IF($M946="","",INDEX(상세표[사번],$M946)&amp;"")</f>
        <v/>
      </c>
      <c r="B946">
        <f>IF($M946="","",INDEX(상세표[성명],$M946)&amp;"")</f>
        <v/>
      </c>
      <c r="C946">
        <f>IF($M946="","",IF(INDEX(상세표[종료월],$M946)=대상월키,"전월→이번 달","이번 달→익월"))</f>
        <v/>
      </c>
      <c r="D946">
        <f>IF($M946="","",IF(ISNUMBER(INDEX(상세표[시작],$M946)),TEXT(INDEX(상세표[시작],$M946),"yyyy-mm-dd hh:mm"),INDEX(상세표[시작],$M946)&amp;""))</f>
        <v/>
      </c>
      <c r="E946">
        <f>IF($M946="","",IF(ISNUMBER(INDEX(상세표[종료],$M946)),TEXT(INDEX(상세표[종료],$M946),"yyyy-mm-dd hh:mm"),INDEX(상세표[종료],$M946)&amp;""))</f>
        <v/>
      </c>
      <c r="F946" s="20">
        <f>IF($M946="","",INDEX(상세표[기록 시간외],$M946))</f>
        <v/>
      </c>
      <c r="G946">
        <f>IF($M946="","",INDEX(상세표[시작월 기관],$M946)&amp;"")</f>
        <v/>
      </c>
      <c r="H946">
        <f>IF($M946="","",INDEX(상세표[종료월 기관],$M946)&amp;"")</f>
        <v/>
      </c>
      <c r="I946">
        <f>IF($M946="","",INDEX(상세표[월경계 판정],$M946)&amp;"")</f>
        <v/>
      </c>
      <c r="J946">
        <f>IF($M946="","",INDEX(상세표[반영월],$M946)&amp;"")</f>
        <v/>
      </c>
      <c r="K946">
        <f>IF($M946="","",INDEX(상세표[반영 기관],$M946)&amp;"")</f>
        <v/>
      </c>
      <c r="L946">
        <f>IF($M946="","",INDEX(상세표[기관 출처],$M946)&amp;"")</f>
        <v/>
      </c>
      <c r="M946" s="4">
        <f>IFERROR(MATCH(941,상세표[경계순번],0),"")</f>
        <v/>
      </c>
    </row>
    <row r="947">
      <c r="A947">
        <f>IF($M947="","",INDEX(상세표[사번],$M947)&amp;"")</f>
        <v/>
      </c>
      <c r="B947">
        <f>IF($M947="","",INDEX(상세표[성명],$M947)&amp;"")</f>
        <v/>
      </c>
      <c r="C947">
        <f>IF($M947="","",IF(INDEX(상세표[종료월],$M947)=대상월키,"전월→이번 달","이번 달→익월"))</f>
        <v/>
      </c>
      <c r="D947">
        <f>IF($M947="","",IF(ISNUMBER(INDEX(상세표[시작],$M947)),TEXT(INDEX(상세표[시작],$M947),"yyyy-mm-dd hh:mm"),INDEX(상세표[시작],$M947)&amp;""))</f>
        <v/>
      </c>
      <c r="E947">
        <f>IF($M947="","",IF(ISNUMBER(INDEX(상세표[종료],$M947)),TEXT(INDEX(상세표[종료],$M947),"yyyy-mm-dd hh:mm"),INDEX(상세표[종료],$M947)&amp;""))</f>
        <v/>
      </c>
      <c r="F947" s="20">
        <f>IF($M947="","",INDEX(상세표[기록 시간외],$M947))</f>
        <v/>
      </c>
      <c r="G947">
        <f>IF($M947="","",INDEX(상세표[시작월 기관],$M947)&amp;"")</f>
        <v/>
      </c>
      <c r="H947">
        <f>IF($M947="","",INDEX(상세표[종료월 기관],$M947)&amp;"")</f>
        <v/>
      </c>
      <c r="I947">
        <f>IF($M947="","",INDEX(상세표[월경계 판정],$M947)&amp;"")</f>
        <v/>
      </c>
      <c r="J947">
        <f>IF($M947="","",INDEX(상세표[반영월],$M947)&amp;"")</f>
        <v/>
      </c>
      <c r="K947">
        <f>IF($M947="","",INDEX(상세표[반영 기관],$M947)&amp;"")</f>
        <v/>
      </c>
      <c r="L947">
        <f>IF($M947="","",INDEX(상세표[기관 출처],$M947)&amp;"")</f>
        <v/>
      </c>
      <c r="M947" s="4">
        <f>IFERROR(MATCH(942,상세표[경계순번],0),"")</f>
        <v/>
      </c>
    </row>
    <row r="948">
      <c r="A948">
        <f>IF($M948="","",INDEX(상세표[사번],$M948)&amp;"")</f>
        <v/>
      </c>
      <c r="B948">
        <f>IF($M948="","",INDEX(상세표[성명],$M948)&amp;"")</f>
        <v/>
      </c>
      <c r="C948">
        <f>IF($M948="","",IF(INDEX(상세표[종료월],$M948)=대상월키,"전월→이번 달","이번 달→익월"))</f>
        <v/>
      </c>
      <c r="D948">
        <f>IF($M948="","",IF(ISNUMBER(INDEX(상세표[시작],$M948)),TEXT(INDEX(상세표[시작],$M948),"yyyy-mm-dd hh:mm"),INDEX(상세표[시작],$M948)&amp;""))</f>
        <v/>
      </c>
      <c r="E948">
        <f>IF($M948="","",IF(ISNUMBER(INDEX(상세표[종료],$M948)),TEXT(INDEX(상세표[종료],$M948),"yyyy-mm-dd hh:mm"),INDEX(상세표[종료],$M948)&amp;""))</f>
        <v/>
      </c>
      <c r="F948" s="20">
        <f>IF($M948="","",INDEX(상세표[기록 시간외],$M948))</f>
        <v/>
      </c>
      <c r="G948">
        <f>IF($M948="","",INDEX(상세표[시작월 기관],$M948)&amp;"")</f>
        <v/>
      </c>
      <c r="H948">
        <f>IF($M948="","",INDEX(상세표[종료월 기관],$M948)&amp;"")</f>
        <v/>
      </c>
      <c r="I948">
        <f>IF($M948="","",INDEX(상세표[월경계 판정],$M948)&amp;"")</f>
        <v/>
      </c>
      <c r="J948">
        <f>IF($M948="","",INDEX(상세표[반영월],$M948)&amp;"")</f>
        <v/>
      </c>
      <c r="K948">
        <f>IF($M948="","",INDEX(상세표[반영 기관],$M948)&amp;"")</f>
        <v/>
      </c>
      <c r="L948">
        <f>IF($M948="","",INDEX(상세표[기관 출처],$M948)&amp;"")</f>
        <v/>
      </c>
      <c r="M948" s="4">
        <f>IFERROR(MATCH(943,상세표[경계순번],0),"")</f>
        <v/>
      </c>
    </row>
    <row r="949">
      <c r="A949">
        <f>IF($M949="","",INDEX(상세표[사번],$M949)&amp;"")</f>
        <v/>
      </c>
      <c r="B949">
        <f>IF($M949="","",INDEX(상세표[성명],$M949)&amp;"")</f>
        <v/>
      </c>
      <c r="C949">
        <f>IF($M949="","",IF(INDEX(상세표[종료월],$M949)=대상월키,"전월→이번 달","이번 달→익월"))</f>
        <v/>
      </c>
      <c r="D949">
        <f>IF($M949="","",IF(ISNUMBER(INDEX(상세표[시작],$M949)),TEXT(INDEX(상세표[시작],$M949),"yyyy-mm-dd hh:mm"),INDEX(상세표[시작],$M949)&amp;""))</f>
        <v/>
      </c>
      <c r="E949">
        <f>IF($M949="","",IF(ISNUMBER(INDEX(상세표[종료],$M949)),TEXT(INDEX(상세표[종료],$M949),"yyyy-mm-dd hh:mm"),INDEX(상세표[종료],$M949)&amp;""))</f>
        <v/>
      </c>
      <c r="F949" s="20">
        <f>IF($M949="","",INDEX(상세표[기록 시간외],$M949))</f>
        <v/>
      </c>
      <c r="G949">
        <f>IF($M949="","",INDEX(상세표[시작월 기관],$M949)&amp;"")</f>
        <v/>
      </c>
      <c r="H949">
        <f>IF($M949="","",INDEX(상세표[종료월 기관],$M949)&amp;"")</f>
        <v/>
      </c>
      <c r="I949">
        <f>IF($M949="","",INDEX(상세표[월경계 판정],$M949)&amp;"")</f>
        <v/>
      </c>
      <c r="J949">
        <f>IF($M949="","",INDEX(상세표[반영월],$M949)&amp;"")</f>
        <v/>
      </c>
      <c r="K949">
        <f>IF($M949="","",INDEX(상세표[반영 기관],$M949)&amp;"")</f>
        <v/>
      </c>
      <c r="L949">
        <f>IF($M949="","",INDEX(상세표[기관 출처],$M949)&amp;"")</f>
        <v/>
      </c>
      <c r="M949" s="4">
        <f>IFERROR(MATCH(944,상세표[경계순번],0),"")</f>
        <v/>
      </c>
    </row>
    <row r="950">
      <c r="A950">
        <f>IF($M950="","",INDEX(상세표[사번],$M950)&amp;"")</f>
        <v/>
      </c>
      <c r="B950">
        <f>IF($M950="","",INDEX(상세표[성명],$M950)&amp;"")</f>
        <v/>
      </c>
      <c r="C950">
        <f>IF($M950="","",IF(INDEX(상세표[종료월],$M950)=대상월키,"전월→이번 달","이번 달→익월"))</f>
        <v/>
      </c>
      <c r="D950">
        <f>IF($M950="","",IF(ISNUMBER(INDEX(상세표[시작],$M950)),TEXT(INDEX(상세표[시작],$M950),"yyyy-mm-dd hh:mm"),INDEX(상세표[시작],$M950)&amp;""))</f>
        <v/>
      </c>
      <c r="E950">
        <f>IF($M950="","",IF(ISNUMBER(INDEX(상세표[종료],$M950)),TEXT(INDEX(상세표[종료],$M950),"yyyy-mm-dd hh:mm"),INDEX(상세표[종료],$M950)&amp;""))</f>
        <v/>
      </c>
      <c r="F950" s="20">
        <f>IF($M950="","",INDEX(상세표[기록 시간외],$M950))</f>
        <v/>
      </c>
      <c r="G950">
        <f>IF($M950="","",INDEX(상세표[시작월 기관],$M950)&amp;"")</f>
        <v/>
      </c>
      <c r="H950">
        <f>IF($M950="","",INDEX(상세표[종료월 기관],$M950)&amp;"")</f>
        <v/>
      </c>
      <c r="I950">
        <f>IF($M950="","",INDEX(상세표[월경계 판정],$M950)&amp;"")</f>
        <v/>
      </c>
      <c r="J950">
        <f>IF($M950="","",INDEX(상세표[반영월],$M950)&amp;"")</f>
        <v/>
      </c>
      <c r="K950">
        <f>IF($M950="","",INDEX(상세표[반영 기관],$M950)&amp;"")</f>
        <v/>
      </c>
      <c r="L950">
        <f>IF($M950="","",INDEX(상세표[기관 출처],$M950)&amp;"")</f>
        <v/>
      </c>
      <c r="M950" s="4">
        <f>IFERROR(MATCH(945,상세표[경계순번],0),"")</f>
        <v/>
      </c>
    </row>
    <row r="951">
      <c r="A951">
        <f>IF($M951="","",INDEX(상세표[사번],$M951)&amp;"")</f>
        <v/>
      </c>
      <c r="B951">
        <f>IF($M951="","",INDEX(상세표[성명],$M951)&amp;"")</f>
        <v/>
      </c>
      <c r="C951">
        <f>IF($M951="","",IF(INDEX(상세표[종료월],$M951)=대상월키,"전월→이번 달","이번 달→익월"))</f>
        <v/>
      </c>
      <c r="D951">
        <f>IF($M951="","",IF(ISNUMBER(INDEX(상세표[시작],$M951)),TEXT(INDEX(상세표[시작],$M951),"yyyy-mm-dd hh:mm"),INDEX(상세표[시작],$M951)&amp;""))</f>
        <v/>
      </c>
      <c r="E951">
        <f>IF($M951="","",IF(ISNUMBER(INDEX(상세표[종료],$M951)),TEXT(INDEX(상세표[종료],$M951),"yyyy-mm-dd hh:mm"),INDEX(상세표[종료],$M951)&amp;""))</f>
        <v/>
      </c>
      <c r="F951" s="20">
        <f>IF($M951="","",INDEX(상세표[기록 시간외],$M951))</f>
        <v/>
      </c>
      <c r="G951">
        <f>IF($M951="","",INDEX(상세표[시작월 기관],$M951)&amp;"")</f>
        <v/>
      </c>
      <c r="H951">
        <f>IF($M951="","",INDEX(상세표[종료월 기관],$M951)&amp;"")</f>
        <v/>
      </c>
      <c r="I951">
        <f>IF($M951="","",INDEX(상세표[월경계 판정],$M951)&amp;"")</f>
        <v/>
      </c>
      <c r="J951">
        <f>IF($M951="","",INDEX(상세표[반영월],$M951)&amp;"")</f>
        <v/>
      </c>
      <c r="K951">
        <f>IF($M951="","",INDEX(상세표[반영 기관],$M951)&amp;"")</f>
        <v/>
      </c>
      <c r="L951">
        <f>IF($M951="","",INDEX(상세표[기관 출처],$M951)&amp;"")</f>
        <v/>
      </c>
      <c r="M951" s="4">
        <f>IFERROR(MATCH(946,상세표[경계순번],0),"")</f>
        <v/>
      </c>
    </row>
    <row r="952">
      <c r="A952">
        <f>IF($M952="","",INDEX(상세표[사번],$M952)&amp;"")</f>
        <v/>
      </c>
      <c r="B952">
        <f>IF($M952="","",INDEX(상세표[성명],$M952)&amp;"")</f>
        <v/>
      </c>
      <c r="C952">
        <f>IF($M952="","",IF(INDEX(상세표[종료월],$M952)=대상월키,"전월→이번 달","이번 달→익월"))</f>
        <v/>
      </c>
      <c r="D952">
        <f>IF($M952="","",IF(ISNUMBER(INDEX(상세표[시작],$M952)),TEXT(INDEX(상세표[시작],$M952),"yyyy-mm-dd hh:mm"),INDEX(상세표[시작],$M952)&amp;""))</f>
        <v/>
      </c>
      <c r="E952">
        <f>IF($M952="","",IF(ISNUMBER(INDEX(상세표[종료],$M952)),TEXT(INDEX(상세표[종료],$M952),"yyyy-mm-dd hh:mm"),INDEX(상세표[종료],$M952)&amp;""))</f>
        <v/>
      </c>
      <c r="F952" s="20">
        <f>IF($M952="","",INDEX(상세표[기록 시간외],$M952))</f>
        <v/>
      </c>
      <c r="G952">
        <f>IF($M952="","",INDEX(상세표[시작월 기관],$M952)&amp;"")</f>
        <v/>
      </c>
      <c r="H952">
        <f>IF($M952="","",INDEX(상세표[종료월 기관],$M952)&amp;"")</f>
        <v/>
      </c>
      <c r="I952">
        <f>IF($M952="","",INDEX(상세표[월경계 판정],$M952)&amp;"")</f>
        <v/>
      </c>
      <c r="J952">
        <f>IF($M952="","",INDEX(상세표[반영월],$M952)&amp;"")</f>
        <v/>
      </c>
      <c r="K952">
        <f>IF($M952="","",INDEX(상세표[반영 기관],$M952)&amp;"")</f>
        <v/>
      </c>
      <c r="L952">
        <f>IF($M952="","",INDEX(상세표[기관 출처],$M952)&amp;"")</f>
        <v/>
      </c>
      <c r="M952" s="4">
        <f>IFERROR(MATCH(947,상세표[경계순번],0),"")</f>
        <v/>
      </c>
    </row>
    <row r="953">
      <c r="A953">
        <f>IF($M953="","",INDEX(상세표[사번],$M953)&amp;"")</f>
        <v/>
      </c>
      <c r="B953">
        <f>IF($M953="","",INDEX(상세표[성명],$M953)&amp;"")</f>
        <v/>
      </c>
      <c r="C953">
        <f>IF($M953="","",IF(INDEX(상세표[종료월],$M953)=대상월키,"전월→이번 달","이번 달→익월"))</f>
        <v/>
      </c>
      <c r="D953">
        <f>IF($M953="","",IF(ISNUMBER(INDEX(상세표[시작],$M953)),TEXT(INDEX(상세표[시작],$M953),"yyyy-mm-dd hh:mm"),INDEX(상세표[시작],$M953)&amp;""))</f>
        <v/>
      </c>
      <c r="E953">
        <f>IF($M953="","",IF(ISNUMBER(INDEX(상세표[종료],$M953)),TEXT(INDEX(상세표[종료],$M953),"yyyy-mm-dd hh:mm"),INDEX(상세표[종료],$M953)&amp;""))</f>
        <v/>
      </c>
      <c r="F953" s="20">
        <f>IF($M953="","",INDEX(상세표[기록 시간외],$M953))</f>
        <v/>
      </c>
      <c r="G953">
        <f>IF($M953="","",INDEX(상세표[시작월 기관],$M953)&amp;"")</f>
        <v/>
      </c>
      <c r="H953">
        <f>IF($M953="","",INDEX(상세표[종료월 기관],$M953)&amp;"")</f>
        <v/>
      </c>
      <c r="I953">
        <f>IF($M953="","",INDEX(상세표[월경계 판정],$M953)&amp;"")</f>
        <v/>
      </c>
      <c r="J953">
        <f>IF($M953="","",INDEX(상세표[반영월],$M953)&amp;"")</f>
        <v/>
      </c>
      <c r="K953">
        <f>IF($M953="","",INDEX(상세표[반영 기관],$M953)&amp;"")</f>
        <v/>
      </c>
      <c r="L953">
        <f>IF($M953="","",INDEX(상세표[기관 출처],$M953)&amp;"")</f>
        <v/>
      </c>
      <c r="M953" s="4">
        <f>IFERROR(MATCH(948,상세표[경계순번],0),"")</f>
        <v/>
      </c>
    </row>
    <row r="954">
      <c r="A954">
        <f>IF($M954="","",INDEX(상세표[사번],$M954)&amp;"")</f>
        <v/>
      </c>
      <c r="B954">
        <f>IF($M954="","",INDEX(상세표[성명],$M954)&amp;"")</f>
        <v/>
      </c>
      <c r="C954">
        <f>IF($M954="","",IF(INDEX(상세표[종료월],$M954)=대상월키,"전월→이번 달","이번 달→익월"))</f>
        <v/>
      </c>
      <c r="D954">
        <f>IF($M954="","",IF(ISNUMBER(INDEX(상세표[시작],$M954)),TEXT(INDEX(상세표[시작],$M954),"yyyy-mm-dd hh:mm"),INDEX(상세표[시작],$M954)&amp;""))</f>
        <v/>
      </c>
      <c r="E954">
        <f>IF($M954="","",IF(ISNUMBER(INDEX(상세표[종료],$M954)),TEXT(INDEX(상세표[종료],$M954),"yyyy-mm-dd hh:mm"),INDEX(상세표[종료],$M954)&amp;""))</f>
        <v/>
      </c>
      <c r="F954" s="20">
        <f>IF($M954="","",INDEX(상세표[기록 시간외],$M954))</f>
        <v/>
      </c>
      <c r="G954">
        <f>IF($M954="","",INDEX(상세표[시작월 기관],$M954)&amp;"")</f>
        <v/>
      </c>
      <c r="H954">
        <f>IF($M954="","",INDEX(상세표[종료월 기관],$M954)&amp;"")</f>
        <v/>
      </c>
      <c r="I954">
        <f>IF($M954="","",INDEX(상세표[월경계 판정],$M954)&amp;"")</f>
        <v/>
      </c>
      <c r="J954">
        <f>IF($M954="","",INDEX(상세표[반영월],$M954)&amp;"")</f>
        <v/>
      </c>
      <c r="K954">
        <f>IF($M954="","",INDEX(상세표[반영 기관],$M954)&amp;"")</f>
        <v/>
      </c>
      <c r="L954">
        <f>IF($M954="","",INDEX(상세표[기관 출처],$M954)&amp;"")</f>
        <v/>
      </c>
      <c r="M954" s="4">
        <f>IFERROR(MATCH(949,상세표[경계순번],0),"")</f>
        <v/>
      </c>
    </row>
    <row r="955">
      <c r="A955">
        <f>IF($M955="","",INDEX(상세표[사번],$M955)&amp;"")</f>
        <v/>
      </c>
      <c r="B955">
        <f>IF($M955="","",INDEX(상세표[성명],$M955)&amp;"")</f>
        <v/>
      </c>
      <c r="C955">
        <f>IF($M955="","",IF(INDEX(상세표[종료월],$M955)=대상월키,"전월→이번 달","이번 달→익월"))</f>
        <v/>
      </c>
      <c r="D955">
        <f>IF($M955="","",IF(ISNUMBER(INDEX(상세표[시작],$M955)),TEXT(INDEX(상세표[시작],$M955),"yyyy-mm-dd hh:mm"),INDEX(상세표[시작],$M955)&amp;""))</f>
        <v/>
      </c>
      <c r="E955">
        <f>IF($M955="","",IF(ISNUMBER(INDEX(상세표[종료],$M955)),TEXT(INDEX(상세표[종료],$M955),"yyyy-mm-dd hh:mm"),INDEX(상세표[종료],$M955)&amp;""))</f>
        <v/>
      </c>
      <c r="F955" s="20">
        <f>IF($M955="","",INDEX(상세표[기록 시간외],$M955))</f>
        <v/>
      </c>
      <c r="G955">
        <f>IF($M955="","",INDEX(상세표[시작월 기관],$M955)&amp;"")</f>
        <v/>
      </c>
      <c r="H955">
        <f>IF($M955="","",INDEX(상세표[종료월 기관],$M955)&amp;"")</f>
        <v/>
      </c>
      <c r="I955">
        <f>IF($M955="","",INDEX(상세표[월경계 판정],$M955)&amp;"")</f>
        <v/>
      </c>
      <c r="J955">
        <f>IF($M955="","",INDEX(상세표[반영월],$M955)&amp;"")</f>
        <v/>
      </c>
      <c r="K955">
        <f>IF($M955="","",INDEX(상세표[반영 기관],$M955)&amp;"")</f>
        <v/>
      </c>
      <c r="L955">
        <f>IF($M955="","",INDEX(상세표[기관 출처],$M955)&amp;"")</f>
        <v/>
      </c>
      <c r="M955" s="4">
        <f>IFERROR(MATCH(950,상세표[경계순번],0),"")</f>
        <v/>
      </c>
    </row>
    <row r="956">
      <c r="A956">
        <f>IF($M956="","",INDEX(상세표[사번],$M956)&amp;"")</f>
        <v/>
      </c>
      <c r="B956">
        <f>IF($M956="","",INDEX(상세표[성명],$M956)&amp;"")</f>
        <v/>
      </c>
      <c r="C956">
        <f>IF($M956="","",IF(INDEX(상세표[종료월],$M956)=대상월키,"전월→이번 달","이번 달→익월"))</f>
        <v/>
      </c>
      <c r="D956">
        <f>IF($M956="","",IF(ISNUMBER(INDEX(상세표[시작],$M956)),TEXT(INDEX(상세표[시작],$M956),"yyyy-mm-dd hh:mm"),INDEX(상세표[시작],$M956)&amp;""))</f>
        <v/>
      </c>
      <c r="E956">
        <f>IF($M956="","",IF(ISNUMBER(INDEX(상세표[종료],$M956)),TEXT(INDEX(상세표[종료],$M956),"yyyy-mm-dd hh:mm"),INDEX(상세표[종료],$M956)&amp;""))</f>
        <v/>
      </c>
      <c r="F956" s="20">
        <f>IF($M956="","",INDEX(상세표[기록 시간외],$M956))</f>
        <v/>
      </c>
      <c r="G956">
        <f>IF($M956="","",INDEX(상세표[시작월 기관],$M956)&amp;"")</f>
        <v/>
      </c>
      <c r="H956">
        <f>IF($M956="","",INDEX(상세표[종료월 기관],$M956)&amp;"")</f>
        <v/>
      </c>
      <c r="I956">
        <f>IF($M956="","",INDEX(상세표[월경계 판정],$M956)&amp;"")</f>
        <v/>
      </c>
      <c r="J956">
        <f>IF($M956="","",INDEX(상세표[반영월],$M956)&amp;"")</f>
        <v/>
      </c>
      <c r="K956">
        <f>IF($M956="","",INDEX(상세표[반영 기관],$M956)&amp;"")</f>
        <v/>
      </c>
      <c r="L956">
        <f>IF($M956="","",INDEX(상세표[기관 출처],$M956)&amp;"")</f>
        <v/>
      </c>
      <c r="M956" s="4">
        <f>IFERROR(MATCH(951,상세표[경계순번],0),"")</f>
        <v/>
      </c>
    </row>
    <row r="957">
      <c r="A957">
        <f>IF($M957="","",INDEX(상세표[사번],$M957)&amp;"")</f>
        <v/>
      </c>
      <c r="B957">
        <f>IF($M957="","",INDEX(상세표[성명],$M957)&amp;"")</f>
        <v/>
      </c>
      <c r="C957">
        <f>IF($M957="","",IF(INDEX(상세표[종료월],$M957)=대상월키,"전월→이번 달","이번 달→익월"))</f>
        <v/>
      </c>
      <c r="D957">
        <f>IF($M957="","",IF(ISNUMBER(INDEX(상세표[시작],$M957)),TEXT(INDEX(상세표[시작],$M957),"yyyy-mm-dd hh:mm"),INDEX(상세표[시작],$M957)&amp;""))</f>
        <v/>
      </c>
      <c r="E957">
        <f>IF($M957="","",IF(ISNUMBER(INDEX(상세표[종료],$M957)),TEXT(INDEX(상세표[종료],$M957),"yyyy-mm-dd hh:mm"),INDEX(상세표[종료],$M957)&amp;""))</f>
        <v/>
      </c>
      <c r="F957" s="20">
        <f>IF($M957="","",INDEX(상세표[기록 시간외],$M957))</f>
        <v/>
      </c>
      <c r="G957">
        <f>IF($M957="","",INDEX(상세표[시작월 기관],$M957)&amp;"")</f>
        <v/>
      </c>
      <c r="H957">
        <f>IF($M957="","",INDEX(상세표[종료월 기관],$M957)&amp;"")</f>
        <v/>
      </c>
      <c r="I957">
        <f>IF($M957="","",INDEX(상세표[월경계 판정],$M957)&amp;"")</f>
        <v/>
      </c>
      <c r="J957">
        <f>IF($M957="","",INDEX(상세표[반영월],$M957)&amp;"")</f>
        <v/>
      </c>
      <c r="K957">
        <f>IF($M957="","",INDEX(상세표[반영 기관],$M957)&amp;"")</f>
        <v/>
      </c>
      <c r="L957">
        <f>IF($M957="","",INDEX(상세표[기관 출처],$M957)&amp;"")</f>
        <v/>
      </c>
      <c r="M957" s="4">
        <f>IFERROR(MATCH(952,상세표[경계순번],0),"")</f>
        <v/>
      </c>
    </row>
    <row r="958">
      <c r="A958">
        <f>IF($M958="","",INDEX(상세표[사번],$M958)&amp;"")</f>
        <v/>
      </c>
      <c r="B958">
        <f>IF($M958="","",INDEX(상세표[성명],$M958)&amp;"")</f>
        <v/>
      </c>
      <c r="C958">
        <f>IF($M958="","",IF(INDEX(상세표[종료월],$M958)=대상월키,"전월→이번 달","이번 달→익월"))</f>
        <v/>
      </c>
      <c r="D958">
        <f>IF($M958="","",IF(ISNUMBER(INDEX(상세표[시작],$M958)),TEXT(INDEX(상세표[시작],$M958),"yyyy-mm-dd hh:mm"),INDEX(상세표[시작],$M958)&amp;""))</f>
        <v/>
      </c>
      <c r="E958">
        <f>IF($M958="","",IF(ISNUMBER(INDEX(상세표[종료],$M958)),TEXT(INDEX(상세표[종료],$M958),"yyyy-mm-dd hh:mm"),INDEX(상세표[종료],$M958)&amp;""))</f>
        <v/>
      </c>
      <c r="F958" s="20">
        <f>IF($M958="","",INDEX(상세표[기록 시간외],$M958))</f>
        <v/>
      </c>
      <c r="G958">
        <f>IF($M958="","",INDEX(상세표[시작월 기관],$M958)&amp;"")</f>
        <v/>
      </c>
      <c r="H958">
        <f>IF($M958="","",INDEX(상세표[종료월 기관],$M958)&amp;"")</f>
        <v/>
      </c>
      <c r="I958">
        <f>IF($M958="","",INDEX(상세표[월경계 판정],$M958)&amp;"")</f>
        <v/>
      </c>
      <c r="J958">
        <f>IF($M958="","",INDEX(상세표[반영월],$M958)&amp;"")</f>
        <v/>
      </c>
      <c r="K958">
        <f>IF($M958="","",INDEX(상세표[반영 기관],$M958)&amp;"")</f>
        <v/>
      </c>
      <c r="L958">
        <f>IF($M958="","",INDEX(상세표[기관 출처],$M958)&amp;"")</f>
        <v/>
      </c>
      <c r="M958" s="4">
        <f>IFERROR(MATCH(953,상세표[경계순번],0),"")</f>
        <v/>
      </c>
    </row>
    <row r="959">
      <c r="A959">
        <f>IF($M959="","",INDEX(상세표[사번],$M959)&amp;"")</f>
        <v/>
      </c>
      <c r="B959">
        <f>IF($M959="","",INDEX(상세표[성명],$M959)&amp;"")</f>
        <v/>
      </c>
      <c r="C959">
        <f>IF($M959="","",IF(INDEX(상세표[종료월],$M959)=대상월키,"전월→이번 달","이번 달→익월"))</f>
        <v/>
      </c>
      <c r="D959">
        <f>IF($M959="","",IF(ISNUMBER(INDEX(상세표[시작],$M959)),TEXT(INDEX(상세표[시작],$M959),"yyyy-mm-dd hh:mm"),INDEX(상세표[시작],$M959)&amp;""))</f>
        <v/>
      </c>
      <c r="E959">
        <f>IF($M959="","",IF(ISNUMBER(INDEX(상세표[종료],$M959)),TEXT(INDEX(상세표[종료],$M959),"yyyy-mm-dd hh:mm"),INDEX(상세표[종료],$M959)&amp;""))</f>
        <v/>
      </c>
      <c r="F959" s="20">
        <f>IF($M959="","",INDEX(상세표[기록 시간외],$M959))</f>
        <v/>
      </c>
      <c r="G959">
        <f>IF($M959="","",INDEX(상세표[시작월 기관],$M959)&amp;"")</f>
        <v/>
      </c>
      <c r="H959">
        <f>IF($M959="","",INDEX(상세표[종료월 기관],$M959)&amp;"")</f>
        <v/>
      </c>
      <c r="I959">
        <f>IF($M959="","",INDEX(상세표[월경계 판정],$M959)&amp;"")</f>
        <v/>
      </c>
      <c r="J959">
        <f>IF($M959="","",INDEX(상세표[반영월],$M959)&amp;"")</f>
        <v/>
      </c>
      <c r="K959">
        <f>IF($M959="","",INDEX(상세표[반영 기관],$M959)&amp;"")</f>
        <v/>
      </c>
      <c r="L959">
        <f>IF($M959="","",INDEX(상세표[기관 출처],$M959)&amp;"")</f>
        <v/>
      </c>
      <c r="M959" s="4">
        <f>IFERROR(MATCH(954,상세표[경계순번],0),"")</f>
        <v/>
      </c>
    </row>
    <row r="960">
      <c r="A960">
        <f>IF($M960="","",INDEX(상세표[사번],$M960)&amp;"")</f>
        <v/>
      </c>
      <c r="B960">
        <f>IF($M960="","",INDEX(상세표[성명],$M960)&amp;"")</f>
        <v/>
      </c>
      <c r="C960">
        <f>IF($M960="","",IF(INDEX(상세표[종료월],$M960)=대상월키,"전월→이번 달","이번 달→익월"))</f>
        <v/>
      </c>
      <c r="D960">
        <f>IF($M960="","",IF(ISNUMBER(INDEX(상세표[시작],$M960)),TEXT(INDEX(상세표[시작],$M960),"yyyy-mm-dd hh:mm"),INDEX(상세표[시작],$M960)&amp;""))</f>
        <v/>
      </c>
      <c r="E960">
        <f>IF($M960="","",IF(ISNUMBER(INDEX(상세표[종료],$M960)),TEXT(INDEX(상세표[종료],$M960),"yyyy-mm-dd hh:mm"),INDEX(상세표[종료],$M960)&amp;""))</f>
        <v/>
      </c>
      <c r="F960" s="20">
        <f>IF($M960="","",INDEX(상세표[기록 시간외],$M960))</f>
        <v/>
      </c>
      <c r="G960">
        <f>IF($M960="","",INDEX(상세표[시작월 기관],$M960)&amp;"")</f>
        <v/>
      </c>
      <c r="H960">
        <f>IF($M960="","",INDEX(상세표[종료월 기관],$M960)&amp;"")</f>
        <v/>
      </c>
      <c r="I960">
        <f>IF($M960="","",INDEX(상세표[월경계 판정],$M960)&amp;"")</f>
        <v/>
      </c>
      <c r="J960">
        <f>IF($M960="","",INDEX(상세표[반영월],$M960)&amp;"")</f>
        <v/>
      </c>
      <c r="K960">
        <f>IF($M960="","",INDEX(상세표[반영 기관],$M960)&amp;"")</f>
        <v/>
      </c>
      <c r="L960">
        <f>IF($M960="","",INDEX(상세표[기관 출처],$M960)&amp;"")</f>
        <v/>
      </c>
      <c r="M960" s="4">
        <f>IFERROR(MATCH(955,상세표[경계순번],0),"")</f>
        <v/>
      </c>
    </row>
    <row r="961">
      <c r="A961">
        <f>IF($M961="","",INDEX(상세표[사번],$M961)&amp;"")</f>
        <v/>
      </c>
      <c r="B961">
        <f>IF($M961="","",INDEX(상세표[성명],$M961)&amp;"")</f>
        <v/>
      </c>
      <c r="C961">
        <f>IF($M961="","",IF(INDEX(상세표[종료월],$M961)=대상월키,"전월→이번 달","이번 달→익월"))</f>
        <v/>
      </c>
      <c r="D961">
        <f>IF($M961="","",IF(ISNUMBER(INDEX(상세표[시작],$M961)),TEXT(INDEX(상세표[시작],$M961),"yyyy-mm-dd hh:mm"),INDEX(상세표[시작],$M961)&amp;""))</f>
        <v/>
      </c>
      <c r="E961">
        <f>IF($M961="","",IF(ISNUMBER(INDEX(상세표[종료],$M961)),TEXT(INDEX(상세표[종료],$M961),"yyyy-mm-dd hh:mm"),INDEX(상세표[종료],$M961)&amp;""))</f>
        <v/>
      </c>
      <c r="F961" s="20">
        <f>IF($M961="","",INDEX(상세표[기록 시간외],$M961))</f>
        <v/>
      </c>
      <c r="G961">
        <f>IF($M961="","",INDEX(상세표[시작월 기관],$M961)&amp;"")</f>
        <v/>
      </c>
      <c r="H961">
        <f>IF($M961="","",INDEX(상세표[종료월 기관],$M961)&amp;"")</f>
        <v/>
      </c>
      <c r="I961">
        <f>IF($M961="","",INDEX(상세표[월경계 판정],$M961)&amp;"")</f>
        <v/>
      </c>
      <c r="J961">
        <f>IF($M961="","",INDEX(상세표[반영월],$M961)&amp;"")</f>
        <v/>
      </c>
      <c r="K961">
        <f>IF($M961="","",INDEX(상세표[반영 기관],$M961)&amp;"")</f>
        <v/>
      </c>
      <c r="L961">
        <f>IF($M961="","",INDEX(상세표[기관 출처],$M961)&amp;"")</f>
        <v/>
      </c>
      <c r="M961" s="4">
        <f>IFERROR(MATCH(956,상세표[경계순번],0),"")</f>
        <v/>
      </c>
    </row>
    <row r="962">
      <c r="A962">
        <f>IF($M962="","",INDEX(상세표[사번],$M962)&amp;"")</f>
        <v/>
      </c>
      <c r="B962">
        <f>IF($M962="","",INDEX(상세표[성명],$M962)&amp;"")</f>
        <v/>
      </c>
      <c r="C962">
        <f>IF($M962="","",IF(INDEX(상세표[종료월],$M962)=대상월키,"전월→이번 달","이번 달→익월"))</f>
        <v/>
      </c>
      <c r="D962">
        <f>IF($M962="","",IF(ISNUMBER(INDEX(상세표[시작],$M962)),TEXT(INDEX(상세표[시작],$M962),"yyyy-mm-dd hh:mm"),INDEX(상세표[시작],$M962)&amp;""))</f>
        <v/>
      </c>
      <c r="E962">
        <f>IF($M962="","",IF(ISNUMBER(INDEX(상세표[종료],$M962)),TEXT(INDEX(상세표[종료],$M962),"yyyy-mm-dd hh:mm"),INDEX(상세표[종료],$M962)&amp;""))</f>
        <v/>
      </c>
      <c r="F962" s="20">
        <f>IF($M962="","",INDEX(상세표[기록 시간외],$M962))</f>
        <v/>
      </c>
      <c r="G962">
        <f>IF($M962="","",INDEX(상세표[시작월 기관],$M962)&amp;"")</f>
        <v/>
      </c>
      <c r="H962">
        <f>IF($M962="","",INDEX(상세표[종료월 기관],$M962)&amp;"")</f>
        <v/>
      </c>
      <c r="I962">
        <f>IF($M962="","",INDEX(상세표[월경계 판정],$M962)&amp;"")</f>
        <v/>
      </c>
      <c r="J962">
        <f>IF($M962="","",INDEX(상세표[반영월],$M962)&amp;"")</f>
        <v/>
      </c>
      <c r="K962">
        <f>IF($M962="","",INDEX(상세표[반영 기관],$M962)&amp;"")</f>
        <v/>
      </c>
      <c r="L962">
        <f>IF($M962="","",INDEX(상세표[기관 출처],$M962)&amp;"")</f>
        <v/>
      </c>
      <c r="M962" s="4">
        <f>IFERROR(MATCH(957,상세표[경계순번],0),"")</f>
        <v/>
      </c>
    </row>
    <row r="963">
      <c r="A963">
        <f>IF($M963="","",INDEX(상세표[사번],$M963)&amp;"")</f>
        <v/>
      </c>
      <c r="B963">
        <f>IF($M963="","",INDEX(상세표[성명],$M963)&amp;"")</f>
        <v/>
      </c>
      <c r="C963">
        <f>IF($M963="","",IF(INDEX(상세표[종료월],$M963)=대상월키,"전월→이번 달","이번 달→익월"))</f>
        <v/>
      </c>
      <c r="D963">
        <f>IF($M963="","",IF(ISNUMBER(INDEX(상세표[시작],$M963)),TEXT(INDEX(상세표[시작],$M963),"yyyy-mm-dd hh:mm"),INDEX(상세표[시작],$M963)&amp;""))</f>
        <v/>
      </c>
      <c r="E963">
        <f>IF($M963="","",IF(ISNUMBER(INDEX(상세표[종료],$M963)),TEXT(INDEX(상세표[종료],$M963),"yyyy-mm-dd hh:mm"),INDEX(상세표[종료],$M963)&amp;""))</f>
        <v/>
      </c>
      <c r="F963" s="20">
        <f>IF($M963="","",INDEX(상세표[기록 시간외],$M963))</f>
        <v/>
      </c>
      <c r="G963">
        <f>IF($M963="","",INDEX(상세표[시작월 기관],$M963)&amp;"")</f>
        <v/>
      </c>
      <c r="H963">
        <f>IF($M963="","",INDEX(상세표[종료월 기관],$M963)&amp;"")</f>
        <v/>
      </c>
      <c r="I963">
        <f>IF($M963="","",INDEX(상세표[월경계 판정],$M963)&amp;"")</f>
        <v/>
      </c>
      <c r="J963">
        <f>IF($M963="","",INDEX(상세표[반영월],$M963)&amp;"")</f>
        <v/>
      </c>
      <c r="K963">
        <f>IF($M963="","",INDEX(상세표[반영 기관],$M963)&amp;"")</f>
        <v/>
      </c>
      <c r="L963">
        <f>IF($M963="","",INDEX(상세표[기관 출처],$M963)&amp;"")</f>
        <v/>
      </c>
      <c r="M963" s="4">
        <f>IFERROR(MATCH(958,상세표[경계순번],0),"")</f>
        <v/>
      </c>
    </row>
    <row r="964">
      <c r="A964">
        <f>IF($M964="","",INDEX(상세표[사번],$M964)&amp;"")</f>
        <v/>
      </c>
      <c r="B964">
        <f>IF($M964="","",INDEX(상세표[성명],$M964)&amp;"")</f>
        <v/>
      </c>
      <c r="C964">
        <f>IF($M964="","",IF(INDEX(상세표[종료월],$M964)=대상월키,"전월→이번 달","이번 달→익월"))</f>
        <v/>
      </c>
      <c r="D964">
        <f>IF($M964="","",IF(ISNUMBER(INDEX(상세표[시작],$M964)),TEXT(INDEX(상세표[시작],$M964),"yyyy-mm-dd hh:mm"),INDEX(상세표[시작],$M964)&amp;""))</f>
        <v/>
      </c>
      <c r="E964">
        <f>IF($M964="","",IF(ISNUMBER(INDEX(상세표[종료],$M964)),TEXT(INDEX(상세표[종료],$M964),"yyyy-mm-dd hh:mm"),INDEX(상세표[종료],$M964)&amp;""))</f>
        <v/>
      </c>
      <c r="F964" s="20">
        <f>IF($M964="","",INDEX(상세표[기록 시간외],$M964))</f>
        <v/>
      </c>
      <c r="G964">
        <f>IF($M964="","",INDEX(상세표[시작월 기관],$M964)&amp;"")</f>
        <v/>
      </c>
      <c r="H964">
        <f>IF($M964="","",INDEX(상세표[종료월 기관],$M964)&amp;"")</f>
        <v/>
      </c>
      <c r="I964">
        <f>IF($M964="","",INDEX(상세표[월경계 판정],$M964)&amp;"")</f>
        <v/>
      </c>
      <c r="J964">
        <f>IF($M964="","",INDEX(상세표[반영월],$M964)&amp;"")</f>
        <v/>
      </c>
      <c r="K964">
        <f>IF($M964="","",INDEX(상세표[반영 기관],$M964)&amp;"")</f>
        <v/>
      </c>
      <c r="L964">
        <f>IF($M964="","",INDEX(상세표[기관 출처],$M964)&amp;"")</f>
        <v/>
      </c>
      <c r="M964" s="4">
        <f>IFERROR(MATCH(959,상세표[경계순번],0),"")</f>
        <v/>
      </c>
    </row>
    <row r="965">
      <c r="A965">
        <f>IF($M965="","",INDEX(상세표[사번],$M965)&amp;"")</f>
        <v/>
      </c>
      <c r="B965">
        <f>IF($M965="","",INDEX(상세표[성명],$M965)&amp;"")</f>
        <v/>
      </c>
      <c r="C965">
        <f>IF($M965="","",IF(INDEX(상세표[종료월],$M965)=대상월키,"전월→이번 달","이번 달→익월"))</f>
        <v/>
      </c>
      <c r="D965">
        <f>IF($M965="","",IF(ISNUMBER(INDEX(상세표[시작],$M965)),TEXT(INDEX(상세표[시작],$M965),"yyyy-mm-dd hh:mm"),INDEX(상세표[시작],$M965)&amp;""))</f>
        <v/>
      </c>
      <c r="E965">
        <f>IF($M965="","",IF(ISNUMBER(INDEX(상세표[종료],$M965)),TEXT(INDEX(상세표[종료],$M965),"yyyy-mm-dd hh:mm"),INDEX(상세표[종료],$M965)&amp;""))</f>
        <v/>
      </c>
      <c r="F965" s="20">
        <f>IF($M965="","",INDEX(상세표[기록 시간외],$M965))</f>
        <v/>
      </c>
      <c r="G965">
        <f>IF($M965="","",INDEX(상세표[시작월 기관],$M965)&amp;"")</f>
        <v/>
      </c>
      <c r="H965">
        <f>IF($M965="","",INDEX(상세표[종료월 기관],$M965)&amp;"")</f>
        <v/>
      </c>
      <c r="I965">
        <f>IF($M965="","",INDEX(상세표[월경계 판정],$M965)&amp;"")</f>
        <v/>
      </c>
      <c r="J965">
        <f>IF($M965="","",INDEX(상세표[반영월],$M965)&amp;"")</f>
        <v/>
      </c>
      <c r="K965">
        <f>IF($M965="","",INDEX(상세표[반영 기관],$M965)&amp;"")</f>
        <v/>
      </c>
      <c r="L965">
        <f>IF($M965="","",INDEX(상세표[기관 출처],$M965)&amp;"")</f>
        <v/>
      </c>
      <c r="M965" s="4">
        <f>IFERROR(MATCH(960,상세표[경계순번],0),"")</f>
        <v/>
      </c>
    </row>
    <row r="966">
      <c r="A966">
        <f>IF($M966="","",INDEX(상세표[사번],$M966)&amp;"")</f>
        <v/>
      </c>
      <c r="B966">
        <f>IF($M966="","",INDEX(상세표[성명],$M966)&amp;"")</f>
        <v/>
      </c>
      <c r="C966">
        <f>IF($M966="","",IF(INDEX(상세표[종료월],$M966)=대상월키,"전월→이번 달","이번 달→익월"))</f>
        <v/>
      </c>
      <c r="D966">
        <f>IF($M966="","",IF(ISNUMBER(INDEX(상세표[시작],$M966)),TEXT(INDEX(상세표[시작],$M966),"yyyy-mm-dd hh:mm"),INDEX(상세표[시작],$M966)&amp;""))</f>
        <v/>
      </c>
      <c r="E966">
        <f>IF($M966="","",IF(ISNUMBER(INDEX(상세표[종료],$M966)),TEXT(INDEX(상세표[종료],$M966),"yyyy-mm-dd hh:mm"),INDEX(상세표[종료],$M966)&amp;""))</f>
        <v/>
      </c>
      <c r="F966" s="20">
        <f>IF($M966="","",INDEX(상세표[기록 시간외],$M966))</f>
        <v/>
      </c>
      <c r="G966">
        <f>IF($M966="","",INDEX(상세표[시작월 기관],$M966)&amp;"")</f>
        <v/>
      </c>
      <c r="H966">
        <f>IF($M966="","",INDEX(상세표[종료월 기관],$M966)&amp;"")</f>
        <v/>
      </c>
      <c r="I966">
        <f>IF($M966="","",INDEX(상세표[월경계 판정],$M966)&amp;"")</f>
        <v/>
      </c>
      <c r="J966">
        <f>IF($M966="","",INDEX(상세표[반영월],$M966)&amp;"")</f>
        <v/>
      </c>
      <c r="K966">
        <f>IF($M966="","",INDEX(상세표[반영 기관],$M966)&amp;"")</f>
        <v/>
      </c>
      <c r="L966">
        <f>IF($M966="","",INDEX(상세표[기관 출처],$M966)&amp;"")</f>
        <v/>
      </c>
      <c r="M966" s="4">
        <f>IFERROR(MATCH(961,상세표[경계순번],0),"")</f>
        <v/>
      </c>
    </row>
    <row r="967">
      <c r="A967">
        <f>IF($M967="","",INDEX(상세표[사번],$M967)&amp;"")</f>
        <v/>
      </c>
      <c r="B967">
        <f>IF($M967="","",INDEX(상세표[성명],$M967)&amp;"")</f>
        <v/>
      </c>
      <c r="C967">
        <f>IF($M967="","",IF(INDEX(상세표[종료월],$M967)=대상월키,"전월→이번 달","이번 달→익월"))</f>
        <v/>
      </c>
      <c r="D967">
        <f>IF($M967="","",IF(ISNUMBER(INDEX(상세표[시작],$M967)),TEXT(INDEX(상세표[시작],$M967),"yyyy-mm-dd hh:mm"),INDEX(상세표[시작],$M967)&amp;""))</f>
        <v/>
      </c>
      <c r="E967">
        <f>IF($M967="","",IF(ISNUMBER(INDEX(상세표[종료],$M967)),TEXT(INDEX(상세표[종료],$M967),"yyyy-mm-dd hh:mm"),INDEX(상세표[종료],$M967)&amp;""))</f>
        <v/>
      </c>
      <c r="F967" s="20">
        <f>IF($M967="","",INDEX(상세표[기록 시간외],$M967))</f>
        <v/>
      </c>
      <c r="G967">
        <f>IF($M967="","",INDEX(상세표[시작월 기관],$M967)&amp;"")</f>
        <v/>
      </c>
      <c r="H967">
        <f>IF($M967="","",INDEX(상세표[종료월 기관],$M967)&amp;"")</f>
        <v/>
      </c>
      <c r="I967">
        <f>IF($M967="","",INDEX(상세표[월경계 판정],$M967)&amp;"")</f>
        <v/>
      </c>
      <c r="J967">
        <f>IF($M967="","",INDEX(상세표[반영월],$M967)&amp;"")</f>
        <v/>
      </c>
      <c r="K967">
        <f>IF($M967="","",INDEX(상세표[반영 기관],$M967)&amp;"")</f>
        <v/>
      </c>
      <c r="L967">
        <f>IF($M967="","",INDEX(상세표[기관 출처],$M967)&amp;"")</f>
        <v/>
      </c>
      <c r="M967" s="4">
        <f>IFERROR(MATCH(962,상세표[경계순번],0),"")</f>
        <v/>
      </c>
    </row>
    <row r="968">
      <c r="A968">
        <f>IF($M968="","",INDEX(상세표[사번],$M968)&amp;"")</f>
        <v/>
      </c>
      <c r="B968">
        <f>IF($M968="","",INDEX(상세표[성명],$M968)&amp;"")</f>
        <v/>
      </c>
      <c r="C968">
        <f>IF($M968="","",IF(INDEX(상세표[종료월],$M968)=대상월키,"전월→이번 달","이번 달→익월"))</f>
        <v/>
      </c>
      <c r="D968">
        <f>IF($M968="","",IF(ISNUMBER(INDEX(상세표[시작],$M968)),TEXT(INDEX(상세표[시작],$M968),"yyyy-mm-dd hh:mm"),INDEX(상세표[시작],$M968)&amp;""))</f>
        <v/>
      </c>
      <c r="E968">
        <f>IF($M968="","",IF(ISNUMBER(INDEX(상세표[종료],$M968)),TEXT(INDEX(상세표[종료],$M968),"yyyy-mm-dd hh:mm"),INDEX(상세표[종료],$M968)&amp;""))</f>
        <v/>
      </c>
      <c r="F968" s="20">
        <f>IF($M968="","",INDEX(상세표[기록 시간외],$M968))</f>
        <v/>
      </c>
      <c r="G968">
        <f>IF($M968="","",INDEX(상세표[시작월 기관],$M968)&amp;"")</f>
        <v/>
      </c>
      <c r="H968">
        <f>IF($M968="","",INDEX(상세표[종료월 기관],$M968)&amp;"")</f>
        <v/>
      </c>
      <c r="I968">
        <f>IF($M968="","",INDEX(상세표[월경계 판정],$M968)&amp;"")</f>
        <v/>
      </c>
      <c r="J968">
        <f>IF($M968="","",INDEX(상세표[반영월],$M968)&amp;"")</f>
        <v/>
      </c>
      <c r="K968">
        <f>IF($M968="","",INDEX(상세표[반영 기관],$M968)&amp;"")</f>
        <v/>
      </c>
      <c r="L968">
        <f>IF($M968="","",INDEX(상세표[기관 출처],$M968)&amp;"")</f>
        <v/>
      </c>
      <c r="M968" s="4">
        <f>IFERROR(MATCH(963,상세표[경계순번],0),"")</f>
        <v/>
      </c>
    </row>
    <row r="969">
      <c r="A969">
        <f>IF($M969="","",INDEX(상세표[사번],$M969)&amp;"")</f>
        <v/>
      </c>
      <c r="B969">
        <f>IF($M969="","",INDEX(상세표[성명],$M969)&amp;"")</f>
        <v/>
      </c>
      <c r="C969">
        <f>IF($M969="","",IF(INDEX(상세표[종료월],$M969)=대상월키,"전월→이번 달","이번 달→익월"))</f>
        <v/>
      </c>
      <c r="D969">
        <f>IF($M969="","",IF(ISNUMBER(INDEX(상세표[시작],$M969)),TEXT(INDEX(상세표[시작],$M969),"yyyy-mm-dd hh:mm"),INDEX(상세표[시작],$M969)&amp;""))</f>
        <v/>
      </c>
      <c r="E969">
        <f>IF($M969="","",IF(ISNUMBER(INDEX(상세표[종료],$M969)),TEXT(INDEX(상세표[종료],$M969),"yyyy-mm-dd hh:mm"),INDEX(상세표[종료],$M969)&amp;""))</f>
        <v/>
      </c>
      <c r="F969" s="20">
        <f>IF($M969="","",INDEX(상세표[기록 시간외],$M969))</f>
        <v/>
      </c>
      <c r="G969">
        <f>IF($M969="","",INDEX(상세표[시작월 기관],$M969)&amp;"")</f>
        <v/>
      </c>
      <c r="H969">
        <f>IF($M969="","",INDEX(상세표[종료월 기관],$M969)&amp;"")</f>
        <v/>
      </c>
      <c r="I969">
        <f>IF($M969="","",INDEX(상세표[월경계 판정],$M969)&amp;"")</f>
        <v/>
      </c>
      <c r="J969">
        <f>IF($M969="","",INDEX(상세표[반영월],$M969)&amp;"")</f>
        <v/>
      </c>
      <c r="K969">
        <f>IF($M969="","",INDEX(상세표[반영 기관],$M969)&amp;"")</f>
        <v/>
      </c>
      <c r="L969">
        <f>IF($M969="","",INDEX(상세표[기관 출처],$M969)&amp;"")</f>
        <v/>
      </c>
      <c r="M969" s="4">
        <f>IFERROR(MATCH(964,상세표[경계순번],0),"")</f>
        <v/>
      </c>
    </row>
    <row r="970">
      <c r="A970">
        <f>IF($M970="","",INDEX(상세표[사번],$M970)&amp;"")</f>
        <v/>
      </c>
      <c r="B970">
        <f>IF($M970="","",INDEX(상세표[성명],$M970)&amp;"")</f>
        <v/>
      </c>
      <c r="C970">
        <f>IF($M970="","",IF(INDEX(상세표[종료월],$M970)=대상월키,"전월→이번 달","이번 달→익월"))</f>
        <v/>
      </c>
      <c r="D970">
        <f>IF($M970="","",IF(ISNUMBER(INDEX(상세표[시작],$M970)),TEXT(INDEX(상세표[시작],$M970),"yyyy-mm-dd hh:mm"),INDEX(상세표[시작],$M970)&amp;""))</f>
        <v/>
      </c>
      <c r="E970">
        <f>IF($M970="","",IF(ISNUMBER(INDEX(상세표[종료],$M970)),TEXT(INDEX(상세표[종료],$M970),"yyyy-mm-dd hh:mm"),INDEX(상세표[종료],$M970)&amp;""))</f>
        <v/>
      </c>
      <c r="F970" s="20">
        <f>IF($M970="","",INDEX(상세표[기록 시간외],$M970))</f>
        <v/>
      </c>
      <c r="G970">
        <f>IF($M970="","",INDEX(상세표[시작월 기관],$M970)&amp;"")</f>
        <v/>
      </c>
      <c r="H970">
        <f>IF($M970="","",INDEX(상세표[종료월 기관],$M970)&amp;"")</f>
        <v/>
      </c>
      <c r="I970">
        <f>IF($M970="","",INDEX(상세표[월경계 판정],$M970)&amp;"")</f>
        <v/>
      </c>
      <c r="J970">
        <f>IF($M970="","",INDEX(상세표[반영월],$M970)&amp;"")</f>
        <v/>
      </c>
      <c r="K970">
        <f>IF($M970="","",INDEX(상세표[반영 기관],$M970)&amp;"")</f>
        <v/>
      </c>
      <c r="L970">
        <f>IF($M970="","",INDEX(상세표[기관 출처],$M970)&amp;"")</f>
        <v/>
      </c>
      <c r="M970" s="4">
        <f>IFERROR(MATCH(965,상세표[경계순번],0),"")</f>
        <v/>
      </c>
    </row>
    <row r="971">
      <c r="A971">
        <f>IF($M971="","",INDEX(상세표[사번],$M971)&amp;"")</f>
        <v/>
      </c>
      <c r="B971">
        <f>IF($M971="","",INDEX(상세표[성명],$M971)&amp;"")</f>
        <v/>
      </c>
      <c r="C971">
        <f>IF($M971="","",IF(INDEX(상세표[종료월],$M971)=대상월키,"전월→이번 달","이번 달→익월"))</f>
        <v/>
      </c>
      <c r="D971">
        <f>IF($M971="","",IF(ISNUMBER(INDEX(상세표[시작],$M971)),TEXT(INDEX(상세표[시작],$M971),"yyyy-mm-dd hh:mm"),INDEX(상세표[시작],$M971)&amp;""))</f>
        <v/>
      </c>
      <c r="E971">
        <f>IF($M971="","",IF(ISNUMBER(INDEX(상세표[종료],$M971)),TEXT(INDEX(상세표[종료],$M971),"yyyy-mm-dd hh:mm"),INDEX(상세표[종료],$M971)&amp;""))</f>
        <v/>
      </c>
      <c r="F971" s="20">
        <f>IF($M971="","",INDEX(상세표[기록 시간외],$M971))</f>
        <v/>
      </c>
      <c r="G971">
        <f>IF($M971="","",INDEX(상세표[시작월 기관],$M971)&amp;"")</f>
        <v/>
      </c>
      <c r="H971">
        <f>IF($M971="","",INDEX(상세표[종료월 기관],$M971)&amp;"")</f>
        <v/>
      </c>
      <c r="I971">
        <f>IF($M971="","",INDEX(상세표[월경계 판정],$M971)&amp;"")</f>
        <v/>
      </c>
      <c r="J971">
        <f>IF($M971="","",INDEX(상세표[반영월],$M971)&amp;"")</f>
        <v/>
      </c>
      <c r="K971">
        <f>IF($M971="","",INDEX(상세표[반영 기관],$M971)&amp;"")</f>
        <v/>
      </c>
      <c r="L971">
        <f>IF($M971="","",INDEX(상세표[기관 출처],$M971)&amp;"")</f>
        <v/>
      </c>
      <c r="M971" s="4">
        <f>IFERROR(MATCH(966,상세표[경계순번],0),"")</f>
        <v/>
      </c>
    </row>
    <row r="972">
      <c r="A972">
        <f>IF($M972="","",INDEX(상세표[사번],$M972)&amp;"")</f>
        <v/>
      </c>
      <c r="B972">
        <f>IF($M972="","",INDEX(상세표[성명],$M972)&amp;"")</f>
        <v/>
      </c>
      <c r="C972">
        <f>IF($M972="","",IF(INDEX(상세표[종료월],$M972)=대상월키,"전월→이번 달","이번 달→익월"))</f>
        <v/>
      </c>
      <c r="D972">
        <f>IF($M972="","",IF(ISNUMBER(INDEX(상세표[시작],$M972)),TEXT(INDEX(상세표[시작],$M972),"yyyy-mm-dd hh:mm"),INDEX(상세표[시작],$M972)&amp;""))</f>
        <v/>
      </c>
      <c r="E972">
        <f>IF($M972="","",IF(ISNUMBER(INDEX(상세표[종료],$M972)),TEXT(INDEX(상세표[종료],$M972),"yyyy-mm-dd hh:mm"),INDEX(상세표[종료],$M972)&amp;""))</f>
        <v/>
      </c>
      <c r="F972" s="20">
        <f>IF($M972="","",INDEX(상세표[기록 시간외],$M972))</f>
        <v/>
      </c>
      <c r="G972">
        <f>IF($M972="","",INDEX(상세표[시작월 기관],$M972)&amp;"")</f>
        <v/>
      </c>
      <c r="H972">
        <f>IF($M972="","",INDEX(상세표[종료월 기관],$M972)&amp;"")</f>
        <v/>
      </c>
      <c r="I972">
        <f>IF($M972="","",INDEX(상세표[월경계 판정],$M972)&amp;"")</f>
        <v/>
      </c>
      <c r="J972">
        <f>IF($M972="","",INDEX(상세표[반영월],$M972)&amp;"")</f>
        <v/>
      </c>
      <c r="K972">
        <f>IF($M972="","",INDEX(상세표[반영 기관],$M972)&amp;"")</f>
        <v/>
      </c>
      <c r="L972">
        <f>IF($M972="","",INDEX(상세표[기관 출처],$M972)&amp;"")</f>
        <v/>
      </c>
      <c r="M972" s="4">
        <f>IFERROR(MATCH(967,상세표[경계순번],0),"")</f>
        <v/>
      </c>
    </row>
    <row r="973">
      <c r="A973">
        <f>IF($M973="","",INDEX(상세표[사번],$M973)&amp;"")</f>
        <v/>
      </c>
      <c r="B973">
        <f>IF($M973="","",INDEX(상세표[성명],$M973)&amp;"")</f>
        <v/>
      </c>
      <c r="C973">
        <f>IF($M973="","",IF(INDEX(상세표[종료월],$M973)=대상월키,"전월→이번 달","이번 달→익월"))</f>
        <v/>
      </c>
      <c r="D973">
        <f>IF($M973="","",IF(ISNUMBER(INDEX(상세표[시작],$M973)),TEXT(INDEX(상세표[시작],$M973),"yyyy-mm-dd hh:mm"),INDEX(상세표[시작],$M973)&amp;""))</f>
        <v/>
      </c>
      <c r="E973">
        <f>IF($M973="","",IF(ISNUMBER(INDEX(상세표[종료],$M973)),TEXT(INDEX(상세표[종료],$M973),"yyyy-mm-dd hh:mm"),INDEX(상세표[종료],$M973)&amp;""))</f>
        <v/>
      </c>
      <c r="F973" s="20">
        <f>IF($M973="","",INDEX(상세표[기록 시간외],$M973))</f>
        <v/>
      </c>
      <c r="G973">
        <f>IF($M973="","",INDEX(상세표[시작월 기관],$M973)&amp;"")</f>
        <v/>
      </c>
      <c r="H973">
        <f>IF($M973="","",INDEX(상세표[종료월 기관],$M973)&amp;"")</f>
        <v/>
      </c>
      <c r="I973">
        <f>IF($M973="","",INDEX(상세표[월경계 판정],$M973)&amp;"")</f>
        <v/>
      </c>
      <c r="J973">
        <f>IF($M973="","",INDEX(상세표[반영월],$M973)&amp;"")</f>
        <v/>
      </c>
      <c r="K973">
        <f>IF($M973="","",INDEX(상세표[반영 기관],$M973)&amp;"")</f>
        <v/>
      </c>
      <c r="L973">
        <f>IF($M973="","",INDEX(상세표[기관 출처],$M973)&amp;"")</f>
        <v/>
      </c>
      <c r="M973" s="4">
        <f>IFERROR(MATCH(968,상세표[경계순번],0),"")</f>
        <v/>
      </c>
    </row>
    <row r="974">
      <c r="A974">
        <f>IF($M974="","",INDEX(상세표[사번],$M974)&amp;"")</f>
        <v/>
      </c>
      <c r="B974">
        <f>IF($M974="","",INDEX(상세표[성명],$M974)&amp;"")</f>
        <v/>
      </c>
      <c r="C974">
        <f>IF($M974="","",IF(INDEX(상세표[종료월],$M974)=대상월키,"전월→이번 달","이번 달→익월"))</f>
        <v/>
      </c>
      <c r="D974">
        <f>IF($M974="","",IF(ISNUMBER(INDEX(상세표[시작],$M974)),TEXT(INDEX(상세표[시작],$M974),"yyyy-mm-dd hh:mm"),INDEX(상세표[시작],$M974)&amp;""))</f>
        <v/>
      </c>
      <c r="E974">
        <f>IF($M974="","",IF(ISNUMBER(INDEX(상세표[종료],$M974)),TEXT(INDEX(상세표[종료],$M974),"yyyy-mm-dd hh:mm"),INDEX(상세표[종료],$M974)&amp;""))</f>
        <v/>
      </c>
      <c r="F974" s="20">
        <f>IF($M974="","",INDEX(상세표[기록 시간외],$M974))</f>
        <v/>
      </c>
      <c r="G974">
        <f>IF($M974="","",INDEX(상세표[시작월 기관],$M974)&amp;"")</f>
        <v/>
      </c>
      <c r="H974">
        <f>IF($M974="","",INDEX(상세표[종료월 기관],$M974)&amp;"")</f>
        <v/>
      </c>
      <c r="I974">
        <f>IF($M974="","",INDEX(상세표[월경계 판정],$M974)&amp;"")</f>
        <v/>
      </c>
      <c r="J974">
        <f>IF($M974="","",INDEX(상세표[반영월],$M974)&amp;"")</f>
        <v/>
      </c>
      <c r="K974">
        <f>IF($M974="","",INDEX(상세표[반영 기관],$M974)&amp;"")</f>
        <v/>
      </c>
      <c r="L974">
        <f>IF($M974="","",INDEX(상세표[기관 출처],$M974)&amp;"")</f>
        <v/>
      </c>
      <c r="M974" s="4">
        <f>IFERROR(MATCH(969,상세표[경계순번],0),"")</f>
        <v/>
      </c>
    </row>
    <row r="975">
      <c r="A975">
        <f>IF($M975="","",INDEX(상세표[사번],$M975)&amp;"")</f>
        <v/>
      </c>
      <c r="B975">
        <f>IF($M975="","",INDEX(상세표[성명],$M975)&amp;"")</f>
        <v/>
      </c>
      <c r="C975">
        <f>IF($M975="","",IF(INDEX(상세표[종료월],$M975)=대상월키,"전월→이번 달","이번 달→익월"))</f>
        <v/>
      </c>
      <c r="D975">
        <f>IF($M975="","",IF(ISNUMBER(INDEX(상세표[시작],$M975)),TEXT(INDEX(상세표[시작],$M975),"yyyy-mm-dd hh:mm"),INDEX(상세표[시작],$M975)&amp;""))</f>
        <v/>
      </c>
      <c r="E975">
        <f>IF($M975="","",IF(ISNUMBER(INDEX(상세표[종료],$M975)),TEXT(INDEX(상세표[종료],$M975),"yyyy-mm-dd hh:mm"),INDEX(상세표[종료],$M975)&amp;""))</f>
        <v/>
      </c>
      <c r="F975" s="20">
        <f>IF($M975="","",INDEX(상세표[기록 시간외],$M975))</f>
        <v/>
      </c>
      <c r="G975">
        <f>IF($M975="","",INDEX(상세표[시작월 기관],$M975)&amp;"")</f>
        <v/>
      </c>
      <c r="H975">
        <f>IF($M975="","",INDEX(상세표[종료월 기관],$M975)&amp;"")</f>
        <v/>
      </c>
      <c r="I975">
        <f>IF($M975="","",INDEX(상세표[월경계 판정],$M975)&amp;"")</f>
        <v/>
      </c>
      <c r="J975">
        <f>IF($M975="","",INDEX(상세표[반영월],$M975)&amp;"")</f>
        <v/>
      </c>
      <c r="K975">
        <f>IF($M975="","",INDEX(상세표[반영 기관],$M975)&amp;"")</f>
        <v/>
      </c>
      <c r="L975">
        <f>IF($M975="","",INDEX(상세표[기관 출처],$M975)&amp;"")</f>
        <v/>
      </c>
      <c r="M975" s="4">
        <f>IFERROR(MATCH(970,상세표[경계순번],0),"")</f>
        <v/>
      </c>
    </row>
    <row r="976">
      <c r="A976">
        <f>IF($M976="","",INDEX(상세표[사번],$M976)&amp;"")</f>
        <v/>
      </c>
      <c r="B976">
        <f>IF($M976="","",INDEX(상세표[성명],$M976)&amp;"")</f>
        <v/>
      </c>
      <c r="C976">
        <f>IF($M976="","",IF(INDEX(상세표[종료월],$M976)=대상월키,"전월→이번 달","이번 달→익월"))</f>
        <v/>
      </c>
      <c r="D976">
        <f>IF($M976="","",IF(ISNUMBER(INDEX(상세표[시작],$M976)),TEXT(INDEX(상세표[시작],$M976),"yyyy-mm-dd hh:mm"),INDEX(상세표[시작],$M976)&amp;""))</f>
        <v/>
      </c>
      <c r="E976">
        <f>IF($M976="","",IF(ISNUMBER(INDEX(상세표[종료],$M976)),TEXT(INDEX(상세표[종료],$M976),"yyyy-mm-dd hh:mm"),INDEX(상세표[종료],$M976)&amp;""))</f>
        <v/>
      </c>
      <c r="F976" s="20">
        <f>IF($M976="","",INDEX(상세표[기록 시간외],$M976))</f>
        <v/>
      </c>
      <c r="G976">
        <f>IF($M976="","",INDEX(상세표[시작월 기관],$M976)&amp;"")</f>
        <v/>
      </c>
      <c r="H976">
        <f>IF($M976="","",INDEX(상세표[종료월 기관],$M976)&amp;"")</f>
        <v/>
      </c>
      <c r="I976">
        <f>IF($M976="","",INDEX(상세표[월경계 판정],$M976)&amp;"")</f>
        <v/>
      </c>
      <c r="J976">
        <f>IF($M976="","",INDEX(상세표[반영월],$M976)&amp;"")</f>
        <v/>
      </c>
      <c r="K976">
        <f>IF($M976="","",INDEX(상세표[반영 기관],$M976)&amp;"")</f>
        <v/>
      </c>
      <c r="L976">
        <f>IF($M976="","",INDEX(상세표[기관 출처],$M976)&amp;"")</f>
        <v/>
      </c>
      <c r="M976" s="4">
        <f>IFERROR(MATCH(971,상세표[경계순번],0),"")</f>
        <v/>
      </c>
    </row>
    <row r="977">
      <c r="A977">
        <f>IF($M977="","",INDEX(상세표[사번],$M977)&amp;"")</f>
        <v/>
      </c>
      <c r="B977">
        <f>IF($M977="","",INDEX(상세표[성명],$M977)&amp;"")</f>
        <v/>
      </c>
      <c r="C977">
        <f>IF($M977="","",IF(INDEX(상세표[종료월],$M977)=대상월키,"전월→이번 달","이번 달→익월"))</f>
        <v/>
      </c>
      <c r="D977">
        <f>IF($M977="","",IF(ISNUMBER(INDEX(상세표[시작],$M977)),TEXT(INDEX(상세표[시작],$M977),"yyyy-mm-dd hh:mm"),INDEX(상세표[시작],$M977)&amp;""))</f>
        <v/>
      </c>
      <c r="E977">
        <f>IF($M977="","",IF(ISNUMBER(INDEX(상세표[종료],$M977)),TEXT(INDEX(상세표[종료],$M977),"yyyy-mm-dd hh:mm"),INDEX(상세표[종료],$M977)&amp;""))</f>
        <v/>
      </c>
      <c r="F977" s="20">
        <f>IF($M977="","",INDEX(상세표[기록 시간외],$M977))</f>
        <v/>
      </c>
      <c r="G977">
        <f>IF($M977="","",INDEX(상세표[시작월 기관],$M977)&amp;"")</f>
        <v/>
      </c>
      <c r="H977">
        <f>IF($M977="","",INDEX(상세표[종료월 기관],$M977)&amp;"")</f>
        <v/>
      </c>
      <c r="I977">
        <f>IF($M977="","",INDEX(상세표[월경계 판정],$M977)&amp;"")</f>
        <v/>
      </c>
      <c r="J977">
        <f>IF($M977="","",INDEX(상세표[반영월],$M977)&amp;"")</f>
        <v/>
      </c>
      <c r="K977">
        <f>IF($M977="","",INDEX(상세표[반영 기관],$M977)&amp;"")</f>
        <v/>
      </c>
      <c r="L977">
        <f>IF($M977="","",INDEX(상세표[기관 출처],$M977)&amp;"")</f>
        <v/>
      </c>
      <c r="M977" s="4">
        <f>IFERROR(MATCH(972,상세표[경계순번],0),"")</f>
        <v/>
      </c>
    </row>
    <row r="978">
      <c r="A978">
        <f>IF($M978="","",INDEX(상세표[사번],$M978)&amp;"")</f>
        <v/>
      </c>
      <c r="B978">
        <f>IF($M978="","",INDEX(상세표[성명],$M978)&amp;"")</f>
        <v/>
      </c>
      <c r="C978">
        <f>IF($M978="","",IF(INDEX(상세표[종료월],$M978)=대상월키,"전월→이번 달","이번 달→익월"))</f>
        <v/>
      </c>
      <c r="D978">
        <f>IF($M978="","",IF(ISNUMBER(INDEX(상세표[시작],$M978)),TEXT(INDEX(상세표[시작],$M978),"yyyy-mm-dd hh:mm"),INDEX(상세표[시작],$M978)&amp;""))</f>
        <v/>
      </c>
      <c r="E978">
        <f>IF($M978="","",IF(ISNUMBER(INDEX(상세표[종료],$M978)),TEXT(INDEX(상세표[종료],$M978),"yyyy-mm-dd hh:mm"),INDEX(상세표[종료],$M978)&amp;""))</f>
        <v/>
      </c>
      <c r="F978" s="20">
        <f>IF($M978="","",INDEX(상세표[기록 시간외],$M978))</f>
        <v/>
      </c>
      <c r="G978">
        <f>IF($M978="","",INDEX(상세표[시작월 기관],$M978)&amp;"")</f>
        <v/>
      </c>
      <c r="H978">
        <f>IF($M978="","",INDEX(상세표[종료월 기관],$M978)&amp;"")</f>
        <v/>
      </c>
      <c r="I978">
        <f>IF($M978="","",INDEX(상세표[월경계 판정],$M978)&amp;"")</f>
        <v/>
      </c>
      <c r="J978">
        <f>IF($M978="","",INDEX(상세표[반영월],$M978)&amp;"")</f>
        <v/>
      </c>
      <c r="K978">
        <f>IF($M978="","",INDEX(상세표[반영 기관],$M978)&amp;"")</f>
        <v/>
      </c>
      <c r="L978">
        <f>IF($M978="","",INDEX(상세표[기관 출처],$M978)&amp;"")</f>
        <v/>
      </c>
      <c r="M978" s="4">
        <f>IFERROR(MATCH(973,상세표[경계순번],0),"")</f>
        <v/>
      </c>
    </row>
    <row r="979">
      <c r="A979">
        <f>IF($M979="","",INDEX(상세표[사번],$M979)&amp;"")</f>
        <v/>
      </c>
      <c r="B979">
        <f>IF($M979="","",INDEX(상세표[성명],$M979)&amp;"")</f>
        <v/>
      </c>
      <c r="C979">
        <f>IF($M979="","",IF(INDEX(상세표[종료월],$M979)=대상월키,"전월→이번 달","이번 달→익월"))</f>
        <v/>
      </c>
      <c r="D979">
        <f>IF($M979="","",IF(ISNUMBER(INDEX(상세표[시작],$M979)),TEXT(INDEX(상세표[시작],$M979),"yyyy-mm-dd hh:mm"),INDEX(상세표[시작],$M979)&amp;""))</f>
        <v/>
      </c>
      <c r="E979">
        <f>IF($M979="","",IF(ISNUMBER(INDEX(상세표[종료],$M979)),TEXT(INDEX(상세표[종료],$M979),"yyyy-mm-dd hh:mm"),INDEX(상세표[종료],$M979)&amp;""))</f>
        <v/>
      </c>
      <c r="F979" s="20">
        <f>IF($M979="","",INDEX(상세표[기록 시간외],$M979))</f>
        <v/>
      </c>
      <c r="G979">
        <f>IF($M979="","",INDEX(상세표[시작월 기관],$M979)&amp;"")</f>
        <v/>
      </c>
      <c r="H979">
        <f>IF($M979="","",INDEX(상세표[종료월 기관],$M979)&amp;"")</f>
        <v/>
      </c>
      <c r="I979">
        <f>IF($M979="","",INDEX(상세표[월경계 판정],$M979)&amp;"")</f>
        <v/>
      </c>
      <c r="J979">
        <f>IF($M979="","",INDEX(상세표[반영월],$M979)&amp;"")</f>
        <v/>
      </c>
      <c r="K979">
        <f>IF($M979="","",INDEX(상세표[반영 기관],$M979)&amp;"")</f>
        <v/>
      </c>
      <c r="L979">
        <f>IF($M979="","",INDEX(상세표[기관 출처],$M979)&amp;"")</f>
        <v/>
      </c>
      <c r="M979" s="4">
        <f>IFERROR(MATCH(974,상세표[경계순번],0),"")</f>
        <v/>
      </c>
    </row>
    <row r="980">
      <c r="A980">
        <f>IF($M980="","",INDEX(상세표[사번],$M980)&amp;"")</f>
        <v/>
      </c>
      <c r="B980">
        <f>IF($M980="","",INDEX(상세표[성명],$M980)&amp;"")</f>
        <v/>
      </c>
      <c r="C980">
        <f>IF($M980="","",IF(INDEX(상세표[종료월],$M980)=대상월키,"전월→이번 달","이번 달→익월"))</f>
        <v/>
      </c>
      <c r="D980">
        <f>IF($M980="","",IF(ISNUMBER(INDEX(상세표[시작],$M980)),TEXT(INDEX(상세표[시작],$M980),"yyyy-mm-dd hh:mm"),INDEX(상세표[시작],$M980)&amp;""))</f>
        <v/>
      </c>
      <c r="E980">
        <f>IF($M980="","",IF(ISNUMBER(INDEX(상세표[종료],$M980)),TEXT(INDEX(상세표[종료],$M980),"yyyy-mm-dd hh:mm"),INDEX(상세표[종료],$M980)&amp;""))</f>
        <v/>
      </c>
      <c r="F980" s="20">
        <f>IF($M980="","",INDEX(상세표[기록 시간외],$M980))</f>
        <v/>
      </c>
      <c r="G980">
        <f>IF($M980="","",INDEX(상세표[시작월 기관],$M980)&amp;"")</f>
        <v/>
      </c>
      <c r="H980">
        <f>IF($M980="","",INDEX(상세표[종료월 기관],$M980)&amp;"")</f>
        <v/>
      </c>
      <c r="I980">
        <f>IF($M980="","",INDEX(상세표[월경계 판정],$M980)&amp;"")</f>
        <v/>
      </c>
      <c r="J980">
        <f>IF($M980="","",INDEX(상세표[반영월],$M980)&amp;"")</f>
        <v/>
      </c>
      <c r="K980">
        <f>IF($M980="","",INDEX(상세표[반영 기관],$M980)&amp;"")</f>
        <v/>
      </c>
      <c r="L980">
        <f>IF($M980="","",INDEX(상세표[기관 출처],$M980)&amp;"")</f>
        <v/>
      </c>
      <c r="M980" s="4">
        <f>IFERROR(MATCH(975,상세표[경계순번],0),"")</f>
        <v/>
      </c>
    </row>
    <row r="981">
      <c r="A981">
        <f>IF($M981="","",INDEX(상세표[사번],$M981)&amp;"")</f>
        <v/>
      </c>
      <c r="B981">
        <f>IF($M981="","",INDEX(상세표[성명],$M981)&amp;"")</f>
        <v/>
      </c>
      <c r="C981">
        <f>IF($M981="","",IF(INDEX(상세표[종료월],$M981)=대상월키,"전월→이번 달","이번 달→익월"))</f>
        <v/>
      </c>
      <c r="D981">
        <f>IF($M981="","",IF(ISNUMBER(INDEX(상세표[시작],$M981)),TEXT(INDEX(상세표[시작],$M981),"yyyy-mm-dd hh:mm"),INDEX(상세표[시작],$M981)&amp;""))</f>
        <v/>
      </c>
      <c r="E981">
        <f>IF($M981="","",IF(ISNUMBER(INDEX(상세표[종료],$M981)),TEXT(INDEX(상세표[종료],$M981),"yyyy-mm-dd hh:mm"),INDEX(상세표[종료],$M981)&amp;""))</f>
        <v/>
      </c>
      <c r="F981" s="20">
        <f>IF($M981="","",INDEX(상세표[기록 시간외],$M981))</f>
        <v/>
      </c>
      <c r="G981">
        <f>IF($M981="","",INDEX(상세표[시작월 기관],$M981)&amp;"")</f>
        <v/>
      </c>
      <c r="H981">
        <f>IF($M981="","",INDEX(상세표[종료월 기관],$M981)&amp;"")</f>
        <v/>
      </c>
      <c r="I981">
        <f>IF($M981="","",INDEX(상세표[월경계 판정],$M981)&amp;"")</f>
        <v/>
      </c>
      <c r="J981">
        <f>IF($M981="","",INDEX(상세표[반영월],$M981)&amp;"")</f>
        <v/>
      </c>
      <c r="K981">
        <f>IF($M981="","",INDEX(상세표[반영 기관],$M981)&amp;"")</f>
        <v/>
      </c>
      <c r="L981">
        <f>IF($M981="","",INDEX(상세표[기관 출처],$M981)&amp;"")</f>
        <v/>
      </c>
      <c r="M981" s="4">
        <f>IFERROR(MATCH(976,상세표[경계순번],0),"")</f>
        <v/>
      </c>
    </row>
    <row r="982">
      <c r="A982">
        <f>IF($M982="","",INDEX(상세표[사번],$M982)&amp;"")</f>
        <v/>
      </c>
      <c r="B982">
        <f>IF($M982="","",INDEX(상세표[성명],$M982)&amp;"")</f>
        <v/>
      </c>
      <c r="C982">
        <f>IF($M982="","",IF(INDEX(상세표[종료월],$M982)=대상월키,"전월→이번 달","이번 달→익월"))</f>
        <v/>
      </c>
      <c r="D982">
        <f>IF($M982="","",IF(ISNUMBER(INDEX(상세표[시작],$M982)),TEXT(INDEX(상세표[시작],$M982),"yyyy-mm-dd hh:mm"),INDEX(상세표[시작],$M982)&amp;""))</f>
        <v/>
      </c>
      <c r="E982">
        <f>IF($M982="","",IF(ISNUMBER(INDEX(상세표[종료],$M982)),TEXT(INDEX(상세표[종료],$M982),"yyyy-mm-dd hh:mm"),INDEX(상세표[종료],$M982)&amp;""))</f>
        <v/>
      </c>
      <c r="F982" s="20">
        <f>IF($M982="","",INDEX(상세표[기록 시간외],$M982))</f>
        <v/>
      </c>
      <c r="G982">
        <f>IF($M982="","",INDEX(상세표[시작월 기관],$M982)&amp;"")</f>
        <v/>
      </c>
      <c r="H982">
        <f>IF($M982="","",INDEX(상세표[종료월 기관],$M982)&amp;"")</f>
        <v/>
      </c>
      <c r="I982">
        <f>IF($M982="","",INDEX(상세표[월경계 판정],$M982)&amp;"")</f>
        <v/>
      </c>
      <c r="J982">
        <f>IF($M982="","",INDEX(상세표[반영월],$M982)&amp;"")</f>
        <v/>
      </c>
      <c r="K982">
        <f>IF($M982="","",INDEX(상세표[반영 기관],$M982)&amp;"")</f>
        <v/>
      </c>
      <c r="L982">
        <f>IF($M982="","",INDEX(상세표[기관 출처],$M982)&amp;"")</f>
        <v/>
      </c>
      <c r="M982" s="4">
        <f>IFERROR(MATCH(977,상세표[경계순번],0),"")</f>
        <v/>
      </c>
    </row>
    <row r="983">
      <c r="A983">
        <f>IF($M983="","",INDEX(상세표[사번],$M983)&amp;"")</f>
        <v/>
      </c>
      <c r="B983">
        <f>IF($M983="","",INDEX(상세표[성명],$M983)&amp;"")</f>
        <v/>
      </c>
      <c r="C983">
        <f>IF($M983="","",IF(INDEX(상세표[종료월],$M983)=대상월키,"전월→이번 달","이번 달→익월"))</f>
        <v/>
      </c>
      <c r="D983">
        <f>IF($M983="","",IF(ISNUMBER(INDEX(상세표[시작],$M983)),TEXT(INDEX(상세표[시작],$M983),"yyyy-mm-dd hh:mm"),INDEX(상세표[시작],$M983)&amp;""))</f>
        <v/>
      </c>
      <c r="E983">
        <f>IF($M983="","",IF(ISNUMBER(INDEX(상세표[종료],$M983)),TEXT(INDEX(상세표[종료],$M983),"yyyy-mm-dd hh:mm"),INDEX(상세표[종료],$M983)&amp;""))</f>
        <v/>
      </c>
      <c r="F983" s="20">
        <f>IF($M983="","",INDEX(상세표[기록 시간외],$M983))</f>
        <v/>
      </c>
      <c r="G983">
        <f>IF($M983="","",INDEX(상세표[시작월 기관],$M983)&amp;"")</f>
        <v/>
      </c>
      <c r="H983">
        <f>IF($M983="","",INDEX(상세표[종료월 기관],$M983)&amp;"")</f>
        <v/>
      </c>
      <c r="I983">
        <f>IF($M983="","",INDEX(상세표[월경계 판정],$M983)&amp;"")</f>
        <v/>
      </c>
      <c r="J983">
        <f>IF($M983="","",INDEX(상세표[반영월],$M983)&amp;"")</f>
        <v/>
      </c>
      <c r="K983">
        <f>IF($M983="","",INDEX(상세표[반영 기관],$M983)&amp;"")</f>
        <v/>
      </c>
      <c r="L983">
        <f>IF($M983="","",INDEX(상세표[기관 출처],$M983)&amp;"")</f>
        <v/>
      </c>
      <c r="M983" s="4">
        <f>IFERROR(MATCH(978,상세표[경계순번],0),"")</f>
        <v/>
      </c>
    </row>
    <row r="984">
      <c r="A984">
        <f>IF($M984="","",INDEX(상세표[사번],$M984)&amp;"")</f>
        <v/>
      </c>
      <c r="B984">
        <f>IF($M984="","",INDEX(상세표[성명],$M984)&amp;"")</f>
        <v/>
      </c>
      <c r="C984">
        <f>IF($M984="","",IF(INDEX(상세표[종료월],$M984)=대상월키,"전월→이번 달","이번 달→익월"))</f>
        <v/>
      </c>
      <c r="D984">
        <f>IF($M984="","",IF(ISNUMBER(INDEX(상세표[시작],$M984)),TEXT(INDEX(상세표[시작],$M984),"yyyy-mm-dd hh:mm"),INDEX(상세표[시작],$M984)&amp;""))</f>
        <v/>
      </c>
      <c r="E984">
        <f>IF($M984="","",IF(ISNUMBER(INDEX(상세표[종료],$M984)),TEXT(INDEX(상세표[종료],$M984),"yyyy-mm-dd hh:mm"),INDEX(상세표[종료],$M984)&amp;""))</f>
        <v/>
      </c>
      <c r="F984" s="20">
        <f>IF($M984="","",INDEX(상세표[기록 시간외],$M984))</f>
        <v/>
      </c>
      <c r="G984">
        <f>IF($M984="","",INDEX(상세표[시작월 기관],$M984)&amp;"")</f>
        <v/>
      </c>
      <c r="H984">
        <f>IF($M984="","",INDEX(상세표[종료월 기관],$M984)&amp;"")</f>
        <v/>
      </c>
      <c r="I984">
        <f>IF($M984="","",INDEX(상세표[월경계 판정],$M984)&amp;"")</f>
        <v/>
      </c>
      <c r="J984">
        <f>IF($M984="","",INDEX(상세표[반영월],$M984)&amp;"")</f>
        <v/>
      </c>
      <c r="K984">
        <f>IF($M984="","",INDEX(상세표[반영 기관],$M984)&amp;"")</f>
        <v/>
      </c>
      <c r="L984">
        <f>IF($M984="","",INDEX(상세표[기관 출처],$M984)&amp;"")</f>
        <v/>
      </c>
      <c r="M984" s="4">
        <f>IFERROR(MATCH(979,상세표[경계순번],0),"")</f>
        <v/>
      </c>
    </row>
    <row r="985">
      <c r="A985">
        <f>IF($M985="","",INDEX(상세표[사번],$M985)&amp;"")</f>
        <v/>
      </c>
      <c r="B985">
        <f>IF($M985="","",INDEX(상세표[성명],$M985)&amp;"")</f>
        <v/>
      </c>
      <c r="C985">
        <f>IF($M985="","",IF(INDEX(상세표[종료월],$M985)=대상월키,"전월→이번 달","이번 달→익월"))</f>
        <v/>
      </c>
      <c r="D985">
        <f>IF($M985="","",IF(ISNUMBER(INDEX(상세표[시작],$M985)),TEXT(INDEX(상세표[시작],$M985),"yyyy-mm-dd hh:mm"),INDEX(상세표[시작],$M985)&amp;""))</f>
        <v/>
      </c>
      <c r="E985">
        <f>IF($M985="","",IF(ISNUMBER(INDEX(상세표[종료],$M985)),TEXT(INDEX(상세표[종료],$M985),"yyyy-mm-dd hh:mm"),INDEX(상세표[종료],$M985)&amp;""))</f>
        <v/>
      </c>
      <c r="F985" s="20">
        <f>IF($M985="","",INDEX(상세표[기록 시간외],$M985))</f>
        <v/>
      </c>
      <c r="G985">
        <f>IF($M985="","",INDEX(상세표[시작월 기관],$M985)&amp;"")</f>
        <v/>
      </c>
      <c r="H985">
        <f>IF($M985="","",INDEX(상세표[종료월 기관],$M985)&amp;"")</f>
        <v/>
      </c>
      <c r="I985">
        <f>IF($M985="","",INDEX(상세표[월경계 판정],$M985)&amp;"")</f>
        <v/>
      </c>
      <c r="J985">
        <f>IF($M985="","",INDEX(상세표[반영월],$M985)&amp;"")</f>
        <v/>
      </c>
      <c r="K985">
        <f>IF($M985="","",INDEX(상세표[반영 기관],$M985)&amp;"")</f>
        <v/>
      </c>
      <c r="L985">
        <f>IF($M985="","",INDEX(상세표[기관 출처],$M985)&amp;"")</f>
        <v/>
      </c>
      <c r="M985" s="4">
        <f>IFERROR(MATCH(980,상세표[경계순번],0),"")</f>
        <v/>
      </c>
    </row>
    <row r="986">
      <c r="A986">
        <f>IF($M986="","",INDEX(상세표[사번],$M986)&amp;"")</f>
        <v/>
      </c>
      <c r="B986">
        <f>IF($M986="","",INDEX(상세표[성명],$M986)&amp;"")</f>
        <v/>
      </c>
      <c r="C986">
        <f>IF($M986="","",IF(INDEX(상세표[종료월],$M986)=대상월키,"전월→이번 달","이번 달→익월"))</f>
        <v/>
      </c>
      <c r="D986">
        <f>IF($M986="","",IF(ISNUMBER(INDEX(상세표[시작],$M986)),TEXT(INDEX(상세표[시작],$M986),"yyyy-mm-dd hh:mm"),INDEX(상세표[시작],$M986)&amp;""))</f>
        <v/>
      </c>
      <c r="E986">
        <f>IF($M986="","",IF(ISNUMBER(INDEX(상세표[종료],$M986)),TEXT(INDEX(상세표[종료],$M986),"yyyy-mm-dd hh:mm"),INDEX(상세표[종료],$M986)&amp;""))</f>
        <v/>
      </c>
      <c r="F986" s="20">
        <f>IF($M986="","",INDEX(상세표[기록 시간외],$M986))</f>
        <v/>
      </c>
      <c r="G986">
        <f>IF($M986="","",INDEX(상세표[시작월 기관],$M986)&amp;"")</f>
        <v/>
      </c>
      <c r="H986">
        <f>IF($M986="","",INDEX(상세표[종료월 기관],$M986)&amp;"")</f>
        <v/>
      </c>
      <c r="I986">
        <f>IF($M986="","",INDEX(상세표[월경계 판정],$M986)&amp;"")</f>
        <v/>
      </c>
      <c r="J986">
        <f>IF($M986="","",INDEX(상세표[반영월],$M986)&amp;"")</f>
        <v/>
      </c>
      <c r="K986">
        <f>IF($M986="","",INDEX(상세표[반영 기관],$M986)&amp;"")</f>
        <v/>
      </c>
      <c r="L986">
        <f>IF($M986="","",INDEX(상세표[기관 출처],$M986)&amp;"")</f>
        <v/>
      </c>
      <c r="M986" s="4">
        <f>IFERROR(MATCH(981,상세표[경계순번],0),"")</f>
        <v/>
      </c>
    </row>
    <row r="987">
      <c r="A987">
        <f>IF($M987="","",INDEX(상세표[사번],$M987)&amp;"")</f>
        <v/>
      </c>
      <c r="B987">
        <f>IF($M987="","",INDEX(상세표[성명],$M987)&amp;"")</f>
        <v/>
      </c>
      <c r="C987">
        <f>IF($M987="","",IF(INDEX(상세표[종료월],$M987)=대상월키,"전월→이번 달","이번 달→익월"))</f>
        <v/>
      </c>
      <c r="D987">
        <f>IF($M987="","",IF(ISNUMBER(INDEX(상세표[시작],$M987)),TEXT(INDEX(상세표[시작],$M987),"yyyy-mm-dd hh:mm"),INDEX(상세표[시작],$M987)&amp;""))</f>
        <v/>
      </c>
      <c r="E987">
        <f>IF($M987="","",IF(ISNUMBER(INDEX(상세표[종료],$M987)),TEXT(INDEX(상세표[종료],$M987),"yyyy-mm-dd hh:mm"),INDEX(상세표[종료],$M987)&amp;""))</f>
        <v/>
      </c>
      <c r="F987" s="20">
        <f>IF($M987="","",INDEX(상세표[기록 시간외],$M987))</f>
        <v/>
      </c>
      <c r="G987">
        <f>IF($M987="","",INDEX(상세표[시작월 기관],$M987)&amp;"")</f>
        <v/>
      </c>
      <c r="H987">
        <f>IF($M987="","",INDEX(상세표[종료월 기관],$M987)&amp;"")</f>
        <v/>
      </c>
      <c r="I987">
        <f>IF($M987="","",INDEX(상세표[월경계 판정],$M987)&amp;"")</f>
        <v/>
      </c>
      <c r="J987">
        <f>IF($M987="","",INDEX(상세표[반영월],$M987)&amp;"")</f>
        <v/>
      </c>
      <c r="K987">
        <f>IF($M987="","",INDEX(상세표[반영 기관],$M987)&amp;"")</f>
        <v/>
      </c>
      <c r="L987">
        <f>IF($M987="","",INDEX(상세표[기관 출처],$M987)&amp;"")</f>
        <v/>
      </c>
      <c r="M987" s="4">
        <f>IFERROR(MATCH(982,상세표[경계순번],0),"")</f>
        <v/>
      </c>
    </row>
    <row r="988">
      <c r="A988">
        <f>IF($M988="","",INDEX(상세표[사번],$M988)&amp;"")</f>
        <v/>
      </c>
      <c r="B988">
        <f>IF($M988="","",INDEX(상세표[성명],$M988)&amp;"")</f>
        <v/>
      </c>
      <c r="C988">
        <f>IF($M988="","",IF(INDEX(상세표[종료월],$M988)=대상월키,"전월→이번 달","이번 달→익월"))</f>
        <v/>
      </c>
      <c r="D988">
        <f>IF($M988="","",IF(ISNUMBER(INDEX(상세표[시작],$M988)),TEXT(INDEX(상세표[시작],$M988),"yyyy-mm-dd hh:mm"),INDEX(상세표[시작],$M988)&amp;""))</f>
        <v/>
      </c>
      <c r="E988">
        <f>IF($M988="","",IF(ISNUMBER(INDEX(상세표[종료],$M988)),TEXT(INDEX(상세표[종료],$M988),"yyyy-mm-dd hh:mm"),INDEX(상세표[종료],$M988)&amp;""))</f>
        <v/>
      </c>
      <c r="F988" s="20">
        <f>IF($M988="","",INDEX(상세표[기록 시간외],$M988))</f>
        <v/>
      </c>
      <c r="G988">
        <f>IF($M988="","",INDEX(상세표[시작월 기관],$M988)&amp;"")</f>
        <v/>
      </c>
      <c r="H988">
        <f>IF($M988="","",INDEX(상세표[종료월 기관],$M988)&amp;"")</f>
        <v/>
      </c>
      <c r="I988">
        <f>IF($M988="","",INDEX(상세표[월경계 판정],$M988)&amp;"")</f>
        <v/>
      </c>
      <c r="J988">
        <f>IF($M988="","",INDEX(상세표[반영월],$M988)&amp;"")</f>
        <v/>
      </c>
      <c r="K988">
        <f>IF($M988="","",INDEX(상세표[반영 기관],$M988)&amp;"")</f>
        <v/>
      </c>
      <c r="L988">
        <f>IF($M988="","",INDEX(상세표[기관 출처],$M988)&amp;"")</f>
        <v/>
      </c>
      <c r="M988" s="4">
        <f>IFERROR(MATCH(983,상세표[경계순번],0),"")</f>
        <v/>
      </c>
    </row>
    <row r="989">
      <c r="A989">
        <f>IF($M989="","",INDEX(상세표[사번],$M989)&amp;"")</f>
        <v/>
      </c>
      <c r="B989">
        <f>IF($M989="","",INDEX(상세표[성명],$M989)&amp;"")</f>
        <v/>
      </c>
      <c r="C989">
        <f>IF($M989="","",IF(INDEX(상세표[종료월],$M989)=대상월키,"전월→이번 달","이번 달→익월"))</f>
        <v/>
      </c>
      <c r="D989">
        <f>IF($M989="","",IF(ISNUMBER(INDEX(상세표[시작],$M989)),TEXT(INDEX(상세표[시작],$M989),"yyyy-mm-dd hh:mm"),INDEX(상세표[시작],$M989)&amp;""))</f>
        <v/>
      </c>
      <c r="E989">
        <f>IF($M989="","",IF(ISNUMBER(INDEX(상세표[종료],$M989)),TEXT(INDEX(상세표[종료],$M989),"yyyy-mm-dd hh:mm"),INDEX(상세표[종료],$M989)&amp;""))</f>
        <v/>
      </c>
      <c r="F989" s="20">
        <f>IF($M989="","",INDEX(상세표[기록 시간외],$M989))</f>
        <v/>
      </c>
      <c r="G989">
        <f>IF($M989="","",INDEX(상세표[시작월 기관],$M989)&amp;"")</f>
        <v/>
      </c>
      <c r="H989">
        <f>IF($M989="","",INDEX(상세표[종료월 기관],$M989)&amp;"")</f>
        <v/>
      </c>
      <c r="I989">
        <f>IF($M989="","",INDEX(상세표[월경계 판정],$M989)&amp;"")</f>
        <v/>
      </c>
      <c r="J989">
        <f>IF($M989="","",INDEX(상세표[반영월],$M989)&amp;"")</f>
        <v/>
      </c>
      <c r="K989">
        <f>IF($M989="","",INDEX(상세표[반영 기관],$M989)&amp;"")</f>
        <v/>
      </c>
      <c r="L989">
        <f>IF($M989="","",INDEX(상세표[기관 출처],$M989)&amp;"")</f>
        <v/>
      </c>
      <c r="M989" s="4">
        <f>IFERROR(MATCH(984,상세표[경계순번],0),"")</f>
        <v/>
      </c>
    </row>
    <row r="990">
      <c r="A990">
        <f>IF($M990="","",INDEX(상세표[사번],$M990)&amp;"")</f>
        <v/>
      </c>
      <c r="B990">
        <f>IF($M990="","",INDEX(상세표[성명],$M990)&amp;"")</f>
        <v/>
      </c>
      <c r="C990">
        <f>IF($M990="","",IF(INDEX(상세표[종료월],$M990)=대상월키,"전월→이번 달","이번 달→익월"))</f>
        <v/>
      </c>
      <c r="D990">
        <f>IF($M990="","",IF(ISNUMBER(INDEX(상세표[시작],$M990)),TEXT(INDEX(상세표[시작],$M990),"yyyy-mm-dd hh:mm"),INDEX(상세표[시작],$M990)&amp;""))</f>
        <v/>
      </c>
      <c r="E990">
        <f>IF($M990="","",IF(ISNUMBER(INDEX(상세표[종료],$M990)),TEXT(INDEX(상세표[종료],$M990),"yyyy-mm-dd hh:mm"),INDEX(상세표[종료],$M990)&amp;""))</f>
        <v/>
      </c>
      <c r="F990" s="20">
        <f>IF($M990="","",INDEX(상세표[기록 시간외],$M990))</f>
        <v/>
      </c>
      <c r="G990">
        <f>IF($M990="","",INDEX(상세표[시작월 기관],$M990)&amp;"")</f>
        <v/>
      </c>
      <c r="H990">
        <f>IF($M990="","",INDEX(상세표[종료월 기관],$M990)&amp;"")</f>
        <v/>
      </c>
      <c r="I990">
        <f>IF($M990="","",INDEX(상세표[월경계 판정],$M990)&amp;"")</f>
        <v/>
      </c>
      <c r="J990">
        <f>IF($M990="","",INDEX(상세표[반영월],$M990)&amp;"")</f>
        <v/>
      </c>
      <c r="K990">
        <f>IF($M990="","",INDEX(상세표[반영 기관],$M990)&amp;"")</f>
        <v/>
      </c>
      <c r="L990">
        <f>IF($M990="","",INDEX(상세표[기관 출처],$M990)&amp;"")</f>
        <v/>
      </c>
      <c r="M990" s="4">
        <f>IFERROR(MATCH(985,상세표[경계순번],0),"")</f>
        <v/>
      </c>
    </row>
    <row r="991">
      <c r="A991">
        <f>IF($M991="","",INDEX(상세표[사번],$M991)&amp;"")</f>
        <v/>
      </c>
      <c r="B991">
        <f>IF($M991="","",INDEX(상세표[성명],$M991)&amp;"")</f>
        <v/>
      </c>
      <c r="C991">
        <f>IF($M991="","",IF(INDEX(상세표[종료월],$M991)=대상월키,"전월→이번 달","이번 달→익월"))</f>
        <v/>
      </c>
      <c r="D991">
        <f>IF($M991="","",IF(ISNUMBER(INDEX(상세표[시작],$M991)),TEXT(INDEX(상세표[시작],$M991),"yyyy-mm-dd hh:mm"),INDEX(상세표[시작],$M991)&amp;""))</f>
        <v/>
      </c>
      <c r="E991">
        <f>IF($M991="","",IF(ISNUMBER(INDEX(상세표[종료],$M991)),TEXT(INDEX(상세표[종료],$M991),"yyyy-mm-dd hh:mm"),INDEX(상세표[종료],$M991)&amp;""))</f>
        <v/>
      </c>
      <c r="F991" s="20">
        <f>IF($M991="","",INDEX(상세표[기록 시간외],$M991))</f>
        <v/>
      </c>
      <c r="G991">
        <f>IF($M991="","",INDEX(상세표[시작월 기관],$M991)&amp;"")</f>
        <v/>
      </c>
      <c r="H991">
        <f>IF($M991="","",INDEX(상세표[종료월 기관],$M991)&amp;"")</f>
        <v/>
      </c>
      <c r="I991">
        <f>IF($M991="","",INDEX(상세표[월경계 판정],$M991)&amp;"")</f>
        <v/>
      </c>
      <c r="J991">
        <f>IF($M991="","",INDEX(상세표[반영월],$M991)&amp;"")</f>
        <v/>
      </c>
      <c r="K991">
        <f>IF($M991="","",INDEX(상세표[반영 기관],$M991)&amp;"")</f>
        <v/>
      </c>
      <c r="L991">
        <f>IF($M991="","",INDEX(상세표[기관 출처],$M991)&amp;"")</f>
        <v/>
      </c>
      <c r="M991" s="4">
        <f>IFERROR(MATCH(986,상세표[경계순번],0),"")</f>
        <v/>
      </c>
    </row>
    <row r="992">
      <c r="A992">
        <f>IF($M992="","",INDEX(상세표[사번],$M992)&amp;"")</f>
        <v/>
      </c>
      <c r="B992">
        <f>IF($M992="","",INDEX(상세표[성명],$M992)&amp;"")</f>
        <v/>
      </c>
      <c r="C992">
        <f>IF($M992="","",IF(INDEX(상세표[종료월],$M992)=대상월키,"전월→이번 달","이번 달→익월"))</f>
        <v/>
      </c>
      <c r="D992">
        <f>IF($M992="","",IF(ISNUMBER(INDEX(상세표[시작],$M992)),TEXT(INDEX(상세표[시작],$M992),"yyyy-mm-dd hh:mm"),INDEX(상세표[시작],$M992)&amp;""))</f>
        <v/>
      </c>
      <c r="E992">
        <f>IF($M992="","",IF(ISNUMBER(INDEX(상세표[종료],$M992)),TEXT(INDEX(상세표[종료],$M992),"yyyy-mm-dd hh:mm"),INDEX(상세표[종료],$M992)&amp;""))</f>
        <v/>
      </c>
      <c r="F992" s="20">
        <f>IF($M992="","",INDEX(상세표[기록 시간외],$M992))</f>
        <v/>
      </c>
      <c r="G992">
        <f>IF($M992="","",INDEX(상세표[시작월 기관],$M992)&amp;"")</f>
        <v/>
      </c>
      <c r="H992">
        <f>IF($M992="","",INDEX(상세표[종료월 기관],$M992)&amp;"")</f>
        <v/>
      </c>
      <c r="I992">
        <f>IF($M992="","",INDEX(상세표[월경계 판정],$M992)&amp;"")</f>
        <v/>
      </c>
      <c r="J992">
        <f>IF($M992="","",INDEX(상세표[반영월],$M992)&amp;"")</f>
        <v/>
      </c>
      <c r="K992">
        <f>IF($M992="","",INDEX(상세표[반영 기관],$M992)&amp;"")</f>
        <v/>
      </c>
      <c r="L992">
        <f>IF($M992="","",INDEX(상세표[기관 출처],$M992)&amp;"")</f>
        <v/>
      </c>
      <c r="M992" s="4">
        <f>IFERROR(MATCH(987,상세표[경계순번],0),"")</f>
        <v/>
      </c>
    </row>
    <row r="993">
      <c r="A993">
        <f>IF($M993="","",INDEX(상세표[사번],$M993)&amp;"")</f>
        <v/>
      </c>
      <c r="B993">
        <f>IF($M993="","",INDEX(상세표[성명],$M993)&amp;"")</f>
        <v/>
      </c>
      <c r="C993">
        <f>IF($M993="","",IF(INDEX(상세표[종료월],$M993)=대상월키,"전월→이번 달","이번 달→익월"))</f>
        <v/>
      </c>
      <c r="D993">
        <f>IF($M993="","",IF(ISNUMBER(INDEX(상세표[시작],$M993)),TEXT(INDEX(상세표[시작],$M993),"yyyy-mm-dd hh:mm"),INDEX(상세표[시작],$M993)&amp;""))</f>
        <v/>
      </c>
      <c r="E993">
        <f>IF($M993="","",IF(ISNUMBER(INDEX(상세표[종료],$M993)),TEXT(INDEX(상세표[종료],$M993),"yyyy-mm-dd hh:mm"),INDEX(상세표[종료],$M993)&amp;""))</f>
        <v/>
      </c>
      <c r="F993" s="20">
        <f>IF($M993="","",INDEX(상세표[기록 시간외],$M993))</f>
        <v/>
      </c>
      <c r="G993">
        <f>IF($M993="","",INDEX(상세표[시작월 기관],$M993)&amp;"")</f>
        <v/>
      </c>
      <c r="H993">
        <f>IF($M993="","",INDEX(상세표[종료월 기관],$M993)&amp;"")</f>
        <v/>
      </c>
      <c r="I993">
        <f>IF($M993="","",INDEX(상세표[월경계 판정],$M993)&amp;"")</f>
        <v/>
      </c>
      <c r="J993">
        <f>IF($M993="","",INDEX(상세표[반영월],$M993)&amp;"")</f>
        <v/>
      </c>
      <c r="K993">
        <f>IF($M993="","",INDEX(상세표[반영 기관],$M993)&amp;"")</f>
        <v/>
      </c>
      <c r="L993">
        <f>IF($M993="","",INDEX(상세표[기관 출처],$M993)&amp;"")</f>
        <v/>
      </c>
      <c r="M993" s="4">
        <f>IFERROR(MATCH(988,상세표[경계순번],0),"")</f>
        <v/>
      </c>
    </row>
    <row r="994">
      <c r="A994">
        <f>IF($M994="","",INDEX(상세표[사번],$M994)&amp;"")</f>
        <v/>
      </c>
      <c r="B994">
        <f>IF($M994="","",INDEX(상세표[성명],$M994)&amp;"")</f>
        <v/>
      </c>
      <c r="C994">
        <f>IF($M994="","",IF(INDEX(상세표[종료월],$M994)=대상월키,"전월→이번 달","이번 달→익월"))</f>
        <v/>
      </c>
      <c r="D994">
        <f>IF($M994="","",IF(ISNUMBER(INDEX(상세표[시작],$M994)),TEXT(INDEX(상세표[시작],$M994),"yyyy-mm-dd hh:mm"),INDEX(상세표[시작],$M994)&amp;""))</f>
        <v/>
      </c>
      <c r="E994">
        <f>IF($M994="","",IF(ISNUMBER(INDEX(상세표[종료],$M994)),TEXT(INDEX(상세표[종료],$M994),"yyyy-mm-dd hh:mm"),INDEX(상세표[종료],$M994)&amp;""))</f>
        <v/>
      </c>
      <c r="F994" s="20">
        <f>IF($M994="","",INDEX(상세표[기록 시간외],$M994))</f>
        <v/>
      </c>
      <c r="G994">
        <f>IF($M994="","",INDEX(상세표[시작월 기관],$M994)&amp;"")</f>
        <v/>
      </c>
      <c r="H994">
        <f>IF($M994="","",INDEX(상세표[종료월 기관],$M994)&amp;"")</f>
        <v/>
      </c>
      <c r="I994">
        <f>IF($M994="","",INDEX(상세표[월경계 판정],$M994)&amp;"")</f>
        <v/>
      </c>
      <c r="J994">
        <f>IF($M994="","",INDEX(상세표[반영월],$M994)&amp;"")</f>
        <v/>
      </c>
      <c r="K994">
        <f>IF($M994="","",INDEX(상세표[반영 기관],$M994)&amp;"")</f>
        <v/>
      </c>
      <c r="L994">
        <f>IF($M994="","",INDEX(상세표[기관 출처],$M994)&amp;"")</f>
        <v/>
      </c>
      <c r="M994" s="4">
        <f>IFERROR(MATCH(989,상세표[경계순번],0),"")</f>
        <v/>
      </c>
    </row>
    <row r="995">
      <c r="A995">
        <f>IF($M995="","",INDEX(상세표[사번],$M995)&amp;"")</f>
        <v/>
      </c>
      <c r="B995">
        <f>IF($M995="","",INDEX(상세표[성명],$M995)&amp;"")</f>
        <v/>
      </c>
      <c r="C995">
        <f>IF($M995="","",IF(INDEX(상세표[종료월],$M995)=대상월키,"전월→이번 달","이번 달→익월"))</f>
        <v/>
      </c>
      <c r="D995">
        <f>IF($M995="","",IF(ISNUMBER(INDEX(상세표[시작],$M995)),TEXT(INDEX(상세표[시작],$M995),"yyyy-mm-dd hh:mm"),INDEX(상세표[시작],$M995)&amp;""))</f>
        <v/>
      </c>
      <c r="E995">
        <f>IF($M995="","",IF(ISNUMBER(INDEX(상세표[종료],$M995)),TEXT(INDEX(상세표[종료],$M995),"yyyy-mm-dd hh:mm"),INDEX(상세표[종료],$M995)&amp;""))</f>
        <v/>
      </c>
      <c r="F995" s="20">
        <f>IF($M995="","",INDEX(상세표[기록 시간외],$M995))</f>
        <v/>
      </c>
      <c r="G995">
        <f>IF($M995="","",INDEX(상세표[시작월 기관],$M995)&amp;"")</f>
        <v/>
      </c>
      <c r="H995">
        <f>IF($M995="","",INDEX(상세표[종료월 기관],$M995)&amp;"")</f>
        <v/>
      </c>
      <c r="I995">
        <f>IF($M995="","",INDEX(상세표[월경계 판정],$M995)&amp;"")</f>
        <v/>
      </c>
      <c r="J995">
        <f>IF($M995="","",INDEX(상세표[반영월],$M995)&amp;"")</f>
        <v/>
      </c>
      <c r="K995">
        <f>IF($M995="","",INDEX(상세표[반영 기관],$M995)&amp;"")</f>
        <v/>
      </c>
      <c r="L995">
        <f>IF($M995="","",INDEX(상세표[기관 출처],$M995)&amp;"")</f>
        <v/>
      </c>
      <c r="M995" s="4">
        <f>IFERROR(MATCH(990,상세표[경계순번],0),"")</f>
        <v/>
      </c>
    </row>
    <row r="996">
      <c r="A996">
        <f>IF($M996="","",INDEX(상세표[사번],$M996)&amp;"")</f>
        <v/>
      </c>
      <c r="B996">
        <f>IF($M996="","",INDEX(상세표[성명],$M996)&amp;"")</f>
        <v/>
      </c>
      <c r="C996">
        <f>IF($M996="","",IF(INDEX(상세표[종료월],$M996)=대상월키,"전월→이번 달","이번 달→익월"))</f>
        <v/>
      </c>
      <c r="D996">
        <f>IF($M996="","",IF(ISNUMBER(INDEX(상세표[시작],$M996)),TEXT(INDEX(상세표[시작],$M996),"yyyy-mm-dd hh:mm"),INDEX(상세표[시작],$M996)&amp;""))</f>
        <v/>
      </c>
      <c r="E996">
        <f>IF($M996="","",IF(ISNUMBER(INDEX(상세표[종료],$M996)),TEXT(INDEX(상세표[종료],$M996),"yyyy-mm-dd hh:mm"),INDEX(상세표[종료],$M996)&amp;""))</f>
        <v/>
      </c>
      <c r="F996" s="20">
        <f>IF($M996="","",INDEX(상세표[기록 시간외],$M996))</f>
        <v/>
      </c>
      <c r="G996">
        <f>IF($M996="","",INDEX(상세표[시작월 기관],$M996)&amp;"")</f>
        <v/>
      </c>
      <c r="H996">
        <f>IF($M996="","",INDEX(상세표[종료월 기관],$M996)&amp;"")</f>
        <v/>
      </c>
      <c r="I996">
        <f>IF($M996="","",INDEX(상세표[월경계 판정],$M996)&amp;"")</f>
        <v/>
      </c>
      <c r="J996">
        <f>IF($M996="","",INDEX(상세표[반영월],$M996)&amp;"")</f>
        <v/>
      </c>
      <c r="K996">
        <f>IF($M996="","",INDEX(상세표[반영 기관],$M996)&amp;"")</f>
        <v/>
      </c>
      <c r="L996">
        <f>IF($M996="","",INDEX(상세표[기관 출처],$M996)&amp;"")</f>
        <v/>
      </c>
      <c r="M996" s="4">
        <f>IFERROR(MATCH(991,상세표[경계순번],0),"")</f>
        <v/>
      </c>
    </row>
    <row r="997">
      <c r="A997">
        <f>IF($M997="","",INDEX(상세표[사번],$M997)&amp;"")</f>
        <v/>
      </c>
      <c r="B997">
        <f>IF($M997="","",INDEX(상세표[성명],$M997)&amp;"")</f>
        <v/>
      </c>
      <c r="C997">
        <f>IF($M997="","",IF(INDEX(상세표[종료월],$M997)=대상월키,"전월→이번 달","이번 달→익월"))</f>
        <v/>
      </c>
      <c r="D997">
        <f>IF($M997="","",IF(ISNUMBER(INDEX(상세표[시작],$M997)),TEXT(INDEX(상세표[시작],$M997),"yyyy-mm-dd hh:mm"),INDEX(상세표[시작],$M997)&amp;""))</f>
        <v/>
      </c>
      <c r="E997">
        <f>IF($M997="","",IF(ISNUMBER(INDEX(상세표[종료],$M997)),TEXT(INDEX(상세표[종료],$M997),"yyyy-mm-dd hh:mm"),INDEX(상세표[종료],$M997)&amp;""))</f>
        <v/>
      </c>
      <c r="F997" s="20">
        <f>IF($M997="","",INDEX(상세표[기록 시간외],$M997))</f>
        <v/>
      </c>
      <c r="G997">
        <f>IF($M997="","",INDEX(상세표[시작월 기관],$M997)&amp;"")</f>
        <v/>
      </c>
      <c r="H997">
        <f>IF($M997="","",INDEX(상세표[종료월 기관],$M997)&amp;"")</f>
        <v/>
      </c>
      <c r="I997">
        <f>IF($M997="","",INDEX(상세표[월경계 판정],$M997)&amp;"")</f>
        <v/>
      </c>
      <c r="J997">
        <f>IF($M997="","",INDEX(상세표[반영월],$M997)&amp;"")</f>
        <v/>
      </c>
      <c r="K997">
        <f>IF($M997="","",INDEX(상세표[반영 기관],$M997)&amp;"")</f>
        <v/>
      </c>
      <c r="L997">
        <f>IF($M997="","",INDEX(상세표[기관 출처],$M997)&amp;"")</f>
        <v/>
      </c>
      <c r="M997" s="4">
        <f>IFERROR(MATCH(992,상세표[경계순번],0),"")</f>
        <v/>
      </c>
    </row>
    <row r="998">
      <c r="A998">
        <f>IF($M998="","",INDEX(상세표[사번],$M998)&amp;"")</f>
        <v/>
      </c>
      <c r="B998">
        <f>IF($M998="","",INDEX(상세표[성명],$M998)&amp;"")</f>
        <v/>
      </c>
      <c r="C998">
        <f>IF($M998="","",IF(INDEX(상세표[종료월],$M998)=대상월키,"전월→이번 달","이번 달→익월"))</f>
        <v/>
      </c>
      <c r="D998">
        <f>IF($M998="","",IF(ISNUMBER(INDEX(상세표[시작],$M998)),TEXT(INDEX(상세표[시작],$M998),"yyyy-mm-dd hh:mm"),INDEX(상세표[시작],$M998)&amp;""))</f>
        <v/>
      </c>
      <c r="E998">
        <f>IF($M998="","",IF(ISNUMBER(INDEX(상세표[종료],$M998)),TEXT(INDEX(상세표[종료],$M998),"yyyy-mm-dd hh:mm"),INDEX(상세표[종료],$M998)&amp;""))</f>
        <v/>
      </c>
      <c r="F998" s="20">
        <f>IF($M998="","",INDEX(상세표[기록 시간외],$M998))</f>
        <v/>
      </c>
      <c r="G998">
        <f>IF($M998="","",INDEX(상세표[시작월 기관],$M998)&amp;"")</f>
        <v/>
      </c>
      <c r="H998">
        <f>IF($M998="","",INDEX(상세표[종료월 기관],$M998)&amp;"")</f>
        <v/>
      </c>
      <c r="I998">
        <f>IF($M998="","",INDEX(상세표[월경계 판정],$M998)&amp;"")</f>
        <v/>
      </c>
      <c r="J998">
        <f>IF($M998="","",INDEX(상세표[반영월],$M998)&amp;"")</f>
        <v/>
      </c>
      <c r="K998">
        <f>IF($M998="","",INDEX(상세표[반영 기관],$M998)&amp;"")</f>
        <v/>
      </c>
      <c r="L998">
        <f>IF($M998="","",INDEX(상세표[기관 출처],$M998)&amp;"")</f>
        <v/>
      </c>
      <c r="M998" s="4">
        <f>IFERROR(MATCH(993,상세표[경계순번],0),"")</f>
        <v/>
      </c>
    </row>
    <row r="999">
      <c r="A999">
        <f>IF($M999="","",INDEX(상세표[사번],$M999)&amp;"")</f>
        <v/>
      </c>
      <c r="B999">
        <f>IF($M999="","",INDEX(상세표[성명],$M999)&amp;"")</f>
        <v/>
      </c>
      <c r="C999">
        <f>IF($M999="","",IF(INDEX(상세표[종료월],$M999)=대상월키,"전월→이번 달","이번 달→익월"))</f>
        <v/>
      </c>
      <c r="D999">
        <f>IF($M999="","",IF(ISNUMBER(INDEX(상세표[시작],$M999)),TEXT(INDEX(상세표[시작],$M999),"yyyy-mm-dd hh:mm"),INDEX(상세표[시작],$M999)&amp;""))</f>
        <v/>
      </c>
      <c r="E999">
        <f>IF($M999="","",IF(ISNUMBER(INDEX(상세표[종료],$M999)),TEXT(INDEX(상세표[종료],$M999),"yyyy-mm-dd hh:mm"),INDEX(상세표[종료],$M999)&amp;""))</f>
        <v/>
      </c>
      <c r="F999" s="20">
        <f>IF($M999="","",INDEX(상세표[기록 시간외],$M999))</f>
        <v/>
      </c>
      <c r="G999">
        <f>IF($M999="","",INDEX(상세표[시작월 기관],$M999)&amp;"")</f>
        <v/>
      </c>
      <c r="H999">
        <f>IF($M999="","",INDEX(상세표[종료월 기관],$M999)&amp;"")</f>
        <v/>
      </c>
      <c r="I999">
        <f>IF($M999="","",INDEX(상세표[월경계 판정],$M999)&amp;"")</f>
        <v/>
      </c>
      <c r="J999">
        <f>IF($M999="","",INDEX(상세표[반영월],$M999)&amp;"")</f>
        <v/>
      </c>
      <c r="K999">
        <f>IF($M999="","",INDEX(상세표[반영 기관],$M999)&amp;"")</f>
        <v/>
      </c>
      <c r="L999">
        <f>IF($M999="","",INDEX(상세표[기관 출처],$M999)&amp;"")</f>
        <v/>
      </c>
      <c r="M999" s="4">
        <f>IFERROR(MATCH(994,상세표[경계순번],0),"")</f>
        <v/>
      </c>
    </row>
    <row r="1000">
      <c r="A1000">
        <f>IF($M1000="","",INDEX(상세표[사번],$M1000)&amp;"")</f>
        <v/>
      </c>
      <c r="B1000">
        <f>IF($M1000="","",INDEX(상세표[성명],$M1000)&amp;"")</f>
        <v/>
      </c>
      <c r="C1000">
        <f>IF($M1000="","",IF(INDEX(상세표[종료월],$M1000)=대상월키,"전월→이번 달","이번 달→익월"))</f>
        <v/>
      </c>
      <c r="D1000">
        <f>IF($M1000="","",IF(ISNUMBER(INDEX(상세표[시작],$M1000)),TEXT(INDEX(상세표[시작],$M1000),"yyyy-mm-dd hh:mm"),INDEX(상세표[시작],$M1000)&amp;""))</f>
        <v/>
      </c>
      <c r="E1000">
        <f>IF($M1000="","",IF(ISNUMBER(INDEX(상세표[종료],$M1000)),TEXT(INDEX(상세표[종료],$M1000),"yyyy-mm-dd hh:mm"),INDEX(상세표[종료],$M1000)&amp;""))</f>
        <v/>
      </c>
      <c r="F1000" s="20">
        <f>IF($M1000="","",INDEX(상세표[기록 시간외],$M1000))</f>
        <v/>
      </c>
      <c r="G1000">
        <f>IF($M1000="","",INDEX(상세표[시작월 기관],$M1000)&amp;"")</f>
        <v/>
      </c>
      <c r="H1000">
        <f>IF($M1000="","",INDEX(상세표[종료월 기관],$M1000)&amp;"")</f>
        <v/>
      </c>
      <c r="I1000">
        <f>IF($M1000="","",INDEX(상세표[월경계 판정],$M1000)&amp;"")</f>
        <v/>
      </c>
      <c r="J1000">
        <f>IF($M1000="","",INDEX(상세표[반영월],$M1000)&amp;"")</f>
        <v/>
      </c>
      <c r="K1000">
        <f>IF($M1000="","",INDEX(상세표[반영 기관],$M1000)&amp;"")</f>
        <v/>
      </c>
      <c r="L1000">
        <f>IF($M1000="","",INDEX(상세표[기관 출처],$M1000)&amp;"")</f>
        <v/>
      </c>
      <c r="M1000" s="4">
        <f>IFERROR(MATCH(995,상세표[경계순번],0),"")</f>
        <v/>
      </c>
    </row>
    <row r="1001">
      <c r="A1001">
        <f>IF($M1001="","",INDEX(상세표[사번],$M1001)&amp;"")</f>
        <v/>
      </c>
      <c r="B1001">
        <f>IF($M1001="","",INDEX(상세표[성명],$M1001)&amp;"")</f>
        <v/>
      </c>
      <c r="C1001">
        <f>IF($M1001="","",IF(INDEX(상세표[종료월],$M1001)=대상월키,"전월→이번 달","이번 달→익월"))</f>
        <v/>
      </c>
      <c r="D1001">
        <f>IF($M1001="","",IF(ISNUMBER(INDEX(상세표[시작],$M1001)),TEXT(INDEX(상세표[시작],$M1001),"yyyy-mm-dd hh:mm"),INDEX(상세표[시작],$M1001)&amp;""))</f>
        <v/>
      </c>
      <c r="E1001">
        <f>IF($M1001="","",IF(ISNUMBER(INDEX(상세표[종료],$M1001)),TEXT(INDEX(상세표[종료],$M1001),"yyyy-mm-dd hh:mm"),INDEX(상세표[종료],$M1001)&amp;""))</f>
        <v/>
      </c>
      <c r="F1001" s="20">
        <f>IF($M1001="","",INDEX(상세표[기록 시간외],$M1001))</f>
        <v/>
      </c>
      <c r="G1001">
        <f>IF($M1001="","",INDEX(상세표[시작월 기관],$M1001)&amp;"")</f>
        <v/>
      </c>
      <c r="H1001">
        <f>IF($M1001="","",INDEX(상세표[종료월 기관],$M1001)&amp;"")</f>
        <v/>
      </c>
      <c r="I1001">
        <f>IF($M1001="","",INDEX(상세표[월경계 판정],$M1001)&amp;"")</f>
        <v/>
      </c>
      <c r="J1001">
        <f>IF($M1001="","",INDEX(상세표[반영월],$M1001)&amp;"")</f>
        <v/>
      </c>
      <c r="K1001">
        <f>IF($M1001="","",INDEX(상세표[반영 기관],$M1001)&amp;"")</f>
        <v/>
      </c>
      <c r="L1001">
        <f>IF($M1001="","",INDEX(상세표[기관 출처],$M1001)&amp;"")</f>
        <v/>
      </c>
      <c r="M1001" s="4">
        <f>IFERROR(MATCH(996,상세표[경계순번],0),"")</f>
        <v/>
      </c>
    </row>
    <row r="1002">
      <c r="A1002">
        <f>IF($M1002="","",INDEX(상세표[사번],$M1002)&amp;"")</f>
        <v/>
      </c>
      <c r="B1002">
        <f>IF($M1002="","",INDEX(상세표[성명],$M1002)&amp;"")</f>
        <v/>
      </c>
      <c r="C1002">
        <f>IF($M1002="","",IF(INDEX(상세표[종료월],$M1002)=대상월키,"전월→이번 달","이번 달→익월"))</f>
        <v/>
      </c>
      <c r="D1002">
        <f>IF($M1002="","",IF(ISNUMBER(INDEX(상세표[시작],$M1002)),TEXT(INDEX(상세표[시작],$M1002),"yyyy-mm-dd hh:mm"),INDEX(상세표[시작],$M1002)&amp;""))</f>
        <v/>
      </c>
      <c r="E1002">
        <f>IF($M1002="","",IF(ISNUMBER(INDEX(상세표[종료],$M1002)),TEXT(INDEX(상세표[종료],$M1002),"yyyy-mm-dd hh:mm"),INDEX(상세표[종료],$M1002)&amp;""))</f>
        <v/>
      </c>
      <c r="F1002" s="20">
        <f>IF($M1002="","",INDEX(상세표[기록 시간외],$M1002))</f>
        <v/>
      </c>
      <c r="G1002">
        <f>IF($M1002="","",INDEX(상세표[시작월 기관],$M1002)&amp;"")</f>
        <v/>
      </c>
      <c r="H1002">
        <f>IF($M1002="","",INDEX(상세표[종료월 기관],$M1002)&amp;"")</f>
        <v/>
      </c>
      <c r="I1002">
        <f>IF($M1002="","",INDEX(상세표[월경계 판정],$M1002)&amp;"")</f>
        <v/>
      </c>
      <c r="J1002">
        <f>IF($M1002="","",INDEX(상세표[반영월],$M1002)&amp;"")</f>
        <v/>
      </c>
      <c r="K1002">
        <f>IF($M1002="","",INDEX(상세표[반영 기관],$M1002)&amp;"")</f>
        <v/>
      </c>
      <c r="L1002">
        <f>IF($M1002="","",INDEX(상세표[기관 출처],$M1002)&amp;"")</f>
        <v/>
      </c>
      <c r="M1002" s="4">
        <f>IFERROR(MATCH(997,상세표[경계순번],0),"")</f>
        <v/>
      </c>
    </row>
    <row r="1003">
      <c r="A1003">
        <f>IF($M1003="","",INDEX(상세표[사번],$M1003)&amp;"")</f>
        <v/>
      </c>
      <c r="B1003">
        <f>IF($M1003="","",INDEX(상세표[성명],$M1003)&amp;"")</f>
        <v/>
      </c>
      <c r="C1003">
        <f>IF($M1003="","",IF(INDEX(상세표[종료월],$M1003)=대상월키,"전월→이번 달","이번 달→익월"))</f>
        <v/>
      </c>
      <c r="D1003">
        <f>IF($M1003="","",IF(ISNUMBER(INDEX(상세표[시작],$M1003)),TEXT(INDEX(상세표[시작],$M1003),"yyyy-mm-dd hh:mm"),INDEX(상세표[시작],$M1003)&amp;""))</f>
        <v/>
      </c>
      <c r="E1003">
        <f>IF($M1003="","",IF(ISNUMBER(INDEX(상세표[종료],$M1003)),TEXT(INDEX(상세표[종료],$M1003),"yyyy-mm-dd hh:mm"),INDEX(상세표[종료],$M1003)&amp;""))</f>
        <v/>
      </c>
      <c r="F1003" s="20">
        <f>IF($M1003="","",INDEX(상세표[기록 시간외],$M1003))</f>
        <v/>
      </c>
      <c r="G1003">
        <f>IF($M1003="","",INDEX(상세표[시작월 기관],$M1003)&amp;"")</f>
        <v/>
      </c>
      <c r="H1003">
        <f>IF($M1003="","",INDEX(상세표[종료월 기관],$M1003)&amp;"")</f>
        <v/>
      </c>
      <c r="I1003">
        <f>IF($M1003="","",INDEX(상세표[월경계 판정],$M1003)&amp;"")</f>
        <v/>
      </c>
      <c r="J1003">
        <f>IF($M1003="","",INDEX(상세표[반영월],$M1003)&amp;"")</f>
        <v/>
      </c>
      <c r="K1003">
        <f>IF($M1003="","",INDEX(상세표[반영 기관],$M1003)&amp;"")</f>
        <v/>
      </c>
      <c r="L1003">
        <f>IF($M1003="","",INDEX(상세표[기관 출처],$M1003)&amp;"")</f>
        <v/>
      </c>
      <c r="M1003" s="4">
        <f>IFERROR(MATCH(998,상세표[경계순번],0),"")</f>
        <v/>
      </c>
    </row>
    <row r="1004">
      <c r="A1004">
        <f>IF($M1004="","",INDEX(상세표[사번],$M1004)&amp;"")</f>
        <v/>
      </c>
      <c r="B1004">
        <f>IF($M1004="","",INDEX(상세표[성명],$M1004)&amp;"")</f>
        <v/>
      </c>
      <c r="C1004">
        <f>IF($M1004="","",IF(INDEX(상세표[종료월],$M1004)=대상월키,"전월→이번 달","이번 달→익월"))</f>
        <v/>
      </c>
      <c r="D1004">
        <f>IF($M1004="","",IF(ISNUMBER(INDEX(상세표[시작],$M1004)),TEXT(INDEX(상세표[시작],$M1004),"yyyy-mm-dd hh:mm"),INDEX(상세표[시작],$M1004)&amp;""))</f>
        <v/>
      </c>
      <c r="E1004">
        <f>IF($M1004="","",IF(ISNUMBER(INDEX(상세표[종료],$M1004)),TEXT(INDEX(상세표[종료],$M1004),"yyyy-mm-dd hh:mm"),INDEX(상세표[종료],$M1004)&amp;""))</f>
        <v/>
      </c>
      <c r="F1004" s="20">
        <f>IF($M1004="","",INDEX(상세표[기록 시간외],$M1004))</f>
        <v/>
      </c>
      <c r="G1004">
        <f>IF($M1004="","",INDEX(상세표[시작월 기관],$M1004)&amp;"")</f>
        <v/>
      </c>
      <c r="H1004">
        <f>IF($M1004="","",INDEX(상세표[종료월 기관],$M1004)&amp;"")</f>
        <v/>
      </c>
      <c r="I1004">
        <f>IF($M1004="","",INDEX(상세표[월경계 판정],$M1004)&amp;"")</f>
        <v/>
      </c>
      <c r="J1004">
        <f>IF($M1004="","",INDEX(상세표[반영월],$M1004)&amp;"")</f>
        <v/>
      </c>
      <c r="K1004">
        <f>IF($M1004="","",INDEX(상세표[반영 기관],$M1004)&amp;"")</f>
        <v/>
      </c>
      <c r="L1004">
        <f>IF($M1004="","",INDEX(상세표[기관 출처],$M1004)&amp;"")</f>
        <v/>
      </c>
      <c r="M1004" s="4">
        <f>IFERROR(MATCH(999,상세표[경계순번],0),"")</f>
        <v/>
      </c>
    </row>
    <row r="1005">
      <c r="A1005">
        <f>IF($M1005="","",INDEX(상세표[사번],$M1005)&amp;"")</f>
        <v/>
      </c>
      <c r="B1005">
        <f>IF($M1005="","",INDEX(상세표[성명],$M1005)&amp;"")</f>
        <v/>
      </c>
      <c r="C1005">
        <f>IF($M1005="","",IF(INDEX(상세표[종료월],$M1005)=대상월키,"전월→이번 달","이번 달→익월"))</f>
        <v/>
      </c>
      <c r="D1005">
        <f>IF($M1005="","",IF(ISNUMBER(INDEX(상세표[시작],$M1005)),TEXT(INDEX(상세표[시작],$M1005),"yyyy-mm-dd hh:mm"),INDEX(상세표[시작],$M1005)&amp;""))</f>
        <v/>
      </c>
      <c r="E1005">
        <f>IF($M1005="","",IF(ISNUMBER(INDEX(상세표[종료],$M1005)),TEXT(INDEX(상세표[종료],$M1005),"yyyy-mm-dd hh:mm"),INDEX(상세표[종료],$M1005)&amp;""))</f>
        <v/>
      </c>
      <c r="F1005" s="20">
        <f>IF($M1005="","",INDEX(상세표[기록 시간외],$M1005))</f>
        <v/>
      </c>
      <c r="G1005">
        <f>IF($M1005="","",INDEX(상세표[시작월 기관],$M1005)&amp;"")</f>
        <v/>
      </c>
      <c r="H1005">
        <f>IF($M1005="","",INDEX(상세표[종료월 기관],$M1005)&amp;"")</f>
        <v/>
      </c>
      <c r="I1005">
        <f>IF($M1005="","",INDEX(상세표[월경계 판정],$M1005)&amp;"")</f>
        <v/>
      </c>
      <c r="J1005">
        <f>IF($M1005="","",INDEX(상세표[반영월],$M1005)&amp;"")</f>
        <v/>
      </c>
      <c r="K1005">
        <f>IF($M1005="","",INDEX(상세표[반영 기관],$M1005)&amp;"")</f>
        <v/>
      </c>
      <c r="L1005">
        <f>IF($M1005="","",INDEX(상세표[기관 출처],$M1005)&amp;"")</f>
        <v/>
      </c>
      <c r="M1005" s="4">
        <f>IFERROR(MATCH(1000,상세표[경계순번],0),"")</f>
        <v/>
      </c>
    </row>
  </sheetData>
  <conditionalFormatting sqref="J3">
    <cfRule type="expression" priority="1" dxfId="1">
      <formula>J3&gt;0</formula>
    </cfRule>
  </conditionalFormatting>
  <conditionalFormatting sqref="A6:L1005">
    <cfRule type="expression" priority="2" dxfId="4">
      <formula>$I6="말일 근무: 근무한 익월 기관에 반영"</formula>
    </cfRule>
    <cfRule type="expression" priority="3" dxfId="1">
      <formula>OR(LEFT($I6,2)="기관",LEFT($I6,16)="말일 근무: 익월 기관 정보")</formula>
    </cfRule>
  </conditionalFormatting>
  <conditionalFormatting sqref="L6:L1005">
    <cfRule type="expression" priority="4" dxfId="5">
      <formula>$L6="직접 입력"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AC10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6" customWidth="1" min="5" max="5"/>
    <col width="8" customWidth="1" min="6" max="6"/>
    <col width="9" customWidth="1" min="7" max="7"/>
    <col width="13" customWidth="1" min="8" max="8"/>
    <col width="8" customWidth="1" min="9" max="9"/>
    <col width="8" customWidth="1" min="10" max="10"/>
    <col width="9" customWidth="1" min="11" max="11"/>
    <col width="11" customWidth="1" min="12" max="12"/>
    <col width="20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6" customWidth="1" min="24" max="24"/>
    <col width="3" customWidth="1" min="25" max="25"/>
    <col width="10" customWidth="1" min="26" max="26"/>
    <col width="8" customWidth="1" min="27" max="27"/>
    <col width="10" customWidth="1" min="28" max="28"/>
  </cols>
  <sheetData>
    <row r="1">
      <c r="A1" s="1" t="inlineStr">
        <is>
          <t>시간외 근무 서울급여 판정 (대상월)</t>
        </is>
      </c>
    </row>
    <row r="2">
      <c r="A2" s="4" t="inlineStr">
        <is>
          <t>※ 자동 결과(입력 금지, 최대 1000명). 같은 사번은 직위가 달라도 한 사람으로 합칩니다. 서울급여 = 대상월 급여지급병원이 서울병원(또는 '해당(말일 근무)': 말일 근무를 서울병원에서 해 서울 반영 시간이 있는 사람). 기관명단에 사번이 아예 없으면 '기관명단에 없음(다른 병원으로 발송)' — 출력_타병원발송에 따로 모았습니다.</t>
        </is>
      </c>
    </row>
    <row r="3">
      <c r="A3" s="16" t="inlineStr">
        <is>
          <t>대상월</t>
        </is>
      </c>
      <c r="B3" s="17">
        <f>대상월키</f>
        <v/>
      </c>
      <c r="C3" s="16" t="inlineStr">
        <is>
          <t>시간외 인원(사번 기준)</t>
        </is>
      </c>
      <c r="D3" s="17">
        <f>COUNT(합계표[판정순번])</f>
        <v/>
      </c>
      <c r="E3" s="16" t="inlineStr">
        <is>
          <t>서울급여 해당</t>
        </is>
      </c>
      <c r="F3" s="17">
        <f>COUNTIF($M$6:$M$1005,"해당*")</f>
        <v/>
      </c>
      <c r="G3" s="16" t="inlineStr">
        <is>
          <t>상세·합계 불일치</t>
        </is>
      </c>
      <c r="H3" s="17">
        <f>COUNTIF($H$6:$H$1005,"불일치*")</f>
        <v/>
      </c>
      <c r="I3" s="16" t="inlineStr">
        <is>
          <t>기관명단에 없음(타 병원 발송)</t>
        </is>
      </c>
      <c r="J3" s="17">
        <f>COUNTIF($M$6:$M$1005,"기관명단에 없음*")</f>
        <v/>
      </c>
      <c r="K3" s="16" t="inlineStr">
        <is>
          <t>대상월 기관명단 없음</t>
        </is>
      </c>
      <c r="L3" s="17">
        <f>COUNTIF($M$6:$M$1005,"대상월 기관명단*")</f>
        <v/>
      </c>
      <c r="M3" s="16" t="inlineStr">
        <is>
          <t>직접 입력 적용</t>
        </is>
      </c>
      <c r="N3" s="17">
        <f>COUNTIF($W$6:$W$1005,"직접 입력")</f>
        <v/>
      </c>
      <c r="O3" s="16" t="inlineStr">
        <is>
          <t>직급 공존</t>
        </is>
      </c>
      <c r="P3" s="17">
        <f>COUNTIF($E$6:$E$1005,"공존*")</f>
        <v/>
      </c>
      <c r="Q3" s="16" t="inlineStr">
        <is>
          <t>8시간 미만 야간(당직 제외)</t>
        </is>
      </c>
      <c r="R3" s="17">
        <f>COUNTIFS(상세표[야간첫행],1,상세표[야간당직],0,상세표[반영월],대상월키)</f>
        <v/>
      </c>
      <c r="S3" s="18">
        <f>IF(D3&gt;1000,"⚠ 표시 한도(1000명) 초과","")</f>
        <v/>
      </c>
    </row>
    <row r="4">
      <c r="R4" s="16" t="inlineStr">
        <is>
          <t>야간 당직 합계→</t>
        </is>
      </c>
      <c r="S4" s="17">
        <f>SUM(S6:S1005)</f>
        <v/>
      </c>
      <c r="T4" s="17">
        <f>SUM(T6:T1005)</f>
        <v/>
      </c>
      <c r="U4" s="17">
        <f>SUM(U6:U1005)</f>
        <v/>
      </c>
      <c r="V4" s="17">
        <f>SUM(V6:V1005)</f>
        <v/>
      </c>
      <c r="Z4" s="3" t="inlineStr">
        <is>
          <t>대상월 반영 기록이 있는데 합계표에 없는 사번 (전월 말일 당직만 있는 사람 등)</t>
        </is>
      </c>
    </row>
    <row r="5" ht="42" customHeight="1">
      <c r="A5" s="5" t="inlineStr">
        <is>
          <t>사번</t>
        </is>
      </c>
      <c r="B5" s="5" t="inlineStr">
        <is>
          <t>성명</t>
        </is>
      </c>
      <c r="C5" s="5" t="inlineStr">
        <is>
          <t>부서</t>
        </is>
      </c>
      <c r="D5" s="5" t="inlineStr">
        <is>
          <t>직위</t>
        </is>
      </c>
      <c r="E5" s="5" t="inlineStr">
        <is>
          <t>직급 공존</t>
        </is>
      </c>
      <c r="F5" s="5" t="inlineStr">
        <is>
          <t>시스템 합계</t>
        </is>
      </c>
      <c r="G5" s="5" t="inlineStr">
        <is>
          <t>상세 합계(대상월 기록)</t>
        </is>
      </c>
      <c r="H5" s="5" t="inlineStr">
        <is>
          <t>상세 대조</t>
        </is>
      </c>
      <c r="I5" s="5" t="inlineStr">
        <is>
          <t>이월(−) 다른 달 반영</t>
        </is>
      </c>
      <c r="J5" s="5" t="inlineStr">
        <is>
          <t>전입(+) 다른 달 기록</t>
        </is>
      </c>
      <c r="K5" s="5" t="inlineStr">
        <is>
          <t>대상월 반영 시간</t>
        </is>
      </c>
      <c r="L5" s="5" t="inlineStr">
        <is>
          <t>대상월 급여지급병원</t>
        </is>
      </c>
      <c r="M5" s="5" t="inlineStr">
        <is>
          <t>서울급여</t>
        </is>
      </c>
      <c r="N5" s="5" t="inlineStr">
        <is>
          <t>서울 06~07시</t>
        </is>
      </c>
      <c r="O5" s="5" t="inlineStr">
        <is>
          <t>서울 07~18시</t>
        </is>
      </c>
      <c r="P5" s="5" t="inlineStr">
        <is>
          <t>서울 18~22시</t>
        </is>
      </c>
      <c r="Q5" s="5" t="inlineStr">
        <is>
          <t>서울 22~06시</t>
        </is>
      </c>
      <c r="R5" s="5" t="inlineStr">
        <is>
          <t>서울 반영 합계</t>
        </is>
      </c>
      <c r="S5" s="5" t="inlineStr">
        <is>
          <t>평일 야간 당직(건)</t>
        </is>
      </c>
      <c r="T5" s="5" t="inlineStr">
        <is>
          <t>휴일 야간 당직(건)</t>
        </is>
      </c>
      <c r="U5" s="5" t="inlineStr">
        <is>
          <t>서울 평일 야간 당직(건)</t>
        </is>
      </c>
      <c r="V5" s="5" t="inlineStr">
        <is>
          <t>서울 휴일 야간 당직(건)</t>
        </is>
      </c>
      <c r="W5" s="5" t="inlineStr">
        <is>
          <t>기관 출처</t>
        </is>
      </c>
      <c r="X5" s="19" t="inlineStr">
        <is>
          <t>(합계 행)</t>
        </is>
      </c>
      <c r="Z5" s="5" t="inlineStr">
        <is>
          <t>사번</t>
        </is>
      </c>
      <c r="AA5" s="5" t="inlineStr">
        <is>
          <t>성명</t>
        </is>
      </c>
      <c r="AB5" s="5" t="inlineStr">
        <is>
          <t>대상월 반영 시간</t>
        </is>
      </c>
      <c r="AC5" s="19" t="inlineStr">
        <is>
          <t>(상세 행)</t>
        </is>
      </c>
    </row>
    <row r="6">
      <c r="A6">
        <f>IF($X6="",IF(COUNT(합계표[판정순번])=0,"시간외 합계 없음",""),INDEX(합계표[사번],$X6)&amp;"")</f>
        <v/>
      </c>
      <c r="B6">
        <f>IF($X6="","",INDEX(합계표[성명],$X6)&amp;"")</f>
        <v/>
      </c>
      <c r="C6">
        <f>IF($X6="","",INDEX(합계표[부서],$X6)&amp;"")</f>
        <v/>
      </c>
      <c r="D6">
        <f>IF($X6="","",INDEX(합계표[직위(요약)],$X6)&amp;"")</f>
        <v/>
      </c>
      <c r="E6">
        <f>IF($X6="","",INDEX(합계표[직급 공존],$X6)&amp;"")</f>
        <v/>
      </c>
      <c r="F6" s="20">
        <f>IF($X6="","",SUMIFS(합계표[시스템 합계],합계표[사번키],INDEX(합계표[사번키],$X6)))</f>
        <v/>
      </c>
      <c r="G6" s="20">
        <f>IF($X6="","",SUMIFS(상세표[기록 시간외],상세표[사번키],INDEX(합계표[사번키],$X6),상세표[기록월],대상월키))</f>
        <v/>
      </c>
      <c r="H6">
        <f>IF($X6="","",IF(ABS($F6-$G6)&lt;0.01,"일치","불일치(차이 "&amp;TEXT($G6-$F6,"0.00")&amp;")"))</f>
        <v/>
      </c>
      <c r="I6" s="20">
        <f>IF($X6="","",SUMIFS(상세표[기록 시간외],상세표[사번키],INDEX(합계표[사번키],$X6),상세표[기록월],대상월키,상세표[반영월],"&lt;&gt;"&amp;대상월키))</f>
        <v/>
      </c>
      <c r="J6" s="20">
        <f>IF($X6="","",SUMIFS(상세표[기록 시간외],상세표[사번키],INDEX(합계표[사번키],$X6),상세표[기록월],"&lt;&gt;"&amp;대상월키,상세표[반영월],대상월키))</f>
        <v/>
      </c>
      <c r="K6" s="20">
        <f>IF($X6="","",SUMIFS(상세표[기록 시간외],상세표[사번키],INDEX(합계표[사번키],$X6),상세표[반영월],대상월키))</f>
        <v/>
      </c>
      <c r="L6">
        <f>IF($X6="","",IFERROR(INDEX(월별근무지표[적용 급여병원],MATCH(INDEX(합계표[사번키],$X6)&amp;"|"&amp;대상월키,월별근무지표[키],0))&amp;"",IF(COUNTIF(기관표[사번키],INDEX(합계표[사번키],$X6))+COUNTIF(월별근무지표[사번키],INDEX(합계표[사번키],$X6))&gt;0,IFERROR(INDEX(기관표[급여지급병원(기준월)],MATCH(INDEX(합계표[사번키],$X6)&amp;"|"&amp;대상월키,기관표[키],0))&amp;"","—"),"—")))</f>
        <v/>
      </c>
      <c r="M6">
        <f>IF($X6="","",IF(NOT(COUNTIF(기관표[사번키],INDEX(합계표[사번키],$X6))+COUNTIF(월별근무지표[사번키],INDEX(합계표[사번키],$X6))&gt;0),"기관명단에 없음(다른 병원으로 발송)",IF($L6="서울병원","해당",IF(N($R6)&gt;0,"해당(말일 근무)",IF($L6="—","대상월 기관명단 없음(추가 필요)","비해당")))))</f>
        <v/>
      </c>
      <c r="N6" s="20">
        <f>IF($X6="","",SUMIFS(상세표[06~07시],상세표[사번키],INDEX(합계표[사번키],$X6),상세표[반영월],대상월키,상세표[반영 기관],"서울병원"))</f>
        <v/>
      </c>
      <c r="O6" s="20">
        <f>IF($X6="","",SUMIFS(상세표[07~18시],상세표[사번키],INDEX(합계표[사번키],$X6),상세표[반영월],대상월키,상세표[반영 기관],"서울병원"))</f>
        <v/>
      </c>
      <c r="P6" s="20">
        <f>IF($X6="","",SUMIFS(상세표[18~22시],상세표[사번키],INDEX(합계표[사번키],$X6),상세표[반영월],대상월키,상세표[반영 기관],"서울병원"))</f>
        <v/>
      </c>
      <c r="Q6" s="20">
        <f>IF($X6="","",SUMIFS(상세표[22~06시],상세표[사번키],INDEX(합계표[사번키],$X6),상세표[반영월],대상월키,상세표[반영 기관],"서울병원"))</f>
        <v/>
      </c>
      <c r="R6" s="20">
        <f>IF($X6="","",SUM($N6:$Q6))</f>
        <v/>
      </c>
      <c r="S6">
        <f>IF($X6="","",COUNTIFS(상세표[사번키],INDEX(합계표[사번키],$X6),상세표[반영월],대상월키,상세표[야간당직],1,상세표[야간 구분],"평일"))</f>
        <v/>
      </c>
      <c r="T6">
        <f>IF($X6="","",COUNTIFS(상세표[사번키],INDEX(합계표[사번키],$X6),상세표[반영월],대상월키,상세표[야간당직],1,상세표[야간 구분],"휴일"))</f>
        <v/>
      </c>
      <c r="U6">
        <f>IF($X6="","",COUNTIFS(상세표[사번키],INDEX(합계표[사번키],$X6),상세표[반영월],대상월키,상세표[야간당직],1,상세표[야간 구분],"평일",상세표[반영 기관],"서울병원"))</f>
        <v/>
      </c>
      <c r="V6">
        <f>IF($X6="","",COUNTIFS(상세표[사번키],INDEX(합계표[사번키],$X6),상세표[반영월],대상월키,상세표[야간당직],1,상세표[야간 구분],"휴일",상세표[반영 기관],"서울병원"))</f>
        <v/>
      </c>
      <c r="W6">
        <f>IF($X6="","",IF(ISNUMBER(MATCH(INDEX(합계표[사번키],$X6)&amp;"|"&amp;대상월키,월별근무지표[키],0)),"직접 입력",IF($L6="—","—","기관명단")))</f>
        <v/>
      </c>
      <c r="X6" s="4">
        <f>IFERROR(MATCH(1,합계표[판정순번],0),"")</f>
        <v/>
      </c>
      <c r="Z6">
        <f>IF($AC6="",IF(SUM(상세표[합계없음첫행])=0,"없음",""),INDEX(상세표[사번],$AC6)&amp;"")</f>
        <v/>
      </c>
      <c r="AA6">
        <f>IF($AC6="","",INDEX(상세표[성명],$AC6)&amp;"")</f>
        <v/>
      </c>
      <c r="AB6" s="20">
        <f>IF($AC6="","",SUMIFS(상세표[기록 시간외],상세표[사번키],INDEX(상세표[사번키],$AC6),상세표[반영월],대상월키))</f>
        <v/>
      </c>
      <c r="AC6" s="4">
        <f>IFERROR(MATCH(1,상세표[합계없음순번],0),"")</f>
        <v/>
      </c>
    </row>
    <row r="7">
      <c r="A7">
        <f>IF($X7="","",INDEX(합계표[사번],$X7)&amp;"")</f>
        <v/>
      </c>
      <c r="B7">
        <f>IF($X7="","",INDEX(합계표[성명],$X7)&amp;"")</f>
        <v/>
      </c>
      <c r="C7">
        <f>IF($X7="","",INDEX(합계표[부서],$X7)&amp;"")</f>
        <v/>
      </c>
      <c r="D7">
        <f>IF($X7="","",INDEX(합계표[직위(요약)],$X7)&amp;"")</f>
        <v/>
      </c>
      <c r="E7">
        <f>IF($X7="","",INDEX(합계표[직급 공존],$X7)&amp;"")</f>
        <v/>
      </c>
      <c r="F7" s="20">
        <f>IF($X7="","",SUMIFS(합계표[시스템 합계],합계표[사번키],INDEX(합계표[사번키],$X7)))</f>
        <v/>
      </c>
      <c r="G7" s="20">
        <f>IF($X7="","",SUMIFS(상세표[기록 시간외],상세표[사번키],INDEX(합계표[사번키],$X7),상세표[기록월],대상월키))</f>
        <v/>
      </c>
      <c r="H7">
        <f>IF($X7="","",IF(ABS($F7-$G7)&lt;0.01,"일치","불일치(차이 "&amp;TEXT($G7-$F7,"0.00")&amp;")"))</f>
        <v/>
      </c>
      <c r="I7" s="20">
        <f>IF($X7="","",SUMIFS(상세표[기록 시간외],상세표[사번키],INDEX(합계표[사번키],$X7),상세표[기록월],대상월키,상세표[반영월],"&lt;&gt;"&amp;대상월키))</f>
        <v/>
      </c>
      <c r="J7" s="20">
        <f>IF($X7="","",SUMIFS(상세표[기록 시간외],상세표[사번키],INDEX(합계표[사번키],$X7),상세표[기록월],"&lt;&gt;"&amp;대상월키,상세표[반영월],대상월키))</f>
        <v/>
      </c>
      <c r="K7" s="20">
        <f>IF($X7="","",SUMIFS(상세표[기록 시간외],상세표[사번키],INDEX(합계표[사번키],$X7),상세표[반영월],대상월키))</f>
        <v/>
      </c>
      <c r="L7">
        <f>IF($X7="","",IFERROR(INDEX(월별근무지표[적용 급여병원],MATCH(INDEX(합계표[사번키],$X7)&amp;"|"&amp;대상월키,월별근무지표[키],0))&amp;"",IF(COUNTIF(기관표[사번키],INDEX(합계표[사번키],$X7))+COUNTIF(월별근무지표[사번키],INDEX(합계표[사번키],$X7))&gt;0,IFERROR(INDEX(기관표[급여지급병원(기준월)],MATCH(INDEX(합계표[사번키],$X7)&amp;"|"&amp;대상월키,기관표[키],0))&amp;"","—"),"—")))</f>
        <v/>
      </c>
      <c r="M7">
        <f>IF($X7="","",IF(NOT(COUNTIF(기관표[사번키],INDEX(합계표[사번키],$X7))+COUNTIF(월별근무지표[사번키],INDEX(합계표[사번키],$X7))&gt;0),"기관명단에 없음(다른 병원으로 발송)",IF($L7="서울병원","해당",IF(N($R7)&gt;0,"해당(말일 근무)",IF($L7="—","대상월 기관명단 없음(추가 필요)","비해당")))))</f>
        <v/>
      </c>
      <c r="N7" s="20">
        <f>IF($X7="","",SUMIFS(상세표[06~07시],상세표[사번키],INDEX(합계표[사번키],$X7),상세표[반영월],대상월키,상세표[반영 기관],"서울병원"))</f>
        <v/>
      </c>
      <c r="O7" s="20">
        <f>IF($X7="","",SUMIFS(상세표[07~18시],상세표[사번키],INDEX(합계표[사번키],$X7),상세표[반영월],대상월키,상세표[반영 기관],"서울병원"))</f>
        <v/>
      </c>
      <c r="P7" s="20">
        <f>IF($X7="","",SUMIFS(상세표[18~22시],상세표[사번키],INDEX(합계표[사번키],$X7),상세표[반영월],대상월키,상세표[반영 기관],"서울병원"))</f>
        <v/>
      </c>
      <c r="Q7" s="20">
        <f>IF($X7="","",SUMIFS(상세표[22~06시],상세표[사번키],INDEX(합계표[사번키],$X7),상세표[반영월],대상월키,상세표[반영 기관],"서울병원"))</f>
        <v/>
      </c>
      <c r="R7" s="20">
        <f>IF($X7="","",SUM($N7:$Q7))</f>
        <v/>
      </c>
      <c r="S7">
        <f>IF($X7="","",COUNTIFS(상세표[사번키],INDEX(합계표[사번키],$X7),상세표[반영월],대상월키,상세표[야간당직],1,상세표[야간 구분],"평일"))</f>
        <v/>
      </c>
      <c r="T7">
        <f>IF($X7="","",COUNTIFS(상세표[사번키],INDEX(합계표[사번키],$X7),상세표[반영월],대상월키,상세표[야간당직],1,상세표[야간 구분],"휴일"))</f>
        <v/>
      </c>
      <c r="U7">
        <f>IF($X7="","",COUNTIFS(상세표[사번키],INDEX(합계표[사번키],$X7),상세표[반영월],대상월키,상세표[야간당직],1,상세표[야간 구분],"평일",상세표[반영 기관],"서울병원"))</f>
        <v/>
      </c>
      <c r="V7">
        <f>IF($X7="","",COUNTIFS(상세표[사번키],INDEX(합계표[사번키],$X7),상세표[반영월],대상월키,상세표[야간당직],1,상세표[야간 구분],"휴일",상세표[반영 기관],"서울병원"))</f>
        <v/>
      </c>
      <c r="W7">
        <f>IF($X7="","",IF(ISNUMBER(MATCH(INDEX(합계표[사번키],$X7)&amp;"|"&amp;대상월키,월별근무지표[키],0)),"직접 입력",IF($L7="—","—","기관명단")))</f>
        <v/>
      </c>
      <c r="X7" s="4">
        <f>IFERROR(MATCH(2,합계표[판정순번],0),"")</f>
        <v/>
      </c>
      <c r="Z7">
        <f>IF($AC7="","",INDEX(상세표[사번],$AC7)&amp;"")</f>
        <v/>
      </c>
      <c r="AA7">
        <f>IF($AC7="","",INDEX(상세표[성명],$AC7)&amp;"")</f>
        <v/>
      </c>
      <c r="AB7" s="20">
        <f>IF($AC7="","",SUMIFS(상세표[기록 시간외],상세표[사번키],INDEX(상세표[사번키],$AC7),상세표[반영월],대상월키))</f>
        <v/>
      </c>
      <c r="AC7" s="4">
        <f>IFERROR(MATCH(2,상세표[합계없음순번],0),"")</f>
        <v/>
      </c>
    </row>
    <row r="8">
      <c r="A8">
        <f>IF($X8="","",INDEX(합계표[사번],$X8)&amp;"")</f>
        <v/>
      </c>
      <c r="B8">
        <f>IF($X8="","",INDEX(합계표[성명],$X8)&amp;"")</f>
        <v/>
      </c>
      <c r="C8">
        <f>IF($X8="","",INDEX(합계표[부서],$X8)&amp;"")</f>
        <v/>
      </c>
      <c r="D8">
        <f>IF($X8="","",INDEX(합계표[직위(요약)],$X8)&amp;"")</f>
        <v/>
      </c>
      <c r="E8">
        <f>IF($X8="","",INDEX(합계표[직급 공존],$X8)&amp;"")</f>
        <v/>
      </c>
      <c r="F8" s="20">
        <f>IF($X8="","",SUMIFS(합계표[시스템 합계],합계표[사번키],INDEX(합계표[사번키],$X8)))</f>
        <v/>
      </c>
      <c r="G8" s="20">
        <f>IF($X8="","",SUMIFS(상세표[기록 시간외],상세표[사번키],INDEX(합계표[사번키],$X8),상세표[기록월],대상월키))</f>
        <v/>
      </c>
      <c r="H8">
        <f>IF($X8="","",IF(ABS($F8-$G8)&lt;0.01,"일치","불일치(차이 "&amp;TEXT($G8-$F8,"0.00")&amp;")"))</f>
        <v/>
      </c>
      <c r="I8" s="20">
        <f>IF($X8="","",SUMIFS(상세표[기록 시간외],상세표[사번키],INDEX(합계표[사번키],$X8),상세표[기록월],대상월키,상세표[반영월],"&lt;&gt;"&amp;대상월키))</f>
        <v/>
      </c>
      <c r="J8" s="20">
        <f>IF($X8="","",SUMIFS(상세표[기록 시간외],상세표[사번키],INDEX(합계표[사번키],$X8),상세표[기록월],"&lt;&gt;"&amp;대상월키,상세표[반영월],대상월키))</f>
        <v/>
      </c>
      <c r="K8" s="20">
        <f>IF($X8="","",SUMIFS(상세표[기록 시간외],상세표[사번키],INDEX(합계표[사번키],$X8),상세표[반영월],대상월키))</f>
        <v/>
      </c>
      <c r="L8">
        <f>IF($X8="","",IFERROR(INDEX(월별근무지표[적용 급여병원],MATCH(INDEX(합계표[사번키],$X8)&amp;"|"&amp;대상월키,월별근무지표[키],0))&amp;"",IF(COUNTIF(기관표[사번키],INDEX(합계표[사번키],$X8))+COUNTIF(월별근무지표[사번키],INDEX(합계표[사번키],$X8))&gt;0,IFERROR(INDEX(기관표[급여지급병원(기준월)],MATCH(INDEX(합계표[사번키],$X8)&amp;"|"&amp;대상월키,기관표[키],0))&amp;"","—"),"—")))</f>
        <v/>
      </c>
      <c r="M8">
        <f>IF($X8="","",IF(NOT(COUNTIF(기관표[사번키],INDEX(합계표[사번키],$X8))+COUNTIF(월별근무지표[사번키],INDEX(합계표[사번키],$X8))&gt;0),"기관명단에 없음(다른 병원으로 발송)",IF($L8="서울병원","해당",IF(N($R8)&gt;0,"해당(말일 근무)",IF($L8="—","대상월 기관명단 없음(추가 필요)","비해당")))))</f>
        <v/>
      </c>
      <c r="N8" s="20">
        <f>IF($X8="","",SUMIFS(상세표[06~07시],상세표[사번키],INDEX(합계표[사번키],$X8),상세표[반영월],대상월키,상세표[반영 기관],"서울병원"))</f>
        <v/>
      </c>
      <c r="O8" s="20">
        <f>IF($X8="","",SUMIFS(상세표[07~18시],상세표[사번키],INDEX(합계표[사번키],$X8),상세표[반영월],대상월키,상세표[반영 기관],"서울병원"))</f>
        <v/>
      </c>
      <c r="P8" s="20">
        <f>IF($X8="","",SUMIFS(상세표[18~22시],상세표[사번키],INDEX(합계표[사번키],$X8),상세표[반영월],대상월키,상세표[반영 기관],"서울병원"))</f>
        <v/>
      </c>
      <c r="Q8" s="20">
        <f>IF($X8="","",SUMIFS(상세표[22~06시],상세표[사번키],INDEX(합계표[사번키],$X8),상세표[반영월],대상월키,상세표[반영 기관],"서울병원"))</f>
        <v/>
      </c>
      <c r="R8" s="20">
        <f>IF($X8="","",SUM($N8:$Q8))</f>
        <v/>
      </c>
      <c r="S8">
        <f>IF($X8="","",COUNTIFS(상세표[사번키],INDEX(합계표[사번키],$X8),상세표[반영월],대상월키,상세표[야간당직],1,상세표[야간 구분],"평일"))</f>
        <v/>
      </c>
      <c r="T8">
        <f>IF($X8="","",COUNTIFS(상세표[사번키],INDEX(합계표[사번키],$X8),상세표[반영월],대상월키,상세표[야간당직],1,상세표[야간 구분],"휴일"))</f>
        <v/>
      </c>
      <c r="U8">
        <f>IF($X8="","",COUNTIFS(상세표[사번키],INDEX(합계표[사번키],$X8),상세표[반영월],대상월키,상세표[야간당직],1,상세표[야간 구분],"평일",상세표[반영 기관],"서울병원"))</f>
        <v/>
      </c>
      <c r="V8">
        <f>IF($X8="","",COUNTIFS(상세표[사번키],INDEX(합계표[사번키],$X8),상세표[반영월],대상월키,상세표[야간당직],1,상세표[야간 구분],"휴일",상세표[반영 기관],"서울병원"))</f>
        <v/>
      </c>
      <c r="W8">
        <f>IF($X8="","",IF(ISNUMBER(MATCH(INDEX(합계표[사번키],$X8)&amp;"|"&amp;대상월키,월별근무지표[키],0)),"직접 입력",IF($L8="—","—","기관명단")))</f>
        <v/>
      </c>
      <c r="X8" s="4">
        <f>IFERROR(MATCH(3,합계표[판정순번],0),"")</f>
        <v/>
      </c>
      <c r="Z8">
        <f>IF($AC8="","",INDEX(상세표[사번],$AC8)&amp;"")</f>
        <v/>
      </c>
      <c r="AA8">
        <f>IF($AC8="","",INDEX(상세표[성명],$AC8)&amp;"")</f>
        <v/>
      </c>
      <c r="AB8" s="20">
        <f>IF($AC8="","",SUMIFS(상세표[기록 시간외],상세표[사번키],INDEX(상세표[사번키],$AC8),상세표[반영월],대상월키))</f>
        <v/>
      </c>
      <c r="AC8" s="4">
        <f>IFERROR(MATCH(3,상세표[합계없음순번],0),"")</f>
        <v/>
      </c>
    </row>
    <row r="9">
      <c r="A9">
        <f>IF($X9="","",INDEX(합계표[사번],$X9)&amp;"")</f>
        <v/>
      </c>
      <c r="B9">
        <f>IF($X9="","",INDEX(합계표[성명],$X9)&amp;"")</f>
        <v/>
      </c>
      <c r="C9">
        <f>IF($X9="","",INDEX(합계표[부서],$X9)&amp;"")</f>
        <v/>
      </c>
      <c r="D9">
        <f>IF($X9="","",INDEX(합계표[직위(요약)],$X9)&amp;"")</f>
        <v/>
      </c>
      <c r="E9">
        <f>IF($X9="","",INDEX(합계표[직급 공존],$X9)&amp;"")</f>
        <v/>
      </c>
      <c r="F9" s="20">
        <f>IF($X9="","",SUMIFS(합계표[시스템 합계],합계표[사번키],INDEX(합계표[사번키],$X9)))</f>
        <v/>
      </c>
      <c r="G9" s="20">
        <f>IF($X9="","",SUMIFS(상세표[기록 시간외],상세표[사번키],INDEX(합계표[사번키],$X9),상세표[기록월],대상월키))</f>
        <v/>
      </c>
      <c r="H9">
        <f>IF($X9="","",IF(ABS($F9-$G9)&lt;0.01,"일치","불일치(차이 "&amp;TEXT($G9-$F9,"0.00")&amp;")"))</f>
        <v/>
      </c>
      <c r="I9" s="20">
        <f>IF($X9="","",SUMIFS(상세표[기록 시간외],상세표[사번키],INDEX(합계표[사번키],$X9),상세표[기록월],대상월키,상세표[반영월],"&lt;&gt;"&amp;대상월키))</f>
        <v/>
      </c>
      <c r="J9" s="20">
        <f>IF($X9="","",SUMIFS(상세표[기록 시간외],상세표[사번키],INDEX(합계표[사번키],$X9),상세표[기록월],"&lt;&gt;"&amp;대상월키,상세표[반영월],대상월키))</f>
        <v/>
      </c>
      <c r="K9" s="20">
        <f>IF($X9="","",SUMIFS(상세표[기록 시간외],상세표[사번키],INDEX(합계표[사번키],$X9),상세표[반영월],대상월키))</f>
        <v/>
      </c>
      <c r="L9">
        <f>IF($X9="","",IFERROR(INDEX(월별근무지표[적용 급여병원],MATCH(INDEX(합계표[사번키],$X9)&amp;"|"&amp;대상월키,월별근무지표[키],0))&amp;"",IF(COUNTIF(기관표[사번키],INDEX(합계표[사번키],$X9))+COUNTIF(월별근무지표[사번키],INDEX(합계표[사번키],$X9))&gt;0,IFERROR(INDEX(기관표[급여지급병원(기준월)],MATCH(INDEX(합계표[사번키],$X9)&amp;"|"&amp;대상월키,기관표[키],0))&amp;"","—"),"—")))</f>
        <v/>
      </c>
      <c r="M9">
        <f>IF($X9="","",IF(NOT(COUNTIF(기관표[사번키],INDEX(합계표[사번키],$X9))+COUNTIF(월별근무지표[사번키],INDEX(합계표[사번키],$X9))&gt;0),"기관명단에 없음(다른 병원으로 발송)",IF($L9="서울병원","해당",IF(N($R9)&gt;0,"해당(말일 근무)",IF($L9="—","대상월 기관명단 없음(추가 필요)","비해당")))))</f>
        <v/>
      </c>
      <c r="N9" s="20">
        <f>IF($X9="","",SUMIFS(상세표[06~07시],상세표[사번키],INDEX(합계표[사번키],$X9),상세표[반영월],대상월키,상세표[반영 기관],"서울병원"))</f>
        <v/>
      </c>
      <c r="O9" s="20">
        <f>IF($X9="","",SUMIFS(상세표[07~18시],상세표[사번키],INDEX(합계표[사번키],$X9),상세표[반영월],대상월키,상세표[반영 기관],"서울병원"))</f>
        <v/>
      </c>
      <c r="P9" s="20">
        <f>IF($X9="","",SUMIFS(상세표[18~22시],상세표[사번키],INDEX(합계표[사번키],$X9),상세표[반영월],대상월키,상세표[반영 기관],"서울병원"))</f>
        <v/>
      </c>
      <c r="Q9" s="20">
        <f>IF($X9="","",SUMIFS(상세표[22~06시],상세표[사번키],INDEX(합계표[사번키],$X9),상세표[반영월],대상월키,상세표[반영 기관],"서울병원"))</f>
        <v/>
      </c>
      <c r="R9" s="20">
        <f>IF($X9="","",SUM($N9:$Q9))</f>
        <v/>
      </c>
      <c r="S9">
        <f>IF($X9="","",COUNTIFS(상세표[사번키],INDEX(합계표[사번키],$X9),상세표[반영월],대상월키,상세표[야간당직],1,상세표[야간 구분],"평일"))</f>
        <v/>
      </c>
      <c r="T9">
        <f>IF($X9="","",COUNTIFS(상세표[사번키],INDEX(합계표[사번키],$X9),상세표[반영월],대상월키,상세표[야간당직],1,상세표[야간 구분],"휴일"))</f>
        <v/>
      </c>
      <c r="U9">
        <f>IF($X9="","",COUNTIFS(상세표[사번키],INDEX(합계표[사번키],$X9),상세표[반영월],대상월키,상세표[야간당직],1,상세표[야간 구분],"평일",상세표[반영 기관],"서울병원"))</f>
        <v/>
      </c>
      <c r="V9">
        <f>IF($X9="","",COUNTIFS(상세표[사번키],INDEX(합계표[사번키],$X9),상세표[반영월],대상월키,상세표[야간당직],1,상세표[야간 구분],"휴일",상세표[반영 기관],"서울병원"))</f>
        <v/>
      </c>
      <c r="W9">
        <f>IF($X9="","",IF(ISNUMBER(MATCH(INDEX(합계표[사번키],$X9)&amp;"|"&amp;대상월키,월별근무지표[키],0)),"직접 입력",IF($L9="—","—","기관명단")))</f>
        <v/>
      </c>
      <c r="X9" s="4">
        <f>IFERROR(MATCH(4,합계표[판정순번],0),"")</f>
        <v/>
      </c>
      <c r="Z9">
        <f>IF($AC9="","",INDEX(상세표[사번],$AC9)&amp;"")</f>
        <v/>
      </c>
      <c r="AA9">
        <f>IF($AC9="","",INDEX(상세표[성명],$AC9)&amp;"")</f>
        <v/>
      </c>
      <c r="AB9" s="20">
        <f>IF($AC9="","",SUMIFS(상세표[기록 시간외],상세표[사번키],INDEX(상세표[사번키],$AC9),상세표[반영월],대상월키))</f>
        <v/>
      </c>
      <c r="AC9" s="4">
        <f>IFERROR(MATCH(4,상세표[합계없음순번],0),"")</f>
        <v/>
      </c>
    </row>
    <row r="10">
      <c r="A10">
        <f>IF($X10="","",INDEX(합계표[사번],$X10)&amp;"")</f>
        <v/>
      </c>
      <c r="B10">
        <f>IF($X10="","",INDEX(합계표[성명],$X10)&amp;"")</f>
        <v/>
      </c>
      <c r="C10">
        <f>IF($X10="","",INDEX(합계표[부서],$X10)&amp;"")</f>
        <v/>
      </c>
      <c r="D10">
        <f>IF($X10="","",INDEX(합계표[직위(요약)],$X10)&amp;"")</f>
        <v/>
      </c>
      <c r="E10">
        <f>IF($X10="","",INDEX(합계표[직급 공존],$X10)&amp;"")</f>
        <v/>
      </c>
      <c r="F10" s="20">
        <f>IF($X10="","",SUMIFS(합계표[시스템 합계],합계표[사번키],INDEX(합계표[사번키],$X10)))</f>
        <v/>
      </c>
      <c r="G10" s="20">
        <f>IF($X10="","",SUMIFS(상세표[기록 시간외],상세표[사번키],INDEX(합계표[사번키],$X10),상세표[기록월],대상월키))</f>
        <v/>
      </c>
      <c r="H10">
        <f>IF($X10="","",IF(ABS($F10-$G10)&lt;0.01,"일치","불일치(차이 "&amp;TEXT($G10-$F10,"0.00")&amp;")"))</f>
        <v/>
      </c>
      <c r="I10" s="20">
        <f>IF($X10="","",SUMIFS(상세표[기록 시간외],상세표[사번키],INDEX(합계표[사번키],$X10),상세표[기록월],대상월키,상세표[반영월],"&lt;&gt;"&amp;대상월키))</f>
        <v/>
      </c>
      <c r="J10" s="20">
        <f>IF($X10="","",SUMIFS(상세표[기록 시간외],상세표[사번키],INDEX(합계표[사번키],$X10),상세표[기록월],"&lt;&gt;"&amp;대상월키,상세표[반영월],대상월키))</f>
        <v/>
      </c>
      <c r="K10" s="20">
        <f>IF($X10="","",SUMIFS(상세표[기록 시간외],상세표[사번키],INDEX(합계표[사번키],$X10),상세표[반영월],대상월키))</f>
        <v/>
      </c>
      <c r="L10">
        <f>IF($X10="","",IFERROR(INDEX(월별근무지표[적용 급여병원],MATCH(INDEX(합계표[사번키],$X10)&amp;"|"&amp;대상월키,월별근무지표[키],0))&amp;"",IF(COUNTIF(기관표[사번키],INDEX(합계표[사번키],$X10))+COUNTIF(월별근무지표[사번키],INDEX(합계표[사번키],$X10))&gt;0,IFERROR(INDEX(기관표[급여지급병원(기준월)],MATCH(INDEX(합계표[사번키],$X10)&amp;"|"&amp;대상월키,기관표[키],0))&amp;"","—"),"—")))</f>
        <v/>
      </c>
      <c r="M10">
        <f>IF($X10="","",IF(NOT(COUNTIF(기관표[사번키],INDEX(합계표[사번키],$X10))+COUNTIF(월별근무지표[사번키],INDEX(합계표[사번키],$X10))&gt;0),"기관명단에 없음(다른 병원으로 발송)",IF($L10="서울병원","해당",IF(N($R10)&gt;0,"해당(말일 근무)",IF($L10="—","대상월 기관명단 없음(추가 필요)","비해당")))))</f>
        <v/>
      </c>
      <c r="N10" s="20">
        <f>IF($X10="","",SUMIFS(상세표[06~07시],상세표[사번키],INDEX(합계표[사번키],$X10),상세표[반영월],대상월키,상세표[반영 기관],"서울병원"))</f>
        <v/>
      </c>
      <c r="O10" s="20">
        <f>IF($X10="","",SUMIFS(상세표[07~18시],상세표[사번키],INDEX(합계표[사번키],$X10),상세표[반영월],대상월키,상세표[반영 기관],"서울병원"))</f>
        <v/>
      </c>
      <c r="P10" s="20">
        <f>IF($X10="","",SUMIFS(상세표[18~22시],상세표[사번키],INDEX(합계표[사번키],$X10),상세표[반영월],대상월키,상세표[반영 기관],"서울병원"))</f>
        <v/>
      </c>
      <c r="Q10" s="20">
        <f>IF($X10="","",SUMIFS(상세표[22~06시],상세표[사번키],INDEX(합계표[사번키],$X10),상세표[반영월],대상월키,상세표[반영 기관],"서울병원"))</f>
        <v/>
      </c>
      <c r="R10" s="20">
        <f>IF($X10="","",SUM($N10:$Q10))</f>
        <v/>
      </c>
      <c r="S10">
        <f>IF($X10="","",COUNTIFS(상세표[사번키],INDEX(합계표[사번키],$X10),상세표[반영월],대상월키,상세표[야간당직],1,상세표[야간 구분],"평일"))</f>
        <v/>
      </c>
      <c r="T10">
        <f>IF($X10="","",COUNTIFS(상세표[사번키],INDEX(합계표[사번키],$X10),상세표[반영월],대상월키,상세표[야간당직],1,상세표[야간 구분],"휴일"))</f>
        <v/>
      </c>
      <c r="U10">
        <f>IF($X10="","",COUNTIFS(상세표[사번키],INDEX(합계표[사번키],$X10),상세표[반영월],대상월키,상세표[야간당직],1,상세표[야간 구분],"평일",상세표[반영 기관],"서울병원"))</f>
        <v/>
      </c>
      <c r="V10">
        <f>IF($X10="","",COUNTIFS(상세표[사번키],INDEX(합계표[사번키],$X10),상세표[반영월],대상월키,상세표[야간당직],1,상세표[야간 구분],"휴일",상세표[반영 기관],"서울병원"))</f>
        <v/>
      </c>
      <c r="W10">
        <f>IF($X10="","",IF(ISNUMBER(MATCH(INDEX(합계표[사번키],$X10)&amp;"|"&amp;대상월키,월별근무지표[키],0)),"직접 입력",IF($L10="—","—","기관명단")))</f>
        <v/>
      </c>
      <c r="X10" s="4">
        <f>IFERROR(MATCH(5,합계표[판정순번],0),"")</f>
        <v/>
      </c>
      <c r="Z10">
        <f>IF($AC10="","",INDEX(상세표[사번],$AC10)&amp;"")</f>
        <v/>
      </c>
      <c r="AA10">
        <f>IF($AC10="","",INDEX(상세표[성명],$AC10)&amp;"")</f>
        <v/>
      </c>
      <c r="AB10" s="20">
        <f>IF($AC10="","",SUMIFS(상세표[기록 시간외],상세표[사번키],INDEX(상세표[사번키],$AC10),상세표[반영월],대상월키))</f>
        <v/>
      </c>
      <c r="AC10" s="4">
        <f>IFERROR(MATCH(5,상세표[합계없음순번],0),"")</f>
        <v/>
      </c>
    </row>
    <row r="11">
      <c r="A11">
        <f>IF($X11="","",INDEX(합계표[사번],$X11)&amp;"")</f>
        <v/>
      </c>
      <c r="B11">
        <f>IF($X11="","",INDEX(합계표[성명],$X11)&amp;"")</f>
        <v/>
      </c>
      <c r="C11">
        <f>IF($X11="","",INDEX(합계표[부서],$X11)&amp;"")</f>
        <v/>
      </c>
      <c r="D11">
        <f>IF($X11="","",INDEX(합계표[직위(요약)],$X11)&amp;"")</f>
        <v/>
      </c>
      <c r="E11">
        <f>IF($X11="","",INDEX(합계표[직급 공존],$X11)&amp;"")</f>
        <v/>
      </c>
      <c r="F11" s="20">
        <f>IF($X11="","",SUMIFS(합계표[시스템 합계],합계표[사번키],INDEX(합계표[사번키],$X11)))</f>
        <v/>
      </c>
      <c r="G11" s="20">
        <f>IF($X11="","",SUMIFS(상세표[기록 시간외],상세표[사번키],INDEX(합계표[사번키],$X11),상세표[기록월],대상월키))</f>
        <v/>
      </c>
      <c r="H11">
        <f>IF($X11="","",IF(ABS($F11-$G11)&lt;0.01,"일치","불일치(차이 "&amp;TEXT($G11-$F11,"0.00")&amp;")"))</f>
        <v/>
      </c>
      <c r="I11" s="20">
        <f>IF($X11="","",SUMIFS(상세표[기록 시간외],상세표[사번키],INDEX(합계표[사번키],$X11),상세표[기록월],대상월키,상세표[반영월],"&lt;&gt;"&amp;대상월키))</f>
        <v/>
      </c>
      <c r="J11" s="20">
        <f>IF($X11="","",SUMIFS(상세표[기록 시간외],상세표[사번키],INDEX(합계표[사번키],$X11),상세표[기록월],"&lt;&gt;"&amp;대상월키,상세표[반영월],대상월키))</f>
        <v/>
      </c>
      <c r="K11" s="20">
        <f>IF($X11="","",SUMIFS(상세표[기록 시간외],상세표[사번키],INDEX(합계표[사번키],$X11),상세표[반영월],대상월키))</f>
        <v/>
      </c>
      <c r="L11">
        <f>IF($X11="","",IFERROR(INDEX(월별근무지표[적용 급여병원],MATCH(INDEX(합계표[사번키],$X11)&amp;"|"&amp;대상월키,월별근무지표[키],0))&amp;"",IF(COUNTIF(기관표[사번키],INDEX(합계표[사번키],$X11))+COUNTIF(월별근무지표[사번키],INDEX(합계표[사번키],$X11))&gt;0,IFERROR(INDEX(기관표[급여지급병원(기준월)],MATCH(INDEX(합계표[사번키],$X11)&amp;"|"&amp;대상월키,기관표[키],0))&amp;"","—"),"—")))</f>
        <v/>
      </c>
      <c r="M11">
        <f>IF($X11="","",IF(NOT(COUNTIF(기관표[사번키],INDEX(합계표[사번키],$X11))+COUNTIF(월별근무지표[사번키],INDEX(합계표[사번키],$X11))&gt;0),"기관명단에 없음(다른 병원으로 발송)",IF($L11="서울병원","해당",IF(N($R11)&gt;0,"해당(말일 근무)",IF($L11="—","대상월 기관명단 없음(추가 필요)","비해당")))))</f>
        <v/>
      </c>
      <c r="N11" s="20">
        <f>IF($X11="","",SUMIFS(상세표[06~07시],상세표[사번키],INDEX(합계표[사번키],$X11),상세표[반영월],대상월키,상세표[반영 기관],"서울병원"))</f>
        <v/>
      </c>
      <c r="O11" s="20">
        <f>IF($X11="","",SUMIFS(상세표[07~18시],상세표[사번키],INDEX(합계표[사번키],$X11),상세표[반영월],대상월키,상세표[반영 기관],"서울병원"))</f>
        <v/>
      </c>
      <c r="P11" s="20">
        <f>IF($X11="","",SUMIFS(상세표[18~22시],상세표[사번키],INDEX(합계표[사번키],$X11),상세표[반영월],대상월키,상세표[반영 기관],"서울병원"))</f>
        <v/>
      </c>
      <c r="Q11" s="20">
        <f>IF($X11="","",SUMIFS(상세표[22~06시],상세표[사번키],INDEX(합계표[사번키],$X11),상세표[반영월],대상월키,상세표[반영 기관],"서울병원"))</f>
        <v/>
      </c>
      <c r="R11" s="20">
        <f>IF($X11="","",SUM($N11:$Q11))</f>
        <v/>
      </c>
      <c r="S11">
        <f>IF($X11="","",COUNTIFS(상세표[사번키],INDEX(합계표[사번키],$X11),상세표[반영월],대상월키,상세표[야간당직],1,상세표[야간 구분],"평일"))</f>
        <v/>
      </c>
      <c r="T11">
        <f>IF($X11="","",COUNTIFS(상세표[사번키],INDEX(합계표[사번키],$X11),상세표[반영월],대상월키,상세표[야간당직],1,상세표[야간 구분],"휴일"))</f>
        <v/>
      </c>
      <c r="U11">
        <f>IF($X11="","",COUNTIFS(상세표[사번키],INDEX(합계표[사번키],$X11),상세표[반영월],대상월키,상세표[야간당직],1,상세표[야간 구분],"평일",상세표[반영 기관],"서울병원"))</f>
        <v/>
      </c>
      <c r="V11">
        <f>IF($X11="","",COUNTIFS(상세표[사번키],INDEX(합계표[사번키],$X11),상세표[반영월],대상월키,상세표[야간당직],1,상세표[야간 구분],"휴일",상세표[반영 기관],"서울병원"))</f>
        <v/>
      </c>
      <c r="W11">
        <f>IF($X11="","",IF(ISNUMBER(MATCH(INDEX(합계표[사번키],$X11)&amp;"|"&amp;대상월키,월별근무지표[키],0)),"직접 입력",IF($L11="—","—","기관명단")))</f>
        <v/>
      </c>
      <c r="X11" s="4">
        <f>IFERROR(MATCH(6,합계표[판정순번],0),"")</f>
        <v/>
      </c>
      <c r="Z11">
        <f>IF($AC11="","",INDEX(상세표[사번],$AC11)&amp;"")</f>
        <v/>
      </c>
      <c r="AA11">
        <f>IF($AC11="","",INDEX(상세표[성명],$AC11)&amp;"")</f>
        <v/>
      </c>
      <c r="AB11" s="20">
        <f>IF($AC11="","",SUMIFS(상세표[기록 시간외],상세표[사번키],INDEX(상세표[사번키],$AC11),상세표[반영월],대상월키))</f>
        <v/>
      </c>
      <c r="AC11" s="4">
        <f>IFERROR(MATCH(6,상세표[합계없음순번],0),"")</f>
        <v/>
      </c>
    </row>
    <row r="12">
      <c r="A12">
        <f>IF($X12="","",INDEX(합계표[사번],$X12)&amp;"")</f>
        <v/>
      </c>
      <c r="B12">
        <f>IF($X12="","",INDEX(합계표[성명],$X12)&amp;"")</f>
        <v/>
      </c>
      <c r="C12">
        <f>IF($X12="","",INDEX(합계표[부서],$X12)&amp;"")</f>
        <v/>
      </c>
      <c r="D12">
        <f>IF($X12="","",INDEX(합계표[직위(요약)],$X12)&amp;"")</f>
        <v/>
      </c>
      <c r="E12">
        <f>IF($X12="","",INDEX(합계표[직급 공존],$X12)&amp;"")</f>
        <v/>
      </c>
      <c r="F12" s="20">
        <f>IF($X12="","",SUMIFS(합계표[시스템 합계],합계표[사번키],INDEX(합계표[사번키],$X12)))</f>
        <v/>
      </c>
      <c r="G12" s="20">
        <f>IF($X12="","",SUMIFS(상세표[기록 시간외],상세표[사번키],INDEX(합계표[사번키],$X12),상세표[기록월],대상월키))</f>
        <v/>
      </c>
      <c r="H12">
        <f>IF($X12="","",IF(ABS($F12-$G12)&lt;0.01,"일치","불일치(차이 "&amp;TEXT($G12-$F12,"0.00")&amp;")"))</f>
        <v/>
      </c>
      <c r="I12" s="20">
        <f>IF($X12="","",SUMIFS(상세표[기록 시간외],상세표[사번키],INDEX(합계표[사번키],$X12),상세표[기록월],대상월키,상세표[반영월],"&lt;&gt;"&amp;대상월키))</f>
        <v/>
      </c>
      <c r="J12" s="20">
        <f>IF($X12="","",SUMIFS(상세표[기록 시간외],상세표[사번키],INDEX(합계표[사번키],$X12),상세표[기록월],"&lt;&gt;"&amp;대상월키,상세표[반영월],대상월키))</f>
        <v/>
      </c>
      <c r="K12" s="20">
        <f>IF($X12="","",SUMIFS(상세표[기록 시간외],상세표[사번키],INDEX(합계표[사번키],$X12),상세표[반영월],대상월키))</f>
        <v/>
      </c>
      <c r="L12">
        <f>IF($X12="","",IFERROR(INDEX(월별근무지표[적용 급여병원],MATCH(INDEX(합계표[사번키],$X12)&amp;"|"&amp;대상월키,월별근무지표[키],0))&amp;"",IF(COUNTIF(기관표[사번키],INDEX(합계표[사번키],$X12))+COUNTIF(월별근무지표[사번키],INDEX(합계표[사번키],$X12))&gt;0,IFERROR(INDEX(기관표[급여지급병원(기준월)],MATCH(INDEX(합계표[사번키],$X12)&amp;"|"&amp;대상월키,기관표[키],0))&amp;"","—"),"—")))</f>
        <v/>
      </c>
      <c r="M12">
        <f>IF($X12="","",IF(NOT(COUNTIF(기관표[사번키],INDEX(합계표[사번키],$X12))+COUNTIF(월별근무지표[사번키],INDEX(합계표[사번키],$X12))&gt;0),"기관명단에 없음(다른 병원으로 발송)",IF($L12="서울병원","해당",IF(N($R12)&gt;0,"해당(말일 근무)",IF($L12="—","대상월 기관명단 없음(추가 필요)","비해당")))))</f>
        <v/>
      </c>
      <c r="N12" s="20">
        <f>IF($X12="","",SUMIFS(상세표[06~07시],상세표[사번키],INDEX(합계표[사번키],$X12),상세표[반영월],대상월키,상세표[반영 기관],"서울병원"))</f>
        <v/>
      </c>
      <c r="O12" s="20">
        <f>IF($X12="","",SUMIFS(상세표[07~18시],상세표[사번키],INDEX(합계표[사번키],$X12),상세표[반영월],대상월키,상세표[반영 기관],"서울병원"))</f>
        <v/>
      </c>
      <c r="P12" s="20">
        <f>IF($X12="","",SUMIFS(상세표[18~22시],상세표[사번키],INDEX(합계표[사번키],$X12),상세표[반영월],대상월키,상세표[반영 기관],"서울병원"))</f>
        <v/>
      </c>
      <c r="Q12" s="20">
        <f>IF($X12="","",SUMIFS(상세표[22~06시],상세표[사번키],INDEX(합계표[사번키],$X12),상세표[반영월],대상월키,상세표[반영 기관],"서울병원"))</f>
        <v/>
      </c>
      <c r="R12" s="20">
        <f>IF($X12="","",SUM($N12:$Q12))</f>
        <v/>
      </c>
      <c r="S12">
        <f>IF($X12="","",COUNTIFS(상세표[사번키],INDEX(합계표[사번키],$X12),상세표[반영월],대상월키,상세표[야간당직],1,상세표[야간 구분],"평일"))</f>
        <v/>
      </c>
      <c r="T12">
        <f>IF($X12="","",COUNTIFS(상세표[사번키],INDEX(합계표[사번키],$X12),상세표[반영월],대상월키,상세표[야간당직],1,상세표[야간 구분],"휴일"))</f>
        <v/>
      </c>
      <c r="U12">
        <f>IF($X12="","",COUNTIFS(상세표[사번키],INDEX(합계표[사번키],$X12),상세표[반영월],대상월키,상세표[야간당직],1,상세표[야간 구분],"평일",상세표[반영 기관],"서울병원"))</f>
        <v/>
      </c>
      <c r="V12">
        <f>IF($X12="","",COUNTIFS(상세표[사번키],INDEX(합계표[사번키],$X12),상세표[반영월],대상월키,상세표[야간당직],1,상세표[야간 구분],"휴일",상세표[반영 기관],"서울병원"))</f>
        <v/>
      </c>
      <c r="W12">
        <f>IF($X12="","",IF(ISNUMBER(MATCH(INDEX(합계표[사번키],$X12)&amp;"|"&amp;대상월키,월별근무지표[키],0)),"직접 입력",IF($L12="—","—","기관명단")))</f>
        <v/>
      </c>
      <c r="X12" s="4">
        <f>IFERROR(MATCH(7,합계표[판정순번],0),"")</f>
        <v/>
      </c>
      <c r="Z12">
        <f>IF($AC12="","",INDEX(상세표[사번],$AC12)&amp;"")</f>
        <v/>
      </c>
      <c r="AA12">
        <f>IF($AC12="","",INDEX(상세표[성명],$AC12)&amp;"")</f>
        <v/>
      </c>
      <c r="AB12" s="20">
        <f>IF($AC12="","",SUMIFS(상세표[기록 시간외],상세표[사번키],INDEX(상세표[사번키],$AC12),상세표[반영월],대상월키))</f>
        <v/>
      </c>
      <c r="AC12" s="4">
        <f>IFERROR(MATCH(7,상세표[합계없음순번],0),"")</f>
        <v/>
      </c>
    </row>
    <row r="13">
      <c r="A13">
        <f>IF($X13="","",INDEX(합계표[사번],$X13)&amp;"")</f>
        <v/>
      </c>
      <c r="B13">
        <f>IF($X13="","",INDEX(합계표[성명],$X13)&amp;"")</f>
        <v/>
      </c>
      <c r="C13">
        <f>IF($X13="","",INDEX(합계표[부서],$X13)&amp;"")</f>
        <v/>
      </c>
      <c r="D13">
        <f>IF($X13="","",INDEX(합계표[직위(요약)],$X13)&amp;"")</f>
        <v/>
      </c>
      <c r="E13">
        <f>IF($X13="","",INDEX(합계표[직급 공존],$X13)&amp;"")</f>
        <v/>
      </c>
      <c r="F13" s="20">
        <f>IF($X13="","",SUMIFS(합계표[시스템 합계],합계표[사번키],INDEX(합계표[사번키],$X13)))</f>
        <v/>
      </c>
      <c r="G13" s="20">
        <f>IF($X13="","",SUMIFS(상세표[기록 시간외],상세표[사번키],INDEX(합계표[사번키],$X13),상세표[기록월],대상월키))</f>
        <v/>
      </c>
      <c r="H13">
        <f>IF($X13="","",IF(ABS($F13-$G13)&lt;0.01,"일치","불일치(차이 "&amp;TEXT($G13-$F13,"0.00")&amp;")"))</f>
        <v/>
      </c>
      <c r="I13" s="20">
        <f>IF($X13="","",SUMIFS(상세표[기록 시간외],상세표[사번키],INDEX(합계표[사번키],$X13),상세표[기록월],대상월키,상세표[반영월],"&lt;&gt;"&amp;대상월키))</f>
        <v/>
      </c>
      <c r="J13" s="20">
        <f>IF($X13="","",SUMIFS(상세표[기록 시간외],상세표[사번키],INDEX(합계표[사번키],$X13),상세표[기록월],"&lt;&gt;"&amp;대상월키,상세표[반영월],대상월키))</f>
        <v/>
      </c>
      <c r="K13" s="20">
        <f>IF($X13="","",SUMIFS(상세표[기록 시간외],상세표[사번키],INDEX(합계표[사번키],$X13),상세표[반영월],대상월키))</f>
        <v/>
      </c>
      <c r="L13">
        <f>IF($X13="","",IFERROR(INDEX(월별근무지표[적용 급여병원],MATCH(INDEX(합계표[사번키],$X13)&amp;"|"&amp;대상월키,월별근무지표[키],0))&amp;"",IF(COUNTIF(기관표[사번키],INDEX(합계표[사번키],$X13))+COUNTIF(월별근무지표[사번키],INDEX(합계표[사번키],$X13))&gt;0,IFERROR(INDEX(기관표[급여지급병원(기준월)],MATCH(INDEX(합계표[사번키],$X13)&amp;"|"&amp;대상월키,기관표[키],0))&amp;"","—"),"—")))</f>
        <v/>
      </c>
      <c r="M13">
        <f>IF($X13="","",IF(NOT(COUNTIF(기관표[사번키],INDEX(합계표[사번키],$X13))+COUNTIF(월별근무지표[사번키],INDEX(합계표[사번키],$X13))&gt;0),"기관명단에 없음(다른 병원으로 발송)",IF($L13="서울병원","해당",IF(N($R13)&gt;0,"해당(말일 근무)",IF($L13="—","대상월 기관명단 없음(추가 필요)","비해당")))))</f>
        <v/>
      </c>
      <c r="N13" s="20">
        <f>IF($X13="","",SUMIFS(상세표[06~07시],상세표[사번키],INDEX(합계표[사번키],$X13),상세표[반영월],대상월키,상세표[반영 기관],"서울병원"))</f>
        <v/>
      </c>
      <c r="O13" s="20">
        <f>IF($X13="","",SUMIFS(상세표[07~18시],상세표[사번키],INDEX(합계표[사번키],$X13),상세표[반영월],대상월키,상세표[반영 기관],"서울병원"))</f>
        <v/>
      </c>
      <c r="P13" s="20">
        <f>IF($X13="","",SUMIFS(상세표[18~22시],상세표[사번키],INDEX(합계표[사번키],$X13),상세표[반영월],대상월키,상세표[반영 기관],"서울병원"))</f>
        <v/>
      </c>
      <c r="Q13" s="20">
        <f>IF($X13="","",SUMIFS(상세표[22~06시],상세표[사번키],INDEX(합계표[사번키],$X13),상세표[반영월],대상월키,상세표[반영 기관],"서울병원"))</f>
        <v/>
      </c>
      <c r="R13" s="20">
        <f>IF($X13="","",SUM($N13:$Q13))</f>
        <v/>
      </c>
      <c r="S13">
        <f>IF($X13="","",COUNTIFS(상세표[사번키],INDEX(합계표[사번키],$X13),상세표[반영월],대상월키,상세표[야간당직],1,상세표[야간 구분],"평일"))</f>
        <v/>
      </c>
      <c r="T13">
        <f>IF($X13="","",COUNTIFS(상세표[사번키],INDEX(합계표[사번키],$X13),상세표[반영월],대상월키,상세표[야간당직],1,상세표[야간 구분],"휴일"))</f>
        <v/>
      </c>
      <c r="U13">
        <f>IF($X13="","",COUNTIFS(상세표[사번키],INDEX(합계표[사번키],$X13),상세표[반영월],대상월키,상세표[야간당직],1,상세표[야간 구분],"평일",상세표[반영 기관],"서울병원"))</f>
        <v/>
      </c>
      <c r="V13">
        <f>IF($X13="","",COUNTIFS(상세표[사번키],INDEX(합계표[사번키],$X13),상세표[반영월],대상월키,상세표[야간당직],1,상세표[야간 구분],"휴일",상세표[반영 기관],"서울병원"))</f>
        <v/>
      </c>
      <c r="W13">
        <f>IF($X13="","",IF(ISNUMBER(MATCH(INDEX(합계표[사번키],$X13)&amp;"|"&amp;대상월키,월별근무지표[키],0)),"직접 입력",IF($L13="—","—","기관명단")))</f>
        <v/>
      </c>
      <c r="X13" s="4">
        <f>IFERROR(MATCH(8,합계표[판정순번],0),"")</f>
        <v/>
      </c>
      <c r="Z13">
        <f>IF($AC13="","",INDEX(상세표[사번],$AC13)&amp;"")</f>
        <v/>
      </c>
      <c r="AA13">
        <f>IF($AC13="","",INDEX(상세표[성명],$AC13)&amp;"")</f>
        <v/>
      </c>
      <c r="AB13" s="20">
        <f>IF($AC13="","",SUMIFS(상세표[기록 시간외],상세표[사번키],INDEX(상세표[사번키],$AC13),상세표[반영월],대상월키))</f>
        <v/>
      </c>
      <c r="AC13" s="4">
        <f>IFERROR(MATCH(8,상세표[합계없음순번],0),"")</f>
        <v/>
      </c>
    </row>
    <row r="14">
      <c r="A14">
        <f>IF($X14="","",INDEX(합계표[사번],$X14)&amp;"")</f>
        <v/>
      </c>
      <c r="B14">
        <f>IF($X14="","",INDEX(합계표[성명],$X14)&amp;"")</f>
        <v/>
      </c>
      <c r="C14">
        <f>IF($X14="","",INDEX(합계표[부서],$X14)&amp;"")</f>
        <v/>
      </c>
      <c r="D14">
        <f>IF($X14="","",INDEX(합계표[직위(요약)],$X14)&amp;"")</f>
        <v/>
      </c>
      <c r="E14">
        <f>IF($X14="","",INDEX(합계표[직급 공존],$X14)&amp;"")</f>
        <v/>
      </c>
      <c r="F14" s="20">
        <f>IF($X14="","",SUMIFS(합계표[시스템 합계],합계표[사번키],INDEX(합계표[사번키],$X14)))</f>
        <v/>
      </c>
      <c r="G14" s="20">
        <f>IF($X14="","",SUMIFS(상세표[기록 시간외],상세표[사번키],INDEX(합계표[사번키],$X14),상세표[기록월],대상월키))</f>
        <v/>
      </c>
      <c r="H14">
        <f>IF($X14="","",IF(ABS($F14-$G14)&lt;0.01,"일치","불일치(차이 "&amp;TEXT($G14-$F14,"0.00")&amp;")"))</f>
        <v/>
      </c>
      <c r="I14" s="20">
        <f>IF($X14="","",SUMIFS(상세표[기록 시간외],상세표[사번키],INDEX(합계표[사번키],$X14),상세표[기록월],대상월키,상세표[반영월],"&lt;&gt;"&amp;대상월키))</f>
        <v/>
      </c>
      <c r="J14" s="20">
        <f>IF($X14="","",SUMIFS(상세표[기록 시간외],상세표[사번키],INDEX(합계표[사번키],$X14),상세표[기록월],"&lt;&gt;"&amp;대상월키,상세표[반영월],대상월키))</f>
        <v/>
      </c>
      <c r="K14" s="20">
        <f>IF($X14="","",SUMIFS(상세표[기록 시간외],상세표[사번키],INDEX(합계표[사번키],$X14),상세표[반영월],대상월키))</f>
        <v/>
      </c>
      <c r="L14">
        <f>IF($X14="","",IFERROR(INDEX(월별근무지표[적용 급여병원],MATCH(INDEX(합계표[사번키],$X14)&amp;"|"&amp;대상월키,월별근무지표[키],0))&amp;"",IF(COUNTIF(기관표[사번키],INDEX(합계표[사번키],$X14))+COUNTIF(월별근무지표[사번키],INDEX(합계표[사번키],$X14))&gt;0,IFERROR(INDEX(기관표[급여지급병원(기준월)],MATCH(INDEX(합계표[사번키],$X14)&amp;"|"&amp;대상월키,기관표[키],0))&amp;"","—"),"—")))</f>
        <v/>
      </c>
      <c r="M14">
        <f>IF($X14="","",IF(NOT(COUNTIF(기관표[사번키],INDEX(합계표[사번키],$X14))+COUNTIF(월별근무지표[사번키],INDEX(합계표[사번키],$X14))&gt;0),"기관명단에 없음(다른 병원으로 발송)",IF($L14="서울병원","해당",IF(N($R14)&gt;0,"해당(말일 근무)",IF($L14="—","대상월 기관명단 없음(추가 필요)","비해당")))))</f>
        <v/>
      </c>
      <c r="N14" s="20">
        <f>IF($X14="","",SUMIFS(상세표[06~07시],상세표[사번키],INDEX(합계표[사번키],$X14),상세표[반영월],대상월키,상세표[반영 기관],"서울병원"))</f>
        <v/>
      </c>
      <c r="O14" s="20">
        <f>IF($X14="","",SUMIFS(상세표[07~18시],상세표[사번키],INDEX(합계표[사번키],$X14),상세표[반영월],대상월키,상세표[반영 기관],"서울병원"))</f>
        <v/>
      </c>
      <c r="P14" s="20">
        <f>IF($X14="","",SUMIFS(상세표[18~22시],상세표[사번키],INDEX(합계표[사번키],$X14),상세표[반영월],대상월키,상세표[반영 기관],"서울병원"))</f>
        <v/>
      </c>
      <c r="Q14" s="20">
        <f>IF($X14="","",SUMIFS(상세표[22~06시],상세표[사번키],INDEX(합계표[사번키],$X14),상세표[반영월],대상월키,상세표[반영 기관],"서울병원"))</f>
        <v/>
      </c>
      <c r="R14" s="20">
        <f>IF($X14="","",SUM($N14:$Q14))</f>
        <v/>
      </c>
      <c r="S14">
        <f>IF($X14="","",COUNTIFS(상세표[사번키],INDEX(합계표[사번키],$X14),상세표[반영월],대상월키,상세표[야간당직],1,상세표[야간 구분],"평일"))</f>
        <v/>
      </c>
      <c r="T14">
        <f>IF($X14="","",COUNTIFS(상세표[사번키],INDEX(합계표[사번키],$X14),상세표[반영월],대상월키,상세표[야간당직],1,상세표[야간 구분],"휴일"))</f>
        <v/>
      </c>
      <c r="U14">
        <f>IF($X14="","",COUNTIFS(상세표[사번키],INDEX(합계표[사번키],$X14),상세표[반영월],대상월키,상세표[야간당직],1,상세표[야간 구분],"평일",상세표[반영 기관],"서울병원"))</f>
        <v/>
      </c>
      <c r="V14">
        <f>IF($X14="","",COUNTIFS(상세표[사번키],INDEX(합계표[사번키],$X14),상세표[반영월],대상월키,상세표[야간당직],1,상세표[야간 구분],"휴일",상세표[반영 기관],"서울병원"))</f>
        <v/>
      </c>
      <c r="W14">
        <f>IF($X14="","",IF(ISNUMBER(MATCH(INDEX(합계표[사번키],$X14)&amp;"|"&amp;대상월키,월별근무지표[키],0)),"직접 입력",IF($L14="—","—","기관명단")))</f>
        <v/>
      </c>
      <c r="X14" s="4">
        <f>IFERROR(MATCH(9,합계표[판정순번],0),"")</f>
        <v/>
      </c>
      <c r="Z14">
        <f>IF($AC14="","",INDEX(상세표[사번],$AC14)&amp;"")</f>
        <v/>
      </c>
      <c r="AA14">
        <f>IF($AC14="","",INDEX(상세표[성명],$AC14)&amp;"")</f>
        <v/>
      </c>
      <c r="AB14" s="20">
        <f>IF($AC14="","",SUMIFS(상세표[기록 시간외],상세표[사번키],INDEX(상세표[사번키],$AC14),상세표[반영월],대상월키))</f>
        <v/>
      </c>
      <c r="AC14" s="4">
        <f>IFERROR(MATCH(9,상세표[합계없음순번],0),"")</f>
        <v/>
      </c>
    </row>
    <row r="15">
      <c r="A15">
        <f>IF($X15="","",INDEX(합계표[사번],$X15)&amp;"")</f>
        <v/>
      </c>
      <c r="B15">
        <f>IF($X15="","",INDEX(합계표[성명],$X15)&amp;"")</f>
        <v/>
      </c>
      <c r="C15">
        <f>IF($X15="","",INDEX(합계표[부서],$X15)&amp;"")</f>
        <v/>
      </c>
      <c r="D15">
        <f>IF($X15="","",INDEX(합계표[직위(요약)],$X15)&amp;"")</f>
        <v/>
      </c>
      <c r="E15">
        <f>IF($X15="","",INDEX(합계표[직급 공존],$X15)&amp;"")</f>
        <v/>
      </c>
      <c r="F15" s="20">
        <f>IF($X15="","",SUMIFS(합계표[시스템 합계],합계표[사번키],INDEX(합계표[사번키],$X15)))</f>
        <v/>
      </c>
      <c r="G15" s="20">
        <f>IF($X15="","",SUMIFS(상세표[기록 시간외],상세표[사번키],INDEX(합계표[사번키],$X15),상세표[기록월],대상월키))</f>
        <v/>
      </c>
      <c r="H15">
        <f>IF($X15="","",IF(ABS($F15-$G15)&lt;0.01,"일치","불일치(차이 "&amp;TEXT($G15-$F15,"0.00")&amp;")"))</f>
        <v/>
      </c>
      <c r="I15" s="20">
        <f>IF($X15="","",SUMIFS(상세표[기록 시간외],상세표[사번키],INDEX(합계표[사번키],$X15),상세표[기록월],대상월키,상세표[반영월],"&lt;&gt;"&amp;대상월키))</f>
        <v/>
      </c>
      <c r="J15" s="20">
        <f>IF($X15="","",SUMIFS(상세표[기록 시간외],상세표[사번키],INDEX(합계표[사번키],$X15),상세표[기록월],"&lt;&gt;"&amp;대상월키,상세표[반영월],대상월키))</f>
        <v/>
      </c>
      <c r="K15" s="20">
        <f>IF($X15="","",SUMIFS(상세표[기록 시간외],상세표[사번키],INDEX(합계표[사번키],$X15),상세표[반영월],대상월키))</f>
        <v/>
      </c>
      <c r="L15">
        <f>IF($X15="","",IFERROR(INDEX(월별근무지표[적용 급여병원],MATCH(INDEX(합계표[사번키],$X15)&amp;"|"&amp;대상월키,월별근무지표[키],0))&amp;"",IF(COUNTIF(기관표[사번키],INDEX(합계표[사번키],$X15))+COUNTIF(월별근무지표[사번키],INDEX(합계표[사번키],$X15))&gt;0,IFERROR(INDEX(기관표[급여지급병원(기준월)],MATCH(INDEX(합계표[사번키],$X15)&amp;"|"&amp;대상월키,기관표[키],0))&amp;"","—"),"—")))</f>
        <v/>
      </c>
      <c r="M15">
        <f>IF($X15="","",IF(NOT(COUNTIF(기관표[사번키],INDEX(합계표[사번키],$X15))+COUNTIF(월별근무지표[사번키],INDEX(합계표[사번키],$X15))&gt;0),"기관명단에 없음(다른 병원으로 발송)",IF($L15="서울병원","해당",IF(N($R15)&gt;0,"해당(말일 근무)",IF($L15="—","대상월 기관명단 없음(추가 필요)","비해당")))))</f>
        <v/>
      </c>
      <c r="N15" s="20">
        <f>IF($X15="","",SUMIFS(상세표[06~07시],상세표[사번키],INDEX(합계표[사번키],$X15),상세표[반영월],대상월키,상세표[반영 기관],"서울병원"))</f>
        <v/>
      </c>
      <c r="O15" s="20">
        <f>IF($X15="","",SUMIFS(상세표[07~18시],상세표[사번키],INDEX(합계표[사번키],$X15),상세표[반영월],대상월키,상세표[반영 기관],"서울병원"))</f>
        <v/>
      </c>
      <c r="P15" s="20">
        <f>IF($X15="","",SUMIFS(상세표[18~22시],상세표[사번키],INDEX(합계표[사번키],$X15),상세표[반영월],대상월키,상세표[반영 기관],"서울병원"))</f>
        <v/>
      </c>
      <c r="Q15" s="20">
        <f>IF($X15="","",SUMIFS(상세표[22~06시],상세표[사번키],INDEX(합계표[사번키],$X15),상세표[반영월],대상월키,상세표[반영 기관],"서울병원"))</f>
        <v/>
      </c>
      <c r="R15" s="20">
        <f>IF($X15="","",SUM($N15:$Q15))</f>
        <v/>
      </c>
      <c r="S15">
        <f>IF($X15="","",COUNTIFS(상세표[사번키],INDEX(합계표[사번키],$X15),상세표[반영월],대상월키,상세표[야간당직],1,상세표[야간 구분],"평일"))</f>
        <v/>
      </c>
      <c r="T15">
        <f>IF($X15="","",COUNTIFS(상세표[사번키],INDEX(합계표[사번키],$X15),상세표[반영월],대상월키,상세표[야간당직],1,상세표[야간 구분],"휴일"))</f>
        <v/>
      </c>
      <c r="U15">
        <f>IF($X15="","",COUNTIFS(상세표[사번키],INDEX(합계표[사번키],$X15),상세표[반영월],대상월키,상세표[야간당직],1,상세표[야간 구분],"평일",상세표[반영 기관],"서울병원"))</f>
        <v/>
      </c>
      <c r="V15">
        <f>IF($X15="","",COUNTIFS(상세표[사번키],INDEX(합계표[사번키],$X15),상세표[반영월],대상월키,상세표[야간당직],1,상세표[야간 구분],"휴일",상세표[반영 기관],"서울병원"))</f>
        <v/>
      </c>
      <c r="W15">
        <f>IF($X15="","",IF(ISNUMBER(MATCH(INDEX(합계표[사번키],$X15)&amp;"|"&amp;대상월키,월별근무지표[키],0)),"직접 입력",IF($L15="—","—","기관명단")))</f>
        <v/>
      </c>
      <c r="X15" s="4">
        <f>IFERROR(MATCH(10,합계표[판정순번],0),"")</f>
        <v/>
      </c>
      <c r="Z15">
        <f>IF($AC15="","",INDEX(상세표[사번],$AC15)&amp;"")</f>
        <v/>
      </c>
      <c r="AA15">
        <f>IF($AC15="","",INDEX(상세표[성명],$AC15)&amp;"")</f>
        <v/>
      </c>
      <c r="AB15" s="20">
        <f>IF($AC15="","",SUMIFS(상세표[기록 시간외],상세표[사번키],INDEX(상세표[사번키],$AC15),상세표[반영월],대상월키))</f>
        <v/>
      </c>
      <c r="AC15" s="4">
        <f>IFERROR(MATCH(10,상세표[합계없음순번],0),"")</f>
        <v/>
      </c>
    </row>
    <row r="16">
      <c r="A16">
        <f>IF($X16="","",INDEX(합계표[사번],$X16)&amp;"")</f>
        <v/>
      </c>
      <c r="B16">
        <f>IF($X16="","",INDEX(합계표[성명],$X16)&amp;"")</f>
        <v/>
      </c>
      <c r="C16">
        <f>IF($X16="","",INDEX(합계표[부서],$X16)&amp;"")</f>
        <v/>
      </c>
      <c r="D16">
        <f>IF($X16="","",INDEX(합계표[직위(요약)],$X16)&amp;"")</f>
        <v/>
      </c>
      <c r="E16">
        <f>IF($X16="","",INDEX(합계표[직급 공존],$X16)&amp;"")</f>
        <v/>
      </c>
      <c r="F16" s="20">
        <f>IF($X16="","",SUMIFS(합계표[시스템 합계],합계표[사번키],INDEX(합계표[사번키],$X16)))</f>
        <v/>
      </c>
      <c r="G16" s="20">
        <f>IF($X16="","",SUMIFS(상세표[기록 시간외],상세표[사번키],INDEX(합계표[사번키],$X16),상세표[기록월],대상월키))</f>
        <v/>
      </c>
      <c r="H16">
        <f>IF($X16="","",IF(ABS($F16-$G16)&lt;0.01,"일치","불일치(차이 "&amp;TEXT($G16-$F16,"0.00")&amp;")"))</f>
        <v/>
      </c>
      <c r="I16" s="20">
        <f>IF($X16="","",SUMIFS(상세표[기록 시간외],상세표[사번키],INDEX(합계표[사번키],$X16),상세표[기록월],대상월키,상세표[반영월],"&lt;&gt;"&amp;대상월키))</f>
        <v/>
      </c>
      <c r="J16" s="20">
        <f>IF($X16="","",SUMIFS(상세표[기록 시간외],상세표[사번키],INDEX(합계표[사번키],$X16),상세표[기록월],"&lt;&gt;"&amp;대상월키,상세표[반영월],대상월키))</f>
        <v/>
      </c>
      <c r="K16" s="20">
        <f>IF($X16="","",SUMIFS(상세표[기록 시간외],상세표[사번키],INDEX(합계표[사번키],$X16),상세표[반영월],대상월키))</f>
        <v/>
      </c>
      <c r="L16">
        <f>IF($X16="","",IFERROR(INDEX(월별근무지표[적용 급여병원],MATCH(INDEX(합계표[사번키],$X16)&amp;"|"&amp;대상월키,월별근무지표[키],0))&amp;"",IF(COUNTIF(기관표[사번키],INDEX(합계표[사번키],$X16))+COUNTIF(월별근무지표[사번키],INDEX(합계표[사번키],$X16))&gt;0,IFERROR(INDEX(기관표[급여지급병원(기준월)],MATCH(INDEX(합계표[사번키],$X16)&amp;"|"&amp;대상월키,기관표[키],0))&amp;"","—"),"—")))</f>
        <v/>
      </c>
      <c r="M16">
        <f>IF($X16="","",IF(NOT(COUNTIF(기관표[사번키],INDEX(합계표[사번키],$X16))+COUNTIF(월별근무지표[사번키],INDEX(합계표[사번키],$X16))&gt;0),"기관명단에 없음(다른 병원으로 발송)",IF($L16="서울병원","해당",IF(N($R16)&gt;0,"해당(말일 근무)",IF($L16="—","대상월 기관명단 없음(추가 필요)","비해당")))))</f>
        <v/>
      </c>
      <c r="N16" s="20">
        <f>IF($X16="","",SUMIFS(상세표[06~07시],상세표[사번키],INDEX(합계표[사번키],$X16),상세표[반영월],대상월키,상세표[반영 기관],"서울병원"))</f>
        <v/>
      </c>
      <c r="O16" s="20">
        <f>IF($X16="","",SUMIFS(상세표[07~18시],상세표[사번키],INDEX(합계표[사번키],$X16),상세표[반영월],대상월키,상세표[반영 기관],"서울병원"))</f>
        <v/>
      </c>
      <c r="P16" s="20">
        <f>IF($X16="","",SUMIFS(상세표[18~22시],상세표[사번키],INDEX(합계표[사번키],$X16),상세표[반영월],대상월키,상세표[반영 기관],"서울병원"))</f>
        <v/>
      </c>
      <c r="Q16" s="20">
        <f>IF($X16="","",SUMIFS(상세표[22~06시],상세표[사번키],INDEX(합계표[사번키],$X16),상세표[반영월],대상월키,상세표[반영 기관],"서울병원"))</f>
        <v/>
      </c>
      <c r="R16" s="20">
        <f>IF($X16="","",SUM($N16:$Q16))</f>
        <v/>
      </c>
      <c r="S16">
        <f>IF($X16="","",COUNTIFS(상세표[사번키],INDEX(합계표[사번키],$X16),상세표[반영월],대상월키,상세표[야간당직],1,상세표[야간 구분],"평일"))</f>
        <v/>
      </c>
      <c r="T16">
        <f>IF($X16="","",COUNTIFS(상세표[사번키],INDEX(합계표[사번키],$X16),상세표[반영월],대상월키,상세표[야간당직],1,상세표[야간 구분],"휴일"))</f>
        <v/>
      </c>
      <c r="U16">
        <f>IF($X16="","",COUNTIFS(상세표[사번키],INDEX(합계표[사번키],$X16),상세표[반영월],대상월키,상세표[야간당직],1,상세표[야간 구분],"평일",상세표[반영 기관],"서울병원"))</f>
        <v/>
      </c>
      <c r="V16">
        <f>IF($X16="","",COUNTIFS(상세표[사번키],INDEX(합계표[사번키],$X16),상세표[반영월],대상월키,상세표[야간당직],1,상세표[야간 구분],"휴일",상세표[반영 기관],"서울병원"))</f>
        <v/>
      </c>
      <c r="W16">
        <f>IF($X16="","",IF(ISNUMBER(MATCH(INDEX(합계표[사번키],$X16)&amp;"|"&amp;대상월키,월별근무지표[키],0)),"직접 입력",IF($L16="—","—","기관명단")))</f>
        <v/>
      </c>
      <c r="X16" s="4">
        <f>IFERROR(MATCH(11,합계표[판정순번],0),"")</f>
        <v/>
      </c>
      <c r="Z16">
        <f>IF($AC16="","",INDEX(상세표[사번],$AC16)&amp;"")</f>
        <v/>
      </c>
      <c r="AA16">
        <f>IF($AC16="","",INDEX(상세표[성명],$AC16)&amp;"")</f>
        <v/>
      </c>
      <c r="AB16" s="20">
        <f>IF($AC16="","",SUMIFS(상세표[기록 시간외],상세표[사번키],INDEX(상세표[사번키],$AC16),상세표[반영월],대상월키))</f>
        <v/>
      </c>
      <c r="AC16" s="4">
        <f>IFERROR(MATCH(11,상세표[합계없음순번],0),"")</f>
        <v/>
      </c>
    </row>
    <row r="17">
      <c r="A17">
        <f>IF($X17="","",INDEX(합계표[사번],$X17)&amp;"")</f>
        <v/>
      </c>
      <c r="B17">
        <f>IF($X17="","",INDEX(합계표[성명],$X17)&amp;"")</f>
        <v/>
      </c>
      <c r="C17">
        <f>IF($X17="","",INDEX(합계표[부서],$X17)&amp;"")</f>
        <v/>
      </c>
      <c r="D17">
        <f>IF($X17="","",INDEX(합계표[직위(요약)],$X17)&amp;"")</f>
        <v/>
      </c>
      <c r="E17">
        <f>IF($X17="","",INDEX(합계표[직급 공존],$X17)&amp;"")</f>
        <v/>
      </c>
      <c r="F17" s="20">
        <f>IF($X17="","",SUMIFS(합계표[시스템 합계],합계표[사번키],INDEX(합계표[사번키],$X17)))</f>
        <v/>
      </c>
      <c r="G17" s="20">
        <f>IF($X17="","",SUMIFS(상세표[기록 시간외],상세표[사번키],INDEX(합계표[사번키],$X17),상세표[기록월],대상월키))</f>
        <v/>
      </c>
      <c r="H17">
        <f>IF($X17="","",IF(ABS($F17-$G17)&lt;0.01,"일치","불일치(차이 "&amp;TEXT($G17-$F17,"0.00")&amp;")"))</f>
        <v/>
      </c>
      <c r="I17" s="20">
        <f>IF($X17="","",SUMIFS(상세표[기록 시간외],상세표[사번키],INDEX(합계표[사번키],$X17),상세표[기록월],대상월키,상세표[반영월],"&lt;&gt;"&amp;대상월키))</f>
        <v/>
      </c>
      <c r="J17" s="20">
        <f>IF($X17="","",SUMIFS(상세표[기록 시간외],상세표[사번키],INDEX(합계표[사번키],$X17),상세표[기록월],"&lt;&gt;"&amp;대상월키,상세표[반영월],대상월키))</f>
        <v/>
      </c>
      <c r="K17" s="20">
        <f>IF($X17="","",SUMIFS(상세표[기록 시간외],상세표[사번키],INDEX(합계표[사번키],$X17),상세표[반영월],대상월키))</f>
        <v/>
      </c>
      <c r="L17">
        <f>IF($X17="","",IFERROR(INDEX(월별근무지표[적용 급여병원],MATCH(INDEX(합계표[사번키],$X17)&amp;"|"&amp;대상월키,월별근무지표[키],0))&amp;"",IF(COUNTIF(기관표[사번키],INDEX(합계표[사번키],$X17))+COUNTIF(월별근무지표[사번키],INDEX(합계표[사번키],$X17))&gt;0,IFERROR(INDEX(기관표[급여지급병원(기준월)],MATCH(INDEX(합계표[사번키],$X17)&amp;"|"&amp;대상월키,기관표[키],0))&amp;"","—"),"—")))</f>
        <v/>
      </c>
      <c r="M17">
        <f>IF($X17="","",IF(NOT(COUNTIF(기관표[사번키],INDEX(합계표[사번키],$X17))+COUNTIF(월별근무지표[사번키],INDEX(합계표[사번키],$X17))&gt;0),"기관명단에 없음(다른 병원으로 발송)",IF($L17="서울병원","해당",IF(N($R17)&gt;0,"해당(말일 근무)",IF($L17="—","대상월 기관명단 없음(추가 필요)","비해당")))))</f>
        <v/>
      </c>
      <c r="N17" s="20">
        <f>IF($X17="","",SUMIFS(상세표[06~07시],상세표[사번키],INDEX(합계표[사번키],$X17),상세표[반영월],대상월키,상세표[반영 기관],"서울병원"))</f>
        <v/>
      </c>
      <c r="O17" s="20">
        <f>IF($X17="","",SUMIFS(상세표[07~18시],상세표[사번키],INDEX(합계표[사번키],$X17),상세표[반영월],대상월키,상세표[반영 기관],"서울병원"))</f>
        <v/>
      </c>
      <c r="P17" s="20">
        <f>IF($X17="","",SUMIFS(상세표[18~22시],상세표[사번키],INDEX(합계표[사번키],$X17),상세표[반영월],대상월키,상세표[반영 기관],"서울병원"))</f>
        <v/>
      </c>
      <c r="Q17" s="20">
        <f>IF($X17="","",SUMIFS(상세표[22~06시],상세표[사번키],INDEX(합계표[사번키],$X17),상세표[반영월],대상월키,상세표[반영 기관],"서울병원"))</f>
        <v/>
      </c>
      <c r="R17" s="20">
        <f>IF($X17="","",SUM($N17:$Q17))</f>
        <v/>
      </c>
      <c r="S17">
        <f>IF($X17="","",COUNTIFS(상세표[사번키],INDEX(합계표[사번키],$X17),상세표[반영월],대상월키,상세표[야간당직],1,상세표[야간 구분],"평일"))</f>
        <v/>
      </c>
      <c r="T17">
        <f>IF($X17="","",COUNTIFS(상세표[사번키],INDEX(합계표[사번키],$X17),상세표[반영월],대상월키,상세표[야간당직],1,상세표[야간 구분],"휴일"))</f>
        <v/>
      </c>
      <c r="U17">
        <f>IF($X17="","",COUNTIFS(상세표[사번키],INDEX(합계표[사번키],$X17),상세표[반영월],대상월키,상세표[야간당직],1,상세표[야간 구분],"평일",상세표[반영 기관],"서울병원"))</f>
        <v/>
      </c>
      <c r="V17">
        <f>IF($X17="","",COUNTIFS(상세표[사번키],INDEX(합계표[사번키],$X17),상세표[반영월],대상월키,상세표[야간당직],1,상세표[야간 구분],"휴일",상세표[반영 기관],"서울병원"))</f>
        <v/>
      </c>
      <c r="W17">
        <f>IF($X17="","",IF(ISNUMBER(MATCH(INDEX(합계표[사번키],$X17)&amp;"|"&amp;대상월키,월별근무지표[키],0)),"직접 입력",IF($L17="—","—","기관명단")))</f>
        <v/>
      </c>
      <c r="X17" s="4">
        <f>IFERROR(MATCH(12,합계표[판정순번],0),"")</f>
        <v/>
      </c>
      <c r="Z17">
        <f>IF($AC17="","",INDEX(상세표[사번],$AC17)&amp;"")</f>
        <v/>
      </c>
      <c r="AA17">
        <f>IF($AC17="","",INDEX(상세표[성명],$AC17)&amp;"")</f>
        <v/>
      </c>
      <c r="AB17" s="20">
        <f>IF($AC17="","",SUMIFS(상세표[기록 시간외],상세표[사번키],INDEX(상세표[사번키],$AC17),상세표[반영월],대상월키))</f>
        <v/>
      </c>
      <c r="AC17" s="4">
        <f>IFERROR(MATCH(12,상세표[합계없음순번],0),"")</f>
        <v/>
      </c>
    </row>
    <row r="18">
      <c r="A18">
        <f>IF($X18="","",INDEX(합계표[사번],$X18)&amp;"")</f>
        <v/>
      </c>
      <c r="B18">
        <f>IF($X18="","",INDEX(합계표[성명],$X18)&amp;"")</f>
        <v/>
      </c>
      <c r="C18">
        <f>IF($X18="","",INDEX(합계표[부서],$X18)&amp;"")</f>
        <v/>
      </c>
      <c r="D18">
        <f>IF($X18="","",INDEX(합계표[직위(요약)],$X18)&amp;"")</f>
        <v/>
      </c>
      <c r="E18">
        <f>IF($X18="","",INDEX(합계표[직급 공존],$X18)&amp;"")</f>
        <v/>
      </c>
      <c r="F18" s="20">
        <f>IF($X18="","",SUMIFS(합계표[시스템 합계],합계표[사번키],INDEX(합계표[사번키],$X18)))</f>
        <v/>
      </c>
      <c r="G18" s="20">
        <f>IF($X18="","",SUMIFS(상세표[기록 시간외],상세표[사번키],INDEX(합계표[사번키],$X18),상세표[기록월],대상월키))</f>
        <v/>
      </c>
      <c r="H18">
        <f>IF($X18="","",IF(ABS($F18-$G18)&lt;0.01,"일치","불일치(차이 "&amp;TEXT($G18-$F18,"0.00")&amp;")"))</f>
        <v/>
      </c>
      <c r="I18" s="20">
        <f>IF($X18="","",SUMIFS(상세표[기록 시간외],상세표[사번키],INDEX(합계표[사번키],$X18),상세표[기록월],대상월키,상세표[반영월],"&lt;&gt;"&amp;대상월키))</f>
        <v/>
      </c>
      <c r="J18" s="20">
        <f>IF($X18="","",SUMIFS(상세표[기록 시간외],상세표[사번키],INDEX(합계표[사번키],$X18),상세표[기록월],"&lt;&gt;"&amp;대상월키,상세표[반영월],대상월키))</f>
        <v/>
      </c>
      <c r="K18" s="20">
        <f>IF($X18="","",SUMIFS(상세표[기록 시간외],상세표[사번키],INDEX(합계표[사번키],$X18),상세표[반영월],대상월키))</f>
        <v/>
      </c>
      <c r="L18">
        <f>IF($X18="","",IFERROR(INDEX(월별근무지표[적용 급여병원],MATCH(INDEX(합계표[사번키],$X18)&amp;"|"&amp;대상월키,월별근무지표[키],0))&amp;"",IF(COUNTIF(기관표[사번키],INDEX(합계표[사번키],$X18))+COUNTIF(월별근무지표[사번키],INDEX(합계표[사번키],$X18))&gt;0,IFERROR(INDEX(기관표[급여지급병원(기준월)],MATCH(INDEX(합계표[사번키],$X18)&amp;"|"&amp;대상월키,기관표[키],0))&amp;"","—"),"—")))</f>
        <v/>
      </c>
      <c r="M18">
        <f>IF($X18="","",IF(NOT(COUNTIF(기관표[사번키],INDEX(합계표[사번키],$X18))+COUNTIF(월별근무지표[사번키],INDEX(합계표[사번키],$X18))&gt;0),"기관명단에 없음(다른 병원으로 발송)",IF($L18="서울병원","해당",IF(N($R18)&gt;0,"해당(말일 근무)",IF($L18="—","대상월 기관명단 없음(추가 필요)","비해당")))))</f>
        <v/>
      </c>
      <c r="N18" s="20">
        <f>IF($X18="","",SUMIFS(상세표[06~07시],상세표[사번키],INDEX(합계표[사번키],$X18),상세표[반영월],대상월키,상세표[반영 기관],"서울병원"))</f>
        <v/>
      </c>
      <c r="O18" s="20">
        <f>IF($X18="","",SUMIFS(상세표[07~18시],상세표[사번키],INDEX(합계표[사번키],$X18),상세표[반영월],대상월키,상세표[반영 기관],"서울병원"))</f>
        <v/>
      </c>
      <c r="P18" s="20">
        <f>IF($X18="","",SUMIFS(상세표[18~22시],상세표[사번키],INDEX(합계표[사번키],$X18),상세표[반영월],대상월키,상세표[반영 기관],"서울병원"))</f>
        <v/>
      </c>
      <c r="Q18" s="20">
        <f>IF($X18="","",SUMIFS(상세표[22~06시],상세표[사번키],INDEX(합계표[사번키],$X18),상세표[반영월],대상월키,상세표[반영 기관],"서울병원"))</f>
        <v/>
      </c>
      <c r="R18" s="20">
        <f>IF($X18="","",SUM($N18:$Q18))</f>
        <v/>
      </c>
      <c r="S18">
        <f>IF($X18="","",COUNTIFS(상세표[사번키],INDEX(합계표[사번키],$X18),상세표[반영월],대상월키,상세표[야간당직],1,상세표[야간 구분],"평일"))</f>
        <v/>
      </c>
      <c r="T18">
        <f>IF($X18="","",COUNTIFS(상세표[사번키],INDEX(합계표[사번키],$X18),상세표[반영월],대상월키,상세표[야간당직],1,상세표[야간 구분],"휴일"))</f>
        <v/>
      </c>
      <c r="U18">
        <f>IF($X18="","",COUNTIFS(상세표[사번키],INDEX(합계표[사번키],$X18),상세표[반영월],대상월키,상세표[야간당직],1,상세표[야간 구분],"평일",상세표[반영 기관],"서울병원"))</f>
        <v/>
      </c>
      <c r="V18">
        <f>IF($X18="","",COUNTIFS(상세표[사번키],INDEX(합계표[사번키],$X18),상세표[반영월],대상월키,상세표[야간당직],1,상세표[야간 구분],"휴일",상세표[반영 기관],"서울병원"))</f>
        <v/>
      </c>
      <c r="W18">
        <f>IF($X18="","",IF(ISNUMBER(MATCH(INDEX(합계표[사번키],$X18)&amp;"|"&amp;대상월키,월별근무지표[키],0)),"직접 입력",IF($L18="—","—","기관명단")))</f>
        <v/>
      </c>
      <c r="X18" s="4">
        <f>IFERROR(MATCH(13,합계표[판정순번],0),"")</f>
        <v/>
      </c>
      <c r="Z18">
        <f>IF($AC18="","",INDEX(상세표[사번],$AC18)&amp;"")</f>
        <v/>
      </c>
      <c r="AA18">
        <f>IF($AC18="","",INDEX(상세표[성명],$AC18)&amp;"")</f>
        <v/>
      </c>
      <c r="AB18" s="20">
        <f>IF($AC18="","",SUMIFS(상세표[기록 시간외],상세표[사번키],INDEX(상세표[사번키],$AC18),상세표[반영월],대상월키))</f>
        <v/>
      </c>
      <c r="AC18" s="4">
        <f>IFERROR(MATCH(13,상세표[합계없음순번],0),"")</f>
        <v/>
      </c>
    </row>
    <row r="19">
      <c r="A19">
        <f>IF($X19="","",INDEX(합계표[사번],$X19)&amp;"")</f>
        <v/>
      </c>
      <c r="B19">
        <f>IF($X19="","",INDEX(합계표[성명],$X19)&amp;"")</f>
        <v/>
      </c>
      <c r="C19">
        <f>IF($X19="","",INDEX(합계표[부서],$X19)&amp;"")</f>
        <v/>
      </c>
      <c r="D19">
        <f>IF($X19="","",INDEX(합계표[직위(요약)],$X19)&amp;"")</f>
        <v/>
      </c>
      <c r="E19">
        <f>IF($X19="","",INDEX(합계표[직급 공존],$X19)&amp;"")</f>
        <v/>
      </c>
      <c r="F19" s="20">
        <f>IF($X19="","",SUMIFS(합계표[시스템 합계],합계표[사번키],INDEX(합계표[사번키],$X19)))</f>
        <v/>
      </c>
      <c r="G19" s="20">
        <f>IF($X19="","",SUMIFS(상세표[기록 시간외],상세표[사번키],INDEX(합계표[사번키],$X19),상세표[기록월],대상월키))</f>
        <v/>
      </c>
      <c r="H19">
        <f>IF($X19="","",IF(ABS($F19-$G19)&lt;0.01,"일치","불일치(차이 "&amp;TEXT($G19-$F19,"0.00")&amp;")"))</f>
        <v/>
      </c>
      <c r="I19" s="20">
        <f>IF($X19="","",SUMIFS(상세표[기록 시간외],상세표[사번키],INDEX(합계표[사번키],$X19),상세표[기록월],대상월키,상세표[반영월],"&lt;&gt;"&amp;대상월키))</f>
        <v/>
      </c>
      <c r="J19" s="20">
        <f>IF($X19="","",SUMIFS(상세표[기록 시간외],상세표[사번키],INDEX(합계표[사번키],$X19),상세표[기록월],"&lt;&gt;"&amp;대상월키,상세표[반영월],대상월키))</f>
        <v/>
      </c>
      <c r="K19" s="20">
        <f>IF($X19="","",SUMIFS(상세표[기록 시간외],상세표[사번키],INDEX(합계표[사번키],$X19),상세표[반영월],대상월키))</f>
        <v/>
      </c>
      <c r="L19">
        <f>IF($X19="","",IFERROR(INDEX(월별근무지표[적용 급여병원],MATCH(INDEX(합계표[사번키],$X19)&amp;"|"&amp;대상월키,월별근무지표[키],0))&amp;"",IF(COUNTIF(기관표[사번키],INDEX(합계표[사번키],$X19))+COUNTIF(월별근무지표[사번키],INDEX(합계표[사번키],$X19))&gt;0,IFERROR(INDEX(기관표[급여지급병원(기준월)],MATCH(INDEX(합계표[사번키],$X19)&amp;"|"&amp;대상월키,기관표[키],0))&amp;"","—"),"—")))</f>
        <v/>
      </c>
      <c r="M19">
        <f>IF($X19="","",IF(NOT(COUNTIF(기관표[사번키],INDEX(합계표[사번키],$X19))+COUNTIF(월별근무지표[사번키],INDEX(합계표[사번키],$X19))&gt;0),"기관명단에 없음(다른 병원으로 발송)",IF($L19="서울병원","해당",IF(N($R19)&gt;0,"해당(말일 근무)",IF($L19="—","대상월 기관명단 없음(추가 필요)","비해당")))))</f>
        <v/>
      </c>
      <c r="N19" s="20">
        <f>IF($X19="","",SUMIFS(상세표[06~07시],상세표[사번키],INDEX(합계표[사번키],$X19),상세표[반영월],대상월키,상세표[반영 기관],"서울병원"))</f>
        <v/>
      </c>
      <c r="O19" s="20">
        <f>IF($X19="","",SUMIFS(상세표[07~18시],상세표[사번키],INDEX(합계표[사번키],$X19),상세표[반영월],대상월키,상세표[반영 기관],"서울병원"))</f>
        <v/>
      </c>
      <c r="P19" s="20">
        <f>IF($X19="","",SUMIFS(상세표[18~22시],상세표[사번키],INDEX(합계표[사번키],$X19),상세표[반영월],대상월키,상세표[반영 기관],"서울병원"))</f>
        <v/>
      </c>
      <c r="Q19" s="20">
        <f>IF($X19="","",SUMIFS(상세표[22~06시],상세표[사번키],INDEX(합계표[사번키],$X19),상세표[반영월],대상월키,상세표[반영 기관],"서울병원"))</f>
        <v/>
      </c>
      <c r="R19" s="20">
        <f>IF($X19="","",SUM($N19:$Q19))</f>
        <v/>
      </c>
      <c r="S19">
        <f>IF($X19="","",COUNTIFS(상세표[사번키],INDEX(합계표[사번키],$X19),상세표[반영월],대상월키,상세표[야간당직],1,상세표[야간 구분],"평일"))</f>
        <v/>
      </c>
      <c r="T19">
        <f>IF($X19="","",COUNTIFS(상세표[사번키],INDEX(합계표[사번키],$X19),상세표[반영월],대상월키,상세표[야간당직],1,상세표[야간 구분],"휴일"))</f>
        <v/>
      </c>
      <c r="U19">
        <f>IF($X19="","",COUNTIFS(상세표[사번키],INDEX(합계표[사번키],$X19),상세표[반영월],대상월키,상세표[야간당직],1,상세표[야간 구분],"평일",상세표[반영 기관],"서울병원"))</f>
        <v/>
      </c>
      <c r="V19">
        <f>IF($X19="","",COUNTIFS(상세표[사번키],INDEX(합계표[사번키],$X19),상세표[반영월],대상월키,상세표[야간당직],1,상세표[야간 구분],"휴일",상세표[반영 기관],"서울병원"))</f>
        <v/>
      </c>
      <c r="W19">
        <f>IF($X19="","",IF(ISNUMBER(MATCH(INDEX(합계표[사번키],$X19)&amp;"|"&amp;대상월키,월별근무지표[키],0)),"직접 입력",IF($L19="—","—","기관명단")))</f>
        <v/>
      </c>
      <c r="X19" s="4">
        <f>IFERROR(MATCH(14,합계표[판정순번],0),"")</f>
        <v/>
      </c>
      <c r="Z19">
        <f>IF($AC19="","",INDEX(상세표[사번],$AC19)&amp;"")</f>
        <v/>
      </c>
      <c r="AA19">
        <f>IF($AC19="","",INDEX(상세표[성명],$AC19)&amp;"")</f>
        <v/>
      </c>
      <c r="AB19" s="20">
        <f>IF($AC19="","",SUMIFS(상세표[기록 시간외],상세표[사번키],INDEX(상세표[사번키],$AC19),상세표[반영월],대상월키))</f>
        <v/>
      </c>
      <c r="AC19" s="4">
        <f>IFERROR(MATCH(14,상세표[합계없음순번],0),"")</f>
        <v/>
      </c>
    </row>
    <row r="20">
      <c r="A20">
        <f>IF($X20="","",INDEX(합계표[사번],$X20)&amp;"")</f>
        <v/>
      </c>
      <c r="B20">
        <f>IF($X20="","",INDEX(합계표[성명],$X20)&amp;"")</f>
        <v/>
      </c>
      <c r="C20">
        <f>IF($X20="","",INDEX(합계표[부서],$X20)&amp;"")</f>
        <v/>
      </c>
      <c r="D20">
        <f>IF($X20="","",INDEX(합계표[직위(요약)],$X20)&amp;"")</f>
        <v/>
      </c>
      <c r="E20">
        <f>IF($X20="","",INDEX(합계표[직급 공존],$X20)&amp;"")</f>
        <v/>
      </c>
      <c r="F20" s="20">
        <f>IF($X20="","",SUMIFS(합계표[시스템 합계],합계표[사번키],INDEX(합계표[사번키],$X20)))</f>
        <v/>
      </c>
      <c r="G20" s="20">
        <f>IF($X20="","",SUMIFS(상세표[기록 시간외],상세표[사번키],INDEX(합계표[사번키],$X20),상세표[기록월],대상월키))</f>
        <v/>
      </c>
      <c r="H20">
        <f>IF($X20="","",IF(ABS($F20-$G20)&lt;0.01,"일치","불일치(차이 "&amp;TEXT($G20-$F20,"0.00")&amp;")"))</f>
        <v/>
      </c>
      <c r="I20" s="20">
        <f>IF($X20="","",SUMIFS(상세표[기록 시간외],상세표[사번키],INDEX(합계표[사번키],$X20),상세표[기록월],대상월키,상세표[반영월],"&lt;&gt;"&amp;대상월키))</f>
        <v/>
      </c>
      <c r="J20" s="20">
        <f>IF($X20="","",SUMIFS(상세표[기록 시간외],상세표[사번키],INDEX(합계표[사번키],$X20),상세표[기록월],"&lt;&gt;"&amp;대상월키,상세표[반영월],대상월키))</f>
        <v/>
      </c>
      <c r="K20" s="20">
        <f>IF($X20="","",SUMIFS(상세표[기록 시간외],상세표[사번키],INDEX(합계표[사번키],$X20),상세표[반영월],대상월키))</f>
        <v/>
      </c>
      <c r="L20">
        <f>IF($X20="","",IFERROR(INDEX(월별근무지표[적용 급여병원],MATCH(INDEX(합계표[사번키],$X20)&amp;"|"&amp;대상월키,월별근무지표[키],0))&amp;"",IF(COUNTIF(기관표[사번키],INDEX(합계표[사번키],$X20))+COUNTIF(월별근무지표[사번키],INDEX(합계표[사번키],$X20))&gt;0,IFERROR(INDEX(기관표[급여지급병원(기준월)],MATCH(INDEX(합계표[사번키],$X20)&amp;"|"&amp;대상월키,기관표[키],0))&amp;"","—"),"—")))</f>
        <v/>
      </c>
      <c r="M20">
        <f>IF($X20="","",IF(NOT(COUNTIF(기관표[사번키],INDEX(합계표[사번키],$X20))+COUNTIF(월별근무지표[사번키],INDEX(합계표[사번키],$X20))&gt;0),"기관명단에 없음(다른 병원으로 발송)",IF($L20="서울병원","해당",IF(N($R20)&gt;0,"해당(말일 근무)",IF($L20="—","대상월 기관명단 없음(추가 필요)","비해당")))))</f>
        <v/>
      </c>
      <c r="N20" s="20">
        <f>IF($X20="","",SUMIFS(상세표[06~07시],상세표[사번키],INDEX(합계표[사번키],$X20),상세표[반영월],대상월키,상세표[반영 기관],"서울병원"))</f>
        <v/>
      </c>
      <c r="O20" s="20">
        <f>IF($X20="","",SUMIFS(상세표[07~18시],상세표[사번키],INDEX(합계표[사번키],$X20),상세표[반영월],대상월키,상세표[반영 기관],"서울병원"))</f>
        <v/>
      </c>
      <c r="P20" s="20">
        <f>IF($X20="","",SUMIFS(상세표[18~22시],상세표[사번키],INDEX(합계표[사번키],$X20),상세표[반영월],대상월키,상세표[반영 기관],"서울병원"))</f>
        <v/>
      </c>
      <c r="Q20" s="20">
        <f>IF($X20="","",SUMIFS(상세표[22~06시],상세표[사번키],INDEX(합계표[사번키],$X20),상세표[반영월],대상월키,상세표[반영 기관],"서울병원"))</f>
        <v/>
      </c>
      <c r="R20" s="20">
        <f>IF($X20="","",SUM($N20:$Q20))</f>
        <v/>
      </c>
      <c r="S20">
        <f>IF($X20="","",COUNTIFS(상세표[사번키],INDEX(합계표[사번키],$X20),상세표[반영월],대상월키,상세표[야간당직],1,상세표[야간 구분],"평일"))</f>
        <v/>
      </c>
      <c r="T20">
        <f>IF($X20="","",COUNTIFS(상세표[사번키],INDEX(합계표[사번키],$X20),상세표[반영월],대상월키,상세표[야간당직],1,상세표[야간 구분],"휴일"))</f>
        <v/>
      </c>
      <c r="U20">
        <f>IF($X20="","",COUNTIFS(상세표[사번키],INDEX(합계표[사번키],$X20),상세표[반영월],대상월키,상세표[야간당직],1,상세표[야간 구분],"평일",상세표[반영 기관],"서울병원"))</f>
        <v/>
      </c>
      <c r="V20">
        <f>IF($X20="","",COUNTIFS(상세표[사번키],INDEX(합계표[사번키],$X20),상세표[반영월],대상월키,상세표[야간당직],1,상세표[야간 구분],"휴일",상세표[반영 기관],"서울병원"))</f>
        <v/>
      </c>
      <c r="W20">
        <f>IF($X20="","",IF(ISNUMBER(MATCH(INDEX(합계표[사번키],$X20)&amp;"|"&amp;대상월키,월별근무지표[키],0)),"직접 입력",IF($L20="—","—","기관명단")))</f>
        <v/>
      </c>
      <c r="X20" s="4">
        <f>IFERROR(MATCH(15,합계표[판정순번],0),"")</f>
        <v/>
      </c>
      <c r="Z20">
        <f>IF($AC20="","",INDEX(상세표[사번],$AC20)&amp;"")</f>
        <v/>
      </c>
      <c r="AA20">
        <f>IF($AC20="","",INDEX(상세표[성명],$AC20)&amp;"")</f>
        <v/>
      </c>
      <c r="AB20" s="20">
        <f>IF($AC20="","",SUMIFS(상세표[기록 시간외],상세표[사번키],INDEX(상세표[사번키],$AC20),상세표[반영월],대상월키))</f>
        <v/>
      </c>
      <c r="AC20" s="4">
        <f>IFERROR(MATCH(15,상세표[합계없음순번],0),"")</f>
        <v/>
      </c>
    </row>
    <row r="21">
      <c r="A21">
        <f>IF($X21="","",INDEX(합계표[사번],$X21)&amp;"")</f>
        <v/>
      </c>
      <c r="B21">
        <f>IF($X21="","",INDEX(합계표[성명],$X21)&amp;"")</f>
        <v/>
      </c>
      <c r="C21">
        <f>IF($X21="","",INDEX(합계표[부서],$X21)&amp;"")</f>
        <v/>
      </c>
      <c r="D21">
        <f>IF($X21="","",INDEX(합계표[직위(요약)],$X21)&amp;"")</f>
        <v/>
      </c>
      <c r="E21">
        <f>IF($X21="","",INDEX(합계표[직급 공존],$X21)&amp;"")</f>
        <v/>
      </c>
      <c r="F21" s="20">
        <f>IF($X21="","",SUMIFS(합계표[시스템 합계],합계표[사번키],INDEX(합계표[사번키],$X21)))</f>
        <v/>
      </c>
      <c r="G21" s="20">
        <f>IF($X21="","",SUMIFS(상세표[기록 시간외],상세표[사번키],INDEX(합계표[사번키],$X21),상세표[기록월],대상월키))</f>
        <v/>
      </c>
      <c r="H21">
        <f>IF($X21="","",IF(ABS($F21-$G21)&lt;0.01,"일치","불일치(차이 "&amp;TEXT($G21-$F21,"0.00")&amp;")"))</f>
        <v/>
      </c>
      <c r="I21" s="20">
        <f>IF($X21="","",SUMIFS(상세표[기록 시간외],상세표[사번키],INDEX(합계표[사번키],$X21),상세표[기록월],대상월키,상세표[반영월],"&lt;&gt;"&amp;대상월키))</f>
        <v/>
      </c>
      <c r="J21" s="20">
        <f>IF($X21="","",SUMIFS(상세표[기록 시간외],상세표[사번키],INDEX(합계표[사번키],$X21),상세표[기록월],"&lt;&gt;"&amp;대상월키,상세표[반영월],대상월키))</f>
        <v/>
      </c>
      <c r="K21" s="20">
        <f>IF($X21="","",SUMIFS(상세표[기록 시간외],상세표[사번키],INDEX(합계표[사번키],$X21),상세표[반영월],대상월키))</f>
        <v/>
      </c>
      <c r="L21">
        <f>IF($X21="","",IFERROR(INDEX(월별근무지표[적용 급여병원],MATCH(INDEX(합계표[사번키],$X21)&amp;"|"&amp;대상월키,월별근무지표[키],0))&amp;"",IF(COUNTIF(기관표[사번키],INDEX(합계표[사번키],$X21))+COUNTIF(월별근무지표[사번키],INDEX(합계표[사번키],$X21))&gt;0,IFERROR(INDEX(기관표[급여지급병원(기준월)],MATCH(INDEX(합계표[사번키],$X21)&amp;"|"&amp;대상월키,기관표[키],0))&amp;"","—"),"—")))</f>
        <v/>
      </c>
      <c r="M21">
        <f>IF($X21="","",IF(NOT(COUNTIF(기관표[사번키],INDEX(합계표[사번키],$X21))+COUNTIF(월별근무지표[사번키],INDEX(합계표[사번키],$X21))&gt;0),"기관명단에 없음(다른 병원으로 발송)",IF($L21="서울병원","해당",IF(N($R21)&gt;0,"해당(말일 근무)",IF($L21="—","대상월 기관명단 없음(추가 필요)","비해당")))))</f>
        <v/>
      </c>
      <c r="N21" s="20">
        <f>IF($X21="","",SUMIFS(상세표[06~07시],상세표[사번키],INDEX(합계표[사번키],$X21),상세표[반영월],대상월키,상세표[반영 기관],"서울병원"))</f>
        <v/>
      </c>
      <c r="O21" s="20">
        <f>IF($X21="","",SUMIFS(상세표[07~18시],상세표[사번키],INDEX(합계표[사번키],$X21),상세표[반영월],대상월키,상세표[반영 기관],"서울병원"))</f>
        <v/>
      </c>
      <c r="P21" s="20">
        <f>IF($X21="","",SUMIFS(상세표[18~22시],상세표[사번키],INDEX(합계표[사번키],$X21),상세표[반영월],대상월키,상세표[반영 기관],"서울병원"))</f>
        <v/>
      </c>
      <c r="Q21" s="20">
        <f>IF($X21="","",SUMIFS(상세표[22~06시],상세표[사번키],INDEX(합계표[사번키],$X21),상세표[반영월],대상월키,상세표[반영 기관],"서울병원"))</f>
        <v/>
      </c>
      <c r="R21" s="20">
        <f>IF($X21="","",SUM($N21:$Q21))</f>
        <v/>
      </c>
      <c r="S21">
        <f>IF($X21="","",COUNTIFS(상세표[사번키],INDEX(합계표[사번키],$X21),상세표[반영월],대상월키,상세표[야간당직],1,상세표[야간 구분],"평일"))</f>
        <v/>
      </c>
      <c r="T21">
        <f>IF($X21="","",COUNTIFS(상세표[사번키],INDEX(합계표[사번키],$X21),상세표[반영월],대상월키,상세표[야간당직],1,상세표[야간 구분],"휴일"))</f>
        <v/>
      </c>
      <c r="U21">
        <f>IF($X21="","",COUNTIFS(상세표[사번키],INDEX(합계표[사번키],$X21),상세표[반영월],대상월키,상세표[야간당직],1,상세표[야간 구분],"평일",상세표[반영 기관],"서울병원"))</f>
        <v/>
      </c>
      <c r="V21">
        <f>IF($X21="","",COUNTIFS(상세표[사번키],INDEX(합계표[사번키],$X21),상세표[반영월],대상월키,상세표[야간당직],1,상세표[야간 구분],"휴일",상세표[반영 기관],"서울병원"))</f>
        <v/>
      </c>
      <c r="W21">
        <f>IF($X21="","",IF(ISNUMBER(MATCH(INDEX(합계표[사번키],$X21)&amp;"|"&amp;대상월키,월별근무지표[키],0)),"직접 입력",IF($L21="—","—","기관명단")))</f>
        <v/>
      </c>
      <c r="X21" s="4">
        <f>IFERROR(MATCH(16,합계표[판정순번],0),"")</f>
        <v/>
      </c>
      <c r="Z21">
        <f>IF($AC21="","",INDEX(상세표[사번],$AC21)&amp;"")</f>
        <v/>
      </c>
      <c r="AA21">
        <f>IF($AC21="","",INDEX(상세표[성명],$AC21)&amp;"")</f>
        <v/>
      </c>
      <c r="AB21" s="20">
        <f>IF($AC21="","",SUMIFS(상세표[기록 시간외],상세표[사번키],INDEX(상세표[사번키],$AC21),상세표[반영월],대상월키))</f>
        <v/>
      </c>
      <c r="AC21" s="4">
        <f>IFERROR(MATCH(16,상세표[합계없음순번],0),"")</f>
        <v/>
      </c>
    </row>
    <row r="22">
      <c r="A22">
        <f>IF($X22="","",INDEX(합계표[사번],$X22)&amp;"")</f>
        <v/>
      </c>
      <c r="B22">
        <f>IF($X22="","",INDEX(합계표[성명],$X22)&amp;"")</f>
        <v/>
      </c>
      <c r="C22">
        <f>IF($X22="","",INDEX(합계표[부서],$X22)&amp;"")</f>
        <v/>
      </c>
      <c r="D22">
        <f>IF($X22="","",INDEX(합계표[직위(요약)],$X22)&amp;"")</f>
        <v/>
      </c>
      <c r="E22">
        <f>IF($X22="","",INDEX(합계표[직급 공존],$X22)&amp;"")</f>
        <v/>
      </c>
      <c r="F22" s="20">
        <f>IF($X22="","",SUMIFS(합계표[시스템 합계],합계표[사번키],INDEX(합계표[사번키],$X22)))</f>
        <v/>
      </c>
      <c r="G22" s="20">
        <f>IF($X22="","",SUMIFS(상세표[기록 시간외],상세표[사번키],INDEX(합계표[사번키],$X22),상세표[기록월],대상월키))</f>
        <v/>
      </c>
      <c r="H22">
        <f>IF($X22="","",IF(ABS($F22-$G22)&lt;0.01,"일치","불일치(차이 "&amp;TEXT($G22-$F22,"0.00")&amp;")"))</f>
        <v/>
      </c>
      <c r="I22" s="20">
        <f>IF($X22="","",SUMIFS(상세표[기록 시간외],상세표[사번키],INDEX(합계표[사번키],$X22),상세표[기록월],대상월키,상세표[반영월],"&lt;&gt;"&amp;대상월키))</f>
        <v/>
      </c>
      <c r="J22" s="20">
        <f>IF($X22="","",SUMIFS(상세표[기록 시간외],상세표[사번키],INDEX(합계표[사번키],$X22),상세표[기록월],"&lt;&gt;"&amp;대상월키,상세표[반영월],대상월키))</f>
        <v/>
      </c>
      <c r="K22" s="20">
        <f>IF($X22="","",SUMIFS(상세표[기록 시간외],상세표[사번키],INDEX(합계표[사번키],$X22),상세표[반영월],대상월키))</f>
        <v/>
      </c>
      <c r="L22">
        <f>IF($X22="","",IFERROR(INDEX(월별근무지표[적용 급여병원],MATCH(INDEX(합계표[사번키],$X22)&amp;"|"&amp;대상월키,월별근무지표[키],0))&amp;"",IF(COUNTIF(기관표[사번키],INDEX(합계표[사번키],$X22))+COUNTIF(월별근무지표[사번키],INDEX(합계표[사번키],$X22))&gt;0,IFERROR(INDEX(기관표[급여지급병원(기준월)],MATCH(INDEX(합계표[사번키],$X22)&amp;"|"&amp;대상월키,기관표[키],0))&amp;"","—"),"—")))</f>
        <v/>
      </c>
      <c r="M22">
        <f>IF($X22="","",IF(NOT(COUNTIF(기관표[사번키],INDEX(합계표[사번키],$X22))+COUNTIF(월별근무지표[사번키],INDEX(합계표[사번키],$X22))&gt;0),"기관명단에 없음(다른 병원으로 발송)",IF($L22="서울병원","해당",IF(N($R22)&gt;0,"해당(말일 근무)",IF($L22="—","대상월 기관명단 없음(추가 필요)","비해당")))))</f>
        <v/>
      </c>
      <c r="N22" s="20">
        <f>IF($X22="","",SUMIFS(상세표[06~07시],상세표[사번키],INDEX(합계표[사번키],$X22),상세표[반영월],대상월키,상세표[반영 기관],"서울병원"))</f>
        <v/>
      </c>
      <c r="O22" s="20">
        <f>IF($X22="","",SUMIFS(상세표[07~18시],상세표[사번키],INDEX(합계표[사번키],$X22),상세표[반영월],대상월키,상세표[반영 기관],"서울병원"))</f>
        <v/>
      </c>
      <c r="P22" s="20">
        <f>IF($X22="","",SUMIFS(상세표[18~22시],상세표[사번키],INDEX(합계표[사번키],$X22),상세표[반영월],대상월키,상세표[반영 기관],"서울병원"))</f>
        <v/>
      </c>
      <c r="Q22" s="20">
        <f>IF($X22="","",SUMIFS(상세표[22~06시],상세표[사번키],INDEX(합계표[사번키],$X22),상세표[반영월],대상월키,상세표[반영 기관],"서울병원"))</f>
        <v/>
      </c>
      <c r="R22" s="20">
        <f>IF($X22="","",SUM($N22:$Q22))</f>
        <v/>
      </c>
      <c r="S22">
        <f>IF($X22="","",COUNTIFS(상세표[사번키],INDEX(합계표[사번키],$X22),상세표[반영월],대상월키,상세표[야간당직],1,상세표[야간 구분],"평일"))</f>
        <v/>
      </c>
      <c r="T22">
        <f>IF($X22="","",COUNTIFS(상세표[사번키],INDEX(합계표[사번키],$X22),상세표[반영월],대상월키,상세표[야간당직],1,상세표[야간 구분],"휴일"))</f>
        <v/>
      </c>
      <c r="U22">
        <f>IF($X22="","",COUNTIFS(상세표[사번키],INDEX(합계표[사번키],$X22),상세표[반영월],대상월키,상세표[야간당직],1,상세표[야간 구분],"평일",상세표[반영 기관],"서울병원"))</f>
        <v/>
      </c>
      <c r="V22">
        <f>IF($X22="","",COUNTIFS(상세표[사번키],INDEX(합계표[사번키],$X22),상세표[반영월],대상월키,상세표[야간당직],1,상세표[야간 구분],"휴일",상세표[반영 기관],"서울병원"))</f>
        <v/>
      </c>
      <c r="W22">
        <f>IF($X22="","",IF(ISNUMBER(MATCH(INDEX(합계표[사번키],$X22)&amp;"|"&amp;대상월키,월별근무지표[키],0)),"직접 입력",IF($L22="—","—","기관명단")))</f>
        <v/>
      </c>
      <c r="X22" s="4">
        <f>IFERROR(MATCH(17,합계표[판정순번],0),"")</f>
        <v/>
      </c>
      <c r="Z22">
        <f>IF($AC22="","",INDEX(상세표[사번],$AC22)&amp;"")</f>
        <v/>
      </c>
      <c r="AA22">
        <f>IF($AC22="","",INDEX(상세표[성명],$AC22)&amp;"")</f>
        <v/>
      </c>
      <c r="AB22" s="20">
        <f>IF($AC22="","",SUMIFS(상세표[기록 시간외],상세표[사번키],INDEX(상세표[사번키],$AC22),상세표[반영월],대상월키))</f>
        <v/>
      </c>
      <c r="AC22" s="4">
        <f>IFERROR(MATCH(17,상세표[합계없음순번],0),"")</f>
        <v/>
      </c>
    </row>
    <row r="23">
      <c r="A23">
        <f>IF($X23="","",INDEX(합계표[사번],$X23)&amp;"")</f>
        <v/>
      </c>
      <c r="B23">
        <f>IF($X23="","",INDEX(합계표[성명],$X23)&amp;"")</f>
        <v/>
      </c>
      <c r="C23">
        <f>IF($X23="","",INDEX(합계표[부서],$X23)&amp;"")</f>
        <v/>
      </c>
      <c r="D23">
        <f>IF($X23="","",INDEX(합계표[직위(요약)],$X23)&amp;"")</f>
        <v/>
      </c>
      <c r="E23">
        <f>IF($X23="","",INDEX(합계표[직급 공존],$X23)&amp;"")</f>
        <v/>
      </c>
      <c r="F23" s="20">
        <f>IF($X23="","",SUMIFS(합계표[시스템 합계],합계표[사번키],INDEX(합계표[사번키],$X23)))</f>
        <v/>
      </c>
      <c r="G23" s="20">
        <f>IF($X23="","",SUMIFS(상세표[기록 시간외],상세표[사번키],INDEX(합계표[사번키],$X23),상세표[기록월],대상월키))</f>
        <v/>
      </c>
      <c r="H23">
        <f>IF($X23="","",IF(ABS($F23-$G23)&lt;0.01,"일치","불일치(차이 "&amp;TEXT($G23-$F23,"0.00")&amp;")"))</f>
        <v/>
      </c>
      <c r="I23" s="20">
        <f>IF($X23="","",SUMIFS(상세표[기록 시간외],상세표[사번키],INDEX(합계표[사번키],$X23),상세표[기록월],대상월키,상세표[반영월],"&lt;&gt;"&amp;대상월키))</f>
        <v/>
      </c>
      <c r="J23" s="20">
        <f>IF($X23="","",SUMIFS(상세표[기록 시간외],상세표[사번키],INDEX(합계표[사번키],$X23),상세표[기록월],"&lt;&gt;"&amp;대상월키,상세표[반영월],대상월키))</f>
        <v/>
      </c>
      <c r="K23" s="20">
        <f>IF($X23="","",SUMIFS(상세표[기록 시간외],상세표[사번키],INDEX(합계표[사번키],$X23),상세표[반영월],대상월키))</f>
        <v/>
      </c>
      <c r="L23">
        <f>IF($X23="","",IFERROR(INDEX(월별근무지표[적용 급여병원],MATCH(INDEX(합계표[사번키],$X23)&amp;"|"&amp;대상월키,월별근무지표[키],0))&amp;"",IF(COUNTIF(기관표[사번키],INDEX(합계표[사번키],$X23))+COUNTIF(월별근무지표[사번키],INDEX(합계표[사번키],$X23))&gt;0,IFERROR(INDEX(기관표[급여지급병원(기준월)],MATCH(INDEX(합계표[사번키],$X23)&amp;"|"&amp;대상월키,기관표[키],0))&amp;"","—"),"—")))</f>
        <v/>
      </c>
      <c r="M23">
        <f>IF($X23="","",IF(NOT(COUNTIF(기관표[사번키],INDEX(합계표[사번키],$X23))+COUNTIF(월별근무지표[사번키],INDEX(합계표[사번키],$X23))&gt;0),"기관명단에 없음(다른 병원으로 발송)",IF($L23="서울병원","해당",IF(N($R23)&gt;0,"해당(말일 근무)",IF($L23="—","대상월 기관명단 없음(추가 필요)","비해당")))))</f>
        <v/>
      </c>
      <c r="N23" s="20">
        <f>IF($X23="","",SUMIFS(상세표[06~07시],상세표[사번키],INDEX(합계표[사번키],$X23),상세표[반영월],대상월키,상세표[반영 기관],"서울병원"))</f>
        <v/>
      </c>
      <c r="O23" s="20">
        <f>IF($X23="","",SUMIFS(상세표[07~18시],상세표[사번키],INDEX(합계표[사번키],$X23),상세표[반영월],대상월키,상세표[반영 기관],"서울병원"))</f>
        <v/>
      </c>
      <c r="P23" s="20">
        <f>IF($X23="","",SUMIFS(상세표[18~22시],상세표[사번키],INDEX(합계표[사번키],$X23),상세표[반영월],대상월키,상세표[반영 기관],"서울병원"))</f>
        <v/>
      </c>
      <c r="Q23" s="20">
        <f>IF($X23="","",SUMIFS(상세표[22~06시],상세표[사번키],INDEX(합계표[사번키],$X23),상세표[반영월],대상월키,상세표[반영 기관],"서울병원"))</f>
        <v/>
      </c>
      <c r="R23" s="20">
        <f>IF($X23="","",SUM($N23:$Q23))</f>
        <v/>
      </c>
      <c r="S23">
        <f>IF($X23="","",COUNTIFS(상세표[사번키],INDEX(합계표[사번키],$X23),상세표[반영월],대상월키,상세표[야간당직],1,상세표[야간 구분],"평일"))</f>
        <v/>
      </c>
      <c r="T23">
        <f>IF($X23="","",COUNTIFS(상세표[사번키],INDEX(합계표[사번키],$X23),상세표[반영월],대상월키,상세표[야간당직],1,상세표[야간 구분],"휴일"))</f>
        <v/>
      </c>
      <c r="U23">
        <f>IF($X23="","",COUNTIFS(상세표[사번키],INDEX(합계표[사번키],$X23),상세표[반영월],대상월키,상세표[야간당직],1,상세표[야간 구분],"평일",상세표[반영 기관],"서울병원"))</f>
        <v/>
      </c>
      <c r="V23">
        <f>IF($X23="","",COUNTIFS(상세표[사번키],INDEX(합계표[사번키],$X23),상세표[반영월],대상월키,상세표[야간당직],1,상세표[야간 구분],"휴일",상세표[반영 기관],"서울병원"))</f>
        <v/>
      </c>
      <c r="W23">
        <f>IF($X23="","",IF(ISNUMBER(MATCH(INDEX(합계표[사번키],$X23)&amp;"|"&amp;대상월키,월별근무지표[키],0)),"직접 입력",IF($L23="—","—","기관명단")))</f>
        <v/>
      </c>
      <c r="X23" s="4">
        <f>IFERROR(MATCH(18,합계표[판정순번],0),"")</f>
        <v/>
      </c>
      <c r="Z23">
        <f>IF($AC23="","",INDEX(상세표[사번],$AC23)&amp;"")</f>
        <v/>
      </c>
      <c r="AA23">
        <f>IF($AC23="","",INDEX(상세표[성명],$AC23)&amp;"")</f>
        <v/>
      </c>
      <c r="AB23" s="20">
        <f>IF($AC23="","",SUMIFS(상세표[기록 시간외],상세표[사번키],INDEX(상세표[사번키],$AC23),상세표[반영월],대상월키))</f>
        <v/>
      </c>
      <c r="AC23" s="4">
        <f>IFERROR(MATCH(18,상세표[합계없음순번],0),"")</f>
        <v/>
      </c>
    </row>
    <row r="24">
      <c r="A24">
        <f>IF($X24="","",INDEX(합계표[사번],$X24)&amp;"")</f>
        <v/>
      </c>
      <c r="B24">
        <f>IF($X24="","",INDEX(합계표[성명],$X24)&amp;"")</f>
        <v/>
      </c>
      <c r="C24">
        <f>IF($X24="","",INDEX(합계표[부서],$X24)&amp;"")</f>
        <v/>
      </c>
      <c r="D24">
        <f>IF($X24="","",INDEX(합계표[직위(요약)],$X24)&amp;"")</f>
        <v/>
      </c>
      <c r="E24">
        <f>IF($X24="","",INDEX(합계표[직급 공존],$X24)&amp;"")</f>
        <v/>
      </c>
      <c r="F24" s="20">
        <f>IF($X24="","",SUMIFS(합계표[시스템 합계],합계표[사번키],INDEX(합계표[사번키],$X24)))</f>
        <v/>
      </c>
      <c r="G24" s="20">
        <f>IF($X24="","",SUMIFS(상세표[기록 시간외],상세표[사번키],INDEX(합계표[사번키],$X24),상세표[기록월],대상월키))</f>
        <v/>
      </c>
      <c r="H24">
        <f>IF($X24="","",IF(ABS($F24-$G24)&lt;0.01,"일치","불일치(차이 "&amp;TEXT($G24-$F24,"0.00")&amp;")"))</f>
        <v/>
      </c>
      <c r="I24" s="20">
        <f>IF($X24="","",SUMIFS(상세표[기록 시간외],상세표[사번키],INDEX(합계표[사번키],$X24),상세표[기록월],대상월키,상세표[반영월],"&lt;&gt;"&amp;대상월키))</f>
        <v/>
      </c>
      <c r="J24" s="20">
        <f>IF($X24="","",SUMIFS(상세표[기록 시간외],상세표[사번키],INDEX(합계표[사번키],$X24),상세표[기록월],"&lt;&gt;"&amp;대상월키,상세표[반영월],대상월키))</f>
        <v/>
      </c>
      <c r="K24" s="20">
        <f>IF($X24="","",SUMIFS(상세표[기록 시간외],상세표[사번키],INDEX(합계표[사번키],$X24),상세표[반영월],대상월키))</f>
        <v/>
      </c>
      <c r="L24">
        <f>IF($X24="","",IFERROR(INDEX(월별근무지표[적용 급여병원],MATCH(INDEX(합계표[사번키],$X24)&amp;"|"&amp;대상월키,월별근무지표[키],0))&amp;"",IF(COUNTIF(기관표[사번키],INDEX(합계표[사번키],$X24))+COUNTIF(월별근무지표[사번키],INDEX(합계표[사번키],$X24))&gt;0,IFERROR(INDEX(기관표[급여지급병원(기준월)],MATCH(INDEX(합계표[사번키],$X24)&amp;"|"&amp;대상월키,기관표[키],0))&amp;"","—"),"—")))</f>
        <v/>
      </c>
      <c r="M24">
        <f>IF($X24="","",IF(NOT(COUNTIF(기관표[사번키],INDEX(합계표[사번키],$X24))+COUNTIF(월별근무지표[사번키],INDEX(합계표[사번키],$X24))&gt;0),"기관명단에 없음(다른 병원으로 발송)",IF($L24="서울병원","해당",IF(N($R24)&gt;0,"해당(말일 근무)",IF($L24="—","대상월 기관명단 없음(추가 필요)","비해당")))))</f>
        <v/>
      </c>
      <c r="N24" s="20">
        <f>IF($X24="","",SUMIFS(상세표[06~07시],상세표[사번키],INDEX(합계표[사번키],$X24),상세표[반영월],대상월키,상세표[반영 기관],"서울병원"))</f>
        <v/>
      </c>
      <c r="O24" s="20">
        <f>IF($X24="","",SUMIFS(상세표[07~18시],상세표[사번키],INDEX(합계표[사번키],$X24),상세표[반영월],대상월키,상세표[반영 기관],"서울병원"))</f>
        <v/>
      </c>
      <c r="P24" s="20">
        <f>IF($X24="","",SUMIFS(상세표[18~22시],상세표[사번키],INDEX(합계표[사번키],$X24),상세표[반영월],대상월키,상세표[반영 기관],"서울병원"))</f>
        <v/>
      </c>
      <c r="Q24" s="20">
        <f>IF($X24="","",SUMIFS(상세표[22~06시],상세표[사번키],INDEX(합계표[사번키],$X24),상세표[반영월],대상월키,상세표[반영 기관],"서울병원"))</f>
        <v/>
      </c>
      <c r="R24" s="20">
        <f>IF($X24="","",SUM($N24:$Q24))</f>
        <v/>
      </c>
      <c r="S24">
        <f>IF($X24="","",COUNTIFS(상세표[사번키],INDEX(합계표[사번키],$X24),상세표[반영월],대상월키,상세표[야간당직],1,상세표[야간 구분],"평일"))</f>
        <v/>
      </c>
      <c r="T24">
        <f>IF($X24="","",COUNTIFS(상세표[사번키],INDEX(합계표[사번키],$X24),상세표[반영월],대상월키,상세표[야간당직],1,상세표[야간 구분],"휴일"))</f>
        <v/>
      </c>
      <c r="U24">
        <f>IF($X24="","",COUNTIFS(상세표[사번키],INDEX(합계표[사번키],$X24),상세표[반영월],대상월키,상세표[야간당직],1,상세표[야간 구분],"평일",상세표[반영 기관],"서울병원"))</f>
        <v/>
      </c>
      <c r="V24">
        <f>IF($X24="","",COUNTIFS(상세표[사번키],INDEX(합계표[사번키],$X24),상세표[반영월],대상월키,상세표[야간당직],1,상세표[야간 구분],"휴일",상세표[반영 기관],"서울병원"))</f>
        <v/>
      </c>
      <c r="W24">
        <f>IF($X24="","",IF(ISNUMBER(MATCH(INDEX(합계표[사번키],$X24)&amp;"|"&amp;대상월키,월별근무지표[키],0)),"직접 입력",IF($L24="—","—","기관명단")))</f>
        <v/>
      </c>
      <c r="X24" s="4">
        <f>IFERROR(MATCH(19,합계표[판정순번],0),"")</f>
        <v/>
      </c>
      <c r="Z24">
        <f>IF($AC24="","",INDEX(상세표[사번],$AC24)&amp;"")</f>
        <v/>
      </c>
      <c r="AA24">
        <f>IF($AC24="","",INDEX(상세표[성명],$AC24)&amp;"")</f>
        <v/>
      </c>
      <c r="AB24" s="20">
        <f>IF($AC24="","",SUMIFS(상세표[기록 시간외],상세표[사번키],INDEX(상세표[사번키],$AC24),상세표[반영월],대상월키))</f>
        <v/>
      </c>
      <c r="AC24" s="4">
        <f>IFERROR(MATCH(19,상세표[합계없음순번],0),"")</f>
        <v/>
      </c>
    </row>
    <row r="25">
      <c r="A25">
        <f>IF($X25="","",INDEX(합계표[사번],$X25)&amp;"")</f>
        <v/>
      </c>
      <c r="B25">
        <f>IF($X25="","",INDEX(합계표[성명],$X25)&amp;"")</f>
        <v/>
      </c>
      <c r="C25">
        <f>IF($X25="","",INDEX(합계표[부서],$X25)&amp;"")</f>
        <v/>
      </c>
      <c r="D25">
        <f>IF($X25="","",INDEX(합계표[직위(요약)],$X25)&amp;"")</f>
        <v/>
      </c>
      <c r="E25">
        <f>IF($X25="","",INDEX(합계표[직급 공존],$X25)&amp;"")</f>
        <v/>
      </c>
      <c r="F25" s="20">
        <f>IF($X25="","",SUMIFS(합계표[시스템 합계],합계표[사번키],INDEX(합계표[사번키],$X25)))</f>
        <v/>
      </c>
      <c r="G25" s="20">
        <f>IF($X25="","",SUMIFS(상세표[기록 시간외],상세표[사번키],INDEX(합계표[사번키],$X25),상세표[기록월],대상월키))</f>
        <v/>
      </c>
      <c r="H25">
        <f>IF($X25="","",IF(ABS($F25-$G25)&lt;0.01,"일치","불일치(차이 "&amp;TEXT($G25-$F25,"0.00")&amp;")"))</f>
        <v/>
      </c>
      <c r="I25" s="20">
        <f>IF($X25="","",SUMIFS(상세표[기록 시간외],상세표[사번키],INDEX(합계표[사번키],$X25),상세표[기록월],대상월키,상세표[반영월],"&lt;&gt;"&amp;대상월키))</f>
        <v/>
      </c>
      <c r="J25" s="20">
        <f>IF($X25="","",SUMIFS(상세표[기록 시간외],상세표[사번키],INDEX(합계표[사번키],$X25),상세표[기록월],"&lt;&gt;"&amp;대상월키,상세표[반영월],대상월키))</f>
        <v/>
      </c>
      <c r="K25" s="20">
        <f>IF($X25="","",SUMIFS(상세표[기록 시간외],상세표[사번키],INDEX(합계표[사번키],$X25),상세표[반영월],대상월키))</f>
        <v/>
      </c>
      <c r="L25">
        <f>IF($X25="","",IFERROR(INDEX(월별근무지표[적용 급여병원],MATCH(INDEX(합계표[사번키],$X25)&amp;"|"&amp;대상월키,월별근무지표[키],0))&amp;"",IF(COUNTIF(기관표[사번키],INDEX(합계표[사번키],$X25))+COUNTIF(월별근무지표[사번키],INDEX(합계표[사번키],$X25))&gt;0,IFERROR(INDEX(기관표[급여지급병원(기준월)],MATCH(INDEX(합계표[사번키],$X25)&amp;"|"&amp;대상월키,기관표[키],0))&amp;"","—"),"—")))</f>
        <v/>
      </c>
      <c r="M25">
        <f>IF($X25="","",IF(NOT(COUNTIF(기관표[사번키],INDEX(합계표[사번키],$X25))+COUNTIF(월별근무지표[사번키],INDEX(합계표[사번키],$X25))&gt;0),"기관명단에 없음(다른 병원으로 발송)",IF($L25="서울병원","해당",IF(N($R25)&gt;0,"해당(말일 근무)",IF($L25="—","대상월 기관명단 없음(추가 필요)","비해당")))))</f>
        <v/>
      </c>
      <c r="N25" s="20">
        <f>IF($X25="","",SUMIFS(상세표[06~07시],상세표[사번키],INDEX(합계표[사번키],$X25),상세표[반영월],대상월키,상세표[반영 기관],"서울병원"))</f>
        <v/>
      </c>
      <c r="O25" s="20">
        <f>IF($X25="","",SUMIFS(상세표[07~18시],상세표[사번키],INDEX(합계표[사번키],$X25),상세표[반영월],대상월키,상세표[반영 기관],"서울병원"))</f>
        <v/>
      </c>
      <c r="P25" s="20">
        <f>IF($X25="","",SUMIFS(상세표[18~22시],상세표[사번키],INDEX(합계표[사번키],$X25),상세표[반영월],대상월키,상세표[반영 기관],"서울병원"))</f>
        <v/>
      </c>
      <c r="Q25" s="20">
        <f>IF($X25="","",SUMIFS(상세표[22~06시],상세표[사번키],INDEX(합계표[사번키],$X25),상세표[반영월],대상월키,상세표[반영 기관],"서울병원"))</f>
        <v/>
      </c>
      <c r="R25" s="20">
        <f>IF($X25="","",SUM($N25:$Q25))</f>
        <v/>
      </c>
      <c r="S25">
        <f>IF($X25="","",COUNTIFS(상세표[사번키],INDEX(합계표[사번키],$X25),상세표[반영월],대상월키,상세표[야간당직],1,상세표[야간 구분],"평일"))</f>
        <v/>
      </c>
      <c r="T25">
        <f>IF($X25="","",COUNTIFS(상세표[사번키],INDEX(합계표[사번키],$X25),상세표[반영월],대상월키,상세표[야간당직],1,상세표[야간 구분],"휴일"))</f>
        <v/>
      </c>
      <c r="U25">
        <f>IF($X25="","",COUNTIFS(상세표[사번키],INDEX(합계표[사번키],$X25),상세표[반영월],대상월키,상세표[야간당직],1,상세표[야간 구분],"평일",상세표[반영 기관],"서울병원"))</f>
        <v/>
      </c>
      <c r="V25">
        <f>IF($X25="","",COUNTIFS(상세표[사번키],INDEX(합계표[사번키],$X25),상세표[반영월],대상월키,상세표[야간당직],1,상세표[야간 구분],"휴일",상세표[반영 기관],"서울병원"))</f>
        <v/>
      </c>
      <c r="W25">
        <f>IF($X25="","",IF(ISNUMBER(MATCH(INDEX(합계표[사번키],$X25)&amp;"|"&amp;대상월키,월별근무지표[키],0)),"직접 입력",IF($L25="—","—","기관명단")))</f>
        <v/>
      </c>
      <c r="X25" s="4">
        <f>IFERROR(MATCH(20,합계표[판정순번],0),"")</f>
        <v/>
      </c>
      <c r="Z25">
        <f>IF($AC25="","",INDEX(상세표[사번],$AC25)&amp;"")</f>
        <v/>
      </c>
      <c r="AA25">
        <f>IF($AC25="","",INDEX(상세표[성명],$AC25)&amp;"")</f>
        <v/>
      </c>
      <c r="AB25" s="20">
        <f>IF($AC25="","",SUMIFS(상세표[기록 시간외],상세표[사번키],INDEX(상세표[사번키],$AC25),상세표[반영월],대상월키))</f>
        <v/>
      </c>
      <c r="AC25" s="4">
        <f>IFERROR(MATCH(20,상세표[합계없음순번],0),"")</f>
        <v/>
      </c>
    </row>
    <row r="26">
      <c r="A26">
        <f>IF($X26="","",INDEX(합계표[사번],$X26)&amp;"")</f>
        <v/>
      </c>
      <c r="B26">
        <f>IF($X26="","",INDEX(합계표[성명],$X26)&amp;"")</f>
        <v/>
      </c>
      <c r="C26">
        <f>IF($X26="","",INDEX(합계표[부서],$X26)&amp;"")</f>
        <v/>
      </c>
      <c r="D26">
        <f>IF($X26="","",INDEX(합계표[직위(요약)],$X26)&amp;"")</f>
        <v/>
      </c>
      <c r="E26">
        <f>IF($X26="","",INDEX(합계표[직급 공존],$X26)&amp;"")</f>
        <v/>
      </c>
      <c r="F26" s="20">
        <f>IF($X26="","",SUMIFS(합계표[시스템 합계],합계표[사번키],INDEX(합계표[사번키],$X26)))</f>
        <v/>
      </c>
      <c r="G26" s="20">
        <f>IF($X26="","",SUMIFS(상세표[기록 시간외],상세표[사번키],INDEX(합계표[사번키],$X26),상세표[기록월],대상월키))</f>
        <v/>
      </c>
      <c r="H26">
        <f>IF($X26="","",IF(ABS($F26-$G26)&lt;0.01,"일치","불일치(차이 "&amp;TEXT($G26-$F26,"0.00")&amp;")"))</f>
        <v/>
      </c>
      <c r="I26" s="20">
        <f>IF($X26="","",SUMIFS(상세표[기록 시간외],상세표[사번키],INDEX(합계표[사번키],$X26),상세표[기록월],대상월키,상세표[반영월],"&lt;&gt;"&amp;대상월키))</f>
        <v/>
      </c>
      <c r="J26" s="20">
        <f>IF($X26="","",SUMIFS(상세표[기록 시간외],상세표[사번키],INDEX(합계표[사번키],$X26),상세표[기록월],"&lt;&gt;"&amp;대상월키,상세표[반영월],대상월키))</f>
        <v/>
      </c>
      <c r="K26" s="20">
        <f>IF($X26="","",SUMIFS(상세표[기록 시간외],상세표[사번키],INDEX(합계표[사번키],$X26),상세표[반영월],대상월키))</f>
        <v/>
      </c>
      <c r="L26">
        <f>IF($X26="","",IFERROR(INDEX(월별근무지표[적용 급여병원],MATCH(INDEX(합계표[사번키],$X26)&amp;"|"&amp;대상월키,월별근무지표[키],0))&amp;"",IF(COUNTIF(기관표[사번키],INDEX(합계표[사번키],$X26))+COUNTIF(월별근무지표[사번키],INDEX(합계표[사번키],$X26))&gt;0,IFERROR(INDEX(기관표[급여지급병원(기준월)],MATCH(INDEX(합계표[사번키],$X26)&amp;"|"&amp;대상월키,기관표[키],0))&amp;"","—"),"—")))</f>
        <v/>
      </c>
      <c r="M26">
        <f>IF($X26="","",IF(NOT(COUNTIF(기관표[사번키],INDEX(합계표[사번키],$X26))+COUNTIF(월별근무지표[사번키],INDEX(합계표[사번키],$X26))&gt;0),"기관명단에 없음(다른 병원으로 발송)",IF($L26="서울병원","해당",IF(N($R26)&gt;0,"해당(말일 근무)",IF($L26="—","대상월 기관명단 없음(추가 필요)","비해당")))))</f>
        <v/>
      </c>
      <c r="N26" s="20">
        <f>IF($X26="","",SUMIFS(상세표[06~07시],상세표[사번키],INDEX(합계표[사번키],$X26),상세표[반영월],대상월키,상세표[반영 기관],"서울병원"))</f>
        <v/>
      </c>
      <c r="O26" s="20">
        <f>IF($X26="","",SUMIFS(상세표[07~18시],상세표[사번키],INDEX(합계표[사번키],$X26),상세표[반영월],대상월키,상세표[반영 기관],"서울병원"))</f>
        <v/>
      </c>
      <c r="P26" s="20">
        <f>IF($X26="","",SUMIFS(상세표[18~22시],상세표[사번키],INDEX(합계표[사번키],$X26),상세표[반영월],대상월키,상세표[반영 기관],"서울병원"))</f>
        <v/>
      </c>
      <c r="Q26" s="20">
        <f>IF($X26="","",SUMIFS(상세표[22~06시],상세표[사번키],INDEX(합계표[사번키],$X26),상세표[반영월],대상월키,상세표[반영 기관],"서울병원"))</f>
        <v/>
      </c>
      <c r="R26" s="20">
        <f>IF($X26="","",SUM($N26:$Q26))</f>
        <v/>
      </c>
      <c r="S26">
        <f>IF($X26="","",COUNTIFS(상세표[사번키],INDEX(합계표[사번키],$X26),상세표[반영월],대상월키,상세표[야간당직],1,상세표[야간 구분],"평일"))</f>
        <v/>
      </c>
      <c r="T26">
        <f>IF($X26="","",COUNTIFS(상세표[사번키],INDEX(합계표[사번키],$X26),상세표[반영월],대상월키,상세표[야간당직],1,상세표[야간 구분],"휴일"))</f>
        <v/>
      </c>
      <c r="U26">
        <f>IF($X26="","",COUNTIFS(상세표[사번키],INDEX(합계표[사번키],$X26),상세표[반영월],대상월키,상세표[야간당직],1,상세표[야간 구분],"평일",상세표[반영 기관],"서울병원"))</f>
        <v/>
      </c>
      <c r="V26">
        <f>IF($X26="","",COUNTIFS(상세표[사번키],INDEX(합계표[사번키],$X26),상세표[반영월],대상월키,상세표[야간당직],1,상세표[야간 구분],"휴일",상세표[반영 기관],"서울병원"))</f>
        <v/>
      </c>
      <c r="W26">
        <f>IF($X26="","",IF(ISNUMBER(MATCH(INDEX(합계표[사번키],$X26)&amp;"|"&amp;대상월키,월별근무지표[키],0)),"직접 입력",IF($L26="—","—","기관명단")))</f>
        <v/>
      </c>
      <c r="X26" s="4">
        <f>IFERROR(MATCH(21,합계표[판정순번],0),"")</f>
        <v/>
      </c>
      <c r="Z26">
        <f>IF($AC26="","",INDEX(상세표[사번],$AC26)&amp;"")</f>
        <v/>
      </c>
      <c r="AA26">
        <f>IF($AC26="","",INDEX(상세표[성명],$AC26)&amp;"")</f>
        <v/>
      </c>
      <c r="AB26" s="20">
        <f>IF($AC26="","",SUMIFS(상세표[기록 시간외],상세표[사번키],INDEX(상세표[사번키],$AC26),상세표[반영월],대상월키))</f>
        <v/>
      </c>
      <c r="AC26" s="4">
        <f>IFERROR(MATCH(21,상세표[합계없음순번],0),"")</f>
        <v/>
      </c>
    </row>
    <row r="27">
      <c r="A27">
        <f>IF($X27="","",INDEX(합계표[사번],$X27)&amp;"")</f>
        <v/>
      </c>
      <c r="B27">
        <f>IF($X27="","",INDEX(합계표[성명],$X27)&amp;"")</f>
        <v/>
      </c>
      <c r="C27">
        <f>IF($X27="","",INDEX(합계표[부서],$X27)&amp;"")</f>
        <v/>
      </c>
      <c r="D27">
        <f>IF($X27="","",INDEX(합계표[직위(요약)],$X27)&amp;"")</f>
        <v/>
      </c>
      <c r="E27">
        <f>IF($X27="","",INDEX(합계표[직급 공존],$X27)&amp;"")</f>
        <v/>
      </c>
      <c r="F27" s="20">
        <f>IF($X27="","",SUMIFS(합계표[시스템 합계],합계표[사번키],INDEX(합계표[사번키],$X27)))</f>
        <v/>
      </c>
      <c r="G27" s="20">
        <f>IF($X27="","",SUMIFS(상세표[기록 시간외],상세표[사번키],INDEX(합계표[사번키],$X27),상세표[기록월],대상월키))</f>
        <v/>
      </c>
      <c r="H27">
        <f>IF($X27="","",IF(ABS($F27-$G27)&lt;0.01,"일치","불일치(차이 "&amp;TEXT($G27-$F27,"0.00")&amp;")"))</f>
        <v/>
      </c>
      <c r="I27" s="20">
        <f>IF($X27="","",SUMIFS(상세표[기록 시간외],상세표[사번키],INDEX(합계표[사번키],$X27),상세표[기록월],대상월키,상세표[반영월],"&lt;&gt;"&amp;대상월키))</f>
        <v/>
      </c>
      <c r="J27" s="20">
        <f>IF($X27="","",SUMIFS(상세표[기록 시간외],상세표[사번키],INDEX(합계표[사번키],$X27),상세표[기록월],"&lt;&gt;"&amp;대상월키,상세표[반영월],대상월키))</f>
        <v/>
      </c>
      <c r="K27" s="20">
        <f>IF($X27="","",SUMIFS(상세표[기록 시간외],상세표[사번키],INDEX(합계표[사번키],$X27),상세표[반영월],대상월키))</f>
        <v/>
      </c>
      <c r="L27">
        <f>IF($X27="","",IFERROR(INDEX(월별근무지표[적용 급여병원],MATCH(INDEX(합계표[사번키],$X27)&amp;"|"&amp;대상월키,월별근무지표[키],0))&amp;"",IF(COUNTIF(기관표[사번키],INDEX(합계표[사번키],$X27))+COUNTIF(월별근무지표[사번키],INDEX(합계표[사번키],$X27))&gt;0,IFERROR(INDEX(기관표[급여지급병원(기준월)],MATCH(INDEX(합계표[사번키],$X27)&amp;"|"&amp;대상월키,기관표[키],0))&amp;"","—"),"—")))</f>
        <v/>
      </c>
      <c r="M27">
        <f>IF($X27="","",IF(NOT(COUNTIF(기관표[사번키],INDEX(합계표[사번키],$X27))+COUNTIF(월별근무지표[사번키],INDEX(합계표[사번키],$X27))&gt;0),"기관명단에 없음(다른 병원으로 발송)",IF($L27="서울병원","해당",IF(N($R27)&gt;0,"해당(말일 근무)",IF($L27="—","대상월 기관명단 없음(추가 필요)","비해당")))))</f>
        <v/>
      </c>
      <c r="N27" s="20">
        <f>IF($X27="","",SUMIFS(상세표[06~07시],상세표[사번키],INDEX(합계표[사번키],$X27),상세표[반영월],대상월키,상세표[반영 기관],"서울병원"))</f>
        <v/>
      </c>
      <c r="O27" s="20">
        <f>IF($X27="","",SUMIFS(상세표[07~18시],상세표[사번키],INDEX(합계표[사번키],$X27),상세표[반영월],대상월키,상세표[반영 기관],"서울병원"))</f>
        <v/>
      </c>
      <c r="P27" s="20">
        <f>IF($X27="","",SUMIFS(상세표[18~22시],상세표[사번키],INDEX(합계표[사번키],$X27),상세표[반영월],대상월키,상세표[반영 기관],"서울병원"))</f>
        <v/>
      </c>
      <c r="Q27" s="20">
        <f>IF($X27="","",SUMIFS(상세표[22~06시],상세표[사번키],INDEX(합계표[사번키],$X27),상세표[반영월],대상월키,상세표[반영 기관],"서울병원"))</f>
        <v/>
      </c>
      <c r="R27" s="20">
        <f>IF($X27="","",SUM($N27:$Q27))</f>
        <v/>
      </c>
      <c r="S27">
        <f>IF($X27="","",COUNTIFS(상세표[사번키],INDEX(합계표[사번키],$X27),상세표[반영월],대상월키,상세표[야간당직],1,상세표[야간 구분],"평일"))</f>
        <v/>
      </c>
      <c r="T27">
        <f>IF($X27="","",COUNTIFS(상세표[사번키],INDEX(합계표[사번키],$X27),상세표[반영월],대상월키,상세표[야간당직],1,상세표[야간 구분],"휴일"))</f>
        <v/>
      </c>
      <c r="U27">
        <f>IF($X27="","",COUNTIFS(상세표[사번키],INDEX(합계표[사번키],$X27),상세표[반영월],대상월키,상세표[야간당직],1,상세표[야간 구분],"평일",상세표[반영 기관],"서울병원"))</f>
        <v/>
      </c>
      <c r="V27">
        <f>IF($X27="","",COUNTIFS(상세표[사번키],INDEX(합계표[사번키],$X27),상세표[반영월],대상월키,상세표[야간당직],1,상세표[야간 구분],"휴일",상세표[반영 기관],"서울병원"))</f>
        <v/>
      </c>
      <c r="W27">
        <f>IF($X27="","",IF(ISNUMBER(MATCH(INDEX(합계표[사번키],$X27)&amp;"|"&amp;대상월키,월별근무지표[키],0)),"직접 입력",IF($L27="—","—","기관명단")))</f>
        <v/>
      </c>
      <c r="X27" s="4">
        <f>IFERROR(MATCH(22,합계표[판정순번],0),"")</f>
        <v/>
      </c>
      <c r="Z27">
        <f>IF($AC27="","",INDEX(상세표[사번],$AC27)&amp;"")</f>
        <v/>
      </c>
      <c r="AA27">
        <f>IF($AC27="","",INDEX(상세표[성명],$AC27)&amp;"")</f>
        <v/>
      </c>
      <c r="AB27" s="20">
        <f>IF($AC27="","",SUMIFS(상세표[기록 시간외],상세표[사번키],INDEX(상세표[사번키],$AC27),상세표[반영월],대상월키))</f>
        <v/>
      </c>
      <c r="AC27" s="4">
        <f>IFERROR(MATCH(22,상세표[합계없음순번],0),"")</f>
        <v/>
      </c>
    </row>
    <row r="28">
      <c r="A28">
        <f>IF($X28="","",INDEX(합계표[사번],$X28)&amp;"")</f>
        <v/>
      </c>
      <c r="B28">
        <f>IF($X28="","",INDEX(합계표[성명],$X28)&amp;"")</f>
        <v/>
      </c>
      <c r="C28">
        <f>IF($X28="","",INDEX(합계표[부서],$X28)&amp;"")</f>
        <v/>
      </c>
      <c r="D28">
        <f>IF($X28="","",INDEX(합계표[직위(요약)],$X28)&amp;"")</f>
        <v/>
      </c>
      <c r="E28">
        <f>IF($X28="","",INDEX(합계표[직급 공존],$X28)&amp;"")</f>
        <v/>
      </c>
      <c r="F28" s="20">
        <f>IF($X28="","",SUMIFS(합계표[시스템 합계],합계표[사번키],INDEX(합계표[사번키],$X28)))</f>
        <v/>
      </c>
      <c r="G28" s="20">
        <f>IF($X28="","",SUMIFS(상세표[기록 시간외],상세표[사번키],INDEX(합계표[사번키],$X28),상세표[기록월],대상월키))</f>
        <v/>
      </c>
      <c r="H28">
        <f>IF($X28="","",IF(ABS($F28-$G28)&lt;0.01,"일치","불일치(차이 "&amp;TEXT($G28-$F28,"0.00")&amp;")"))</f>
        <v/>
      </c>
      <c r="I28" s="20">
        <f>IF($X28="","",SUMIFS(상세표[기록 시간외],상세표[사번키],INDEX(합계표[사번키],$X28),상세표[기록월],대상월키,상세표[반영월],"&lt;&gt;"&amp;대상월키))</f>
        <v/>
      </c>
      <c r="J28" s="20">
        <f>IF($X28="","",SUMIFS(상세표[기록 시간외],상세표[사번키],INDEX(합계표[사번키],$X28),상세표[기록월],"&lt;&gt;"&amp;대상월키,상세표[반영월],대상월키))</f>
        <v/>
      </c>
      <c r="K28" s="20">
        <f>IF($X28="","",SUMIFS(상세표[기록 시간외],상세표[사번키],INDEX(합계표[사번키],$X28),상세표[반영월],대상월키))</f>
        <v/>
      </c>
      <c r="L28">
        <f>IF($X28="","",IFERROR(INDEX(월별근무지표[적용 급여병원],MATCH(INDEX(합계표[사번키],$X28)&amp;"|"&amp;대상월키,월별근무지표[키],0))&amp;"",IF(COUNTIF(기관표[사번키],INDEX(합계표[사번키],$X28))+COUNTIF(월별근무지표[사번키],INDEX(합계표[사번키],$X28))&gt;0,IFERROR(INDEX(기관표[급여지급병원(기준월)],MATCH(INDEX(합계표[사번키],$X28)&amp;"|"&amp;대상월키,기관표[키],0))&amp;"","—"),"—")))</f>
        <v/>
      </c>
      <c r="M28">
        <f>IF($X28="","",IF(NOT(COUNTIF(기관표[사번키],INDEX(합계표[사번키],$X28))+COUNTIF(월별근무지표[사번키],INDEX(합계표[사번키],$X28))&gt;0),"기관명단에 없음(다른 병원으로 발송)",IF($L28="서울병원","해당",IF(N($R28)&gt;0,"해당(말일 근무)",IF($L28="—","대상월 기관명단 없음(추가 필요)","비해당")))))</f>
        <v/>
      </c>
      <c r="N28" s="20">
        <f>IF($X28="","",SUMIFS(상세표[06~07시],상세표[사번키],INDEX(합계표[사번키],$X28),상세표[반영월],대상월키,상세표[반영 기관],"서울병원"))</f>
        <v/>
      </c>
      <c r="O28" s="20">
        <f>IF($X28="","",SUMIFS(상세표[07~18시],상세표[사번키],INDEX(합계표[사번키],$X28),상세표[반영월],대상월키,상세표[반영 기관],"서울병원"))</f>
        <v/>
      </c>
      <c r="P28" s="20">
        <f>IF($X28="","",SUMIFS(상세표[18~22시],상세표[사번키],INDEX(합계표[사번키],$X28),상세표[반영월],대상월키,상세표[반영 기관],"서울병원"))</f>
        <v/>
      </c>
      <c r="Q28" s="20">
        <f>IF($X28="","",SUMIFS(상세표[22~06시],상세표[사번키],INDEX(합계표[사번키],$X28),상세표[반영월],대상월키,상세표[반영 기관],"서울병원"))</f>
        <v/>
      </c>
      <c r="R28" s="20">
        <f>IF($X28="","",SUM($N28:$Q28))</f>
        <v/>
      </c>
      <c r="S28">
        <f>IF($X28="","",COUNTIFS(상세표[사번키],INDEX(합계표[사번키],$X28),상세표[반영월],대상월키,상세표[야간당직],1,상세표[야간 구분],"평일"))</f>
        <v/>
      </c>
      <c r="T28">
        <f>IF($X28="","",COUNTIFS(상세표[사번키],INDEX(합계표[사번키],$X28),상세표[반영월],대상월키,상세표[야간당직],1,상세표[야간 구분],"휴일"))</f>
        <v/>
      </c>
      <c r="U28">
        <f>IF($X28="","",COUNTIFS(상세표[사번키],INDEX(합계표[사번키],$X28),상세표[반영월],대상월키,상세표[야간당직],1,상세표[야간 구분],"평일",상세표[반영 기관],"서울병원"))</f>
        <v/>
      </c>
      <c r="V28">
        <f>IF($X28="","",COUNTIFS(상세표[사번키],INDEX(합계표[사번키],$X28),상세표[반영월],대상월키,상세표[야간당직],1,상세표[야간 구분],"휴일",상세표[반영 기관],"서울병원"))</f>
        <v/>
      </c>
      <c r="W28">
        <f>IF($X28="","",IF(ISNUMBER(MATCH(INDEX(합계표[사번키],$X28)&amp;"|"&amp;대상월키,월별근무지표[키],0)),"직접 입력",IF($L28="—","—","기관명단")))</f>
        <v/>
      </c>
      <c r="X28" s="4">
        <f>IFERROR(MATCH(23,합계표[판정순번],0),"")</f>
        <v/>
      </c>
      <c r="Z28">
        <f>IF($AC28="","",INDEX(상세표[사번],$AC28)&amp;"")</f>
        <v/>
      </c>
      <c r="AA28">
        <f>IF($AC28="","",INDEX(상세표[성명],$AC28)&amp;"")</f>
        <v/>
      </c>
      <c r="AB28" s="20">
        <f>IF($AC28="","",SUMIFS(상세표[기록 시간외],상세표[사번키],INDEX(상세표[사번키],$AC28),상세표[반영월],대상월키))</f>
        <v/>
      </c>
      <c r="AC28" s="4">
        <f>IFERROR(MATCH(23,상세표[합계없음순번],0),"")</f>
        <v/>
      </c>
    </row>
    <row r="29">
      <c r="A29">
        <f>IF($X29="","",INDEX(합계표[사번],$X29)&amp;"")</f>
        <v/>
      </c>
      <c r="B29">
        <f>IF($X29="","",INDEX(합계표[성명],$X29)&amp;"")</f>
        <v/>
      </c>
      <c r="C29">
        <f>IF($X29="","",INDEX(합계표[부서],$X29)&amp;"")</f>
        <v/>
      </c>
      <c r="D29">
        <f>IF($X29="","",INDEX(합계표[직위(요약)],$X29)&amp;"")</f>
        <v/>
      </c>
      <c r="E29">
        <f>IF($X29="","",INDEX(합계표[직급 공존],$X29)&amp;"")</f>
        <v/>
      </c>
      <c r="F29" s="20">
        <f>IF($X29="","",SUMIFS(합계표[시스템 합계],합계표[사번키],INDEX(합계표[사번키],$X29)))</f>
        <v/>
      </c>
      <c r="G29" s="20">
        <f>IF($X29="","",SUMIFS(상세표[기록 시간외],상세표[사번키],INDEX(합계표[사번키],$X29),상세표[기록월],대상월키))</f>
        <v/>
      </c>
      <c r="H29">
        <f>IF($X29="","",IF(ABS($F29-$G29)&lt;0.01,"일치","불일치(차이 "&amp;TEXT($G29-$F29,"0.00")&amp;")"))</f>
        <v/>
      </c>
      <c r="I29" s="20">
        <f>IF($X29="","",SUMIFS(상세표[기록 시간외],상세표[사번키],INDEX(합계표[사번키],$X29),상세표[기록월],대상월키,상세표[반영월],"&lt;&gt;"&amp;대상월키))</f>
        <v/>
      </c>
      <c r="J29" s="20">
        <f>IF($X29="","",SUMIFS(상세표[기록 시간외],상세표[사번키],INDEX(합계표[사번키],$X29),상세표[기록월],"&lt;&gt;"&amp;대상월키,상세표[반영월],대상월키))</f>
        <v/>
      </c>
      <c r="K29" s="20">
        <f>IF($X29="","",SUMIFS(상세표[기록 시간외],상세표[사번키],INDEX(합계표[사번키],$X29),상세표[반영월],대상월키))</f>
        <v/>
      </c>
      <c r="L29">
        <f>IF($X29="","",IFERROR(INDEX(월별근무지표[적용 급여병원],MATCH(INDEX(합계표[사번키],$X29)&amp;"|"&amp;대상월키,월별근무지표[키],0))&amp;"",IF(COUNTIF(기관표[사번키],INDEX(합계표[사번키],$X29))+COUNTIF(월별근무지표[사번키],INDEX(합계표[사번키],$X29))&gt;0,IFERROR(INDEX(기관표[급여지급병원(기준월)],MATCH(INDEX(합계표[사번키],$X29)&amp;"|"&amp;대상월키,기관표[키],0))&amp;"","—"),"—")))</f>
        <v/>
      </c>
      <c r="M29">
        <f>IF($X29="","",IF(NOT(COUNTIF(기관표[사번키],INDEX(합계표[사번키],$X29))+COUNTIF(월별근무지표[사번키],INDEX(합계표[사번키],$X29))&gt;0),"기관명단에 없음(다른 병원으로 발송)",IF($L29="서울병원","해당",IF(N($R29)&gt;0,"해당(말일 근무)",IF($L29="—","대상월 기관명단 없음(추가 필요)","비해당")))))</f>
        <v/>
      </c>
      <c r="N29" s="20">
        <f>IF($X29="","",SUMIFS(상세표[06~07시],상세표[사번키],INDEX(합계표[사번키],$X29),상세표[반영월],대상월키,상세표[반영 기관],"서울병원"))</f>
        <v/>
      </c>
      <c r="O29" s="20">
        <f>IF($X29="","",SUMIFS(상세표[07~18시],상세표[사번키],INDEX(합계표[사번키],$X29),상세표[반영월],대상월키,상세표[반영 기관],"서울병원"))</f>
        <v/>
      </c>
      <c r="P29" s="20">
        <f>IF($X29="","",SUMIFS(상세표[18~22시],상세표[사번키],INDEX(합계표[사번키],$X29),상세표[반영월],대상월키,상세표[반영 기관],"서울병원"))</f>
        <v/>
      </c>
      <c r="Q29" s="20">
        <f>IF($X29="","",SUMIFS(상세표[22~06시],상세표[사번키],INDEX(합계표[사번키],$X29),상세표[반영월],대상월키,상세표[반영 기관],"서울병원"))</f>
        <v/>
      </c>
      <c r="R29" s="20">
        <f>IF($X29="","",SUM($N29:$Q29))</f>
        <v/>
      </c>
      <c r="S29">
        <f>IF($X29="","",COUNTIFS(상세표[사번키],INDEX(합계표[사번키],$X29),상세표[반영월],대상월키,상세표[야간당직],1,상세표[야간 구분],"평일"))</f>
        <v/>
      </c>
      <c r="T29">
        <f>IF($X29="","",COUNTIFS(상세표[사번키],INDEX(합계표[사번키],$X29),상세표[반영월],대상월키,상세표[야간당직],1,상세표[야간 구분],"휴일"))</f>
        <v/>
      </c>
      <c r="U29">
        <f>IF($X29="","",COUNTIFS(상세표[사번키],INDEX(합계표[사번키],$X29),상세표[반영월],대상월키,상세표[야간당직],1,상세표[야간 구분],"평일",상세표[반영 기관],"서울병원"))</f>
        <v/>
      </c>
      <c r="V29">
        <f>IF($X29="","",COUNTIFS(상세표[사번키],INDEX(합계표[사번키],$X29),상세표[반영월],대상월키,상세표[야간당직],1,상세표[야간 구분],"휴일",상세표[반영 기관],"서울병원"))</f>
        <v/>
      </c>
      <c r="W29">
        <f>IF($X29="","",IF(ISNUMBER(MATCH(INDEX(합계표[사번키],$X29)&amp;"|"&amp;대상월키,월별근무지표[키],0)),"직접 입력",IF($L29="—","—","기관명단")))</f>
        <v/>
      </c>
      <c r="X29" s="4">
        <f>IFERROR(MATCH(24,합계표[판정순번],0),"")</f>
        <v/>
      </c>
      <c r="Z29">
        <f>IF($AC29="","",INDEX(상세표[사번],$AC29)&amp;"")</f>
        <v/>
      </c>
      <c r="AA29">
        <f>IF($AC29="","",INDEX(상세표[성명],$AC29)&amp;"")</f>
        <v/>
      </c>
      <c r="AB29" s="20">
        <f>IF($AC29="","",SUMIFS(상세표[기록 시간외],상세표[사번키],INDEX(상세표[사번키],$AC29),상세표[반영월],대상월키))</f>
        <v/>
      </c>
      <c r="AC29" s="4">
        <f>IFERROR(MATCH(24,상세표[합계없음순번],0),"")</f>
        <v/>
      </c>
    </row>
    <row r="30">
      <c r="A30">
        <f>IF($X30="","",INDEX(합계표[사번],$X30)&amp;"")</f>
        <v/>
      </c>
      <c r="B30">
        <f>IF($X30="","",INDEX(합계표[성명],$X30)&amp;"")</f>
        <v/>
      </c>
      <c r="C30">
        <f>IF($X30="","",INDEX(합계표[부서],$X30)&amp;"")</f>
        <v/>
      </c>
      <c r="D30">
        <f>IF($X30="","",INDEX(합계표[직위(요약)],$X30)&amp;"")</f>
        <v/>
      </c>
      <c r="E30">
        <f>IF($X30="","",INDEX(합계표[직급 공존],$X30)&amp;"")</f>
        <v/>
      </c>
      <c r="F30" s="20">
        <f>IF($X30="","",SUMIFS(합계표[시스템 합계],합계표[사번키],INDEX(합계표[사번키],$X30)))</f>
        <v/>
      </c>
      <c r="G30" s="20">
        <f>IF($X30="","",SUMIFS(상세표[기록 시간외],상세표[사번키],INDEX(합계표[사번키],$X30),상세표[기록월],대상월키))</f>
        <v/>
      </c>
      <c r="H30">
        <f>IF($X30="","",IF(ABS($F30-$G30)&lt;0.01,"일치","불일치(차이 "&amp;TEXT($G30-$F30,"0.00")&amp;")"))</f>
        <v/>
      </c>
      <c r="I30" s="20">
        <f>IF($X30="","",SUMIFS(상세표[기록 시간외],상세표[사번키],INDEX(합계표[사번키],$X30),상세표[기록월],대상월키,상세표[반영월],"&lt;&gt;"&amp;대상월키))</f>
        <v/>
      </c>
      <c r="J30" s="20">
        <f>IF($X30="","",SUMIFS(상세표[기록 시간외],상세표[사번키],INDEX(합계표[사번키],$X30),상세표[기록월],"&lt;&gt;"&amp;대상월키,상세표[반영월],대상월키))</f>
        <v/>
      </c>
      <c r="K30" s="20">
        <f>IF($X30="","",SUMIFS(상세표[기록 시간외],상세표[사번키],INDEX(합계표[사번키],$X30),상세표[반영월],대상월키))</f>
        <v/>
      </c>
      <c r="L30">
        <f>IF($X30="","",IFERROR(INDEX(월별근무지표[적용 급여병원],MATCH(INDEX(합계표[사번키],$X30)&amp;"|"&amp;대상월키,월별근무지표[키],0))&amp;"",IF(COUNTIF(기관표[사번키],INDEX(합계표[사번키],$X30))+COUNTIF(월별근무지표[사번키],INDEX(합계표[사번키],$X30))&gt;0,IFERROR(INDEX(기관표[급여지급병원(기준월)],MATCH(INDEX(합계표[사번키],$X30)&amp;"|"&amp;대상월키,기관표[키],0))&amp;"","—"),"—")))</f>
        <v/>
      </c>
      <c r="M30">
        <f>IF($X30="","",IF(NOT(COUNTIF(기관표[사번키],INDEX(합계표[사번키],$X30))+COUNTIF(월별근무지표[사번키],INDEX(합계표[사번키],$X30))&gt;0),"기관명단에 없음(다른 병원으로 발송)",IF($L30="서울병원","해당",IF(N($R30)&gt;0,"해당(말일 근무)",IF($L30="—","대상월 기관명단 없음(추가 필요)","비해당")))))</f>
        <v/>
      </c>
      <c r="N30" s="20">
        <f>IF($X30="","",SUMIFS(상세표[06~07시],상세표[사번키],INDEX(합계표[사번키],$X30),상세표[반영월],대상월키,상세표[반영 기관],"서울병원"))</f>
        <v/>
      </c>
      <c r="O30" s="20">
        <f>IF($X30="","",SUMIFS(상세표[07~18시],상세표[사번키],INDEX(합계표[사번키],$X30),상세표[반영월],대상월키,상세표[반영 기관],"서울병원"))</f>
        <v/>
      </c>
      <c r="P30" s="20">
        <f>IF($X30="","",SUMIFS(상세표[18~22시],상세표[사번키],INDEX(합계표[사번키],$X30),상세표[반영월],대상월키,상세표[반영 기관],"서울병원"))</f>
        <v/>
      </c>
      <c r="Q30" s="20">
        <f>IF($X30="","",SUMIFS(상세표[22~06시],상세표[사번키],INDEX(합계표[사번키],$X30),상세표[반영월],대상월키,상세표[반영 기관],"서울병원"))</f>
        <v/>
      </c>
      <c r="R30" s="20">
        <f>IF($X30="","",SUM($N30:$Q30))</f>
        <v/>
      </c>
      <c r="S30">
        <f>IF($X30="","",COUNTIFS(상세표[사번키],INDEX(합계표[사번키],$X30),상세표[반영월],대상월키,상세표[야간당직],1,상세표[야간 구분],"평일"))</f>
        <v/>
      </c>
      <c r="T30">
        <f>IF($X30="","",COUNTIFS(상세표[사번키],INDEX(합계표[사번키],$X30),상세표[반영월],대상월키,상세표[야간당직],1,상세표[야간 구분],"휴일"))</f>
        <v/>
      </c>
      <c r="U30">
        <f>IF($X30="","",COUNTIFS(상세표[사번키],INDEX(합계표[사번키],$X30),상세표[반영월],대상월키,상세표[야간당직],1,상세표[야간 구분],"평일",상세표[반영 기관],"서울병원"))</f>
        <v/>
      </c>
      <c r="V30">
        <f>IF($X30="","",COUNTIFS(상세표[사번키],INDEX(합계표[사번키],$X30),상세표[반영월],대상월키,상세표[야간당직],1,상세표[야간 구분],"휴일",상세표[반영 기관],"서울병원"))</f>
        <v/>
      </c>
      <c r="W30">
        <f>IF($X30="","",IF(ISNUMBER(MATCH(INDEX(합계표[사번키],$X30)&amp;"|"&amp;대상월키,월별근무지표[키],0)),"직접 입력",IF($L30="—","—","기관명단")))</f>
        <v/>
      </c>
      <c r="X30" s="4">
        <f>IFERROR(MATCH(25,합계표[판정순번],0),"")</f>
        <v/>
      </c>
      <c r="Z30">
        <f>IF($AC30="","",INDEX(상세표[사번],$AC30)&amp;"")</f>
        <v/>
      </c>
      <c r="AA30">
        <f>IF($AC30="","",INDEX(상세표[성명],$AC30)&amp;"")</f>
        <v/>
      </c>
      <c r="AB30" s="20">
        <f>IF($AC30="","",SUMIFS(상세표[기록 시간외],상세표[사번키],INDEX(상세표[사번키],$AC30),상세표[반영월],대상월키))</f>
        <v/>
      </c>
      <c r="AC30" s="4">
        <f>IFERROR(MATCH(25,상세표[합계없음순번],0),"")</f>
        <v/>
      </c>
    </row>
    <row r="31">
      <c r="A31">
        <f>IF($X31="","",INDEX(합계표[사번],$X31)&amp;"")</f>
        <v/>
      </c>
      <c r="B31">
        <f>IF($X31="","",INDEX(합계표[성명],$X31)&amp;"")</f>
        <v/>
      </c>
      <c r="C31">
        <f>IF($X31="","",INDEX(합계표[부서],$X31)&amp;"")</f>
        <v/>
      </c>
      <c r="D31">
        <f>IF($X31="","",INDEX(합계표[직위(요약)],$X31)&amp;"")</f>
        <v/>
      </c>
      <c r="E31">
        <f>IF($X31="","",INDEX(합계표[직급 공존],$X31)&amp;"")</f>
        <v/>
      </c>
      <c r="F31" s="20">
        <f>IF($X31="","",SUMIFS(합계표[시스템 합계],합계표[사번키],INDEX(합계표[사번키],$X31)))</f>
        <v/>
      </c>
      <c r="G31" s="20">
        <f>IF($X31="","",SUMIFS(상세표[기록 시간외],상세표[사번키],INDEX(합계표[사번키],$X31),상세표[기록월],대상월키))</f>
        <v/>
      </c>
      <c r="H31">
        <f>IF($X31="","",IF(ABS($F31-$G31)&lt;0.01,"일치","불일치(차이 "&amp;TEXT($G31-$F31,"0.00")&amp;")"))</f>
        <v/>
      </c>
      <c r="I31" s="20">
        <f>IF($X31="","",SUMIFS(상세표[기록 시간외],상세표[사번키],INDEX(합계표[사번키],$X31),상세표[기록월],대상월키,상세표[반영월],"&lt;&gt;"&amp;대상월키))</f>
        <v/>
      </c>
      <c r="J31" s="20">
        <f>IF($X31="","",SUMIFS(상세표[기록 시간외],상세표[사번키],INDEX(합계표[사번키],$X31),상세표[기록월],"&lt;&gt;"&amp;대상월키,상세표[반영월],대상월키))</f>
        <v/>
      </c>
      <c r="K31" s="20">
        <f>IF($X31="","",SUMIFS(상세표[기록 시간외],상세표[사번키],INDEX(합계표[사번키],$X31),상세표[반영월],대상월키))</f>
        <v/>
      </c>
      <c r="L31">
        <f>IF($X31="","",IFERROR(INDEX(월별근무지표[적용 급여병원],MATCH(INDEX(합계표[사번키],$X31)&amp;"|"&amp;대상월키,월별근무지표[키],0))&amp;"",IF(COUNTIF(기관표[사번키],INDEX(합계표[사번키],$X31))+COUNTIF(월별근무지표[사번키],INDEX(합계표[사번키],$X31))&gt;0,IFERROR(INDEX(기관표[급여지급병원(기준월)],MATCH(INDEX(합계표[사번키],$X31)&amp;"|"&amp;대상월키,기관표[키],0))&amp;"","—"),"—")))</f>
        <v/>
      </c>
      <c r="M31">
        <f>IF($X31="","",IF(NOT(COUNTIF(기관표[사번키],INDEX(합계표[사번키],$X31))+COUNTIF(월별근무지표[사번키],INDEX(합계표[사번키],$X31))&gt;0),"기관명단에 없음(다른 병원으로 발송)",IF($L31="서울병원","해당",IF(N($R31)&gt;0,"해당(말일 근무)",IF($L31="—","대상월 기관명단 없음(추가 필요)","비해당")))))</f>
        <v/>
      </c>
      <c r="N31" s="20">
        <f>IF($X31="","",SUMIFS(상세표[06~07시],상세표[사번키],INDEX(합계표[사번키],$X31),상세표[반영월],대상월키,상세표[반영 기관],"서울병원"))</f>
        <v/>
      </c>
      <c r="O31" s="20">
        <f>IF($X31="","",SUMIFS(상세표[07~18시],상세표[사번키],INDEX(합계표[사번키],$X31),상세표[반영월],대상월키,상세표[반영 기관],"서울병원"))</f>
        <v/>
      </c>
      <c r="P31" s="20">
        <f>IF($X31="","",SUMIFS(상세표[18~22시],상세표[사번키],INDEX(합계표[사번키],$X31),상세표[반영월],대상월키,상세표[반영 기관],"서울병원"))</f>
        <v/>
      </c>
      <c r="Q31" s="20">
        <f>IF($X31="","",SUMIFS(상세표[22~06시],상세표[사번키],INDEX(합계표[사번키],$X31),상세표[반영월],대상월키,상세표[반영 기관],"서울병원"))</f>
        <v/>
      </c>
      <c r="R31" s="20">
        <f>IF($X31="","",SUM($N31:$Q31))</f>
        <v/>
      </c>
      <c r="S31">
        <f>IF($X31="","",COUNTIFS(상세표[사번키],INDEX(합계표[사번키],$X31),상세표[반영월],대상월키,상세표[야간당직],1,상세표[야간 구분],"평일"))</f>
        <v/>
      </c>
      <c r="T31">
        <f>IF($X31="","",COUNTIFS(상세표[사번키],INDEX(합계표[사번키],$X31),상세표[반영월],대상월키,상세표[야간당직],1,상세표[야간 구분],"휴일"))</f>
        <v/>
      </c>
      <c r="U31">
        <f>IF($X31="","",COUNTIFS(상세표[사번키],INDEX(합계표[사번키],$X31),상세표[반영월],대상월키,상세표[야간당직],1,상세표[야간 구분],"평일",상세표[반영 기관],"서울병원"))</f>
        <v/>
      </c>
      <c r="V31">
        <f>IF($X31="","",COUNTIFS(상세표[사번키],INDEX(합계표[사번키],$X31),상세표[반영월],대상월키,상세표[야간당직],1,상세표[야간 구분],"휴일",상세표[반영 기관],"서울병원"))</f>
        <v/>
      </c>
      <c r="W31">
        <f>IF($X31="","",IF(ISNUMBER(MATCH(INDEX(합계표[사번키],$X31)&amp;"|"&amp;대상월키,월별근무지표[키],0)),"직접 입력",IF($L31="—","—","기관명단")))</f>
        <v/>
      </c>
      <c r="X31" s="4">
        <f>IFERROR(MATCH(26,합계표[판정순번],0),"")</f>
        <v/>
      </c>
      <c r="Z31">
        <f>IF($AC31="","",INDEX(상세표[사번],$AC31)&amp;"")</f>
        <v/>
      </c>
      <c r="AA31">
        <f>IF($AC31="","",INDEX(상세표[성명],$AC31)&amp;"")</f>
        <v/>
      </c>
      <c r="AB31" s="20">
        <f>IF($AC31="","",SUMIFS(상세표[기록 시간외],상세표[사번키],INDEX(상세표[사번키],$AC31),상세표[반영월],대상월키))</f>
        <v/>
      </c>
      <c r="AC31" s="4">
        <f>IFERROR(MATCH(26,상세표[합계없음순번],0),"")</f>
        <v/>
      </c>
    </row>
    <row r="32">
      <c r="A32">
        <f>IF($X32="","",INDEX(합계표[사번],$X32)&amp;"")</f>
        <v/>
      </c>
      <c r="B32">
        <f>IF($X32="","",INDEX(합계표[성명],$X32)&amp;"")</f>
        <v/>
      </c>
      <c r="C32">
        <f>IF($X32="","",INDEX(합계표[부서],$X32)&amp;"")</f>
        <v/>
      </c>
      <c r="D32">
        <f>IF($X32="","",INDEX(합계표[직위(요약)],$X32)&amp;"")</f>
        <v/>
      </c>
      <c r="E32">
        <f>IF($X32="","",INDEX(합계표[직급 공존],$X32)&amp;"")</f>
        <v/>
      </c>
      <c r="F32" s="20">
        <f>IF($X32="","",SUMIFS(합계표[시스템 합계],합계표[사번키],INDEX(합계표[사번키],$X32)))</f>
        <v/>
      </c>
      <c r="G32" s="20">
        <f>IF($X32="","",SUMIFS(상세표[기록 시간외],상세표[사번키],INDEX(합계표[사번키],$X32),상세표[기록월],대상월키))</f>
        <v/>
      </c>
      <c r="H32">
        <f>IF($X32="","",IF(ABS($F32-$G32)&lt;0.01,"일치","불일치(차이 "&amp;TEXT($G32-$F32,"0.00")&amp;")"))</f>
        <v/>
      </c>
      <c r="I32" s="20">
        <f>IF($X32="","",SUMIFS(상세표[기록 시간외],상세표[사번키],INDEX(합계표[사번키],$X32),상세표[기록월],대상월키,상세표[반영월],"&lt;&gt;"&amp;대상월키))</f>
        <v/>
      </c>
      <c r="J32" s="20">
        <f>IF($X32="","",SUMIFS(상세표[기록 시간외],상세표[사번키],INDEX(합계표[사번키],$X32),상세표[기록월],"&lt;&gt;"&amp;대상월키,상세표[반영월],대상월키))</f>
        <v/>
      </c>
      <c r="K32" s="20">
        <f>IF($X32="","",SUMIFS(상세표[기록 시간외],상세표[사번키],INDEX(합계표[사번키],$X32),상세표[반영월],대상월키))</f>
        <v/>
      </c>
      <c r="L32">
        <f>IF($X32="","",IFERROR(INDEX(월별근무지표[적용 급여병원],MATCH(INDEX(합계표[사번키],$X32)&amp;"|"&amp;대상월키,월별근무지표[키],0))&amp;"",IF(COUNTIF(기관표[사번키],INDEX(합계표[사번키],$X32))+COUNTIF(월별근무지표[사번키],INDEX(합계표[사번키],$X32))&gt;0,IFERROR(INDEX(기관표[급여지급병원(기준월)],MATCH(INDEX(합계표[사번키],$X32)&amp;"|"&amp;대상월키,기관표[키],0))&amp;"","—"),"—")))</f>
        <v/>
      </c>
      <c r="M32">
        <f>IF($X32="","",IF(NOT(COUNTIF(기관표[사번키],INDEX(합계표[사번키],$X32))+COUNTIF(월별근무지표[사번키],INDEX(합계표[사번키],$X32))&gt;0),"기관명단에 없음(다른 병원으로 발송)",IF($L32="서울병원","해당",IF(N($R32)&gt;0,"해당(말일 근무)",IF($L32="—","대상월 기관명단 없음(추가 필요)","비해당")))))</f>
        <v/>
      </c>
      <c r="N32" s="20">
        <f>IF($X32="","",SUMIFS(상세표[06~07시],상세표[사번키],INDEX(합계표[사번키],$X32),상세표[반영월],대상월키,상세표[반영 기관],"서울병원"))</f>
        <v/>
      </c>
      <c r="O32" s="20">
        <f>IF($X32="","",SUMIFS(상세표[07~18시],상세표[사번키],INDEX(합계표[사번키],$X32),상세표[반영월],대상월키,상세표[반영 기관],"서울병원"))</f>
        <v/>
      </c>
      <c r="P32" s="20">
        <f>IF($X32="","",SUMIFS(상세표[18~22시],상세표[사번키],INDEX(합계표[사번키],$X32),상세표[반영월],대상월키,상세표[반영 기관],"서울병원"))</f>
        <v/>
      </c>
      <c r="Q32" s="20">
        <f>IF($X32="","",SUMIFS(상세표[22~06시],상세표[사번키],INDEX(합계표[사번키],$X32),상세표[반영월],대상월키,상세표[반영 기관],"서울병원"))</f>
        <v/>
      </c>
      <c r="R32" s="20">
        <f>IF($X32="","",SUM($N32:$Q32))</f>
        <v/>
      </c>
      <c r="S32">
        <f>IF($X32="","",COUNTIFS(상세표[사번키],INDEX(합계표[사번키],$X32),상세표[반영월],대상월키,상세표[야간당직],1,상세표[야간 구분],"평일"))</f>
        <v/>
      </c>
      <c r="T32">
        <f>IF($X32="","",COUNTIFS(상세표[사번키],INDEX(합계표[사번키],$X32),상세표[반영월],대상월키,상세표[야간당직],1,상세표[야간 구분],"휴일"))</f>
        <v/>
      </c>
      <c r="U32">
        <f>IF($X32="","",COUNTIFS(상세표[사번키],INDEX(합계표[사번키],$X32),상세표[반영월],대상월키,상세표[야간당직],1,상세표[야간 구분],"평일",상세표[반영 기관],"서울병원"))</f>
        <v/>
      </c>
      <c r="V32">
        <f>IF($X32="","",COUNTIFS(상세표[사번키],INDEX(합계표[사번키],$X32),상세표[반영월],대상월키,상세표[야간당직],1,상세표[야간 구분],"휴일",상세표[반영 기관],"서울병원"))</f>
        <v/>
      </c>
      <c r="W32">
        <f>IF($X32="","",IF(ISNUMBER(MATCH(INDEX(합계표[사번키],$X32)&amp;"|"&amp;대상월키,월별근무지표[키],0)),"직접 입력",IF($L32="—","—","기관명단")))</f>
        <v/>
      </c>
      <c r="X32" s="4">
        <f>IFERROR(MATCH(27,합계표[판정순번],0),"")</f>
        <v/>
      </c>
      <c r="Z32">
        <f>IF($AC32="","",INDEX(상세표[사번],$AC32)&amp;"")</f>
        <v/>
      </c>
      <c r="AA32">
        <f>IF($AC32="","",INDEX(상세표[성명],$AC32)&amp;"")</f>
        <v/>
      </c>
      <c r="AB32" s="20">
        <f>IF($AC32="","",SUMIFS(상세표[기록 시간외],상세표[사번키],INDEX(상세표[사번키],$AC32),상세표[반영월],대상월키))</f>
        <v/>
      </c>
      <c r="AC32" s="4">
        <f>IFERROR(MATCH(27,상세표[합계없음순번],0),"")</f>
        <v/>
      </c>
    </row>
    <row r="33">
      <c r="A33">
        <f>IF($X33="","",INDEX(합계표[사번],$X33)&amp;"")</f>
        <v/>
      </c>
      <c r="B33">
        <f>IF($X33="","",INDEX(합계표[성명],$X33)&amp;"")</f>
        <v/>
      </c>
      <c r="C33">
        <f>IF($X33="","",INDEX(합계표[부서],$X33)&amp;"")</f>
        <v/>
      </c>
      <c r="D33">
        <f>IF($X33="","",INDEX(합계표[직위(요약)],$X33)&amp;"")</f>
        <v/>
      </c>
      <c r="E33">
        <f>IF($X33="","",INDEX(합계표[직급 공존],$X33)&amp;"")</f>
        <v/>
      </c>
      <c r="F33" s="20">
        <f>IF($X33="","",SUMIFS(합계표[시스템 합계],합계표[사번키],INDEX(합계표[사번키],$X33)))</f>
        <v/>
      </c>
      <c r="G33" s="20">
        <f>IF($X33="","",SUMIFS(상세표[기록 시간외],상세표[사번키],INDEX(합계표[사번키],$X33),상세표[기록월],대상월키))</f>
        <v/>
      </c>
      <c r="H33">
        <f>IF($X33="","",IF(ABS($F33-$G33)&lt;0.01,"일치","불일치(차이 "&amp;TEXT($G33-$F33,"0.00")&amp;")"))</f>
        <v/>
      </c>
      <c r="I33" s="20">
        <f>IF($X33="","",SUMIFS(상세표[기록 시간외],상세표[사번키],INDEX(합계표[사번키],$X33),상세표[기록월],대상월키,상세표[반영월],"&lt;&gt;"&amp;대상월키))</f>
        <v/>
      </c>
      <c r="J33" s="20">
        <f>IF($X33="","",SUMIFS(상세표[기록 시간외],상세표[사번키],INDEX(합계표[사번키],$X33),상세표[기록월],"&lt;&gt;"&amp;대상월키,상세표[반영월],대상월키))</f>
        <v/>
      </c>
      <c r="K33" s="20">
        <f>IF($X33="","",SUMIFS(상세표[기록 시간외],상세표[사번키],INDEX(합계표[사번키],$X33),상세표[반영월],대상월키))</f>
        <v/>
      </c>
      <c r="L33">
        <f>IF($X33="","",IFERROR(INDEX(월별근무지표[적용 급여병원],MATCH(INDEX(합계표[사번키],$X33)&amp;"|"&amp;대상월키,월별근무지표[키],0))&amp;"",IF(COUNTIF(기관표[사번키],INDEX(합계표[사번키],$X33))+COUNTIF(월별근무지표[사번키],INDEX(합계표[사번키],$X33))&gt;0,IFERROR(INDEX(기관표[급여지급병원(기준월)],MATCH(INDEX(합계표[사번키],$X33)&amp;"|"&amp;대상월키,기관표[키],0))&amp;"","—"),"—")))</f>
        <v/>
      </c>
      <c r="M33">
        <f>IF($X33="","",IF(NOT(COUNTIF(기관표[사번키],INDEX(합계표[사번키],$X33))+COUNTIF(월별근무지표[사번키],INDEX(합계표[사번키],$X33))&gt;0),"기관명단에 없음(다른 병원으로 발송)",IF($L33="서울병원","해당",IF(N($R33)&gt;0,"해당(말일 근무)",IF($L33="—","대상월 기관명단 없음(추가 필요)","비해당")))))</f>
        <v/>
      </c>
      <c r="N33" s="20">
        <f>IF($X33="","",SUMIFS(상세표[06~07시],상세표[사번키],INDEX(합계표[사번키],$X33),상세표[반영월],대상월키,상세표[반영 기관],"서울병원"))</f>
        <v/>
      </c>
      <c r="O33" s="20">
        <f>IF($X33="","",SUMIFS(상세표[07~18시],상세표[사번키],INDEX(합계표[사번키],$X33),상세표[반영월],대상월키,상세표[반영 기관],"서울병원"))</f>
        <v/>
      </c>
      <c r="P33" s="20">
        <f>IF($X33="","",SUMIFS(상세표[18~22시],상세표[사번키],INDEX(합계표[사번키],$X33),상세표[반영월],대상월키,상세표[반영 기관],"서울병원"))</f>
        <v/>
      </c>
      <c r="Q33" s="20">
        <f>IF($X33="","",SUMIFS(상세표[22~06시],상세표[사번키],INDEX(합계표[사번키],$X33),상세표[반영월],대상월키,상세표[반영 기관],"서울병원"))</f>
        <v/>
      </c>
      <c r="R33" s="20">
        <f>IF($X33="","",SUM($N33:$Q33))</f>
        <v/>
      </c>
      <c r="S33">
        <f>IF($X33="","",COUNTIFS(상세표[사번키],INDEX(합계표[사번키],$X33),상세표[반영월],대상월키,상세표[야간당직],1,상세표[야간 구분],"평일"))</f>
        <v/>
      </c>
      <c r="T33">
        <f>IF($X33="","",COUNTIFS(상세표[사번키],INDEX(합계표[사번키],$X33),상세표[반영월],대상월키,상세표[야간당직],1,상세표[야간 구분],"휴일"))</f>
        <v/>
      </c>
      <c r="U33">
        <f>IF($X33="","",COUNTIFS(상세표[사번키],INDEX(합계표[사번키],$X33),상세표[반영월],대상월키,상세표[야간당직],1,상세표[야간 구분],"평일",상세표[반영 기관],"서울병원"))</f>
        <v/>
      </c>
      <c r="V33">
        <f>IF($X33="","",COUNTIFS(상세표[사번키],INDEX(합계표[사번키],$X33),상세표[반영월],대상월키,상세표[야간당직],1,상세표[야간 구분],"휴일",상세표[반영 기관],"서울병원"))</f>
        <v/>
      </c>
      <c r="W33">
        <f>IF($X33="","",IF(ISNUMBER(MATCH(INDEX(합계표[사번키],$X33)&amp;"|"&amp;대상월키,월별근무지표[키],0)),"직접 입력",IF($L33="—","—","기관명단")))</f>
        <v/>
      </c>
      <c r="X33" s="4">
        <f>IFERROR(MATCH(28,합계표[판정순번],0),"")</f>
        <v/>
      </c>
      <c r="Z33">
        <f>IF($AC33="","",INDEX(상세표[사번],$AC33)&amp;"")</f>
        <v/>
      </c>
      <c r="AA33">
        <f>IF($AC33="","",INDEX(상세표[성명],$AC33)&amp;"")</f>
        <v/>
      </c>
      <c r="AB33" s="20">
        <f>IF($AC33="","",SUMIFS(상세표[기록 시간외],상세표[사번키],INDEX(상세표[사번키],$AC33),상세표[반영월],대상월키))</f>
        <v/>
      </c>
      <c r="AC33" s="4">
        <f>IFERROR(MATCH(28,상세표[합계없음순번],0),"")</f>
        <v/>
      </c>
    </row>
    <row r="34">
      <c r="A34">
        <f>IF($X34="","",INDEX(합계표[사번],$X34)&amp;"")</f>
        <v/>
      </c>
      <c r="B34">
        <f>IF($X34="","",INDEX(합계표[성명],$X34)&amp;"")</f>
        <v/>
      </c>
      <c r="C34">
        <f>IF($X34="","",INDEX(합계표[부서],$X34)&amp;"")</f>
        <v/>
      </c>
      <c r="D34">
        <f>IF($X34="","",INDEX(합계표[직위(요약)],$X34)&amp;"")</f>
        <v/>
      </c>
      <c r="E34">
        <f>IF($X34="","",INDEX(합계표[직급 공존],$X34)&amp;"")</f>
        <v/>
      </c>
      <c r="F34" s="20">
        <f>IF($X34="","",SUMIFS(합계표[시스템 합계],합계표[사번키],INDEX(합계표[사번키],$X34)))</f>
        <v/>
      </c>
      <c r="G34" s="20">
        <f>IF($X34="","",SUMIFS(상세표[기록 시간외],상세표[사번키],INDEX(합계표[사번키],$X34),상세표[기록월],대상월키))</f>
        <v/>
      </c>
      <c r="H34">
        <f>IF($X34="","",IF(ABS($F34-$G34)&lt;0.01,"일치","불일치(차이 "&amp;TEXT($G34-$F34,"0.00")&amp;")"))</f>
        <v/>
      </c>
      <c r="I34" s="20">
        <f>IF($X34="","",SUMIFS(상세표[기록 시간외],상세표[사번키],INDEX(합계표[사번키],$X34),상세표[기록월],대상월키,상세표[반영월],"&lt;&gt;"&amp;대상월키))</f>
        <v/>
      </c>
      <c r="J34" s="20">
        <f>IF($X34="","",SUMIFS(상세표[기록 시간외],상세표[사번키],INDEX(합계표[사번키],$X34),상세표[기록월],"&lt;&gt;"&amp;대상월키,상세표[반영월],대상월키))</f>
        <v/>
      </c>
      <c r="K34" s="20">
        <f>IF($X34="","",SUMIFS(상세표[기록 시간외],상세표[사번키],INDEX(합계표[사번키],$X34),상세표[반영월],대상월키))</f>
        <v/>
      </c>
      <c r="L34">
        <f>IF($X34="","",IFERROR(INDEX(월별근무지표[적용 급여병원],MATCH(INDEX(합계표[사번키],$X34)&amp;"|"&amp;대상월키,월별근무지표[키],0))&amp;"",IF(COUNTIF(기관표[사번키],INDEX(합계표[사번키],$X34))+COUNTIF(월별근무지표[사번키],INDEX(합계표[사번키],$X34))&gt;0,IFERROR(INDEX(기관표[급여지급병원(기준월)],MATCH(INDEX(합계표[사번키],$X34)&amp;"|"&amp;대상월키,기관표[키],0))&amp;"","—"),"—")))</f>
        <v/>
      </c>
      <c r="M34">
        <f>IF($X34="","",IF(NOT(COUNTIF(기관표[사번키],INDEX(합계표[사번키],$X34))+COUNTIF(월별근무지표[사번키],INDEX(합계표[사번키],$X34))&gt;0),"기관명단에 없음(다른 병원으로 발송)",IF($L34="서울병원","해당",IF(N($R34)&gt;0,"해당(말일 근무)",IF($L34="—","대상월 기관명단 없음(추가 필요)","비해당")))))</f>
        <v/>
      </c>
      <c r="N34" s="20">
        <f>IF($X34="","",SUMIFS(상세표[06~07시],상세표[사번키],INDEX(합계표[사번키],$X34),상세표[반영월],대상월키,상세표[반영 기관],"서울병원"))</f>
        <v/>
      </c>
      <c r="O34" s="20">
        <f>IF($X34="","",SUMIFS(상세표[07~18시],상세표[사번키],INDEX(합계표[사번키],$X34),상세표[반영월],대상월키,상세표[반영 기관],"서울병원"))</f>
        <v/>
      </c>
      <c r="P34" s="20">
        <f>IF($X34="","",SUMIFS(상세표[18~22시],상세표[사번키],INDEX(합계표[사번키],$X34),상세표[반영월],대상월키,상세표[반영 기관],"서울병원"))</f>
        <v/>
      </c>
      <c r="Q34" s="20">
        <f>IF($X34="","",SUMIFS(상세표[22~06시],상세표[사번키],INDEX(합계표[사번키],$X34),상세표[반영월],대상월키,상세표[반영 기관],"서울병원"))</f>
        <v/>
      </c>
      <c r="R34" s="20">
        <f>IF($X34="","",SUM($N34:$Q34))</f>
        <v/>
      </c>
      <c r="S34">
        <f>IF($X34="","",COUNTIFS(상세표[사번키],INDEX(합계표[사번키],$X34),상세표[반영월],대상월키,상세표[야간당직],1,상세표[야간 구분],"평일"))</f>
        <v/>
      </c>
      <c r="T34">
        <f>IF($X34="","",COUNTIFS(상세표[사번키],INDEX(합계표[사번키],$X34),상세표[반영월],대상월키,상세표[야간당직],1,상세표[야간 구분],"휴일"))</f>
        <v/>
      </c>
      <c r="U34">
        <f>IF($X34="","",COUNTIFS(상세표[사번키],INDEX(합계표[사번키],$X34),상세표[반영월],대상월키,상세표[야간당직],1,상세표[야간 구분],"평일",상세표[반영 기관],"서울병원"))</f>
        <v/>
      </c>
      <c r="V34">
        <f>IF($X34="","",COUNTIFS(상세표[사번키],INDEX(합계표[사번키],$X34),상세표[반영월],대상월키,상세표[야간당직],1,상세표[야간 구분],"휴일",상세표[반영 기관],"서울병원"))</f>
        <v/>
      </c>
      <c r="W34">
        <f>IF($X34="","",IF(ISNUMBER(MATCH(INDEX(합계표[사번키],$X34)&amp;"|"&amp;대상월키,월별근무지표[키],0)),"직접 입력",IF($L34="—","—","기관명단")))</f>
        <v/>
      </c>
      <c r="X34" s="4">
        <f>IFERROR(MATCH(29,합계표[판정순번],0),"")</f>
        <v/>
      </c>
      <c r="Z34">
        <f>IF($AC34="","",INDEX(상세표[사번],$AC34)&amp;"")</f>
        <v/>
      </c>
      <c r="AA34">
        <f>IF($AC34="","",INDEX(상세표[성명],$AC34)&amp;"")</f>
        <v/>
      </c>
      <c r="AB34" s="20">
        <f>IF($AC34="","",SUMIFS(상세표[기록 시간외],상세표[사번키],INDEX(상세표[사번키],$AC34),상세표[반영월],대상월키))</f>
        <v/>
      </c>
      <c r="AC34" s="4">
        <f>IFERROR(MATCH(29,상세표[합계없음순번],0),"")</f>
        <v/>
      </c>
    </row>
    <row r="35">
      <c r="A35">
        <f>IF($X35="","",INDEX(합계표[사번],$X35)&amp;"")</f>
        <v/>
      </c>
      <c r="B35">
        <f>IF($X35="","",INDEX(합계표[성명],$X35)&amp;"")</f>
        <v/>
      </c>
      <c r="C35">
        <f>IF($X35="","",INDEX(합계표[부서],$X35)&amp;"")</f>
        <v/>
      </c>
      <c r="D35">
        <f>IF($X35="","",INDEX(합계표[직위(요약)],$X35)&amp;"")</f>
        <v/>
      </c>
      <c r="E35">
        <f>IF($X35="","",INDEX(합계표[직급 공존],$X35)&amp;"")</f>
        <v/>
      </c>
      <c r="F35" s="20">
        <f>IF($X35="","",SUMIFS(합계표[시스템 합계],합계표[사번키],INDEX(합계표[사번키],$X35)))</f>
        <v/>
      </c>
      <c r="G35" s="20">
        <f>IF($X35="","",SUMIFS(상세표[기록 시간외],상세표[사번키],INDEX(합계표[사번키],$X35),상세표[기록월],대상월키))</f>
        <v/>
      </c>
      <c r="H35">
        <f>IF($X35="","",IF(ABS($F35-$G35)&lt;0.01,"일치","불일치(차이 "&amp;TEXT($G35-$F35,"0.00")&amp;")"))</f>
        <v/>
      </c>
      <c r="I35" s="20">
        <f>IF($X35="","",SUMIFS(상세표[기록 시간외],상세표[사번키],INDEX(합계표[사번키],$X35),상세표[기록월],대상월키,상세표[반영월],"&lt;&gt;"&amp;대상월키))</f>
        <v/>
      </c>
      <c r="J35" s="20">
        <f>IF($X35="","",SUMIFS(상세표[기록 시간외],상세표[사번키],INDEX(합계표[사번키],$X35),상세표[기록월],"&lt;&gt;"&amp;대상월키,상세표[반영월],대상월키))</f>
        <v/>
      </c>
      <c r="K35" s="20">
        <f>IF($X35="","",SUMIFS(상세표[기록 시간외],상세표[사번키],INDEX(합계표[사번키],$X35),상세표[반영월],대상월키))</f>
        <v/>
      </c>
      <c r="L35">
        <f>IF($X35="","",IFERROR(INDEX(월별근무지표[적용 급여병원],MATCH(INDEX(합계표[사번키],$X35)&amp;"|"&amp;대상월키,월별근무지표[키],0))&amp;"",IF(COUNTIF(기관표[사번키],INDEX(합계표[사번키],$X35))+COUNTIF(월별근무지표[사번키],INDEX(합계표[사번키],$X35))&gt;0,IFERROR(INDEX(기관표[급여지급병원(기준월)],MATCH(INDEX(합계표[사번키],$X35)&amp;"|"&amp;대상월키,기관표[키],0))&amp;"","—"),"—")))</f>
        <v/>
      </c>
      <c r="M35">
        <f>IF($X35="","",IF(NOT(COUNTIF(기관표[사번키],INDEX(합계표[사번키],$X35))+COUNTIF(월별근무지표[사번키],INDEX(합계표[사번키],$X35))&gt;0),"기관명단에 없음(다른 병원으로 발송)",IF($L35="서울병원","해당",IF(N($R35)&gt;0,"해당(말일 근무)",IF($L35="—","대상월 기관명단 없음(추가 필요)","비해당")))))</f>
        <v/>
      </c>
      <c r="N35" s="20">
        <f>IF($X35="","",SUMIFS(상세표[06~07시],상세표[사번키],INDEX(합계표[사번키],$X35),상세표[반영월],대상월키,상세표[반영 기관],"서울병원"))</f>
        <v/>
      </c>
      <c r="O35" s="20">
        <f>IF($X35="","",SUMIFS(상세표[07~18시],상세표[사번키],INDEX(합계표[사번키],$X35),상세표[반영월],대상월키,상세표[반영 기관],"서울병원"))</f>
        <v/>
      </c>
      <c r="P35" s="20">
        <f>IF($X35="","",SUMIFS(상세표[18~22시],상세표[사번키],INDEX(합계표[사번키],$X35),상세표[반영월],대상월키,상세표[반영 기관],"서울병원"))</f>
        <v/>
      </c>
      <c r="Q35" s="20">
        <f>IF($X35="","",SUMIFS(상세표[22~06시],상세표[사번키],INDEX(합계표[사번키],$X35),상세표[반영월],대상월키,상세표[반영 기관],"서울병원"))</f>
        <v/>
      </c>
      <c r="R35" s="20">
        <f>IF($X35="","",SUM($N35:$Q35))</f>
        <v/>
      </c>
      <c r="S35">
        <f>IF($X35="","",COUNTIFS(상세표[사번키],INDEX(합계표[사번키],$X35),상세표[반영월],대상월키,상세표[야간당직],1,상세표[야간 구분],"평일"))</f>
        <v/>
      </c>
      <c r="T35">
        <f>IF($X35="","",COUNTIFS(상세표[사번키],INDEX(합계표[사번키],$X35),상세표[반영월],대상월키,상세표[야간당직],1,상세표[야간 구분],"휴일"))</f>
        <v/>
      </c>
      <c r="U35">
        <f>IF($X35="","",COUNTIFS(상세표[사번키],INDEX(합계표[사번키],$X35),상세표[반영월],대상월키,상세표[야간당직],1,상세표[야간 구분],"평일",상세표[반영 기관],"서울병원"))</f>
        <v/>
      </c>
      <c r="V35">
        <f>IF($X35="","",COUNTIFS(상세표[사번키],INDEX(합계표[사번키],$X35),상세표[반영월],대상월키,상세표[야간당직],1,상세표[야간 구분],"휴일",상세표[반영 기관],"서울병원"))</f>
        <v/>
      </c>
      <c r="W35">
        <f>IF($X35="","",IF(ISNUMBER(MATCH(INDEX(합계표[사번키],$X35)&amp;"|"&amp;대상월키,월별근무지표[키],0)),"직접 입력",IF($L35="—","—","기관명단")))</f>
        <v/>
      </c>
      <c r="X35" s="4">
        <f>IFERROR(MATCH(30,합계표[판정순번],0),"")</f>
        <v/>
      </c>
      <c r="Z35">
        <f>IF($AC35="","",INDEX(상세표[사번],$AC35)&amp;"")</f>
        <v/>
      </c>
      <c r="AA35">
        <f>IF($AC35="","",INDEX(상세표[성명],$AC35)&amp;"")</f>
        <v/>
      </c>
      <c r="AB35" s="20">
        <f>IF($AC35="","",SUMIFS(상세표[기록 시간외],상세표[사번키],INDEX(상세표[사번키],$AC35),상세표[반영월],대상월키))</f>
        <v/>
      </c>
      <c r="AC35" s="4">
        <f>IFERROR(MATCH(30,상세표[합계없음순번],0),"")</f>
        <v/>
      </c>
    </row>
    <row r="36">
      <c r="A36">
        <f>IF($X36="","",INDEX(합계표[사번],$X36)&amp;"")</f>
        <v/>
      </c>
      <c r="B36">
        <f>IF($X36="","",INDEX(합계표[성명],$X36)&amp;"")</f>
        <v/>
      </c>
      <c r="C36">
        <f>IF($X36="","",INDEX(합계표[부서],$X36)&amp;"")</f>
        <v/>
      </c>
      <c r="D36">
        <f>IF($X36="","",INDEX(합계표[직위(요약)],$X36)&amp;"")</f>
        <v/>
      </c>
      <c r="E36">
        <f>IF($X36="","",INDEX(합계표[직급 공존],$X36)&amp;"")</f>
        <v/>
      </c>
      <c r="F36" s="20">
        <f>IF($X36="","",SUMIFS(합계표[시스템 합계],합계표[사번키],INDEX(합계표[사번키],$X36)))</f>
        <v/>
      </c>
      <c r="G36" s="20">
        <f>IF($X36="","",SUMIFS(상세표[기록 시간외],상세표[사번키],INDEX(합계표[사번키],$X36),상세표[기록월],대상월키))</f>
        <v/>
      </c>
      <c r="H36">
        <f>IF($X36="","",IF(ABS($F36-$G36)&lt;0.01,"일치","불일치(차이 "&amp;TEXT($G36-$F36,"0.00")&amp;")"))</f>
        <v/>
      </c>
      <c r="I36" s="20">
        <f>IF($X36="","",SUMIFS(상세표[기록 시간외],상세표[사번키],INDEX(합계표[사번키],$X36),상세표[기록월],대상월키,상세표[반영월],"&lt;&gt;"&amp;대상월키))</f>
        <v/>
      </c>
      <c r="J36" s="20">
        <f>IF($X36="","",SUMIFS(상세표[기록 시간외],상세표[사번키],INDEX(합계표[사번키],$X36),상세표[기록월],"&lt;&gt;"&amp;대상월키,상세표[반영월],대상월키))</f>
        <v/>
      </c>
      <c r="K36" s="20">
        <f>IF($X36="","",SUMIFS(상세표[기록 시간외],상세표[사번키],INDEX(합계표[사번키],$X36),상세표[반영월],대상월키))</f>
        <v/>
      </c>
      <c r="L36">
        <f>IF($X36="","",IFERROR(INDEX(월별근무지표[적용 급여병원],MATCH(INDEX(합계표[사번키],$X36)&amp;"|"&amp;대상월키,월별근무지표[키],0))&amp;"",IF(COUNTIF(기관표[사번키],INDEX(합계표[사번키],$X36))+COUNTIF(월별근무지표[사번키],INDEX(합계표[사번키],$X36))&gt;0,IFERROR(INDEX(기관표[급여지급병원(기준월)],MATCH(INDEX(합계표[사번키],$X36)&amp;"|"&amp;대상월키,기관표[키],0))&amp;"","—"),"—")))</f>
        <v/>
      </c>
      <c r="M36">
        <f>IF($X36="","",IF(NOT(COUNTIF(기관표[사번키],INDEX(합계표[사번키],$X36))+COUNTIF(월별근무지표[사번키],INDEX(합계표[사번키],$X36))&gt;0),"기관명단에 없음(다른 병원으로 발송)",IF($L36="서울병원","해당",IF(N($R36)&gt;0,"해당(말일 근무)",IF($L36="—","대상월 기관명단 없음(추가 필요)","비해당")))))</f>
        <v/>
      </c>
      <c r="N36" s="20">
        <f>IF($X36="","",SUMIFS(상세표[06~07시],상세표[사번키],INDEX(합계표[사번키],$X36),상세표[반영월],대상월키,상세표[반영 기관],"서울병원"))</f>
        <v/>
      </c>
      <c r="O36" s="20">
        <f>IF($X36="","",SUMIFS(상세표[07~18시],상세표[사번키],INDEX(합계표[사번키],$X36),상세표[반영월],대상월키,상세표[반영 기관],"서울병원"))</f>
        <v/>
      </c>
      <c r="P36" s="20">
        <f>IF($X36="","",SUMIFS(상세표[18~22시],상세표[사번키],INDEX(합계표[사번키],$X36),상세표[반영월],대상월키,상세표[반영 기관],"서울병원"))</f>
        <v/>
      </c>
      <c r="Q36" s="20">
        <f>IF($X36="","",SUMIFS(상세표[22~06시],상세표[사번키],INDEX(합계표[사번키],$X36),상세표[반영월],대상월키,상세표[반영 기관],"서울병원"))</f>
        <v/>
      </c>
      <c r="R36" s="20">
        <f>IF($X36="","",SUM($N36:$Q36))</f>
        <v/>
      </c>
      <c r="S36">
        <f>IF($X36="","",COUNTIFS(상세표[사번키],INDEX(합계표[사번키],$X36),상세표[반영월],대상월키,상세표[야간당직],1,상세표[야간 구분],"평일"))</f>
        <v/>
      </c>
      <c r="T36">
        <f>IF($X36="","",COUNTIFS(상세표[사번키],INDEX(합계표[사번키],$X36),상세표[반영월],대상월키,상세표[야간당직],1,상세표[야간 구분],"휴일"))</f>
        <v/>
      </c>
      <c r="U36">
        <f>IF($X36="","",COUNTIFS(상세표[사번키],INDEX(합계표[사번키],$X36),상세표[반영월],대상월키,상세표[야간당직],1,상세표[야간 구분],"평일",상세표[반영 기관],"서울병원"))</f>
        <v/>
      </c>
      <c r="V36">
        <f>IF($X36="","",COUNTIFS(상세표[사번키],INDEX(합계표[사번키],$X36),상세표[반영월],대상월키,상세표[야간당직],1,상세표[야간 구분],"휴일",상세표[반영 기관],"서울병원"))</f>
        <v/>
      </c>
      <c r="W36">
        <f>IF($X36="","",IF(ISNUMBER(MATCH(INDEX(합계표[사번키],$X36)&amp;"|"&amp;대상월키,월별근무지표[키],0)),"직접 입력",IF($L36="—","—","기관명단")))</f>
        <v/>
      </c>
      <c r="X36" s="4">
        <f>IFERROR(MATCH(31,합계표[판정순번],0),"")</f>
        <v/>
      </c>
      <c r="Z36">
        <f>IF($AC36="","",INDEX(상세표[사번],$AC36)&amp;"")</f>
        <v/>
      </c>
      <c r="AA36">
        <f>IF($AC36="","",INDEX(상세표[성명],$AC36)&amp;"")</f>
        <v/>
      </c>
      <c r="AB36" s="20">
        <f>IF($AC36="","",SUMIFS(상세표[기록 시간외],상세표[사번키],INDEX(상세표[사번키],$AC36),상세표[반영월],대상월키))</f>
        <v/>
      </c>
      <c r="AC36" s="4">
        <f>IFERROR(MATCH(31,상세표[합계없음순번],0),"")</f>
        <v/>
      </c>
    </row>
    <row r="37">
      <c r="A37">
        <f>IF($X37="","",INDEX(합계표[사번],$X37)&amp;"")</f>
        <v/>
      </c>
      <c r="B37">
        <f>IF($X37="","",INDEX(합계표[성명],$X37)&amp;"")</f>
        <v/>
      </c>
      <c r="C37">
        <f>IF($X37="","",INDEX(합계표[부서],$X37)&amp;"")</f>
        <v/>
      </c>
      <c r="D37">
        <f>IF($X37="","",INDEX(합계표[직위(요약)],$X37)&amp;"")</f>
        <v/>
      </c>
      <c r="E37">
        <f>IF($X37="","",INDEX(합계표[직급 공존],$X37)&amp;"")</f>
        <v/>
      </c>
      <c r="F37" s="20">
        <f>IF($X37="","",SUMIFS(합계표[시스템 합계],합계표[사번키],INDEX(합계표[사번키],$X37)))</f>
        <v/>
      </c>
      <c r="G37" s="20">
        <f>IF($X37="","",SUMIFS(상세표[기록 시간외],상세표[사번키],INDEX(합계표[사번키],$X37),상세표[기록월],대상월키))</f>
        <v/>
      </c>
      <c r="H37">
        <f>IF($X37="","",IF(ABS($F37-$G37)&lt;0.01,"일치","불일치(차이 "&amp;TEXT($G37-$F37,"0.00")&amp;")"))</f>
        <v/>
      </c>
      <c r="I37" s="20">
        <f>IF($X37="","",SUMIFS(상세표[기록 시간외],상세표[사번키],INDEX(합계표[사번키],$X37),상세표[기록월],대상월키,상세표[반영월],"&lt;&gt;"&amp;대상월키))</f>
        <v/>
      </c>
      <c r="J37" s="20">
        <f>IF($X37="","",SUMIFS(상세표[기록 시간외],상세표[사번키],INDEX(합계표[사번키],$X37),상세표[기록월],"&lt;&gt;"&amp;대상월키,상세표[반영월],대상월키))</f>
        <v/>
      </c>
      <c r="K37" s="20">
        <f>IF($X37="","",SUMIFS(상세표[기록 시간외],상세표[사번키],INDEX(합계표[사번키],$X37),상세표[반영월],대상월키))</f>
        <v/>
      </c>
      <c r="L37">
        <f>IF($X37="","",IFERROR(INDEX(월별근무지표[적용 급여병원],MATCH(INDEX(합계표[사번키],$X37)&amp;"|"&amp;대상월키,월별근무지표[키],0))&amp;"",IF(COUNTIF(기관표[사번키],INDEX(합계표[사번키],$X37))+COUNTIF(월별근무지표[사번키],INDEX(합계표[사번키],$X37))&gt;0,IFERROR(INDEX(기관표[급여지급병원(기준월)],MATCH(INDEX(합계표[사번키],$X37)&amp;"|"&amp;대상월키,기관표[키],0))&amp;"","—"),"—")))</f>
        <v/>
      </c>
      <c r="M37">
        <f>IF($X37="","",IF(NOT(COUNTIF(기관표[사번키],INDEX(합계표[사번키],$X37))+COUNTIF(월별근무지표[사번키],INDEX(합계표[사번키],$X37))&gt;0),"기관명단에 없음(다른 병원으로 발송)",IF($L37="서울병원","해당",IF(N($R37)&gt;0,"해당(말일 근무)",IF($L37="—","대상월 기관명단 없음(추가 필요)","비해당")))))</f>
        <v/>
      </c>
      <c r="N37" s="20">
        <f>IF($X37="","",SUMIFS(상세표[06~07시],상세표[사번키],INDEX(합계표[사번키],$X37),상세표[반영월],대상월키,상세표[반영 기관],"서울병원"))</f>
        <v/>
      </c>
      <c r="O37" s="20">
        <f>IF($X37="","",SUMIFS(상세표[07~18시],상세표[사번키],INDEX(합계표[사번키],$X37),상세표[반영월],대상월키,상세표[반영 기관],"서울병원"))</f>
        <v/>
      </c>
      <c r="P37" s="20">
        <f>IF($X37="","",SUMIFS(상세표[18~22시],상세표[사번키],INDEX(합계표[사번키],$X37),상세표[반영월],대상월키,상세표[반영 기관],"서울병원"))</f>
        <v/>
      </c>
      <c r="Q37" s="20">
        <f>IF($X37="","",SUMIFS(상세표[22~06시],상세표[사번키],INDEX(합계표[사번키],$X37),상세표[반영월],대상월키,상세표[반영 기관],"서울병원"))</f>
        <v/>
      </c>
      <c r="R37" s="20">
        <f>IF($X37="","",SUM($N37:$Q37))</f>
        <v/>
      </c>
      <c r="S37">
        <f>IF($X37="","",COUNTIFS(상세표[사번키],INDEX(합계표[사번키],$X37),상세표[반영월],대상월키,상세표[야간당직],1,상세표[야간 구분],"평일"))</f>
        <v/>
      </c>
      <c r="T37">
        <f>IF($X37="","",COUNTIFS(상세표[사번키],INDEX(합계표[사번키],$X37),상세표[반영월],대상월키,상세표[야간당직],1,상세표[야간 구분],"휴일"))</f>
        <v/>
      </c>
      <c r="U37">
        <f>IF($X37="","",COUNTIFS(상세표[사번키],INDEX(합계표[사번키],$X37),상세표[반영월],대상월키,상세표[야간당직],1,상세표[야간 구분],"평일",상세표[반영 기관],"서울병원"))</f>
        <v/>
      </c>
      <c r="V37">
        <f>IF($X37="","",COUNTIFS(상세표[사번키],INDEX(합계표[사번키],$X37),상세표[반영월],대상월키,상세표[야간당직],1,상세표[야간 구분],"휴일",상세표[반영 기관],"서울병원"))</f>
        <v/>
      </c>
      <c r="W37">
        <f>IF($X37="","",IF(ISNUMBER(MATCH(INDEX(합계표[사번키],$X37)&amp;"|"&amp;대상월키,월별근무지표[키],0)),"직접 입력",IF($L37="—","—","기관명단")))</f>
        <v/>
      </c>
      <c r="X37" s="4">
        <f>IFERROR(MATCH(32,합계표[판정순번],0),"")</f>
        <v/>
      </c>
      <c r="Z37">
        <f>IF($AC37="","",INDEX(상세표[사번],$AC37)&amp;"")</f>
        <v/>
      </c>
      <c r="AA37">
        <f>IF($AC37="","",INDEX(상세표[성명],$AC37)&amp;"")</f>
        <v/>
      </c>
      <c r="AB37" s="20">
        <f>IF($AC37="","",SUMIFS(상세표[기록 시간외],상세표[사번키],INDEX(상세표[사번키],$AC37),상세표[반영월],대상월키))</f>
        <v/>
      </c>
      <c r="AC37" s="4">
        <f>IFERROR(MATCH(32,상세표[합계없음순번],0),"")</f>
        <v/>
      </c>
    </row>
    <row r="38">
      <c r="A38">
        <f>IF($X38="","",INDEX(합계표[사번],$X38)&amp;"")</f>
        <v/>
      </c>
      <c r="B38">
        <f>IF($X38="","",INDEX(합계표[성명],$X38)&amp;"")</f>
        <v/>
      </c>
      <c r="C38">
        <f>IF($X38="","",INDEX(합계표[부서],$X38)&amp;"")</f>
        <v/>
      </c>
      <c r="D38">
        <f>IF($X38="","",INDEX(합계표[직위(요약)],$X38)&amp;"")</f>
        <v/>
      </c>
      <c r="E38">
        <f>IF($X38="","",INDEX(합계표[직급 공존],$X38)&amp;"")</f>
        <v/>
      </c>
      <c r="F38" s="20">
        <f>IF($X38="","",SUMIFS(합계표[시스템 합계],합계표[사번키],INDEX(합계표[사번키],$X38)))</f>
        <v/>
      </c>
      <c r="G38" s="20">
        <f>IF($X38="","",SUMIFS(상세표[기록 시간외],상세표[사번키],INDEX(합계표[사번키],$X38),상세표[기록월],대상월키))</f>
        <v/>
      </c>
      <c r="H38">
        <f>IF($X38="","",IF(ABS($F38-$G38)&lt;0.01,"일치","불일치(차이 "&amp;TEXT($G38-$F38,"0.00")&amp;")"))</f>
        <v/>
      </c>
      <c r="I38" s="20">
        <f>IF($X38="","",SUMIFS(상세표[기록 시간외],상세표[사번키],INDEX(합계표[사번키],$X38),상세표[기록월],대상월키,상세표[반영월],"&lt;&gt;"&amp;대상월키))</f>
        <v/>
      </c>
      <c r="J38" s="20">
        <f>IF($X38="","",SUMIFS(상세표[기록 시간외],상세표[사번키],INDEX(합계표[사번키],$X38),상세표[기록월],"&lt;&gt;"&amp;대상월키,상세표[반영월],대상월키))</f>
        <v/>
      </c>
      <c r="K38" s="20">
        <f>IF($X38="","",SUMIFS(상세표[기록 시간외],상세표[사번키],INDEX(합계표[사번키],$X38),상세표[반영월],대상월키))</f>
        <v/>
      </c>
      <c r="L38">
        <f>IF($X38="","",IFERROR(INDEX(월별근무지표[적용 급여병원],MATCH(INDEX(합계표[사번키],$X38)&amp;"|"&amp;대상월키,월별근무지표[키],0))&amp;"",IF(COUNTIF(기관표[사번키],INDEX(합계표[사번키],$X38))+COUNTIF(월별근무지표[사번키],INDEX(합계표[사번키],$X38))&gt;0,IFERROR(INDEX(기관표[급여지급병원(기준월)],MATCH(INDEX(합계표[사번키],$X38)&amp;"|"&amp;대상월키,기관표[키],0))&amp;"","—"),"—")))</f>
        <v/>
      </c>
      <c r="M38">
        <f>IF($X38="","",IF(NOT(COUNTIF(기관표[사번키],INDEX(합계표[사번키],$X38))+COUNTIF(월별근무지표[사번키],INDEX(합계표[사번키],$X38))&gt;0),"기관명단에 없음(다른 병원으로 발송)",IF($L38="서울병원","해당",IF(N($R38)&gt;0,"해당(말일 근무)",IF($L38="—","대상월 기관명단 없음(추가 필요)","비해당")))))</f>
        <v/>
      </c>
      <c r="N38" s="20">
        <f>IF($X38="","",SUMIFS(상세표[06~07시],상세표[사번키],INDEX(합계표[사번키],$X38),상세표[반영월],대상월키,상세표[반영 기관],"서울병원"))</f>
        <v/>
      </c>
      <c r="O38" s="20">
        <f>IF($X38="","",SUMIFS(상세표[07~18시],상세표[사번키],INDEX(합계표[사번키],$X38),상세표[반영월],대상월키,상세표[반영 기관],"서울병원"))</f>
        <v/>
      </c>
      <c r="P38" s="20">
        <f>IF($X38="","",SUMIFS(상세표[18~22시],상세표[사번키],INDEX(합계표[사번키],$X38),상세표[반영월],대상월키,상세표[반영 기관],"서울병원"))</f>
        <v/>
      </c>
      <c r="Q38" s="20">
        <f>IF($X38="","",SUMIFS(상세표[22~06시],상세표[사번키],INDEX(합계표[사번키],$X38),상세표[반영월],대상월키,상세표[반영 기관],"서울병원"))</f>
        <v/>
      </c>
      <c r="R38" s="20">
        <f>IF($X38="","",SUM($N38:$Q38))</f>
        <v/>
      </c>
      <c r="S38">
        <f>IF($X38="","",COUNTIFS(상세표[사번키],INDEX(합계표[사번키],$X38),상세표[반영월],대상월키,상세표[야간당직],1,상세표[야간 구분],"평일"))</f>
        <v/>
      </c>
      <c r="T38">
        <f>IF($X38="","",COUNTIFS(상세표[사번키],INDEX(합계표[사번키],$X38),상세표[반영월],대상월키,상세표[야간당직],1,상세표[야간 구분],"휴일"))</f>
        <v/>
      </c>
      <c r="U38">
        <f>IF($X38="","",COUNTIFS(상세표[사번키],INDEX(합계표[사번키],$X38),상세표[반영월],대상월키,상세표[야간당직],1,상세표[야간 구분],"평일",상세표[반영 기관],"서울병원"))</f>
        <v/>
      </c>
      <c r="V38">
        <f>IF($X38="","",COUNTIFS(상세표[사번키],INDEX(합계표[사번키],$X38),상세표[반영월],대상월키,상세표[야간당직],1,상세표[야간 구분],"휴일",상세표[반영 기관],"서울병원"))</f>
        <v/>
      </c>
      <c r="W38">
        <f>IF($X38="","",IF(ISNUMBER(MATCH(INDEX(합계표[사번키],$X38)&amp;"|"&amp;대상월키,월별근무지표[키],0)),"직접 입력",IF($L38="—","—","기관명단")))</f>
        <v/>
      </c>
      <c r="X38" s="4">
        <f>IFERROR(MATCH(33,합계표[판정순번],0),"")</f>
        <v/>
      </c>
      <c r="Z38">
        <f>IF($AC38="","",INDEX(상세표[사번],$AC38)&amp;"")</f>
        <v/>
      </c>
      <c r="AA38">
        <f>IF($AC38="","",INDEX(상세표[성명],$AC38)&amp;"")</f>
        <v/>
      </c>
      <c r="AB38" s="20">
        <f>IF($AC38="","",SUMIFS(상세표[기록 시간외],상세표[사번키],INDEX(상세표[사번키],$AC38),상세표[반영월],대상월키))</f>
        <v/>
      </c>
      <c r="AC38" s="4">
        <f>IFERROR(MATCH(33,상세표[합계없음순번],0),"")</f>
        <v/>
      </c>
    </row>
    <row r="39">
      <c r="A39">
        <f>IF($X39="","",INDEX(합계표[사번],$X39)&amp;"")</f>
        <v/>
      </c>
      <c r="B39">
        <f>IF($X39="","",INDEX(합계표[성명],$X39)&amp;"")</f>
        <v/>
      </c>
      <c r="C39">
        <f>IF($X39="","",INDEX(합계표[부서],$X39)&amp;"")</f>
        <v/>
      </c>
      <c r="D39">
        <f>IF($X39="","",INDEX(합계표[직위(요약)],$X39)&amp;"")</f>
        <v/>
      </c>
      <c r="E39">
        <f>IF($X39="","",INDEX(합계표[직급 공존],$X39)&amp;"")</f>
        <v/>
      </c>
      <c r="F39" s="20">
        <f>IF($X39="","",SUMIFS(합계표[시스템 합계],합계표[사번키],INDEX(합계표[사번키],$X39)))</f>
        <v/>
      </c>
      <c r="G39" s="20">
        <f>IF($X39="","",SUMIFS(상세표[기록 시간외],상세표[사번키],INDEX(합계표[사번키],$X39),상세표[기록월],대상월키))</f>
        <v/>
      </c>
      <c r="H39">
        <f>IF($X39="","",IF(ABS($F39-$G39)&lt;0.01,"일치","불일치(차이 "&amp;TEXT($G39-$F39,"0.00")&amp;")"))</f>
        <v/>
      </c>
      <c r="I39" s="20">
        <f>IF($X39="","",SUMIFS(상세표[기록 시간외],상세표[사번키],INDEX(합계표[사번키],$X39),상세표[기록월],대상월키,상세표[반영월],"&lt;&gt;"&amp;대상월키))</f>
        <v/>
      </c>
      <c r="J39" s="20">
        <f>IF($X39="","",SUMIFS(상세표[기록 시간외],상세표[사번키],INDEX(합계표[사번키],$X39),상세표[기록월],"&lt;&gt;"&amp;대상월키,상세표[반영월],대상월키))</f>
        <v/>
      </c>
      <c r="K39" s="20">
        <f>IF($X39="","",SUMIFS(상세표[기록 시간외],상세표[사번키],INDEX(합계표[사번키],$X39),상세표[반영월],대상월키))</f>
        <v/>
      </c>
      <c r="L39">
        <f>IF($X39="","",IFERROR(INDEX(월별근무지표[적용 급여병원],MATCH(INDEX(합계표[사번키],$X39)&amp;"|"&amp;대상월키,월별근무지표[키],0))&amp;"",IF(COUNTIF(기관표[사번키],INDEX(합계표[사번키],$X39))+COUNTIF(월별근무지표[사번키],INDEX(합계표[사번키],$X39))&gt;0,IFERROR(INDEX(기관표[급여지급병원(기준월)],MATCH(INDEX(합계표[사번키],$X39)&amp;"|"&amp;대상월키,기관표[키],0))&amp;"","—"),"—")))</f>
        <v/>
      </c>
      <c r="M39">
        <f>IF($X39="","",IF(NOT(COUNTIF(기관표[사번키],INDEX(합계표[사번키],$X39))+COUNTIF(월별근무지표[사번키],INDEX(합계표[사번키],$X39))&gt;0),"기관명단에 없음(다른 병원으로 발송)",IF($L39="서울병원","해당",IF(N($R39)&gt;0,"해당(말일 근무)",IF($L39="—","대상월 기관명단 없음(추가 필요)","비해당")))))</f>
        <v/>
      </c>
      <c r="N39" s="20">
        <f>IF($X39="","",SUMIFS(상세표[06~07시],상세표[사번키],INDEX(합계표[사번키],$X39),상세표[반영월],대상월키,상세표[반영 기관],"서울병원"))</f>
        <v/>
      </c>
      <c r="O39" s="20">
        <f>IF($X39="","",SUMIFS(상세표[07~18시],상세표[사번키],INDEX(합계표[사번키],$X39),상세표[반영월],대상월키,상세표[반영 기관],"서울병원"))</f>
        <v/>
      </c>
      <c r="P39" s="20">
        <f>IF($X39="","",SUMIFS(상세표[18~22시],상세표[사번키],INDEX(합계표[사번키],$X39),상세표[반영월],대상월키,상세표[반영 기관],"서울병원"))</f>
        <v/>
      </c>
      <c r="Q39" s="20">
        <f>IF($X39="","",SUMIFS(상세표[22~06시],상세표[사번키],INDEX(합계표[사번키],$X39),상세표[반영월],대상월키,상세표[반영 기관],"서울병원"))</f>
        <v/>
      </c>
      <c r="R39" s="20">
        <f>IF($X39="","",SUM($N39:$Q39))</f>
        <v/>
      </c>
      <c r="S39">
        <f>IF($X39="","",COUNTIFS(상세표[사번키],INDEX(합계표[사번키],$X39),상세표[반영월],대상월키,상세표[야간당직],1,상세표[야간 구분],"평일"))</f>
        <v/>
      </c>
      <c r="T39">
        <f>IF($X39="","",COUNTIFS(상세표[사번키],INDEX(합계표[사번키],$X39),상세표[반영월],대상월키,상세표[야간당직],1,상세표[야간 구분],"휴일"))</f>
        <v/>
      </c>
      <c r="U39">
        <f>IF($X39="","",COUNTIFS(상세표[사번키],INDEX(합계표[사번키],$X39),상세표[반영월],대상월키,상세표[야간당직],1,상세표[야간 구분],"평일",상세표[반영 기관],"서울병원"))</f>
        <v/>
      </c>
      <c r="V39">
        <f>IF($X39="","",COUNTIFS(상세표[사번키],INDEX(합계표[사번키],$X39),상세표[반영월],대상월키,상세표[야간당직],1,상세표[야간 구분],"휴일",상세표[반영 기관],"서울병원"))</f>
        <v/>
      </c>
      <c r="W39">
        <f>IF($X39="","",IF(ISNUMBER(MATCH(INDEX(합계표[사번키],$X39)&amp;"|"&amp;대상월키,월별근무지표[키],0)),"직접 입력",IF($L39="—","—","기관명단")))</f>
        <v/>
      </c>
      <c r="X39" s="4">
        <f>IFERROR(MATCH(34,합계표[판정순번],0),"")</f>
        <v/>
      </c>
      <c r="Z39">
        <f>IF($AC39="","",INDEX(상세표[사번],$AC39)&amp;"")</f>
        <v/>
      </c>
      <c r="AA39">
        <f>IF($AC39="","",INDEX(상세표[성명],$AC39)&amp;"")</f>
        <v/>
      </c>
      <c r="AB39" s="20">
        <f>IF($AC39="","",SUMIFS(상세표[기록 시간외],상세표[사번키],INDEX(상세표[사번키],$AC39),상세표[반영월],대상월키))</f>
        <v/>
      </c>
      <c r="AC39" s="4">
        <f>IFERROR(MATCH(34,상세표[합계없음순번],0),"")</f>
        <v/>
      </c>
    </row>
    <row r="40">
      <c r="A40">
        <f>IF($X40="","",INDEX(합계표[사번],$X40)&amp;"")</f>
        <v/>
      </c>
      <c r="B40">
        <f>IF($X40="","",INDEX(합계표[성명],$X40)&amp;"")</f>
        <v/>
      </c>
      <c r="C40">
        <f>IF($X40="","",INDEX(합계표[부서],$X40)&amp;"")</f>
        <v/>
      </c>
      <c r="D40">
        <f>IF($X40="","",INDEX(합계표[직위(요약)],$X40)&amp;"")</f>
        <v/>
      </c>
      <c r="E40">
        <f>IF($X40="","",INDEX(합계표[직급 공존],$X40)&amp;"")</f>
        <v/>
      </c>
      <c r="F40" s="20">
        <f>IF($X40="","",SUMIFS(합계표[시스템 합계],합계표[사번키],INDEX(합계표[사번키],$X40)))</f>
        <v/>
      </c>
      <c r="G40" s="20">
        <f>IF($X40="","",SUMIFS(상세표[기록 시간외],상세표[사번키],INDEX(합계표[사번키],$X40),상세표[기록월],대상월키))</f>
        <v/>
      </c>
      <c r="H40">
        <f>IF($X40="","",IF(ABS($F40-$G40)&lt;0.01,"일치","불일치(차이 "&amp;TEXT($G40-$F40,"0.00")&amp;")"))</f>
        <v/>
      </c>
      <c r="I40" s="20">
        <f>IF($X40="","",SUMIFS(상세표[기록 시간외],상세표[사번키],INDEX(합계표[사번키],$X40),상세표[기록월],대상월키,상세표[반영월],"&lt;&gt;"&amp;대상월키))</f>
        <v/>
      </c>
      <c r="J40" s="20">
        <f>IF($X40="","",SUMIFS(상세표[기록 시간외],상세표[사번키],INDEX(합계표[사번키],$X40),상세표[기록월],"&lt;&gt;"&amp;대상월키,상세표[반영월],대상월키))</f>
        <v/>
      </c>
      <c r="K40" s="20">
        <f>IF($X40="","",SUMIFS(상세표[기록 시간외],상세표[사번키],INDEX(합계표[사번키],$X40),상세표[반영월],대상월키))</f>
        <v/>
      </c>
      <c r="L40">
        <f>IF($X40="","",IFERROR(INDEX(월별근무지표[적용 급여병원],MATCH(INDEX(합계표[사번키],$X40)&amp;"|"&amp;대상월키,월별근무지표[키],0))&amp;"",IF(COUNTIF(기관표[사번키],INDEX(합계표[사번키],$X40))+COUNTIF(월별근무지표[사번키],INDEX(합계표[사번키],$X40))&gt;0,IFERROR(INDEX(기관표[급여지급병원(기준월)],MATCH(INDEX(합계표[사번키],$X40)&amp;"|"&amp;대상월키,기관표[키],0))&amp;"","—"),"—")))</f>
        <v/>
      </c>
      <c r="M40">
        <f>IF($X40="","",IF(NOT(COUNTIF(기관표[사번키],INDEX(합계표[사번키],$X40))+COUNTIF(월별근무지표[사번키],INDEX(합계표[사번키],$X40))&gt;0),"기관명단에 없음(다른 병원으로 발송)",IF($L40="서울병원","해당",IF(N($R40)&gt;0,"해당(말일 근무)",IF($L40="—","대상월 기관명단 없음(추가 필요)","비해당")))))</f>
        <v/>
      </c>
      <c r="N40" s="20">
        <f>IF($X40="","",SUMIFS(상세표[06~07시],상세표[사번키],INDEX(합계표[사번키],$X40),상세표[반영월],대상월키,상세표[반영 기관],"서울병원"))</f>
        <v/>
      </c>
      <c r="O40" s="20">
        <f>IF($X40="","",SUMIFS(상세표[07~18시],상세표[사번키],INDEX(합계표[사번키],$X40),상세표[반영월],대상월키,상세표[반영 기관],"서울병원"))</f>
        <v/>
      </c>
      <c r="P40" s="20">
        <f>IF($X40="","",SUMIFS(상세표[18~22시],상세표[사번키],INDEX(합계표[사번키],$X40),상세표[반영월],대상월키,상세표[반영 기관],"서울병원"))</f>
        <v/>
      </c>
      <c r="Q40" s="20">
        <f>IF($X40="","",SUMIFS(상세표[22~06시],상세표[사번키],INDEX(합계표[사번키],$X40),상세표[반영월],대상월키,상세표[반영 기관],"서울병원"))</f>
        <v/>
      </c>
      <c r="R40" s="20">
        <f>IF($X40="","",SUM($N40:$Q40))</f>
        <v/>
      </c>
      <c r="S40">
        <f>IF($X40="","",COUNTIFS(상세표[사번키],INDEX(합계표[사번키],$X40),상세표[반영월],대상월키,상세표[야간당직],1,상세표[야간 구분],"평일"))</f>
        <v/>
      </c>
      <c r="T40">
        <f>IF($X40="","",COUNTIFS(상세표[사번키],INDEX(합계표[사번키],$X40),상세표[반영월],대상월키,상세표[야간당직],1,상세표[야간 구분],"휴일"))</f>
        <v/>
      </c>
      <c r="U40">
        <f>IF($X40="","",COUNTIFS(상세표[사번키],INDEX(합계표[사번키],$X40),상세표[반영월],대상월키,상세표[야간당직],1,상세표[야간 구분],"평일",상세표[반영 기관],"서울병원"))</f>
        <v/>
      </c>
      <c r="V40">
        <f>IF($X40="","",COUNTIFS(상세표[사번키],INDEX(합계표[사번키],$X40),상세표[반영월],대상월키,상세표[야간당직],1,상세표[야간 구분],"휴일",상세표[반영 기관],"서울병원"))</f>
        <v/>
      </c>
      <c r="W40">
        <f>IF($X40="","",IF(ISNUMBER(MATCH(INDEX(합계표[사번키],$X40)&amp;"|"&amp;대상월키,월별근무지표[키],0)),"직접 입력",IF($L40="—","—","기관명단")))</f>
        <v/>
      </c>
      <c r="X40" s="4">
        <f>IFERROR(MATCH(35,합계표[판정순번],0),"")</f>
        <v/>
      </c>
      <c r="Z40">
        <f>IF($AC40="","",INDEX(상세표[사번],$AC40)&amp;"")</f>
        <v/>
      </c>
      <c r="AA40">
        <f>IF($AC40="","",INDEX(상세표[성명],$AC40)&amp;"")</f>
        <v/>
      </c>
      <c r="AB40" s="20">
        <f>IF($AC40="","",SUMIFS(상세표[기록 시간외],상세표[사번키],INDEX(상세표[사번키],$AC40),상세표[반영월],대상월키))</f>
        <v/>
      </c>
      <c r="AC40" s="4">
        <f>IFERROR(MATCH(35,상세표[합계없음순번],0),"")</f>
        <v/>
      </c>
    </row>
    <row r="41">
      <c r="A41">
        <f>IF($X41="","",INDEX(합계표[사번],$X41)&amp;"")</f>
        <v/>
      </c>
      <c r="B41">
        <f>IF($X41="","",INDEX(합계표[성명],$X41)&amp;"")</f>
        <v/>
      </c>
      <c r="C41">
        <f>IF($X41="","",INDEX(합계표[부서],$X41)&amp;"")</f>
        <v/>
      </c>
      <c r="D41">
        <f>IF($X41="","",INDEX(합계표[직위(요약)],$X41)&amp;"")</f>
        <v/>
      </c>
      <c r="E41">
        <f>IF($X41="","",INDEX(합계표[직급 공존],$X41)&amp;"")</f>
        <v/>
      </c>
      <c r="F41" s="20">
        <f>IF($X41="","",SUMIFS(합계표[시스템 합계],합계표[사번키],INDEX(합계표[사번키],$X41)))</f>
        <v/>
      </c>
      <c r="G41" s="20">
        <f>IF($X41="","",SUMIFS(상세표[기록 시간외],상세표[사번키],INDEX(합계표[사번키],$X41),상세표[기록월],대상월키))</f>
        <v/>
      </c>
      <c r="H41">
        <f>IF($X41="","",IF(ABS($F41-$G41)&lt;0.01,"일치","불일치(차이 "&amp;TEXT($G41-$F41,"0.00")&amp;")"))</f>
        <v/>
      </c>
      <c r="I41" s="20">
        <f>IF($X41="","",SUMIFS(상세표[기록 시간외],상세표[사번키],INDEX(합계표[사번키],$X41),상세표[기록월],대상월키,상세표[반영월],"&lt;&gt;"&amp;대상월키))</f>
        <v/>
      </c>
      <c r="J41" s="20">
        <f>IF($X41="","",SUMIFS(상세표[기록 시간외],상세표[사번키],INDEX(합계표[사번키],$X41),상세표[기록월],"&lt;&gt;"&amp;대상월키,상세표[반영월],대상월키))</f>
        <v/>
      </c>
      <c r="K41" s="20">
        <f>IF($X41="","",SUMIFS(상세표[기록 시간외],상세표[사번키],INDEX(합계표[사번키],$X41),상세표[반영월],대상월키))</f>
        <v/>
      </c>
      <c r="L41">
        <f>IF($X41="","",IFERROR(INDEX(월별근무지표[적용 급여병원],MATCH(INDEX(합계표[사번키],$X41)&amp;"|"&amp;대상월키,월별근무지표[키],0))&amp;"",IF(COUNTIF(기관표[사번키],INDEX(합계표[사번키],$X41))+COUNTIF(월별근무지표[사번키],INDEX(합계표[사번키],$X41))&gt;0,IFERROR(INDEX(기관표[급여지급병원(기준월)],MATCH(INDEX(합계표[사번키],$X41)&amp;"|"&amp;대상월키,기관표[키],0))&amp;"","—"),"—")))</f>
        <v/>
      </c>
      <c r="M41">
        <f>IF($X41="","",IF(NOT(COUNTIF(기관표[사번키],INDEX(합계표[사번키],$X41))+COUNTIF(월별근무지표[사번키],INDEX(합계표[사번키],$X41))&gt;0),"기관명단에 없음(다른 병원으로 발송)",IF($L41="서울병원","해당",IF(N($R41)&gt;0,"해당(말일 근무)",IF($L41="—","대상월 기관명단 없음(추가 필요)","비해당")))))</f>
        <v/>
      </c>
      <c r="N41" s="20">
        <f>IF($X41="","",SUMIFS(상세표[06~07시],상세표[사번키],INDEX(합계표[사번키],$X41),상세표[반영월],대상월키,상세표[반영 기관],"서울병원"))</f>
        <v/>
      </c>
      <c r="O41" s="20">
        <f>IF($X41="","",SUMIFS(상세표[07~18시],상세표[사번키],INDEX(합계표[사번키],$X41),상세표[반영월],대상월키,상세표[반영 기관],"서울병원"))</f>
        <v/>
      </c>
      <c r="P41" s="20">
        <f>IF($X41="","",SUMIFS(상세표[18~22시],상세표[사번키],INDEX(합계표[사번키],$X41),상세표[반영월],대상월키,상세표[반영 기관],"서울병원"))</f>
        <v/>
      </c>
      <c r="Q41" s="20">
        <f>IF($X41="","",SUMIFS(상세표[22~06시],상세표[사번키],INDEX(합계표[사번키],$X41),상세표[반영월],대상월키,상세표[반영 기관],"서울병원"))</f>
        <v/>
      </c>
      <c r="R41" s="20">
        <f>IF($X41="","",SUM($N41:$Q41))</f>
        <v/>
      </c>
      <c r="S41">
        <f>IF($X41="","",COUNTIFS(상세표[사번키],INDEX(합계표[사번키],$X41),상세표[반영월],대상월키,상세표[야간당직],1,상세표[야간 구분],"평일"))</f>
        <v/>
      </c>
      <c r="T41">
        <f>IF($X41="","",COUNTIFS(상세표[사번키],INDEX(합계표[사번키],$X41),상세표[반영월],대상월키,상세표[야간당직],1,상세표[야간 구분],"휴일"))</f>
        <v/>
      </c>
      <c r="U41">
        <f>IF($X41="","",COUNTIFS(상세표[사번키],INDEX(합계표[사번키],$X41),상세표[반영월],대상월키,상세표[야간당직],1,상세표[야간 구분],"평일",상세표[반영 기관],"서울병원"))</f>
        <v/>
      </c>
      <c r="V41">
        <f>IF($X41="","",COUNTIFS(상세표[사번키],INDEX(합계표[사번키],$X41),상세표[반영월],대상월키,상세표[야간당직],1,상세표[야간 구분],"휴일",상세표[반영 기관],"서울병원"))</f>
        <v/>
      </c>
      <c r="W41">
        <f>IF($X41="","",IF(ISNUMBER(MATCH(INDEX(합계표[사번키],$X41)&amp;"|"&amp;대상월키,월별근무지표[키],0)),"직접 입력",IF($L41="—","—","기관명단")))</f>
        <v/>
      </c>
      <c r="X41" s="4">
        <f>IFERROR(MATCH(36,합계표[판정순번],0),"")</f>
        <v/>
      </c>
      <c r="Z41">
        <f>IF($AC41="","",INDEX(상세표[사번],$AC41)&amp;"")</f>
        <v/>
      </c>
      <c r="AA41">
        <f>IF($AC41="","",INDEX(상세표[성명],$AC41)&amp;"")</f>
        <v/>
      </c>
      <c r="AB41" s="20">
        <f>IF($AC41="","",SUMIFS(상세표[기록 시간외],상세표[사번키],INDEX(상세표[사번키],$AC41),상세표[반영월],대상월키))</f>
        <v/>
      </c>
      <c r="AC41" s="4">
        <f>IFERROR(MATCH(36,상세표[합계없음순번],0),"")</f>
        <v/>
      </c>
    </row>
    <row r="42">
      <c r="A42">
        <f>IF($X42="","",INDEX(합계표[사번],$X42)&amp;"")</f>
        <v/>
      </c>
      <c r="B42">
        <f>IF($X42="","",INDEX(합계표[성명],$X42)&amp;"")</f>
        <v/>
      </c>
      <c r="C42">
        <f>IF($X42="","",INDEX(합계표[부서],$X42)&amp;"")</f>
        <v/>
      </c>
      <c r="D42">
        <f>IF($X42="","",INDEX(합계표[직위(요약)],$X42)&amp;"")</f>
        <v/>
      </c>
      <c r="E42">
        <f>IF($X42="","",INDEX(합계표[직급 공존],$X42)&amp;"")</f>
        <v/>
      </c>
      <c r="F42" s="20">
        <f>IF($X42="","",SUMIFS(합계표[시스템 합계],합계표[사번키],INDEX(합계표[사번키],$X42)))</f>
        <v/>
      </c>
      <c r="G42" s="20">
        <f>IF($X42="","",SUMIFS(상세표[기록 시간외],상세표[사번키],INDEX(합계표[사번키],$X42),상세표[기록월],대상월키))</f>
        <v/>
      </c>
      <c r="H42">
        <f>IF($X42="","",IF(ABS($F42-$G42)&lt;0.01,"일치","불일치(차이 "&amp;TEXT($G42-$F42,"0.00")&amp;")"))</f>
        <v/>
      </c>
      <c r="I42" s="20">
        <f>IF($X42="","",SUMIFS(상세표[기록 시간외],상세표[사번키],INDEX(합계표[사번키],$X42),상세표[기록월],대상월키,상세표[반영월],"&lt;&gt;"&amp;대상월키))</f>
        <v/>
      </c>
      <c r="J42" s="20">
        <f>IF($X42="","",SUMIFS(상세표[기록 시간외],상세표[사번키],INDEX(합계표[사번키],$X42),상세표[기록월],"&lt;&gt;"&amp;대상월키,상세표[반영월],대상월키))</f>
        <v/>
      </c>
      <c r="K42" s="20">
        <f>IF($X42="","",SUMIFS(상세표[기록 시간외],상세표[사번키],INDEX(합계표[사번키],$X42),상세표[반영월],대상월키))</f>
        <v/>
      </c>
      <c r="L42">
        <f>IF($X42="","",IFERROR(INDEX(월별근무지표[적용 급여병원],MATCH(INDEX(합계표[사번키],$X42)&amp;"|"&amp;대상월키,월별근무지표[키],0))&amp;"",IF(COUNTIF(기관표[사번키],INDEX(합계표[사번키],$X42))+COUNTIF(월별근무지표[사번키],INDEX(합계표[사번키],$X42))&gt;0,IFERROR(INDEX(기관표[급여지급병원(기준월)],MATCH(INDEX(합계표[사번키],$X42)&amp;"|"&amp;대상월키,기관표[키],0))&amp;"","—"),"—")))</f>
        <v/>
      </c>
      <c r="M42">
        <f>IF($X42="","",IF(NOT(COUNTIF(기관표[사번키],INDEX(합계표[사번키],$X42))+COUNTIF(월별근무지표[사번키],INDEX(합계표[사번키],$X42))&gt;0),"기관명단에 없음(다른 병원으로 발송)",IF($L42="서울병원","해당",IF(N($R42)&gt;0,"해당(말일 근무)",IF($L42="—","대상월 기관명단 없음(추가 필요)","비해당")))))</f>
        <v/>
      </c>
      <c r="N42" s="20">
        <f>IF($X42="","",SUMIFS(상세표[06~07시],상세표[사번키],INDEX(합계표[사번키],$X42),상세표[반영월],대상월키,상세표[반영 기관],"서울병원"))</f>
        <v/>
      </c>
      <c r="O42" s="20">
        <f>IF($X42="","",SUMIFS(상세표[07~18시],상세표[사번키],INDEX(합계표[사번키],$X42),상세표[반영월],대상월키,상세표[반영 기관],"서울병원"))</f>
        <v/>
      </c>
      <c r="P42" s="20">
        <f>IF($X42="","",SUMIFS(상세표[18~22시],상세표[사번키],INDEX(합계표[사번키],$X42),상세표[반영월],대상월키,상세표[반영 기관],"서울병원"))</f>
        <v/>
      </c>
      <c r="Q42" s="20">
        <f>IF($X42="","",SUMIFS(상세표[22~06시],상세표[사번키],INDEX(합계표[사번키],$X42),상세표[반영월],대상월키,상세표[반영 기관],"서울병원"))</f>
        <v/>
      </c>
      <c r="R42" s="20">
        <f>IF($X42="","",SUM($N42:$Q42))</f>
        <v/>
      </c>
      <c r="S42">
        <f>IF($X42="","",COUNTIFS(상세표[사번키],INDEX(합계표[사번키],$X42),상세표[반영월],대상월키,상세표[야간당직],1,상세표[야간 구분],"평일"))</f>
        <v/>
      </c>
      <c r="T42">
        <f>IF($X42="","",COUNTIFS(상세표[사번키],INDEX(합계표[사번키],$X42),상세표[반영월],대상월키,상세표[야간당직],1,상세표[야간 구분],"휴일"))</f>
        <v/>
      </c>
      <c r="U42">
        <f>IF($X42="","",COUNTIFS(상세표[사번키],INDEX(합계표[사번키],$X42),상세표[반영월],대상월키,상세표[야간당직],1,상세표[야간 구분],"평일",상세표[반영 기관],"서울병원"))</f>
        <v/>
      </c>
      <c r="V42">
        <f>IF($X42="","",COUNTIFS(상세표[사번키],INDEX(합계표[사번키],$X42),상세표[반영월],대상월키,상세표[야간당직],1,상세표[야간 구분],"휴일",상세표[반영 기관],"서울병원"))</f>
        <v/>
      </c>
      <c r="W42">
        <f>IF($X42="","",IF(ISNUMBER(MATCH(INDEX(합계표[사번키],$X42)&amp;"|"&amp;대상월키,월별근무지표[키],0)),"직접 입력",IF($L42="—","—","기관명단")))</f>
        <v/>
      </c>
      <c r="X42" s="4">
        <f>IFERROR(MATCH(37,합계표[판정순번],0),"")</f>
        <v/>
      </c>
      <c r="Z42">
        <f>IF($AC42="","",INDEX(상세표[사번],$AC42)&amp;"")</f>
        <v/>
      </c>
      <c r="AA42">
        <f>IF($AC42="","",INDEX(상세표[성명],$AC42)&amp;"")</f>
        <v/>
      </c>
      <c r="AB42" s="20">
        <f>IF($AC42="","",SUMIFS(상세표[기록 시간외],상세표[사번키],INDEX(상세표[사번키],$AC42),상세표[반영월],대상월키))</f>
        <v/>
      </c>
      <c r="AC42" s="4">
        <f>IFERROR(MATCH(37,상세표[합계없음순번],0),"")</f>
        <v/>
      </c>
    </row>
    <row r="43">
      <c r="A43">
        <f>IF($X43="","",INDEX(합계표[사번],$X43)&amp;"")</f>
        <v/>
      </c>
      <c r="B43">
        <f>IF($X43="","",INDEX(합계표[성명],$X43)&amp;"")</f>
        <v/>
      </c>
      <c r="C43">
        <f>IF($X43="","",INDEX(합계표[부서],$X43)&amp;"")</f>
        <v/>
      </c>
      <c r="D43">
        <f>IF($X43="","",INDEX(합계표[직위(요약)],$X43)&amp;"")</f>
        <v/>
      </c>
      <c r="E43">
        <f>IF($X43="","",INDEX(합계표[직급 공존],$X43)&amp;"")</f>
        <v/>
      </c>
      <c r="F43" s="20">
        <f>IF($X43="","",SUMIFS(합계표[시스템 합계],합계표[사번키],INDEX(합계표[사번키],$X43)))</f>
        <v/>
      </c>
      <c r="G43" s="20">
        <f>IF($X43="","",SUMIFS(상세표[기록 시간외],상세표[사번키],INDEX(합계표[사번키],$X43),상세표[기록월],대상월키))</f>
        <v/>
      </c>
      <c r="H43">
        <f>IF($X43="","",IF(ABS($F43-$G43)&lt;0.01,"일치","불일치(차이 "&amp;TEXT($G43-$F43,"0.00")&amp;")"))</f>
        <v/>
      </c>
      <c r="I43" s="20">
        <f>IF($X43="","",SUMIFS(상세표[기록 시간외],상세표[사번키],INDEX(합계표[사번키],$X43),상세표[기록월],대상월키,상세표[반영월],"&lt;&gt;"&amp;대상월키))</f>
        <v/>
      </c>
      <c r="J43" s="20">
        <f>IF($X43="","",SUMIFS(상세표[기록 시간외],상세표[사번키],INDEX(합계표[사번키],$X43),상세표[기록월],"&lt;&gt;"&amp;대상월키,상세표[반영월],대상월키))</f>
        <v/>
      </c>
      <c r="K43" s="20">
        <f>IF($X43="","",SUMIFS(상세표[기록 시간외],상세표[사번키],INDEX(합계표[사번키],$X43),상세표[반영월],대상월키))</f>
        <v/>
      </c>
      <c r="L43">
        <f>IF($X43="","",IFERROR(INDEX(월별근무지표[적용 급여병원],MATCH(INDEX(합계표[사번키],$X43)&amp;"|"&amp;대상월키,월별근무지표[키],0))&amp;"",IF(COUNTIF(기관표[사번키],INDEX(합계표[사번키],$X43))+COUNTIF(월별근무지표[사번키],INDEX(합계표[사번키],$X43))&gt;0,IFERROR(INDEX(기관표[급여지급병원(기준월)],MATCH(INDEX(합계표[사번키],$X43)&amp;"|"&amp;대상월키,기관표[키],0))&amp;"","—"),"—")))</f>
        <v/>
      </c>
      <c r="M43">
        <f>IF($X43="","",IF(NOT(COUNTIF(기관표[사번키],INDEX(합계표[사번키],$X43))+COUNTIF(월별근무지표[사번키],INDEX(합계표[사번키],$X43))&gt;0),"기관명단에 없음(다른 병원으로 발송)",IF($L43="서울병원","해당",IF(N($R43)&gt;0,"해당(말일 근무)",IF($L43="—","대상월 기관명단 없음(추가 필요)","비해당")))))</f>
        <v/>
      </c>
      <c r="N43" s="20">
        <f>IF($X43="","",SUMIFS(상세표[06~07시],상세표[사번키],INDEX(합계표[사번키],$X43),상세표[반영월],대상월키,상세표[반영 기관],"서울병원"))</f>
        <v/>
      </c>
      <c r="O43" s="20">
        <f>IF($X43="","",SUMIFS(상세표[07~18시],상세표[사번키],INDEX(합계표[사번키],$X43),상세표[반영월],대상월키,상세표[반영 기관],"서울병원"))</f>
        <v/>
      </c>
      <c r="P43" s="20">
        <f>IF($X43="","",SUMIFS(상세표[18~22시],상세표[사번키],INDEX(합계표[사번키],$X43),상세표[반영월],대상월키,상세표[반영 기관],"서울병원"))</f>
        <v/>
      </c>
      <c r="Q43" s="20">
        <f>IF($X43="","",SUMIFS(상세표[22~06시],상세표[사번키],INDEX(합계표[사번키],$X43),상세표[반영월],대상월키,상세표[반영 기관],"서울병원"))</f>
        <v/>
      </c>
      <c r="R43" s="20">
        <f>IF($X43="","",SUM($N43:$Q43))</f>
        <v/>
      </c>
      <c r="S43">
        <f>IF($X43="","",COUNTIFS(상세표[사번키],INDEX(합계표[사번키],$X43),상세표[반영월],대상월키,상세표[야간당직],1,상세표[야간 구분],"평일"))</f>
        <v/>
      </c>
      <c r="T43">
        <f>IF($X43="","",COUNTIFS(상세표[사번키],INDEX(합계표[사번키],$X43),상세표[반영월],대상월키,상세표[야간당직],1,상세표[야간 구분],"휴일"))</f>
        <v/>
      </c>
      <c r="U43">
        <f>IF($X43="","",COUNTIFS(상세표[사번키],INDEX(합계표[사번키],$X43),상세표[반영월],대상월키,상세표[야간당직],1,상세표[야간 구분],"평일",상세표[반영 기관],"서울병원"))</f>
        <v/>
      </c>
      <c r="V43">
        <f>IF($X43="","",COUNTIFS(상세표[사번키],INDEX(합계표[사번키],$X43),상세표[반영월],대상월키,상세표[야간당직],1,상세표[야간 구분],"휴일",상세표[반영 기관],"서울병원"))</f>
        <v/>
      </c>
      <c r="W43">
        <f>IF($X43="","",IF(ISNUMBER(MATCH(INDEX(합계표[사번키],$X43)&amp;"|"&amp;대상월키,월별근무지표[키],0)),"직접 입력",IF($L43="—","—","기관명단")))</f>
        <v/>
      </c>
      <c r="X43" s="4">
        <f>IFERROR(MATCH(38,합계표[판정순번],0),"")</f>
        <v/>
      </c>
      <c r="Z43">
        <f>IF($AC43="","",INDEX(상세표[사번],$AC43)&amp;"")</f>
        <v/>
      </c>
      <c r="AA43">
        <f>IF($AC43="","",INDEX(상세표[성명],$AC43)&amp;"")</f>
        <v/>
      </c>
      <c r="AB43" s="20">
        <f>IF($AC43="","",SUMIFS(상세표[기록 시간외],상세표[사번키],INDEX(상세표[사번키],$AC43),상세표[반영월],대상월키))</f>
        <v/>
      </c>
      <c r="AC43" s="4">
        <f>IFERROR(MATCH(38,상세표[합계없음순번],0),"")</f>
        <v/>
      </c>
    </row>
    <row r="44">
      <c r="A44">
        <f>IF($X44="","",INDEX(합계표[사번],$X44)&amp;"")</f>
        <v/>
      </c>
      <c r="B44">
        <f>IF($X44="","",INDEX(합계표[성명],$X44)&amp;"")</f>
        <v/>
      </c>
      <c r="C44">
        <f>IF($X44="","",INDEX(합계표[부서],$X44)&amp;"")</f>
        <v/>
      </c>
      <c r="D44">
        <f>IF($X44="","",INDEX(합계표[직위(요약)],$X44)&amp;"")</f>
        <v/>
      </c>
      <c r="E44">
        <f>IF($X44="","",INDEX(합계표[직급 공존],$X44)&amp;"")</f>
        <v/>
      </c>
      <c r="F44" s="20">
        <f>IF($X44="","",SUMIFS(합계표[시스템 합계],합계표[사번키],INDEX(합계표[사번키],$X44)))</f>
        <v/>
      </c>
      <c r="G44" s="20">
        <f>IF($X44="","",SUMIFS(상세표[기록 시간외],상세표[사번키],INDEX(합계표[사번키],$X44),상세표[기록월],대상월키))</f>
        <v/>
      </c>
      <c r="H44">
        <f>IF($X44="","",IF(ABS($F44-$G44)&lt;0.01,"일치","불일치(차이 "&amp;TEXT($G44-$F44,"0.00")&amp;")"))</f>
        <v/>
      </c>
      <c r="I44" s="20">
        <f>IF($X44="","",SUMIFS(상세표[기록 시간외],상세표[사번키],INDEX(합계표[사번키],$X44),상세표[기록월],대상월키,상세표[반영월],"&lt;&gt;"&amp;대상월키))</f>
        <v/>
      </c>
      <c r="J44" s="20">
        <f>IF($X44="","",SUMIFS(상세표[기록 시간외],상세표[사번키],INDEX(합계표[사번키],$X44),상세표[기록월],"&lt;&gt;"&amp;대상월키,상세표[반영월],대상월키))</f>
        <v/>
      </c>
      <c r="K44" s="20">
        <f>IF($X44="","",SUMIFS(상세표[기록 시간외],상세표[사번키],INDEX(합계표[사번키],$X44),상세표[반영월],대상월키))</f>
        <v/>
      </c>
      <c r="L44">
        <f>IF($X44="","",IFERROR(INDEX(월별근무지표[적용 급여병원],MATCH(INDEX(합계표[사번키],$X44)&amp;"|"&amp;대상월키,월별근무지표[키],0))&amp;"",IF(COUNTIF(기관표[사번키],INDEX(합계표[사번키],$X44))+COUNTIF(월별근무지표[사번키],INDEX(합계표[사번키],$X44))&gt;0,IFERROR(INDEX(기관표[급여지급병원(기준월)],MATCH(INDEX(합계표[사번키],$X44)&amp;"|"&amp;대상월키,기관표[키],0))&amp;"","—"),"—")))</f>
        <v/>
      </c>
      <c r="M44">
        <f>IF($X44="","",IF(NOT(COUNTIF(기관표[사번키],INDEX(합계표[사번키],$X44))+COUNTIF(월별근무지표[사번키],INDEX(합계표[사번키],$X44))&gt;0),"기관명단에 없음(다른 병원으로 발송)",IF($L44="서울병원","해당",IF(N($R44)&gt;0,"해당(말일 근무)",IF($L44="—","대상월 기관명단 없음(추가 필요)","비해당")))))</f>
        <v/>
      </c>
      <c r="N44" s="20">
        <f>IF($X44="","",SUMIFS(상세표[06~07시],상세표[사번키],INDEX(합계표[사번키],$X44),상세표[반영월],대상월키,상세표[반영 기관],"서울병원"))</f>
        <v/>
      </c>
      <c r="O44" s="20">
        <f>IF($X44="","",SUMIFS(상세표[07~18시],상세표[사번키],INDEX(합계표[사번키],$X44),상세표[반영월],대상월키,상세표[반영 기관],"서울병원"))</f>
        <v/>
      </c>
      <c r="P44" s="20">
        <f>IF($X44="","",SUMIFS(상세표[18~22시],상세표[사번키],INDEX(합계표[사번키],$X44),상세표[반영월],대상월키,상세표[반영 기관],"서울병원"))</f>
        <v/>
      </c>
      <c r="Q44" s="20">
        <f>IF($X44="","",SUMIFS(상세표[22~06시],상세표[사번키],INDEX(합계표[사번키],$X44),상세표[반영월],대상월키,상세표[반영 기관],"서울병원"))</f>
        <v/>
      </c>
      <c r="R44" s="20">
        <f>IF($X44="","",SUM($N44:$Q44))</f>
        <v/>
      </c>
      <c r="S44">
        <f>IF($X44="","",COUNTIFS(상세표[사번키],INDEX(합계표[사번키],$X44),상세표[반영월],대상월키,상세표[야간당직],1,상세표[야간 구분],"평일"))</f>
        <v/>
      </c>
      <c r="T44">
        <f>IF($X44="","",COUNTIFS(상세표[사번키],INDEX(합계표[사번키],$X44),상세표[반영월],대상월키,상세표[야간당직],1,상세표[야간 구분],"휴일"))</f>
        <v/>
      </c>
      <c r="U44">
        <f>IF($X44="","",COUNTIFS(상세표[사번키],INDEX(합계표[사번키],$X44),상세표[반영월],대상월키,상세표[야간당직],1,상세표[야간 구분],"평일",상세표[반영 기관],"서울병원"))</f>
        <v/>
      </c>
      <c r="V44">
        <f>IF($X44="","",COUNTIFS(상세표[사번키],INDEX(합계표[사번키],$X44),상세표[반영월],대상월키,상세표[야간당직],1,상세표[야간 구분],"휴일",상세표[반영 기관],"서울병원"))</f>
        <v/>
      </c>
      <c r="W44">
        <f>IF($X44="","",IF(ISNUMBER(MATCH(INDEX(합계표[사번키],$X44)&amp;"|"&amp;대상월키,월별근무지표[키],0)),"직접 입력",IF($L44="—","—","기관명단")))</f>
        <v/>
      </c>
      <c r="X44" s="4">
        <f>IFERROR(MATCH(39,합계표[판정순번],0),"")</f>
        <v/>
      </c>
      <c r="Z44">
        <f>IF($AC44="","",INDEX(상세표[사번],$AC44)&amp;"")</f>
        <v/>
      </c>
      <c r="AA44">
        <f>IF($AC44="","",INDEX(상세표[성명],$AC44)&amp;"")</f>
        <v/>
      </c>
      <c r="AB44" s="20">
        <f>IF($AC44="","",SUMIFS(상세표[기록 시간외],상세표[사번키],INDEX(상세표[사번키],$AC44),상세표[반영월],대상월키))</f>
        <v/>
      </c>
      <c r="AC44" s="4">
        <f>IFERROR(MATCH(39,상세표[합계없음순번],0),"")</f>
        <v/>
      </c>
    </row>
    <row r="45">
      <c r="A45">
        <f>IF($X45="","",INDEX(합계표[사번],$X45)&amp;"")</f>
        <v/>
      </c>
      <c r="B45">
        <f>IF($X45="","",INDEX(합계표[성명],$X45)&amp;"")</f>
        <v/>
      </c>
      <c r="C45">
        <f>IF($X45="","",INDEX(합계표[부서],$X45)&amp;"")</f>
        <v/>
      </c>
      <c r="D45">
        <f>IF($X45="","",INDEX(합계표[직위(요약)],$X45)&amp;"")</f>
        <v/>
      </c>
      <c r="E45">
        <f>IF($X45="","",INDEX(합계표[직급 공존],$X45)&amp;"")</f>
        <v/>
      </c>
      <c r="F45" s="20">
        <f>IF($X45="","",SUMIFS(합계표[시스템 합계],합계표[사번키],INDEX(합계표[사번키],$X45)))</f>
        <v/>
      </c>
      <c r="G45" s="20">
        <f>IF($X45="","",SUMIFS(상세표[기록 시간외],상세표[사번키],INDEX(합계표[사번키],$X45),상세표[기록월],대상월키))</f>
        <v/>
      </c>
      <c r="H45">
        <f>IF($X45="","",IF(ABS($F45-$G45)&lt;0.01,"일치","불일치(차이 "&amp;TEXT($G45-$F45,"0.00")&amp;")"))</f>
        <v/>
      </c>
      <c r="I45" s="20">
        <f>IF($X45="","",SUMIFS(상세표[기록 시간외],상세표[사번키],INDEX(합계표[사번키],$X45),상세표[기록월],대상월키,상세표[반영월],"&lt;&gt;"&amp;대상월키))</f>
        <v/>
      </c>
      <c r="J45" s="20">
        <f>IF($X45="","",SUMIFS(상세표[기록 시간외],상세표[사번키],INDEX(합계표[사번키],$X45),상세표[기록월],"&lt;&gt;"&amp;대상월키,상세표[반영월],대상월키))</f>
        <v/>
      </c>
      <c r="K45" s="20">
        <f>IF($X45="","",SUMIFS(상세표[기록 시간외],상세표[사번키],INDEX(합계표[사번키],$X45),상세표[반영월],대상월키))</f>
        <v/>
      </c>
      <c r="L45">
        <f>IF($X45="","",IFERROR(INDEX(월별근무지표[적용 급여병원],MATCH(INDEX(합계표[사번키],$X45)&amp;"|"&amp;대상월키,월별근무지표[키],0))&amp;"",IF(COUNTIF(기관표[사번키],INDEX(합계표[사번키],$X45))+COUNTIF(월별근무지표[사번키],INDEX(합계표[사번키],$X45))&gt;0,IFERROR(INDEX(기관표[급여지급병원(기준월)],MATCH(INDEX(합계표[사번키],$X45)&amp;"|"&amp;대상월키,기관표[키],0))&amp;"","—"),"—")))</f>
        <v/>
      </c>
      <c r="M45">
        <f>IF($X45="","",IF(NOT(COUNTIF(기관표[사번키],INDEX(합계표[사번키],$X45))+COUNTIF(월별근무지표[사번키],INDEX(합계표[사번키],$X45))&gt;0),"기관명단에 없음(다른 병원으로 발송)",IF($L45="서울병원","해당",IF(N($R45)&gt;0,"해당(말일 근무)",IF($L45="—","대상월 기관명단 없음(추가 필요)","비해당")))))</f>
        <v/>
      </c>
      <c r="N45" s="20">
        <f>IF($X45="","",SUMIFS(상세표[06~07시],상세표[사번키],INDEX(합계표[사번키],$X45),상세표[반영월],대상월키,상세표[반영 기관],"서울병원"))</f>
        <v/>
      </c>
      <c r="O45" s="20">
        <f>IF($X45="","",SUMIFS(상세표[07~18시],상세표[사번키],INDEX(합계표[사번키],$X45),상세표[반영월],대상월키,상세표[반영 기관],"서울병원"))</f>
        <v/>
      </c>
      <c r="P45" s="20">
        <f>IF($X45="","",SUMIFS(상세표[18~22시],상세표[사번키],INDEX(합계표[사번키],$X45),상세표[반영월],대상월키,상세표[반영 기관],"서울병원"))</f>
        <v/>
      </c>
      <c r="Q45" s="20">
        <f>IF($X45="","",SUMIFS(상세표[22~06시],상세표[사번키],INDEX(합계표[사번키],$X45),상세표[반영월],대상월키,상세표[반영 기관],"서울병원"))</f>
        <v/>
      </c>
      <c r="R45" s="20">
        <f>IF($X45="","",SUM($N45:$Q45))</f>
        <v/>
      </c>
      <c r="S45">
        <f>IF($X45="","",COUNTIFS(상세표[사번키],INDEX(합계표[사번키],$X45),상세표[반영월],대상월키,상세표[야간당직],1,상세표[야간 구분],"평일"))</f>
        <v/>
      </c>
      <c r="T45">
        <f>IF($X45="","",COUNTIFS(상세표[사번키],INDEX(합계표[사번키],$X45),상세표[반영월],대상월키,상세표[야간당직],1,상세표[야간 구분],"휴일"))</f>
        <v/>
      </c>
      <c r="U45">
        <f>IF($X45="","",COUNTIFS(상세표[사번키],INDEX(합계표[사번키],$X45),상세표[반영월],대상월키,상세표[야간당직],1,상세표[야간 구분],"평일",상세표[반영 기관],"서울병원"))</f>
        <v/>
      </c>
      <c r="V45">
        <f>IF($X45="","",COUNTIFS(상세표[사번키],INDEX(합계표[사번키],$X45),상세표[반영월],대상월키,상세표[야간당직],1,상세표[야간 구분],"휴일",상세표[반영 기관],"서울병원"))</f>
        <v/>
      </c>
      <c r="W45">
        <f>IF($X45="","",IF(ISNUMBER(MATCH(INDEX(합계표[사번키],$X45)&amp;"|"&amp;대상월키,월별근무지표[키],0)),"직접 입력",IF($L45="—","—","기관명단")))</f>
        <v/>
      </c>
      <c r="X45" s="4">
        <f>IFERROR(MATCH(40,합계표[판정순번],0),"")</f>
        <v/>
      </c>
      <c r="Z45">
        <f>IF($AC45="","",INDEX(상세표[사번],$AC45)&amp;"")</f>
        <v/>
      </c>
      <c r="AA45">
        <f>IF($AC45="","",INDEX(상세표[성명],$AC45)&amp;"")</f>
        <v/>
      </c>
      <c r="AB45" s="20">
        <f>IF($AC45="","",SUMIFS(상세표[기록 시간외],상세표[사번키],INDEX(상세표[사번키],$AC45),상세표[반영월],대상월키))</f>
        <v/>
      </c>
      <c r="AC45" s="4">
        <f>IFERROR(MATCH(40,상세표[합계없음순번],0),"")</f>
        <v/>
      </c>
    </row>
    <row r="46">
      <c r="A46">
        <f>IF($X46="","",INDEX(합계표[사번],$X46)&amp;"")</f>
        <v/>
      </c>
      <c r="B46">
        <f>IF($X46="","",INDEX(합계표[성명],$X46)&amp;"")</f>
        <v/>
      </c>
      <c r="C46">
        <f>IF($X46="","",INDEX(합계표[부서],$X46)&amp;"")</f>
        <v/>
      </c>
      <c r="D46">
        <f>IF($X46="","",INDEX(합계표[직위(요약)],$X46)&amp;"")</f>
        <v/>
      </c>
      <c r="E46">
        <f>IF($X46="","",INDEX(합계표[직급 공존],$X46)&amp;"")</f>
        <v/>
      </c>
      <c r="F46" s="20">
        <f>IF($X46="","",SUMIFS(합계표[시스템 합계],합계표[사번키],INDEX(합계표[사번키],$X46)))</f>
        <v/>
      </c>
      <c r="G46" s="20">
        <f>IF($X46="","",SUMIFS(상세표[기록 시간외],상세표[사번키],INDEX(합계표[사번키],$X46),상세표[기록월],대상월키))</f>
        <v/>
      </c>
      <c r="H46">
        <f>IF($X46="","",IF(ABS($F46-$G46)&lt;0.01,"일치","불일치(차이 "&amp;TEXT($G46-$F46,"0.00")&amp;")"))</f>
        <v/>
      </c>
      <c r="I46" s="20">
        <f>IF($X46="","",SUMIFS(상세표[기록 시간외],상세표[사번키],INDEX(합계표[사번키],$X46),상세표[기록월],대상월키,상세표[반영월],"&lt;&gt;"&amp;대상월키))</f>
        <v/>
      </c>
      <c r="J46" s="20">
        <f>IF($X46="","",SUMIFS(상세표[기록 시간외],상세표[사번키],INDEX(합계표[사번키],$X46),상세표[기록월],"&lt;&gt;"&amp;대상월키,상세표[반영월],대상월키))</f>
        <v/>
      </c>
      <c r="K46" s="20">
        <f>IF($X46="","",SUMIFS(상세표[기록 시간외],상세표[사번키],INDEX(합계표[사번키],$X46),상세표[반영월],대상월키))</f>
        <v/>
      </c>
      <c r="L46">
        <f>IF($X46="","",IFERROR(INDEX(월별근무지표[적용 급여병원],MATCH(INDEX(합계표[사번키],$X46)&amp;"|"&amp;대상월키,월별근무지표[키],0))&amp;"",IF(COUNTIF(기관표[사번키],INDEX(합계표[사번키],$X46))+COUNTIF(월별근무지표[사번키],INDEX(합계표[사번키],$X46))&gt;0,IFERROR(INDEX(기관표[급여지급병원(기준월)],MATCH(INDEX(합계표[사번키],$X46)&amp;"|"&amp;대상월키,기관표[키],0))&amp;"","—"),"—")))</f>
        <v/>
      </c>
      <c r="M46">
        <f>IF($X46="","",IF(NOT(COUNTIF(기관표[사번키],INDEX(합계표[사번키],$X46))+COUNTIF(월별근무지표[사번키],INDEX(합계표[사번키],$X46))&gt;0),"기관명단에 없음(다른 병원으로 발송)",IF($L46="서울병원","해당",IF(N($R46)&gt;0,"해당(말일 근무)",IF($L46="—","대상월 기관명단 없음(추가 필요)","비해당")))))</f>
        <v/>
      </c>
      <c r="N46" s="20">
        <f>IF($X46="","",SUMIFS(상세표[06~07시],상세표[사번키],INDEX(합계표[사번키],$X46),상세표[반영월],대상월키,상세표[반영 기관],"서울병원"))</f>
        <v/>
      </c>
      <c r="O46" s="20">
        <f>IF($X46="","",SUMIFS(상세표[07~18시],상세표[사번키],INDEX(합계표[사번키],$X46),상세표[반영월],대상월키,상세표[반영 기관],"서울병원"))</f>
        <v/>
      </c>
      <c r="P46" s="20">
        <f>IF($X46="","",SUMIFS(상세표[18~22시],상세표[사번키],INDEX(합계표[사번키],$X46),상세표[반영월],대상월키,상세표[반영 기관],"서울병원"))</f>
        <v/>
      </c>
      <c r="Q46" s="20">
        <f>IF($X46="","",SUMIFS(상세표[22~06시],상세표[사번키],INDEX(합계표[사번키],$X46),상세표[반영월],대상월키,상세표[반영 기관],"서울병원"))</f>
        <v/>
      </c>
      <c r="R46" s="20">
        <f>IF($X46="","",SUM($N46:$Q46))</f>
        <v/>
      </c>
      <c r="S46">
        <f>IF($X46="","",COUNTIFS(상세표[사번키],INDEX(합계표[사번키],$X46),상세표[반영월],대상월키,상세표[야간당직],1,상세표[야간 구분],"평일"))</f>
        <v/>
      </c>
      <c r="T46">
        <f>IF($X46="","",COUNTIFS(상세표[사번키],INDEX(합계표[사번키],$X46),상세표[반영월],대상월키,상세표[야간당직],1,상세표[야간 구분],"휴일"))</f>
        <v/>
      </c>
      <c r="U46">
        <f>IF($X46="","",COUNTIFS(상세표[사번키],INDEX(합계표[사번키],$X46),상세표[반영월],대상월키,상세표[야간당직],1,상세표[야간 구분],"평일",상세표[반영 기관],"서울병원"))</f>
        <v/>
      </c>
      <c r="V46">
        <f>IF($X46="","",COUNTIFS(상세표[사번키],INDEX(합계표[사번키],$X46),상세표[반영월],대상월키,상세표[야간당직],1,상세표[야간 구분],"휴일",상세표[반영 기관],"서울병원"))</f>
        <v/>
      </c>
      <c r="W46">
        <f>IF($X46="","",IF(ISNUMBER(MATCH(INDEX(합계표[사번키],$X46)&amp;"|"&amp;대상월키,월별근무지표[키],0)),"직접 입력",IF($L46="—","—","기관명단")))</f>
        <v/>
      </c>
      <c r="X46" s="4">
        <f>IFERROR(MATCH(41,합계표[판정순번],0),"")</f>
        <v/>
      </c>
      <c r="Z46">
        <f>IF($AC46="","",INDEX(상세표[사번],$AC46)&amp;"")</f>
        <v/>
      </c>
      <c r="AA46">
        <f>IF($AC46="","",INDEX(상세표[성명],$AC46)&amp;"")</f>
        <v/>
      </c>
      <c r="AB46" s="20">
        <f>IF($AC46="","",SUMIFS(상세표[기록 시간외],상세표[사번키],INDEX(상세표[사번키],$AC46),상세표[반영월],대상월키))</f>
        <v/>
      </c>
      <c r="AC46" s="4">
        <f>IFERROR(MATCH(41,상세표[합계없음순번],0),"")</f>
        <v/>
      </c>
    </row>
    <row r="47">
      <c r="A47">
        <f>IF($X47="","",INDEX(합계표[사번],$X47)&amp;"")</f>
        <v/>
      </c>
      <c r="B47">
        <f>IF($X47="","",INDEX(합계표[성명],$X47)&amp;"")</f>
        <v/>
      </c>
      <c r="C47">
        <f>IF($X47="","",INDEX(합계표[부서],$X47)&amp;"")</f>
        <v/>
      </c>
      <c r="D47">
        <f>IF($X47="","",INDEX(합계표[직위(요약)],$X47)&amp;"")</f>
        <v/>
      </c>
      <c r="E47">
        <f>IF($X47="","",INDEX(합계표[직급 공존],$X47)&amp;"")</f>
        <v/>
      </c>
      <c r="F47" s="20">
        <f>IF($X47="","",SUMIFS(합계표[시스템 합계],합계표[사번키],INDEX(합계표[사번키],$X47)))</f>
        <v/>
      </c>
      <c r="G47" s="20">
        <f>IF($X47="","",SUMIFS(상세표[기록 시간외],상세표[사번키],INDEX(합계표[사번키],$X47),상세표[기록월],대상월키))</f>
        <v/>
      </c>
      <c r="H47">
        <f>IF($X47="","",IF(ABS($F47-$G47)&lt;0.01,"일치","불일치(차이 "&amp;TEXT($G47-$F47,"0.00")&amp;")"))</f>
        <v/>
      </c>
      <c r="I47" s="20">
        <f>IF($X47="","",SUMIFS(상세표[기록 시간외],상세표[사번키],INDEX(합계표[사번키],$X47),상세표[기록월],대상월키,상세표[반영월],"&lt;&gt;"&amp;대상월키))</f>
        <v/>
      </c>
      <c r="J47" s="20">
        <f>IF($X47="","",SUMIFS(상세표[기록 시간외],상세표[사번키],INDEX(합계표[사번키],$X47),상세표[기록월],"&lt;&gt;"&amp;대상월키,상세표[반영월],대상월키))</f>
        <v/>
      </c>
      <c r="K47" s="20">
        <f>IF($X47="","",SUMIFS(상세표[기록 시간외],상세표[사번키],INDEX(합계표[사번키],$X47),상세표[반영월],대상월키))</f>
        <v/>
      </c>
      <c r="L47">
        <f>IF($X47="","",IFERROR(INDEX(월별근무지표[적용 급여병원],MATCH(INDEX(합계표[사번키],$X47)&amp;"|"&amp;대상월키,월별근무지표[키],0))&amp;"",IF(COUNTIF(기관표[사번키],INDEX(합계표[사번키],$X47))+COUNTIF(월별근무지표[사번키],INDEX(합계표[사번키],$X47))&gt;0,IFERROR(INDEX(기관표[급여지급병원(기준월)],MATCH(INDEX(합계표[사번키],$X47)&amp;"|"&amp;대상월키,기관표[키],0))&amp;"","—"),"—")))</f>
        <v/>
      </c>
      <c r="M47">
        <f>IF($X47="","",IF(NOT(COUNTIF(기관표[사번키],INDEX(합계표[사번키],$X47))+COUNTIF(월별근무지표[사번키],INDEX(합계표[사번키],$X47))&gt;0),"기관명단에 없음(다른 병원으로 발송)",IF($L47="서울병원","해당",IF(N($R47)&gt;0,"해당(말일 근무)",IF($L47="—","대상월 기관명단 없음(추가 필요)","비해당")))))</f>
        <v/>
      </c>
      <c r="N47" s="20">
        <f>IF($X47="","",SUMIFS(상세표[06~07시],상세표[사번키],INDEX(합계표[사번키],$X47),상세표[반영월],대상월키,상세표[반영 기관],"서울병원"))</f>
        <v/>
      </c>
      <c r="O47" s="20">
        <f>IF($X47="","",SUMIFS(상세표[07~18시],상세표[사번키],INDEX(합계표[사번키],$X47),상세표[반영월],대상월키,상세표[반영 기관],"서울병원"))</f>
        <v/>
      </c>
      <c r="P47" s="20">
        <f>IF($X47="","",SUMIFS(상세표[18~22시],상세표[사번키],INDEX(합계표[사번키],$X47),상세표[반영월],대상월키,상세표[반영 기관],"서울병원"))</f>
        <v/>
      </c>
      <c r="Q47" s="20">
        <f>IF($X47="","",SUMIFS(상세표[22~06시],상세표[사번키],INDEX(합계표[사번키],$X47),상세표[반영월],대상월키,상세표[반영 기관],"서울병원"))</f>
        <v/>
      </c>
      <c r="R47" s="20">
        <f>IF($X47="","",SUM($N47:$Q47))</f>
        <v/>
      </c>
      <c r="S47">
        <f>IF($X47="","",COUNTIFS(상세표[사번키],INDEX(합계표[사번키],$X47),상세표[반영월],대상월키,상세표[야간당직],1,상세표[야간 구분],"평일"))</f>
        <v/>
      </c>
      <c r="T47">
        <f>IF($X47="","",COUNTIFS(상세표[사번키],INDEX(합계표[사번키],$X47),상세표[반영월],대상월키,상세표[야간당직],1,상세표[야간 구분],"휴일"))</f>
        <v/>
      </c>
      <c r="U47">
        <f>IF($X47="","",COUNTIFS(상세표[사번키],INDEX(합계표[사번키],$X47),상세표[반영월],대상월키,상세표[야간당직],1,상세표[야간 구분],"평일",상세표[반영 기관],"서울병원"))</f>
        <v/>
      </c>
      <c r="V47">
        <f>IF($X47="","",COUNTIFS(상세표[사번키],INDEX(합계표[사번키],$X47),상세표[반영월],대상월키,상세표[야간당직],1,상세표[야간 구분],"휴일",상세표[반영 기관],"서울병원"))</f>
        <v/>
      </c>
      <c r="W47">
        <f>IF($X47="","",IF(ISNUMBER(MATCH(INDEX(합계표[사번키],$X47)&amp;"|"&amp;대상월키,월별근무지표[키],0)),"직접 입력",IF($L47="—","—","기관명단")))</f>
        <v/>
      </c>
      <c r="X47" s="4">
        <f>IFERROR(MATCH(42,합계표[판정순번],0),"")</f>
        <v/>
      </c>
      <c r="Z47">
        <f>IF($AC47="","",INDEX(상세표[사번],$AC47)&amp;"")</f>
        <v/>
      </c>
      <c r="AA47">
        <f>IF($AC47="","",INDEX(상세표[성명],$AC47)&amp;"")</f>
        <v/>
      </c>
      <c r="AB47" s="20">
        <f>IF($AC47="","",SUMIFS(상세표[기록 시간외],상세표[사번키],INDEX(상세표[사번키],$AC47),상세표[반영월],대상월키))</f>
        <v/>
      </c>
      <c r="AC47" s="4">
        <f>IFERROR(MATCH(42,상세표[합계없음순번],0),"")</f>
        <v/>
      </c>
    </row>
    <row r="48">
      <c r="A48">
        <f>IF($X48="","",INDEX(합계표[사번],$X48)&amp;"")</f>
        <v/>
      </c>
      <c r="B48">
        <f>IF($X48="","",INDEX(합계표[성명],$X48)&amp;"")</f>
        <v/>
      </c>
      <c r="C48">
        <f>IF($X48="","",INDEX(합계표[부서],$X48)&amp;"")</f>
        <v/>
      </c>
      <c r="D48">
        <f>IF($X48="","",INDEX(합계표[직위(요약)],$X48)&amp;"")</f>
        <v/>
      </c>
      <c r="E48">
        <f>IF($X48="","",INDEX(합계표[직급 공존],$X48)&amp;"")</f>
        <v/>
      </c>
      <c r="F48" s="20">
        <f>IF($X48="","",SUMIFS(합계표[시스템 합계],합계표[사번키],INDEX(합계표[사번키],$X48)))</f>
        <v/>
      </c>
      <c r="G48" s="20">
        <f>IF($X48="","",SUMIFS(상세표[기록 시간외],상세표[사번키],INDEX(합계표[사번키],$X48),상세표[기록월],대상월키))</f>
        <v/>
      </c>
      <c r="H48">
        <f>IF($X48="","",IF(ABS($F48-$G48)&lt;0.01,"일치","불일치(차이 "&amp;TEXT($G48-$F48,"0.00")&amp;")"))</f>
        <v/>
      </c>
      <c r="I48" s="20">
        <f>IF($X48="","",SUMIFS(상세표[기록 시간외],상세표[사번키],INDEX(합계표[사번키],$X48),상세표[기록월],대상월키,상세표[반영월],"&lt;&gt;"&amp;대상월키))</f>
        <v/>
      </c>
      <c r="J48" s="20">
        <f>IF($X48="","",SUMIFS(상세표[기록 시간외],상세표[사번키],INDEX(합계표[사번키],$X48),상세표[기록월],"&lt;&gt;"&amp;대상월키,상세표[반영월],대상월키))</f>
        <v/>
      </c>
      <c r="K48" s="20">
        <f>IF($X48="","",SUMIFS(상세표[기록 시간외],상세표[사번키],INDEX(합계표[사번키],$X48),상세표[반영월],대상월키))</f>
        <v/>
      </c>
      <c r="L48">
        <f>IF($X48="","",IFERROR(INDEX(월별근무지표[적용 급여병원],MATCH(INDEX(합계표[사번키],$X48)&amp;"|"&amp;대상월키,월별근무지표[키],0))&amp;"",IF(COUNTIF(기관표[사번키],INDEX(합계표[사번키],$X48))+COUNTIF(월별근무지표[사번키],INDEX(합계표[사번키],$X48))&gt;0,IFERROR(INDEX(기관표[급여지급병원(기준월)],MATCH(INDEX(합계표[사번키],$X48)&amp;"|"&amp;대상월키,기관표[키],0))&amp;"","—"),"—")))</f>
        <v/>
      </c>
      <c r="M48">
        <f>IF($X48="","",IF(NOT(COUNTIF(기관표[사번키],INDEX(합계표[사번키],$X48))+COUNTIF(월별근무지표[사번키],INDEX(합계표[사번키],$X48))&gt;0),"기관명단에 없음(다른 병원으로 발송)",IF($L48="서울병원","해당",IF(N($R48)&gt;0,"해당(말일 근무)",IF($L48="—","대상월 기관명단 없음(추가 필요)","비해당")))))</f>
        <v/>
      </c>
      <c r="N48" s="20">
        <f>IF($X48="","",SUMIFS(상세표[06~07시],상세표[사번키],INDEX(합계표[사번키],$X48),상세표[반영월],대상월키,상세표[반영 기관],"서울병원"))</f>
        <v/>
      </c>
      <c r="O48" s="20">
        <f>IF($X48="","",SUMIFS(상세표[07~18시],상세표[사번키],INDEX(합계표[사번키],$X48),상세표[반영월],대상월키,상세표[반영 기관],"서울병원"))</f>
        <v/>
      </c>
      <c r="P48" s="20">
        <f>IF($X48="","",SUMIFS(상세표[18~22시],상세표[사번키],INDEX(합계표[사번키],$X48),상세표[반영월],대상월키,상세표[반영 기관],"서울병원"))</f>
        <v/>
      </c>
      <c r="Q48" s="20">
        <f>IF($X48="","",SUMIFS(상세표[22~06시],상세표[사번키],INDEX(합계표[사번키],$X48),상세표[반영월],대상월키,상세표[반영 기관],"서울병원"))</f>
        <v/>
      </c>
      <c r="R48" s="20">
        <f>IF($X48="","",SUM($N48:$Q48))</f>
        <v/>
      </c>
      <c r="S48">
        <f>IF($X48="","",COUNTIFS(상세표[사번키],INDEX(합계표[사번키],$X48),상세표[반영월],대상월키,상세표[야간당직],1,상세표[야간 구분],"평일"))</f>
        <v/>
      </c>
      <c r="T48">
        <f>IF($X48="","",COUNTIFS(상세표[사번키],INDEX(합계표[사번키],$X48),상세표[반영월],대상월키,상세표[야간당직],1,상세표[야간 구분],"휴일"))</f>
        <v/>
      </c>
      <c r="U48">
        <f>IF($X48="","",COUNTIFS(상세표[사번키],INDEX(합계표[사번키],$X48),상세표[반영월],대상월키,상세표[야간당직],1,상세표[야간 구분],"평일",상세표[반영 기관],"서울병원"))</f>
        <v/>
      </c>
      <c r="V48">
        <f>IF($X48="","",COUNTIFS(상세표[사번키],INDEX(합계표[사번키],$X48),상세표[반영월],대상월키,상세표[야간당직],1,상세표[야간 구분],"휴일",상세표[반영 기관],"서울병원"))</f>
        <v/>
      </c>
      <c r="W48">
        <f>IF($X48="","",IF(ISNUMBER(MATCH(INDEX(합계표[사번키],$X48)&amp;"|"&amp;대상월키,월별근무지표[키],0)),"직접 입력",IF($L48="—","—","기관명단")))</f>
        <v/>
      </c>
      <c r="X48" s="4">
        <f>IFERROR(MATCH(43,합계표[판정순번],0),"")</f>
        <v/>
      </c>
      <c r="Z48">
        <f>IF($AC48="","",INDEX(상세표[사번],$AC48)&amp;"")</f>
        <v/>
      </c>
      <c r="AA48">
        <f>IF($AC48="","",INDEX(상세표[성명],$AC48)&amp;"")</f>
        <v/>
      </c>
      <c r="AB48" s="20">
        <f>IF($AC48="","",SUMIFS(상세표[기록 시간외],상세표[사번키],INDEX(상세표[사번키],$AC48),상세표[반영월],대상월키))</f>
        <v/>
      </c>
      <c r="AC48" s="4">
        <f>IFERROR(MATCH(43,상세표[합계없음순번],0),"")</f>
        <v/>
      </c>
    </row>
    <row r="49">
      <c r="A49">
        <f>IF($X49="","",INDEX(합계표[사번],$X49)&amp;"")</f>
        <v/>
      </c>
      <c r="B49">
        <f>IF($X49="","",INDEX(합계표[성명],$X49)&amp;"")</f>
        <v/>
      </c>
      <c r="C49">
        <f>IF($X49="","",INDEX(합계표[부서],$X49)&amp;"")</f>
        <v/>
      </c>
      <c r="D49">
        <f>IF($X49="","",INDEX(합계표[직위(요약)],$X49)&amp;"")</f>
        <v/>
      </c>
      <c r="E49">
        <f>IF($X49="","",INDEX(합계표[직급 공존],$X49)&amp;"")</f>
        <v/>
      </c>
      <c r="F49" s="20">
        <f>IF($X49="","",SUMIFS(합계표[시스템 합계],합계표[사번키],INDEX(합계표[사번키],$X49)))</f>
        <v/>
      </c>
      <c r="G49" s="20">
        <f>IF($X49="","",SUMIFS(상세표[기록 시간외],상세표[사번키],INDEX(합계표[사번키],$X49),상세표[기록월],대상월키))</f>
        <v/>
      </c>
      <c r="H49">
        <f>IF($X49="","",IF(ABS($F49-$G49)&lt;0.01,"일치","불일치(차이 "&amp;TEXT($G49-$F49,"0.00")&amp;")"))</f>
        <v/>
      </c>
      <c r="I49" s="20">
        <f>IF($X49="","",SUMIFS(상세표[기록 시간외],상세표[사번키],INDEX(합계표[사번키],$X49),상세표[기록월],대상월키,상세표[반영월],"&lt;&gt;"&amp;대상월키))</f>
        <v/>
      </c>
      <c r="J49" s="20">
        <f>IF($X49="","",SUMIFS(상세표[기록 시간외],상세표[사번키],INDEX(합계표[사번키],$X49),상세표[기록월],"&lt;&gt;"&amp;대상월키,상세표[반영월],대상월키))</f>
        <v/>
      </c>
      <c r="K49" s="20">
        <f>IF($X49="","",SUMIFS(상세표[기록 시간외],상세표[사번키],INDEX(합계표[사번키],$X49),상세표[반영월],대상월키))</f>
        <v/>
      </c>
      <c r="L49">
        <f>IF($X49="","",IFERROR(INDEX(월별근무지표[적용 급여병원],MATCH(INDEX(합계표[사번키],$X49)&amp;"|"&amp;대상월키,월별근무지표[키],0))&amp;"",IF(COUNTIF(기관표[사번키],INDEX(합계표[사번키],$X49))+COUNTIF(월별근무지표[사번키],INDEX(합계표[사번키],$X49))&gt;0,IFERROR(INDEX(기관표[급여지급병원(기준월)],MATCH(INDEX(합계표[사번키],$X49)&amp;"|"&amp;대상월키,기관표[키],0))&amp;"","—"),"—")))</f>
        <v/>
      </c>
      <c r="M49">
        <f>IF($X49="","",IF(NOT(COUNTIF(기관표[사번키],INDEX(합계표[사번키],$X49))+COUNTIF(월별근무지표[사번키],INDEX(합계표[사번키],$X49))&gt;0),"기관명단에 없음(다른 병원으로 발송)",IF($L49="서울병원","해당",IF(N($R49)&gt;0,"해당(말일 근무)",IF($L49="—","대상월 기관명단 없음(추가 필요)","비해당")))))</f>
        <v/>
      </c>
      <c r="N49" s="20">
        <f>IF($X49="","",SUMIFS(상세표[06~07시],상세표[사번키],INDEX(합계표[사번키],$X49),상세표[반영월],대상월키,상세표[반영 기관],"서울병원"))</f>
        <v/>
      </c>
      <c r="O49" s="20">
        <f>IF($X49="","",SUMIFS(상세표[07~18시],상세표[사번키],INDEX(합계표[사번키],$X49),상세표[반영월],대상월키,상세표[반영 기관],"서울병원"))</f>
        <v/>
      </c>
      <c r="P49" s="20">
        <f>IF($X49="","",SUMIFS(상세표[18~22시],상세표[사번키],INDEX(합계표[사번키],$X49),상세표[반영월],대상월키,상세표[반영 기관],"서울병원"))</f>
        <v/>
      </c>
      <c r="Q49" s="20">
        <f>IF($X49="","",SUMIFS(상세표[22~06시],상세표[사번키],INDEX(합계표[사번키],$X49),상세표[반영월],대상월키,상세표[반영 기관],"서울병원"))</f>
        <v/>
      </c>
      <c r="R49" s="20">
        <f>IF($X49="","",SUM($N49:$Q49))</f>
        <v/>
      </c>
      <c r="S49">
        <f>IF($X49="","",COUNTIFS(상세표[사번키],INDEX(합계표[사번키],$X49),상세표[반영월],대상월키,상세표[야간당직],1,상세표[야간 구분],"평일"))</f>
        <v/>
      </c>
      <c r="T49">
        <f>IF($X49="","",COUNTIFS(상세표[사번키],INDEX(합계표[사번키],$X49),상세표[반영월],대상월키,상세표[야간당직],1,상세표[야간 구분],"휴일"))</f>
        <v/>
      </c>
      <c r="U49">
        <f>IF($X49="","",COUNTIFS(상세표[사번키],INDEX(합계표[사번키],$X49),상세표[반영월],대상월키,상세표[야간당직],1,상세표[야간 구분],"평일",상세표[반영 기관],"서울병원"))</f>
        <v/>
      </c>
      <c r="V49">
        <f>IF($X49="","",COUNTIFS(상세표[사번키],INDEX(합계표[사번키],$X49),상세표[반영월],대상월키,상세표[야간당직],1,상세표[야간 구분],"휴일",상세표[반영 기관],"서울병원"))</f>
        <v/>
      </c>
      <c r="W49">
        <f>IF($X49="","",IF(ISNUMBER(MATCH(INDEX(합계표[사번키],$X49)&amp;"|"&amp;대상월키,월별근무지표[키],0)),"직접 입력",IF($L49="—","—","기관명단")))</f>
        <v/>
      </c>
      <c r="X49" s="4">
        <f>IFERROR(MATCH(44,합계표[판정순번],0),"")</f>
        <v/>
      </c>
      <c r="Z49">
        <f>IF($AC49="","",INDEX(상세표[사번],$AC49)&amp;"")</f>
        <v/>
      </c>
      <c r="AA49">
        <f>IF($AC49="","",INDEX(상세표[성명],$AC49)&amp;"")</f>
        <v/>
      </c>
      <c r="AB49" s="20">
        <f>IF($AC49="","",SUMIFS(상세표[기록 시간외],상세표[사번키],INDEX(상세표[사번키],$AC49),상세표[반영월],대상월키))</f>
        <v/>
      </c>
      <c r="AC49" s="4">
        <f>IFERROR(MATCH(44,상세표[합계없음순번],0),"")</f>
        <v/>
      </c>
    </row>
    <row r="50">
      <c r="A50">
        <f>IF($X50="","",INDEX(합계표[사번],$X50)&amp;"")</f>
        <v/>
      </c>
      <c r="B50">
        <f>IF($X50="","",INDEX(합계표[성명],$X50)&amp;"")</f>
        <v/>
      </c>
      <c r="C50">
        <f>IF($X50="","",INDEX(합계표[부서],$X50)&amp;"")</f>
        <v/>
      </c>
      <c r="D50">
        <f>IF($X50="","",INDEX(합계표[직위(요약)],$X50)&amp;"")</f>
        <v/>
      </c>
      <c r="E50">
        <f>IF($X50="","",INDEX(합계표[직급 공존],$X50)&amp;"")</f>
        <v/>
      </c>
      <c r="F50" s="20">
        <f>IF($X50="","",SUMIFS(합계표[시스템 합계],합계표[사번키],INDEX(합계표[사번키],$X50)))</f>
        <v/>
      </c>
      <c r="G50" s="20">
        <f>IF($X50="","",SUMIFS(상세표[기록 시간외],상세표[사번키],INDEX(합계표[사번키],$X50),상세표[기록월],대상월키))</f>
        <v/>
      </c>
      <c r="H50">
        <f>IF($X50="","",IF(ABS($F50-$G50)&lt;0.01,"일치","불일치(차이 "&amp;TEXT($G50-$F50,"0.00")&amp;")"))</f>
        <v/>
      </c>
      <c r="I50" s="20">
        <f>IF($X50="","",SUMIFS(상세표[기록 시간외],상세표[사번키],INDEX(합계표[사번키],$X50),상세표[기록월],대상월키,상세표[반영월],"&lt;&gt;"&amp;대상월키))</f>
        <v/>
      </c>
      <c r="J50" s="20">
        <f>IF($X50="","",SUMIFS(상세표[기록 시간외],상세표[사번키],INDEX(합계표[사번키],$X50),상세표[기록월],"&lt;&gt;"&amp;대상월키,상세표[반영월],대상월키))</f>
        <v/>
      </c>
      <c r="K50" s="20">
        <f>IF($X50="","",SUMIFS(상세표[기록 시간외],상세표[사번키],INDEX(합계표[사번키],$X50),상세표[반영월],대상월키))</f>
        <v/>
      </c>
      <c r="L50">
        <f>IF($X50="","",IFERROR(INDEX(월별근무지표[적용 급여병원],MATCH(INDEX(합계표[사번키],$X50)&amp;"|"&amp;대상월키,월별근무지표[키],0))&amp;"",IF(COUNTIF(기관표[사번키],INDEX(합계표[사번키],$X50))+COUNTIF(월별근무지표[사번키],INDEX(합계표[사번키],$X50))&gt;0,IFERROR(INDEX(기관표[급여지급병원(기준월)],MATCH(INDEX(합계표[사번키],$X50)&amp;"|"&amp;대상월키,기관표[키],0))&amp;"","—"),"—")))</f>
        <v/>
      </c>
      <c r="M50">
        <f>IF($X50="","",IF(NOT(COUNTIF(기관표[사번키],INDEX(합계표[사번키],$X50))+COUNTIF(월별근무지표[사번키],INDEX(합계표[사번키],$X50))&gt;0),"기관명단에 없음(다른 병원으로 발송)",IF($L50="서울병원","해당",IF(N($R50)&gt;0,"해당(말일 근무)",IF($L50="—","대상월 기관명단 없음(추가 필요)","비해당")))))</f>
        <v/>
      </c>
      <c r="N50" s="20">
        <f>IF($X50="","",SUMIFS(상세표[06~07시],상세표[사번키],INDEX(합계표[사번키],$X50),상세표[반영월],대상월키,상세표[반영 기관],"서울병원"))</f>
        <v/>
      </c>
      <c r="O50" s="20">
        <f>IF($X50="","",SUMIFS(상세표[07~18시],상세표[사번키],INDEX(합계표[사번키],$X50),상세표[반영월],대상월키,상세표[반영 기관],"서울병원"))</f>
        <v/>
      </c>
      <c r="P50" s="20">
        <f>IF($X50="","",SUMIFS(상세표[18~22시],상세표[사번키],INDEX(합계표[사번키],$X50),상세표[반영월],대상월키,상세표[반영 기관],"서울병원"))</f>
        <v/>
      </c>
      <c r="Q50" s="20">
        <f>IF($X50="","",SUMIFS(상세표[22~06시],상세표[사번키],INDEX(합계표[사번키],$X50),상세표[반영월],대상월키,상세표[반영 기관],"서울병원"))</f>
        <v/>
      </c>
      <c r="R50" s="20">
        <f>IF($X50="","",SUM($N50:$Q50))</f>
        <v/>
      </c>
      <c r="S50">
        <f>IF($X50="","",COUNTIFS(상세표[사번키],INDEX(합계표[사번키],$X50),상세표[반영월],대상월키,상세표[야간당직],1,상세표[야간 구분],"평일"))</f>
        <v/>
      </c>
      <c r="T50">
        <f>IF($X50="","",COUNTIFS(상세표[사번키],INDEX(합계표[사번키],$X50),상세표[반영월],대상월키,상세표[야간당직],1,상세표[야간 구분],"휴일"))</f>
        <v/>
      </c>
      <c r="U50">
        <f>IF($X50="","",COUNTIFS(상세표[사번키],INDEX(합계표[사번키],$X50),상세표[반영월],대상월키,상세표[야간당직],1,상세표[야간 구분],"평일",상세표[반영 기관],"서울병원"))</f>
        <v/>
      </c>
      <c r="V50">
        <f>IF($X50="","",COUNTIFS(상세표[사번키],INDEX(합계표[사번키],$X50),상세표[반영월],대상월키,상세표[야간당직],1,상세표[야간 구분],"휴일",상세표[반영 기관],"서울병원"))</f>
        <v/>
      </c>
      <c r="W50">
        <f>IF($X50="","",IF(ISNUMBER(MATCH(INDEX(합계표[사번키],$X50)&amp;"|"&amp;대상월키,월별근무지표[키],0)),"직접 입력",IF($L50="—","—","기관명단")))</f>
        <v/>
      </c>
      <c r="X50" s="4">
        <f>IFERROR(MATCH(45,합계표[판정순번],0),"")</f>
        <v/>
      </c>
      <c r="Z50">
        <f>IF($AC50="","",INDEX(상세표[사번],$AC50)&amp;"")</f>
        <v/>
      </c>
      <c r="AA50">
        <f>IF($AC50="","",INDEX(상세표[성명],$AC50)&amp;"")</f>
        <v/>
      </c>
      <c r="AB50" s="20">
        <f>IF($AC50="","",SUMIFS(상세표[기록 시간외],상세표[사번키],INDEX(상세표[사번키],$AC50),상세표[반영월],대상월키))</f>
        <v/>
      </c>
      <c r="AC50" s="4">
        <f>IFERROR(MATCH(45,상세표[합계없음순번],0),"")</f>
        <v/>
      </c>
    </row>
    <row r="51">
      <c r="A51">
        <f>IF($X51="","",INDEX(합계표[사번],$X51)&amp;"")</f>
        <v/>
      </c>
      <c r="B51">
        <f>IF($X51="","",INDEX(합계표[성명],$X51)&amp;"")</f>
        <v/>
      </c>
      <c r="C51">
        <f>IF($X51="","",INDEX(합계표[부서],$X51)&amp;"")</f>
        <v/>
      </c>
      <c r="D51">
        <f>IF($X51="","",INDEX(합계표[직위(요약)],$X51)&amp;"")</f>
        <v/>
      </c>
      <c r="E51">
        <f>IF($X51="","",INDEX(합계표[직급 공존],$X51)&amp;"")</f>
        <v/>
      </c>
      <c r="F51" s="20">
        <f>IF($X51="","",SUMIFS(합계표[시스템 합계],합계표[사번키],INDEX(합계표[사번키],$X51)))</f>
        <v/>
      </c>
      <c r="G51" s="20">
        <f>IF($X51="","",SUMIFS(상세표[기록 시간외],상세표[사번키],INDEX(합계표[사번키],$X51),상세표[기록월],대상월키))</f>
        <v/>
      </c>
      <c r="H51">
        <f>IF($X51="","",IF(ABS($F51-$G51)&lt;0.01,"일치","불일치(차이 "&amp;TEXT($G51-$F51,"0.00")&amp;")"))</f>
        <v/>
      </c>
      <c r="I51" s="20">
        <f>IF($X51="","",SUMIFS(상세표[기록 시간외],상세표[사번키],INDEX(합계표[사번키],$X51),상세표[기록월],대상월키,상세표[반영월],"&lt;&gt;"&amp;대상월키))</f>
        <v/>
      </c>
      <c r="J51" s="20">
        <f>IF($X51="","",SUMIFS(상세표[기록 시간외],상세표[사번키],INDEX(합계표[사번키],$X51),상세표[기록월],"&lt;&gt;"&amp;대상월키,상세표[반영월],대상월키))</f>
        <v/>
      </c>
      <c r="K51" s="20">
        <f>IF($X51="","",SUMIFS(상세표[기록 시간외],상세표[사번키],INDEX(합계표[사번키],$X51),상세표[반영월],대상월키))</f>
        <v/>
      </c>
      <c r="L51">
        <f>IF($X51="","",IFERROR(INDEX(월별근무지표[적용 급여병원],MATCH(INDEX(합계표[사번키],$X51)&amp;"|"&amp;대상월키,월별근무지표[키],0))&amp;"",IF(COUNTIF(기관표[사번키],INDEX(합계표[사번키],$X51))+COUNTIF(월별근무지표[사번키],INDEX(합계표[사번키],$X51))&gt;0,IFERROR(INDEX(기관표[급여지급병원(기준월)],MATCH(INDEX(합계표[사번키],$X51)&amp;"|"&amp;대상월키,기관표[키],0))&amp;"","—"),"—")))</f>
        <v/>
      </c>
      <c r="M51">
        <f>IF($X51="","",IF(NOT(COUNTIF(기관표[사번키],INDEX(합계표[사번키],$X51))+COUNTIF(월별근무지표[사번키],INDEX(합계표[사번키],$X51))&gt;0),"기관명단에 없음(다른 병원으로 발송)",IF($L51="서울병원","해당",IF(N($R51)&gt;0,"해당(말일 근무)",IF($L51="—","대상월 기관명단 없음(추가 필요)","비해당")))))</f>
        <v/>
      </c>
      <c r="N51" s="20">
        <f>IF($X51="","",SUMIFS(상세표[06~07시],상세표[사번키],INDEX(합계표[사번키],$X51),상세표[반영월],대상월키,상세표[반영 기관],"서울병원"))</f>
        <v/>
      </c>
      <c r="O51" s="20">
        <f>IF($X51="","",SUMIFS(상세표[07~18시],상세표[사번키],INDEX(합계표[사번키],$X51),상세표[반영월],대상월키,상세표[반영 기관],"서울병원"))</f>
        <v/>
      </c>
      <c r="P51" s="20">
        <f>IF($X51="","",SUMIFS(상세표[18~22시],상세표[사번키],INDEX(합계표[사번키],$X51),상세표[반영월],대상월키,상세표[반영 기관],"서울병원"))</f>
        <v/>
      </c>
      <c r="Q51" s="20">
        <f>IF($X51="","",SUMIFS(상세표[22~06시],상세표[사번키],INDEX(합계표[사번키],$X51),상세표[반영월],대상월키,상세표[반영 기관],"서울병원"))</f>
        <v/>
      </c>
      <c r="R51" s="20">
        <f>IF($X51="","",SUM($N51:$Q51))</f>
        <v/>
      </c>
      <c r="S51">
        <f>IF($X51="","",COUNTIFS(상세표[사번키],INDEX(합계표[사번키],$X51),상세표[반영월],대상월키,상세표[야간당직],1,상세표[야간 구분],"평일"))</f>
        <v/>
      </c>
      <c r="T51">
        <f>IF($X51="","",COUNTIFS(상세표[사번키],INDEX(합계표[사번키],$X51),상세표[반영월],대상월키,상세표[야간당직],1,상세표[야간 구분],"휴일"))</f>
        <v/>
      </c>
      <c r="U51">
        <f>IF($X51="","",COUNTIFS(상세표[사번키],INDEX(합계표[사번키],$X51),상세표[반영월],대상월키,상세표[야간당직],1,상세표[야간 구분],"평일",상세표[반영 기관],"서울병원"))</f>
        <v/>
      </c>
      <c r="V51">
        <f>IF($X51="","",COUNTIFS(상세표[사번키],INDEX(합계표[사번키],$X51),상세표[반영월],대상월키,상세표[야간당직],1,상세표[야간 구분],"휴일",상세표[반영 기관],"서울병원"))</f>
        <v/>
      </c>
      <c r="W51">
        <f>IF($X51="","",IF(ISNUMBER(MATCH(INDEX(합계표[사번키],$X51)&amp;"|"&amp;대상월키,월별근무지표[키],0)),"직접 입력",IF($L51="—","—","기관명단")))</f>
        <v/>
      </c>
      <c r="X51" s="4">
        <f>IFERROR(MATCH(46,합계표[판정순번],0),"")</f>
        <v/>
      </c>
      <c r="Z51">
        <f>IF($AC51="","",INDEX(상세표[사번],$AC51)&amp;"")</f>
        <v/>
      </c>
      <c r="AA51">
        <f>IF($AC51="","",INDEX(상세표[성명],$AC51)&amp;"")</f>
        <v/>
      </c>
      <c r="AB51" s="20">
        <f>IF($AC51="","",SUMIFS(상세표[기록 시간외],상세표[사번키],INDEX(상세표[사번키],$AC51),상세표[반영월],대상월키))</f>
        <v/>
      </c>
      <c r="AC51" s="4">
        <f>IFERROR(MATCH(46,상세표[합계없음순번],0),"")</f>
        <v/>
      </c>
    </row>
    <row r="52">
      <c r="A52">
        <f>IF($X52="","",INDEX(합계표[사번],$X52)&amp;"")</f>
        <v/>
      </c>
      <c r="B52">
        <f>IF($X52="","",INDEX(합계표[성명],$X52)&amp;"")</f>
        <v/>
      </c>
      <c r="C52">
        <f>IF($X52="","",INDEX(합계표[부서],$X52)&amp;"")</f>
        <v/>
      </c>
      <c r="D52">
        <f>IF($X52="","",INDEX(합계표[직위(요약)],$X52)&amp;"")</f>
        <v/>
      </c>
      <c r="E52">
        <f>IF($X52="","",INDEX(합계표[직급 공존],$X52)&amp;"")</f>
        <v/>
      </c>
      <c r="F52" s="20">
        <f>IF($X52="","",SUMIFS(합계표[시스템 합계],합계표[사번키],INDEX(합계표[사번키],$X52)))</f>
        <v/>
      </c>
      <c r="G52" s="20">
        <f>IF($X52="","",SUMIFS(상세표[기록 시간외],상세표[사번키],INDEX(합계표[사번키],$X52),상세표[기록월],대상월키))</f>
        <v/>
      </c>
      <c r="H52">
        <f>IF($X52="","",IF(ABS($F52-$G52)&lt;0.01,"일치","불일치(차이 "&amp;TEXT($G52-$F52,"0.00")&amp;")"))</f>
        <v/>
      </c>
      <c r="I52" s="20">
        <f>IF($X52="","",SUMIFS(상세표[기록 시간외],상세표[사번키],INDEX(합계표[사번키],$X52),상세표[기록월],대상월키,상세표[반영월],"&lt;&gt;"&amp;대상월키))</f>
        <v/>
      </c>
      <c r="J52" s="20">
        <f>IF($X52="","",SUMIFS(상세표[기록 시간외],상세표[사번키],INDEX(합계표[사번키],$X52),상세표[기록월],"&lt;&gt;"&amp;대상월키,상세표[반영월],대상월키))</f>
        <v/>
      </c>
      <c r="K52" s="20">
        <f>IF($X52="","",SUMIFS(상세표[기록 시간외],상세표[사번키],INDEX(합계표[사번키],$X52),상세표[반영월],대상월키))</f>
        <v/>
      </c>
      <c r="L52">
        <f>IF($X52="","",IFERROR(INDEX(월별근무지표[적용 급여병원],MATCH(INDEX(합계표[사번키],$X52)&amp;"|"&amp;대상월키,월별근무지표[키],0))&amp;"",IF(COUNTIF(기관표[사번키],INDEX(합계표[사번키],$X52))+COUNTIF(월별근무지표[사번키],INDEX(합계표[사번키],$X52))&gt;0,IFERROR(INDEX(기관표[급여지급병원(기준월)],MATCH(INDEX(합계표[사번키],$X52)&amp;"|"&amp;대상월키,기관표[키],0))&amp;"","—"),"—")))</f>
        <v/>
      </c>
      <c r="M52">
        <f>IF($X52="","",IF(NOT(COUNTIF(기관표[사번키],INDEX(합계표[사번키],$X52))+COUNTIF(월별근무지표[사번키],INDEX(합계표[사번키],$X52))&gt;0),"기관명단에 없음(다른 병원으로 발송)",IF($L52="서울병원","해당",IF(N($R52)&gt;0,"해당(말일 근무)",IF($L52="—","대상월 기관명단 없음(추가 필요)","비해당")))))</f>
        <v/>
      </c>
      <c r="N52" s="20">
        <f>IF($X52="","",SUMIFS(상세표[06~07시],상세표[사번키],INDEX(합계표[사번키],$X52),상세표[반영월],대상월키,상세표[반영 기관],"서울병원"))</f>
        <v/>
      </c>
      <c r="O52" s="20">
        <f>IF($X52="","",SUMIFS(상세표[07~18시],상세표[사번키],INDEX(합계표[사번키],$X52),상세표[반영월],대상월키,상세표[반영 기관],"서울병원"))</f>
        <v/>
      </c>
      <c r="P52" s="20">
        <f>IF($X52="","",SUMIFS(상세표[18~22시],상세표[사번키],INDEX(합계표[사번키],$X52),상세표[반영월],대상월키,상세표[반영 기관],"서울병원"))</f>
        <v/>
      </c>
      <c r="Q52" s="20">
        <f>IF($X52="","",SUMIFS(상세표[22~06시],상세표[사번키],INDEX(합계표[사번키],$X52),상세표[반영월],대상월키,상세표[반영 기관],"서울병원"))</f>
        <v/>
      </c>
      <c r="R52" s="20">
        <f>IF($X52="","",SUM($N52:$Q52))</f>
        <v/>
      </c>
      <c r="S52">
        <f>IF($X52="","",COUNTIFS(상세표[사번키],INDEX(합계표[사번키],$X52),상세표[반영월],대상월키,상세표[야간당직],1,상세표[야간 구분],"평일"))</f>
        <v/>
      </c>
      <c r="T52">
        <f>IF($X52="","",COUNTIFS(상세표[사번키],INDEX(합계표[사번키],$X52),상세표[반영월],대상월키,상세표[야간당직],1,상세표[야간 구분],"휴일"))</f>
        <v/>
      </c>
      <c r="U52">
        <f>IF($X52="","",COUNTIFS(상세표[사번키],INDEX(합계표[사번키],$X52),상세표[반영월],대상월키,상세표[야간당직],1,상세표[야간 구분],"평일",상세표[반영 기관],"서울병원"))</f>
        <v/>
      </c>
      <c r="V52">
        <f>IF($X52="","",COUNTIFS(상세표[사번키],INDEX(합계표[사번키],$X52),상세표[반영월],대상월키,상세표[야간당직],1,상세표[야간 구분],"휴일",상세표[반영 기관],"서울병원"))</f>
        <v/>
      </c>
      <c r="W52">
        <f>IF($X52="","",IF(ISNUMBER(MATCH(INDEX(합계표[사번키],$X52)&amp;"|"&amp;대상월키,월별근무지표[키],0)),"직접 입력",IF($L52="—","—","기관명단")))</f>
        <v/>
      </c>
      <c r="X52" s="4">
        <f>IFERROR(MATCH(47,합계표[판정순번],0),"")</f>
        <v/>
      </c>
      <c r="Z52">
        <f>IF($AC52="","",INDEX(상세표[사번],$AC52)&amp;"")</f>
        <v/>
      </c>
      <c r="AA52">
        <f>IF($AC52="","",INDEX(상세표[성명],$AC52)&amp;"")</f>
        <v/>
      </c>
      <c r="AB52" s="20">
        <f>IF($AC52="","",SUMIFS(상세표[기록 시간외],상세표[사번키],INDEX(상세표[사번키],$AC52),상세표[반영월],대상월키))</f>
        <v/>
      </c>
      <c r="AC52" s="4">
        <f>IFERROR(MATCH(47,상세표[합계없음순번],0),"")</f>
        <v/>
      </c>
    </row>
    <row r="53">
      <c r="A53">
        <f>IF($X53="","",INDEX(합계표[사번],$X53)&amp;"")</f>
        <v/>
      </c>
      <c r="B53">
        <f>IF($X53="","",INDEX(합계표[성명],$X53)&amp;"")</f>
        <v/>
      </c>
      <c r="C53">
        <f>IF($X53="","",INDEX(합계표[부서],$X53)&amp;"")</f>
        <v/>
      </c>
      <c r="D53">
        <f>IF($X53="","",INDEX(합계표[직위(요약)],$X53)&amp;"")</f>
        <v/>
      </c>
      <c r="E53">
        <f>IF($X53="","",INDEX(합계표[직급 공존],$X53)&amp;"")</f>
        <v/>
      </c>
      <c r="F53" s="20">
        <f>IF($X53="","",SUMIFS(합계표[시스템 합계],합계표[사번키],INDEX(합계표[사번키],$X53)))</f>
        <v/>
      </c>
      <c r="G53" s="20">
        <f>IF($X53="","",SUMIFS(상세표[기록 시간외],상세표[사번키],INDEX(합계표[사번키],$X53),상세표[기록월],대상월키))</f>
        <v/>
      </c>
      <c r="H53">
        <f>IF($X53="","",IF(ABS($F53-$G53)&lt;0.01,"일치","불일치(차이 "&amp;TEXT($G53-$F53,"0.00")&amp;")"))</f>
        <v/>
      </c>
      <c r="I53" s="20">
        <f>IF($X53="","",SUMIFS(상세표[기록 시간외],상세표[사번키],INDEX(합계표[사번키],$X53),상세표[기록월],대상월키,상세표[반영월],"&lt;&gt;"&amp;대상월키))</f>
        <v/>
      </c>
      <c r="J53" s="20">
        <f>IF($X53="","",SUMIFS(상세표[기록 시간외],상세표[사번키],INDEX(합계표[사번키],$X53),상세표[기록월],"&lt;&gt;"&amp;대상월키,상세표[반영월],대상월키))</f>
        <v/>
      </c>
      <c r="K53" s="20">
        <f>IF($X53="","",SUMIFS(상세표[기록 시간외],상세표[사번키],INDEX(합계표[사번키],$X53),상세표[반영월],대상월키))</f>
        <v/>
      </c>
      <c r="L53">
        <f>IF($X53="","",IFERROR(INDEX(월별근무지표[적용 급여병원],MATCH(INDEX(합계표[사번키],$X53)&amp;"|"&amp;대상월키,월별근무지표[키],0))&amp;"",IF(COUNTIF(기관표[사번키],INDEX(합계표[사번키],$X53))+COUNTIF(월별근무지표[사번키],INDEX(합계표[사번키],$X53))&gt;0,IFERROR(INDEX(기관표[급여지급병원(기준월)],MATCH(INDEX(합계표[사번키],$X53)&amp;"|"&amp;대상월키,기관표[키],0))&amp;"","—"),"—")))</f>
        <v/>
      </c>
      <c r="M53">
        <f>IF($X53="","",IF(NOT(COUNTIF(기관표[사번키],INDEX(합계표[사번키],$X53))+COUNTIF(월별근무지표[사번키],INDEX(합계표[사번키],$X53))&gt;0),"기관명단에 없음(다른 병원으로 발송)",IF($L53="서울병원","해당",IF(N($R53)&gt;0,"해당(말일 근무)",IF($L53="—","대상월 기관명단 없음(추가 필요)","비해당")))))</f>
        <v/>
      </c>
      <c r="N53" s="20">
        <f>IF($X53="","",SUMIFS(상세표[06~07시],상세표[사번키],INDEX(합계표[사번키],$X53),상세표[반영월],대상월키,상세표[반영 기관],"서울병원"))</f>
        <v/>
      </c>
      <c r="O53" s="20">
        <f>IF($X53="","",SUMIFS(상세표[07~18시],상세표[사번키],INDEX(합계표[사번키],$X53),상세표[반영월],대상월키,상세표[반영 기관],"서울병원"))</f>
        <v/>
      </c>
      <c r="P53" s="20">
        <f>IF($X53="","",SUMIFS(상세표[18~22시],상세표[사번키],INDEX(합계표[사번키],$X53),상세표[반영월],대상월키,상세표[반영 기관],"서울병원"))</f>
        <v/>
      </c>
      <c r="Q53" s="20">
        <f>IF($X53="","",SUMIFS(상세표[22~06시],상세표[사번키],INDEX(합계표[사번키],$X53),상세표[반영월],대상월키,상세표[반영 기관],"서울병원"))</f>
        <v/>
      </c>
      <c r="R53" s="20">
        <f>IF($X53="","",SUM($N53:$Q53))</f>
        <v/>
      </c>
      <c r="S53">
        <f>IF($X53="","",COUNTIFS(상세표[사번키],INDEX(합계표[사번키],$X53),상세표[반영월],대상월키,상세표[야간당직],1,상세표[야간 구분],"평일"))</f>
        <v/>
      </c>
      <c r="T53">
        <f>IF($X53="","",COUNTIFS(상세표[사번키],INDEX(합계표[사번키],$X53),상세표[반영월],대상월키,상세표[야간당직],1,상세표[야간 구분],"휴일"))</f>
        <v/>
      </c>
      <c r="U53">
        <f>IF($X53="","",COUNTIFS(상세표[사번키],INDEX(합계표[사번키],$X53),상세표[반영월],대상월키,상세표[야간당직],1,상세표[야간 구분],"평일",상세표[반영 기관],"서울병원"))</f>
        <v/>
      </c>
      <c r="V53">
        <f>IF($X53="","",COUNTIFS(상세표[사번키],INDEX(합계표[사번키],$X53),상세표[반영월],대상월키,상세표[야간당직],1,상세표[야간 구분],"휴일",상세표[반영 기관],"서울병원"))</f>
        <v/>
      </c>
      <c r="W53">
        <f>IF($X53="","",IF(ISNUMBER(MATCH(INDEX(합계표[사번키],$X53)&amp;"|"&amp;대상월키,월별근무지표[키],0)),"직접 입력",IF($L53="—","—","기관명단")))</f>
        <v/>
      </c>
      <c r="X53" s="4">
        <f>IFERROR(MATCH(48,합계표[판정순번],0),"")</f>
        <v/>
      </c>
      <c r="Z53">
        <f>IF($AC53="","",INDEX(상세표[사번],$AC53)&amp;"")</f>
        <v/>
      </c>
      <c r="AA53">
        <f>IF($AC53="","",INDEX(상세표[성명],$AC53)&amp;"")</f>
        <v/>
      </c>
      <c r="AB53" s="20">
        <f>IF($AC53="","",SUMIFS(상세표[기록 시간외],상세표[사번키],INDEX(상세표[사번키],$AC53),상세표[반영월],대상월키))</f>
        <v/>
      </c>
      <c r="AC53" s="4">
        <f>IFERROR(MATCH(48,상세표[합계없음순번],0),"")</f>
        <v/>
      </c>
    </row>
    <row r="54">
      <c r="A54">
        <f>IF($X54="","",INDEX(합계표[사번],$X54)&amp;"")</f>
        <v/>
      </c>
      <c r="B54">
        <f>IF($X54="","",INDEX(합계표[성명],$X54)&amp;"")</f>
        <v/>
      </c>
      <c r="C54">
        <f>IF($X54="","",INDEX(합계표[부서],$X54)&amp;"")</f>
        <v/>
      </c>
      <c r="D54">
        <f>IF($X54="","",INDEX(합계표[직위(요약)],$X54)&amp;"")</f>
        <v/>
      </c>
      <c r="E54">
        <f>IF($X54="","",INDEX(합계표[직급 공존],$X54)&amp;"")</f>
        <v/>
      </c>
      <c r="F54" s="20">
        <f>IF($X54="","",SUMIFS(합계표[시스템 합계],합계표[사번키],INDEX(합계표[사번키],$X54)))</f>
        <v/>
      </c>
      <c r="G54" s="20">
        <f>IF($X54="","",SUMIFS(상세표[기록 시간외],상세표[사번키],INDEX(합계표[사번키],$X54),상세표[기록월],대상월키))</f>
        <v/>
      </c>
      <c r="H54">
        <f>IF($X54="","",IF(ABS($F54-$G54)&lt;0.01,"일치","불일치(차이 "&amp;TEXT($G54-$F54,"0.00")&amp;")"))</f>
        <v/>
      </c>
      <c r="I54" s="20">
        <f>IF($X54="","",SUMIFS(상세표[기록 시간외],상세표[사번키],INDEX(합계표[사번키],$X54),상세표[기록월],대상월키,상세표[반영월],"&lt;&gt;"&amp;대상월키))</f>
        <v/>
      </c>
      <c r="J54" s="20">
        <f>IF($X54="","",SUMIFS(상세표[기록 시간외],상세표[사번키],INDEX(합계표[사번키],$X54),상세표[기록월],"&lt;&gt;"&amp;대상월키,상세표[반영월],대상월키))</f>
        <v/>
      </c>
      <c r="K54" s="20">
        <f>IF($X54="","",SUMIFS(상세표[기록 시간외],상세표[사번키],INDEX(합계표[사번키],$X54),상세표[반영월],대상월키))</f>
        <v/>
      </c>
      <c r="L54">
        <f>IF($X54="","",IFERROR(INDEX(월별근무지표[적용 급여병원],MATCH(INDEX(합계표[사번키],$X54)&amp;"|"&amp;대상월키,월별근무지표[키],0))&amp;"",IF(COUNTIF(기관표[사번키],INDEX(합계표[사번키],$X54))+COUNTIF(월별근무지표[사번키],INDEX(합계표[사번키],$X54))&gt;0,IFERROR(INDEX(기관표[급여지급병원(기준월)],MATCH(INDEX(합계표[사번키],$X54)&amp;"|"&amp;대상월키,기관표[키],0))&amp;"","—"),"—")))</f>
        <v/>
      </c>
      <c r="M54">
        <f>IF($X54="","",IF(NOT(COUNTIF(기관표[사번키],INDEX(합계표[사번키],$X54))+COUNTIF(월별근무지표[사번키],INDEX(합계표[사번키],$X54))&gt;0),"기관명단에 없음(다른 병원으로 발송)",IF($L54="서울병원","해당",IF(N($R54)&gt;0,"해당(말일 근무)",IF($L54="—","대상월 기관명단 없음(추가 필요)","비해당")))))</f>
        <v/>
      </c>
      <c r="N54" s="20">
        <f>IF($X54="","",SUMIFS(상세표[06~07시],상세표[사번키],INDEX(합계표[사번키],$X54),상세표[반영월],대상월키,상세표[반영 기관],"서울병원"))</f>
        <v/>
      </c>
      <c r="O54" s="20">
        <f>IF($X54="","",SUMIFS(상세표[07~18시],상세표[사번키],INDEX(합계표[사번키],$X54),상세표[반영월],대상월키,상세표[반영 기관],"서울병원"))</f>
        <v/>
      </c>
      <c r="P54" s="20">
        <f>IF($X54="","",SUMIFS(상세표[18~22시],상세표[사번키],INDEX(합계표[사번키],$X54),상세표[반영월],대상월키,상세표[반영 기관],"서울병원"))</f>
        <v/>
      </c>
      <c r="Q54" s="20">
        <f>IF($X54="","",SUMIFS(상세표[22~06시],상세표[사번키],INDEX(합계표[사번키],$X54),상세표[반영월],대상월키,상세표[반영 기관],"서울병원"))</f>
        <v/>
      </c>
      <c r="R54" s="20">
        <f>IF($X54="","",SUM($N54:$Q54))</f>
        <v/>
      </c>
      <c r="S54">
        <f>IF($X54="","",COUNTIFS(상세표[사번키],INDEX(합계표[사번키],$X54),상세표[반영월],대상월키,상세표[야간당직],1,상세표[야간 구분],"평일"))</f>
        <v/>
      </c>
      <c r="T54">
        <f>IF($X54="","",COUNTIFS(상세표[사번키],INDEX(합계표[사번키],$X54),상세표[반영월],대상월키,상세표[야간당직],1,상세표[야간 구분],"휴일"))</f>
        <v/>
      </c>
      <c r="U54">
        <f>IF($X54="","",COUNTIFS(상세표[사번키],INDEX(합계표[사번키],$X54),상세표[반영월],대상월키,상세표[야간당직],1,상세표[야간 구분],"평일",상세표[반영 기관],"서울병원"))</f>
        <v/>
      </c>
      <c r="V54">
        <f>IF($X54="","",COUNTIFS(상세표[사번키],INDEX(합계표[사번키],$X54),상세표[반영월],대상월키,상세표[야간당직],1,상세표[야간 구분],"휴일",상세표[반영 기관],"서울병원"))</f>
        <v/>
      </c>
      <c r="W54">
        <f>IF($X54="","",IF(ISNUMBER(MATCH(INDEX(합계표[사번키],$X54)&amp;"|"&amp;대상월키,월별근무지표[키],0)),"직접 입력",IF($L54="—","—","기관명단")))</f>
        <v/>
      </c>
      <c r="X54" s="4">
        <f>IFERROR(MATCH(49,합계표[판정순번],0),"")</f>
        <v/>
      </c>
      <c r="Z54">
        <f>IF($AC54="","",INDEX(상세표[사번],$AC54)&amp;"")</f>
        <v/>
      </c>
      <c r="AA54">
        <f>IF($AC54="","",INDEX(상세표[성명],$AC54)&amp;"")</f>
        <v/>
      </c>
      <c r="AB54" s="20">
        <f>IF($AC54="","",SUMIFS(상세표[기록 시간외],상세표[사번키],INDEX(상세표[사번키],$AC54),상세표[반영월],대상월키))</f>
        <v/>
      </c>
      <c r="AC54" s="4">
        <f>IFERROR(MATCH(49,상세표[합계없음순번],0),"")</f>
        <v/>
      </c>
    </row>
    <row r="55">
      <c r="A55">
        <f>IF($X55="","",INDEX(합계표[사번],$X55)&amp;"")</f>
        <v/>
      </c>
      <c r="B55">
        <f>IF($X55="","",INDEX(합계표[성명],$X55)&amp;"")</f>
        <v/>
      </c>
      <c r="C55">
        <f>IF($X55="","",INDEX(합계표[부서],$X55)&amp;"")</f>
        <v/>
      </c>
      <c r="D55">
        <f>IF($X55="","",INDEX(합계표[직위(요약)],$X55)&amp;"")</f>
        <v/>
      </c>
      <c r="E55">
        <f>IF($X55="","",INDEX(합계표[직급 공존],$X55)&amp;"")</f>
        <v/>
      </c>
      <c r="F55" s="20">
        <f>IF($X55="","",SUMIFS(합계표[시스템 합계],합계표[사번키],INDEX(합계표[사번키],$X55)))</f>
        <v/>
      </c>
      <c r="G55" s="20">
        <f>IF($X55="","",SUMIFS(상세표[기록 시간외],상세표[사번키],INDEX(합계표[사번키],$X55),상세표[기록월],대상월키))</f>
        <v/>
      </c>
      <c r="H55">
        <f>IF($X55="","",IF(ABS($F55-$G55)&lt;0.01,"일치","불일치(차이 "&amp;TEXT($G55-$F55,"0.00")&amp;")"))</f>
        <v/>
      </c>
      <c r="I55" s="20">
        <f>IF($X55="","",SUMIFS(상세표[기록 시간외],상세표[사번키],INDEX(합계표[사번키],$X55),상세표[기록월],대상월키,상세표[반영월],"&lt;&gt;"&amp;대상월키))</f>
        <v/>
      </c>
      <c r="J55" s="20">
        <f>IF($X55="","",SUMIFS(상세표[기록 시간외],상세표[사번키],INDEX(합계표[사번키],$X55),상세표[기록월],"&lt;&gt;"&amp;대상월키,상세표[반영월],대상월키))</f>
        <v/>
      </c>
      <c r="K55" s="20">
        <f>IF($X55="","",SUMIFS(상세표[기록 시간외],상세표[사번키],INDEX(합계표[사번키],$X55),상세표[반영월],대상월키))</f>
        <v/>
      </c>
      <c r="L55">
        <f>IF($X55="","",IFERROR(INDEX(월별근무지표[적용 급여병원],MATCH(INDEX(합계표[사번키],$X55)&amp;"|"&amp;대상월키,월별근무지표[키],0))&amp;"",IF(COUNTIF(기관표[사번키],INDEX(합계표[사번키],$X55))+COUNTIF(월별근무지표[사번키],INDEX(합계표[사번키],$X55))&gt;0,IFERROR(INDEX(기관표[급여지급병원(기준월)],MATCH(INDEX(합계표[사번키],$X55)&amp;"|"&amp;대상월키,기관표[키],0))&amp;"","—"),"—")))</f>
        <v/>
      </c>
      <c r="M55">
        <f>IF($X55="","",IF(NOT(COUNTIF(기관표[사번키],INDEX(합계표[사번키],$X55))+COUNTIF(월별근무지표[사번키],INDEX(합계표[사번키],$X55))&gt;0),"기관명단에 없음(다른 병원으로 발송)",IF($L55="서울병원","해당",IF(N($R55)&gt;0,"해당(말일 근무)",IF($L55="—","대상월 기관명단 없음(추가 필요)","비해당")))))</f>
        <v/>
      </c>
      <c r="N55" s="20">
        <f>IF($X55="","",SUMIFS(상세표[06~07시],상세표[사번키],INDEX(합계표[사번키],$X55),상세표[반영월],대상월키,상세표[반영 기관],"서울병원"))</f>
        <v/>
      </c>
      <c r="O55" s="20">
        <f>IF($X55="","",SUMIFS(상세표[07~18시],상세표[사번키],INDEX(합계표[사번키],$X55),상세표[반영월],대상월키,상세표[반영 기관],"서울병원"))</f>
        <v/>
      </c>
      <c r="P55" s="20">
        <f>IF($X55="","",SUMIFS(상세표[18~22시],상세표[사번키],INDEX(합계표[사번키],$X55),상세표[반영월],대상월키,상세표[반영 기관],"서울병원"))</f>
        <v/>
      </c>
      <c r="Q55" s="20">
        <f>IF($X55="","",SUMIFS(상세표[22~06시],상세표[사번키],INDEX(합계표[사번키],$X55),상세표[반영월],대상월키,상세표[반영 기관],"서울병원"))</f>
        <v/>
      </c>
      <c r="R55" s="20">
        <f>IF($X55="","",SUM($N55:$Q55))</f>
        <v/>
      </c>
      <c r="S55">
        <f>IF($X55="","",COUNTIFS(상세표[사번키],INDEX(합계표[사번키],$X55),상세표[반영월],대상월키,상세표[야간당직],1,상세표[야간 구분],"평일"))</f>
        <v/>
      </c>
      <c r="T55">
        <f>IF($X55="","",COUNTIFS(상세표[사번키],INDEX(합계표[사번키],$X55),상세표[반영월],대상월키,상세표[야간당직],1,상세표[야간 구분],"휴일"))</f>
        <v/>
      </c>
      <c r="U55">
        <f>IF($X55="","",COUNTIFS(상세표[사번키],INDEX(합계표[사번키],$X55),상세표[반영월],대상월키,상세표[야간당직],1,상세표[야간 구분],"평일",상세표[반영 기관],"서울병원"))</f>
        <v/>
      </c>
      <c r="V55">
        <f>IF($X55="","",COUNTIFS(상세표[사번키],INDEX(합계표[사번키],$X55),상세표[반영월],대상월키,상세표[야간당직],1,상세표[야간 구분],"휴일",상세표[반영 기관],"서울병원"))</f>
        <v/>
      </c>
      <c r="W55">
        <f>IF($X55="","",IF(ISNUMBER(MATCH(INDEX(합계표[사번키],$X55)&amp;"|"&amp;대상월키,월별근무지표[키],0)),"직접 입력",IF($L55="—","—","기관명단")))</f>
        <v/>
      </c>
      <c r="X55" s="4">
        <f>IFERROR(MATCH(50,합계표[판정순번],0),"")</f>
        <v/>
      </c>
      <c r="Z55">
        <f>IF($AC55="","",INDEX(상세표[사번],$AC55)&amp;"")</f>
        <v/>
      </c>
      <c r="AA55">
        <f>IF($AC55="","",INDEX(상세표[성명],$AC55)&amp;"")</f>
        <v/>
      </c>
      <c r="AB55" s="20">
        <f>IF($AC55="","",SUMIFS(상세표[기록 시간외],상세표[사번키],INDEX(상세표[사번키],$AC55),상세표[반영월],대상월키))</f>
        <v/>
      </c>
      <c r="AC55" s="4">
        <f>IFERROR(MATCH(50,상세표[합계없음순번],0),"")</f>
        <v/>
      </c>
    </row>
    <row r="56">
      <c r="A56">
        <f>IF($X56="","",INDEX(합계표[사번],$X56)&amp;"")</f>
        <v/>
      </c>
      <c r="B56">
        <f>IF($X56="","",INDEX(합계표[성명],$X56)&amp;"")</f>
        <v/>
      </c>
      <c r="C56">
        <f>IF($X56="","",INDEX(합계표[부서],$X56)&amp;"")</f>
        <v/>
      </c>
      <c r="D56">
        <f>IF($X56="","",INDEX(합계표[직위(요약)],$X56)&amp;"")</f>
        <v/>
      </c>
      <c r="E56">
        <f>IF($X56="","",INDEX(합계표[직급 공존],$X56)&amp;"")</f>
        <v/>
      </c>
      <c r="F56" s="20">
        <f>IF($X56="","",SUMIFS(합계표[시스템 합계],합계표[사번키],INDEX(합계표[사번키],$X56)))</f>
        <v/>
      </c>
      <c r="G56" s="20">
        <f>IF($X56="","",SUMIFS(상세표[기록 시간외],상세표[사번키],INDEX(합계표[사번키],$X56),상세표[기록월],대상월키))</f>
        <v/>
      </c>
      <c r="H56">
        <f>IF($X56="","",IF(ABS($F56-$G56)&lt;0.01,"일치","불일치(차이 "&amp;TEXT($G56-$F56,"0.00")&amp;")"))</f>
        <v/>
      </c>
      <c r="I56" s="20">
        <f>IF($X56="","",SUMIFS(상세표[기록 시간외],상세표[사번키],INDEX(합계표[사번키],$X56),상세표[기록월],대상월키,상세표[반영월],"&lt;&gt;"&amp;대상월키))</f>
        <v/>
      </c>
      <c r="J56" s="20">
        <f>IF($X56="","",SUMIFS(상세표[기록 시간외],상세표[사번키],INDEX(합계표[사번키],$X56),상세표[기록월],"&lt;&gt;"&amp;대상월키,상세표[반영월],대상월키))</f>
        <v/>
      </c>
      <c r="K56" s="20">
        <f>IF($X56="","",SUMIFS(상세표[기록 시간외],상세표[사번키],INDEX(합계표[사번키],$X56),상세표[반영월],대상월키))</f>
        <v/>
      </c>
      <c r="L56">
        <f>IF($X56="","",IFERROR(INDEX(월별근무지표[적용 급여병원],MATCH(INDEX(합계표[사번키],$X56)&amp;"|"&amp;대상월키,월별근무지표[키],0))&amp;"",IF(COUNTIF(기관표[사번키],INDEX(합계표[사번키],$X56))+COUNTIF(월별근무지표[사번키],INDEX(합계표[사번키],$X56))&gt;0,IFERROR(INDEX(기관표[급여지급병원(기준월)],MATCH(INDEX(합계표[사번키],$X56)&amp;"|"&amp;대상월키,기관표[키],0))&amp;"","—"),"—")))</f>
        <v/>
      </c>
      <c r="M56">
        <f>IF($X56="","",IF(NOT(COUNTIF(기관표[사번키],INDEX(합계표[사번키],$X56))+COUNTIF(월별근무지표[사번키],INDEX(합계표[사번키],$X56))&gt;0),"기관명단에 없음(다른 병원으로 발송)",IF($L56="서울병원","해당",IF(N($R56)&gt;0,"해당(말일 근무)",IF($L56="—","대상월 기관명단 없음(추가 필요)","비해당")))))</f>
        <v/>
      </c>
      <c r="N56" s="20">
        <f>IF($X56="","",SUMIFS(상세표[06~07시],상세표[사번키],INDEX(합계표[사번키],$X56),상세표[반영월],대상월키,상세표[반영 기관],"서울병원"))</f>
        <v/>
      </c>
      <c r="O56" s="20">
        <f>IF($X56="","",SUMIFS(상세표[07~18시],상세표[사번키],INDEX(합계표[사번키],$X56),상세표[반영월],대상월키,상세표[반영 기관],"서울병원"))</f>
        <v/>
      </c>
      <c r="P56" s="20">
        <f>IF($X56="","",SUMIFS(상세표[18~22시],상세표[사번키],INDEX(합계표[사번키],$X56),상세표[반영월],대상월키,상세표[반영 기관],"서울병원"))</f>
        <v/>
      </c>
      <c r="Q56" s="20">
        <f>IF($X56="","",SUMIFS(상세표[22~06시],상세표[사번키],INDEX(합계표[사번키],$X56),상세표[반영월],대상월키,상세표[반영 기관],"서울병원"))</f>
        <v/>
      </c>
      <c r="R56" s="20">
        <f>IF($X56="","",SUM($N56:$Q56))</f>
        <v/>
      </c>
      <c r="S56">
        <f>IF($X56="","",COUNTIFS(상세표[사번키],INDEX(합계표[사번키],$X56),상세표[반영월],대상월키,상세표[야간당직],1,상세표[야간 구분],"평일"))</f>
        <v/>
      </c>
      <c r="T56">
        <f>IF($X56="","",COUNTIFS(상세표[사번키],INDEX(합계표[사번키],$X56),상세표[반영월],대상월키,상세표[야간당직],1,상세표[야간 구분],"휴일"))</f>
        <v/>
      </c>
      <c r="U56">
        <f>IF($X56="","",COUNTIFS(상세표[사번키],INDEX(합계표[사번키],$X56),상세표[반영월],대상월키,상세표[야간당직],1,상세표[야간 구분],"평일",상세표[반영 기관],"서울병원"))</f>
        <v/>
      </c>
      <c r="V56">
        <f>IF($X56="","",COUNTIFS(상세표[사번키],INDEX(합계표[사번키],$X56),상세표[반영월],대상월키,상세표[야간당직],1,상세표[야간 구분],"휴일",상세표[반영 기관],"서울병원"))</f>
        <v/>
      </c>
      <c r="W56">
        <f>IF($X56="","",IF(ISNUMBER(MATCH(INDEX(합계표[사번키],$X56)&amp;"|"&amp;대상월키,월별근무지표[키],0)),"직접 입력",IF($L56="—","—","기관명단")))</f>
        <v/>
      </c>
      <c r="X56" s="4">
        <f>IFERROR(MATCH(51,합계표[판정순번],0),"")</f>
        <v/>
      </c>
      <c r="Z56">
        <f>IF($AC56="","",INDEX(상세표[사번],$AC56)&amp;"")</f>
        <v/>
      </c>
      <c r="AA56">
        <f>IF($AC56="","",INDEX(상세표[성명],$AC56)&amp;"")</f>
        <v/>
      </c>
      <c r="AB56" s="20">
        <f>IF($AC56="","",SUMIFS(상세표[기록 시간외],상세표[사번키],INDEX(상세표[사번키],$AC56),상세표[반영월],대상월키))</f>
        <v/>
      </c>
      <c r="AC56" s="4">
        <f>IFERROR(MATCH(51,상세표[합계없음순번],0),"")</f>
        <v/>
      </c>
    </row>
    <row r="57">
      <c r="A57">
        <f>IF($X57="","",INDEX(합계표[사번],$X57)&amp;"")</f>
        <v/>
      </c>
      <c r="B57">
        <f>IF($X57="","",INDEX(합계표[성명],$X57)&amp;"")</f>
        <v/>
      </c>
      <c r="C57">
        <f>IF($X57="","",INDEX(합계표[부서],$X57)&amp;"")</f>
        <v/>
      </c>
      <c r="D57">
        <f>IF($X57="","",INDEX(합계표[직위(요약)],$X57)&amp;"")</f>
        <v/>
      </c>
      <c r="E57">
        <f>IF($X57="","",INDEX(합계표[직급 공존],$X57)&amp;"")</f>
        <v/>
      </c>
      <c r="F57" s="20">
        <f>IF($X57="","",SUMIFS(합계표[시스템 합계],합계표[사번키],INDEX(합계표[사번키],$X57)))</f>
        <v/>
      </c>
      <c r="G57" s="20">
        <f>IF($X57="","",SUMIFS(상세표[기록 시간외],상세표[사번키],INDEX(합계표[사번키],$X57),상세표[기록월],대상월키))</f>
        <v/>
      </c>
      <c r="H57">
        <f>IF($X57="","",IF(ABS($F57-$G57)&lt;0.01,"일치","불일치(차이 "&amp;TEXT($G57-$F57,"0.00")&amp;")"))</f>
        <v/>
      </c>
      <c r="I57" s="20">
        <f>IF($X57="","",SUMIFS(상세표[기록 시간외],상세표[사번키],INDEX(합계표[사번키],$X57),상세표[기록월],대상월키,상세표[반영월],"&lt;&gt;"&amp;대상월키))</f>
        <v/>
      </c>
      <c r="J57" s="20">
        <f>IF($X57="","",SUMIFS(상세표[기록 시간외],상세표[사번키],INDEX(합계표[사번키],$X57),상세표[기록월],"&lt;&gt;"&amp;대상월키,상세표[반영월],대상월키))</f>
        <v/>
      </c>
      <c r="K57" s="20">
        <f>IF($X57="","",SUMIFS(상세표[기록 시간외],상세표[사번키],INDEX(합계표[사번키],$X57),상세표[반영월],대상월키))</f>
        <v/>
      </c>
      <c r="L57">
        <f>IF($X57="","",IFERROR(INDEX(월별근무지표[적용 급여병원],MATCH(INDEX(합계표[사번키],$X57)&amp;"|"&amp;대상월키,월별근무지표[키],0))&amp;"",IF(COUNTIF(기관표[사번키],INDEX(합계표[사번키],$X57))+COUNTIF(월별근무지표[사번키],INDEX(합계표[사번키],$X57))&gt;0,IFERROR(INDEX(기관표[급여지급병원(기준월)],MATCH(INDEX(합계표[사번키],$X57)&amp;"|"&amp;대상월키,기관표[키],0))&amp;"","—"),"—")))</f>
        <v/>
      </c>
      <c r="M57">
        <f>IF($X57="","",IF(NOT(COUNTIF(기관표[사번키],INDEX(합계표[사번키],$X57))+COUNTIF(월별근무지표[사번키],INDEX(합계표[사번키],$X57))&gt;0),"기관명단에 없음(다른 병원으로 발송)",IF($L57="서울병원","해당",IF(N($R57)&gt;0,"해당(말일 근무)",IF($L57="—","대상월 기관명단 없음(추가 필요)","비해당")))))</f>
        <v/>
      </c>
      <c r="N57" s="20">
        <f>IF($X57="","",SUMIFS(상세표[06~07시],상세표[사번키],INDEX(합계표[사번키],$X57),상세표[반영월],대상월키,상세표[반영 기관],"서울병원"))</f>
        <v/>
      </c>
      <c r="O57" s="20">
        <f>IF($X57="","",SUMIFS(상세표[07~18시],상세표[사번키],INDEX(합계표[사번키],$X57),상세표[반영월],대상월키,상세표[반영 기관],"서울병원"))</f>
        <v/>
      </c>
      <c r="P57" s="20">
        <f>IF($X57="","",SUMIFS(상세표[18~22시],상세표[사번키],INDEX(합계표[사번키],$X57),상세표[반영월],대상월키,상세표[반영 기관],"서울병원"))</f>
        <v/>
      </c>
      <c r="Q57" s="20">
        <f>IF($X57="","",SUMIFS(상세표[22~06시],상세표[사번키],INDEX(합계표[사번키],$X57),상세표[반영월],대상월키,상세표[반영 기관],"서울병원"))</f>
        <v/>
      </c>
      <c r="R57" s="20">
        <f>IF($X57="","",SUM($N57:$Q57))</f>
        <v/>
      </c>
      <c r="S57">
        <f>IF($X57="","",COUNTIFS(상세표[사번키],INDEX(합계표[사번키],$X57),상세표[반영월],대상월키,상세표[야간당직],1,상세표[야간 구분],"평일"))</f>
        <v/>
      </c>
      <c r="T57">
        <f>IF($X57="","",COUNTIFS(상세표[사번키],INDEX(합계표[사번키],$X57),상세표[반영월],대상월키,상세표[야간당직],1,상세표[야간 구분],"휴일"))</f>
        <v/>
      </c>
      <c r="U57">
        <f>IF($X57="","",COUNTIFS(상세표[사번키],INDEX(합계표[사번키],$X57),상세표[반영월],대상월키,상세표[야간당직],1,상세표[야간 구분],"평일",상세표[반영 기관],"서울병원"))</f>
        <v/>
      </c>
      <c r="V57">
        <f>IF($X57="","",COUNTIFS(상세표[사번키],INDEX(합계표[사번키],$X57),상세표[반영월],대상월키,상세표[야간당직],1,상세표[야간 구분],"휴일",상세표[반영 기관],"서울병원"))</f>
        <v/>
      </c>
      <c r="W57">
        <f>IF($X57="","",IF(ISNUMBER(MATCH(INDEX(합계표[사번키],$X57)&amp;"|"&amp;대상월키,월별근무지표[키],0)),"직접 입력",IF($L57="—","—","기관명단")))</f>
        <v/>
      </c>
      <c r="X57" s="4">
        <f>IFERROR(MATCH(52,합계표[판정순번],0),"")</f>
        <v/>
      </c>
      <c r="Z57">
        <f>IF($AC57="","",INDEX(상세표[사번],$AC57)&amp;"")</f>
        <v/>
      </c>
      <c r="AA57">
        <f>IF($AC57="","",INDEX(상세표[성명],$AC57)&amp;"")</f>
        <v/>
      </c>
      <c r="AB57" s="20">
        <f>IF($AC57="","",SUMIFS(상세표[기록 시간외],상세표[사번키],INDEX(상세표[사번키],$AC57),상세표[반영월],대상월키))</f>
        <v/>
      </c>
      <c r="AC57" s="4">
        <f>IFERROR(MATCH(52,상세표[합계없음순번],0),"")</f>
        <v/>
      </c>
    </row>
    <row r="58">
      <c r="A58">
        <f>IF($X58="","",INDEX(합계표[사번],$X58)&amp;"")</f>
        <v/>
      </c>
      <c r="B58">
        <f>IF($X58="","",INDEX(합계표[성명],$X58)&amp;"")</f>
        <v/>
      </c>
      <c r="C58">
        <f>IF($X58="","",INDEX(합계표[부서],$X58)&amp;"")</f>
        <v/>
      </c>
      <c r="D58">
        <f>IF($X58="","",INDEX(합계표[직위(요약)],$X58)&amp;"")</f>
        <v/>
      </c>
      <c r="E58">
        <f>IF($X58="","",INDEX(합계표[직급 공존],$X58)&amp;"")</f>
        <v/>
      </c>
      <c r="F58" s="20">
        <f>IF($X58="","",SUMIFS(합계표[시스템 합계],합계표[사번키],INDEX(합계표[사번키],$X58)))</f>
        <v/>
      </c>
      <c r="G58" s="20">
        <f>IF($X58="","",SUMIFS(상세표[기록 시간외],상세표[사번키],INDEX(합계표[사번키],$X58),상세표[기록월],대상월키))</f>
        <v/>
      </c>
      <c r="H58">
        <f>IF($X58="","",IF(ABS($F58-$G58)&lt;0.01,"일치","불일치(차이 "&amp;TEXT($G58-$F58,"0.00")&amp;")"))</f>
        <v/>
      </c>
      <c r="I58" s="20">
        <f>IF($X58="","",SUMIFS(상세표[기록 시간외],상세표[사번키],INDEX(합계표[사번키],$X58),상세표[기록월],대상월키,상세표[반영월],"&lt;&gt;"&amp;대상월키))</f>
        <v/>
      </c>
      <c r="J58" s="20">
        <f>IF($X58="","",SUMIFS(상세표[기록 시간외],상세표[사번키],INDEX(합계표[사번키],$X58),상세표[기록월],"&lt;&gt;"&amp;대상월키,상세표[반영월],대상월키))</f>
        <v/>
      </c>
      <c r="K58" s="20">
        <f>IF($X58="","",SUMIFS(상세표[기록 시간외],상세표[사번키],INDEX(합계표[사번키],$X58),상세표[반영월],대상월키))</f>
        <v/>
      </c>
      <c r="L58">
        <f>IF($X58="","",IFERROR(INDEX(월별근무지표[적용 급여병원],MATCH(INDEX(합계표[사번키],$X58)&amp;"|"&amp;대상월키,월별근무지표[키],0))&amp;"",IF(COUNTIF(기관표[사번키],INDEX(합계표[사번키],$X58))+COUNTIF(월별근무지표[사번키],INDEX(합계표[사번키],$X58))&gt;0,IFERROR(INDEX(기관표[급여지급병원(기준월)],MATCH(INDEX(합계표[사번키],$X58)&amp;"|"&amp;대상월키,기관표[키],0))&amp;"","—"),"—")))</f>
        <v/>
      </c>
      <c r="M58">
        <f>IF($X58="","",IF(NOT(COUNTIF(기관표[사번키],INDEX(합계표[사번키],$X58))+COUNTIF(월별근무지표[사번키],INDEX(합계표[사번키],$X58))&gt;0),"기관명단에 없음(다른 병원으로 발송)",IF($L58="서울병원","해당",IF(N($R58)&gt;0,"해당(말일 근무)",IF($L58="—","대상월 기관명단 없음(추가 필요)","비해당")))))</f>
        <v/>
      </c>
      <c r="N58" s="20">
        <f>IF($X58="","",SUMIFS(상세표[06~07시],상세표[사번키],INDEX(합계표[사번키],$X58),상세표[반영월],대상월키,상세표[반영 기관],"서울병원"))</f>
        <v/>
      </c>
      <c r="O58" s="20">
        <f>IF($X58="","",SUMIFS(상세표[07~18시],상세표[사번키],INDEX(합계표[사번키],$X58),상세표[반영월],대상월키,상세표[반영 기관],"서울병원"))</f>
        <v/>
      </c>
      <c r="P58" s="20">
        <f>IF($X58="","",SUMIFS(상세표[18~22시],상세표[사번키],INDEX(합계표[사번키],$X58),상세표[반영월],대상월키,상세표[반영 기관],"서울병원"))</f>
        <v/>
      </c>
      <c r="Q58" s="20">
        <f>IF($X58="","",SUMIFS(상세표[22~06시],상세표[사번키],INDEX(합계표[사번키],$X58),상세표[반영월],대상월키,상세표[반영 기관],"서울병원"))</f>
        <v/>
      </c>
      <c r="R58" s="20">
        <f>IF($X58="","",SUM($N58:$Q58))</f>
        <v/>
      </c>
      <c r="S58">
        <f>IF($X58="","",COUNTIFS(상세표[사번키],INDEX(합계표[사번키],$X58),상세표[반영월],대상월키,상세표[야간당직],1,상세표[야간 구분],"평일"))</f>
        <v/>
      </c>
      <c r="T58">
        <f>IF($X58="","",COUNTIFS(상세표[사번키],INDEX(합계표[사번키],$X58),상세표[반영월],대상월키,상세표[야간당직],1,상세표[야간 구분],"휴일"))</f>
        <v/>
      </c>
      <c r="U58">
        <f>IF($X58="","",COUNTIFS(상세표[사번키],INDEX(합계표[사번키],$X58),상세표[반영월],대상월키,상세표[야간당직],1,상세표[야간 구분],"평일",상세표[반영 기관],"서울병원"))</f>
        <v/>
      </c>
      <c r="V58">
        <f>IF($X58="","",COUNTIFS(상세표[사번키],INDEX(합계표[사번키],$X58),상세표[반영월],대상월키,상세표[야간당직],1,상세표[야간 구분],"휴일",상세표[반영 기관],"서울병원"))</f>
        <v/>
      </c>
      <c r="W58">
        <f>IF($X58="","",IF(ISNUMBER(MATCH(INDEX(합계표[사번키],$X58)&amp;"|"&amp;대상월키,월별근무지표[키],0)),"직접 입력",IF($L58="—","—","기관명단")))</f>
        <v/>
      </c>
      <c r="X58" s="4">
        <f>IFERROR(MATCH(53,합계표[판정순번],0),"")</f>
        <v/>
      </c>
      <c r="Z58">
        <f>IF($AC58="","",INDEX(상세표[사번],$AC58)&amp;"")</f>
        <v/>
      </c>
      <c r="AA58">
        <f>IF($AC58="","",INDEX(상세표[성명],$AC58)&amp;"")</f>
        <v/>
      </c>
      <c r="AB58" s="20">
        <f>IF($AC58="","",SUMIFS(상세표[기록 시간외],상세표[사번키],INDEX(상세표[사번키],$AC58),상세표[반영월],대상월키))</f>
        <v/>
      </c>
      <c r="AC58" s="4">
        <f>IFERROR(MATCH(53,상세표[합계없음순번],0),"")</f>
        <v/>
      </c>
    </row>
    <row r="59">
      <c r="A59">
        <f>IF($X59="","",INDEX(합계표[사번],$X59)&amp;"")</f>
        <v/>
      </c>
      <c r="B59">
        <f>IF($X59="","",INDEX(합계표[성명],$X59)&amp;"")</f>
        <v/>
      </c>
      <c r="C59">
        <f>IF($X59="","",INDEX(합계표[부서],$X59)&amp;"")</f>
        <v/>
      </c>
      <c r="D59">
        <f>IF($X59="","",INDEX(합계표[직위(요약)],$X59)&amp;"")</f>
        <v/>
      </c>
      <c r="E59">
        <f>IF($X59="","",INDEX(합계표[직급 공존],$X59)&amp;"")</f>
        <v/>
      </c>
      <c r="F59" s="20">
        <f>IF($X59="","",SUMIFS(합계표[시스템 합계],합계표[사번키],INDEX(합계표[사번키],$X59)))</f>
        <v/>
      </c>
      <c r="G59" s="20">
        <f>IF($X59="","",SUMIFS(상세표[기록 시간외],상세표[사번키],INDEX(합계표[사번키],$X59),상세표[기록월],대상월키))</f>
        <v/>
      </c>
      <c r="H59">
        <f>IF($X59="","",IF(ABS($F59-$G59)&lt;0.01,"일치","불일치(차이 "&amp;TEXT($G59-$F59,"0.00")&amp;")"))</f>
        <v/>
      </c>
      <c r="I59" s="20">
        <f>IF($X59="","",SUMIFS(상세표[기록 시간외],상세표[사번키],INDEX(합계표[사번키],$X59),상세표[기록월],대상월키,상세표[반영월],"&lt;&gt;"&amp;대상월키))</f>
        <v/>
      </c>
      <c r="J59" s="20">
        <f>IF($X59="","",SUMIFS(상세표[기록 시간외],상세표[사번키],INDEX(합계표[사번키],$X59),상세표[기록월],"&lt;&gt;"&amp;대상월키,상세표[반영월],대상월키))</f>
        <v/>
      </c>
      <c r="K59" s="20">
        <f>IF($X59="","",SUMIFS(상세표[기록 시간외],상세표[사번키],INDEX(합계표[사번키],$X59),상세표[반영월],대상월키))</f>
        <v/>
      </c>
      <c r="L59">
        <f>IF($X59="","",IFERROR(INDEX(월별근무지표[적용 급여병원],MATCH(INDEX(합계표[사번키],$X59)&amp;"|"&amp;대상월키,월별근무지표[키],0))&amp;"",IF(COUNTIF(기관표[사번키],INDEX(합계표[사번키],$X59))+COUNTIF(월별근무지표[사번키],INDEX(합계표[사번키],$X59))&gt;0,IFERROR(INDEX(기관표[급여지급병원(기준월)],MATCH(INDEX(합계표[사번키],$X59)&amp;"|"&amp;대상월키,기관표[키],0))&amp;"","—"),"—")))</f>
        <v/>
      </c>
      <c r="M59">
        <f>IF($X59="","",IF(NOT(COUNTIF(기관표[사번키],INDEX(합계표[사번키],$X59))+COUNTIF(월별근무지표[사번키],INDEX(합계표[사번키],$X59))&gt;0),"기관명단에 없음(다른 병원으로 발송)",IF($L59="서울병원","해당",IF(N($R59)&gt;0,"해당(말일 근무)",IF($L59="—","대상월 기관명단 없음(추가 필요)","비해당")))))</f>
        <v/>
      </c>
      <c r="N59" s="20">
        <f>IF($X59="","",SUMIFS(상세표[06~07시],상세표[사번키],INDEX(합계표[사번키],$X59),상세표[반영월],대상월키,상세표[반영 기관],"서울병원"))</f>
        <v/>
      </c>
      <c r="O59" s="20">
        <f>IF($X59="","",SUMIFS(상세표[07~18시],상세표[사번키],INDEX(합계표[사번키],$X59),상세표[반영월],대상월키,상세표[반영 기관],"서울병원"))</f>
        <v/>
      </c>
      <c r="P59" s="20">
        <f>IF($X59="","",SUMIFS(상세표[18~22시],상세표[사번키],INDEX(합계표[사번키],$X59),상세표[반영월],대상월키,상세표[반영 기관],"서울병원"))</f>
        <v/>
      </c>
      <c r="Q59" s="20">
        <f>IF($X59="","",SUMIFS(상세표[22~06시],상세표[사번키],INDEX(합계표[사번키],$X59),상세표[반영월],대상월키,상세표[반영 기관],"서울병원"))</f>
        <v/>
      </c>
      <c r="R59" s="20">
        <f>IF($X59="","",SUM($N59:$Q59))</f>
        <v/>
      </c>
      <c r="S59">
        <f>IF($X59="","",COUNTIFS(상세표[사번키],INDEX(합계표[사번키],$X59),상세표[반영월],대상월키,상세표[야간당직],1,상세표[야간 구분],"평일"))</f>
        <v/>
      </c>
      <c r="T59">
        <f>IF($X59="","",COUNTIFS(상세표[사번키],INDEX(합계표[사번키],$X59),상세표[반영월],대상월키,상세표[야간당직],1,상세표[야간 구분],"휴일"))</f>
        <v/>
      </c>
      <c r="U59">
        <f>IF($X59="","",COUNTIFS(상세표[사번키],INDEX(합계표[사번키],$X59),상세표[반영월],대상월키,상세표[야간당직],1,상세표[야간 구분],"평일",상세표[반영 기관],"서울병원"))</f>
        <v/>
      </c>
      <c r="V59">
        <f>IF($X59="","",COUNTIFS(상세표[사번키],INDEX(합계표[사번키],$X59),상세표[반영월],대상월키,상세표[야간당직],1,상세표[야간 구분],"휴일",상세표[반영 기관],"서울병원"))</f>
        <v/>
      </c>
      <c r="W59">
        <f>IF($X59="","",IF(ISNUMBER(MATCH(INDEX(합계표[사번키],$X59)&amp;"|"&amp;대상월키,월별근무지표[키],0)),"직접 입력",IF($L59="—","—","기관명단")))</f>
        <v/>
      </c>
      <c r="X59" s="4">
        <f>IFERROR(MATCH(54,합계표[판정순번],0),"")</f>
        <v/>
      </c>
      <c r="Z59">
        <f>IF($AC59="","",INDEX(상세표[사번],$AC59)&amp;"")</f>
        <v/>
      </c>
      <c r="AA59">
        <f>IF($AC59="","",INDEX(상세표[성명],$AC59)&amp;"")</f>
        <v/>
      </c>
      <c r="AB59" s="20">
        <f>IF($AC59="","",SUMIFS(상세표[기록 시간외],상세표[사번키],INDEX(상세표[사번키],$AC59),상세표[반영월],대상월키))</f>
        <v/>
      </c>
      <c r="AC59" s="4">
        <f>IFERROR(MATCH(54,상세표[합계없음순번],0),"")</f>
        <v/>
      </c>
    </row>
    <row r="60">
      <c r="A60">
        <f>IF($X60="","",INDEX(합계표[사번],$X60)&amp;"")</f>
        <v/>
      </c>
      <c r="B60">
        <f>IF($X60="","",INDEX(합계표[성명],$X60)&amp;"")</f>
        <v/>
      </c>
      <c r="C60">
        <f>IF($X60="","",INDEX(합계표[부서],$X60)&amp;"")</f>
        <v/>
      </c>
      <c r="D60">
        <f>IF($X60="","",INDEX(합계표[직위(요약)],$X60)&amp;"")</f>
        <v/>
      </c>
      <c r="E60">
        <f>IF($X60="","",INDEX(합계표[직급 공존],$X60)&amp;"")</f>
        <v/>
      </c>
      <c r="F60" s="20">
        <f>IF($X60="","",SUMIFS(합계표[시스템 합계],합계표[사번키],INDEX(합계표[사번키],$X60)))</f>
        <v/>
      </c>
      <c r="G60" s="20">
        <f>IF($X60="","",SUMIFS(상세표[기록 시간외],상세표[사번키],INDEX(합계표[사번키],$X60),상세표[기록월],대상월키))</f>
        <v/>
      </c>
      <c r="H60">
        <f>IF($X60="","",IF(ABS($F60-$G60)&lt;0.01,"일치","불일치(차이 "&amp;TEXT($G60-$F60,"0.00")&amp;")"))</f>
        <v/>
      </c>
      <c r="I60" s="20">
        <f>IF($X60="","",SUMIFS(상세표[기록 시간외],상세표[사번키],INDEX(합계표[사번키],$X60),상세표[기록월],대상월키,상세표[반영월],"&lt;&gt;"&amp;대상월키))</f>
        <v/>
      </c>
      <c r="J60" s="20">
        <f>IF($X60="","",SUMIFS(상세표[기록 시간외],상세표[사번키],INDEX(합계표[사번키],$X60),상세표[기록월],"&lt;&gt;"&amp;대상월키,상세표[반영월],대상월키))</f>
        <v/>
      </c>
      <c r="K60" s="20">
        <f>IF($X60="","",SUMIFS(상세표[기록 시간외],상세표[사번키],INDEX(합계표[사번키],$X60),상세표[반영월],대상월키))</f>
        <v/>
      </c>
      <c r="L60">
        <f>IF($X60="","",IFERROR(INDEX(월별근무지표[적용 급여병원],MATCH(INDEX(합계표[사번키],$X60)&amp;"|"&amp;대상월키,월별근무지표[키],0))&amp;"",IF(COUNTIF(기관표[사번키],INDEX(합계표[사번키],$X60))+COUNTIF(월별근무지표[사번키],INDEX(합계표[사번키],$X60))&gt;0,IFERROR(INDEX(기관표[급여지급병원(기준월)],MATCH(INDEX(합계표[사번키],$X60)&amp;"|"&amp;대상월키,기관표[키],0))&amp;"","—"),"—")))</f>
        <v/>
      </c>
      <c r="M60">
        <f>IF($X60="","",IF(NOT(COUNTIF(기관표[사번키],INDEX(합계표[사번키],$X60))+COUNTIF(월별근무지표[사번키],INDEX(합계표[사번키],$X60))&gt;0),"기관명단에 없음(다른 병원으로 발송)",IF($L60="서울병원","해당",IF(N($R60)&gt;0,"해당(말일 근무)",IF($L60="—","대상월 기관명단 없음(추가 필요)","비해당")))))</f>
        <v/>
      </c>
      <c r="N60" s="20">
        <f>IF($X60="","",SUMIFS(상세표[06~07시],상세표[사번키],INDEX(합계표[사번키],$X60),상세표[반영월],대상월키,상세표[반영 기관],"서울병원"))</f>
        <v/>
      </c>
      <c r="O60" s="20">
        <f>IF($X60="","",SUMIFS(상세표[07~18시],상세표[사번키],INDEX(합계표[사번키],$X60),상세표[반영월],대상월키,상세표[반영 기관],"서울병원"))</f>
        <v/>
      </c>
      <c r="P60" s="20">
        <f>IF($X60="","",SUMIFS(상세표[18~22시],상세표[사번키],INDEX(합계표[사번키],$X60),상세표[반영월],대상월키,상세표[반영 기관],"서울병원"))</f>
        <v/>
      </c>
      <c r="Q60" s="20">
        <f>IF($X60="","",SUMIFS(상세표[22~06시],상세표[사번키],INDEX(합계표[사번키],$X60),상세표[반영월],대상월키,상세표[반영 기관],"서울병원"))</f>
        <v/>
      </c>
      <c r="R60" s="20">
        <f>IF($X60="","",SUM($N60:$Q60))</f>
        <v/>
      </c>
      <c r="S60">
        <f>IF($X60="","",COUNTIFS(상세표[사번키],INDEX(합계표[사번키],$X60),상세표[반영월],대상월키,상세표[야간당직],1,상세표[야간 구분],"평일"))</f>
        <v/>
      </c>
      <c r="T60">
        <f>IF($X60="","",COUNTIFS(상세표[사번키],INDEX(합계표[사번키],$X60),상세표[반영월],대상월키,상세표[야간당직],1,상세표[야간 구분],"휴일"))</f>
        <v/>
      </c>
      <c r="U60">
        <f>IF($X60="","",COUNTIFS(상세표[사번키],INDEX(합계표[사번키],$X60),상세표[반영월],대상월키,상세표[야간당직],1,상세표[야간 구분],"평일",상세표[반영 기관],"서울병원"))</f>
        <v/>
      </c>
      <c r="V60">
        <f>IF($X60="","",COUNTIFS(상세표[사번키],INDEX(합계표[사번키],$X60),상세표[반영월],대상월키,상세표[야간당직],1,상세표[야간 구분],"휴일",상세표[반영 기관],"서울병원"))</f>
        <v/>
      </c>
      <c r="W60">
        <f>IF($X60="","",IF(ISNUMBER(MATCH(INDEX(합계표[사번키],$X60)&amp;"|"&amp;대상월키,월별근무지표[키],0)),"직접 입력",IF($L60="—","—","기관명단")))</f>
        <v/>
      </c>
      <c r="X60" s="4">
        <f>IFERROR(MATCH(55,합계표[판정순번],0),"")</f>
        <v/>
      </c>
      <c r="Z60">
        <f>IF($AC60="","",INDEX(상세표[사번],$AC60)&amp;"")</f>
        <v/>
      </c>
      <c r="AA60">
        <f>IF($AC60="","",INDEX(상세표[성명],$AC60)&amp;"")</f>
        <v/>
      </c>
      <c r="AB60" s="20">
        <f>IF($AC60="","",SUMIFS(상세표[기록 시간외],상세표[사번키],INDEX(상세표[사번키],$AC60),상세표[반영월],대상월키))</f>
        <v/>
      </c>
      <c r="AC60" s="4">
        <f>IFERROR(MATCH(55,상세표[합계없음순번],0),"")</f>
        <v/>
      </c>
    </row>
    <row r="61">
      <c r="A61">
        <f>IF($X61="","",INDEX(합계표[사번],$X61)&amp;"")</f>
        <v/>
      </c>
      <c r="B61">
        <f>IF($X61="","",INDEX(합계표[성명],$X61)&amp;"")</f>
        <v/>
      </c>
      <c r="C61">
        <f>IF($X61="","",INDEX(합계표[부서],$X61)&amp;"")</f>
        <v/>
      </c>
      <c r="D61">
        <f>IF($X61="","",INDEX(합계표[직위(요약)],$X61)&amp;"")</f>
        <v/>
      </c>
      <c r="E61">
        <f>IF($X61="","",INDEX(합계표[직급 공존],$X61)&amp;"")</f>
        <v/>
      </c>
      <c r="F61" s="20">
        <f>IF($X61="","",SUMIFS(합계표[시스템 합계],합계표[사번키],INDEX(합계표[사번키],$X61)))</f>
        <v/>
      </c>
      <c r="G61" s="20">
        <f>IF($X61="","",SUMIFS(상세표[기록 시간외],상세표[사번키],INDEX(합계표[사번키],$X61),상세표[기록월],대상월키))</f>
        <v/>
      </c>
      <c r="H61">
        <f>IF($X61="","",IF(ABS($F61-$G61)&lt;0.01,"일치","불일치(차이 "&amp;TEXT($G61-$F61,"0.00")&amp;")"))</f>
        <v/>
      </c>
      <c r="I61" s="20">
        <f>IF($X61="","",SUMIFS(상세표[기록 시간외],상세표[사번키],INDEX(합계표[사번키],$X61),상세표[기록월],대상월키,상세표[반영월],"&lt;&gt;"&amp;대상월키))</f>
        <v/>
      </c>
      <c r="J61" s="20">
        <f>IF($X61="","",SUMIFS(상세표[기록 시간외],상세표[사번키],INDEX(합계표[사번키],$X61),상세표[기록월],"&lt;&gt;"&amp;대상월키,상세표[반영월],대상월키))</f>
        <v/>
      </c>
      <c r="K61" s="20">
        <f>IF($X61="","",SUMIFS(상세표[기록 시간외],상세표[사번키],INDEX(합계표[사번키],$X61),상세표[반영월],대상월키))</f>
        <v/>
      </c>
      <c r="L61">
        <f>IF($X61="","",IFERROR(INDEX(월별근무지표[적용 급여병원],MATCH(INDEX(합계표[사번키],$X61)&amp;"|"&amp;대상월키,월별근무지표[키],0))&amp;"",IF(COUNTIF(기관표[사번키],INDEX(합계표[사번키],$X61))+COUNTIF(월별근무지표[사번키],INDEX(합계표[사번키],$X61))&gt;0,IFERROR(INDEX(기관표[급여지급병원(기준월)],MATCH(INDEX(합계표[사번키],$X61)&amp;"|"&amp;대상월키,기관표[키],0))&amp;"","—"),"—")))</f>
        <v/>
      </c>
      <c r="M61">
        <f>IF($X61="","",IF(NOT(COUNTIF(기관표[사번키],INDEX(합계표[사번키],$X61))+COUNTIF(월별근무지표[사번키],INDEX(합계표[사번키],$X61))&gt;0),"기관명단에 없음(다른 병원으로 발송)",IF($L61="서울병원","해당",IF(N($R61)&gt;0,"해당(말일 근무)",IF($L61="—","대상월 기관명단 없음(추가 필요)","비해당")))))</f>
        <v/>
      </c>
      <c r="N61" s="20">
        <f>IF($X61="","",SUMIFS(상세표[06~07시],상세표[사번키],INDEX(합계표[사번키],$X61),상세표[반영월],대상월키,상세표[반영 기관],"서울병원"))</f>
        <v/>
      </c>
      <c r="O61" s="20">
        <f>IF($X61="","",SUMIFS(상세표[07~18시],상세표[사번키],INDEX(합계표[사번키],$X61),상세표[반영월],대상월키,상세표[반영 기관],"서울병원"))</f>
        <v/>
      </c>
      <c r="P61" s="20">
        <f>IF($X61="","",SUMIFS(상세표[18~22시],상세표[사번키],INDEX(합계표[사번키],$X61),상세표[반영월],대상월키,상세표[반영 기관],"서울병원"))</f>
        <v/>
      </c>
      <c r="Q61" s="20">
        <f>IF($X61="","",SUMIFS(상세표[22~06시],상세표[사번키],INDEX(합계표[사번키],$X61),상세표[반영월],대상월키,상세표[반영 기관],"서울병원"))</f>
        <v/>
      </c>
      <c r="R61" s="20">
        <f>IF($X61="","",SUM($N61:$Q61))</f>
        <v/>
      </c>
      <c r="S61">
        <f>IF($X61="","",COUNTIFS(상세표[사번키],INDEX(합계표[사번키],$X61),상세표[반영월],대상월키,상세표[야간당직],1,상세표[야간 구분],"평일"))</f>
        <v/>
      </c>
      <c r="T61">
        <f>IF($X61="","",COUNTIFS(상세표[사번키],INDEX(합계표[사번키],$X61),상세표[반영월],대상월키,상세표[야간당직],1,상세표[야간 구분],"휴일"))</f>
        <v/>
      </c>
      <c r="U61">
        <f>IF($X61="","",COUNTIFS(상세표[사번키],INDEX(합계표[사번키],$X61),상세표[반영월],대상월키,상세표[야간당직],1,상세표[야간 구분],"평일",상세표[반영 기관],"서울병원"))</f>
        <v/>
      </c>
      <c r="V61">
        <f>IF($X61="","",COUNTIFS(상세표[사번키],INDEX(합계표[사번키],$X61),상세표[반영월],대상월키,상세표[야간당직],1,상세표[야간 구분],"휴일",상세표[반영 기관],"서울병원"))</f>
        <v/>
      </c>
      <c r="W61">
        <f>IF($X61="","",IF(ISNUMBER(MATCH(INDEX(합계표[사번키],$X61)&amp;"|"&amp;대상월키,월별근무지표[키],0)),"직접 입력",IF($L61="—","—","기관명단")))</f>
        <v/>
      </c>
      <c r="X61" s="4">
        <f>IFERROR(MATCH(56,합계표[판정순번],0),"")</f>
        <v/>
      </c>
      <c r="Z61">
        <f>IF($AC61="","",INDEX(상세표[사번],$AC61)&amp;"")</f>
        <v/>
      </c>
      <c r="AA61">
        <f>IF($AC61="","",INDEX(상세표[성명],$AC61)&amp;"")</f>
        <v/>
      </c>
      <c r="AB61" s="20">
        <f>IF($AC61="","",SUMIFS(상세표[기록 시간외],상세표[사번키],INDEX(상세표[사번키],$AC61),상세표[반영월],대상월키))</f>
        <v/>
      </c>
      <c r="AC61" s="4">
        <f>IFERROR(MATCH(56,상세표[합계없음순번],0),"")</f>
        <v/>
      </c>
    </row>
    <row r="62">
      <c r="A62">
        <f>IF($X62="","",INDEX(합계표[사번],$X62)&amp;"")</f>
        <v/>
      </c>
      <c r="B62">
        <f>IF($X62="","",INDEX(합계표[성명],$X62)&amp;"")</f>
        <v/>
      </c>
      <c r="C62">
        <f>IF($X62="","",INDEX(합계표[부서],$X62)&amp;"")</f>
        <v/>
      </c>
      <c r="D62">
        <f>IF($X62="","",INDEX(합계표[직위(요약)],$X62)&amp;"")</f>
        <v/>
      </c>
      <c r="E62">
        <f>IF($X62="","",INDEX(합계표[직급 공존],$X62)&amp;"")</f>
        <v/>
      </c>
      <c r="F62" s="20">
        <f>IF($X62="","",SUMIFS(합계표[시스템 합계],합계표[사번키],INDEX(합계표[사번키],$X62)))</f>
        <v/>
      </c>
      <c r="G62" s="20">
        <f>IF($X62="","",SUMIFS(상세표[기록 시간외],상세표[사번키],INDEX(합계표[사번키],$X62),상세표[기록월],대상월키))</f>
        <v/>
      </c>
      <c r="H62">
        <f>IF($X62="","",IF(ABS($F62-$G62)&lt;0.01,"일치","불일치(차이 "&amp;TEXT($G62-$F62,"0.00")&amp;")"))</f>
        <v/>
      </c>
      <c r="I62" s="20">
        <f>IF($X62="","",SUMIFS(상세표[기록 시간외],상세표[사번키],INDEX(합계표[사번키],$X62),상세표[기록월],대상월키,상세표[반영월],"&lt;&gt;"&amp;대상월키))</f>
        <v/>
      </c>
      <c r="J62" s="20">
        <f>IF($X62="","",SUMIFS(상세표[기록 시간외],상세표[사번키],INDEX(합계표[사번키],$X62),상세표[기록월],"&lt;&gt;"&amp;대상월키,상세표[반영월],대상월키))</f>
        <v/>
      </c>
      <c r="K62" s="20">
        <f>IF($X62="","",SUMIFS(상세표[기록 시간외],상세표[사번키],INDEX(합계표[사번키],$X62),상세표[반영월],대상월키))</f>
        <v/>
      </c>
      <c r="L62">
        <f>IF($X62="","",IFERROR(INDEX(월별근무지표[적용 급여병원],MATCH(INDEX(합계표[사번키],$X62)&amp;"|"&amp;대상월키,월별근무지표[키],0))&amp;"",IF(COUNTIF(기관표[사번키],INDEX(합계표[사번키],$X62))+COUNTIF(월별근무지표[사번키],INDEX(합계표[사번키],$X62))&gt;0,IFERROR(INDEX(기관표[급여지급병원(기준월)],MATCH(INDEX(합계표[사번키],$X62)&amp;"|"&amp;대상월키,기관표[키],0))&amp;"","—"),"—")))</f>
        <v/>
      </c>
      <c r="M62">
        <f>IF($X62="","",IF(NOT(COUNTIF(기관표[사번키],INDEX(합계표[사번키],$X62))+COUNTIF(월별근무지표[사번키],INDEX(합계표[사번키],$X62))&gt;0),"기관명단에 없음(다른 병원으로 발송)",IF($L62="서울병원","해당",IF(N($R62)&gt;0,"해당(말일 근무)",IF($L62="—","대상월 기관명단 없음(추가 필요)","비해당")))))</f>
        <v/>
      </c>
      <c r="N62" s="20">
        <f>IF($X62="","",SUMIFS(상세표[06~07시],상세표[사번키],INDEX(합계표[사번키],$X62),상세표[반영월],대상월키,상세표[반영 기관],"서울병원"))</f>
        <v/>
      </c>
      <c r="O62" s="20">
        <f>IF($X62="","",SUMIFS(상세표[07~18시],상세표[사번키],INDEX(합계표[사번키],$X62),상세표[반영월],대상월키,상세표[반영 기관],"서울병원"))</f>
        <v/>
      </c>
      <c r="P62" s="20">
        <f>IF($X62="","",SUMIFS(상세표[18~22시],상세표[사번키],INDEX(합계표[사번키],$X62),상세표[반영월],대상월키,상세표[반영 기관],"서울병원"))</f>
        <v/>
      </c>
      <c r="Q62" s="20">
        <f>IF($X62="","",SUMIFS(상세표[22~06시],상세표[사번키],INDEX(합계표[사번키],$X62),상세표[반영월],대상월키,상세표[반영 기관],"서울병원"))</f>
        <v/>
      </c>
      <c r="R62" s="20">
        <f>IF($X62="","",SUM($N62:$Q62))</f>
        <v/>
      </c>
      <c r="S62">
        <f>IF($X62="","",COUNTIFS(상세표[사번키],INDEX(합계표[사번키],$X62),상세표[반영월],대상월키,상세표[야간당직],1,상세표[야간 구분],"평일"))</f>
        <v/>
      </c>
      <c r="T62">
        <f>IF($X62="","",COUNTIFS(상세표[사번키],INDEX(합계표[사번키],$X62),상세표[반영월],대상월키,상세표[야간당직],1,상세표[야간 구분],"휴일"))</f>
        <v/>
      </c>
      <c r="U62">
        <f>IF($X62="","",COUNTIFS(상세표[사번키],INDEX(합계표[사번키],$X62),상세표[반영월],대상월키,상세표[야간당직],1,상세표[야간 구분],"평일",상세표[반영 기관],"서울병원"))</f>
        <v/>
      </c>
      <c r="V62">
        <f>IF($X62="","",COUNTIFS(상세표[사번키],INDEX(합계표[사번키],$X62),상세표[반영월],대상월키,상세표[야간당직],1,상세표[야간 구분],"휴일",상세표[반영 기관],"서울병원"))</f>
        <v/>
      </c>
      <c r="W62">
        <f>IF($X62="","",IF(ISNUMBER(MATCH(INDEX(합계표[사번키],$X62)&amp;"|"&amp;대상월키,월별근무지표[키],0)),"직접 입력",IF($L62="—","—","기관명단")))</f>
        <v/>
      </c>
      <c r="X62" s="4">
        <f>IFERROR(MATCH(57,합계표[판정순번],0),"")</f>
        <v/>
      </c>
      <c r="Z62">
        <f>IF($AC62="","",INDEX(상세표[사번],$AC62)&amp;"")</f>
        <v/>
      </c>
      <c r="AA62">
        <f>IF($AC62="","",INDEX(상세표[성명],$AC62)&amp;"")</f>
        <v/>
      </c>
      <c r="AB62" s="20">
        <f>IF($AC62="","",SUMIFS(상세표[기록 시간외],상세표[사번키],INDEX(상세표[사번키],$AC62),상세표[반영월],대상월키))</f>
        <v/>
      </c>
      <c r="AC62" s="4">
        <f>IFERROR(MATCH(57,상세표[합계없음순번],0),"")</f>
        <v/>
      </c>
    </row>
    <row r="63">
      <c r="A63">
        <f>IF($X63="","",INDEX(합계표[사번],$X63)&amp;"")</f>
        <v/>
      </c>
      <c r="B63">
        <f>IF($X63="","",INDEX(합계표[성명],$X63)&amp;"")</f>
        <v/>
      </c>
      <c r="C63">
        <f>IF($X63="","",INDEX(합계표[부서],$X63)&amp;"")</f>
        <v/>
      </c>
      <c r="D63">
        <f>IF($X63="","",INDEX(합계표[직위(요약)],$X63)&amp;"")</f>
        <v/>
      </c>
      <c r="E63">
        <f>IF($X63="","",INDEX(합계표[직급 공존],$X63)&amp;"")</f>
        <v/>
      </c>
      <c r="F63" s="20">
        <f>IF($X63="","",SUMIFS(합계표[시스템 합계],합계표[사번키],INDEX(합계표[사번키],$X63)))</f>
        <v/>
      </c>
      <c r="G63" s="20">
        <f>IF($X63="","",SUMIFS(상세표[기록 시간외],상세표[사번키],INDEX(합계표[사번키],$X63),상세표[기록월],대상월키))</f>
        <v/>
      </c>
      <c r="H63">
        <f>IF($X63="","",IF(ABS($F63-$G63)&lt;0.01,"일치","불일치(차이 "&amp;TEXT($G63-$F63,"0.00")&amp;")"))</f>
        <v/>
      </c>
      <c r="I63" s="20">
        <f>IF($X63="","",SUMIFS(상세표[기록 시간외],상세표[사번키],INDEX(합계표[사번키],$X63),상세표[기록월],대상월키,상세표[반영월],"&lt;&gt;"&amp;대상월키))</f>
        <v/>
      </c>
      <c r="J63" s="20">
        <f>IF($X63="","",SUMIFS(상세표[기록 시간외],상세표[사번키],INDEX(합계표[사번키],$X63),상세표[기록월],"&lt;&gt;"&amp;대상월키,상세표[반영월],대상월키))</f>
        <v/>
      </c>
      <c r="K63" s="20">
        <f>IF($X63="","",SUMIFS(상세표[기록 시간외],상세표[사번키],INDEX(합계표[사번키],$X63),상세표[반영월],대상월키))</f>
        <v/>
      </c>
      <c r="L63">
        <f>IF($X63="","",IFERROR(INDEX(월별근무지표[적용 급여병원],MATCH(INDEX(합계표[사번키],$X63)&amp;"|"&amp;대상월키,월별근무지표[키],0))&amp;"",IF(COUNTIF(기관표[사번키],INDEX(합계표[사번키],$X63))+COUNTIF(월별근무지표[사번키],INDEX(합계표[사번키],$X63))&gt;0,IFERROR(INDEX(기관표[급여지급병원(기준월)],MATCH(INDEX(합계표[사번키],$X63)&amp;"|"&amp;대상월키,기관표[키],0))&amp;"","—"),"—")))</f>
        <v/>
      </c>
      <c r="M63">
        <f>IF($X63="","",IF(NOT(COUNTIF(기관표[사번키],INDEX(합계표[사번키],$X63))+COUNTIF(월별근무지표[사번키],INDEX(합계표[사번키],$X63))&gt;0),"기관명단에 없음(다른 병원으로 발송)",IF($L63="서울병원","해당",IF(N($R63)&gt;0,"해당(말일 근무)",IF($L63="—","대상월 기관명단 없음(추가 필요)","비해당")))))</f>
        <v/>
      </c>
      <c r="N63" s="20">
        <f>IF($X63="","",SUMIFS(상세표[06~07시],상세표[사번키],INDEX(합계표[사번키],$X63),상세표[반영월],대상월키,상세표[반영 기관],"서울병원"))</f>
        <v/>
      </c>
      <c r="O63" s="20">
        <f>IF($X63="","",SUMIFS(상세표[07~18시],상세표[사번키],INDEX(합계표[사번키],$X63),상세표[반영월],대상월키,상세표[반영 기관],"서울병원"))</f>
        <v/>
      </c>
      <c r="P63" s="20">
        <f>IF($X63="","",SUMIFS(상세표[18~22시],상세표[사번키],INDEX(합계표[사번키],$X63),상세표[반영월],대상월키,상세표[반영 기관],"서울병원"))</f>
        <v/>
      </c>
      <c r="Q63" s="20">
        <f>IF($X63="","",SUMIFS(상세표[22~06시],상세표[사번키],INDEX(합계표[사번키],$X63),상세표[반영월],대상월키,상세표[반영 기관],"서울병원"))</f>
        <v/>
      </c>
      <c r="R63" s="20">
        <f>IF($X63="","",SUM($N63:$Q63))</f>
        <v/>
      </c>
      <c r="S63">
        <f>IF($X63="","",COUNTIFS(상세표[사번키],INDEX(합계표[사번키],$X63),상세표[반영월],대상월키,상세표[야간당직],1,상세표[야간 구분],"평일"))</f>
        <v/>
      </c>
      <c r="T63">
        <f>IF($X63="","",COUNTIFS(상세표[사번키],INDEX(합계표[사번키],$X63),상세표[반영월],대상월키,상세표[야간당직],1,상세표[야간 구분],"휴일"))</f>
        <v/>
      </c>
      <c r="U63">
        <f>IF($X63="","",COUNTIFS(상세표[사번키],INDEX(합계표[사번키],$X63),상세표[반영월],대상월키,상세표[야간당직],1,상세표[야간 구분],"평일",상세표[반영 기관],"서울병원"))</f>
        <v/>
      </c>
      <c r="V63">
        <f>IF($X63="","",COUNTIFS(상세표[사번키],INDEX(합계표[사번키],$X63),상세표[반영월],대상월키,상세표[야간당직],1,상세표[야간 구분],"휴일",상세표[반영 기관],"서울병원"))</f>
        <v/>
      </c>
      <c r="W63">
        <f>IF($X63="","",IF(ISNUMBER(MATCH(INDEX(합계표[사번키],$X63)&amp;"|"&amp;대상월키,월별근무지표[키],0)),"직접 입력",IF($L63="—","—","기관명단")))</f>
        <v/>
      </c>
      <c r="X63" s="4">
        <f>IFERROR(MATCH(58,합계표[판정순번],0),"")</f>
        <v/>
      </c>
      <c r="Z63">
        <f>IF($AC63="","",INDEX(상세표[사번],$AC63)&amp;"")</f>
        <v/>
      </c>
      <c r="AA63">
        <f>IF($AC63="","",INDEX(상세표[성명],$AC63)&amp;"")</f>
        <v/>
      </c>
      <c r="AB63" s="20">
        <f>IF($AC63="","",SUMIFS(상세표[기록 시간외],상세표[사번키],INDEX(상세표[사번키],$AC63),상세표[반영월],대상월키))</f>
        <v/>
      </c>
      <c r="AC63" s="4">
        <f>IFERROR(MATCH(58,상세표[합계없음순번],0),"")</f>
        <v/>
      </c>
    </row>
    <row r="64">
      <c r="A64">
        <f>IF($X64="","",INDEX(합계표[사번],$X64)&amp;"")</f>
        <v/>
      </c>
      <c r="B64">
        <f>IF($X64="","",INDEX(합계표[성명],$X64)&amp;"")</f>
        <v/>
      </c>
      <c r="C64">
        <f>IF($X64="","",INDEX(합계표[부서],$X64)&amp;"")</f>
        <v/>
      </c>
      <c r="D64">
        <f>IF($X64="","",INDEX(합계표[직위(요약)],$X64)&amp;"")</f>
        <v/>
      </c>
      <c r="E64">
        <f>IF($X64="","",INDEX(합계표[직급 공존],$X64)&amp;"")</f>
        <v/>
      </c>
      <c r="F64" s="20">
        <f>IF($X64="","",SUMIFS(합계표[시스템 합계],합계표[사번키],INDEX(합계표[사번키],$X64)))</f>
        <v/>
      </c>
      <c r="G64" s="20">
        <f>IF($X64="","",SUMIFS(상세표[기록 시간외],상세표[사번키],INDEX(합계표[사번키],$X64),상세표[기록월],대상월키))</f>
        <v/>
      </c>
      <c r="H64">
        <f>IF($X64="","",IF(ABS($F64-$G64)&lt;0.01,"일치","불일치(차이 "&amp;TEXT($G64-$F64,"0.00")&amp;")"))</f>
        <v/>
      </c>
      <c r="I64" s="20">
        <f>IF($X64="","",SUMIFS(상세표[기록 시간외],상세표[사번키],INDEX(합계표[사번키],$X64),상세표[기록월],대상월키,상세표[반영월],"&lt;&gt;"&amp;대상월키))</f>
        <v/>
      </c>
      <c r="J64" s="20">
        <f>IF($X64="","",SUMIFS(상세표[기록 시간외],상세표[사번키],INDEX(합계표[사번키],$X64),상세표[기록월],"&lt;&gt;"&amp;대상월키,상세표[반영월],대상월키))</f>
        <v/>
      </c>
      <c r="K64" s="20">
        <f>IF($X64="","",SUMIFS(상세표[기록 시간외],상세표[사번키],INDEX(합계표[사번키],$X64),상세표[반영월],대상월키))</f>
        <v/>
      </c>
      <c r="L64">
        <f>IF($X64="","",IFERROR(INDEX(월별근무지표[적용 급여병원],MATCH(INDEX(합계표[사번키],$X64)&amp;"|"&amp;대상월키,월별근무지표[키],0))&amp;"",IF(COUNTIF(기관표[사번키],INDEX(합계표[사번키],$X64))+COUNTIF(월별근무지표[사번키],INDEX(합계표[사번키],$X64))&gt;0,IFERROR(INDEX(기관표[급여지급병원(기준월)],MATCH(INDEX(합계표[사번키],$X64)&amp;"|"&amp;대상월키,기관표[키],0))&amp;"","—"),"—")))</f>
        <v/>
      </c>
      <c r="M64">
        <f>IF($X64="","",IF(NOT(COUNTIF(기관표[사번키],INDEX(합계표[사번키],$X64))+COUNTIF(월별근무지표[사번키],INDEX(합계표[사번키],$X64))&gt;0),"기관명단에 없음(다른 병원으로 발송)",IF($L64="서울병원","해당",IF(N($R64)&gt;0,"해당(말일 근무)",IF($L64="—","대상월 기관명단 없음(추가 필요)","비해당")))))</f>
        <v/>
      </c>
      <c r="N64" s="20">
        <f>IF($X64="","",SUMIFS(상세표[06~07시],상세표[사번키],INDEX(합계표[사번키],$X64),상세표[반영월],대상월키,상세표[반영 기관],"서울병원"))</f>
        <v/>
      </c>
      <c r="O64" s="20">
        <f>IF($X64="","",SUMIFS(상세표[07~18시],상세표[사번키],INDEX(합계표[사번키],$X64),상세표[반영월],대상월키,상세표[반영 기관],"서울병원"))</f>
        <v/>
      </c>
      <c r="P64" s="20">
        <f>IF($X64="","",SUMIFS(상세표[18~22시],상세표[사번키],INDEX(합계표[사번키],$X64),상세표[반영월],대상월키,상세표[반영 기관],"서울병원"))</f>
        <v/>
      </c>
      <c r="Q64" s="20">
        <f>IF($X64="","",SUMIFS(상세표[22~06시],상세표[사번키],INDEX(합계표[사번키],$X64),상세표[반영월],대상월키,상세표[반영 기관],"서울병원"))</f>
        <v/>
      </c>
      <c r="R64" s="20">
        <f>IF($X64="","",SUM($N64:$Q64))</f>
        <v/>
      </c>
      <c r="S64">
        <f>IF($X64="","",COUNTIFS(상세표[사번키],INDEX(합계표[사번키],$X64),상세표[반영월],대상월키,상세표[야간당직],1,상세표[야간 구분],"평일"))</f>
        <v/>
      </c>
      <c r="T64">
        <f>IF($X64="","",COUNTIFS(상세표[사번키],INDEX(합계표[사번키],$X64),상세표[반영월],대상월키,상세표[야간당직],1,상세표[야간 구분],"휴일"))</f>
        <v/>
      </c>
      <c r="U64">
        <f>IF($X64="","",COUNTIFS(상세표[사번키],INDEX(합계표[사번키],$X64),상세표[반영월],대상월키,상세표[야간당직],1,상세표[야간 구분],"평일",상세표[반영 기관],"서울병원"))</f>
        <v/>
      </c>
      <c r="V64">
        <f>IF($X64="","",COUNTIFS(상세표[사번키],INDEX(합계표[사번키],$X64),상세표[반영월],대상월키,상세표[야간당직],1,상세표[야간 구분],"휴일",상세표[반영 기관],"서울병원"))</f>
        <v/>
      </c>
      <c r="W64">
        <f>IF($X64="","",IF(ISNUMBER(MATCH(INDEX(합계표[사번키],$X64)&amp;"|"&amp;대상월키,월별근무지표[키],0)),"직접 입력",IF($L64="—","—","기관명단")))</f>
        <v/>
      </c>
      <c r="X64" s="4">
        <f>IFERROR(MATCH(59,합계표[판정순번],0),"")</f>
        <v/>
      </c>
      <c r="Z64">
        <f>IF($AC64="","",INDEX(상세표[사번],$AC64)&amp;"")</f>
        <v/>
      </c>
      <c r="AA64">
        <f>IF($AC64="","",INDEX(상세표[성명],$AC64)&amp;"")</f>
        <v/>
      </c>
      <c r="AB64" s="20">
        <f>IF($AC64="","",SUMIFS(상세표[기록 시간외],상세표[사번키],INDEX(상세표[사번키],$AC64),상세표[반영월],대상월키))</f>
        <v/>
      </c>
      <c r="AC64" s="4">
        <f>IFERROR(MATCH(59,상세표[합계없음순번],0),"")</f>
        <v/>
      </c>
    </row>
    <row r="65">
      <c r="A65">
        <f>IF($X65="","",INDEX(합계표[사번],$X65)&amp;"")</f>
        <v/>
      </c>
      <c r="B65">
        <f>IF($X65="","",INDEX(합계표[성명],$X65)&amp;"")</f>
        <v/>
      </c>
      <c r="C65">
        <f>IF($X65="","",INDEX(합계표[부서],$X65)&amp;"")</f>
        <v/>
      </c>
      <c r="D65">
        <f>IF($X65="","",INDEX(합계표[직위(요약)],$X65)&amp;"")</f>
        <v/>
      </c>
      <c r="E65">
        <f>IF($X65="","",INDEX(합계표[직급 공존],$X65)&amp;"")</f>
        <v/>
      </c>
      <c r="F65" s="20">
        <f>IF($X65="","",SUMIFS(합계표[시스템 합계],합계표[사번키],INDEX(합계표[사번키],$X65)))</f>
        <v/>
      </c>
      <c r="G65" s="20">
        <f>IF($X65="","",SUMIFS(상세표[기록 시간외],상세표[사번키],INDEX(합계표[사번키],$X65),상세표[기록월],대상월키))</f>
        <v/>
      </c>
      <c r="H65">
        <f>IF($X65="","",IF(ABS($F65-$G65)&lt;0.01,"일치","불일치(차이 "&amp;TEXT($G65-$F65,"0.00")&amp;")"))</f>
        <v/>
      </c>
      <c r="I65" s="20">
        <f>IF($X65="","",SUMIFS(상세표[기록 시간외],상세표[사번키],INDEX(합계표[사번키],$X65),상세표[기록월],대상월키,상세표[반영월],"&lt;&gt;"&amp;대상월키))</f>
        <v/>
      </c>
      <c r="J65" s="20">
        <f>IF($X65="","",SUMIFS(상세표[기록 시간외],상세표[사번키],INDEX(합계표[사번키],$X65),상세표[기록월],"&lt;&gt;"&amp;대상월키,상세표[반영월],대상월키))</f>
        <v/>
      </c>
      <c r="K65" s="20">
        <f>IF($X65="","",SUMIFS(상세표[기록 시간외],상세표[사번키],INDEX(합계표[사번키],$X65),상세표[반영월],대상월키))</f>
        <v/>
      </c>
      <c r="L65">
        <f>IF($X65="","",IFERROR(INDEX(월별근무지표[적용 급여병원],MATCH(INDEX(합계표[사번키],$X65)&amp;"|"&amp;대상월키,월별근무지표[키],0))&amp;"",IF(COUNTIF(기관표[사번키],INDEX(합계표[사번키],$X65))+COUNTIF(월별근무지표[사번키],INDEX(합계표[사번키],$X65))&gt;0,IFERROR(INDEX(기관표[급여지급병원(기준월)],MATCH(INDEX(합계표[사번키],$X65)&amp;"|"&amp;대상월키,기관표[키],0))&amp;"","—"),"—")))</f>
        <v/>
      </c>
      <c r="M65">
        <f>IF($X65="","",IF(NOT(COUNTIF(기관표[사번키],INDEX(합계표[사번키],$X65))+COUNTIF(월별근무지표[사번키],INDEX(합계표[사번키],$X65))&gt;0),"기관명단에 없음(다른 병원으로 발송)",IF($L65="서울병원","해당",IF(N($R65)&gt;0,"해당(말일 근무)",IF($L65="—","대상월 기관명단 없음(추가 필요)","비해당")))))</f>
        <v/>
      </c>
      <c r="N65" s="20">
        <f>IF($X65="","",SUMIFS(상세표[06~07시],상세표[사번키],INDEX(합계표[사번키],$X65),상세표[반영월],대상월키,상세표[반영 기관],"서울병원"))</f>
        <v/>
      </c>
      <c r="O65" s="20">
        <f>IF($X65="","",SUMIFS(상세표[07~18시],상세표[사번키],INDEX(합계표[사번키],$X65),상세표[반영월],대상월키,상세표[반영 기관],"서울병원"))</f>
        <v/>
      </c>
      <c r="P65" s="20">
        <f>IF($X65="","",SUMIFS(상세표[18~22시],상세표[사번키],INDEX(합계표[사번키],$X65),상세표[반영월],대상월키,상세표[반영 기관],"서울병원"))</f>
        <v/>
      </c>
      <c r="Q65" s="20">
        <f>IF($X65="","",SUMIFS(상세표[22~06시],상세표[사번키],INDEX(합계표[사번키],$X65),상세표[반영월],대상월키,상세표[반영 기관],"서울병원"))</f>
        <v/>
      </c>
      <c r="R65" s="20">
        <f>IF($X65="","",SUM($N65:$Q65))</f>
        <v/>
      </c>
      <c r="S65">
        <f>IF($X65="","",COUNTIFS(상세표[사번키],INDEX(합계표[사번키],$X65),상세표[반영월],대상월키,상세표[야간당직],1,상세표[야간 구분],"평일"))</f>
        <v/>
      </c>
      <c r="T65">
        <f>IF($X65="","",COUNTIFS(상세표[사번키],INDEX(합계표[사번키],$X65),상세표[반영월],대상월키,상세표[야간당직],1,상세표[야간 구분],"휴일"))</f>
        <v/>
      </c>
      <c r="U65">
        <f>IF($X65="","",COUNTIFS(상세표[사번키],INDEX(합계표[사번키],$X65),상세표[반영월],대상월키,상세표[야간당직],1,상세표[야간 구분],"평일",상세표[반영 기관],"서울병원"))</f>
        <v/>
      </c>
      <c r="V65">
        <f>IF($X65="","",COUNTIFS(상세표[사번키],INDEX(합계표[사번키],$X65),상세표[반영월],대상월키,상세표[야간당직],1,상세표[야간 구분],"휴일",상세표[반영 기관],"서울병원"))</f>
        <v/>
      </c>
      <c r="W65">
        <f>IF($X65="","",IF(ISNUMBER(MATCH(INDEX(합계표[사번키],$X65)&amp;"|"&amp;대상월키,월별근무지표[키],0)),"직접 입력",IF($L65="—","—","기관명단")))</f>
        <v/>
      </c>
      <c r="X65" s="4">
        <f>IFERROR(MATCH(60,합계표[판정순번],0),"")</f>
        <v/>
      </c>
      <c r="Z65">
        <f>IF($AC65="","",INDEX(상세표[사번],$AC65)&amp;"")</f>
        <v/>
      </c>
      <c r="AA65">
        <f>IF($AC65="","",INDEX(상세표[성명],$AC65)&amp;"")</f>
        <v/>
      </c>
      <c r="AB65" s="20">
        <f>IF($AC65="","",SUMIFS(상세표[기록 시간외],상세표[사번키],INDEX(상세표[사번키],$AC65),상세표[반영월],대상월키))</f>
        <v/>
      </c>
      <c r="AC65" s="4">
        <f>IFERROR(MATCH(60,상세표[합계없음순번],0),"")</f>
        <v/>
      </c>
    </row>
    <row r="66">
      <c r="A66">
        <f>IF($X66="","",INDEX(합계표[사번],$X66)&amp;"")</f>
        <v/>
      </c>
      <c r="B66">
        <f>IF($X66="","",INDEX(합계표[성명],$X66)&amp;"")</f>
        <v/>
      </c>
      <c r="C66">
        <f>IF($X66="","",INDEX(합계표[부서],$X66)&amp;"")</f>
        <v/>
      </c>
      <c r="D66">
        <f>IF($X66="","",INDEX(합계표[직위(요약)],$X66)&amp;"")</f>
        <v/>
      </c>
      <c r="E66">
        <f>IF($X66="","",INDEX(합계표[직급 공존],$X66)&amp;"")</f>
        <v/>
      </c>
      <c r="F66" s="20">
        <f>IF($X66="","",SUMIFS(합계표[시스템 합계],합계표[사번키],INDEX(합계표[사번키],$X66)))</f>
        <v/>
      </c>
      <c r="G66" s="20">
        <f>IF($X66="","",SUMIFS(상세표[기록 시간외],상세표[사번키],INDEX(합계표[사번키],$X66),상세표[기록월],대상월키))</f>
        <v/>
      </c>
      <c r="H66">
        <f>IF($X66="","",IF(ABS($F66-$G66)&lt;0.01,"일치","불일치(차이 "&amp;TEXT($G66-$F66,"0.00")&amp;")"))</f>
        <v/>
      </c>
      <c r="I66" s="20">
        <f>IF($X66="","",SUMIFS(상세표[기록 시간외],상세표[사번키],INDEX(합계표[사번키],$X66),상세표[기록월],대상월키,상세표[반영월],"&lt;&gt;"&amp;대상월키))</f>
        <v/>
      </c>
      <c r="J66" s="20">
        <f>IF($X66="","",SUMIFS(상세표[기록 시간외],상세표[사번키],INDEX(합계표[사번키],$X66),상세표[기록월],"&lt;&gt;"&amp;대상월키,상세표[반영월],대상월키))</f>
        <v/>
      </c>
      <c r="K66" s="20">
        <f>IF($X66="","",SUMIFS(상세표[기록 시간외],상세표[사번키],INDEX(합계표[사번키],$X66),상세표[반영월],대상월키))</f>
        <v/>
      </c>
      <c r="L66">
        <f>IF($X66="","",IFERROR(INDEX(월별근무지표[적용 급여병원],MATCH(INDEX(합계표[사번키],$X66)&amp;"|"&amp;대상월키,월별근무지표[키],0))&amp;"",IF(COUNTIF(기관표[사번키],INDEX(합계표[사번키],$X66))+COUNTIF(월별근무지표[사번키],INDEX(합계표[사번키],$X66))&gt;0,IFERROR(INDEX(기관표[급여지급병원(기준월)],MATCH(INDEX(합계표[사번키],$X66)&amp;"|"&amp;대상월키,기관표[키],0))&amp;"","—"),"—")))</f>
        <v/>
      </c>
      <c r="M66">
        <f>IF($X66="","",IF(NOT(COUNTIF(기관표[사번키],INDEX(합계표[사번키],$X66))+COUNTIF(월별근무지표[사번키],INDEX(합계표[사번키],$X66))&gt;0),"기관명단에 없음(다른 병원으로 발송)",IF($L66="서울병원","해당",IF(N($R66)&gt;0,"해당(말일 근무)",IF($L66="—","대상월 기관명단 없음(추가 필요)","비해당")))))</f>
        <v/>
      </c>
      <c r="N66" s="20">
        <f>IF($X66="","",SUMIFS(상세표[06~07시],상세표[사번키],INDEX(합계표[사번키],$X66),상세표[반영월],대상월키,상세표[반영 기관],"서울병원"))</f>
        <v/>
      </c>
      <c r="O66" s="20">
        <f>IF($X66="","",SUMIFS(상세표[07~18시],상세표[사번키],INDEX(합계표[사번키],$X66),상세표[반영월],대상월키,상세표[반영 기관],"서울병원"))</f>
        <v/>
      </c>
      <c r="P66" s="20">
        <f>IF($X66="","",SUMIFS(상세표[18~22시],상세표[사번키],INDEX(합계표[사번키],$X66),상세표[반영월],대상월키,상세표[반영 기관],"서울병원"))</f>
        <v/>
      </c>
      <c r="Q66" s="20">
        <f>IF($X66="","",SUMIFS(상세표[22~06시],상세표[사번키],INDEX(합계표[사번키],$X66),상세표[반영월],대상월키,상세표[반영 기관],"서울병원"))</f>
        <v/>
      </c>
      <c r="R66" s="20">
        <f>IF($X66="","",SUM($N66:$Q66))</f>
        <v/>
      </c>
      <c r="S66">
        <f>IF($X66="","",COUNTIFS(상세표[사번키],INDEX(합계표[사번키],$X66),상세표[반영월],대상월키,상세표[야간당직],1,상세표[야간 구분],"평일"))</f>
        <v/>
      </c>
      <c r="T66">
        <f>IF($X66="","",COUNTIFS(상세표[사번키],INDEX(합계표[사번키],$X66),상세표[반영월],대상월키,상세표[야간당직],1,상세표[야간 구분],"휴일"))</f>
        <v/>
      </c>
      <c r="U66">
        <f>IF($X66="","",COUNTIFS(상세표[사번키],INDEX(합계표[사번키],$X66),상세표[반영월],대상월키,상세표[야간당직],1,상세표[야간 구분],"평일",상세표[반영 기관],"서울병원"))</f>
        <v/>
      </c>
      <c r="V66">
        <f>IF($X66="","",COUNTIFS(상세표[사번키],INDEX(합계표[사번키],$X66),상세표[반영월],대상월키,상세표[야간당직],1,상세표[야간 구분],"휴일",상세표[반영 기관],"서울병원"))</f>
        <v/>
      </c>
      <c r="W66">
        <f>IF($X66="","",IF(ISNUMBER(MATCH(INDEX(합계표[사번키],$X66)&amp;"|"&amp;대상월키,월별근무지표[키],0)),"직접 입력",IF($L66="—","—","기관명단")))</f>
        <v/>
      </c>
      <c r="X66" s="4">
        <f>IFERROR(MATCH(61,합계표[판정순번],0),"")</f>
        <v/>
      </c>
      <c r="Z66">
        <f>IF($AC66="","",INDEX(상세표[사번],$AC66)&amp;"")</f>
        <v/>
      </c>
      <c r="AA66">
        <f>IF($AC66="","",INDEX(상세표[성명],$AC66)&amp;"")</f>
        <v/>
      </c>
      <c r="AB66" s="20">
        <f>IF($AC66="","",SUMIFS(상세표[기록 시간외],상세표[사번키],INDEX(상세표[사번키],$AC66),상세표[반영월],대상월키))</f>
        <v/>
      </c>
      <c r="AC66" s="4">
        <f>IFERROR(MATCH(61,상세표[합계없음순번],0),"")</f>
        <v/>
      </c>
    </row>
    <row r="67">
      <c r="A67">
        <f>IF($X67="","",INDEX(합계표[사번],$X67)&amp;"")</f>
        <v/>
      </c>
      <c r="B67">
        <f>IF($X67="","",INDEX(합계표[성명],$X67)&amp;"")</f>
        <v/>
      </c>
      <c r="C67">
        <f>IF($X67="","",INDEX(합계표[부서],$X67)&amp;"")</f>
        <v/>
      </c>
      <c r="D67">
        <f>IF($X67="","",INDEX(합계표[직위(요약)],$X67)&amp;"")</f>
        <v/>
      </c>
      <c r="E67">
        <f>IF($X67="","",INDEX(합계표[직급 공존],$X67)&amp;"")</f>
        <v/>
      </c>
      <c r="F67" s="20">
        <f>IF($X67="","",SUMIFS(합계표[시스템 합계],합계표[사번키],INDEX(합계표[사번키],$X67)))</f>
        <v/>
      </c>
      <c r="G67" s="20">
        <f>IF($X67="","",SUMIFS(상세표[기록 시간외],상세표[사번키],INDEX(합계표[사번키],$X67),상세표[기록월],대상월키))</f>
        <v/>
      </c>
      <c r="H67">
        <f>IF($X67="","",IF(ABS($F67-$G67)&lt;0.01,"일치","불일치(차이 "&amp;TEXT($G67-$F67,"0.00")&amp;")"))</f>
        <v/>
      </c>
      <c r="I67" s="20">
        <f>IF($X67="","",SUMIFS(상세표[기록 시간외],상세표[사번키],INDEX(합계표[사번키],$X67),상세표[기록월],대상월키,상세표[반영월],"&lt;&gt;"&amp;대상월키))</f>
        <v/>
      </c>
      <c r="J67" s="20">
        <f>IF($X67="","",SUMIFS(상세표[기록 시간외],상세표[사번키],INDEX(합계표[사번키],$X67),상세표[기록월],"&lt;&gt;"&amp;대상월키,상세표[반영월],대상월키))</f>
        <v/>
      </c>
      <c r="K67" s="20">
        <f>IF($X67="","",SUMIFS(상세표[기록 시간외],상세표[사번키],INDEX(합계표[사번키],$X67),상세표[반영월],대상월키))</f>
        <v/>
      </c>
      <c r="L67">
        <f>IF($X67="","",IFERROR(INDEX(월별근무지표[적용 급여병원],MATCH(INDEX(합계표[사번키],$X67)&amp;"|"&amp;대상월키,월별근무지표[키],0))&amp;"",IF(COUNTIF(기관표[사번키],INDEX(합계표[사번키],$X67))+COUNTIF(월별근무지표[사번키],INDEX(합계표[사번키],$X67))&gt;0,IFERROR(INDEX(기관표[급여지급병원(기준월)],MATCH(INDEX(합계표[사번키],$X67)&amp;"|"&amp;대상월키,기관표[키],0))&amp;"","—"),"—")))</f>
        <v/>
      </c>
      <c r="M67">
        <f>IF($X67="","",IF(NOT(COUNTIF(기관표[사번키],INDEX(합계표[사번키],$X67))+COUNTIF(월별근무지표[사번키],INDEX(합계표[사번키],$X67))&gt;0),"기관명단에 없음(다른 병원으로 발송)",IF($L67="서울병원","해당",IF(N($R67)&gt;0,"해당(말일 근무)",IF($L67="—","대상월 기관명단 없음(추가 필요)","비해당")))))</f>
        <v/>
      </c>
      <c r="N67" s="20">
        <f>IF($X67="","",SUMIFS(상세표[06~07시],상세표[사번키],INDEX(합계표[사번키],$X67),상세표[반영월],대상월키,상세표[반영 기관],"서울병원"))</f>
        <v/>
      </c>
      <c r="O67" s="20">
        <f>IF($X67="","",SUMIFS(상세표[07~18시],상세표[사번키],INDEX(합계표[사번키],$X67),상세표[반영월],대상월키,상세표[반영 기관],"서울병원"))</f>
        <v/>
      </c>
      <c r="P67" s="20">
        <f>IF($X67="","",SUMIFS(상세표[18~22시],상세표[사번키],INDEX(합계표[사번키],$X67),상세표[반영월],대상월키,상세표[반영 기관],"서울병원"))</f>
        <v/>
      </c>
      <c r="Q67" s="20">
        <f>IF($X67="","",SUMIFS(상세표[22~06시],상세표[사번키],INDEX(합계표[사번키],$X67),상세표[반영월],대상월키,상세표[반영 기관],"서울병원"))</f>
        <v/>
      </c>
      <c r="R67" s="20">
        <f>IF($X67="","",SUM($N67:$Q67))</f>
        <v/>
      </c>
      <c r="S67">
        <f>IF($X67="","",COUNTIFS(상세표[사번키],INDEX(합계표[사번키],$X67),상세표[반영월],대상월키,상세표[야간당직],1,상세표[야간 구분],"평일"))</f>
        <v/>
      </c>
      <c r="T67">
        <f>IF($X67="","",COUNTIFS(상세표[사번키],INDEX(합계표[사번키],$X67),상세표[반영월],대상월키,상세표[야간당직],1,상세표[야간 구분],"휴일"))</f>
        <v/>
      </c>
      <c r="U67">
        <f>IF($X67="","",COUNTIFS(상세표[사번키],INDEX(합계표[사번키],$X67),상세표[반영월],대상월키,상세표[야간당직],1,상세표[야간 구분],"평일",상세표[반영 기관],"서울병원"))</f>
        <v/>
      </c>
      <c r="V67">
        <f>IF($X67="","",COUNTIFS(상세표[사번키],INDEX(합계표[사번키],$X67),상세표[반영월],대상월키,상세표[야간당직],1,상세표[야간 구분],"휴일",상세표[반영 기관],"서울병원"))</f>
        <v/>
      </c>
      <c r="W67">
        <f>IF($X67="","",IF(ISNUMBER(MATCH(INDEX(합계표[사번키],$X67)&amp;"|"&amp;대상월키,월별근무지표[키],0)),"직접 입력",IF($L67="—","—","기관명단")))</f>
        <v/>
      </c>
      <c r="X67" s="4">
        <f>IFERROR(MATCH(62,합계표[판정순번],0),"")</f>
        <v/>
      </c>
      <c r="Z67">
        <f>IF($AC67="","",INDEX(상세표[사번],$AC67)&amp;"")</f>
        <v/>
      </c>
      <c r="AA67">
        <f>IF($AC67="","",INDEX(상세표[성명],$AC67)&amp;"")</f>
        <v/>
      </c>
      <c r="AB67" s="20">
        <f>IF($AC67="","",SUMIFS(상세표[기록 시간외],상세표[사번키],INDEX(상세표[사번키],$AC67),상세표[반영월],대상월키))</f>
        <v/>
      </c>
      <c r="AC67" s="4">
        <f>IFERROR(MATCH(62,상세표[합계없음순번],0),"")</f>
        <v/>
      </c>
    </row>
    <row r="68">
      <c r="A68">
        <f>IF($X68="","",INDEX(합계표[사번],$X68)&amp;"")</f>
        <v/>
      </c>
      <c r="B68">
        <f>IF($X68="","",INDEX(합계표[성명],$X68)&amp;"")</f>
        <v/>
      </c>
      <c r="C68">
        <f>IF($X68="","",INDEX(합계표[부서],$X68)&amp;"")</f>
        <v/>
      </c>
      <c r="D68">
        <f>IF($X68="","",INDEX(합계표[직위(요약)],$X68)&amp;"")</f>
        <v/>
      </c>
      <c r="E68">
        <f>IF($X68="","",INDEX(합계표[직급 공존],$X68)&amp;"")</f>
        <v/>
      </c>
      <c r="F68" s="20">
        <f>IF($X68="","",SUMIFS(합계표[시스템 합계],합계표[사번키],INDEX(합계표[사번키],$X68)))</f>
        <v/>
      </c>
      <c r="G68" s="20">
        <f>IF($X68="","",SUMIFS(상세표[기록 시간외],상세표[사번키],INDEX(합계표[사번키],$X68),상세표[기록월],대상월키))</f>
        <v/>
      </c>
      <c r="H68">
        <f>IF($X68="","",IF(ABS($F68-$G68)&lt;0.01,"일치","불일치(차이 "&amp;TEXT($G68-$F68,"0.00")&amp;")"))</f>
        <v/>
      </c>
      <c r="I68" s="20">
        <f>IF($X68="","",SUMIFS(상세표[기록 시간외],상세표[사번키],INDEX(합계표[사번키],$X68),상세표[기록월],대상월키,상세표[반영월],"&lt;&gt;"&amp;대상월키))</f>
        <v/>
      </c>
      <c r="J68" s="20">
        <f>IF($X68="","",SUMIFS(상세표[기록 시간외],상세표[사번키],INDEX(합계표[사번키],$X68),상세표[기록월],"&lt;&gt;"&amp;대상월키,상세표[반영월],대상월키))</f>
        <v/>
      </c>
      <c r="K68" s="20">
        <f>IF($X68="","",SUMIFS(상세표[기록 시간외],상세표[사번키],INDEX(합계표[사번키],$X68),상세표[반영월],대상월키))</f>
        <v/>
      </c>
      <c r="L68">
        <f>IF($X68="","",IFERROR(INDEX(월별근무지표[적용 급여병원],MATCH(INDEX(합계표[사번키],$X68)&amp;"|"&amp;대상월키,월별근무지표[키],0))&amp;"",IF(COUNTIF(기관표[사번키],INDEX(합계표[사번키],$X68))+COUNTIF(월별근무지표[사번키],INDEX(합계표[사번키],$X68))&gt;0,IFERROR(INDEX(기관표[급여지급병원(기준월)],MATCH(INDEX(합계표[사번키],$X68)&amp;"|"&amp;대상월키,기관표[키],0))&amp;"","—"),"—")))</f>
        <v/>
      </c>
      <c r="M68">
        <f>IF($X68="","",IF(NOT(COUNTIF(기관표[사번키],INDEX(합계표[사번키],$X68))+COUNTIF(월별근무지표[사번키],INDEX(합계표[사번키],$X68))&gt;0),"기관명단에 없음(다른 병원으로 발송)",IF($L68="서울병원","해당",IF(N($R68)&gt;0,"해당(말일 근무)",IF($L68="—","대상월 기관명단 없음(추가 필요)","비해당")))))</f>
        <v/>
      </c>
      <c r="N68" s="20">
        <f>IF($X68="","",SUMIFS(상세표[06~07시],상세표[사번키],INDEX(합계표[사번키],$X68),상세표[반영월],대상월키,상세표[반영 기관],"서울병원"))</f>
        <v/>
      </c>
      <c r="O68" s="20">
        <f>IF($X68="","",SUMIFS(상세표[07~18시],상세표[사번키],INDEX(합계표[사번키],$X68),상세표[반영월],대상월키,상세표[반영 기관],"서울병원"))</f>
        <v/>
      </c>
      <c r="P68" s="20">
        <f>IF($X68="","",SUMIFS(상세표[18~22시],상세표[사번키],INDEX(합계표[사번키],$X68),상세표[반영월],대상월키,상세표[반영 기관],"서울병원"))</f>
        <v/>
      </c>
      <c r="Q68" s="20">
        <f>IF($X68="","",SUMIFS(상세표[22~06시],상세표[사번키],INDEX(합계표[사번키],$X68),상세표[반영월],대상월키,상세표[반영 기관],"서울병원"))</f>
        <v/>
      </c>
      <c r="R68" s="20">
        <f>IF($X68="","",SUM($N68:$Q68))</f>
        <v/>
      </c>
      <c r="S68">
        <f>IF($X68="","",COUNTIFS(상세표[사번키],INDEX(합계표[사번키],$X68),상세표[반영월],대상월키,상세표[야간당직],1,상세표[야간 구분],"평일"))</f>
        <v/>
      </c>
      <c r="T68">
        <f>IF($X68="","",COUNTIFS(상세표[사번키],INDEX(합계표[사번키],$X68),상세표[반영월],대상월키,상세표[야간당직],1,상세표[야간 구분],"휴일"))</f>
        <v/>
      </c>
      <c r="U68">
        <f>IF($X68="","",COUNTIFS(상세표[사번키],INDEX(합계표[사번키],$X68),상세표[반영월],대상월키,상세표[야간당직],1,상세표[야간 구분],"평일",상세표[반영 기관],"서울병원"))</f>
        <v/>
      </c>
      <c r="V68">
        <f>IF($X68="","",COUNTIFS(상세표[사번키],INDEX(합계표[사번키],$X68),상세표[반영월],대상월키,상세표[야간당직],1,상세표[야간 구분],"휴일",상세표[반영 기관],"서울병원"))</f>
        <v/>
      </c>
      <c r="W68">
        <f>IF($X68="","",IF(ISNUMBER(MATCH(INDEX(합계표[사번키],$X68)&amp;"|"&amp;대상월키,월별근무지표[키],0)),"직접 입력",IF($L68="—","—","기관명단")))</f>
        <v/>
      </c>
      <c r="X68" s="4">
        <f>IFERROR(MATCH(63,합계표[판정순번],0),"")</f>
        <v/>
      </c>
      <c r="Z68">
        <f>IF($AC68="","",INDEX(상세표[사번],$AC68)&amp;"")</f>
        <v/>
      </c>
      <c r="AA68">
        <f>IF($AC68="","",INDEX(상세표[성명],$AC68)&amp;"")</f>
        <v/>
      </c>
      <c r="AB68" s="20">
        <f>IF($AC68="","",SUMIFS(상세표[기록 시간외],상세표[사번키],INDEX(상세표[사번키],$AC68),상세표[반영월],대상월키))</f>
        <v/>
      </c>
      <c r="AC68" s="4">
        <f>IFERROR(MATCH(63,상세표[합계없음순번],0),"")</f>
        <v/>
      </c>
    </row>
    <row r="69">
      <c r="A69">
        <f>IF($X69="","",INDEX(합계표[사번],$X69)&amp;"")</f>
        <v/>
      </c>
      <c r="B69">
        <f>IF($X69="","",INDEX(합계표[성명],$X69)&amp;"")</f>
        <v/>
      </c>
      <c r="C69">
        <f>IF($X69="","",INDEX(합계표[부서],$X69)&amp;"")</f>
        <v/>
      </c>
      <c r="D69">
        <f>IF($X69="","",INDEX(합계표[직위(요약)],$X69)&amp;"")</f>
        <v/>
      </c>
      <c r="E69">
        <f>IF($X69="","",INDEX(합계표[직급 공존],$X69)&amp;"")</f>
        <v/>
      </c>
      <c r="F69" s="20">
        <f>IF($X69="","",SUMIFS(합계표[시스템 합계],합계표[사번키],INDEX(합계표[사번키],$X69)))</f>
        <v/>
      </c>
      <c r="G69" s="20">
        <f>IF($X69="","",SUMIFS(상세표[기록 시간외],상세표[사번키],INDEX(합계표[사번키],$X69),상세표[기록월],대상월키))</f>
        <v/>
      </c>
      <c r="H69">
        <f>IF($X69="","",IF(ABS($F69-$G69)&lt;0.01,"일치","불일치(차이 "&amp;TEXT($G69-$F69,"0.00")&amp;")"))</f>
        <v/>
      </c>
      <c r="I69" s="20">
        <f>IF($X69="","",SUMIFS(상세표[기록 시간외],상세표[사번키],INDEX(합계표[사번키],$X69),상세표[기록월],대상월키,상세표[반영월],"&lt;&gt;"&amp;대상월키))</f>
        <v/>
      </c>
      <c r="J69" s="20">
        <f>IF($X69="","",SUMIFS(상세표[기록 시간외],상세표[사번키],INDEX(합계표[사번키],$X69),상세표[기록월],"&lt;&gt;"&amp;대상월키,상세표[반영월],대상월키))</f>
        <v/>
      </c>
      <c r="K69" s="20">
        <f>IF($X69="","",SUMIFS(상세표[기록 시간외],상세표[사번키],INDEX(합계표[사번키],$X69),상세표[반영월],대상월키))</f>
        <v/>
      </c>
      <c r="L69">
        <f>IF($X69="","",IFERROR(INDEX(월별근무지표[적용 급여병원],MATCH(INDEX(합계표[사번키],$X69)&amp;"|"&amp;대상월키,월별근무지표[키],0))&amp;"",IF(COUNTIF(기관표[사번키],INDEX(합계표[사번키],$X69))+COUNTIF(월별근무지표[사번키],INDEX(합계표[사번키],$X69))&gt;0,IFERROR(INDEX(기관표[급여지급병원(기준월)],MATCH(INDEX(합계표[사번키],$X69)&amp;"|"&amp;대상월키,기관표[키],0))&amp;"","—"),"—")))</f>
        <v/>
      </c>
      <c r="M69">
        <f>IF($X69="","",IF(NOT(COUNTIF(기관표[사번키],INDEX(합계표[사번키],$X69))+COUNTIF(월별근무지표[사번키],INDEX(합계표[사번키],$X69))&gt;0),"기관명단에 없음(다른 병원으로 발송)",IF($L69="서울병원","해당",IF(N($R69)&gt;0,"해당(말일 근무)",IF($L69="—","대상월 기관명단 없음(추가 필요)","비해당")))))</f>
        <v/>
      </c>
      <c r="N69" s="20">
        <f>IF($X69="","",SUMIFS(상세표[06~07시],상세표[사번키],INDEX(합계표[사번키],$X69),상세표[반영월],대상월키,상세표[반영 기관],"서울병원"))</f>
        <v/>
      </c>
      <c r="O69" s="20">
        <f>IF($X69="","",SUMIFS(상세표[07~18시],상세표[사번키],INDEX(합계표[사번키],$X69),상세표[반영월],대상월키,상세표[반영 기관],"서울병원"))</f>
        <v/>
      </c>
      <c r="P69" s="20">
        <f>IF($X69="","",SUMIFS(상세표[18~22시],상세표[사번키],INDEX(합계표[사번키],$X69),상세표[반영월],대상월키,상세표[반영 기관],"서울병원"))</f>
        <v/>
      </c>
      <c r="Q69" s="20">
        <f>IF($X69="","",SUMIFS(상세표[22~06시],상세표[사번키],INDEX(합계표[사번키],$X69),상세표[반영월],대상월키,상세표[반영 기관],"서울병원"))</f>
        <v/>
      </c>
      <c r="R69" s="20">
        <f>IF($X69="","",SUM($N69:$Q69))</f>
        <v/>
      </c>
      <c r="S69">
        <f>IF($X69="","",COUNTIFS(상세표[사번키],INDEX(합계표[사번키],$X69),상세표[반영월],대상월키,상세표[야간당직],1,상세표[야간 구분],"평일"))</f>
        <v/>
      </c>
      <c r="T69">
        <f>IF($X69="","",COUNTIFS(상세표[사번키],INDEX(합계표[사번키],$X69),상세표[반영월],대상월키,상세표[야간당직],1,상세표[야간 구분],"휴일"))</f>
        <v/>
      </c>
      <c r="U69">
        <f>IF($X69="","",COUNTIFS(상세표[사번키],INDEX(합계표[사번키],$X69),상세표[반영월],대상월키,상세표[야간당직],1,상세표[야간 구분],"평일",상세표[반영 기관],"서울병원"))</f>
        <v/>
      </c>
      <c r="V69">
        <f>IF($X69="","",COUNTIFS(상세표[사번키],INDEX(합계표[사번키],$X69),상세표[반영월],대상월키,상세표[야간당직],1,상세표[야간 구분],"휴일",상세표[반영 기관],"서울병원"))</f>
        <v/>
      </c>
      <c r="W69">
        <f>IF($X69="","",IF(ISNUMBER(MATCH(INDEX(합계표[사번키],$X69)&amp;"|"&amp;대상월키,월별근무지표[키],0)),"직접 입력",IF($L69="—","—","기관명단")))</f>
        <v/>
      </c>
      <c r="X69" s="4">
        <f>IFERROR(MATCH(64,합계표[판정순번],0),"")</f>
        <v/>
      </c>
      <c r="Z69">
        <f>IF($AC69="","",INDEX(상세표[사번],$AC69)&amp;"")</f>
        <v/>
      </c>
      <c r="AA69">
        <f>IF($AC69="","",INDEX(상세표[성명],$AC69)&amp;"")</f>
        <v/>
      </c>
      <c r="AB69" s="20">
        <f>IF($AC69="","",SUMIFS(상세표[기록 시간외],상세표[사번키],INDEX(상세표[사번키],$AC69),상세표[반영월],대상월키))</f>
        <v/>
      </c>
      <c r="AC69" s="4">
        <f>IFERROR(MATCH(64,상세표[합계없음순번],0),"")</f>
        <v/>
      </c>
    </row>
    <row r="70">
      <c r="A70">
        <f>IF($X70="","",INDEX(합계표[사번],$X70)&amp;"")</f>
        <v/>
      </c>
      <c r="B70">
        <f>IF($X70="","",INDEX(합계표[성명],$X70)&amp;"")</f>
        <v/>
      </c>
      <c r="C70">
        <f>IF($X70="","",INDEX(합계표[부서],$X70)&amp;"")</f>
        <v/>
      </c>
      <c r="D70">
        <f>IF($X70="","",INDEX(합계표[직위(요약)],$X70)&amp;"")</f>
        <v/>
      </c>
      <c r="E70">
        <f>IF($X70="","",INDEX(합계표[직급 공존],$X70)&amp;"")</f>
        <v/>
      </c>
      <c r="F70" s="20">
        <f>IF($X70="","",SUMIFS(합계표[시스템 합계],합계표[사번키],INDEX(합계표[사번키],$X70)))</f>
        <v/>
      </c>
      <c r="G70" s="20">
        <f>IF($X70="","",SUMIFS(상세표[기록 시간외],상세표[사번키],INDEX(합계표[사번키],$X70),상세표[기록월],대상월키))</f>
        <v/>
      </c>
      <c r="H70">
        <f>IF($X70="","",IF(ABS($F70-$G70)&lt;0.01,"일치","불일치(차이 "&amp;TEXT($G70-$F70,"0.00")&amp;")"))</f>
        <v/>
      </c>
      <c r="I70" s="20">
        <f>IF($X70="","",SUMIFS(상세표[기록 시간외],상세표[사번키],INDEX(합계표[사번키],$X70),상세표[기록월],대상월키,상세표[반영월],"&lt;&gt;"&amp;대상월키))</f>
        <v/>
      </c>
      <c r="J70" s="20">
        <f>IF($X70="","",SUMIFS(상세표[기록 시간외],상세표[사번키],INDEX(합계표[사번키],$X70),상세표[기록월],"&lt;&gt;"&amp;대상월키,상세표[반영월],대상월키))</f>
        <v/>
      </c>
      <c r="K70" s="20">
        <f>IF($X70="","",SUMIFS(상세표[기록 시간외],상세표[사번키],INDEX(합계표[사번키],$X70),상세표[반영월],대상월키))</f>
        <v/>
      </c>
      <c r="L70">
        <f>IF($X70="","",IFERROR(INDEX(월별근무지표[적용 급여병원],MATCH(INDEX(합계표[사번키],$X70)&amp;"|"&amp;대상월키,월별근무지표[키],0))&amp;"",IF(COUNTIF(기관표[사번키],INDEX(합계표[사번키],$X70))+COUNTIF(월별근무지표[사번키],INDEX(합계표[사번키],$X70))&gt;0,IFERROR(INDEX(기관표[급여지급병원(기준월)],MATCH(INDEX(합계표[사번키],$X70)&amp;"|"&amp;대상월키,기관표[키],0))&amp;"","—"),"—")))</f>
        <v/>
      </c>
      <c r="M70">
        <f>IF($X70="","",IF(NOT(COUNTIF(기관표[사번키],INDEX(합계표[사번키],$X70))+COUNTIF(월별근무지표[사번키],INDEX(합계표[사번키],$X70))&gt;0),"기관명단에 없음(다른 병원으로 발송)",IF($L70="서울병원","해당",IF(N($R70)&gt;0,"해당(말일 근무)",IF($L70="—","대상월 기관명단 없음(추가 필요)","비해당")))))</f>
        <v/>
      </c>
      <c r="N70" s="20">
        <f>IF($X70="","",SUMIFS(상세표[06~07시],상세표[사번키],INDEX(합계표[사번키],$X70),상세표[반영월],대상월키,상세표[반영 기관],"서울병원"))</f>
        <v/>
      </c>
      <c r="O70" s="20">
        <f>IF($X70="","",SUMIFS(상세표[07~18시],상세표[사번키],INDEX(합계표[사번키],$X70),상세표[반영월],대상월키,상세표[반영 기관],"서울병원"))</f>
        <v/>
      </c>
      <c r="P70" s="20">
        <f>IF($X70="","",SUMIFS(상세표[18~22시],상세표[사번키],INDEX(합계표[사번키],$X70),상세표[반영월],대상월키,상세표[반영 기관],"서울병원"))</f>
        <v/>
      </c>
      <c r="Q70" s="20">
        <f>IF($X70="","",SUMIFS(상세표[22~06시],상세표[사번키],INDEX(합계표[사번키],$X70),상세표[반영월],대상월키,상세표[반영 기관],"서울병원"))</f>
        <v/>
      </c>
      <c r="R70" s="20">
        <f>IF($X70="","",SUM($N70:$Q70))</f>
        <v/>
      </c>
      <c r="S70">
        <f>IF($X70="","",COUNTIFS(상세표[사번키],INDEX(합계표[사번키],$X70),상세표[반영월],대상월키,상세표[야간당직],1,상세표[야간 구분],"평일"))</f>
        <v/>
      </c>
      <c r="T70">
        <f>IF($X70="","",COUNTIFS(상세표[사번키],INDEX(합계표[사번키],$X70),상세표[반영월],대상월키,상세표[야간당직],1,상세표[야간 구분],"휴일"))</f>
        <v/>
      </c>
      <c r="U70">
        <f>IF($X70="","",COUNTIFS(상세표[사번키],INDEX(합계표[사번키],$X70),상세표[반영월],대상월키,상세표[야간당직],1,상세표[야간 구분],"평일",상세표[반영 기관],"서울병원"))</f>
        <v/>
      </c>
      <c r="V70">
        <f>IF($X70="","",COUNTIFS(상세표[사번키],INDEX(합계표[사번키],$X70),상세표[반영월],대상월키,상세표[야간당직],1,상세표[야간 구분],"휴일",상세표[반영 기관],"서울병원"))</f>
        <v/>
      </c>
      <c r="W70">
        <f>IF($X70="","",IF(ISNUMBER(MATCH(INDEX(합계표[사번키],$X70)&amp;"|"&amp;대상월키,월별근무지표[키],0)),"직접 입력",IF($L70="—","—","기관명단")))</f>
        <v/>
      </c>
      <c r="X70" s="4">
        <f>IFERROR(MATCH(65,합계표[판정순번],0),"")</f>
        <v/>
      </c>
      <c r="Z70">
        <f>IF($AC70="","",INDEX(상세표[사번],$AC70)&amp;"")</f>
        <v/>
      </c>
      <c r="AA70">
        <f>IF($AC70="","",INDEX(상세표[성명],$AC70)&amp;"")</f>
        <v/>
      </c>
      <c r="AB70" s="20">
        <f>IF($AC70="","",SUMIFS(상세표[기록 시간외],상세표[사번키],INDEX(상세표[사번키],$AC70),상세표[반영월],대상월키))</f>
        <v/>
      </c>
      <c r="AC70" s="4">
        <f>IFERROR(MATCH(65,상세표[합계없음순번],0),"")</f>
        <v/>
      </c>
    </row>
    <row r="71">
      <c r="A71">
        <f>IF($X71="","",INDEX(합계표[사번],$X71)&amp;"")</f>
        <v/>
      </c>
      <c r="B71">
        <f>IF($X71="","",INDEX(합계표[성명],$X71)&amp;"")</f>
        <v/>
      </c>
      <c r="C71">
        <f>IF($X71="","",INDEX(합계표[부서],$X71)&amp;"")</f>
        <v/>
      </c>
      <c r="D71">
        <f>IF($X71="","",INDEX(합계표[직위(요약)],$X71)&amp;"")</f>
        <v/>
      </c>
      <c r="E71">
        <f>IF($X71="","",INDEX(합계표[직급 공존],$X71)&amp;"")</f>
        <v/>
      </c>
      <c r="F71" s="20">
        <f>IF($X71="","",SUMIFS(합계표[시스템 합계],합계표[사번키],INDEX(합계표[사번키],$X71)))</f>
        <v/>
      </c>
      <c r="G71" s="20">
        <f>IF($X71="","",SUMIFS(상세표[기록 시간외],상세표[사번키],INDEX(합계표[사번키],$X71),상세표[기록월],대상월키))</f>
        <v/>
      </c>
      <c r="H71">
        <f>IF($X71="","",IF(ABS($F71-$G71)&lt;0.01,"일치","불일치(차이 "&amp;TEXT($G71-$F71,"0.00")&amp;")"))</f>
        <v/>
      </c>
      <c r="I71" s="20">
        <f>IF($X71="","",SUMIFS(상세표[기록 시간외],상세표[사번키],INDEX(합계표[사번키],$X71),상세표[기록월],대상월키,상세표[반영월],"&lt;&gt;"&amp;대상월키))</f>
        <v/>
      </c>
      <c r="J71" s="20">
        <f>IF($X71="","",SUMIFS(상세표[기록 시간외],상세표[사번키],INDEX(합계표[사번키],$X71),상세표[기록월],"&lt;&gt;"&amp;대상월키,상세표[반영월],대상월키))</f>
        <v/>
      </c>
      <c r="K71" s="20">
        <f>IF($X71="","",SUMIFS(상세표[기록 시간외],상세표[사번키],INDEX(합계표[사번키],$X71),상세표[반영월],대상월키))</f>
        <v/>
      </c>
      <c r="L71">
        <f>IF($X71="","",IFERROR(INDEX(월별근무지표[적용 급여병원],MATCH(INDEX(합계표[사번키],$X71)&amp;"|"&amp;대상월키,월별근무지표[키],0))&amp;"",IF(COUNTIF(기관표[사번키],INDEX(합계표[사번키],$X71))+COUNTIF(월별근무지표[사번키],INDEX(합계표[사번키],$X71))&gt;0,IFERROR(INDEX(기관표[급여지급병원(기준월)],MATCH(INDEX(합계표[사번키],$X71)&amp;"|"&amp;대상월키,기관표[키],0))&amp;"","—"),"—")))</f>
        <v/>
      </c>
      <c r="M71">
        <f>IF($X71="","",IF(NOT(COUNTIF(기관표[사번키],INDEX(합계표[사번키],$X71))+COUNTIF(월별근무지표[사번키],INDEX(합계표[사번키],$X71))&gt;0),"기관명단에 없음(다른 병원으로 발송)",IF($L71="서울병원","해당",IF(N($R71)&gt;0,"해당(말일 근무)",IF($L71="—","대상월 기관명단 없음(추가 필요)","비해당")))))</f>
        <v/>
      </c>
      <c r="N71" s="20">
        <f>IF($X71="","",SUMIFS(상세표[06~07시],상세표[사번키],INDEX(합계표[사번키],$X71),상세표[반영월],대상월키,상세표[반영 기관],"서울병원"))</f>
        <v/>
      </c>
      <c r="O71" s="20">
        <f>IF($X71="","",SUMIFS(상세표[07~18시],상세표[사번키],INDEX(합계표[사번키],$X71),상세표[반영월],대상월키,상세표[반영 기관],"서울병원"))</f>
        <v/>
      </c>
      <c r="P71" s="20">
        <f>IF($X71="","",SUMIFS(상세표[18~22시],상세표[사번키],INDEX(합계표[사번키],$X71),상세표[반영월],대상월키,상세표[반영 기관],"서울병원"))</f>
        <v/>
      </c>
      <c r="Q71" s="20">
        <f>IF($X71="","",SUMIFS(상세표[22~06시],상세표[사번키],INDEX(합계표[사번키],$X71),상세표[반영월],대상월키,상세표[반영 기관],"서울병원"))</f>
        <v/>
      </c>
      <c r="R71" s="20">
        <f>IF($X71="","",SUM($N71:$Q71))</f>
        <v/>
      </c>
      <c r="S71">
        <f>IF($X71="","",COUNTIFS(상세표[사번키],INDEX(합계표[사번키],$X71),상세표[반영월],대상월키,상세표[야간당직],1,상세표[야간 구분],"평일"))</f>
        <v/>
      </c>
      <c r="T71">
        <f>IF($X71="","",COUNTIFS(상세표[사번키],INDEX(합계표[사번키],$X71),상세표[반영월],대상월키,상세표[야간당직],1,상세표[야간 구분],"휴일"))</f>
        <v/>
      </c>
      <c r="U71">
        <f>IF($X71="","",COUNTIFS(상세표[사번키],INDEX(합계표[사번키],$X71),상세표[반영월],대상월키,상세표[야간당직],1,상세표[야간 구분],"평일",상세표[반영 기관],"서울병원"))</f>
        <v/>
      </c>
      <c r="V71">
        <f>IF($X71="","",COUNTIFS(상세표[사번키],INDEX(합계표[사번키],$X71),상세표[반영월],대상월키,상세표[야간당직],1,상세표[야간 구분],"휴일",상세표[반영 기관],"서울병원"))</f>
        <v/>
      </c>
      <c r="W71">
        <f>IF($X71="","",IF(ISNUMBER(MATCH(INDEX(합계표[사번키],$X71)&amp;"|"&amp;대상월키,월별근무지표[키],0)),"직접 입력",IF($L71="—","—","기관명단")))</f>
        <v/>
      </c>
      <c r="X71" s="4">
        <f>IFERROR(MATCH(66,합계표[판정순번],0),"")</f>
        <v/>
      </c>
      <c r="Z71">
        <f>IF($AC71="","",INDEX(상세표[사번],$AC71)&amp;"")</f>
        <v/>
      </c>
      <c r="AA71">
        <f>IF($AC71="","",INDEX(상세표[성명],$AC71)&amp;"")</f>
        <v/>
      </c>
      <c r="AB71" s="20">
        <f>IF($AC71="","",SUMIFS(상세표[기록 시간외],상세표[사번키],INDEX(상세표[사번키],$AC71),상세표[반영월],대상월키))</f>
        <v/>
      </c>
      <c r="AC71" s="4">
        <f>IFERROR(MATCH(66,상세표[합계없음순번],0),"")</f>
        <v/>
      </c>
    </row>
    <row r="72">
      <c r="A72">
        <f>IF($X72="","",INDEX(합계표[사번],$X72)&amp;"")</f>
        <v/>
      </c>
      <c r="B72">
        <f>IF($X72="","",INDEX(합계표[성명],$X72)&amp;"")</f>
        <v/>
      </c>
      <c r="C72">
        <f>IF($X72="","",INDEX(합계표[부서],$X72)&amp;"")</f>
        <v/>
      </c>
      <c r="D72">
        <f>IF($X72="","",INDEX(합계표[직위(요약)],$X72)&amp;"")</f>
        <v/>
      </c>
      <c r="E72">
        <f>IF($X72="","",INDEX(합계표[직급 공존],$X72)&amp;"")</f>
        <v/>
      </c>
      <c r="F72" s="20">
        <f>IF($X72="","",SUMIFS(합계표[시스템 합계],합계표[사번키],INDEX(합계표[사번키],$X72)))</f>
        <v/>
      </c>
      <c r="G72" s="20">
        <f>IF($X72="","",SUMIFS(상세표[기록 시간외],상세표[사번키],INDEX(합계표[사번키],$X72),상세표[기록월],대상월키))</f>
        <v/>
      </c>
      <c r="H72">
        <f>IF($X72="","",IF(ABS($F72-$G72)&lt;0.01,"일치","불일치(차이 "&amp;TEXT($G72-$F72,"0.00")&amp;")"))</f>
        <v/>
      </c>
      <c r="I72" s="20">
        <f>IF($X72="","",SUMIFS(상세표[기록 시간외],상세표[사번키],INDEX(합계표[사번키],$X72),상세표[기록월],대상월키,상세표[반영월],"&lt;&gt;"&amp;대상월키))</f>
        <v/>
      </c>
      <c r="J72" s="20">
        <f>IF($X72="","",SUMIFS(상세표[기록 시간외],상세표[사번키],INDEX(합계표[사번키],$X72),상세표[기록월],"&lt;&gt;"&amp;대상월키,상세표[반영월],대상월키))</f>
        <v/>
      </c>
      <c r="K72" s="20">
        <f>IF($X72="","",SUMIFS(상세표[기록 시간외],상세표[사번키],INDEX(합계표[사번키],$X72),상세표[반영월],대상월키))</f>
        <v/>
      </c>
      <c r="L72">
        <f>IF($X72="","",IFERROR(INDEX(월별근무지표[적용 급여병원],MATCH(INDEX(합계표[사번키],$X72)&amp;"|"&amp;대상월키,월별근무지표[키],0))&amp;"",IF(COUNTIF(기관표[사번키],INDEX(합계표[사번키],$X72))+COUNTIF(월별근무지표[사번키],INDEX(합계표[사번키],$X72))&gt;0,IFERROR(INDEX(기관표[급여지급병원(기준월)],MATCH(INDEX(합계표[사번키],$X72)&amp;"|"&amp;대상월키,기관표[키],0))&amp;"","—"),"—")))</f>
        <v/>
      </c>
      <c r="M72">
        <f>IF($X72="","",IF(NOT(COUNTIF(기관표[사번키],INDEX(합계표[사번키],$X72))+COUNTIF(월별근무지표[사번키],INDEX(합계표[사번키],$X72))&gt;0),"기관명단에 없음(다른 병원으로 발송)",IF($L72="서울병원","해당",IF(N($R72)&gt;0,"해당(말일 근무)",IF($L72="—","대상월 기관명단 없음(추가 필요)","비해당")))))</f>
        <v/>
      </c>
      <c r="N72" s="20">
        <f>IF($X72="","",SUMIFS(상세표[06~07시],상세표[사번키],INDEX(합계표[사번키],$X72),상세표[반영월],대상월키,상세표[반영 기관],"서울병원"))</f>
        <v/>
      </c>
      <c r="O72" s="20">
        <f>IF($X72="","",SUMIFS(상세표[07~18시],상세표[사번키],INDEX(합계표[사번키],$X72),상세표[반영월],대상월키,상세표[반영 기관],"서울병원"))</f>
        <v/>
      </c>
      <c r="P72" s="20">
        <f>IF($X72="","",SUMIFS(상세표[18~22시],상세표[사번키],INDEX(합계표[사번키],$X72),상세표[반영월],대상월키,상세표[반영 기관],"서울병원"))</f>
        <v/>
      </c>
      <c r="Q72" s="20">
        <f>IF($X72="","",SUMIFS(상세표[22~06시],상세표[사번키],INDEX(합계표[사번키],$X72),상세표[반영월],대상월키,상세표[반영 기관],"서울병원"))</f>
        <v/>
      </c>
      <c r="R72" s="20">
        <f>IF($X72="","",SUM($N72:$Q72))</f>
        <v/>
      </c>
      <c r="S72">
        <f>IF($X72="","",COUNTIFS(상세표[사번키],INDEX(합계표[사번키],$X72),상세표[반영월],대상월키,상세표[야간당직],1,상세표[야간 구분],"평일"))</f>
        <v/>
      </c>
      <c r="T72">
        <f>IF($X72="","",COUNTIFS(상세표[사번키],INDEX(합계표[사번키],$X72),상세표[반영월],대상월키,상세표[야간당직],1,상세표[야간 구분],"휴일"))</f>
        <v/>
      </c>
      <c r="U72">
        <f>IF($X72="","",COUNTIFS(상세표[사번키],INDEX(합계표[사번키],$X72),상세표[반영월],대상월키,상세표[야간당직],1,상세표[야간 구분],"평일",상세표[반영 기관],"서울병원"))</f>
        <v/>
      </c>
      <c r="V72">
        <f>IF($X72="","",COUNTIFS(상세표[사번키],INDEX(합계표[사번키],$X72),상세표[반영월],대상월키,상세표[야간당직],1,상세표[야간 구분],"휴일",상세표[반영 기관],"서울병원"))</f>
        <v/>
      </c>
      <c r="W72">
        <f>IF($X72="","",IF(ISNUMBER(MATCH(INDEX(합계표[사번키],$X72)&amp;"|"&amp;대상월키,월별근무지표[키],0)),"직접 입력",IF($L72="—","—","기관명단")))</f>
        <v/>
      </c>
      <c r="X72" s="4">
        <f>IFERROR(MATCH(67,합계표[판정순번],0),"")</f>
        <v/>
      </c>
      <c r="Z72">
        <f>IF($AC72="","",INDEX(상세표[사번],$AC72)&amp;"")</f>
        <v/>
      </c>
      <c r="AA72">
        <f>IF($AC72="","",INDEX(상세표[성명],$AC72)&amp;"")</f>
        <v/>
      </c>
      <c r="AB72" s="20">
        <f>IF($AC72="","",SUMIFS(상세표[기록 시간외],상세표[사번키],INDEX(상세표[사번키],$AC72),상세표[반영월],대상월키))</f>
        <v/>
      </c>
      <c r="AC72" s="4">
        <f>IFERROR(MATCH(67,상세표[합계없음순번],0),"")</f>
        <v/>
      </c>
    </row>
    <row r="73">
      <c r="A73">
        <f>IF($X73="","",INDEX(합계표[사번],$X73)&amp;"")</f>
        <v/>
      </c>
      <c r="B73">
        <f>IF($X73="","",INDEX(합계표[성명],$X73)&amp;"")</f>
        <v/>
      </c>
      <c r="C73">
        <f>IF($X73="","",INDEX(합계표[부서],$X73)&amp;"")</f>
        <v/>
      </c>
      <c r="D73">
        <f>IF($X73="","",INDEX(합계표[직위(요약)],$X73)&amp;"")</f>
        <v/>
      </c>
      <c r="E73">
        <f>IF($X73="","",INDEX(합계표[직급 공존],$X73)&amp;"")</f>
        <v/>
      </c>
      <c r="F73" s="20">
        <f>IF($X73="","",SUMIFS(합계표[시스템 합계],합계표[사번키],INDEX(합계표[사번키],$X73)))</f>
        <v/>
      </c>
      <c r="G73" s="20">
        <f>IF($X73="","",SUMIFS(상세표[기록 시간외],상세표[사번키],INDEX(합계표[사번키],$X73),상세표[기록월],대상월키))</f>
        <v/>
      </c>
      <c r="H73">
        <f>IF($X73="","",IF(ABS($F73-$G73)&lt;0.01,"일치","불일치(차이 "&amp;TEXT($G73-$F73,"0.00")&amp;")"))</f>
        <v/>
      </c>
      <c r="I73" s="20">
        <f>IF($X73="","",SUMIFS(상세표[기록 시간외],상세표[사번키],INDEX(합계표[사번키],$X73),상세표[기록월],대상월키,상세표[반영월],"&lt;&gt;"&amp;대상월키))</f>
        <v/>
      </c>
      <c r="J73" s="20">
        <f>IF($X73="","",SUMIFS(상세표[기록 시간외],상세표[사번키],INDEX(합계표[사번키],$X73),상세표[기록월],"&lt;&gt;"&amp;대상월키,상세표[반영월],대상월키))</f>
        <v/>
      </c>
      <c r="K73" s="20">
        <f>IF($X73="","",SUMIFS(상세표[기록 시간외],상세표[사번키],INDEX(합계표[사번키],$X73),상세표[반영월],대상월키))</f>
        <v/>
      </c>
      <c r="L73">
        <f>IF($X73="","",IFERROR(INDEX(월별근무지표[적용 급여병원],MATCH(INDEX(합계표[사번키],$X73)&amp;"|"&amp;대상월키,월별근무지표[키],0))&amp;"",IF(COUNTIF(기관표[사번키],INDEX(합계표[사번키],$X73))+COUNTIF(월별근무지표[사번키],INDEX(합계표[사번키],$X73))&gt;0,IFERROR(INDEX(기관표[급여지급병원(기준월)],MATCH(INDEX(합계표[사번키],$X73)&amp;"|"&amp;대상월키,기관표[키],0))&amp;"","—"),"—")))</f>
        <v/>
      </c>
      <c r="M73">
        <f>IF($X73="","",IF(NOT(COUNTIF(기관표[사번키],INDEX(합계표[사번키],$X73))+COUNTIF(월별근무지표[사번키],INDEX(합계표[사번키],$X73))&gt;0),"기관명단에 없음(다른 병원으로 발송)",IF($L73="서울병원","해당",IF(N($R73)&gt;0,"해당(말일 근무)",IF($L73="—","대상월 기관명단 없음(추가 필요)","비해당")))))</f>
        <v/>
      </c>
      <c r="N73" s="20">
        <f>IF($X73="","",SUMIFS(상세표[06~07시],상세표[사번키],INDEX(합계표[사번키],$X73),상세표[반영월],대상월키,상세표[반영 기관],"서울병원"))</f>
        <v/>
      </c>
      <c r="O73" s="20">
        <f>IF($X73="","",SUMIFS(상세표[07~18시],상세표[사번키],INDEX(합계표[사번키],$X73),상세표[반영월],대상월키,상세표[반영 기관],"서울병원"))</f>
        <v/>
      </c>
      <c r="P73" s="20">
        <f>IF($X73="","",SUMIFS(상세표[18~22시],상세표[사번키],INDEX(합계표[사번키],$X73),상세표[반영월],대상월키,상세표[반영 기관],"서울병원"))</f>
        <v/>
      </c>
      <c r="Q73" s="20">
        <f>IF($X73="","",SUMIFS(상세표[22~06시],상세표[사번키],INDEX(합계표[사번키],$X73),상세표[반영월],대상월키,상세표[반영 기관],"서울병원"))</f>
        <v/>
      </c>
      <c r="R73" s="20">
        <f>IF($X73="","",SUM($N73:$Q73))</f>
        <v/>
      </c>
      <c r="S73">
        <f>IF($X73="","",COUNTIFS(상세표[사번키],INDEX(합계표[사번키],$X73),상세표[반영월],대상월키,상세표[야간당직],1,상세표[야간 구분],"평일"))</f>
        <v/>
      </c>
      <c r="T73">
        <f>IF($X73="","",COUNTIFS(상세표[사번키],INDEX(합계표[사번키],$X73),상세표[반영월],대상월키,상세표[야간당직],1,상세표[야간 구분],"휴일"))</f>
        <v/>
      </c>
      <c r="U73">
        <f>IF($X73="","",COUNTIFS(상세표[사번키],INDEX(합계표[사번키],$X73),상세표[반영월],대상월키,상세표[야간당직],1,상세표[야간 구분],"평일",상세표[반영 기관],"서울병원"))</f>
        <v/>
      </c>
      <c r="V73">
        <f>IF($X73="","",COUNTIFS(상세표[사번키],INDEX(합계표[사번키],$X73),상세표[반영월],대상월키,상세표[야간당직],1,상세표[야간 구분],"휴일",상세표[반영 기관],"서울병원"))</f>
        <v/>
      </c>
      <c r="W73">
        <f>IF($X73="","",IF(ISNUMBER(MATCH(INDEX(합계표[사번키],$X73)&amp;"|"&amp;대상월키,월별근무지표[키],0)),"직접 입력",IF($L73="—","—","기관명단")))</f>
        <v/>
      </c>
      <c r="X73" s="4">
        <f>IFERROR(MATCH(68,합계표[판정순번],0),"")</f>
        <v/>
      </c>
      <c r="Z73">
        <f>IF($AC73="","",INDEX(상세표[사번],$AC73)&amp;"")</f>
        <v/>
      </c>
      <c r="AA73">
        <f>IF($AC73="","",INDEX(상세표[성명],$AC73)&amp;"")</f>
        <v/>
      </c>
      <c r="AB73" s="20">
        <f>IF($AC73="","",SUMIFS(상세표[기록 시간외],상세표[사번키],INDEX(상세표[사번키],$AC73),상세표[반영월],대상월키))</f>
        <v/>
      </c>
      <c r="AC73" s="4">
        <f>IFERROR(MATCH(68,상세표[합계없음순번],0),"")</f>
        <v/>
      </c>
    </row>
    <row r="74">
      <c r="A74">
        <f>IF($X74="","",INDEX(합계표[사번],$X74)&amp;"")</f>
        <v/>
      </c>
      <c r="B74">
        <f>IF($X74="","",INDEX(합계표[성명],$X74)&amp;"")</f>
        <v/>
      </c>
      <c r="C74">
        <f>IF($X74="","",INDEX(합계표[부서],$X74)&amp;"")</f>
        <v/>
      </c>
      <c r="D74">
        <f>IF($X74="","",INDEX(합계표[직위(요약)],$X74)&amp;"")</f>
        <v/>
      </c>
      <c r="E74">
        <f>IF($X74="","",INDEX(합계표[직급 공존],$X74)&amp;"")</f>
        <v/>
      </c>
      <c r="F74" s="20">
        <f>IF($X74="","",SUMIFS(합계표[시스템 합계],합계표[사번키],INDEX(합계표[사번키],$X74)))</f>
        <v/>
      </c>
      <c r="G74" s="20">
        <f>IF($X74="","",SUMIFS(상세표[기록 시간외],상세표[사번키],INDEX(합계표[사번키],$X74),상세표[기록월],대상월키))</f>
        <v/>
      </c>
      <c r="H74">
        <f>IF($X74="","",IF(ABS($F74-$G74)&lt;0.01,"일치","불일치(차이 "&amp;TEXT($G74-$F74,"0.00")&amp;")"))</f>
        <v/>
      </c>
      <c r="I74" s="20">
        <f>IF($X74="","",SUMIFS(상세표[기록 시간외],상세표[사번키],INDEX(합계표[사번키],$X74),상세표[기록월],대상월키,상세표[반영월],"&lt;&gt;"&amp;대상월키))</f>
        <v/>
      </c>
      <c r="J74" s="20">
        <f>IF($X74="","",SUMIFS(상세표[기록 시간외],상세표[사번키],INDEX(합계표[사번키],$X74),상세표[기록월],"&lt;&gt;"&amp;대상월키,상세표[반영월],대상월키))</f>
        <v/>
      </c>
      <c r="K74" s="20">
        <f>IF($X74="","",SUMIFS(상세표[기록 시간외],상세표[사번키],INDEX(합계표[사번키],$X74),상세표[반영월],대상월키))</f>
        <v/>
      </c>
      <c r="L74">
        <f>IF($X74="","",IFERROR(INDEX(월별근무지표[적용 급여병원],MATCH(INDEX(합계표[사번키],$X74)&amp;"|"&amp;대상월키,월별근무지표[키],0))&amp;"",IF(COUNTIF(기관표[사번키],INDEX(합계표[사번키],$X74))+COUNTIF(월별근무지표[사번키],INDEX(합계표[사번키],$X74))&gt;0,IFERROR(INDEX(기관표[급여지급병원(기준월)],MATCH(INDEX(합계표[사번키],$X74)&amp;"|"&amp;대상월키,기관표[키],0))&amp;"","—"),"—")))</f>
        <v/>
      </c>
      <c r="M74">
        <f>IF($X74="","",IF(NOT(COUNTIF(기관표[사번키],INDEX(합계표[사번키],$X74))+COUNTIF(월별근무지표[사번키],INDEX(합계표[사번키],$X74))&gt;0),"기관명단에 없음(다른 병원으로 발송)",IF($L74="서울병원","해당",IF(N($R74)&gt;0,"해당(말일 근무)",IF($L74="—","대상월 기관명단 없음(추가 필요)","비해당")))))</f>
        <v/>
      </c>
      <c r="N74" s="20">
        <f>IF($X74="","",SUMIFS(상세표[06~07시],상세표[사번키],INDEX(합계표[사번키],$X74),상세표[반영월],대상월키,상세표[반영 기관],"서울병원"))</f>
        <v/>
      </c>
      <c r="O74" s="20">
        <f>IF($X74="","",SUMIFS(상세표[07~18시],상세표[사번키],INDEX(합계표[사번키],$X74),상세표[반영월],대상월키,상세표[반영 기관],"서울병원"))</f>
        <v/>
      </c>
      <c r="P74" s="20">
        <f>IF($X74="","",SUMIFS(상세표[18~22시],상세표[사번키],INDEX(합계표[사번키],$X74),상세표[반영월],대상월키,상세표[반영 기관],"서울병원"))</f>
        <v/>
      </c>
      <c r="Q74" s="20">
        <f>IF($X74="","",SUMIFS(상세표[22~06시],상세표[사번키],INDEX(합계표[사번키],$X74),상세표[반영월],대상월키,상세표[반영 기관],"서울병원"))</f>
        <v/>
      </c>
      <c r="R74" s="20">
        <f>IF($X74="","",SUM($N74:$Q74))</f>
        <v/>
      </c>
      <c r="S74">
        <f>IF($X74="","",COUNTIFS(상세표[사번키],INDEX(합계표[사번키],$X74),상세표[반영월],대상월키,상세표[야간당직],1,상세표[야간 구분],"평일"))</f>
        <v/>
      </c>
      <c r="T74">
        <f>IF($X74="","",COUNTIFS(상세표[사번키],INDEX(합계표[사번키],$X74),상세표[반영월],대상월키,상세표[야간당직],1,상세표[야간 구분],"휴일"))</f>
        <v/>
      </c>
      <c r="U74">
        <f>IF($X74="","",COUNTIFS(상세표[사번키],INDEX(합계표[사번키],$X74),상세표[반영월],대상월키,상세표[야간당직],1,상세표[야간 구분],"평일",상세표[반영 기관],"서울병원"))</f>
        <v/>
      </c>
      <c r="V74">
        <f>IF($X74="","",COUNTIFS(상세표[사번키],INDEX(합계표[사번키],$X74),상세표[반영월],대상월키,상세표[야간당직],1,상세표[야간 구분],"휴일",상세표[반영 기관],"서울병원"))</f>
        <v/>
      </c>
      <c r="W74">
        <f>IF($X74="","",IF(ISNUMBER(MATCH(INDEX(합계표[사번키],$X74)&amp;"|"&amp;대상월키,월별근무지표[키],0)),"직접 입력",IF($L74="—","—","기관명단")))</f>
        <v/>
      </c>
      <c r="X74" s="4">
        <f>IFERROR(MATCH(69,합계표[판정순번],0),"")</f>
        <v/>
      </c>
      <c r="Z74">
        <f>IF($AC74="","",INDEX(상세표[사번],$AC74)&amp;"")</f>
        <v/>
      </c>
      <c r="AA74">
        <f>IF($AC74="","",INDEX(상세표[성명],$AC74)&amp;"")</f>
        <v/>
      </c>
      <c r="AB74" s="20">
        <f>IF($AC74="","",SUMIFS(상세표[기록 시간외],상세표[사번키],INDEX(상세표[사번키],$AC74),상세표[반영월],대상월키))</f>
        <v/>
      </c>
      <c r="AC74" s="4">
        <f>IFERROR(MATCH(69,상세표[합계없음순번],0),"")</f>
        <v/>
      </c>
    </row>
    <row r="75">
      <c r="A75">
        <f>IF($X75="","",INDEX(합계표[사번],$X75)&amp;"")</f>
        <v/>
      </c>
      <c r="B75">
        <f>IF($X75="","",INDEX(합계표[성명],$X75)&amp;"")</f>
        <v/>
      </c>
      <c r="C75">
        <f>IF($X75="","",INDEX(합계표[부서],$X75)&amp;"")</f>
        <v/>
      </c>
      <c r="D75">
        <f>IF($X75="","",INDEX(합계표[직위(요약)],$X75)&amp;"")</f>
        <v/>
      </c>
      <c r="E75">
        <f>IF($X75="","",INDEX(합계표[직급 공존],$X75)&amp;"")</f>
        <v/>
      </c>
      <c r="F75" s="20">
        <f>IF($X75="","",SUMIFS(합계표[시스템 합계],합계표[사번키],INDEX(합계표[사번키],$X75)))</f>
        <v/>
      </c>
      <c r="G75" s="20">
        <f>IF($X75="","",SUMIFS(상세표[기록 시간외],상세표[사번키],INDEX(합계표[사번키],$X75),상세표[기록월],대상월키))</f>
        <v/>
      </c>
      <c r="H75">
        <f>IF($X75="","",IF(ABS($F75-$G75)&lt;0.01,"일치","불일치(차이 "&amp;TEXT($G75-$F75,"0.00")&amp;")"))</f>
        <v/>
      </c>
      <c r="I75" s="20">
        <f>IF($X75="","",SUMIFS(상세표[기록 시간외],상세표[사번키],INDEX(합계표[사번키],$X75),상세표[기록월],대상월키,상세표[반영월],"&lt;&gt;"&amp;대상월키))</f>
        <v/>
      </c>
      <c r="J75" s="20">
        <f>IF($X75="","",SUMIFS(상세표[기록 시간외],상세표[사번키],INDEX(합계표[사번키],$X75),상세표[기록월],"&lt;&gt;"&amp;대상월키,상세표[반영월],대상월키))</f>
        <v/>
      </c>
      <c r="K75" s="20">
        <f>IF($X75="","",SUMIFS(상세표[기록 시간외],상세표[사번키],INDEX(합계표[사번키],$X75),상세표[반영월],대상월키))</f>
        <v/>
      </c>
      <c r="L75">
        <f>IF($X75="","",IFERROR(INDEX(월별근무지표[적용 급여병원],MATCH(INDEX(합계표[사번키],$X75)&amp;"|"&amp;대상월키,월별근무지표[키],0))&amp;"",IF(COUNTIF(기관표[사번키],INDEX(합계표[사번키],$X75))+COUNTIF(월별근무지표[사번키],INDEX(합계표[사번키],$X75))&gt;0,IFERROR(INDEX(기관표[급여지급병원(기준월)],MATCH(INDEX(합계표[사번키],$X75)&amp;"|"&amp;대상월키,기관표[키],0))&amp;"","—"),"—")))</f>
        <v/>
      </c>
      <c r="M75">
        <f>IF($X75="","",IF(NOT(COUNTIF(기관표[사번키],INDEX(합계표[사번키],$X75))+COUNTIF(월별근무지표[사번키],INDEX(합계표[사번키],$X75))&gt;0),"기관명단에 없음(다른 병원으로 발송)",IF($L75="서울병원","해당",IF(N($R75)&gt;0,"해당(말일 근무)",IF($L75="—","대상월 기관명단 없음(추가 필요)","비해당")))))</f>
        <v/>
      </c>
      <c r="N75" s="20">
        <f>IF($X75="","",SUMIFS(상세표[06~07시],상세표[사번키],INDEX(합계표[사번키],$X75),상세표[반영월],대상월키,상세표[반영 기관],"서울병원"))</f>
        <v/>
      </c>
      <c r="O75" s="20">
        <f>IF($X75="","",SUMIFS(상세표[07~18시],상세표[사번키],INDEX(합계표[사번키],$X75),상세표[반영월],대상월키,상세표[반영 기관],"서울병원"))</f>
        <v/>
      </c>
      <c r="P75" s="20">
        <f>IF($X75="","",SUMIFS(상세표[18~22시],상세표[사번키],INDEX(합계표[사번키],$X75),상세표[반영월],대상월키,상세표[반영 기관],"서울병원"))</f>
        <v/>
      </c>
      <c r="Q75" s="20">
        <f>IF($X75="","",SUMIFS(상세표[22~06시],상세표[사번키],INDEX(합계표[사번키],$X75),상세표[반영월],대상월키,상세표[반영 기관],"서울병원"))</f>
        <v/>
      </c>
      <c r="R75" s="20">
        <f>IF($X75="","",SUM($N75:$Q75))</f>
        <v/>
      </c>
      <c r="S75">
        <f>IF($X75="","",COUNTIFS(상세표[사번키],INDEX(합계표[사번키],$X75),상세표[반영월],대상월키,상세표[야간당직],1,상세표[야간 구분],"평일"))</f>
        <v/>
      </c>
      <c r="T75">
        <f>IF($X75="","",COUNTIFS(상세표[사번키],INDEX(합계표[사번키],$X75),상세표[반영월],대상월키,상세표[야간당직],1,상세표[야간 구분],"휴일"))</f>
        <v/>
      </c>
      <c r="U75">
        <f>IF($X75="","",COUNTIFS(상세표[사번키],INDEX(합계표[사번키],$X75),상세표[반영월],대상월키,상세표[야간당직],1,상세표[야간 구분],"평일",상세표[반영 기관],"서울병원"))</f>
        <v/>
      </c>
      <c r="V75">
        <f>IF($X75="","",COUNTIFS(상세표[사번키],INDEX(합계표[사번키],$X75),상세표[반영월],대상월키,상세표[야간당직],1,상세표[야간 구분],"휴일",상세표[반영 기관],"서울병원"))</f>
        <v/>
      </c>
      <c r="W75">
        <f>IF($X75="","",IF(ISNUMBER(MATCH(INDEX(합계표[사번키],$X75)&amp;"|"&amp;대상월키,월별근무지표[키],0)),"직접 입력",IF($L75="—","—","기관명단")))</f>
        <v/>
      </c>
      <c r="X75" s="4">
        <f>IFERROR(MATCH(70,합계표[판정순번],0),"")</f>
        <v/>
      </c>
      <c r="Z75">
        <f>IF($AC75="","",INDEX(상세표[사번],$AC75)&amp;"")</f>
        <v/>
      </c>
      <c r="AA75">
        <f>IF($AC75="","",INDEX(상세표[성명],$AC75)&amp;"")</f>
        <v/>
      </c>
      <c r="AB75" s="20">
        <f>IF($AC75="","",SUMIFS(상세표[기록 시간외],상세표[사번키],INDEX(상세표[사번키],$AC75),상세표[반영월],대상월키))</f>
        <v/>
      </c>
      <c r="AC75" s="4">
        <f>IFERROR(MATCH(70,상세표[합계없음순번],0),"")</f>
        <v/>
      </c>
    </row>
    <row r="76">
      <c r="A76">
        <f>IF($X76="","",INDEX(합계표[사번],$X76)&amp;"")</f>
        <v/>
      </c>
      <c r="B76">
        <f>IF($X76="","",INDEX(합계표[성명],$X76)&amp;"")</f>
        <v/>
      </c>
      <c r="C76">
        <f>IF($X76="","",INDEX(합계표[부서],$X76)&amp;"")</f>
        <v/>
      </c>
      <c r="D76">
        <f>IF($X76="","",INDEX(합계표[직위(요약)],$X76)&amp;"")</f>
        <v/>
      </c>
      <c r="E76">
        <f>IF($X76="","",INDEX(합계표[직급 공존],$X76)&amp;"")</f>
        <v/>
      </c>
      <c r="F76" s="20">
        <f>IF($X76="","",SUMIFS(합계표[시스템 합계],합계표[사번키],INDEX(합계표[사번키],$X76)))</f>
        <v/>
      </c>
      <c r="G76" s="20">
        <f>IF($X76="","",SUMIFS(상세표[기록 시간외],상세표[사번키],INDEX(합계표[사번키],$X76),상세표[기록월],대상월키))</f>
        <v/>
      </c>
      <c r="H76">
        <f>IF($X76="","",IF(ABS($F76-$G76)&lt;0.01,"일치","불일치(차이 "&amp;TEXT($G76-$F76,"0.00")&amp;")"))</f>
        <v/>
      </c>
      <c r="I76" s="20">
        <f>IF($X76="","",SUMIFS(상세표[기록 시간외],상세표[사번키],INDEX(합계표[사번키],$X76),상세표[기록월],대상월키,상세표[반영월],"&lt;&gt;"&amp;대상월키))</f>
        <v/>
      </c>
      <c r="J76" s="20">
        <f>IF($X76="","",SUMIFS(상세표[기록 시간외],상세표[사번키],INDEX(합계표[사번키],$X76),상세표[기록월],"&lt;&gt;"&amp;대상월키,상세표[반영월],대상월키))</f>
        <v/>
      </c>
      <c r="K76" s="20">
        <f>IF($X76="","",SUMIFS(상세표[기록 시간외],상세표[사번키],INDEX(합계표[사번키],$X76),상세표[반영월],대상월키))</f>
        <v/>
      </c>
      <c r="L76">
        <f>IF($X76="","",IFERROR(INDEX(월별근무지표[적용 급여병원],MATCH(INDEX(합계표[사번키],$X76)&amp;"|"&amp;대상월키,월별근무지표[키],0))&amp;"",IF(COUNTIF(기관표[사번키],INDEX(합계표[사번키],$X76))+COUNTIF(월별근무지표[사번키],INDEX(합계표[사번키],$X76))&gt;0,IFERROR(INDEX(기관표[급여지급병원(기준월)],MATCH(INDEX(합계표[사번키],$X76)&amp;"|"&amp;대상월키,기관표[키],0))&amp;"","—"),"—")))</f>
        <v/>
      </c>
      <c r="M76">
        <f>IF($X76="","",IF(NOT(COUNTIF(기관표[사번키],INDEX(합계표[사번키],$X76))+COUNTIF(월별근무지표[사번키],INDEX(합계표[사번키],$X76))&gt;0),"기관명단에 없음(다른 병원으로 발송)",IF($L76="서울병원","해당",IF(N($R76)&gt;0,"해당(말일 근무)",IF($L76="—","대상월 기관명단 없음(추가 필요)","비해당")))))</f>
        <v/>
      </c>
      <c r="N76" s="20">
        <f>IF($X76="","",SUMIFS(상세표[06~07시],상세표[사번키],INDEX(합계표[사번키],$X76),상세표[반영월],대상월키,상세표[반영 기관],"서울병원"))</f>
        <v/>
      </c>
      <c r="O76" s="20">
        <f>IF($X76="","",SUMIFS(상세표[07~18시],상세표[사번키],INDEX(합계표[사번키],$X76),상세표[반영월],대상월키,상세표[반영 기관],"서울병원"))</f>
        <v/>
      </c>
      <c r="P76" s="20">
        <f>IF($X76="","",SUMIFS(상세표[18~22시],상세표[사번키],INDEX(합계표[사번키],$X76),상세표[반영월],대상월키,상세표[반영 기관],"서울병원"))</f>
        <v/>
      </c>
      <c r="Q76" s="20">
        <f>IF($X76="","",SUMIFS(상세표[22~06시],상세표[사번키],INDEX(합계표[사번키],$X76),상세표[반영월],대상월키,상세표[반영 기관],"서울병원"))</f>
        <v/>
      </c>
      <c r="R76" s="20">
        <f>IF($X76="","",SUM($N76:$Q76))</f>
        <v/>
      </c>
      <c r="S76">
        <f>IF($X76="","",COUNTIFS(상세표[사번키],INDEX(합계표[사번키],$X76),상세표[반영월],대상월키,상세표[야간당직],1,상세표[야간 구분],"평일"))</f>
        <v/>
      </c>
      <c r="T76">
        <f>IF($X76="","",COUNTIFS(상세표[사번키],INDEX(합계표[사번키],$X76),상세표[반영월],대상월키,상세표[야간당직],1,상세표[야간 구분],"휴일"))</f>
        <v/>
      </c>
      <c r="U76">
        <f>IF($X76="","",COUNTIFS(상세표[사번키],INDEX(합계표[사번키],$X76),상세표[반영월],대상월키,상세표[야간당직],1,상세표[야간 구분],"평일",상세표[반영 기관],"서울병원"))</f>
        <v/>
      </c>
      <c r="V76">
        <f>IF($X76="","",COUNTIFS(상세표[사번키],INDEX(합계표[사번키],$X76),상세표[반영월],대상월키,상세표[야간당직],1,상세표[야간 구분],"휴일",상세표[반영 기관],"서울병원"))</f>
        <v/>
      </c>
      <c r="W76">
        <f>IF($X76="","",IF(ISNUMBER(MATCH(INDEX(합계표[사번키],$X76)&amp;"|"&amp;대상월키,월별근무지표[키],0)),"직접 입력",IF($L76="—","—","기관명단")))</f>
        <v/>
      </c>
      <c r="X76" s="4">
        <f>IFERROR(MATCH(71,합계표[판정순번],0),"")</f>
        <v/>
      </c>
      <c r="Z76">
        <f>IF($AC76="","",INDEX(상세표[사번],$AC76)&amp;"")</f>
        <v/>
      </c>
      <c r="AA76">
        <f>IF($AC76="","",INDEX(상세표[성명],$AC76)&amp;"")</f>
        <v/>
      </c>
      <c r="AB76" s="20">
        <f>IF($AC76="","",SUMIFS(상세표[기록 시간외],상세표[사번키],INDEX(상세표[사번키],$AC76),상세표[반영월],대상월키))</f>
        <v/>
      </c>
      <c r="AC76" s="4">
        <f>IFERROR(MATCH(71,상세표[합계없음순번],0),"")</f>
        <v/>
      </c>
    </row>
    <row r="77">
      <c r="A77">
        <f>IF($X77="","",INDEX(합계표[사번],$X77)&amp;"")</f>
        <v/>
      </c>
      <c r="B77">
        <f>IF($X77="","",INDEX(합계표[성명],$X77)&amp;"")</f>
        <v/>
      </c>
      <c r="C77">
        <f>IF($X77="","",INDEX(합계표[부서],$X77)&amp;"")</f>
        <v/>
      </c>
      <c r="D77">
        <f>IF($X77="","",INDEX(합계표[직위(요약)],$X77)&amp;"")</f>
        <v/>
      </c>
      <c r="E77">
        <f>IF($X77="","",INDEX(합계표[직급 공존],$X77)&amp;"")</f>
        <v/>
      </c>
      <c r="F77" s="20">
        <f>IF($X77="","",SUMIFS(합계표[시스템 합계],합계표[사번키],INDEX(합계표[사번키],$X77)))</f>
        <v/>
      </c>
      <c r="G77" s="20">
        <f>IF($X77="","",SUMIFS(상세표[기록 시간외],상세표[사번키],INDEX(합계표[사번키],$X77),상세표[기록월],대상월키))</f>
        <v/>
      </c>
      <c r="H77">
        <f>IF($X77="","",IF(ABS($F77-$G77)&lt;0.01,"일치","불일치(차이 "&amp;TEXT($G77-$F77,"0.00")&amp;")"))</f>
        <v/>
      </c>
      <c r="I77" s="20">
        <f>IF($X77="","",SUMIFS(상세표[기록 시간외],상세표[사번키],INDEX(합계표[사번키],$X77),상세표[기록월],대상월키,상세표[반영월],"&lt;&gt;"&amp;대상월키))</f>
        <v/>
      </c>
      <c r="J77" s="20">
        <f>IF($X77="","",SUMIFS(상세표[기록 시간외],상세표[사번키],INDEX(합계표[사번키],$X77),상세표[기록월],"&lt;&gt;"&amp;대상월키,상세표[반영월],대상월키))</f>
        <v/>
      </c>
      <c r="K77" s="20">
        <f>IF($X77="","",SUMIFS(상세표[기록 시간외],상세표[사번키],INDEX(합계표[사번키],$X77),상세표[반영월],대상월키))</f>
        <v/>
      </c>
      <c r="L77">
        <f>IF($X77="","",IFERROR(INDEX(월별근무지표[적용 급여병원],MATCH(INDEX(합계표[사번키],$X77)&amp;"|"&amp;대상월키,월별근무지표[키],0))&amp;"",IF(COUNTIF(기관표[사번키],INDEX(합계표[사번키],$X77))+COUNTIF(월별근무지표[사번키],INDEX(합계표[사번키],$X77))&gt;0,IFERROR(INDEX(기관표[급여지급병원(기준월)],MATCH(INDEX(합계표[사번키],$X77)&amp;"|"&amp;대상월키,기관표[키],0))&amp;"","—"),"—")))</f>
        <v/>
      </c>
      <c r="M77">
        <f>IF($X77="","",IF(NOT(COUNTIF(기관표[사번키],INDEX(합계표[사번키],$X77))+COUNTIF(월별근무지표[사번키],INDEX(합계표[사번키],$X77))&gt;0),"기관명단에 없음(다른 병원으로 발송)",IF($L77="서울병원","해당",IF(N($R77)&gt;0,"해당(말일 근무)",IF($L77="—","대상월 기관명단 없음(추가 필요)","비해당")))))</f>
        <v/>
      </c>
      <c r="N77" s="20">
        <f>IF($X77="","",SUMIFS(상세표[06~07시],상세표[사번키],INDEX(합계표[사번키],$X77),상세표[반영월],대상월키,상세표[반영 기관],"서울병원"))</f>
        <v/>
      </c>
      <c r="O77" s="20">
        <f>IF($X77="","",SUMIFS(상세표[07~18시],상세표[사번키],INDEX(합계표[사번키],$X77),상세표[반영월],대상월키,상세표[반영 기관],"서울병원"))</f>
        <v/>
      </c>
      <c r="P77" s="20">
        <f>IF($X77="","",SUMIFS(상세표[18~22시],상세표[사번키],INDEX(합계표[사번키],$X77),상세표[반영월],대상월키,상세표[반영 기관],"서울병원"))</f>
        <v/>
      </c>
      <c r="Q77" s="20">
        <f>IF($X77="","",SUMIFS(상세표[22~06시],상세표[사번키],INDEX(합계표[사번키],$X77),상세표[반영월],대상월키,상세표[반영 기관],"서울병원"))</f>
        <v/>
      </c>
      <c r="R77" s="20">
        <f>IF($X77="","",SUM($N77:$Q77))</f>
        <v/>
      </c>
      <c r="S77">
        <f>IF($X77="","",COUNTIFS(상세표[사번키],INDEX(합계표[사번키],$X77),상세표[반영월],대상월키,상세표[야간당직],1,상세표[야간 구분],"평일"))</f>
        <v/>
      </c>
      <c r="T77">
        <f>IF($X77="","",COUNTIFS(상세표[사번키],INDEX(합계표[사번키],$X77),상세표[반영월],대상월키,상세표[야간당직],1,상세표[야간 구분],"휴일"))</f>
        <v/>
      </c>
      <c r="U77">
        <f>IF($X77="","",COUNTIFS(상세표[사번키],INDEX(합계표[사번키],$X77),상세표[반영월],대상월키,상세표[야간당직],1,상세표[야간 구분],"평일",상세표[반영 기관],"서울병원"))</f>
        <v/>
      </c>
      <c r="V77">
        <f>IF($X77="","",COUNTIFS(상세표[사번키],INDEX(합계표[사번키],$X77),상세표[반영월],대상월키,상세표[야간당직],1,상세표[야간 구분],"휴일",상세표[반영 기관],"서울병원"))</f>
        <v/>
      </c>
      <c r="W77">
        <f>IF($X77="","",IF(ISNUMBER(MATCH(INDEX(합계표[사번키],$X77)&amp;"|"&amp;대상월키,월별근무지표[키],0)),"직접 입력",IF($L77="—","—","기관명단")))</f>
        <v/>
      </c>
      <c r="X77" s="4">
        <f>IFERROR(MATCH(72,합계표[판정순번],0),"")</f>
        <v/>
      </c>
      <c r="Z77">
        <f>IF($AC77="","",INDEX(상세표[사번],$AC77)&amp;"")</f>
        <v/>
      </c>
      <c r="AA77">
        <f>IF($AC77="","",INDEX(상세표[성명],$AC77)&amp;"")</f>
        <v/>
      </c>
      <c r="AB77" s="20">
        <f>IF($AC77="","",SUMIFS(상세표[기록 시간외],상세표[사번키],INDEX(상세표[사번키],$AC77),상세표[반영월],대상월키))</f>
        <v/>
      </c>
      <c r="AC77" s="4">
        <f>IFERROR(MATCH(72,상세표[합계없음순번],0),"")</f>
        <v/>
      </c>
    </row>
    <row r="78">
      <c r="A78">
        <f>IF($X78="","",INDEX(합계표[사번],$X78)&amp;"")</f>
        <v/>
      </c>
      <c r="B78">
        <f>IF($X78="","",INDEX(합계표[성명],$X78)&amp;"")</f>
        <v/>
      </c>
      <c r="C78">
        <f>IF($X78="","",INDEX(합계표[부서],$X78)&amp;"")</f>
        <v/>
      </c>
      <c r="D78">
        <f>IF($X78="","",INDEX(합계표[직위(요약)],$X78)&amp;"")</f>
        <v/>
      </c>
      <c r="E78">
        <f>IF($X78="","",INDEX(합계표[직급 공존],$X78)&amp;"")</f>
        <v/>
      </c>
      <c r="F78" s="20">
        <f>IF($X78="","",SUMIFS(합계표[시스템 합계],합계표[사번키],INDEX(합계표[사번키],$X78)))</f>
        <v/>
      </c>
      <c r="G78" s="20">
        <f>IF($X78="","",SUMIFS(상세표[기록 시간외],상세표[사번키],INDEX(합계표[사번키],$X78),상세표[기록월],대상월키))</f>
        <v/>
      </c>
      <c r="H78">
        <f>IF($X78="","",IF(ABS($F78-$G78)&lt;0.01,"일치","불일치(차이 "&amp;TEXT($G78-$F78,"0.00")&amp;")"))</f>
        <v/>
      </c>
      <c r="I78" s="20">
        <f>IF($X78="","",SUMIFS(상세표[기록 시간외],상세표[사번키],INDEX(합계표[사번키],$X78),상세표[기록월],대상월키,상세표[반영월],"&lt;&gt;"&amp;대상월키))</f>
        <v/>
      </c>
      <c r="J78" s="20">
        <f>IF($X78="","",SUMIFS(상세표[기록 시간외],상세표[사번키],INDEX(합계표[사번키],$X78),상세표[기록월],"&lt;&gt;"&amp;대상월키,상세표[반영월],대상월키))</f>
        <v/>
      </c>
      <c r="K78" s="20">
        <f>IF($X78="","",SUMIFS(상세표[기록 시간외],상세표[사번키],INDEX(합계표[사번키],$X78),상세표[반영월],대상월키))</f>
        <v/>
      </c>
      <c r="L78">
        <f>IF($X78="","",IFERROR(INDEX(월별근무지표[적용 급여병원],MATCH(INDEX(합계표[사번키],$X78)&amp;"|"&amp;대상월키,월별근무지표[키],0))&amp;"",IF(COUNTIF(기관표[사번키],INDEX(합계표[사번키],$X78))+COUNTIF(월별근무지표[사번키],INDEX(합계표[사번키],$X78))&gt;0,IFERROR(INDEX(기관표[급여지급병원(기준월)],MATCH(INDEX(합계표[사번키],$X78)&amp;"|"&amp;대상월키,기관표[키],0))&amp;"","—"),"—")))</f>
        <v/>
      </c>
      <c r="M78">
        <f>IF($X78="","",IF(NOT(COUNTIF(기관표[사번키],INDEX(합계표[사번키],$X78))+COUNTIF(월별근무지표[사번키],INDEX(합계표[사번키],$X78))&gt;0),"기관명단에 없음(다른 병원으로 발송)",IF($L78="서울병원","해당",IF(N($R78)&gt;0,"해당(말일 근무)",IF($L78="—","대상월 기관명단 없음(추가 필요)","비해당")))))</f>
        <v/>
      </c>
      <c r="N78" s="20">
        <f>IF($X78="","",SUMIFS(상세표[06~07시],상세표[사번키],INDEX(합계표[사번키],$X78),상세표[반영월],대상월키,상세표[반영 기관],"서울병원"))</f>
        <v/>
      </c>
      <c r="O78" s="20">
        <f>IF($X78="","",SUMIFS(상세표[07~18시],상세표[사번키],INDEX(합계표[사번키],$X78),상세표[반영월],대상월키,상세표[반영 기관],"서울병원"))</f>
        <v/>
      </c>
      <c r="P78" s="20">
        <f>IF($X78="","",SUMIFS(상세표[18~22시],상세표[사번키],INDEX(합계표[사번키],$X78),상세표[반영월],대상월키,상세표[반영 기관],"서울병원"))</f>
        <v/>
      </c>
      <c r="Q78" s="20">
        <f>IF($X78="","",SUMIFS(상세표[22~06시],상세표[사번키],INDEX(합계표[사번키],$X78),상세표[반영월],대상월키,상세표[반영 기관],"서울병원"))</f>
        <v/>
      </c>
      <c r="R78" s="20">
        <f>IF($X78="","",SUM($N78:$Q78))</f>
        <v/>
      </c>
      <c r="S78">
        <f>IF($X78="","",COUNTIFS(상세표[사번키],INDEX(합계표[사번키],$X78),상세표[반영월],대상월키,상세표[야간당직],1,상세표[야간 구분],"평일"))</f>
        <v/>
      </c>
      <c r="T78">
        <f>IF($X78="","",COUNTIFS(상세표[사번키],INDEX(합계표[사번키],$X78),상세표[반영월],대상월키,상세표[야간당직],1,상세표[야간 구분],"휴일"))</f>
        <v/>
      </c>
      <c r="U78">
        <f>IF($X78="","",COUNTIFS(상세표[사번키],INDEX(합계표[사번키],$X78),상세표[반영월],대상월키,상세표[야간당직],1,상세표[야간 구분],"평일",상세표[반영 기관],"서울병원"))</f>
        <v/>
      </c>
      <c r="V78">
        <f>IF($X78="","",COUNTIFS(상세표[사번키],INDEX(합계표[사번키],$X78),상세표[반영월],대상월키,상세표[야간당직],1,상세표[야간 구분],"휴일",상세표[반영 기관],"서울병원"))</f>
        <v/>
      </c>
      <c r="W78">
        <f>IF($X78="","",IF(ISNUMBER(MATCH(INDEX(합계표[사번키],$X78)&amp;"|"&amp;대상월키,월별근무지표[키],0)),"직접 입력",IF($L78="—","—","기관명단")))</f>
        <v/>
      </c>
      <c r="X78" s="4">
        <f>IFERROR(MATCH(73,합계표[판정순번],0),"")</f>
        <v/>
      </c>
      <c r="Z78">
        <f>IF($AC78="","",INDEX(상세표[사번],$AC78)&amp;"")</f>
        <v/>
      </c>
      <c r="AA78">
        <f>IF($AC78="","",INDEX(상세표[성명],$AC78)&amp;"")</f>
        <v/>
      </c>
      <c r="AB78" s="20">
        <f>IF($AC78="","",SUMIFS(상세표[기록 시간외],상세표[사번키],INDEX(상세표[사번키],$AC78),상세표[반영월],대상월키))</f>
        <v/>
      </c>
      <c r="AC78" s="4">
        <f>IFERROR(MATCH(73,상세표[합계없음순번],0),"")</f>
        <v/>
      </c>
    </row>
    <row r="79">
      <c r="A79">
        <f>IF($X79="","",INDEX(합계표[사번],$X79)&amp;"")</f>
        <v/>
      </c>
      <c r="B79">
        <f>IF($X79="","",INDEX(합계표[성명],$X79)&amp;"")</f>
        <v/>
      </c>
      <c r="C79">
        <f>IF($X79="","",INDEX(합계표[부서],$X79)&amp;"")</f>
        <v/>
      </c>
      <c r="D79">
        <f>IF($X79="","",INDEX(합계표[직위(요약)],$X79)&amp;"")</f>
        <v/>
      </c>
      <c r="E79">
        <f>IF($X79="","",INDEX(합계표[직급 공존],$X79)&amp;"")</f>
        <v/>
      </c>
      <c r="F79" s="20">
        <f>IF($X79="","",SUMIFS(합계표[시스템 합계],합계표[사번키],INDEX(합계표[사번키],$X79)))</f>
        <v/>
      </c>
      <c r="G79" s="20">
        <f>IF($X79="","",SUMIFS(상세표[기록 시간외],상세표[사번키],INDEX(합계표[사번키],$X79),상세표[기록월],대상월키))</f>
        <v/>
      </c>
      <c r="H79">
        <f>IF($X79="","",IF(ABS($F79-$G79)&lt;0.01,"일치","불일치(차이 "&amp;TEXT($G79-$F79,"0.00")&amp;")"))</f>
        <v/>
      </c>
      <c r="I79" s="20">
        <f>IF($X79="","",SUMIFS(상세표[기록 시간외],상세표[사번키],INDEX(합계표[사번키],$X79),상세표[기록월],대상월키,상세표[반영월],"&lt;&gt;"&amp;대상월키))</f>
        <v/>
      </c>
      <c r="J79" s="20">
        <f>IF($X79="","",SUMIFS(상세표[기록 시간외],상세표[사번키],INDEX(합계표[사번키],$X79),상세표[기록월],"&lt;&gt;"&amp;대상월키,상세표[반영월],대상월키))</f>
        <v/>
      </c>
      <c r="K79" s="20">
        <f>IF($X79="","",SUMIFS(상세표[기록 시간외],상세표[사번키],INDEX(합계표[사번키],$X79),상세표[반영월],대상월키))</f>
        <v/>
      </c>
      <c r="L79">
        <f>IF($X79="","",IFERROR(INDEX(월별근무지표[적용 급여병원],MATCH(INDEX(합계표[사번키],$X79)&amp;"|"&amp;대상월키,월별근무지표[키],0))&amp;"",IF(COUNTIF(기관표[사번키],INDEX(합계표[사번키],$X79))+COUNTIF(월별근무지표[사번키],INDEX(합계표[사번키],$X79))&gt;0,IFERROR(INDEX(기관표[급여지급병원(기준월)],MATCH(INDEX(합계표[사번키],$X79)&amp;"|"&amp;대상월키,기관표[키],0))&amp;"","—"),"—")))</f>
        <v/>
      </c>
      <c r="M79">
        <f>IF($X79="","",IF(NOT(COUNTIF(기관표[사번키],INDEX(합계표[사번키],$X79))+COUNTIF(월별근무지표[사번키],INDEX(합계표[사번키],$X79))&gt;0),"기관명단에 없음(다른 병원으로 발송)",IF($L79="서울병원","해당",IF(N($R79)&gt;0,"해당(말일 근무)",IF($L79="—","대상월 기관명단 없음(추가 필요)","비해당")))))</f>
        <v/>
      </c>
      <c r="N79" s="20">
        <f>IF($X79="","",SUMIFS(상세표[06~07시],상세표[사번키],INDEX(합계표[사번키],$X79),상세표[반영월],대상월키,상세표[반영 기관],"서울병원"))</f>
        <v/>
      </c>
      <c r="O79" s="20">
        <f>IF($X79="","",SUMIFS(상세표[07~18시],상세표[사번키],INDEX(합계표[사번키],$X79),상세표[반영월],대상월키,상세표[반영 기관],"서울병원"))</f>
        <v/>
      </c>
      <c r="P79" s="20">
        <f>IF($X79="","",SUMIFS(상세표[18~22시],상세표[사번키],INDEX(합계표[사번키],$X79),상세표[반영월],대상월키,상세표[반영 기관],"서울병원"))</f>
        <v/>
      </c>
      <c r="Q79" s="20">
        <f>IF($X79="","",SUMIFS(상세표[22~06시],상세표[사번키],INDEX(합계표[사번키],$X79),상세표[반영월],대상월키,상세표[반영 기관],"서울병원"))</f>
        <v/>
      </c>
      <c r="R79" s="20">
        <f>IF($X79="","",SUM($N79:$Q79))</f>
        <v/>
      </c>
      <c r="S79">
        <f>IF($X79="","",COUNTIFS(상세표[사번키],INDEX(합계표[사번키],$X79),상세표[반영월],대상월키,상세표[야간당직],1,상세표[야간 구분],"평일"))</f>
        <v/>
      </c>
      <c r="T79">
        <f>IF($X79="","",COUNTIFS(상세표[사번키],INDEX(합계표[사번키],$X79),상세표[반영월],대상월키,상세표[야간당직],1,상세표[야간 구분],"휴일"))</f>
        <v/>
      </c>
      <c r="U79">
        <f>IF($X79="","",COUNTIFS(상세표[사번키],INDEX(합계표[사번키],$X79),상세표[반영월],대상월키,상세표[야간당직],1,상세표[야간 구분],"평일",상세표[반영 기관],"서울병원"))</f>
        <v/>
      </c>
      <c r="V79">
        <f>IF($X79="","",COUNTIFS(상세표[사번키],INDEX(합계표[사번키],$X79),상세표[반영월],대상월키,상세표[야간당직],1,상세표[야간 구분],"휴일",상세표[반영 기관],"서울병원"))</f>
        <v/>
      </c>
      <c r="W79">
        <f>IF($X79="","",IF(ISNUMBER(MATCH(INDEX(합계표[사번키],$X79)&amp;"|"&amp;대상월키,월별근무지표[키],0)),"직접 입력",IF($L79="—","—","기관명단")))</f>
        <v/>
      </c>
      <c r="X79" s="4">
        <f>IFERROR(MATCH(74,합계표[판정순번],0),"")</f>
        <v/>
      </c>
      <c r="Z79">
        <f>IF($AC79="","",INDEX(상세표[사번],$AC79)&amp;"")</f>
        <v/>
      </c>
      <c r="AA79">
        <f>IF($AC79="","",INDEX(상세표[성명],$AC79)&amp;"")</f>
        <v/>
      </c>
      <c r="AB79" s="20">
        <f>IF($AC79="","",SUMIFS(상세표[기록 시간외],상세표[사번키],INDEX(상세표[사번키],$AC79),상세표[반영월],대상월키))</f>
        <v/>
      </c>
      <c r="AC79" s="4">
        <f>IFERROR(MATCH(74,상세표[합계없음순번],0),"")</f>
        <v/>
      </c>
    </row>
    <row r="80">
      <c r="A80">
        <f>IF($X80="","",INDEX(합계표[사번],$X80)&amp;"")</f>
        <v/>
      </c>
      <c r="B80">
        <f>IF($X80="","",INDEX(합계표[성명],$X80)&amp;"")</f>
        <v/>
      </c>
      <c r="C80">
        <f>IF($X80="","",INDEX(합계표[부서],$X80)&amp;"")</f>
        <v/>
      </c>
      <c r="D80">
        <f>IF($X80="","",INDEX(합계표[직위(요약)],$X80)&amp;"")</f>
        <v/>
      </c>
      <c r="E80">
        <f>IF($X80="","",INDEX(합계표[직급 공존],$X80)&amp;"")</f>
        <v/>
      </c>
      <c r="F80" s="20">
        <f>IF($X80="","",SUMIFS(합계표[시스템 합계],합계표[사번키],INDEX(합계표[사번키],$X80)))</f>
        <v/>
      </c>
      <c r="G80" s="20">
        <f>IF($X80="","",SUMIFS(상세표[기록 시간외],상세표[사번키],INDEX(합계표[사번키],$X80),상세표[기록월],대상월키))</f>
        <v/>
      </c>
      <c r="H80">
        <f>IF($X80="","",IF(ABS($F80-$G80)&lt;0.01,"일치","불일치(차이 "&amp;TEXT($G80-$F80,"0.00")&amp;")"))</f>
        <v/>
      </c>
      <c r="I80" s="20">
        <f>IF($X80="","",SUMIFS(상세표[기록 시간외],상세표[사번키],INDEX(합계표[사번키],$X80),상세표[기록월],대상월키,상세표[반영월],"&lt;&gt;"&amp;대상월키))</f>
        <v/>
      </c>
      <c r="J80" s="20">
        <f>IF($X80="","",SUMIFS(상세표[기록 시간외],상세표[사번키],INDEX(합계표[사번키],$X80),상세표[기록월],"&lt;&gt;"&amp;대상월키,상세표[반영월],대상월키))</f>
        <v/>
      </c>
      <c r="K80" s="20">
        <f>IF($X80="","",SUMIFS(상세표[기록 시간외],상세표[사번키],INDEX(합계표[사번키],$X80),상세표[반영월],대상월키))</f>
        <v/>
      </c>
      <c r="L80">
        <f>IF($X80="","",IFERROR(INDEX(월별근무지표[적용 급여병원],MATCH(INDEX(합계표[사번키],$X80)&amp;"|"&amp;대상월키,월별근무지표[키],0))&amp;"",IF(COUNTIF(기관표[사번키],INDEX(합계표[사번키],$X80))+COUNTIF(월별근무지표[사번키],INDEX(합계표[사번키],$X80))&gt;0,IFERROR(INDEX(기관표[급여지급병원(기준월)],MATCH(INDEX(합계표[사번키],$X80)&amp;"|"&amp;대상월키,기관표[키],0))&amp;"","—"),"—")))</f>
        <v/>
      </c>
      <c r="M80">
        <f>IF($X80="","",IF(NOT(COUNTIF(기관표[사번키],INDEX(합계표[사번키],$X80))+COUNTIF(월별근무지표[사번키],INDEX(합계표[사번키],$X80))&gt;0),"기관명단에 없음(다른 병원으로 발송)",IF($L80="서울병원","해당",IF(N($R80)&gt;0,"해당(말일 근무)",IF($L80="—","대상월 기관명단 없음(추가 필요)","비해당")))))</f>
        <v/>
      </c>
      <c r="N80" s="20">
        <f>IF($X80="","",SUMIFS(상세표[06~07시],상세표[사번키],INDEX(합계표[사번키],$X80),상세표[반영월],대상월키,상세표[반영 기관],"서울병원"))</f>
        <v/>
      </c>
      <c r="O80" s="20">
        <f>IF($X80="","",SUMIFS(상세표[07~18시],상세표[사번키],INDEX(합계표[사번키],$X80),상세표[반영월],대상월키,상세표[반영 기관],"서울병원"))</f>
        <v/>
      </c>
      <c r="P80" s="20">
        <f>IF($X80="","",SUMIFS(상세표[18~22시],상세표[사번키],INDEX(합계표[사번키],$X80),상세표[반영월],대상월키,상세표[반영 기관],"서울병원"))</f>
        <v/>
      </c>
      <c r="Q80" s="20">
        <f>IF($X80="","",SUMIFS(상세표[22~06시],상세표[사번키],INDEX(합계표[사번키],$X80),상세표[반영월],대상월키,상세표[반영 기관],"서울병원"))</f>
        <v/>
      </c>
      <c r="R80" s="20">
        <f>IF($X80="","",SUM($N80:$Q80))</f>
        <v/>
      </c>
      <c r="S80">
        <f>IF($X80="","",COUNTIFS(상세표[사번키],INDEX(합계표[사번키],$X80),상세표[반영월],대상월키,상세표[야간당직],1,상세표[야간 구분],"평일"))</f>
        <v/>
      </c>
      <c r="T80">
        <f>IF($X80="","",COUNTIFS(상세표[사번키],INDEX(합계표[사번키],$X80),상세표[반영월],대상월키,상세표[야간당직],1,상세표[야간 구분],"휴일"))</f>
        <v/>
      </c>
      <c r="U80">
        <f>IF($X80="","",COUNTIFS(상세표[사번키],INDEX(합계표[사번키],$X80),상세표[반영월],대상월키,상세표[야간당직],1,상세표[야간 구분],"평일",상세표[반영 기관],"서울병원"))</f>
        <v/>
      </c>
      <c r="V80">
        <f>IF($X80="","",COUNTIFS(상세표[사번키],INDEX(합계표[사번키],$X80),상세표[반영월],대상월키,상세표[야간당직],1,상세표[야간 구분],"휴일",상세표[반영 기관],"서울병원"))</f>
        <v/>
      </c>
      <c r="W80">
        <f>IF($X80="","",IF(ISNUMBER(MATCH(INDEX(합계표[사번키],$X80)&amp;"|"&amp;대상월키,월별근무지표[키],0)),"직접 입력",IF($L80="—","—","기관명단")))</f>
        <v/>
      </c>
      <c r="X80" s="4">
        <f>IFERROR(MATCH(75,합계표[판정순번],0),"")</f>
        <v/>
      </c>
      <c r="Z80">
        <f>IF($AC80="","",INDEX(상세표[사번],$AC80)&amp;"")</f>
        <v/>
      </c>
      <c r="AA80">
        <f>IF($AC80="","",INDEX(상세표[성명],$AC80)&amp;"")</f>
        <v/>
      </c>
      <c r="AB80" s="20">
        <f>IF($AC80="","",SUMIFS(상세표[기록 시간외],상세표[사번키],INDEX(상세표[사번키],$AC80),상세표[반영월],대상월키))</f>
        <v/>
      </c>
      <c r="AC80" s="4">
        <f>IFERROR(MATCH(75,상세표[합계없음순번],0),"")</f>
        <v/>
      </c>
    </row>
    <row r="81">
      <c r="A81">
        <f>IF($X81="","",INDEX(합계표[사번],$X81)&amp;"")</f>
        <v/>
      </c>
      <c r="B81">
        <f>IF($X81="","",INDEX(합계표[성명],$X81)&amp;"")</f>
        <v/>
      </c>
      <c r="C81">
        <f>IF($X81="","",INDEX(합계표[부서],$X81)&amp;"")</f>
        <v/>
      </c>
      <c r="D81">
        <f>IF($X81="","",INDEX(합계표[직위(요약)],$X81)&amp;"")</f>
        <v/>
      </c>
      <c r="E81">
        <f>IF($X81="","",INDEX(합계표[직급 공존],$X81)&amp;"")</f>
        <v/>
      </c>
      <c r="F81" s="20">
        <f>IF($X81="","",SUMIFS(합계표[시스템 합계],합계표[사번키],INDEX(합계표[사번키],$X81)))</f>
        <v/>
      </c>
      <c r="G81" s="20">
        <f>IF($X81="","",SUMIFS(상세표[기록 시간외],상세표[사번키],INDEX(합계표[사번키],$X81),상세표[기록월],대상월키))</f>
        <v/>
      </c>
      <c r="H81">
        <f>IF($X81="","",IF(ABS($F81-$G81)&lt;0.01,"일치","불일치(차이 "&amp;TEXT($G81-$F81,"0.00")&amp;")"))</f>
        <v/>
      </c>
      <c r="I81" s="20">
        <f>IF($X81="","",SUMIFS(상세표[기록 시간외],상세표[사번키],INDEX(합계표[사번키],$X81),상세표[기록월],대상월키,상세표[반영월],"&lt;&gt;"&amp;대상월키))</f>
        <v/>
      </c>
      <c r="J81" s="20">
        <f>IF($X81="","",SUMIFS(상세표[기록 시간외],상세표[사번키],INDEX(합계표[사번키],$X81),상세표[기록월],"&lt;&gt;"&amp;대상월키,상세표[반영월],대상월키))</f>
        <v/>
      </c>
      <c r="K81" s="20">
        <f>IF($X81="","",SUMIFS(상세표[기록 시간외],상세표[사번키],INDEX(합계표[사번키],$X81),상세표[반영월],대상월키))</f>
        <v/>
      </c>
      <c r="L81">
        <f>IF($X81="","",IFERROR(INDEX(월별근무지표[적용 급여병원],MATCH(INDEX(합계표[사번키],$X81)&amp;"|"&amp;대상월키,월별근무지표[키],0))&amp;"",IF(COUNTIF(기관표[사번키],INDEX(합계표[사번키],$X81))+COUNTIF(월별근무지표[사번키],INDEX(합계표[사번키],$X81))&gt;0,IFERROR(INDEX(기관표[급여지급병원(기준월)],MATCH(INDEX(합계표[사번키],$X81)&amp;"|"&amp;대상월키,기관표[키],0))&amp;"","—"),"—")))</f>
        <v/>
      </c>
      <c r="M81">
        <f>IF($X81="","",IF(NOT(COUNTIF(기관표[사번키],INDEX(합계표[사번키],$X81))+COUNTIF(월별근무지표[사번키],INDEX(합계표[사번키],$X81))&gt;0),"기관명단에 없음(다른 병원으로 발송)",IF($L81="서울병원","해당",IF(N($R81)&gt;0,"해당(말일 근무)",IF($L81="—","대상월 기관명단 없음(추가 필요)","비해당")))))</f>
        <v/>
      </c>
      <c r="N81" s="20">
        <f>IF($X81="","",SUMIFS(상세표[06~07시],상세표[사번키],INDEX(합계표[사번키],$X81),상세표[반영월],대상월키,상세표[반영 기관],"서울병원"))</f>
        <v/>
      </c>
      <c r="O81" s="20">
        <f>IF($X81="","",SUMIFS(상세표[07~18시],상세표[사번키],INDEX(합계표[사번키],$X81),상세표[반영월],대상월키,상세표[반영 기관],"서울병원"))</f>
        <v/>
      </c>
      <c r="P81" s="20">
        <f>IF($X81="","",SUMIFS(상세표[18~22시],상세표[사번키],INDEX(합계표[사번키],$X81),상세표[반영월],대상월키,상세표[반영 기관],"서울병원"))</f>
        <v/>
      </c>
      <c r="Q81" s="20">
        <f>IF($X81="","",SUMIFS(상세표[22~06시],상세표[사번키],INDEX(합계표[사번키],$X81),상세표[반영월],대상월키,상세표[반영 기관],"서울병원"))</f>
        <v/>
      </c>
      <c r="R81" s="20">
        <f>IF($X81="","",SUM($N81:$Q81))</f>
        <v/>
      </c>
      <c r="S81">
        <f>IF($X81="","",COUNTIFS(상세표[사번키],INDEX(합계표[사번키],$X81),상세표[반영월],대상월키,상세표[야간당직],1,상세표[야간 구분],"평일"))</f>
        <v/>
      </c>
      <c r="T81">
        <f>IF($X81="","",COUNTIFS(상세표[사번키],INDEX(합계표[사번키],$X81),상세표[반영월],대상월키,상세표[야간당직],1,상세표[야간 구분],"휴일"))</f>
        <v/>
      </c>
      <c r="U81">
        <f>IF($X81="","",COUNTIFS(상세표[사번키],INDEX(합계표[사번키],$X81),상세표[반영월],대상월키,상세표[야간당직],1,상세표[야간 구분],"평일",상세표[반영 기관],"서울병원"))</f>
        <v/>
      </c>
      <c r="V81">
        <f>IF($X81="","",COUNTIFS(상세표[사번키],INDEX(합계표[사번키],$X81),상세표[반영월],대상월키,상세표[야간당직],1,상세표[야간 구분],"휴일",상세표[반영 기관],"서울병원"))</f>
        <v/>
      </c>
      <c r="W81">
        <f>IF($X81="","",IF(ISNUMBER(MATCH(INDEX(합계표[사번키],$X81)&amp;"|"&amp;대상월키,월별근무지표[키],0)),"직접 입력",IF($L81="—","—","기관명단")))</f>
        <v/>
      </c>
      <c r="X81" s="4">
        <f>IFERROR(MATCH(76,합계표[판정순번],0),"")</f>
        <v/>
      </c>
      <c r="Z81">
        <f>IF($AC81="","",INDEX(상세표[사번],$AC81)&amp;"")</f>
        <v/>
      </c>
      <c r="AA81">
        <f>IF($AC81="","",INDEX(상세표[성명],$AC81)&amp;"")</f>
        <v/>
      </c>
      <c r="AB81" s="20">
        <f>IF($AC81="","",SUMIFS(상세표[기록 시간외],상세표[사번키],INDEX(상세표[사번키],$AC81),상세표[반영월],대상월키))</f>
        <v/>
      </c>
      <c r="AC81" s="4">
        <f>IFERROR(MATCH(76,상세표[합계없음순번],0),"")</f>
        <v/>
      </c>
    </row>
    <row r="82">
      <c r="A82">
        <f>IF($X82="","",INDEX(합계표[사번],$X82)&amp;"")</f>
        <v/>
      </c>
      <c r="B82">
        <f>IF($X82="","",INDEX(합계표[성명],$X82)&amp;"")</f>
        <v/>
      </c>
      <c r="C82">
        <f>IF($X82="","",INDEX(합계표[부서],$X82)&amp;"")</f>
        <v/>
      </c>
      <c r="D82">
        <f>IF($X82="","",INDEX(합계표[직위(요약)],$X82)&amp;"")</f>
        <v/>
      </c>
      <c r="E82">
        <f>IF($X82="","",INDEX(합계표[직급 공존],$X82)&amp;"")</f>
        <v/>
      </c>
      <c r="F82" s="20">
        <f>IF($X82="","",SUMIFS(합계표[시스템 합계],합계표[사번키],INDEX(합계표[사번키],$X82)))</f>
        <v/>
      </c>
      <c r="G82" s="20">
        <f>IF($X82="","",SUMIFS(상세표[기록 시간외],상세표[사번키],INDEX(합계표[사번키],$X82),상세표[기록월],대상월키))</f>
        <v/>
      </c>
      <c r="H82">
        <f>IF($X82="","",IF(ABS($F82-$G82)&lt;0.01,"일치","불일치(차이 "&amp;TEXT($G82-$F82,"0.00")&amp;")"))</f>
        <v/>
      </c>
      <c r="I82" s="20">
        <f>IF($X82="","",SUMIFS(상세표[기록 시간외],상세표[사번키],INDEX(합계표[사번키],$X82),상세표[기록월],대상월키,상세표[반영월],"&lt;&gt;"&amp;대상월키))</f>
        <v/>
      </c>
      <c r="J82" s="20">
        <f>IF($X82="","",SUMIFS(상세표[기록 시간외],상세표[사번키],INDEX(합계표[사번키],$X82),상세표[기록월],"&lt;&gt;"&amp;대상월키,상세표[반영월],대상월키))</f>
        <v/>
      </c>
      <c r="K82" s="20">
        <f>IF($X82="","",SUMIFS(상세표[기록 시간외],상세표[사번키],INDEX(합계표[사번키],$X82),상세표[반영월],대상월키))</f>
        <v/>
      </c>
      <c r="L82">
        <f>IF($X82="","",IFERROR(INDEX(월별근무지표[적용 급여병원],MATCH(INDEX(합계표[사번키],$X82)&amp;"|"&amp;대상월키,월별근무지표[키],0))&amp;"",IF(COUNTIF(기관표[사번키],INDEX(합계표[사번키],$X82))+COUNTIF(월별근무지표[사번키],INDEX(합계표[사번키],$X82))&gt;0,IFERROR(INDEX(기관표[급여지급병원(기준월)],MATCH(INDEX(합계표[사번키],$X82)&amp;"|"&amp;대상월키,기관표[키],0))&amp;"","—"),"—")))</f>
        <v/>
      </c>
      <c r="M82">
        <f>IF($X82="","",IF(NOT(COUNTIF(기관표[사번키],INDEX(합계표[사번키],$X82))+COUNTIF(월별근무지표[사번키],INDEX(합계표[사번키],$X82))&gt;0),"기관명단에 없음(다른 병원으로 발송)",IF($L82="서울병원","해당",IF(N($R82)&gt;0,"해당(말일 근무)",IF($L82="—","대상월 기관명단 없음(추가 필요)","비해당")))))</f>
        <v/>
      </c>
      <c r="N82" s="20">
        <f>IF($X82="","",SUMIFS(상세표[06~07시],상세표[사번키],INDEX(합계표[사번키],$X82),상세표[반영월],대상월키,상세표[반영 기관],"서울병원"))</f>
        <v/>
      </c>
      <c r="O82" s="20">
        <f>IF($X82="","",SUMIFS(상세표[07~18시],상세표[사번키],INDEX(합계표[사번키],$X82),상세표[반영월],대상월키,상세표[반영 기관],"서울병원"))</f>
        <v/>
      </c>
      <c r="P82" s="20">
        <f>IF($X82="","",SUMIFS(상세표[18~22시],상세표[사번키],INDEX(합계표[사번키],$X82),상세표[반영월],대상월키,상세표[반영 기관],"서울병원"))</f>
        <v/>
      </c>
      <c r="Q82" s="20">
        <f>IF($X82="","",SUMIFS(상세표[22~06시],상세표[사번키],INDEX(합계표[사번키],$X82),상세표[반영월],대상월키,상세표[반영 기관],"서울병원"))</f>
        <v/>
      </c>
      <c r="R82" s="20">
        <f>IF($X82="","",SUM($N82:$Q82))</f>
        <v/>
      </c>
      <c r="S82">
        <f>IF($X82="","",COUNTIFS(상세표[사번키],INDEX(합계표[사번키],$X82),상세표[반영월],대상월키,상세표[야간당직],1,상세표[야간 구분],"평일"))</f>
        <v/>
      </c>
      <c r="T82">
        <f>IF($X82="","",COUNTIFS(상세표[사번키],INDEX(합계표[사번키],$X82),상세표[반영월],대상월키,상세표[야간당직],1,상세표[야간 구분],"휴일"))</f>
        <v/>
      </c>
      <c r="U82">
        <f>IF($X82="","",COUNTIFS(상세표[사번키],INDEX(합계표[사번키],$X82),상세표[반영월],대상월키,상세표[야간당직],1,상세표[야간 구분],"평일",상세표[반영 기관],"서울병원"))</f>
        <v/>
      </c>
      <c r="V82">
        <f>IF($X82="","",COUNTIFS(상세표[사번키],INDEX(합계표[사번키],$X82),상세표[반영월],대상월키,상세표[야간당직],1,상세표[야간 구분],"휴일",상세표[반영 기관],"서울병원"))</f>
        <v/>
      </c>
      <c r="W82">
        <f>IF($X82="","",IF(ISNUMBER(MATCH(INDEX(합계표[사번키],$X82)&amp;"|"&amp;대상월키,월별근무지표[키],0)),"직접 입력",IF($L82="—","—","기관명단")))</f>
        <v/>
      </c>
      <c r="X82" s="4">
        <f>IFERROR(MATCH(77,합계표[판정순번],0),"")</f>
        <v/>
      </c>
      <c r="Z82">
        <f>IF($AC82="","",INDEX(상세표[사번],$AC82)&amp;"")</f>
        <v/>
      </c>
      <c r="AA82">
        <f>IF($AC82="","",INDEX(상세표[성명],$AC82)&amp;"")</f>
        <v/>
      </c>
      <c r="AB82" s="20">
        <f>IF($AC82="","",SUMIFS(상세표[기록 시간외],상세표[사번키],INDEX(상세표[사번키],$AC82),상세표[반영월],대상월키))</f>
        <v/>
      </c>
      <c r="AC82" s="4">
        <f>IFERROR(MATCH(77,상세표[합계없음순번],0),"")</f>
        <v/>
      </c>
    </row>
    <row r="83">
      <c r="A83">
        <f>IF($X83="","",INDEX(합계표[사번],$X83)&amp;"")</f>
        <v/>
      </c>
      <c r="B83">
        <f>IF($X83="","",INDEX(합계표[성명],$X83)&amp;"")</f>
        <v/>
      </c>
      <c r="C83">
        <f>IF($X83="","",INDEX(합계표[부서],$X83)&amp;"")</f>
        <v/>
      </c>
      <c r="D83">
        <f>IF($X83="","",INDEX(합계표[직위(요약)],$X83)&amp;"")</f>
        <v/>
      </c>
      <c r="E83">
        <f>IF($X83="","",INDEX(합계표[직급 공존],$X83)&amp;"")</f>
        <v/>
      </c>
      <c r="F83" s="20">
        <f>IF($X83="","",SUMIFS(합계표[시스템 합계],합계표[사번키],INDEX(합계표[사번키],$X83)))</f>
        <v/>
      </c>
      <c r="G83" s="20">
        <f>IF($X83="","",SUMIFS(상세표[기록 시간외],상세표[사번키],INDEX(합계표[사번키],$X83),상세표[기록월],대상월키))</f>
        <v/>
      </c>
      <c r="H83">
        <f>IF($X83="","",IF(ABS($F83-$G83)&lt;0.01,"일치","불일치(차이 "&amp;TEXT($G83-$F83,"0.00")&amp;")"))</f>
        <v/>
      </c>
      <c r="I83" s="20">
        <f>IF($X83="","",SUMIFS(상세표[기록 시간외],상세표[사번키],INDEX(합계표[사번키],$X83),상세표[기록월],대상월키,상세표[반영월],"&lt;&gt;"&amp;대상월키))</f>
        <v/>
      </c>
      <c r="J83" s="20">
        <f>IF($X83="","",SUMIFS(상세표[기록 시간외],상세표[사번키],INDEX(합계표[사번키],$X83),상세표[기록월],"&lt;&gt;"&amp;대상월키,상세표[반영월],대상월키))</f>
        <v/>
      </c>
      <c r="K83" s="20">
        <f>IF($X83="","",SUMIFS(상세표[기록 시간외],상세표[사번키],INDEX(합계표[사번키],$X83),상세표[반영월],대상월키))</f>
        <v/>
      </c>
      <c r="L83">
        <f>IF($X83="","",IFERROR(INDEX(월별근무지표[적용 급여병원],MATCH(INDEX(합계표[사번키],$X83)&amp;"|"&amp;대상월키,월별근무지표[키],0))&amp;"",IF(COUNTIF(기관표[사번키],INDEX(합계표[사번키],$X83))+COUNTIF(월별근무지표[사번키],INDEX(합계표[사번키],$X83))&gt;0,IFERROR(INDEX(기관표[급여지급병원(기준월)],MATCH(INDEX(합계표[사번키],$X83)&amp;"|"&amp;대상월키,기관표[키],0))&amp;"","—"),"—")))</f>
        <v/>
      </c>
      <c r="M83">
        <f>IF($X83="","",IF(NOT(COUNTIF(기관표[사번키],INDEX(합계표[사번키],$X83))+COUNTIF(월별근무지표[사번키],INDEX(합계표[사번키],$X83))&gt;0),"기관명단에 없음(다른 병원으로 발송)",IF($L83="서울병원","해당",IF(N($R83)&gt;0,"해당(말일 근무)",IF($L83="—","대상월 기관명단 없음(추가 필요)","비해당")))))</f>
        <v/>
      </c>
      <c r="N83" s="20">
        <f>IF($X83="","",SUMIFS(상세표[06~07시],상세표[사번키],INDEX(합계표[사번키],$X83),상세표[반영월],대상월키,상세표[반영 기관],"서울병원"))</f>
        <v/>
      </c>
      <c r="O83" s="20">
        <f>IF($X83="","",SUMIFS(상세표[07~18시],상세표[사번키],INDEX(합계표[사번키],$X83),상세표[반영월],대상월키,상세표[반영 기관],"서울병원"))</f>
        <v/>
      </c>
      <c r="P83" s="20">
        <f>IF($X83="","",SUMIFS(상세표[18~22시],상세표[사번키],INDEX(합계표[사번키],$X83),상세표[반영월],대상월키,상세표[반영 기관],"서울병원"))</f>
        <v/>
      </c>
      <c r="Q83" s="20">
        <f>IF($X83="","",SUMIFS(상세표[22~06시],상세표[사번키],INDEX(합계표[사번키],$X83),상세표[반영월],대상월키,상세표[반영 기관],"서울병원"))</f>
        <v/>
      </c>
      <c r="R83" s="20">
        <f>IF($X83="","",SUM($N83:$Q83))</f>
        <v/>
      </c>
      <c r="S83">
        <f>IF($X83="","",COUNTIFS(상세표[사번키],INDEX(합계표[사번키],$X83),상세표[반영월],대상월키,상세표[야간당직],1,상세표[야간 구분],"평일"))</f>
        <v/>
      </c>
      <c r="T83">
        <f>IF($X83="","",COUNTIFS(상세표[사번키],INDEX(합계표[사번키],$X83),상세표[반영월],대상월키,상세표[야간당직],1,상세표[야간 구분],"휴일"))</f>
        <v/>
      </c>
      <c r="U83">
        <f>IF($X83="","",COUNTIFS(상세표[사번키],INDEX(합계표[사번키],$X83),상세표[반영월],대상월키,상세표[야간당직],1,상세표[야간 구분],"평일",상세표[반영 기관],"서울병원"))</f>
        <v/>
      </c>
      <c r="V83">
        <f>IF($X83="","",COUNTIFS(상세표[사번키],INDEX(합계표[사번키],$X83),상세표[반영월],대상월키,상세표[야간당직],1,상세표[야간 구분],"휴일",상세표[반영 기관],"서울병원"))</f>
        <v/>
      </c>
      <c r="W83">
        <f>IF($X83="","",IF(ISNUMBER(MATCH(INDEX(합계표[사번키],$X83)&amp;"|"&amp;대상월키,월별근무지표[키],0)),"직접 입력",IF($L83="—","—","기관명단")))</f>
        <v/>
      </c>
      <c r="X83" s="4">
        <f>IFERROR(MATCH(78,합계표[판정순번],0),"")</f>
        <v/>
      </c>
      <c r="Z83">
        <f>IF($AC83="","",INDEX(상세표[사번],$AC83)&amp;"")</f>
        <v/>
      </c>
      <c r="AA83">
        <f>IF($AC83="","",INDEX(상세표[성명],$AC83)&amp;"")</f>
        <v/>
      </c>
      <c r="AB83" s="20">
        <f>IF($AC83="","",SUMIFS(상세표[기록 시간외],상세표[사번키],INDEX(상세표[사번키],$AC83),상세표[반영월],대상월키))</f>
        <v/>
      </c>
      <c r="AC83" s="4">
        <f>IFERROR(MATCH(78,상세표[합계없음순번],0),"")</f>
        <v/>
      </c>
    </row>
    <row r="84">
      <c r="A84">
        <f>IF($X84="","",INDEX(합계표[사번],$X84)&amp;"")</f>
        <v/>
      </c>
      <c r="B84">
        <f>IF($X84="","",INDEX(합계표[성명],$X84)&amp;"")</f>
        <v/>
      </c>
      <c r="C84">
        <f>IF($X84="","",INDEX(합계표[부서],$X84)&amp;"")</f>
        <v/>
      </c>
      <c r="D84">
        <f>IF($X84="","",INDEX(합계표[직위(요약)],$X84)&amp;"")</f>
        <v/>
      </c>
      <c r="E84">
        <f>IF($X84="","",INDEX(합계표[직급 공존],$X84)&amp;"")</f>
        <v/>
      </c>
      <c r="F84" s="20">
        <f>IF($X84="","",SUMIFS(합계표[시스템 합계],합계표[사번키],INDEX(합계표[사번키],$X84)))</f>
        <v/>
      </c>
      <c r="G84" s="20">
        <f>IF($X84="","",SUMIFS(상세표[기록 시간외],상세표[사번키],INDEX(합계표[사번키],$X84),상세표[기록월],대상월키))</f>
        <v/>
      </c>
      <c r="H84">
        <f>IF($X84="","",IF(ABS($F84-$G84)&lt;0.01,"일치","불일치(차이 "&amp;TEXT($G84-$F84,"0.00")&amp;")"))</f>
        <v/>
      </c>
      <c r="I84" s="20">
        <f>IF($X84="","",SUMIFS(상세표[기록 시간외],상세표[사번키],INDEX(합계표[사번키],$X84),상세표[기록월],대상월키,상세표[반영월],"&lt;&gt;"&amp;대상월키))</f>
        <v/>
      </c>
      <c r="J84" s="20">
        <f>IF($X84="","",SUMIFS(상세표[기록 시간외],상세표[사번키],INDEX(합계표[사번키],$X84),상세표[기록월],"&lt;&gt;"&amp;대상월키,상세표[반영월],대상월키))</f>
        <v/>
      </c>
      <c r="K84" s="20">
        <f>IF($X84="","",SUMIFS(상세표[기록 시간외],상세표[사번키],INDEX(합계표[사번키],$X84),상세표[반영월],대상월키))</f>
        <v/>
      </c>
      <c r="L84">
        <f>IF($X84="","",IFERROR(INDEX(월별근무지표[적용 급여병원],MATCH(INDEX(합계표[사번키],$X84)&amp;"|"&amp;대상월키,월별근무지표[키],0))&amp;"",IF(COUNTIF(기관표[사번키],INDEX(합계표[사번키],$X84))+COUNTIF(월별근무지표[사번키],INDEX(합계표[사번키],$X84))&gt;0,IFERROR(INDEX(기관표[급여지급병원(기준월)],MATCH(INDEX(합계표[사번키],$X84)&amp;"|"&amp;대상월키,기관표[키],0))&amp;"","—"),"—")))</f>
        <v/>
      </c>
      <c r="M84">
        <f>IF($X84="","",IF(NOT(COUNTIF(기관표[사번키],INDEX(합계표[사번키],$X84))+COUNTIF(월별근무지표[사번키],INDEX(합계표[사번키],$X84))&gt;0),"기관명단에 없음(다른 병원으로 발송)",IF($L84="서울병원","해당",IF(N($R84)&gt;0,"해당(말일 근무)",IF($L84="—","대상월 기관명단 없음(추가 필요)","비해당")))))</f>
        <v/>
      </c>
      <c r="N84" s="20">
        <f>IF($X84="","",SUMIFS(상세표[06~07시],상세표[사번키],INDEX(합계표[사번키],$X84),상세표[반영월],대상월키,상세표[반영 기관],"서울병원"))</f>
        <v/>
      </c>
      <c r="O84" s="20">
        <f>IF($X84="","",SUMIFS(상세표[07~18시],상세표[사번키],INDEX(합계표[사번키],$X84),상세표[반영월],대상월키,상세표[반영 기관],"서울병원"))</f>
        <v/>
      </c>
      <c r="P84" s="20">
        <f>IF($X84="","",SUMIFS(상세표[18~22시],상세표[사번키],INDEX(합계표[사번키],$X84),상세표[반영월],대상월키,상세표[반영 기관],"서울병원"))</f>
        <v/>
      </c>
      <c r="Q84" s="20">
        <f>IF($X84="","",SUMIFS(상세표[22~06시],상세표[사번키],INDEX(합계표[사번키],$X84),상세표[반영월],대상월키,상세표[반영 기관],"서울병원"))</f>
        <v/>
      </c>
      <c r="R84" s="20">
        <f>IF($X84="","",SUM($N84:$Q84))</f>
        <v/>
      </c>
      <c r="S84">
        <f>IF($X84="","",COUNTIFS(상세표[사번키],INDEX(합계표[사번키],$X84),상세표[반영월],대상월키,상세표[야간당직],1,상세표[야간 구분],"평일"))</f>
        <v/>
      </c>
      <c r="T84">
        <f>IF($X84="","",COUNTIFS(상세표[사번키],INDEX(합계표[사번키],$X84),상세표[반영월],대상월키,상세표[야간당직],1,상세표[야간 구분],"휴일"))</f>
        <v/>
      </c>
      <c r="U84">
        <f>IF($X84="","",COUNTIFS(상세표[사번키],INDEX(합계표[사번키],$X84),상세표[반영월],대상월키,상세표[야간당직],1,상세표[야간 구분],"평일",상세표[반영 기관],"서울병원"))</f>
        <v/>
      </c>
      <c r="V84">
        <f>IF($X84="","",COUNTIFS(상세표[사번키],INDEX(합계표[사번키],$X84),상세표[반영월],대상월키,상세표[야간당직],1,상세표[야간 구분],"휴일",상세표[반영 기관],"서울병원"))</f>
        <v/>
      </c>
      <c r="W84">
        <f>IF($X84="","",IF(ISNUMBER(MATCH(INDEX(합계표[사번키],$X84)&amp;"|"&amp;대상월키,월별근무지표[키],0)),"직접 입력",IF($L84="—","—","기관명단")))</f>
        <v/>
      </c>
      <c r="X84" s="4">
        <f>IFERROR(MATCH(79,합계표[판정순번],0),"")</f>
        <v/>
      </c>
      <c r="Z84">
        <f>IF($AC84="","",INDEX(상세표[사번],$AC84)&amp;"")</f>
        <v/>
      </c>
      <c r="AA84">
        <f>IF($AC84="","",INDEX(상세표[성명],$AC84)&amp;"")</f>
        <v/>
      </c>
      <c r="AB84" s="20">
        <f>IF($AC84="","",SUMIFS(상세표[기록 시간외],상세표[사번키],INDEX(상세표[사번키],$AC84),상세표[반영월],대상월키))</f>
        <v/>
      </c>
      <c r="AC84" s="4">
        <f>IFERROR(MATCH(79,상세표[합계없음순번],0),"")</f>
        <v/>
      </c>
    </row>
    <row r="85">
      <c r="A85">
        <f>IF($X85="","",INDEX(합계표[사번],$X85)&amp;"")</f>
        <v/>
      </c>
      <c r="B85">
        <f>IF($X85="","",INDEX(합계표[성명],$X85)&amp;"")</f>
        <v/>
      </c>
      <c r="C85">
        <f>IF($X85="","",INDEX(합계표[부서],$X85)&amp;"")</f>
        <v/>
      </c>
      <c r="D85">
        <f>IF($X85="","",INDEX(합계표[직위(요약)],$X85)&amp;"")</f>
        <v/>
      </c>
      <c r="E85">
        <f>IF($X85="","",INDEX(합계표[직급 공존],$X85)&amp;"")</f>
        <v/>
      </c>
      <c r="F85" s="20">
        <f>IF($X85="","",SUMIFS(합계표[시스템 합계],합계표[사번키],INDEX(합계표[사번키],$X85)))</f>
        <v/>
      </c>
      <c r="G85" s="20">
        <f>IF($X85="","",SUMIFS(상세표[기록 시간외],상세표[사번키],INDEX(합계표[사번키],$X85),상세표[기록월],대상월키))</f>
        <v/>
      </c>
      <c r="H85">
        <f>IF($X85="","",IF(ABS($F85-$G85)&lt;0.01,"일치","불일치(차이 "&amp;TEXT($G85-$F85,"0.00")&amp;")"))</f>
        <v/>
      </c>
      <c r="I85" s="20">
        <f>IF($X85="","",SUMIFS(상세표[기록 시간외],상세표[사번키],INDEX(합계표[사번키],$X85),상세표[기록월],대상월키,상세표[반영월],"&lt;&gt;"&amp;대상월키))</f>
        <v/>
      </c>
      <c r="J85" s="20">
        <f>IF($X85="","",SUMIFS(상세표[기록 시간외],상세표[사번키],INDEX(합계표[사번키],$X85),상세표[기록월],"&lt;&gt;"&amp;대상월키,상세표[반영월],대상월키))</f>
        <v/>
      </c>
      <c r="K85" s="20">
        <f>IF($X85="","",SUMIFS(상세표[기록 시간외],상세표[사번키],INDEX(합계표[사번키],$X85),상세표[반영월],대상월키))</f>
        <v/>
      </c>
      <c r="L85">
        <f>IF($X85="","",IFERROR(INDEX(월별근무지표[적용 급여병원],MATCH(INDEX(합계표[사번키],$X85)&amp;"|"&amp;대상월키,월별근무지표[키],0))&amp;"",IF(COUNTIF(기관표[사번키],INDEX(합계표[사번키],$X85))+COUNTIF(월별근무지표[사번키],INDEX(합계표[사번키],$X85))&gt;0,IFERROR(INDEX(기관표[급여지급병원(기준월)],MATCH(INDEX(합계표[사번키],$X85)&amp;"|"&amp;대상월키,기관표[키],0))&amp;"","—"),"—")))</f>
        <v/>
      </c>
      <c r="M85">
        <f>IF($X85="","",IF(NOT(COUNTIF(기관표[사번키],INDEX(합계표[사번키],$X85))+COUNTIF(월별근무지표[사번키],INDEX(합계표[사번키],$X85))&gt;0),"기관명단에 없음(다른 병원으로 발송)",IF($L85="서울병원","해당",IF(N($R85)&gt;0,"해당(말일 근무)",IF($L85="—","대상월 기관명단 없음(추가 필요)","비해당")))))</f>
        <v/>
      </c>
      <c r="N85" s="20">
        <f>IF($X85="","",SUMIFS(상세표[06~07시],상세표[사번키],INDEX(합계표[사번키],$X85),상세표[반영월],대상월키,상세표[반영 기관],"서울병원"))</f>
        <v/>
      </c>
      <c r="O85" s="20">
        <f>IF($X85="","",SUMIFS(상세표[07~18시],상세표[사번키],INDEX(합계표[사번키],$X85),상세표[반영월],대상월키,상세표[반영 기관],"서울병원"))</f>
        <v/>
      </c>
      <c r="P85" s="20">
        <f>IF($X85="","",SUMIFS(상세표[18~22시],상세표[사번키],INDEX(합계표[사번키],$X85),상세표[반영월],대상월키,상세표[반영 기관],"서울병원"))</f>
        <v/>
      </c>
      <c r="Q85" s="20">
        <f>IF($X85="","",SUMIFS(상세표[22~06시],상세표[사번키],INDEX(합계표[사번키],$X85),상세표[반영월],대상월키,상세표[반영 기관],"서울병원"))</f>
        <v/>
      </c>
      <c r="R85" s="20">
        <f>IF($X85="","",SUM($N85:$Q85))</f>
        <v/>
      </c>
      <c r="S85">
        <f>IF($X85="","",COUNTIFS(상세표[사번키],INDEX(합계표[사번키],$X85),상세표[반영월],대상월키,상세표[야간당직],1,상세표[야간 구분],"평일"))</f>
        <v/>
      </c>
      <c r="T85">
        <f>IF($X85="","",COUNTIFS(상세표[사번키],INDEX(합계표[사번키],$X85),상세표[반영월],대상월키,상세표[야간당직],1,상세표[야간 구분],"휴일"))</f>
        <v/>
      </c>
      <c r="U85">
        <f>IF($X85="","",COUNTIFS(상세표[사번키],INDEX(합계표[사번키],$X85),상세표[반영월],대상월키,상세표[야간당직],1,상세표[야간 구분],"평일",상세표[반영 기관],"서울병원"))</f>
        <v/>
      </c>
      <c r="V85">
        <f>IF($X85="","",COUNTIFS(상세표[사번키],INDEX(합계표[사번키],$X85),상세표[반영월],대상월키,상세표[야간당직],1,상세표[야간 구분],"휴일",상세표[반영 기관],"서울병원"))</f>
        <v/>
      </c>
      <c r="W85">
        <f>IF($X85="","",IF(ISNUMBER(MATCH(INDEX(합계표[사번키],$X85)&amp;"|"&amp;대상월키,월별근무지표[키],0)),"직접 입력",IF($L85="—","—","기관명단")))</f>
        <v/>
      </c>
      <c r="X85" s="4">
        <f>IFERROR(MATCH(80,합계표[판정순번],0),"")</f>
        <v/>
      </c>
      <c r="Z85">
        <f>IF($AC85="","",INDEX(상세표[사번],$AC85)&amp;"")</f>
        <v/>
      </c>
      <c r="AA85">
        <f>IF($AC85="","",INDEX(상세표[성명],$AC85)&amp;"")</f>
        <v/>
      </c>
      <c r="AB85" s="20">
        <f>IF($AC85="","",SUMIFS(상세표[기록 시간외],상세표[사번키],INDEX(상세표[사번키],$AC85),상세표[반영월],대상월키))</f>
        <v/>
      </c>
      <c r="AC85" s="4">
        <f>IFERROR(MATCH(80,상세표[합계없음순번],0),"")</f>
        <v/>
      </c>
    </row>
    <row r="86">
      <c r="A86">
        <f>IF($X86="","",INDEX(합계표[사번],$X86)&amp;"")</f>
        <v/>
      </c>
      <c r="B86">
        <f>IF($X86="","",INDEX(합계표[성명],$X86)&amp;"")</f>
        <v/>
      </c>
      <c r="C86">
        <f>IF($X86="","",INDEX(합계표[부서],$X86)&amp;"")</f>
        <v/>
      </c>
      <c r="D86">
        <f>IF($X86="","",INDEX(합계표[직위(요약)],$X86)&amp;"")</f>
        <v/>
      </c>
      <c r="E86">
        <f>IF($X86="","",INDEX(합계표[직급 공존],$X86)&amp;"")</f>
        <v/>
      </c>
      <c r="F86" s="20">
        <f>IF($X86="","",SUMIFS(합계표[시스템 합계],합계표[사번키],INDEX(합계표[사번키],$X86)))</f>
        <v/>
      </c>
      <c r="G86" s="20">
        <f>IF($X86="","",SUMIFS(상세표[기록 시간외],상세표[사번키],INDEX(합계표[사번키],$X86),상세표[기록월],대상월키))</f>
        <v/>
      </c>
      <c r="H86">
        <f>IF($X86="","",IF(ABS($F86-$G86)&lt;0.01,"일치","불일치(차이 "&amp;TEXT($G86-$F86,"0.00")&amp;")"))</f>
        <v/>
      </c>
      <c r="I86" s="20">
        <f>IF($X86="","",SUMIFS(상세표[기록 시간외],상세표[사번키],INDEX(합계표[사번키],$X86),상세표[기록월],대상월키,상세표[반영월],"&lt;&gt;"&amp;대상월키))</f>
        <v/>
      </c>
      <c r="J86" s="20">
        <f>IF($X86="","",SUMIFS(상세표[기록 시간외],상세표[사번키],INDEX(합계표[사번키],$X86),상세표[기록월],"&lt;&gt;"&amp;대상월키,상세표[반영월],대상월키))</f>
        <v/>
      </c>
      <c r="K86" s="20">
        <f>IF($X86="","",SUMIFS(상세표[기록 시간외],상세표[사번키],INDEX(합계표[사번키],$X86),상세표[반영월],대상월키))</f>
        <v/>
      </c>
      <c r="L86">
        <f>IF($X86="","",IFERROR(INDEX(월별근무지표[적용 급여병원],MATCH(INDEX(합계표[사번키],$X86)&amp;"|"&amp;대상월키,월별근무지표[키],0))&amp;"",IF(COUNTIF(기관표[사번키],INDEX(합계표[사번키],$X86))+COUNTIF(월별근무지표[사번키],INDEX(합계표[사번키],$X86))&gt;0,IFERROR(INDEX(기관표[급여지급병원(기준월)],MATCH(INDEX(합계표[사번키],$X86)&amp;"|"&amp;대상월키,기관표[키],0))&amp;"","—"),"—")))</f>
        <v/>
      </c>
      <c r="M86">
        <f>IF($X86="","",IF(NOT(COUNTIF(기관표[사번키],INDEX(합계표[사번키],$X86))+COUNTIF(월별근무지표[사번키],INDEX(합계표[사번키],$X86))&gt;0),"기관명단에 없음(다른 병원으로 발송)",IF($L86="서울병원","해당",IF(N($R86)&gt;0,"해당(말일 근무)",IF($L86="—","대상월 기관명단 없음(추가 필요)","비해당")))))</f>
        <v/>
      </c>
      <c r="N86" s="20">
        <f>IF($X86="","",SUMIFS(상세표[06~07시],상세표[사번키],INDEX(합계표[사번키],$X86),상세표[반영월],대상월키,상세표[반영 기관],"서울병원"))</f>
        <v/>
      </c>
      <c r="O86" s="20">
        <f>IF($X86="","",SUMIFS(상세표[07~18시],상세표[사번키],INDEX(합계표[사번키],$X86),상세표[반영월],대상월키,상세표[반영 기관],"서울병원"))</f>
        <v/>
      </c>
      <c r="P86" s="20">
        <f>IF($X86="","",SUMIFS(상세표[18~22시],상세표[사번키],INDEX(합계표[사번키],$X86),상세표[반영월],대상월키,상세표[반영 기관],"서울병원"))</f>
        <v/>
      </c>
      <c r="Q86" s="20">
        <f>IF($X86="","",SUMIFS(상세표[22~06시],상세표[사번키],INDEX(합계표[사번키],$X86),상세표[반영월],대상월키,상세표[반영 기관],"서울병원"))</f>
        <v/>
      </c>
      <c r="R86" s="20">
        <f>IF($X86="","",SUM($N86:$Q86))</f>
        <v/>
      </c>
      <c r="S86">
        <f>IF($X86="","",COUNTIFS(상세표[사번키],INDEX(합계표[사번키],$X86),상세표[반영월],대상월키,상세표[야간당직],1,상세표[야간 구분],"평일"))</f>
        <v/>
      </c>
      <c r="T86">
        <f>IF($X86="","",COUNTIFS(상세표[사번키],INDEX(합계표[사번키],$X86),상세표[반영월],대상월키,상세표[야간당직],1,상세표[야간 구분],"휴일"))</f>
        <v/>
      </c>
      <c r="U86">
        <f>IF($X86="","",COUNTIFS(상세표[사번키],INDEX(합계표[사번키],$X86),상세표[반영월],대상월키,상세표[야간당직],1,상세표[야간 구분],"평일",상세표[반영 기관],"서울병원"))</f>
        <v/>
      </c>
      <c r="V86">
        <f>IF($X86="","",COUNTIFS(상세표[사번키],INDEX(합계표[사번키],$X86),상세표[반영월],대상월키,상세표[야간당직],1,상세표[야간 구분],"휴일",상세표[반영 기관],"서울병원"))</f>
        <v/>
      </c>
      <c r="W86">
        <f>IF($X86="","",IF(ISNUMBER(MATCH(INDEX(합계표[사번키],$X86)&amp;"|"&amp;대상월키,월별근무지표[키],0)),"직접 입력",IF($L86="—","—","기관명단")))</f>
        <v/>
      </c>
      <c r="X86" s="4">
        <f>IFERROR(MATCH(81,합계표[판정순번],0),"")</f>
        <v/>
      </c>
      <c r="Z86">
        <f>IF($AC86="","",INDEX(상세표[사번],$AC86)&amp;"")</f>
        <v/>
      </c>
      <c r="AA86">
        <f>IF($AC86="","",INDEX(상세표[성명],$AC86)&amp;"")</f>
        <v/>
      </c>
      <c r="AB86" s="20">
        <f>IF($AC86="","",SUMIFS(상세표[기록 시간외],상세표[사번키],INDEX(상세표[사번키],$AC86),상세표[반영월],대상월키))</f>
        <v/>
      </c>
      <c r="AC86" s="4">
        <f>IFERROR(MATCH(81,상세표[합계없음순번],0),"")</f>
        <v/>
      </c>
    </row>
    <row r="87">
      <c r="A87">
        <f>IF($X87="","",INDEX(합계표[사번],$X87)&amp;"")</f>
        <v/>
      </c>
      <c r="B87">
        <f>IF($X87="","",INDEX(합계표[성명],$X87)&amp;"")</f>
        <v/>
      </c>
      <c r="C87">
        <f>IF($X87="","",INDEX(합계표[부서],$X87)&amp;"")</f>
        <v/>
      </c>
      <c r="D87">
        <f>IF($X87="","",INDEX(합계표[직위(요약)],$X87)&amp;"")</f>
        <v/>
      </c>
      <c r="E87">
        <f>IF($X87="","",INDEX(합계표[직급 공존],$X87)&amp;"")</f>
        <v/>
      </c>
      <c r="F87" s="20">
        <f>IF($X87="","",SUMIFS(합계표[시스템 합계],합계표[사번키],INDEX(합계표[사번키],$X87)))</f>
        <v/>
      </c>
      <c r="G87" s="20">
        <f>IF($X87="","",SUMIFS(상세표[기록 시간외],상세표[사번키],INDEX(합계표[사번키],$X87),상세표[기록월],대상월키))</f>
        <v/>
      </c>
      <c r="H87">
        <f>IF($X87="","",IF(ABS($F87-$G87)&lt;0.01,"일치","불일치(차이 "&amp;TEXT($G87-$F87,"0.00")&amp;")"))</f>
        <v/>
      </c>
      <c r="I87" s="20">
        <f>IF($X87="","",SUMIFS(상세표[기록 시간외],상세표[사번키],INDEX(합계표[사번키],$X87),상세표[기록월],대상월키,상세표[반영월],"&lt;&gt;"&amp;대상월키))</f>
        <v/>
      </c>
      <c r="J87" s="20">
        <f>IF($X87="","",SUMIFS(상세표[기록 시간외],상세표[사번키],INDEX(합계표[사번키],$X87),상세표[기록월],"&lt;&gt;"&amp;대상월키,상세표[반영월],대상월키))</f>
        <v/>
      </c>
      <c r="K87" s="20">
        <f>IF($X87="","",SUMIFS(상세표[기록 시간외],상세표[사번키],INDEX(합계표[사번키],$X87),상세표[반영월],대상월키))</f>
        <v/>
      </c>
      <c r="L87">
        <f>IF($X87="","",IFERROR(INDEX(월별근무지표[적용 급여병원],MATCH(INDEX(합계표[사번키],$X87)&amp;"|"&amp;대상월키,월별근무지표[키],0))&amp;"",IF(COUNTIF(기관표[사번키],INDEX(합계표[사번키],$X87))+COUNTIF(월별근무지표[사번키],INDEX(합계표[사번키],$X87))&gt;0,IFERROR(INDEX(기관표[급여지급병원(기준월)],MATCH(INDEX(합계표[사번키],$X87)&amp;"|"&amp;대상월키,기관표[키],0))&amp;"","—"),"—")))</f>
        <v/>
      </c>
      <c r="M87">
        <f>IF($X87="","",IF(NOT(COUNTIF(기관표[사번키],INDEX(합계표[사번키],$X87))+COUNTIF(월별근무지표[사번키],INDEX(합계표[사번키],$X87))&gt;0),"기관명단에 없음(다른 병원으로 발송)",IF($L87="서울병원","해당",IF(N($R87)&gt;0,"해당(말일 근무)",IF($L87="—","대상월 기관명단 없음(추가 필요)","비해당")))))</f>
        <v/>
      </c>
      <c r="N87" s="20">
        <f>IF($X87="","",SUMIFS(상세표[06~07시],상세표[사번키],INDEX(합계표[사번키],$X87),상세표[반영월],대상월키,상세표[반영 기관],"서울병원"))</f>
        <v/>
      </c>
      <c r="O87" s="20">
        <f>IF($X87="","",SUMIFS(상세표[07~18시],상세표[사번키],INDEX(합계표[사번키],$X87),상세표[반영월],대상월키,상세표[반영 기관],"서울병원"))</f>
        <v/>
      </c>
      <c r="P87" s="20">
        <f>IF($X87="","",SUMIFS(상세표[18~22시],상세표[사번키],INDEX(합계표[사번키],$X87),상세표[반영월],대상월키,상세표[반영 기관],"서울병원"))</f>
        <v/>
      </c>
      <c r="Q87" s="20">
        <f>IF($X87="","",SUMIFS(상세표[22~06시],상세표[사번키],INDEX(합계표[사번키],$X87),상세표[반영월],대상월키,상세표[반영 기관],"서울병원"))</f>
        <v/>
      </c>
      <c r="R87" s="20">
        <f>IF($X87="","",SUM($N87:$Q87))</f>
        <v/>
      </c>
      <c r="S87">
        <f>IF($X87="","",COUNTIFS(상세표[사번키],INDEX(합계표[사번키],$X87),상세표[반영월],대상월키,상세표[야간당직],1,상세표[야간 구분],"평일"))</f>
        <v/>
      </c>
      <c r="T87">
        <f>IF($X87="","",COUNTIFS(상세표[사번키],INDEX(합계표[사번키],$X87),상세표[반영월],대상월키,상세표[야간당직],1,상세표[야간 구분],"휴일"))</f>
        <v/>
      </c>
      <c r="U87">
        <f>IF($X87="","",COUNTIFS(상세표[사번키],INDEX(합계표[사번키],$X87),상세표[반영월],대상월키,상세표[야간당직],1,상세표[야간 구분],"평일",상세표[반영 기관],"서울병원"))</f>
        <v/>
      </c>
      <c r="V87">
        <f>IF($X87="","",COUNTIFS(상세표[사번키],INDEX(합계표[사번키],$X87),상세표[반영월],대상월키,상세표[야간당직],1,상세표[야간 구분],"휴일",상세표[반영 기관],"서울병원"))</f>
        <v/>
      </c>
      <c r="W87">
        <f>IF($X87="","",IF(ISNUMBER(MATCH(INDEX(합계표[사번키],$X87)&amp;"|"&amp;대상월키,월별근무지표[키],0)),"직접 입력",IF($L87="—","—","기관명단")))</f>
        <v/>
      </c>
      <c r="X87" s="4">
        <f>IFERROR(MATCH(82,합계표[판정순번],0),"")</f>
        <v/>
      </c>
      <c r="Z87">
        <f>IF($AC87="","",INDEX(상세표[사번],$AC87)&amp;"")</f>
        <v/>
      </c>
      <c r="AA87">
        <f>IF($AC87="","",INDEX(상세표[성명],$AC87)&amp;"")</f>
        <v/>
      </c>
      <c r="AB87" s="20">
        <f>IF($AC87="","",SUMIFS(상세표[기록 시간외],상세표[사번키],INDEX(상세표[사번키],$AC87),상세표[반영월],대상월키))</f>
        <v/>
      </c>
      <c r="AC87" s="4">
        <f>IFERROR(MATCH(82,상세표[합계없음순번],0),"")</f>
        <v/>
      </c>
    </row>
    <row r="88">
      <c r="A88">
        <f>IF($X88="","",INDEX(합계표[사번],$X88)&amp;"")</f>
        <v/>
      </c>
      <c r="B88">
        <f>IF($X88="","",INDEX(합계표[성명],$X88)&amp;"")</f>
        <v/>
      </c>
      <c r="C88">
        <f>IF($X88="","",INDEX(합계표[부서],$X88)&amp;"")</f>
        <v/>
      </c>
      <c r="D88">
        <f>IF($X88="","",INDEX(합계표[직위(요약)],$X88)&amp;"")</f>
        <v/>
      </c>
      <c r="E88">
        <f>IF($X88="","",INDEX(합계표[직급 공존],$X88)&amp;"")</f>
        <v/>
      </c>
      <c r="F88" s="20">
        <f>IF($X88="","",SUMIFS(합계표[시스템 합계],합계표[사번키],INDEX(합계표[사번키],$X88)))</f>
        <v/>
      </c>
      <c r="G88" s="20">
        <f>IF($X88="","",SUMIFS(상세표[기록 시간외],상세표[사번키],INDEX(합계표[사번키],$X88),상세표[기록월],대상월키))</f>
        <v/>
      </c>
      <c r="H88">
        <f>IF($X88="","",IF(ABS($F88-$G88)&lt;0.01,"일치","불일치(차이 "&amp;TEXT($G88-$F88,"0.00")&amp;")"))</f>
        <v/>
      </c>
      <c r="I88" s="20">
        <f>IF($X88="","",SUMIFS(상세표[기록 시간외],상세표[사번키],INDEX(합계표[사번키],$X88),상세표[기록월],대상월키,상세표[반영월],"&lt;&gt;"&amp;대상월키))</f>
        <v/>
      </c>
      <c r="J88" s="20">
        <f>IF($X88="","",SUMIFS(상세표[기록 시간외],상세표[사번키],INDEX(합계표[사번키],$X88),상세표[기록월],"&lt;&gt;"&amp;대상월키,상세표[반영월],대상월키))</f>
        <v/>
      </c>
      <c r="K88" s="20">
        <f>IF($X88="","",SUMIFS(상세표[기록 시간외],상세표[사번키],INDEX(합계표[사번키],$X88),상세표[반영월],대상월키))</f>
        <v/>
      </c>
      <c r="L88">
        <f>IF($X88="","",IFERROR(INDEX(월별근무지표[적용 급여병원],MATCH(INDEX(합계표[사번키],$X88)&amp;"|"&amp;대상월키,월별근무지표[키],0))&amp;"",IF(COUNTIF(기관표[사번키],INDEX(합계표[사번키],$X88))+COUNTIF(월별근무지표[사번키],INDEX(합계표[사번키],$X88))&gt;0,IFERROR(INDEX(기관표[급여지급병원(기준월)],MATCH(INDEX(합계표[사번키],$X88)&amp;"|"&amp;대상월키,기관표[키],0))&amp;"","—"),"—")))</f>
        <v/>
      </c>
      <c r="M88">
        <f>IF($X88="","",IF(NOT(COUNTIF(기관표[사번키],INDEX(합계표[사번키],$X88))+COUNTIF(월별근무지표[사번키],INDEX(합계표[사번키],$X88))&gt;0),"기관명단에 없음(다른 병원으로 발송)",IF($L88="서울병원","해당",IF(N($R88)&gt;0,"해당(말일 근무)",IF($L88="—","대상월 기관명단 없음(추가 필요)","비해당")))))</f>
        <v/>
      </c>
      <c r="N88" s="20">
        <f>IF($X88="","",SUMIFS(상세표[06~07시],상세표[사번키],INDEX(합계표[사번키],$X88),상세표[반영월],대상월키,상세표[반영 기관],"서울병원"))</f>
        <v/>
      </c>
      <c r="O88" s="20">
        <f>IF($X88="","",SUMIFS(상세표[07~18시],상세표[사번키],INDEX(합계표[사번키],$X88),상세표[반영월],대상월키,상세표[반영 기관],"서울병원"))</f>
        <v/>
      </c>
      <c r="P88" s="20">
        <f>IF($X88="","",SUMIFS(상세표[18~22시],상세표[사번키],INDEX(합계표[사번키],$X88),상세표[반영월],대상월키,상세표[반영 기관],"서울병원"))</f>
        <v/>
      </c>
      <c r="Q88" s="20">
        <f>IF($X88="","",SUMIFS(상세표[22~06시],상세표[사번키],INDEX(합계표[사번키],$X88),상세표[반영월],대상월키,상세표[반영 기관],"서울병원"))</f>
        <v/>
      </c>
      <c r="R88" s="20">
        <f>IF($X88="","",SUM($N88:$Q88))</f>
        <v/>
      </c>
      <c r="S88">
        <f>IF($X88="","",COUNTIFS(상세표[사번키],INDEX(합계표[사번키],$X88),상세표[반영월],대상월키,상세표[야간당직],1,상세표[야간 구분],"평일"))</f>
        <v/>
      </c>
      <c r="T88">
        <f>IF($X88="","",COUNTIFS(상세표[사번키],INDEX(합계표[사번키],$X88),상세표[반영월],대상월키,상세표[야간당직],1,상세표[야간 구분],"휴일"))</f>
        <v/>
      </c>
      <c r="U88">
        <f>IF($X88="","",COUNTIFS(상세표[사번키],INDEX(합계표[사번키],$X88),상세표[반영월],대상월키,상세표[야간당직],1,상세표[야간 구분],"평일",상세표[반영 기관],"서울병원"))</f>
        <v/>
      </c>
      <c r="V88">
        <f>IF($X88="","",COUNTIFS(상세표[사번키],INDEX(합계표[사번키],$X88),상세표[반영월],대상월키,상세표[야간당직],1,상세표[야간 구분],"휴일",상세표[반영 기관],"서울병원"))</f>
        <v/>
      </c>
      <c r="W88">
        <f>IF($X88="","",IF(ISNUMBER(MATCH(INDEX(합계표[사번키],$X88)&amp;"|"&amp;대상월키,월별근무지표[키],0)),"직접 입력",IF($L88="—","—","기관명단")))</f>
        <v/>
      </c>
      <c r="X88" s="4">
        <f>IFERROR(MATCH(83,합계표[판정순번],0),"")</f>
        <v/>
      </c>
      <c r="Z88">
        <f>IF($AC88="","",INDEX(상세표[사번],$AC88)&amp;"")</f>
        <v/>
      </c>
      <c r="AA88">
        <f>IF($AC88="","",INDEX(상세표[성명],$AC88)&amp;"")</f>
        <v/>
      </c>
      <c r="AB88" s="20">
        <f>IF($AC88="","",SUMIFS(상세표[기록 시간외],상세표[사번키],INDEX(상세표[사번키],$AC88),상세표[반영월],대상월키))</f>
        <v/>
      </c>
      <c r="AC88" s="4">
        <f>IFERROR(MATCH(83,상세표[합계없음순번],0),"")</f>
        <v/>
      </c>
    </row>
    <row r="89">
      <c r="A89">
        <f>IF($X89="","",INDEX(합계표[사번],$X89)&amp;"")</f>
        <v/>
      </c>
      <c r="B89">
        <f>IF($X89="","",INDEX(합계표[성명],$X89)&amp;"")</f>
        <v/>
      </c>
      <c r="C89">
        <f>IF($X89="","",INDEX(합계표[부서],$X89)&amp;"")</f>
        <v/>
      </c>
      <c r="D89">
        <f>IF($X89="","",INDEX(합계표[직위(요약)],$X89)&amp;"")</f>
        <v/>
      </c>
      <c r="E89">
        <f>IF($X89="","",INDEX(합계표[직급 공존],$X89)&amp;"")</f>
        <v/>
      </c>
      <c r="F89" s="20">
        <f>IF($X89="","",SUMIFS(합계표[시스템 합계],합계표[사번키],INDEX(합계표[사번키],$X89)))</f>
        <v/>
      </c>
      <c r="G89" s="20">
        <f>IF($X89="","",SUMIFS(상세표[기록 시간외],상세표[사번키],INDEX(합계표[사번키],$X89),상세표[기록월],대상월키))</f>
        <v/>
      </c>
      <c r="H89">
        <f>IF($X89="","",IF(ABS($F89-$G89)&lt;0.01,"일치","불일치(차이 "&amp;TEXT($G89-$F89,"0.00")&amp;")"))</f>
        <v/>
      </c>
      <c r="I89" s="20">
        <f>IF($X89="","",SUMIFS(상세표[기록 시간외],상세표[사번키],INDEX(합계표[사번키],$X89),상세표[기록월],대상월키,상세표[반영월],"&lt;&gt;"&amp;대상월키))</f>
        <v/>
      </c>
      <c r="J89" s="20">
        <f>IF($X89="","",SUMIFS(상세표[기록 시간외],상세표[사번키],INDEX(합계표[사번키],$X89),상세표[기록월],"&lt;&gt;"&amp;대상월키,상세표[반영월],대상월키))</f>
        <v/>
      </c>
      <c r="K89" s="20">
        <f>IF($X89="","",SUMIFS(상세표[기록 시간외],상세표[사번키],INDEX(합계표[사번키],$X89),상세표[반영월],대상월키))</f>
        <v/>
      </c>
      <c r="L89">
        <f>IF($X89="","",IFERROR(INDEX(월별근무지표[적용 급여병원],MATCH(INDEX(합계표[사번키],$X89)&amp;"|"&amp;대상월키,월별근무지표[키],0))&amp;"",IF(COUNTIF(기관표[사번키],INDEX(합계표[사번키],$X89))+COUNTIF(월별근무지표[사번키],INDEX(합계표[사번키],$X89))&gt;0,IFERROR(INDEX(기관표[급여지급병원(기준월)],MATCH(INDEX(합계표[사번키],$X89)&amp;"|"&amp;대상월키,기관표[키],0))&amp;"","—"),"—")))</f>
        <v/>
      </c>
      <c r="M89">
        <f>IF($X89="","",IF(NOT(COUNTIF(기관표[사번키],INDEX(합계표[사번키],$X89))+COUNTIF(월별근무지표[사번키],INDEX(합계표[사번키],$X89))&gt;0),"기관명단에 없음(다른 병원으로 발송)",IF($L89="서울병원","해당",IF(N($R89)&gt;0,"해당(말일 근무)",IF($L89="—","대상월 기관명단 없음(추가 필요)","비해당")))))</f>
        <v/>
      </c>
      <c r="N89" s="20">
        <f>IF($X89="","",SUMIFS(상세표[06~07시],상세표[사번키],INDEX(합계표[사번키],$X89),상세표[반영월],대상월키,상세표[반영 기관],"서울병원"))</f>
        <v/>
      </c>
      <c r="O89" s="20">
        <f>IF($X89="","",SUMIFS(상세표[07~18시],상세표[사번키],INDEX(합계표[사번키],$X89),상세표[반영월],대상월키,상세표[반영 기관],"서울병원"))</f>
        <v/>
      </c>
      <c r="P89" s="20">
        <f>IF($X89="","",SUMIFS(상세표[18~22시],상세표[사번키],INDEX(합계표[사번키],$X89),상세표[반영월],대상월키,상세표[반영 기관],"서울병원"))</f>
        <v/>
      </c>
      <c r="Q89" s="20">
        <f>IF($X89="","",SUMIFS(상세표[22~06시],상세표[사번키],INDEX(합계표[사번키],$X89),상세표[반영월],대상월키,상세표[반영 기관],"서울병원"))</f>
        <v/>
      </c>
      <c r="R89" s="20">
        <f>IF($X89="","",SUM($N89:$Q89))</f>
        <v/>
      </c>
      <c r="S89">
        <f>IF($X89="","",COUNTIFS(상세표[사번키],INDEX(합계표[사번키],$X89),상세표[반영월],대상월키,상세표[야간당직],1,상세표[야간 구분],"평일"))</f>
        <v/>
      </c>
      <c r="T89">
        <f>IF($X89="","",COUNTIFS(상세표[사번키],INDEX(합계표[사번키],$X89),상세표[반영월],대상월키,상세표[야간당직],1,상세표[야간 구분],"휴일"))</f>
        <v/>
      </c>
      <c r="U89">
        <f>IF($X89="","",COUNTIFS(상세표[사번키],INDEX(합계표[사번키],$X89),상세표[반영월],대상월키,상세표[야간당직],1,상세표[야간 구분],"평일",상세표[반영 기관],"서울병원"))</f>
        <v/>
      </c>
      <c r="V89">
        <f>IF($X89="","",COUNTIFS(상세표[사번키],INDEX(합계표[사번키],$X89),상세표[반영월],대상월키,상세표[야간당직],1,상세표[야간 구분],"휴일",상세표[반영 기관],"서울병원"))</f>
        <v/>
      </c>
      <c r="W89">
        <f>IF($X89="","",IF(ISNUMBER(MATCH(INDEX(합계표[사번키],$X89)&amp;"|"&amp;대상월키,월별근무지표[키],0)),"직접 입력",IF($L89="—","—","기관명단")))</f>
        <v/>
      </c>
      <c r="X89" s="4">
        <f>IFERROR(MATCH(84,합계표[판정순번],0),"")</f>
        <v/>
      </c>
      <c r="Z89">
        <f>IF($AC89="","",INDEX(상세표[사번],$AC89)&amp;"")</f>
        <v/>
      </c>
      <c r="AA89">
        <f>IF($AC89="","",INDEX(상세표[성명],$AC89)&amp;"")</f>
        <v/>
      </c>
      <c r="AB89" s="20">
        <f>IF($AC89="","",SUMIFS(상세표[기록 시간외],상세표[사번키],INDEX(상세표[사번키],$AC89),상세표[반영월],대상월키))</f>
        <v/>
      </c>
      <c r="AC89" s="4">
        <f>IFERROR(MATCH(84,상세표[합계없음순번],0),"")</f>
        <v/>
      </c>
    </row>
    <row r="90">
      <c r="A90">
        <f>IF($X90="","",INDEX(합계표[사번],$X90)&amp;"")</f>
        <v/>
      </c>
      <c r="B90">
        <f>IF($X90="","",INDEX(합계표[성명],$X90)&amp;"")</f>
        <v/>
      </c>
      <c r="C90">
        <f>IF($X90="","",INDEX(합계표[부서],$X90)&amp;"")</f>
        <v/>
      </c>
      <c r="D90">
        <f>IF($X90="","",INDEX(합계표[직위(요약)],$X90)&amp;"")</f>
        <v/>
      </c>
      <c r="E90">
        <f>IF($X90="","",INDEX(합계표[직급 공존],$X90)&amp;"")</f>
        <v/>
      </c>
      <c r="F90" s="20">
        <f>IF($X90="","",SUMIFS(합계표[시스템 합계],합계표[사번키],INDEX(합계표[사번키],$X90)))</f>
        <v/>
      </c>
      <c r="G90" s="20">
        <f>IF($X90="","",SUMIFS(상세표[기록 시간외],상세표[사번키],INDEX(합계표[사번키],$X90),상세표[기록월],대상월키))</f>
        <v/>
      </c>
      <c r="H90">
        <f>IF($X90="","",IF(ABS($F90-$G90)&lt;0.01,"일치","불일치(차이 "&amp;TEXT($G90-$F90,"0.00")&amp;")"))</f>
        <v/>
      </c>
      <c r="I90" s="20">
        <f>IF($X90="","",SUMIFS(상세표[기록 시간외],상세표[사번키],INDEX(합계표[사번키],$X90),상세표[기록월],대상월키,상세표[반영월],"&lt;&gt;"&amp;대상월키))</f>
        <v/>
      </c>
      <c r="J90" s="20">
        <f>IF($X90="","",SUMIFS(상세표[기록 시간외],상세표[사번키],INDEX(합계표[사번키],$X90),상세표[기록월],"&lt;&gt;"&amp;대상월키,상세표[반영월],대상월키))</f>
        <v/>
      </c>
      <c r="K90" s="20">
        <f>IF($X90="","",SUMIFS(상세표[기록 시간외],상세표[사번키],INDEX(합계표[사번키],$X90),상세표[반영월],대상월키))</f>
        <v/>
      </c>
      <c r="L90">
        <f>IF($X90="","",IFERROR(INDEX(월별근무지표[적용 급여병원],MATCH(INDEX(합계표[사번키],$X90)&amp;"|"&amp;대상월키,월별근무지표[키],0))&amp;"",IF(COUNTIF(기관표[사번키],INDEX(합계표[사번키],$X90))+COUNTIF(월별근무지표[사번키],INDEX(합계표[사번키],$X90))&gt;0,IFERROR(INDEX(기관표[급여지급병원(기준월)],MATCH(INDEX(합계표[사번키],$X90)&amp;"|"&amp;대상월키,기관표[키],0))&amp;"","—"),"—")))</f>
        <v/>
      </c>
      <c r="M90">
        <f>IF($X90="","",IF(NOT(COUNTIF(기관표[사번키],INDEX(합계표[사번키],$X90))+COUNTIF(월별근무지표[사번키],INDEX(합계표[사번키],$X90))&gt;0),"기관명단에 없음(다른 병원으로 발송)",IF($L90="서울병원","해당",IF(N($R90)&gt;0,"해당(말일 근무)",IF($L90="—","대상월 기관명단 없음(추가 필요)","비해당")))))</f>
        <v/>
      </c>
      <c r="N90" s="20">
        <f>IF($X90="","",SUMIFS(상세표[06~07시],상세표[사번키],INDEX(합계표[사번키],$X90),상세표[반영월],대상월키,상세표[반영 기관],"서울병원"))</f>
        <v/>
      </c>
      <c r="O90" s="20">
        <f>IF($X90="","",SUMIFS(상세표[07~18시],상세표[사번키],INDEX(합계표[사번키],$X90),상세표[반영월],대상월키,상세표[반영 기관],"서울병원"))</f>
        <v/>
      </c>
      <c r="P90" s="20">
        <f>IF($X90="","",SUMIFS(상세표[18~22시],상세표[사번키],INDEX(합계표[사번키],$X90),상세표[반영월],대상월키,상세표[반영 기관],"서울병원"))</f>
        <v/>
      </c>
      <c r="Q90" s="20">
        <f>IF($X90="","",SUMIFS(상세표[22~06시],상세표[사번키],INDEX(합계표[사번키],$X90),상세표[반영월],대상월키,상세표[반영 기관],"서울병원"))</f>
        <v/>
      </c>
      <c r="R90" s="20">
        <f>IF($X90="","",SUM($N90:$Q90))</f>
        <v/>
      </c>
      <c r="S90">
        <f>IF($X90="","",COUNTIFS(상세표[사번키],INDEX(합계표[사번키],$X90),상세표[반영월],대상월키,상세표[야간당직],1,상세표[야간 구분],"평일"))</f>
        <v/>
      </c>
      <c r="T90">
        <f>IF($X90="","",COUNTIFS(상세표[사번키],INDEX(합계표[사번키],$X90),상세표[반영월],대상월키,상세표[야간당직],1,상세표[야간 구분],"휴일"))</f>
        <v/>
      </c>
      <c r="U90">
        <f>IF($X90="","",COUNTIFS(상세표[사번키],INDEX(합계표[사번키],$X90),상세표[반영월],대상월키,상세표[야간당직],1,상세표[야간 구분],"평일",상세표[반영 기관],"서울병원"))</f>
        <v/>
      </c>
      <c r="V90">
        <f>IF($X90="","",COUNTIFS(상세표[사번키],INDEX(합계표[사번키],$X90),상세표[반영월],대상월키,상세표[야간당직],1,상세표[야간 구분],"휴일",상세표[반영 기관],"서울병원"))</f>
        <v/>
      </c>
      <c r="W90">
        <f>IF($X90="","",IF(ISNUMBER(MATCH(INDEX(합계표[사번키],$X90)&amp;"|"&amp;대상월키,월별근무지표[키],0)),"직접 입력",IF($L90="—","—","기관명단")))</f>
        <v/>
      </c>
      <c r="X90" s="4">
        <f>IFERROR(MATCH(85,합계표[판정순번],0),"")</f>
        <v/>
      </c>
      <c r="Z90">
        <f>IF($AC90="","",INDEX(상세표[사번],$AC90)&amp;"")</f>
        <v/>
      </c>
      <c r="AA90">
        <f>IF($AC90="","",INDEX(상세표[성명],$AC90)&amp;"")</f>
        <v/>
      </c>
      <c r="AB90" s="20">
        <f>IF($AC90="","",SUMIFS(상세표[기록 시간외],상세표[사번키],INDEX(상세표[사번키],$AC90),상세표[반영월],대상월키))</f>
        <v/>
      </c>
      <c r="AC90" s="4">
        <f>IFERROR(MATCH(85,상세표[합계없음순번],0),"")</f>
        <v/>
      </c>
    </row>
    <row r="91">
      <c r="A91">
        <f>IF($X91="","",INDEX(합계표[사번],$X91)&amp;"")</f>
        <v/>
      </c>
      <c r="B91">
        <f>IF($X91="","",INDEX(합계표[성명],$X91)&amp;"")</f>
        <v/>
      </c>
      <c r="C91">
        <f>IF($X91="","",INDEX(합계표[부서],$X91)&amp;"")</f>
        <v/>
      </c>
      <c r="D91">
        <f>IF($X91="","",INDEX(합계표[직위(요약)],$X91)&amp;"")</f>
        <v/>
      </c>
      <c r="E91">
        <f>IF($X91="","",INDEX(합계표[직급 공존],$X91)&amp;"")</f>
        <v/>
      </c>
      <c r="F91" s="20">
        <f>IF($X91="","",SUMIFS(합계표[시스템 합계],합계표[사번키],INDEX(합계표[사번키],$X91)))</f>
        <v/>
      </c>
      <c r="G91" s="20">
        <f>IF($X91="","",SUMIFS(상세표[기록 시간외],상세표[사번키],INDEX(합계표[사번키],$X91),상세표[기록월],대상월키))</f>
        <v/>
      </c>
      <c r="H91">
        <f>IF($X91="","",IF(ABS($F91-$G91)&lt;0.01,"일치","불일치(차이 "&amp;TEXT($G91-$F91,"0.00")&amp;")"))</f>
        <v/>
      </c>
      <c r="I91" s="20">
        <f>IF($X91="","",SUMIFS(상세표[기록 시간외],상세표[사번키],INDEX(합계표[사번키],$X91),상세표[기록월],대상월키,상세표[반영월],"&lt;&gt;"&amp;대상월키))</f>
        <v/>
      </c>
      <c r="J91" s="20">
        <f>IF($X91="","",SUMIFS(상세표[기록 시간외],상세표[사번키],INDEX(합계표[사번키],$X91),상세표[기록월],"&lt;&gt;"&amp;대상월키,상세표[반영월],대상월키))</f>
        <v/>
      </c>
      <c r="K91" s="20">
        <f>IF($X91="","",SUMIFS(상세표[기록 시간외],상세표[사번키],INDEX(합계표[사번키],$X91),상세표[반영월],대상월키))</f>
        <v/>
      </c>
      <c r="L91">
        <f>IF($X91="","",IFERROR(INDEX(월별근무지표[적용 급여병원],MATCH(INDEX(합계표[사번키],$X91)&amp;"|"&amp;대상월키,월별근무지표[키],0))&amp;"",IF(COUNTIF(기관표[사번키],INDEX(합계표[사번키],$X91))+COUNTIF(월별근무지표[사번키],INDEX(합계표[사번키],$X91))&gt;0,IFERROR(INDEX(기관표[급여지급병원(기준월)],MATCH(INDEX(합계표[사번키],$X91)&amp;"|"&amp;대상월키,기관표[키],0))&amp;"","—"),"—")))</f>
        <v/>
      </c>
      <c r="M91">
        <f>IF($X91="","",IF(NOT(COUNTIF(기관표[사번키],INDEX(합계표[사번키],$X91))+COUNTIF(월별근무지표[사번키],INDEX(합계표[사번키],$X91))&gt;0),"기관명단에 없음(다른 병원으로 발송)",IF($L91="서울병원","해당",IF(N($R91)&gt;0,"해당(말일 근무)",IF($L91="—","대상월 기관명단 없음(추가 필요)","비해당")))))</f>
        <v/>
      </c>
      <c r="N91" s="20">
        <f>IF($X91="","",SUMIFS(상세표[06~07시],상세표[사번키],INDEX(합계표[사번키],$X91),상세표[반영월],대상월키,상세표[반영 기관],"서울병원"))</f>
        <v/>
      </c>
      <c r="O91" s="20">
        <f>IF($X91="","",SUMIFS(상세표[07~18시],상세표[사번키],INDEX(합계표[사번키],$X91),상세표[반영월],대상월키,상세표[반영 기관],"서울병원"))</f>
        <v/>
      </c>
      <c r="P91" s="20">
        <f>IF($X91="","",SUMIFS(상세표[18~22시],상세표[사번키],INDEX(합계표[사번키],$X91),상세표[반영월],대상월키,상세표[반영 기관],"서울병원"))</f>
        <v/>
      </c>
      <c r="Q91" s="20">
        <f>IF($X91="","",SUMIFS(상세표[22~06시],상세표[사번키],INDEX(합계표[사번키],$X91),상세표[반영월],대상월키,상세표[반영 기관],"서울병원"))</f>
        <v/>
      </c>
      <c r="R91" s="20">
        <f>IF($X91="","",SUM($N91:$Q91))</f>
        <v/>
      </c>
      <c r="S91">
        <f>IF($X91="","",COUNTIFS(상세표[사번키],INDEX(합계표[사번키],$X91),상세표[반영월],대상월키,상세표[야간당직],1,상세표[야간 구분],"평일"))</f>
        <v/>
      </c>
      <c r="T91">
        <f>IF($X91="","",COUNTIFS(상세표[사번키],INDEX(합계표[사번키],$X91),상세표[반영월],대상월키,상세표[야간당직],1,상세표[야간 구분],"휴일"))</f>
        <v/>
      </c>
      <c r="U91">
        <f>IF($X91="","",COUNTIFS(상세표[사번키],INDEX(합계표[사번키],$X91),상세표[반영월],대상월키,상세표[야간당직],1,상세표[야간 구분],"평일",상세표[반영 기관],"서울병원"))</f>
        <v/>
      </c>
      <c r="V91">
        <f>IF($X91="","",COUNTIFS(상세표[사번키],INDEX(합계표[사번키],$X91),상세표[반영월],대상월키,상세표[야간당직],1,상세표[야간 구분],"휴일",상세표[반영 기관],"서울병원"))</f>
        <v/>
      </c>
      <c r="W91">
        <f>IF($X91="","",IF(ISNUMBER(MATCH(INDEX(합계표[사번키],$X91)&amp;"|"&amp;대상월키,월별근무지표[키],0)),"직접 입력",IF($L91="—","—","기관명단")))</f>
        <v/>
      </c>
      <c r="X91" s="4">
        <f>IFERROR(MATCH(86,합계표[판정순번],0),"")</f>
        <v/>
      </c>
      <c r="Z91">
        <f>IF($AC91="","",INDEX(상세표[사번],$AC91)&amp;"")</f>
        <v/>
      </c>
      <c r="AA91">
        <f>IF($AC91="","",INDEX(상세표[성명],$AC91)&amp;"")</f>
        <v/>
      </c>
      <c r="AB91" s="20">
        <f>IF($AC91="","",SUMIFS(상세표[기록 시간외],상세표[사번키],INDEX(상세표[사번키],$AC91),상세표[반영월],대상월키))</f>
        <v/>
      </c>
      <c r="AC91" s="4">
        <f>IFERROR(MATCH(86,상세표[합계없음순번],0),"")</f>
        <v/>
      </c>
    </row>
    <row r="92">
      <c r="A92">
        <f>IF($X92="","",INDEX(합계표[사번],$X92)&amp;"")</f>
        <v/>
      </c>
      <c r="B92">
        <f>IF($X92="","",INDEX(합계표[성명],$X92)&amp;"")</f>
        <v/>
      </c>
      <c r="C92">
        <f>IF($X92="","",INDEX(합계표[부서],$X92)&amp;"")</f>
        <v/>
      </c>
      <c r="D92">
        <f>IF($X92="","",INDEX(합계표[직위(요약)],$X92)&amp;"")</f>
        <v/>
      </c>
      <c r="E92">
        <f>IF($X92="","",INDEX(합계표[직급 공존],$X92)&amp;"")</f>
        <v/>
      </c>
      <c r="F92" s="20">
        <f>IF($X92="","",SUMIFS(합계표[시스템 합계],합계표[사번키],INDEX(합계표[사번키],$X92)))</f>
        <v/>
      </c>
      <c r="G92" s="20">
        <f>IF($X92="","",SUMIFS(상세표[기록 시간외],상세표[사번키],INDEX(합계표[사번키],$X92),상세표[기록월],대상월키))</f>
        <v/>
      </c>
      <c r="H92">
        <f>IF($X92="","",IF(ABS($F92-$G92)&lt;0.01,"일치","불일치(차이 "&amp;TEXT($G92-$F92,"0.00")&amp;")"))</f>
        <v/>
      </c>
      <c r="I92" s="20">
        <f>IF($X92="","",SUMIFS(상세표[기록 시간외],상세표[사번키],INDEX(합계표[사번키],$X92),상세표[기록월],대상월키,상세표[반영월],"&lt;&gt;"&amp;대상월키))</f>
        <v/>
      </c>
      <c r="J92" s="20">
        <f>IF($X92="","",SUMIFS(상세표[기록 시간외],상세표[사번키],INDEX(합계표[사번키],$X92),상세표[기록월],"&lt;&gt;"&amp;대상월키,상세표[반영월],대상월키))</f>
        <v/>
      </c>
      <c r="K92" s="20">
        <f>IF($X92="","",SUMIFS(상세표[기록 시간외],상세표[사번키],INDEX(합계표[사번키],$X92),상세표[반영월],대상월키))</f>
        <v/>
      </c>
      <c r="L92">
        <f>IF($X92="","",IFERROR(INDEX(월별근무지표[적용 급여병원],MATCH(INDEX(합계표[사번키],$X92)&amp;"|"&amp;대상월키,월별근무지표[키],0))&amp;"",IF(COUNTIF(기관표[사번키],INDEX(합계표[사번키],$X92))+COUNTIF(월별근무지표[사번키],INDEX(합계표[사번키],$X92))&gt;0,IFERROR(INDEX(기관표[급여지급병원(기준월)],MATCH(INDEX(합계표[사번키],$X92)&amp;"|"&amp;대상월키,기관표[키],0))&amp;"","—"),"—")))</f>
        <v/>
      </c>
      <c r="M92">
        <f>IF($X92="","",IF(NOT(COUNTIF(기관표[사번키],INDEX(합계표[사번키],$X92))+COUNTIF(월별근무지표[사번키],INDEX(합계표[사번키],$X92))&gt;0),"기관명단에 없음(다른 병원으로 발송)",IF($L92="서울병원","해당",IF(N($R92)&gt;0,"해당(말일 근무)",IF($L92="—","대상월 기관명단 없음(추가 필요)","비해당")))))</f>
        <v/>
      </c>
      <c r="N92" s="20">
        <f>IF($X92="","",SUMIFS(상세표[06~07시],상세표[사번키],INDEX(합계표[사번키],$X92),상세표[반영월],대상월키,상세표[반영 기관],"서울병원"))</f>
        <v/>
      </c>
      <c r="O92" s="20">
        <f>IF($X92="","",SUMIFS(상세표[07~18시],상세표[사번키],INDEX(합계표[사번키],$X92),상세표[반영월],대상월키,상세표[반영 기관],"서울병원"))</f>
        <v/>
      </c>
      <c r="P92" s="20">
        <f>IF($X92="","",SUMIFS(상세표[18~22시],상세표[사번키],INDEX(합계표[사번키],$X92),상세표[반영월],대상월키,상세표[반영 기관],"서울병원"))</f>
        <v/>
      </c>
      <c r="Q92" s="20">
        <f>IF($X92="","",SUMIFS(상세표[22~06시],상세표[사번키],INDEX(합계표[사번키],$X92),상세표[반영월],대상월키,상세표[반영 기관],"서울병원"))</f>
        <v/>
      </c>
      <c r="R92" s="20">
        <f>IF($X92="","",SUM($N92:$Q92))</f>
        <v/>
      </c>
      <c r="S92">
        <f>IF($X92="","",COUNTIFS(상세표[사번키],INDEX(합계표[사번키],$X92),상세표[반영월],대상월키,상세표[야간당직],1,상세표[야간 구분],"평일"))</f>
        <v/>
      </c>
      <c r="T92">
        <f>IF($X92="","",COUNTIFS(상세표[사번키],INDEX(합계표[사번키],$X92),상세표[반영월],대상월키,상세표[야간당직],1,상세표[야간 구분],"휴일"))</f>
        <v/>
      </c>
      <c r="U92">
        <f>IF($X92="","",COUNTIFS(상세표[사번키],INDEX(합계표[사번키],$X92),상세표[반영월],대상월키,상세표[야간당직],1,상세표[야간 구분],"평일",상세표[반영 기관],"서울병원"))</f>
        <v/>
      </c>
      <c r="V92">
        <f>IF($X92="","",COUNTIFS(상세표[사번키],INDEX(합계표[사번키],$X92),상세표[반영월],대상월키,상세표[야간당직],1,상세표[야간 구분],"휴일",상세표[반영 기관],"서울병원"))</f>
        <v/>
      </c>
      <c r="W92">
        <f>IF($X92="","",IF(ISNUMBER(MATCH(INDEX(합계표[사번키],$X92)&amp;"|"&amp;대상월키,월별근무지표[키],0)),"직접 입력",IF($L92="—","—","기관명단")))</f>
        <v/>
      </c>
      <c r="X92" s="4">
        <f>IFERROR(MATCH(87,합계표[판정순번],0),"")</f>
        <v/>
      </c>
      <c r="Z92">
        <f>IF($AC92="","",INDEX(상세표[사번],$AC92)&amp;"")</f>
        <v/>
      </c>
      <c r="AA92">
        <f>IF($AC92="","",INDEX(상세표[성명],$AC92)&amp;"")</f>
        <v/>
      </c>
      <c r="AB92" s="20">
        <f>IF($AC92="","",SUMIFS(상세표[기록 시간외],상세표[사번키],INDEX(상세표[사번키],$AC92),상세표[반영월],대상월키))</f>
        <v/>
      </c>
      <c r="AC92" s="4">
        <f>IFERROR(MATCH(87,상세표[합계없음순번],0),"")</f>
        <v/>
      </c>
    </row>
    <row r="93">
      <c r="A93">
        <f>IF($X93="","",INDEX(합계표[사번],$X93)&amp;"")</f>
        <v/>
      </c>
      <c r="B93">
        <f>IF($X93="","",INDEX(합계표[성명],$X93)&amp;"")</f>
        <v/>
      </c>
      <c r="C93">
        <f>IF($X93="","",INDEX(합계표[부서],$X93)&amp;"")</f>
        <v/>
      </c>
      <c r="D93">
        <f>IF($X93="","",INDEX(합계표[직위(요약)],$X93)&amp;"")</f>
        <v/>
      </c>
      <c r="E93">
        <f>IF($X93="","",INDEX(합계표[직급 공존],$X93)&amp;"")</f>
        <v/>
      </c>
      <c r="F93" s="20">
        <f>IF($X93="","",SUMIFS(합계표[시스템 합계],합계표[사번키],INDEX(합계표[사번키],$X93)))</f>
        <v/>
      </c>
      <c r="G93" s="20">
        <f>IF($X93="","",SUMIFS(상세표[기록 시간외],상세표[사번키],INDEX(합계표[사번키],$X93),상세표[기록월],대상월키))</f>
        <v/>
      </c>
      <c r="H93">
        <f>IF($X93="","",IF(ABS($F93-$G93)&lt;0.01,"일치","불일치(차이 "&amp;TEXT($G93-$F93,"0.00")&amp;")"))</f>
        <v/>
      </c>
      <c r="I93" s="20">
        <f>IF($X93="","",SUMIFS(상세표[기록 시간외],상세표[사번키],INDEX(합계표[사번키],$X93),상세표[기록월],대상월키,상세표[반영월],"&lt;&gt;"&amp;대상월키))</f>
        <v/>
      </c>
      <c r="J93" s="20">
        <f>IF($X93="","",SUMIFS(상세표[기록 시간외],상세표[사번키],INDEX(합계표[사번키],$X93),상세표[기록월],"&lt;&gt;"&amp;대상월키,상세표[반영월],대상월키))</f>
        <v/>
      </c>
      <c r="K93" s="20">
        <f>IF($X93="","",SUMIFS(상세표[기록 시간외],상세표[사번키],INDEX(합계표[사번키],$X93),상세표[반영월],대상월키))</f>
        <v/>
      </c>
      <c r="L93">
        <f>IF($X93="","",IFERROR(INDEX(월별근무지표[적용 급여병원],MATCH(INDEX(합계표[사번키],$X93)&amp;"|"&amp;대상월키,월별근무지표[키],0))&amp;"",IF(COUNTIF(기관표[사번키],INDEX(합계표[사번키],$X93))+COUNTIF(월별근무지표[사번키],INDEX(합계표[사번키],$X93))&gt;0,IFERROR(INDEX(기관표[급여지급병원(기준월)],MATCH(INDEX(합계표[사번키],$X93)&amp;"|"&amp;대상월키,기관표[키],0))&amp;"","—"),"—")))</f>
        <v/>
      </c>
      <c r="M93">
        <f>IF($X93="","",IF(NOT(COUNTIF(기관표[사번키],INDEX(합계표[사번키],$X93))+COUNTIF(월별근무지표[사번키],INDEX(합계표[사번키],$X93))&gt;0),"기관명단에 없음(다른 병원으로 발송)",IF($L93="서울병원","해당",IF(N($R93)&gt;0,"해당(말일 근무)",IF($L93="—","대상월 기관명단 없음(추가 필요)","비해당")))))</f>
        <v/>
      </c>
      <c r="N93" s="20">
        <f>IF($X93="","",SUMIFS(상세표[06~07시],상세표[사번키],INDEX(합계표[사번키],$X93),상세표[반영월],대상월키,상세표[반영 기관],"서울병원"))</f>
        <v/>
      </c>
      <c r="O93" s="20">
        <f>IF($X93="","",SUMIFS(상세표[07~18시],상세표[사번키],INDEX(합계표[사번키],$X93),상세표[반영월],대상월키,상세표[반영 기관],"서울병원"))</f>
        <v/>
      </c>
      <c r="P93" s="20">
        <f>IF($X93="","",SUMIFS(상세표[18~22시],상세표[사번키],INDEX(합계표[사번키],$X93),상세표[반영월],대상월키,상세표[반영 기관],"서울병원"))</f>
        <v/>
      </c>
      <c r="Q93" s="20">
        <f>IF($X93="","",SUMIFS(상세표[22~06시],상세표[사번키],INDEX(합계표[사번키],$X93),상세표[반영월],대상월키,상세표[반영 기관],"서울병원"))</f>
        <v/>
      </c>
      <c r="R93" s="20">
        <f>IF($X93="","",SUM($N93:$Q93))</f>
        <v/>
      </c>
      <c r="S93">
        <f>IF($X93="","",COUNTIFS(상세표[사번키],INDEX(합계표[사번키],$X93),상세표[반영월],대상월키,상세표[야간당직],1,상세표[야간 구분],"평일"))</f>
        <v/>
      </c>
      <c r="T93">
        <f>IF($X93="","",COUNTIFS(상세표[사번키],INDEX(합계표[사번키],$X93),상세표[반영월],대상월키,상세표[야간당직],1,상세표[야간 구분],"휴일"))</f>
        <v/>
      </c>
      <c r="U93">
        <f>IF($X93="","",COUNTIFS(상세표[사번키],INDEX(합계표[사번키],$X93),상세표[반영월],대상월키,상세표[야간당직],1,상세표[야간 구분],"평일",상세표[반영 기관],"서울병원"))</f>
        <v/>
      </c>
      <c r="V93">
        <f>IF($X93="","",COUNTIFS(상세표[사번키],INDEX(합계표[사번키],$X93),상세표[반영월],대상월키,상세표[야간당직],1,상세표[야간 구분],"휴일",상세표[반영 기관],"서울병원"))</f>
        <v/>
      </c>
      <c r="W93">
        <f>IF($X93="","",IF(ISNUMBER(MATCH(INDEX(합계표[사번키],$X93)&amp;"|"&amp;대상월키,월별근무지표[키],0)),"직접 입력",IF($L93="—","—","기관명단")))</f>
        <v/>
      </c>
      <c r="X93" s="4">
        <f>IFERROR(MATCH(88,합계표[판정순번],0),"")</f>
        <v/>
      </c>
      <c r="Z93">
        <f>IF($AC93="","",INDEX(상세표[사번],$AC93)&amp;"")</f>
        <v/>
      </c>
      <c r="AA93">
        <f>IF($AC93="","",INDEX(상세표[성명],$AC93)&amp;"")</f>
        <v/>
      </c>
      <c r="AB93" s="20">
        <f>IF($AC93="","",SUMIFS(상세표[기록 시간외],상세표[사번키],INDEX(상세표[사번키],$AC93),상세표[반영월],대상월키))</f>
        <v/>
      </c>
      <c r="AC93" s="4">
        <f>IFERROR(MATCH(88,상세표[합계없음순번],0),"")</f>
        <v/>
      </c>
    </row>
    <row r="94">
      <c r="A94">
        <f>IF($X94="","",INDEX(합계표[사번],$X94)&amp;"")</f>
        <v/>
      </c>
      <c r="B94">
        <f>IF($X94="","",INDEX(합계표[성명],$X94)&amp;"")</f>
        <v/>
      </c>
      <c r="C94">
        <f>IF($X94="","",INDEX(합계표[부서],$X94)&amp;"")</f>
        <v/>
      </c>
      <c r="D94">
        <f>IF($X94="","",INDEX(합계표[직위(요약)],$X94)&amp;"")</f>
        <v/>
      </c>
      <c r="E94">
        <f>IF($X94="","",INDEX(합계표[직급 공존],$X94)&amp;"")</f>
        <v/>
      </c>
      <c r="F94" s="20">
        <f>IF($X94="","",SUMIFS(합계표[시스템 합계],합계표[사번키],INDEX(합계표[사번키],$X94)))</f>
        <v/>
      </c>
      <c r="G94" s="20">
        <f>IF($X94="","",SUMIFS(상세표[기록 시간외],상세표[사번키],INDEX(합계표[사번키],$X94),상세표[기록월],대상월키))</f>
        <v/>
      </c>
      <c r="H94">
        <f>IF($X94="","",IF(ABS($F94-$G94)&lt;0.01,"일치","불일치(차이 "&amp;TEXT($G94-$F94,"0.00")&amp;")"))</f>
        <v/>
      </c>
      <c r="I94" s="20">
        <f>IF($X94="","",SUMIFS(상세표[기록 시간외],상세표[사번키],INDEX(합계표[사번키],$X94),상세표[기록월],대상월키,상세표[반영월],"&lt;&gt;"&amp;대상월키))</f>
        <v/>
      </c>
      <c r="J94" s="20">
        <f>IF($X94="","",SUMIFS(상세표[기록 시간외],상세표[사번키],INDEX(합계표[사번키],$X94),상세표[기록월],"&lt;&gt;"&amp;대상월키,상세표[반영월],대상월키))</f>
        <v/>
      </c>
      <c r="K94" s="20">
        <f>IF($X94="","",SUMIFS(상세표[기록 시간외],상세표[사번키],INDEX(합계표[사번키],$X94),상세표[반영월],대상월키))</f>
        <v/>
      </c>
      <c r="L94">
        <f>IF($X94="","",IFERROR(INDEX(월별근무지표[적용 급여병원],MATCH(INDEX(합계표[사번키],$X94)&amp;"|"&amp;대상월키,월별근무지표[키],0))&amp;"",IF(COUNTIF(기관표[사번키],INDEX(합계표[사번키],$X94))+COUNTIF(월별근무지표[사번키],INDEX(합계표[사번키],$X94))&gt;0,IFERROR(INDEX(기관표[급여지급병원(기준월)],MATCH(INDEX(합계표[사번키],$X94)&amp;"|"&amp;대상월키,기관표[키],0))&amp;"","—"),"—")))</f>
        <v/>
      </c>
      <c r="M94">
        <f>IF($X94="","",IF(NOT(COUNTIF(기관표[사번키],INDEX(합계표[사번키],$X94))+COUNTIF(월별근무지표[사번키],INDEX(합계표[사번키],$X94))&gt;0),"기관명단에 없음(다른 병원으로 발송)",IF($L94="서울병원","해당",IF(N($R94)&gt;0,"해당(말일 근무)",IF($L94="—","대상월 기관명단 없음(추가 필요)","비해당")))))</f>
        <v/>
      </c>
      <c r="N94" s="20">
        <f>IF($X94="","",SUMIFS(상세표[06~07시],상세표[사번키],INDEX(합계표[사번키],$X94),상세표[반영월],대상월키,상세표[반영 기관],"서울병원"))</f>
        <v/>
      </c>
      <c r="O94" s="20">
        <f>IF($X94="","",SUMIFS(상세표[07~18시],상세표[사번키],INDEX(합계표[사번키],$X94),상세표[반영월],대상월키,상세표[반영 기관],"서울병원"))</f>
        <v/>
      </c>
      <c r="P94" s="20">
        <f>IF($X94="","",SUMIFS(상세표[18~22시],상세표[사번키],INDEX(합계표[사번키],$X94),상세표[반영월],대상월키,상세표[반영 기관],"서울병원"))</f>
        <v/>
      </c>
      <c r="Q94" s="20">
        <f>IF($X94="","",SUMIFS(상세표[22~06시],상세표[사번키],INDEX(합계표[사번키],$X94),상세표[반영월],대상월키,상세표[반영 기관],"서울병원"))</f>
        <v/>
      </c>
      <c r="R94" s="20">
        <f>IF($X94="","",SUM($N94:$Q94))</f>
        <v/>
      </c>
      <c r="S94">
        <f>IF($X94="","",COUNTIFS(상세표[사번키],INDEX(합계표[사번키],$X94),상세표[반영월],대상월키,상세표[야간당직],1,상세표[야간 구분],"평일"))</f>
        <v/>
      </c>
      <c r="T94">
        <f>IF($X94="","",COUNTIFS(상세표[사번키],INDEX(합계표[사번키],$X94),상세표[반영월],대상월키,상세표[야간당직],1,상세표[야간 구분],"휴일"))</f>
        <v/>
      </c>
      <c r="U94">
        <f>IF($X94="","",COUNTIFS(상세표[사번키],INDEX(합계표[사번키],$X94),상세표[반영월],대상월키,상세표[야간당직],1,상세표[야간 구분],"평일",상세표[반영 기관],"서울병원"))</f>
        <v/>
      </c>
      <c r="V94">
        <f>IF($X94="","",COUNTIFS(상세표[사번키],INDEX(합계표[사번키],$X94),상세표[반영월],대상월키,상세표[야간당직],1,상세표[야간 구분],"휴일",상세표[반영 기관],"서울병원"))</f>
        <v/>
      </c>
      <c r="W94">
        <f>IF($X94="","",IF(ISNUMBER(MATCH(INDEX(합계표[사번키],$X94)&amp;"|"&amp;대상월키,월별근무지표[키],0)),"직접 입력",IF($L94="—","—","기관명단")))</f>
        <v/>
      </c>
      <c r="X94" s="4">
        <f>IFERROR(MATCH(89,합계표[판정순번],0),"")</f>
        <v/>
      </c>
      <c r="Z94">
        <f>IF($AC94="","",INDEX(상세표[사번],$AC94)&amp;"")</f>
        <v/>
      </c>
      <c r="AA94">
        <f>IF($AC94="","",INDEX(상세표[성명],$AC94)&amp;"")</f>
        <v/>
      </c>
      <c r="AB94" s="20">
        <f>IF($AC94="","",SUMIFS(상세표[기록 시간외],상세표[사번키],INDEX(상세표[사번키],$AC94),상세표[반영월],대상월키))</f>
        <v/>
      </c>
      <c r="AC94" s="4">
        <f>IFERROR(MATCH(89,상세표[합계없음순번],0),"")</f>
        <v/>
      </c>
    </row>
    <row r="95">
      <c r="A95">
        <f>IF($X95="","",INDEX(합계표[사번],$X95)&amp;"")</f>
        <v/>
      </c>
      <c r="B95">
        <f>IF($X95="","",INDEX(합계표[성명],$X95)&amp;"")</f>
        <v/>
      </c>
      <c r="C95">
        <f>IF($X95="","",INDEX(합계표[부서],$X95)&amp;"")</f>
        <v/>
      </c>
      <c r="D95">
        <f>IF($X95="","",INDEX(합계표[직위(요약)],$X95)&amp;"")</f>
        <v/>
      </c>
      <c r="E95">
        <f>IF($X95="","",INDEX(합계표[직급 공존],$X95)&amp;"")</f>
        <v/>
      </c>
      <c r="F95" s="20">
        <f>IF($X95="","",SUMIFS(합계표[시스템 합계],합계표[사번키],INDEX(합계표[사번키],$X95)))</f>
        <v/>
      </c>
      <c r="G95" s="20">
        <f>IF($X95="","",SUMIFS(상세표[기록 시간외],상세표[사번키],INDEX(합계표[사번키],$X95),상세표[기록월],대상월키))</f>
        <v/>
      </c>
      <c r="H95">
        <f>IF($X95="","",IF(ABS($F95-$G95)&lt;0.01,"일치","불일치(차이 "&amp;TEXT($G95-$F95,"0.00")&amp;")"))</f>
        <v/>
      </c>
      <c r="I95" s="20">
        <f>IF($X95="","",SUMIFS(상세표[기록 시간외],상세표[사번키],INDEX(합계표[사번키],$X95),상세표[기록월],대상월키,상세표[반영월],"&lt;&gt;"&amp;대상월키))</f>
        <v/>
      </c>
      <c r="J95" s="20">
        <f>IF($X95="","",SUMIFS(상세표[기록 시간외],상세표[사번키],INDEX(합계표[사번키],$X95),상세표[기록월],"&lt;&gt;"&amp;대상월키,상세표[반영월],대상월키))</f>
        <v/>
      </c>
      <c r="K95" s="20">
        <f>IF($X95="","",SUMIFS(상세표[기록 시간외],상세표[사번키],INDEX(합계표[사번키],$X95),상세표[반영월],대상월키))</f>
        <v/>
      </c>
      <c r="L95">
        <f>IF($X95="","",IFERROR(INDEX(월별근무지표[적용 급여병원],MATCH(INDEX(합계표[사번키],$X95)&amp;"|"&amp;대상월키,월별근무지표[키],0))&amp;"",IF(COUNTIF(기관표[사번키],INDEX(합계표[사번키],$X95))+COUNTIF(월별근무지표[사번키],INDEX(합계표[사번키],$X95))&gt;0,IFERROR(INDEX(기관표[급여지급병원(기준월)],MATCH(INDEX(합계표[사번키],$X95)&amp;"|"&amp;대상월키,기관표[키],0))&amp;"","—"),"—")))</f>
        <v/>
      </c>
      <c r="M95">
        <f>IF($X95="","",IF(NOT(COUNTIF(기관표[사번키],INDEX(합계표[사번키],$X95))+COUNTIF(월별근무지표[사번키],INDEX(합계표[사번키],$X95))&gt;0),"기관명단에 없음(다른 병원으로 발송)",IF($L95="서울병원","해당",IF(N($R95)&gt;0,"해당(말일 근무)",IF($L95="—","대상월 기관명단 없음(추가 필요)","비해당")))))</f>
        <v/>
      </c>
      <c r="N95" s="20">
        <f>IF($X95="","",SUMIFS(상세표[06~07시],상세표[사번키],INDEX(합계표[사번키],$X95),상세표[반영월],대상월키,상세표[반영 기관],"서울병원"))</f>
        <v/>
      </c>
      <c r="O95" s="20">
        <f>IF($X95="","",SUMIFS(상세표[07~18시],상세표[사번키],INDEX(합계표[사번키],$X95),상세표[반영월],대상월키,상세표[반영 기관],"서울병원"))</f>
        <v/>
      </c>
      <c r="P95" s="20">
        <f>IF($X95="","",SUMIFS(상세표[18~22시],상세표[사번키],INDEX(합계표[사번키],$X95),상세표[반영월],대상월키,상세표[반영 기관],"서울병원"))</f>
        <v/>
      </c>
      <c r="Q95" s="20">
        <f>IF($X95="","",SUMIFS(상세표[22~06시],상세표[사번키],INDEX(합계표[사번키],$X95),상세표[반영월],대상월키,상세표[반영 기관],"서울병원"))</f>
        <v/>
      </c>
      <c r="R95" s="20">
        <f>IF($X95="","",SUM($N95:$Q95))</f>
        <v/>
      </c>
      <c r="S95">
        <f>IF($X95="","",COUNTIFS(상세표[사번키],INDEX(합계표[사번키],$X95),상세표[반영월],대상월키,상세표[야간당직],1,상세표[야간 구분],"평일"))</f>
        <v/>
      </c>
      <c r="T95">
        <f>IF($X95="","",COUNTIFS(상세표[사번키],INDEX(합계표[사번키],$X95),상세표[반영월],대상월키,상세표[야간당직],1,상세표[야간 구분],"휴일"))</f>
        <v/>
      </c>
      <c r="U95">
        <f>IF($X95="","",COUNTIFS(상세표[사번키],INDEX(합계표[사번키],$X95),상세표[반영월],대상월키,상세표[야간당직],1,상세표[야간 구분],"평일",상세표[반영 기관],"서울병원"))</f>
        <v/>
      </c>
      <c r="V95">
        <f>IF($X95="","",COUNTIFS(상세표[사번키],INDEX(합계표[사번키],$X95),상세표[반영월],대상월키,상세표[야간당직],1,상세표[야간 구분],"휴일",상세표[반영 기관],"서울병원"))</f>
        <v/>
      </c>
      <c r="W95">
        <f>IF($X95="","",IF(ISNUMBER(MATCH(INDEX(합계표[사번키],$X95)&amp;"|"&amp;대상월키,월별근무지표[키],0)),"직접 입력",IF($L95="—","—","기관명단")))</f>
        <v/>
      </c>
      <c r="X95" s="4">
        <f>IFERROR(MATCH(90,합계표[판정순번],0),"")</f>
        <v/>
      </c>
      <c r="Z95">
        <f>IF($AC95="","",INDEX(상세표[사번],$AC95)&amp;"")</f>
        <v/>
      </c>
      <c r="AA95">
        <f>IF($AC95="","",INDEX(상세표[성명],$AC95)&amp;"")</f>
        <v/>
      </c>
      <c r="AB95" s="20">
        <f>IF($AC95="","",SUMIFS(상세표[기록 시간외],상세표[사번키],INDEX(상세표[사번키],$AC95),상세표[반영월],대상월키))</f>
        <v/>
      </c>
      <c r="AC95" s="4">
        <f>IFERROR(MATCH(90,상세표[합계없음순번],0),"")</f>
        <v/>
      </c>
    </row>
    <row r="96">
      <c r="A96">
        <f>IF($X96="","",INDEX(합계표[사번],$X96)&amp;"")</f>
        <v/>
      </c>
      <c r="B96">
        <f>IF($X96="","",INDEX(합계표[성명],$X96)&amp;"")</f>
        <v/>
      </c>
      <c r="C96">
        <f>IF($X96="","",INDEX(합계표[부서],$X96)&amp;"")</f>
        <v/>
      </c>
      <c r="D96">
        <f>IF($X96="","",INDEX(합계표[직위(요약)],$X96)&amp;"")</f>
        <v/>
      </c>
      <c r="E96">
        <f>IF($X96="","",INDEX(합계표[직급 공존],$X96)&amp;"")</f>
        <v/>
      </c>
      <c r="F96" s="20">
        <f>IF($X96="","",SUMIFS(합계표[시스템 합계],합계표[사번키],INDEX(합계표[사번키],$X96)))</f>
        <v/>
      </c>
      <c r="G96" s="20">
        <f>IF($X96="","",SUMIFS(상세표[기록 시간외],상세표[사번키],INDEX(합계표[사번키],$X96),상세표[기록월],대상월키))</f>
        <v/>
      </c>
      <c r="H96">
        <f>IF($X96="","",IF(ABS($F96-$G96)&lt;0.01,"일치","불일치(차이 "&amp;TEXT($G96-$F96,"0.00")&amp;")"))</f>
        <v/>
      </c>
      <c r="I96" s="20">
        <f>IF($X96="","",SUMIFS(상세표[기록 시간외],상세표[사번키],INDEX(합계표[사번키],$X96),상세표[기록월],대상월키,상세표[반영월],"&lt;&gt;"&amp;대상월키))</f>
        <v/>
      </c>
      <c r="J96" s="20">
        <f>IF($X96="","",SUMIFS(상세표[기록 시간외],상세표[사번키],INDEX(합계표[사번키],$X96),상세표[기록월],"&lt;&gt;"&amp;대상월키,상세표[반영월],대상월키))</f>
        <v/>
      </c>
      <c r="K96" s="20">
        <f>IF($X96="","",SUMIFS(상세표[기록 시간외],상세표[사번키],INDEX(합계표[사번키],$X96),상세표[반영월],대상월키))</f>
        <v/>
      </c>
      <c r="L96">
        <f>IF($X96="","",IFERROR(INDEX(월별근무지표[적용 급여병원],MATCH(INDEX(합계표[사번키],$X96)&amp;"|"&amp;대상월키,월별근무지표[키],0))&amp;"",IF(COUNTIF(기관표[사번키],INDEX(합계표[사번키],$X96))+COUNTIF(월별근무지표[사번키],INDEX(합계표[사번키],$X96))&gt;0,IFERROR(INDEX(기관표[급여지급병원(기준월)],MATCH(INDEX(합계표[사번키],$X96)&amp;"|"&amp;대상월키,기관표[키],0))&amp;"","—"),"—")))</f>
        <v/>
      </c>
      <c r="M96">
        <f>IF($X96="","",IF(NOT(COUNTIF(기관표[사번키],INDEX(합계표[사번키],$X96))+COUNTIF(월별근무지표[사번키],INDEX(합계표[사번키],$X96))&gt;0),"기관명단에 없음(다른 병원으로 발송)",IF($L96="서울병원","해당",IF(N($R96)&gt;0,"해당(말일 근무)",IF($L96="—","대상월 기관명단 없음(추가 필요)","비해당")))))</f>
        <v/>
      </c>
      <c r="N96" s="20">
        <f>IF($X96="","",SUMIFS(상세표[06~07시],상세표[사번키],INDEX(합계표[사번키],$X96),상세표[반영월],대상월키,상세표[반영 기관],"서울병원"))</f>
        <v/>
      </c>
      <c r="O96" s="20">
        <f>IF($X96="","",SUMIFS(상세표[07~18시],상세표[사번키],INDEX(합계표[사번키],$X96),상세표[반영월],대상월키,상세표[반영 기관],"서울병원"))</f>
        <v/>
      </c>
      <c r="P96" s="20">
        <f>IF($X96="","",SUMIFS(상세표[18~22시],상세표[사번키],INDEX(합계표[사번키],$X96),상세표[반영월],대상월키,상세표[반영 기관],"서울병원"))</f>
        <v/>
      </c>
      <c r="Q96" s="20">
        <f>IF($X96="","",SUMIFS(상세표[22~06시],상세표[사번키],INDEX(합계표[사번키],$X96),상세표[반영월],대상월키,상세표[반영 기관],"서울병원"))</f>
        <v/>
      </c>
      <c r="R96" s="20">
        <f>IF($X96="","",SUM($N96:$Q96))</f>
        <v/>
      </c>
      <c r="S96">
        <f>IF($X96="","",COUNTIFS(상세표[사번키],INDEX(합계표[사번키],$X96),상세표[반영월],대상월키,상세표[야간당직],1,상세표[야간 구분],"평일"))</f>
        <v/>
      </c>
      <c r="T96">
        <f>IF($X96="","",COUNTIFS(상세표[사번키],INDEX(합계표[사번키],$X96),상세표[반영월],대상월키,상세표[야간당직],1,상세표[야간 구분],"휴일"))</f>
        <v/>
      </c>
      <c r="U96">
        <f>IF($X96="","",COUNTIFS(상세표[사번키],INDEX(합계표[사번키],$X96),상세표[반영월],대상월키,상세표[야간당직],1,상세표[야간 구분],"평일",상세표[반영 기관],"서울병원"))</f>
        <v/>
      </c>
      <c r="V96">
        <f>IF($X96="","",COUNTIFS(상세표[사번키],INDEX(합계표[사번키],$X96),상세표[반영월],대상월키,상세표[야간당직],1,상세표[야간 구분],"휴일",상세표[반영 기관],"서울병원"))</f>
        <v/>
      </c>
      <c r="W96">
        <f>IF($X96="","",IF(ISNUMBER(MATCH(INDEX(합계표[사번키],$X96)&amp;"|"&amp;대상월키,월별근무지표[키],0)),"직접 입력",IF($L96="—","—","기관명단")))</f>
        <v/>
      </c>
      <c r="X96" s="4">
        <f>IFERROR(MATCH(91,합계표[판정순번],0),"")</f>
        <v/>
      </c>
      <c r="Z96">
        <f>IF($AC96="","",INDEX(상세표[사번],$AC96)&amp;"")</f>
        <v/>
      </c>
      <c r="AA96">
        <f>IF($AC96="","",INDEX(상세표[성명],$AC96)&amp;"")</f>
        <v/>
      </c>
      <c r="AB96" s="20">
        <f>IF($AC96="","",SUMIFS(상세표[기록 시간외],상세표[사번키],INDEX(상세표[사번키],$AC96),상세표[반영월],대상월키))</f>
        <v/>
      </c>
      <c r="AC96" s="4">
        <f>IFERROR(MATCH(91,상세표[합계없음순번],0),"")</f>
        <v/>
      </c>
    </row>
    <row r="97">
      <c r="A97">
        <f>IF($X97="","",INDEX(합계표[사번],$X97)&amp;"")</f>
        <v/>
      </c>
      <c r="B97">
        <f>IF($X97="","",INDEX(합계표[성명],$X97)&amp;"")</f>
        <v/>
      </c>
      <c r="C97">
        <f>IF($X97="","",INDEX(합계표[부서],$X97)&amp;"")</f>
        <v/>
      </c>
      <c r="D97">
        <f>IF($X97="","",INDEX(합계표[직위(요약)],$X97)&amp;"")</f>
        <v/>
      </c>
      <c r="E97">
        <f>IF($X97="","",INDEX(합계표[직급 공존],$X97)&amp;"")</f>
        <v/>
      </c>
      <c r="F97" s="20">
        <f>IF($X97="","",SUMIFS(합계표[시스템 합계],합계표[사번키],INDEX(합계표[사번키],$X97)))</f>
        <v/>
      </c>
      <c r="G97" s="20">
        <f>IF($X97="","",SUMIFS(상세표[기록 시간외],상세표[사번키],INDEX(합계표[사번키],$X97),상세표[기록월],대상월키))</f>
        <v/>
      </c>
      <c r="H97">
        <f>IF($X97="","",IF(ABS($F97-$G97)&lt;0.01,"일치","불일치(차이 "&amp;TEXT($G97-$F97,"0.00")&amp;")"))</f>
        <v/>
      </c>
      <c r="I97" s="20">
        <f>IF($X97="","",SUMIFS(상세표[기록 시간외],상세표[사번키],INDEX(합계표[사번키],$X97),상세표[기록월],대상월키,상세표[반영월],"&lt;&gt;"&amp;대상월키))</f>
        <v/>
      </c>
      <c r="J97" s="20">
        <f>IF($X97="","",SUMIFS(상세표[기록 시간외],상세표[사번키],INDEX(합계표[사번키],$X97),상세표[기록월],"&lt;&gt;"&amp;대상월키,상세표[반영월],대상월키))</f>
        <v/>
      </c>
      <c r="K97" s="20">
        <f>IF($X97="","",SUMIFS(상세표[기록 시간외],상세표[사번키],INDEX(합계표[사번키],$X97),상세표[반영월],대상월키))</f>
        <v/>
      </c>
      <c r="L97">
        <f>IF($X97="","",IFERROR(INDEX(월별근무지표[적용 급여병원],MATCH(INDEX(합계표[사번키],$X97)&amp;"|"&amp;대상월키,월별근무지표[키],0))&amp;"",IF(COUNTIF(기관표[사번키],INDEX(합계표[사번키],$X97))+COUNTIF(월별근무지표[사번키],INDEX(합계표[사번키],$X97))&gt;0,IFERROR(INDEX(기관표[급여지급병원(기준월)],MATCH(INDEX(합계표[사번키],$X97)&amp;"|"&amp;대상월키,기관표[키],0))&amp;"","—"),"—")))</f>
        <v/>
      </c>
      <c r="M97">
        <f>IF($X97="","",IF(NOT(COUNTIF(기관표[사번키],INDEX(합계표[사번키],$X97))+COUNTIF(월별근무지표[사번키],INDEX(합계표[사번키],$X97))&gt;0),"기관명단에 없음(다른 병원으로 발송)",IF($L97="서울병원","해당",IF(N($R97)&gt;0,"해당(말일 근무)",IF($L97="—","대상월 기관명단 없음(추가 필요)","비해당")))))</f>
        <v/>
      </c>
      <c r="N97" s="20">
        <f>IF($X97="","",SUMIFS(상세표[06~07시],상세표[사번키],INDEX(합계표[사번키],$X97),상세표[반영월],대상월키,상세표[반영 기관],"서울병원"))</f>
        <v/>
      </c>
      <c r="O97" s="20">
        <f>IF($X97="","",SUMIFS(상세표[07~18시],상세표[사번키],INDEX(합계표[사번키],$X97),상세표[반영월],대상월키,상세표[반영 기관],"서울병원"))</f>
        <v/>
      </c>
      <c r="P97" s="20">
        <f>IF($X97="","",SUMIFS(상세표[18~22시],상세표[사번키],INDEX(합계표[사번키],$X97),상세표[반영월],대상월키,상세표[반영 기관],"서울병원"))</f>
        <v/>
      </c>
      <c r="Q97" s="20">
        <f>IF($X97="","",SUMIFS(상세표[22~06시],상세표[사번키],INDEX(합계표[사번키],$X97),상세표[반영월],대상월키,상세표[반영 기관],"서울병원"))</f>
        <v/>
      </c>
      <c r="R97" s="20">
        <f>IF($X97="","",SUM($N97:$Q97))</f>
        <v/>
      </c>
      <c r="S97">
        <f>IF($X97="","",COUNTIFS(상세표[사번키],INDEX(합계표[사번키],$X97),상세표[반영월],대상월키,상세표[야간당직],1,상세표[야간 구분],"평일"))</f>
        <v/>
      </c>
      <c r="T97">
        <f>IF($X97="","",COUNTIFS(상세표[사번키],INDEX(합계표[사번키],$X97),상세표[반영월],대상월키,상세표[야간당직],1,상세표[야간 구분],"휴일"))</f>
        <v/>
      </c>
      <c r="U97">
        <f>IF($X97="","",COUNTIFS(상세표[사번키],INDEX(합계표[사번키],$X97),상세표[반영월],대상월키,상세표[야간당직],1,상세표[야간 구분],"평일",상세표[반영 기관],"서울병원"))</f>
        <v/>
      </c>
      <c r="V97">
        <f>IF($X97="","",COUNTIFS(상세표[사번키],INDEX(합계표[사번키],$X97),상세표[반영월],대상월키,상세표[야간당직],1,상세표[야간 구분],"휴일",상세표[반영 기관],"서울병원"))</f>
        <v/>
      </c>
      <c r="W97">
        <f>IF($X97="","",IF(ISNUMBER(MATCH(INDEX(합계표[사번키],$X97)&amp;"|"&amp;대상월키,월별근무지표[키],0)),"직접 입력",IF($L97="—","—","기관명단")))</f>
        <v/>
      </c>
      <c r="X97" s="4">
        <f>IFERROR(MATCH(92,합계표[판정순번],0),"")</f>
        <v/>
      </c>
      <c r="Z97">
        <f>IF($AC97="","",INDEX(상세표[사번],$AC97)&amp;"")</f>
        <v/>
      </c>
      <c r="AA97">
        <f>IF($AC97="","",INDEX(상세표[성명],$AC97)&amp;"")</f>
        <v/>
      </c>
      <c r="AB97" s="20">
        <f>IF($AC97="","",SUMIFS(상세표[기록 시간외],상세표[사번키],INDEX(상세표[사번키],$AC97),상세표[반영월],대상월키))</f>
        <v/>
      </c>
      <c r="AC97" s="4">
        <f>IFERROR(MATCH(92,상세표[합계없음순번],0),"")</f>
        <v/>
      </c>
    </row>
    <row r="98">
      <c r="A98">
        <f>IF($X98="","",INDEX(합계표[사번],$X98)&amp;"")</f>
        <v/>
      </c>
      <c r="B98">
        <f>IF($X98="","",INDEX(합계표[성명],$X98)&amp;"")</f>
        <v/>
      </c>
      <c r="C98">
        <f>IF($X98="","",INDEX(합계표[부서],$X98)&amp;"")</f>
        <v/>
      </c>
      <c r="D98">
        <f>IF($X98="","",INDEX(합계표[직위(요약)],$X98)&amp;"")</f>
        <v/>
      </c>
      <c r="E98">
        <f>IF($X98="","",INDEX(합계표[직급 공존],$X98)&amp;"")</f>
        <v/>
      </c>
      <c r="F98" s="20">
        <f>IF($X98="","",SUMIFS(합계표[시스템 합계],합계표[사번키],INDEX(합계표[사번키],$X98)))</f>
        <v/>
      </c>
      <c r="G98" s="20">
        <f>IF($X98="","",SUMIFS(상세표[기록 시간외],상세표[사번키],INDEX(합계표[사번키],$X98),상세표[기록월],대상월키))</f>
        <v/>
      </c>
      <c r="H98">
        <f>IF($X98="","",IF(ABS($F98-$G98)&lt;0.01,"일치","불일치(차이 "&amp;TEXT($G98-$F98,"0.00")&amp;")"))</f>
        <v/>
      </c>
      <c r="I98" s="20">
        <f>IF($X98="","",SUMIFS(상세표[기록 시간외],상세표[사번키],INDEX(합계표[사번키],$X98),상세표[기록월],대상월키,상세표[반영월],"&lt;&gt;"&amp;대상월키))</f>
        <v/>
      </c>
      <c r="J98" s="20">
        <f>IF($X98="","",SUMIFS(상세표[기록 시간외],상세표[사번키],INDEX(합계표[사번키],$X98),상세표[기록월],"&lt;&gt;"&amp;대상월키,상세표[반영월],대상월키))</f>
        <v/>
      </c>
      <c r="K98" s="20">
        <f>IF($X98="","",SUMIFS(상세표[기록 시간외],상세표[사번키],INDEX(합계표[사번키],$X98),상세표[반영월],대상월키))</f>
        <v/>
      </c>
      <c r="L98">
        <f>IF($X98="","",IFERROR(INDEX(월별근무지표[적용 급여병원],MATCH(INDEX(합계표[사번키],$X98)&amp;"|"&amp;대상월키,월별근무지표[키],0))&amp;"",IF(COUNTIF(기관표[사번키],INDEX(합계표[사번키],$X98))+COUNTIF(월별근무지표[사번키],INDEX(합계표[사번키],$X98))&gt;0,IFERROR(INDEX(기관표[급여지급병원(기준월)],MATCH(INDEX(합계표[사번키],$X98)&amp;"|"&amp;대상월키,기관표[키],0))&amp;"","—"),"—")))</f>
        <v/>
      </c>
      <c r="M98">
        <f>IF($X98="","",IF(NOT(COUNTIF(기관표[사번키],INDEX(합계표[사번키],$X98))+COUNTIF(월별근무지표[사번키],INDEX(합계표[사번키],$X98))&gt;0),"기관명단에 없음(다른 병원으로 발송)",IF($L98="서울병원","해당",IF(N($R98)&gt;0,"해당(말일 근무)",IF($L98="—","대상월 기관명단 없음(추가 필요)","비해당")))))</f>
        <v/>
      </c>
      <c r="N98" s="20">
        <f>IF($X98="","",SUMIFS(상세표[06~07시],상세표[사번키],INDEX(합계표[사번키],$X98),상세표[반영월],대상월키,상세표[반영 기관],"서울병원"))</f>
        <v/>
      </c>
      <c r="O98" s="20">
        <f>IF($X98="","",SUMIFS(상세표[07~18시],상세표[사번키],INDEX(합계표[사번키],$X98),상세표[반영월],대상월키,상세표[반영 기관],"서울병원"))</f>
        <v/>
      </c>
      <c r="P98" s="20">
        <f>IF($X98="","",SUMIFS(상세표[18~22시],상세표[사번키],INDEX(합계표[사번키],$X98),상세표[반영월],대상월키,상세표[반영 기관],"서울병원"))</f>
        <v/>
      </c>
      <c r="Q98" s="20">
        <f>IF($X98="","",SUMIFS(상세표[22~06시],상세표[사번키],INDEX(합계표[사번키],$X98),상세표[반영월],대상월키,상세표[반영 기관],"서울병원"))</f>
        <v/>
      </c>
      <c r="R98" s="20">
        <f>IF($X98="","",SUM($N98:$Q98))</f>
        <v/>
      </c>
      <c r="S98">
        <f>IF($X98="","",COUNTIFS(상세표[사번키],INDEX(합계표[사번키],$X98),상세표[반영월],대상월키,상세표[야간당직],1,상세표[야간 구분],"평일"))</f>
        <v/>
      </c>
      <c r="T98">
        <f>IF($X98="","",COUNTIFS(상세표[사번키],INDEX(합계표[사번키],$X98),상세표[반영월],대상월키,상세표[야간당직],1,상세표[야간 구분],"휴일"))</f>
        <v/>
      </c>
      <c r="U98">
        <f>IF($X98="","",COUNTIFS(상세표[사번키],INDEX(합계표[사번키],$X98),상세표[반영월],대상월키,상세표[야간당직],1,상세표[야간 구분],"평일",상세표[반영 기관],"서울병원"))</f>
        <v/>
      </c>
      <c r="V98">
        <f>IF($X98="","",COUNTIFS(상세표[사번키],INDEX(합계표[사번키],$X98),상세표[반영월],대상월키,상세표[야간당직],1,상세표[야간 구분],"휴일",상세표[반영 기관],"서울병원"))</f>
        <v/>
      </c>
      <c r="W98">
        <f>IF($X98="","",IF(ISNUMBER(MATCH(INDEX(합계표[사번키],$X98)&amp;"|"&amp;대상월키,월별근무지표[키],0)),"직접 입력",IF($L98="—","—","기관명단")))</f>
        <v/>
      </c>
      <c r="X98" s="4">
        <f>IFERROR(MATCH(93,합계표[판정순번],0),"")</f>
        <v/>
      </c>
      <c r="Z98">
        <f>IF($AC98="","",INDEX(상세표[사번],$AC98)&amp;"")</f>
        <v/>
      </c>
      <c r="AA98">
        <f>IF($AC98="","",INDEX(상세표[성명],$AC98)&amp;"")</f>
        <v/>
      </c>
      <c r="AB98" s="20">
        <f>IF($AC98="","",SUMIFS(상세표[기록 시간외],상세표[사번키],INDEX(상세표[사번키],$AC98),상세표[반영월],대상월키))</f>
        <v/>
      </c>
      <c r="AC98" s="4">
        <f>IFERROR(MATCH(93,상세표[합계없음순번],0),"")</f>
        <v/>
      </c>
    </row>
    <row r="99">
      <c r="A99">
        <f>IF($X99="","",INDEX(합계표[사번],$X99)&amp;"")</f>
        <v/>
      </c>
      <c r="B99">
        <f>IF($X99="","",INDEX(합계표[성명],$X99)&amp;"")</f>
        <v/>
      </c>
      <c r="C99">
        <f>IF($X99="","",INDEX(합계표[부서],$X99)&amp;"")</f>
        <v/>
      </c>
      <c r="D99">
        <f>IF($X99="","",INDEX(합계표[직위(요약)],$X99)&amp;"")</f>
        <v/>
      </c>
      <c r="E99">
        <f>IF($X99="","",INDEX(합계표[직급 공존],$X99)&amp;"")</f>
        <v/>
      </c>
      <c r="F99" s="20">
        <f>IF($X99="","",SUMIFS(합계표[시스템 합계],합계표[사번키],INDEX(합계표[사번키],$X99)))</f>
        <v/>
      </c>
      <c r="G99" s="20">
        <f>IF($X99="","",SUMIFS(상세표[기록 시간외],상세표[사번키],INDEX(합계표[사번키],$X99),상세표[기록월],대상월키))</f>
        <v/>
      </c>
      <c r="H99">
        <f>IF($X99="","",IF(ABS($F99-$G99)&lt;0.01,"일치","불일치(차이 "&amp;TEXT($G99-$F99,"0.00")&amp;")"))</f>
        <v/>
      </c>
      <c r="I99" s="20">
        <f>IF($X99="","",SUMIFS(상세표[기록 시간외],상세표[사번키],INDEX(합계표[사번키],$X99),상세표[기록월],대상월키,상세표[반영월],"&lt;&gt;"&amp;대상월키))</f>
        <v/>
      </c>
      <c r="J99" s="20">
        <f>IF($X99="","",SUMIFS(상세표[기록 시간외],상세표[사번키],INDEX(합계표[사번키],$X99),상세표[기록월],"&lt;&gt;"&amp;대상월키,상세표[반영월],대상월키))</f>
        <v/>
      </c>
      <c r="K99" s="20">
        <f>IF($X99="","",SUMIFS(상세표[기록 시간외],상세표[사번키],INDEX(합계표[사번키],$X99),상세표[반영월],대상월키))</f>
        <v/>
      </c>
      <c r="L99">
        <f>IF($X99="","",IFERROR(INDEX(월별근무지표[적용 급여병원],MATCH(INDEX(합계표[사번키],$X99)&amp;"|"&amp;대상월키,월별근무지표[키],0))&amp;"",IF(COUNTIF(기관표[사번키],INDEX(합계표[사번키],$X99))+COUNTIF(월별근무지표[사번키],INDEX(합계표[사번키],$X99))&gt;0,IFERROR(INDEX(기관표[급여지급병원(기준월)],MATCH(INDEX(합계표[사번키],$X99)&amp;"|"&amp;대상월키,기관표[키],0))&amp;"","—"),"—")))</f>
        <v/>
      </c>
      <c r="M99">
        <f>IF($X99="","",IF(NOT(COUNTIF(기관표[사번키],INDEX(합계표[사번키],$X99))+COUNTIF(월별근무지표[사번키],INDEX(합계표[사번키],$X99))&gt;0),"기관명단에 없음(다른 병원으로 발송)",IF($L99="서울병원","해당",IF(N($R99)&gt;0,"해당(말일 근무)",IF($L99="—","대상월 기관명단 없음(추가 필요)","비해당")))))</f>
        <v/>
      </c>
      <c r="N99" s="20">
        <f>IF($X99="","",SUMIFS(상세표[06~07시],상세표[사번키],INDEX(합계표[사번키],$X99),상세표[반영월],대상월키,상세표[반영 기관],"서울병원"))</f>
        <v/>
      </c>
      <c r="O99" s="20">
        <f>IF($X99="","",SUMIFS(상세표[07~18시],상세표[사번키],INDEX(합계표[사번키],$X99),상세표[반영월],대상월키,상세표[반영 기관],"서울병원"))</f>
        <v/>
      </c>
      <c r="P99" s="20">
        <f>IF($X99="","",SUMIFS(상세표[18~22시],상세표[사번키],INDEX(합계표[사번키],$X99),상세표[반영월],대상월키,상세표[반영 기관],"서울병원"))</f>
        <v/>
      </c>
      <c r="Q99" s="20">
        <f>IF($X99="","",SUMIFS(상세표[22~06시],상세표[사번키],INDEX(합계표[사번키],$X99),상세표[반영월],대상월키,상세표[반영 기관],"서울병원"))</f>
        <v/>
      </c>
      <c r="R99" s="20">
        <f>IF($X99="","",SUM($N99:$Q99))</f>
        <v/>
      </c>
      <c r="S99">
        <f>IF($X99="","",COUNTIFS(상세표[사번키],INDEX(합계표[사번키],$X99),상세표[반영월],대상월키,상세표[야간당직],1,상세표[야간 구분],"평일"))</f>
        <v/>
      </c>
      <c r="T99">
        <f>IF($X99="","",COUNTIFS(상세표[사번키],INDEX(합계표[사번키],$X99),상세표[반영월],대상월키,상세표[야간당직],1,상세표[야간 구분],"휴일"))</f>
        <v/>
      </c>
      <c r="U99">
        <f>IF($X99="","",COUNTIFS(상세표[사번키],INDEX(합계표[사번키],$X99),상세표[반영월],대상월키,상세표[야간당직],1,상세표[야간 구분],"평일",상세표[반영 기관],"서울병원"))</f>
        <v/>
      </c>
      <c r="V99">
        <f>IF($X99="","",COUNTIFS(상세표[사번키],INDEX(합계표[사번키],$X99),상세표[반영월],대상월키,상세표[야간당직],1,상세표[야간 구분],"휴일",상세표[반영 기관],"서울병원"))</f>
        <v/>
      </c>
      <c r="W99">
        <f>IF($X99="","",IF(ISNUMBER(MATCH(INDEX(합계표[사번키],$X99)&amp;"|"&amp;대상월키,월별근무지표[키],0)),"직접 입력",IF($L99="—","—","기관명단")))</f>
        <v/>
      </c>
      <c r="X99" s="4">
        <f>IFERROR(MATCH(94,합계표[판정순번],0),"")</f>
        <v/>
      </c>
      <c r="Z99">
        <f>IF($AC99="","",INDEX(상세표[사번],$AC99)&amp;"")</f>
        <v/>
      </c>
      <c r="AA99">
        <f>IF($AC99="","",INDEX(상세표[성명],$AC99)&amp;"")</f>
        <v/>
      </c>
      <c r="AB99" s="20">
        <f>IF($AC99="","",SUMIFS(상세표[기록 시간외],상세표[사번키],INDEX(상세표[사번키],$AC99),상세표[반영월],대상월키))</f>
        <v/>
      </c>
      <c r="AC99" s="4">
        <f>IFERROR(MATCH(94,상세표[합계없음순번],0),"")</f>
        <v/>
      </c>
    </row>
    <row r="100">
      <c r="A100">
        <f>IF($X100="","",INDEX(합계표[사번],$X100)&amp;"")</f>
        <v/>
      </c>
      <c r="B100">
        <f>IF($X100="","",INDEX(합계표[성명],$X100)&amp;"")</f>
        <v/>
      </c>
      <c r="C100">
        <f>IF($X100="","",INDEX(합계표[부서],$X100)&amp;"")</f>
        <v/>
      </c>
      <c r="D100">
        <f>IF($X100="","",INDEX(합계표[직위(요약)],$X100)&amp;"")</f>
        <v/>
      </c>
      <c r="E100">
        <f>IF($X100="","",INDEX(합계표[직급 공존],$X100)&amp;"")</f>
        <v/>
      </c>
      <c r="F100" s="20">
        <f>IF($X100="","",SUMIFS(합계표[시스템 합계],합계표[사번키],INDEX(합계표[사번키],$X100)))</f>
        <v/>
      </c>
      <c r="G100" s="20">
        <f>IF($X100="","",SUMIFS(상세표[기록 시간외],상세표[사번키],INDEX(합계표[사번키],$X100),상세표[기록월],대상월키))</f>
        <v/>
      </c>
      <c r="H100">
        <f>IF($X100="","",IF(ABS($F100-$G100)&lt;0.01,"일치","불일치(차이 "&amp;TEXT($G100-$F100,"0.00")&amp;")"))</f>
        <v/>
      </c>
      <c r="I100" s="20">
        <f>IF($X100="","",SUMIFS(상세표[기록 시간외],상세표[사번키],INDEX(합계표[사번키],$X100),상세표[기록월],대상월키,상세표[반영월],"&lt;&gt;"&amp;대상월키))</f>
        <v/>
      </c>
      <c r="J100" s="20">
        <f>IF($X100="","",SUMIFS(상세표[기록 시간외],상세표[사번키],INDEX(합계표[사번키],$X100),상세표[기록월],"&lt;&gt;"&amp;대상월키,상세표[반영월],대상월키))</f>
        <v/>
      </c>
      <c r="K100" s="20">
        <f>IF($X100="","",SUMIFS(상세표[기록 시간외],상세표[사번키],INDEX(합계표[사번키],$X100),상세표[반영월],대상월키))</f>
        <v/>
      </c>
      <c r="L100">
        <f>IF($X100="","",IFERROR(INDEX(월별근무지표[적용 급여병원],MATCH(INDEX(합계표[사번키],$X100)&amp;"|"&amp;대상월키,월별근무지표[키],0))&amp;"",IF(COUNTIF(기관표[사번키],INDEX(합계표[사번키],$X100))+COUNTIF(월별근무지표[사번키],INDEX(합계표[사번키],$X100))&gt;0,IFERROR(INDEX(기관표[급여지급병원(기준월)],MATCH(INDEX(합계표[사번키],$X100)&amp;"|"&amp;대상월키,기관표[키],0))&amp;"","—"),"—")))</f>
        <v/>
      </c>
      <c r="M100">
        <f>IF($X100="","",IF(NOT(COUNTIF(기관표[사번키],INDEX(합계표[사번키],$X100))+COUNTIF(월별근무지표[사번키],INDEX(합계표[사번키],$X100))&gt;0),"기관명단에 없음(다른 병원으로 발송)",IF($L100="서울병원","해당",IF(N($R100)&gt;0,"해당(말일 근무)",IF($L100="—","대상월 기관명단 없음(추가 필요)","비해당")))))</f>
        <v/>
      </c>
      <c r="N100" s="20">
        <f>IF($X100="","",SUMIFS(상세표[06~07시],상세표[사번키],INDEX(합계표[사번키],$X100),상세표[반영월],대상월키,상세표[반영 기관],"서울병원"))</f>
        <v/>
      </c>
      <c r="O100" s="20">
        <f>IF($X100="","",SUMIFS(상세표[07~18시],상세표[사번키],INDEX(합계표[사번키],$X100),상세표[반영월],대상월키,상세표[반영 기관],"서울병원"))</f>
        <v/>
      </c>
      <c r="P100" s="20">
        <f>IF($X100="","",SUMIFS(상세표[18~22시],상세표[사번키],INDEX(합계표[사번키],$X100),상세표[반영월],대상월키,상세표[반영 기관],"서울병원"))</f>
        <v/>
      </c>
      <c r="Q100" s="20">
        <f>IF($X100="","",SUMIFS(상세표[22~06시],상세표[사번키],INDEX(합계표[사번키],$X100),상세표[반영월],대상월키,상세표[반영 기관],"서울병원"))</f>
        <v/>
      </c>
      <c r="R100" s="20">
        <f>IF($X100="","",SUM($N100:$Q100))</f>
        <v/>
      </c>
      <c r="S100">
        <f>IF($X100="","",COUNTIFS(상세표[사번키],INDEX(합계표[사번키],$X100),상세표[반영월],대상월키,상세표[야간당직],1,상세표[야간 구분],"평일"))</f>
        <v/>
      </c>
      <c r="T100">
        <f>IF($X100="","",COUNTIFS(상세표[사번키],INDEX(합계표[사번키],$X100),상세표[반영월],대상월키,상세표[야간당직],1,상세표[야간 구분],"휴일"))</f>
        <v/>
      </c>
      <c r="U100">
        <f>IF($X100="","",COUNTIFS(상세표[사번키],INDEX(합계표[사번키],$X100),상세표[반영월],대상월키,상세표[야간당직],1,상세표[야간 구분],"평일",상세표[반영 기관],"서울병원"))</f>
        <v/>
      </c>
      <c r="V100">
        <f>IF($X100="","",COUNTIFS(상세표[사번키],INDEX(합계표[사번키],$X100),상세표[반영월],대상월키,상세표[야간당직],1,상세표[야간 구분],"휴일",상세표[반영 기관],"서울병원"))</f>
        <v/>
      </c>
      <c r="W100">
        <f>IF($X100="","",IF(ISNUMBER(MATCH(INDEX(합계표[사번키],$X100)&amp;"|"&amp;대상월키,월별근무지표[키],0)),"직접 입력",IF($L100="—","—","기관명단")))</f>
        <v/>
      </c>
      <c r="X100" s="4">
        <f>IFERROR(MATCH(95,합계표[판정순번],0),"")</f>
        <v/>
      </c>
      <c r="Z100">
        <f>IF($AC100="","",INDEX(상세표[사번],$AC100)&amp;"")</f>
        <v/>
      </c>
      <c r="AA100">
        <f>IF($AC100="","",INDEX(상세표[성명],$AC100)&amp;"")</f>
        <v/>
      </c>
      <c r="AB100" s="20">
        <f>IF($AC100="","",SUMIFS(상세표[기록 시간외],상세표[사번키],INDEX(상세표[사번키],$AC100),상세표[반영월],대상월키))</f>
        <v/>
      </c>
      <c r="AC100" s="4">
        <f>IFERROR(MATCH(95,상세표[합계없음순번],0),"")</f>
        <v/>
      </c>
    </row>
    <row r="101">
      <c r="A101">
        <f>IF($X101="","",INDEX(합계표[사번],$X101)&amp;"")</f>
        <v/>
      </c>
      <c r="B101">
        <f>IF($X101="","",INDEX(합계표[성명],$X101)&amp;"")</f>
        <v/>
      </c>
      <c r="C101">
        <f>IF($X101="","",INDEX(합계표[부서],$X101)&amp;"")</f>
        <v/>
      </c>
      <c r="D101">
        <f>IF($X101="","",INDEX(합계표[직위(요약)],$X101)&amp;"")</f>
        <v/>
      </c>
      <c r="E101">
        <f>IF($X101="","",INDEX(합계표[직급 공존],$X101)&amp;"")</f>
        <v/>
      </c>
      <c r="F101" s="20">
        <f>IF($X101="","",SUMIFS(합계표[시스템 합계],합계표[사번키],INDEX(합계표[사번키],$X101)))</f>
        <v/>
      </c>
      <c r="G101" s="20">
        <f>IF($X101="","",SUMIFS(상세표[기록 시간외],상세표[사번키],INDEX(합계표[사번키],$X101),상세표[기록월],대상월키))</f>
        <v/>
      </c>
      <c r="H101">
        <f>IF($X101="","",IF(ABS($F101-$G101)&lt;0.01,"일치","불일치(차이 "&amp;TEXT($G101-$F101,"0.00")&amp;")"))</f>
        <v/>
      </c>
      <c r="I101" s="20">
        <f>IF($X101="","",SUMIFS(상세표[기록 시간외],상세표[사번키],INDEX(합계표[사번키],$X101),상세표[기록월],대상월키,상세표[반영월],"&lt;&gt;"&amp;대상월키))</f>
        <v/>
      </c>
      <c r="J101" s="20">
        <f>IF($X101="","",SUMIFS(상세표[기록 시간외],상세표[사번키],INDEX(합계표[사번키],$X101),상세표[기록월],"&lt;&gt;"&amp;대상월키,상세표[반영월],대상월키))</f>
        <v/>
      </c>
      <c r="K101" s="20">
        <f>IF($X101="","",SUMIFS(상세표[기록 시간외],상세표[사번키],INDEX(합계표[사번키],$X101),상세표[반영월],대상월키))</f>
        <v/>
      </c>
      <c r="L101">
        <f>IF($X101="","",IFERROR(INDEX(월별근무지표[적용 급여병원],MATCH(INDEX(합계표[사번키],$X101)&amp;"|"&amp;대상월키,월별근무지표[키],0))&amp;"",IF(COUNTIF(기관표[사번키],INDEX(합계표[사번키],$X101))+COUNTIF(월별근무지표[사번키],INDEX(합계표[사번키],$X101))&gt;0,IFERROR(INDEX(기관표[급여지급병원(기준월)],MATCH(INDEX(합계표[사번키],$X101)&amp;"|"&amp;대상월키,기관표[키],0))&amp;"","—"),"—")))</f>
        <v/>
      </c>
      <c r="M101">
        <f>IF($X101="","",IF(NOT(COUNTIF(기관표[사번키],INDEX(합계표[사번키],$X101))+COUNTIF(월별근무지표[사번키],INDEX(합계표[사번키],$X101))&gt;0),"기관명단에 없음(다른 병원으로 발송)",IF($L101="서울병원","해당",IF(N($R101)&gt;0,"해당(말일 근무)",IF($L101="—","대상월 기관명단 없음(추가 필요)","비해당")))))</f>
        <v/>
      </c>
      <c r="N101" s="20">
        <f>IF($X101="","",SUMIFS(상세표[06~07시],상세표[사번키],INDEX(합계표[사번키],$X101),상세표[반영월],대상월키,상세표[반영 기관],"서울병원"))</f>
        <v/>
      </c>
      <c r="O101" s="20">
        <f>IF($X101="","",SUMIFS(상세표[07~18시],상세표[사번키],INDEX(합계표[사번키],$X101),상세표[반영월],대상월키,상세표[반영 기관],"서울병원"))</f>
        <v/>
      </c>
      <c r="P101" s="20">
        <f>IF($X101="","",SUMIFS(상세표[18~22시],상세표[사번키],INDEX(합계표[사번키],$X101),상세표[반영월],대상월키,상세표[반영 기관],"서울병원"))</f>
        <v/>
      </c>
      <c r="Q101" s="20">
        <f>IF($X101="","",SUMIFS(상세표[22~06시],상세표[사번키],INDEX(합계표[사번키],$X101),상세표[반영월],대상월키,상세표[반영 기관],"서울병원"))</f>
        <v/>
      </c>
      <c r="R101" s="20">
        <f>IF($X101="","",SUM($N101:$Q101))</f>
        <v/>
      </c>
      <c r="S101">
        <f>IF($X101="","",COUNTIFS(상세표[사번키],INDEX(합계표[사번키],$X101),상세표[반영월],대상월키,상세표[야간당직],1,상세표[야간 구분],"평일"))</f>
        <v/>
      </c>
      <c r="T101">
        <f>IF($X101="","",COUNTIFS(상세표[사번키],INDEX(합계표[사번키],$X101),상세표[반영월],대상월키,상세표[야간당직],1,상세표[야간 구분],"휴일"))</f>
        <v/>
      </c>
      <c r="U101">
        <f>IF($X101="","",COUNTIFS(상세표[사번키],INDEX(합계표[사번키],$X101),상세표[반영월],대상월키,상세표[야간당직],1,상세표[야간 구분],"평일",상세표[반영 기관],"서울병원"))</f>
        <v/>
      </c>
      <c r="V101">
        <f>IF($X101="","",COUNTIFS(상세표[사번키],INDEX(합계표[사번키],$X101),상세표[반영월],대상월키,상세표[야간당직],1,상세표[야간 구분],"휴일",상세표[반영 기관],"서울병원"))</f>
        <v/>
      </c>
      <c r="W101">
        <f>IF($X101="","",IF(ISNUMBER(MATCH(INDEX(합계표[사번키],$X101)&amp;"|"&amp;대상월키,월별근무지표[키],0)),"직접 입력",IF($L101="—","—","기관명단")))</f>
        <v/>
      </c>
      <c r="X101" s="4">
        <f>IFERROR(MATCH(96,합계표[판정순번],0),"")</f>
        <v/>
      </c>
      <c r="Z101">
        <f>IF($AC101="","",INDEX(상세표[사번],$AC101)&amp;"")</f>
        <v/>
      </c>
      <c r="AA101">
        <f>IF($AC101="","",INDEX(상세표[성명],$AC101)&amp;"")</f>
        <v/>
      </c>
      <c r="AB101" s="20">
        <f>IF($AC101="","",SUMIFS(상세표[기록 시간외],상세표[사번키],INDEX(상세표[사번키],$AC101),상세표[반영월],대상월키))</f>
        <v/>
      </c>
      <c r="AC101" s="4">
        <f>IFERROR(MATCH(96,상세표[합계없음순번],0),"")</f>
        <v/>
      </c>
    </row>
    <row r="102">
      <c r="A102">
        <f>IF($X102="","",INDEX(합계표[사번],$X102)&amp;"")</f>
        <v/>
      </c>
      <c r="B102">
        <f>IF($X102="","",INDEX(합계표[성명],$X102)&amp;"")</f>
        <v/>
      </c>
      <c r="C102">
        <f>IF($X102="","",INDEX(합계표[부서],$X102)&amp;"")</f>
        <v/>
      </c>
      <c r="D102">
        <f>IF($X102="","",INDEX(합계표[직위(요약)],$X102)&amp;"")</f>
        <v/>
      </c>
      <c r="E102">
        <f>IF($X102="","",INDEX(합계표[직급 공존],$X102)&amp;"")</f>
        <v/>
      </c>
      <c r="F102" s="20">
        <f>IF($X102="","",SUMIFS(합계표[시스템 합계],합계표[사번키],INDEX(합계표[사번키],$X102)))</f>
        <v/>
      </c>
      <c r="G102" s="20">
        <f>IF($X102="","",SUMIFS(상세표[기록 시간외],상세표[사번키],INDEX(합계표[사번키],$X102),상세표[기록월],대상월키))</f>
        <v/>
      </c>
      <c r="H102">
        <f>IF($X102="","",IF(ABS($F102-$G102)&lt;0.01,"일치","불일치(차이 "&amp;TEXT($G102-$F102,"0.00")&amp;")"))</f>
        <v/>
      </c>
      <c r="I102" s="20">
        <f>IF($X102="","",SUMIFS(상세표[기록 시간외],상세표[사번키],INDEX(합계표[사번키],$X102),상세표[기록월],대상월키,상세표[반영월],"&lt;&gt;"&amp;대상월키))</f>
        <v/>
      </c>
      <c r="J102" s="20">
        <f>IF($X102="","",SUMIFS(상세표[기록 시간외],상세표[사번키],INDEX(합계표[사번키],$X102),상세표[기록월],"&lt;&gt;"&amp;대상월키,상세표[반영월],대상월키))</f>
        <v/>
      </c>
      <c r="K102" s="20">
        <f>IF($X102="","",SUMIFS(상세표[기록 시간외],상세표[사번키],INDEX(합계표[사번키],$X102),상세표[반영월],대상월키))</f>
        <v/>
      </c>
      <c r="L102">
        <f>IF($X102="","",IFERROR(INDEX(월별근무지표[적용 급여병원],MATCH(INDEX(합계표[사번키],$X102)&amp;"|"&amp;대상월키,월별근무지표[키],0))&amp;"",IF(COUNTIF(기관표[사번키],INDEX(합계표[사번키],$X102))+COUNTIF(월별근무지표[사번키],INDEX(합계표[사번키],$X102))&gt;0,IFERROR(INDEX(기관표[급여지급병원(기준월)],MATCH(INDEX(합계표[사번키],$X102)&amp;"|"&amp;대상월키,기관표[키],0))&amp;"","—"),"—")))</f>
        <v/>
      </c>
      <c r="M102">
        <f>IF($X102="","",IF(NOT(COUNTIF(기관표[사번키],INDEX(합계표[사번키],$X102))+COUNTIF(월별근무지표[사번키],INDEX(합계표[사번키],$X102))&gt;0),"기관명단에 없음(다른 병원으로 발송)",IF($L102="서울병원","해당",IF(N($R102)&gt;0,"해당(말일 근무)",IF($L102="—","대상월 기관명단 없음(추가 필요)","비해당")))))</f>
        <v/>
      </c>
      <c r="N102" s="20">
        <f>IF($X102="","",SUMIFS(상세표[06~07시],상세표[사번키],INDEX(합계표[사번키],$X102),상세표[반영월],대상월키,상세표[반영 기관],"서울병원"))</f>
        <v/>
      </c>
      <c r="O102" s="20">
        <f>IF($X102="","",SUMIFS(상세표[07~18시],상세표[사번키],INDEX(합계표[사번키],$X102),상세표[반영월],대상월키,상세표[반영 기관],"서울병원"))</f>
        <v/>
      </c>
      <c r="P102" s="20">
        <f>IF($X102="","",SUMIFS(상세표[18~22시],상세표[사번키],INDEX(합계표[사번키],$X102),상세표[반영월],대상월키,상세표[반영 기관],"서울병원"))</f>
        <v/>
      </c>
      <c r="Q102" s="20">
        <f>IF($X102="","",SUMIFS(상세표[22~06시],상세표[사번키],INDEX(합계표[사번키],$X102),상세표[반영월],대상월키,상세표[반영 기관],"서울병원"))</f>
        <v/>
      </c>
      <c r="R102" s="20">
        <f>IF($X102="","",SUM($N102:$Q102))</f>
        <v/>
      </c>
      <c r="S102">
        <f>IF($X102="","",COUNTIFS(상세표[사번키],INDEX(합계표[사번키],$X102),상세표[반영월],대상월키,상세표[야간당직],1,상세표[야간 구분],"평일"))</f>
        <v/>
      </c>
      <c r="T102">
        <f>IF($X102="","",COUNTIFS(상세표[사번키],INDEX(합계표[사번키],$X102),상세표[반영월],대상월키,상세표[야간당직],1,상세표[야간 구분],"휴일"))</f>
        <v/>
      </c>
      <c r="U102">
        <f>IF($X102="","",COUNTIFS(상세표[사번키],INDEX(합계표[사번키],$X102),상세표[반영월],대상월키,상세표[야간당직],1,상세표[야간 구분],"평일",상세표[반영 기관],"서울병원"))</f>
        <v/>
      </c>
      <c r="V102">
        <f>IF($X102="","",COUNTIFS(상세표[사번키],INDEX(합계표[사번키],$X102),상세표[반영월],대상월키,상세표[야간당직],1,상세표[야간 구분],"휴일",상세표[반영 기관],"서울병원"))</f>
        <v/>
      </c>
      <c r="W102">
        <f>IF($X102="","",IF(ISNUMBER(MATCH(INDEX(합계표[사번키],$X102)&amp;"|"&amp;대상월키,월별근무지표[키],0)),"직접 입력",IF($L102="—","—","기관명단")))</f>
        <v/>
      </c>
      <c r="X102" s="4">
        <f>IFERROR(MATCH(97,합계표[판정순번],0),"")</f>
        <v/>
      </c>
      <c r="Z102">
        <f>IF($AC102="","",INDEX(상세표[사번],$AC102)&amp;"")</f>
        <v/>
      </c>
      <c r="AA102">
        <f>IF($AC102="","",INDEX(상세표[성명],$AC102)&amp;"")</f>
        <v/>
      </c>
      <c r="AB102" s="20">
        <f>IF($AC102="","",SUMIFS(상세표[기록 시간외],상세표[사번키],INDEX(상세표[사번키],$AC102),상세표[반영월],대상월키))</f>
        <v/>
      </c>
      <c r="AC102" s="4">
        <f>IFERROR(MATCH(97,상세표[합계없음순번],0),"")</f>
        <v/>
      </c>
    </row>
    <row r="103">
      <c r="A103">
        <f>IF($X103="","",INDEX(합계표[사번],$X103)&amp;"")</f>
        <v/>
      </c>
      <c r="B103">
        <f>IF($X103="","",INDEX(합계표[성명],$X103)&amp;"")</f>
        <v/>
      </c>
      <c r="C103">
        <f>IF($X103="","",INDEX(합계표[부서],$X103)&amp;"")</f>
        <v/>
      </c>
      <c r="D103">
        <f>IF($X103="","",INDEX(합계표[직위(요약)],$X103)&amp;"")</f>
        <v/>
      </c>
      <c r="E103">
        <f>IF($X103="","",INDEX(합계표[직급 공존],$X103)&amp;"")</f>
        <v/>
      </c>
      <c r="F103" s="20">
        <f>IF($X103="","",SUMIFS(합계표[시스템 합계],합계표[사번키],INDEX(합계표[사번키],$X103)))</f>
        <v/>
      </c>
      <c r="G103" s="20">
        <f>IF($X103="","",SUMIFS(상세표[기록 시간외],상세표[사번키],INDEX(합계표[사번키],$X103),상세표[기록월],대상월키))</f>
        <v/>
      </c>
      <c r="H103">
        <f>IF($X103="","",IF(ABS($F103-$G103)&lt;0.01,"일치","불일치(차이 "&amp;TEXT($G103-$F103,"0.00")&amp;")"))</f>
        <v/>
      </c>
      <c r="I103" s="20">
        <f>IF($X103="","",SUMIFS(상세표[기록 시간외],상세표[사번키],INDEX(합계표[사번키],$X103),상세표[기록월],대상월키,상세표[반영월],"&lt;&gt;"&amp;대상월키))</f>
        <v/>
      </c>
      <c r="J103" s="20">
        <f>IF($X103="","",SUMIFS(상세표[기록 시간외],상세표[사번키],INDEX(합계표[사번키],$X103),상세표[기록월],"&lt;&gt;"&amp;대상월키,상세표[반영월],대상월키))</f>
        <v/>
      </c>
      <c r="K103" s="20">
        <f>IF($X103="","",SUMIFS(상세표[기록 시간외],상세표[사번키],INDEX(합계표[사번키],$X103),상세표[반영월],대상월키))</f>
        <v/>
      </c>
      <c r="L103">
        <f>IF($X103="","",IFERROR(INDEX(월별근무지표[적용 급여병원],MATCH(INDEX(합계표[사번키],$X103)&amp;"|"&amp;대상월키,월별근무지표[키],0))&amp;"",IF(COUNTIF(기관표[사번키],INDEX(합계표[사번키],$X103))+COUNTIF(월별근무지표[사번키],INDEX(합계표[사번키],$X103))&gt;0,IFERROR(INDEX(기관표[급여지급병원(기준월)],MATCH(INDEX(합계표[사번키],$X103)&amp;"|"&amp;대상월키,기관표[키],0))&amp;"","—"),"—")))</f>
        <v/>
      </c>
      <c r="M103">
        <f>IF($X103="","",IF(NOT(COUNTIF(기관표[사번키],INDEX(합계표[사번키],$X103))+COUNTIF(월별근무지표[사번키],INDEX(합계표[사번키],$X103))&gt;0),"기관명단에 없음(다른 병원으로 발송)",IF($L103="서울병원","해당",IF(N($R103)&gt;0,"해당(말일 근무)",IF($L103="—","대상월 기관명단 없음(추가 필요)","비해당")))))</f>
        <v/>
      </c>
      <c r="N103" s="20">
        <f>IF($X103="","",SUMIFS(상세표[06~07시],상세표[사번키],INDEX(합계표[사번키],$X103),상세표[반영월],대상월키,상세표[반영 기관],"서울병원"))</f>
        <v/>
      </c>
      <c r="O103" s="20">
        <f>IF($X103="","",SUMIFS(상세표[07~18시],상세표[사번키],INDEX(합계표[사번키],$X103),상세표[반영월],대상월키,상세표[반영 기관],"서울병원"))</f>
        <v/>
      </c>
      <c r="P103" s="20">
        <f>IF($X103="","",SUMIFS(상세표[18~22시],상세표[사번키],INDEX(합계표[사번키],$X103),상세표[반영월],대상월키,상세표[반영 기관],"서울병원"))</f>
        <v/>
      </c>
      <c r="Q103" s="20">
        <f>IF($X103="","",SUMIFS(상세표[22~06시],상세표[사번키],INDEX(합계표[사번키],$X103),상세표[반영월],대상월키,상세표[반영 기관],"서울병원"))</f>
        <v/>
      </c>
      <c r="R103" s="20">
        <f>IF($X103="","",SUM($N103:$Q103))</f>
        <v/>
      </c>
      <c r="S103">
        <f>IF($X103="","",COUNTIFS(상세표[사번키],INDEX(합계표[사번키],$X103),상세표[반영월],대상월키,상세표[야간당직],1,상세표[야간 구분],"평일"))</f>
        <v/>
      </c>
      <c r="T103">
        <f>IF($X103="","",COUNTIFS(상세표[사번키],INDEX(합계표[사번키],$X103),상세표[반영월],대상월키,상세표[야간당직],1,상세표[야간 구분],"휴일"))</f>
        <v/>
      </c>
      <c r="U103">
        <f>IF($X103="","",COUNTIFS(상세표[사번키],INDEX(합계표[사번키],$X103),상세표[반영월],대상월키,상세표[야간당직],1,상세표[야간 구분],"평일",상세표[반영 기관],"서울병원"))</f>
        <v/>
      </c>
      <c r="V103">
        <f>IF($X103="","",COUNTIFS(상세표[사번키],INDEX(합계표[사번키],$X103),상세표[반영월],대상월키,상세표[야간당직],1,상세표[야간 구분],"휴일",상세표[반영 기관],"서울병원"))</f>
        <v/>
      </c>
      <c r="W103">
        <f>IF($X103="","",IF(ISNUMBER(MATCH(INDEX(합계표[사번키],$X103)&amp;"|"&amp;대상월키,월별근무지표[키],0)),"직접 입력",IF($L103="—","—","기관명단")))</f>
        <v/>
      </c>
      <c r="X103" s="4">
        <f>IFERROR(MATCH(98,합계표[판정순번],0),"")</f>
        <v/>
      </c>
      <c r="Z103">
        <f>IF($AC103="","",INDEX(상세표[사번],$AC103)&amp;"")</f>
        <v/>
      </c>
      <c r="AA103">
        <f>IF($AC103="","",INDEX(상세표[성명],$AC103)&amp;"")</f>
        <v/>
      </c>
      <c r="AB103" s="20">
        <f>IF($AC103="","",SUMIFS(상세표[기록 시간외],상세표[사번키],INDEX(상세표[사번키],$AC103),상세표[반영월],대상월키))</f>
        <v/>
      </c>
      <c r="AC103" s="4">
        <f>IFERROR(MATCH(98,상세표[합계없음순번],0),"")</f>
        <v/>
      </c>
    </row>
    <row r="104">
      <c r="A104">
        <f>IF($X104="","",INDEX(합계표[사번],$X104)&amp;"")</f>
        <v/>
      </c>
      <c r="B104">
        <f>IF($X104="","",INDEX(합계표[성명],$X104)&amp;"")</f>
        <v/>
      </c>
      <c r="C104">
        <f>IF($X104="","",INDEX(합계표[부서],$X104)&amp;"")</f>
        <v/>
      </c>
      <c r="D104">
        <f>IF($X104="","",INDEX(합계표[직위(요약)],$X104)&amp;"")</f>
        <v/>
      </c>
      <c r="E104">
        <f>IF($X104="","",INDEX(합계표[직급 공존],$X104)&amp;"")</f>
        <v/>
      </c>
      <c r="F104" s="20">
        <f>IF($X104="","",SUMIFS(합계표[시스템 합계],합계표[사번키],INDEX(합계표[사번키],$X104)))</f>
        <v/>
      </c>
      <c r="G104" s="20">
        <f>IF($X104="","",SUMIFS(상세표[기록 시간외],상세표[사번키],INDEX(합계표[사번키],$X104),상세표[기록월],대상월키))</f>
        <v/>
      </c>
      <c r="H104">
        <f>IF($X104="","",IF(ABS($F104-$G104)&lt;0.01,"일치","불일치(차이 "&amp;TEXT($G104-$F104,"0.00")&amp;")"))</f>
        <v/>
      </c>
      <c r="I104" s="20">
        <f>IF($X104="","",SUMIFS(상세표[기록 시간외],상세표[사번키],INDEX(합계표[사번키],$X104),상세표[기록월],대상월키,상세표[반영월],"&lt;&gt;"&amp;대상월키))</f>
        <v/>
      </c>
      <c r="J104" s="20">
        <f>IF($X104="","",SUMIFS(상세표[기록 시간외],상세표[사번키],INDEX(합계표[사번키],$X104),상세표[기록월],"&lt;&gt;"&amp;대상월키,상세표[반영월],대상월키))</f>
        <v/>
      </c>
      <c r="K104" s="20">
        <f>IF($X104="","",SUMIFS(상세표[기록 시간외],상세표[사번키],INDEX(합계표[사번키],$X104),상세표[반영월],대상월키))</f>
        <v/>
      </c>
      <c r="L104">
        <f>IF($X104="","",IFERROR(INDEX(월별근무지표[적용 급여병원],MATCH(INDEX(합계표[사번키],$X104)&amp;"|"&amp;대상월키,월별근무지표[키],0))&amp;"",IF(COUNTIF(기관표[사번키],INDEX(합계표[사번키],$X104))+COUNTIF(월별근무지표[사번키],INDEX(합계표[사번키],$X104))&gt;0,IFERROR(INDEX(기관표[급여지급병원(기준월)],MATCH(INDEX(합계표[사번키],$X104)&amp;"|"&amp;대상월키,기관표[키],0))&amp;"","—"),"—")))</f>
        <v/>
      </c>
      <c r="M104">
        <f>IF($X104="","",IF(NOT(COUNTIF(기관표[사번키],INDEX(합계표[사번키],$X104))+COUNTIF(월별근무지표[사번키],INDEX(합계표[사번키],$X104))&gt;0),"기관명단에 없음(다른 병원으로 발송)",IF($L104="서울병원","해당",IF(N($R104)&gt;0,"해당(말일 근무)",IF($L104="—","대상월 기관명단 없음(추가 필요)","비해당")))))</f>
        <v/>
      </c>
      <c r="N104" s="20">
        <f>IF($X104="","",SUMIFS(상세표[06~07시],상세표[사번키],INDEX(합계표[사번키],$X104),상세표[반영월],대상월키,상세표[반영 기관],"서울병원"))</f>
        <v/>
      </c>
      <c r="O104" s="20">
        <f>IF($X104="","",SUMIFS(상세표[07~18시],상세표[사번키],INDEX(합계표[사번키],$X104),상세표[반영월],대상월키,상세표[반영 기관],"서울병원"))</f>
        <v/>
      </c>
      <c r="P104" s="20">
        <f>IF($X104="","",SUMIFS(상세표[18~22시],상세표[사번키],INDEX(합계표[사번키],$X104),상세표[반영월],대상월키,상세표[반영 기관],"서울병원"))</f>
        <v/>
      </c>
      <c r="Q104" s="20">
        <f>IF($X104="","",SUMIFS(상세표[22~06시],상세표[사번키],INDEX(합계표[사번키],$X104),상세표[반영월],대상월키,상세표[반영 기관],"서울병원"))</f>
        <v/>
      </c>
      <c r="R104" s="20">
        <f>IF($X104="","",SUM($N104:$Q104))</f>
        <v/>
      </c>
      <c r="S104">
        <f>IF($X104="","",COUNTIFS(상세표[사번키],INDEX(합계표[사번키],$X104),상세표[반영월],대상월키,상세표[야간당직],1,상세표[야간 구분],"평일"))</f>
        <v/>
      </c>
      <c r="T104">
        <f>IF($X104="","",COUNTIFS(상세표[사번키],INDEX(합계표[사번키],$X104),상세표[반영월],대상월키,상세표[야간당직],1,상세표[야간 구분],"휴일"))</f>
        <v/>
      </c>
      <c r="U104">
        <f>IF($X104="","",COUNTIFS(상세표[사번키],INDEX(합계표[사번키],$X104),상세표[반영월],대상월키,상세표[야간당직],1,상세표[야간 구분],"평일",상세표[반영 기관],"서울병원"))</f>
        <v/>
      </c>
      <c r="V104">
        <f>IF($X104="","",COUNTIFS(상세표[사번키],INDEX(합계표[사번키],$X104),상세표[반영월],대상월키,상세표[야간당직],1,상세표[야간 구분],"휴일",상세표[반영 기관],"서울병원"))</f>
        <v/>
      </c>
      <c r="W104">
        <f>IF($X104="","",IF(ISNUMBER(MATCH(INDEX(합계표[사번키],$X104)&amp;"|"&amp;대상월키,월별근무지표[키],0)),"직접 입력",IF($L104="—","—","기관명단")))</f>
        <v/>
      </c>
      <c r="X104" s="4">
        <f>IFERROR(MATCH(99,합계표[판정순번],0),"")</f>
        <v/>
      </c>
      <c r="Z104">
        <f>IF($AC104="","",INDEX(상세표[사번],$AC104)&amp;"")</f>
        <v/>
      </c>
      <c r="AA104">
        <f>IF($AC104="","",INDEX(상세표[성명],$AC104)&amp;"")</f>
        <v/>
      </c>
      <c r="AB104" s="20">
        <f>IF($AC104="","",SUMIFS(상세표[기록 시간외],상세표[사번키],INDEX(상세표[사번키],$AC104),상세표[반영월],대상월키))</f>
        <v/>
      </c>
      <c r="AC104" s="4">
        <f>IFERROR(MATCH(99,상세표[합계없음순번],0),"")</f>
        <v/>
      </c>
    </row>
    <row r="105">
      <c r="A105">
        <f>IF($X105="","",INDEX(합계표[사번],$X105)&amp;"")</f>
        <v/>
      </c>
      <c r="B105">
        <f>IF($X105="","",INDEX(합계표[성명],$X105)&amp;"")</f>
        <v/>
      </c>
      <c r="C105">
        <f>IF($X105="","",INDEX(합계표[부서],$X105)&amp;"")</f>
        <v/>
      </c>
      <c r="D105">
        <f>IF($X105="","",INDEX(합계표[직위(요약)],$X105)&amp;"")</f>
        <v/>
      </c>
      <c r="E105">
        <f>IF($X105="","",INDEX(합계표[직급 공존],$X105)&amp;"")</f>
        <v/>
      </c>
      <c r="F105" s="20">
        <f>IF($X105="","",SUMIFS(합계표[시스템 합계],합계표[사번키],INDEX(합계표[사번키],$X105)))</f>
        <v/>
      </c>
      <c r="G105" s="20">
        <f>IF($X105="","",SUMIFS(상세표[기록 시간외],상세표[사번키],INDEX(합계표[사번키],$X105),상세표[기록월],대상월키))</f>
        <v/>
      </c>
      <c r="H105">
        <f>IF($X105="","",IF(ABS($F105-$G105)&lt;0.01,"일치","불일치(차이 "&amp;TEXT($G105-$F105,"0.00")&amp;")"))</f>
        <v/>
      </c>
      <c r="I105" s="20">
        <f>IF($X105="","",SUMIFS(상세표[기록 시간외],상세표[사번키],INDEX(합계표[사번키],$X105),상세표[기록월],대상월키,상세표[반영월],"&lt;&gt;"&amp;대상월키))</f>
        <v/>
      </c>
      <c r="J105" s="20">
        <f>IF($X105="","",SUMIFS(상세표[기록 시간외],상세표[사번키],INDEX(합계표[사번키],$X105),상세표[기록월],"&lt;&gt;"&amp;대상월키,상세표[반영월],대상월키))</f>
        <v/>
      </c>
      <c r="K105" s="20">
        <f>IF($X105="","",SUMIFS(상세표[기록 시간외],상세표[사번키],INDEX(합계표[사번키],$X105),상세표[반영월],대상월키))</f>
        <v/>
      </c>
      <c r="L105">
        <f>IF($X105="","",IFERROR(INDEX(월별근무지표[적용 급여병원],MATCH(INDEX(합계표[사번키],$X105)&amp;"|"&amp;대상월키,월별근무지표[키],0))&amp;"",IF(COUNTIF(기관표[사번키],INDEX(합계표[사번키],$X105))+COUNTIF(월별근무지표[사번키],INDEX(합계표[사번키],$X105))&gt;0,IFERROR(INDEX(기관표[급여지급병원(기준월)],MATCH(INDEX(합계표[사번키],$X105)&amp;"|"&amp;대상월키,기관표[키],0))&amp;"","—"),"—")))</f>
        <v/>
      </c>
      <c r="M105">
        <f>IF($X105="","",IF(NOT(COUNTIF(기관표[사번키],INDEX(합계표[사번키],$X105))+COUNTIF(월별근무지표[사번키],INDEX(합계표[사번키],$X105))&gt;0),"기관명단에 없음(다른 병원으로 발송)",IF($L105="서울병원","해당",IF(N($R105)&gt;0,"해당(말일 근무)",IF($L105="—","대상월 기관명단 없음(추가 필요)","비해당")))))</f>
        <v/>
      </c>
      <c r="N105" s="20">
        <f>IF($X105="","",SUMIFS(상세표[06~07시],상세표[사번키],INDEX(합계표[사번키],$X105),상세표[반영월],대상월키,상세표[반영 기관],"서울병원"))</f>
        <v/>
      </c>
      <c r="O105" s="20">
        <f>IF($X105="","",SUMIFS(상세표[07~18시],상세표[사번키],INDEX(합계표[사번키],$X105),상세표[반영월],대상월키,상세표[반영 기관],"서울병원"))</f>
        <v/>
      </c>
      <c r="P105" s="20">
        <f>IF($X105="","",SUMIFS(상세표[18~22시],상세표[사번키],INDEX(합계표[사번키],$X105),상세표[반영월],대상월키,상세표[반영 기관],"서울병원"))</f>
        <v/>
      </c>
      <c r="Q105" s="20">
        <f>IF($X105="","",SUMIFS(상세표[22~06시],상세표[사번키],INDEX(합계표[사번키],$X105),상세표[반영월],대상월키,상세표[반영 기관],"서울병원"))</f>
        <v/>
      </c>
      <c r="R105" s="20">
        <f>IF($X105="","",SUM($N105:$Q105))</f>
        <v/>
      </c>
      <c r="S105">
        <f>IF($X105="","",COUNTIFS(상세표[사번키],INDEX(합계표[사번키],$X105),상세표[반영월],대상월키,상세표[야간당직],1,상세표[야간 구분],"평일"))</f>
        <v/>
      </c>
      <c r="T105">
        <f>IF($X105="","",COUNTIFS(상세표[사번키],INDEX(합계표[사번키],$X105),상세표[반영월],대상월키,상세표[야간당직],1,상세표[야간 구분],"휴일"))</f>
        <v/>
      </c>
      <c r="U105">
        <f>IF($X105="","",COUNTIFS(상세표[사번키],INDEX(합계표[사번키],$X105),상세표[반영월],대상월키,상세표[야간당직],1,상세표[야간 구분],"평일",상세표[반영 기관],"서울병원"))</f>
        <v/>
      </c>
      <c r="V105">
        <f>IF($X105="","",COUNTIFS(상세표[사번키],INDEX(합계표[사번키],$X105),상세표[반영월],대상월키,상세표[야간당직],1,상세표[야간 구분],"휴일",상세표[반영 기관],"서울병원"))</f>
        <v/>
      </c>
      <c r="W105">
        <f>IF($X105="","",IF(ISNUMBER(MATCH(INDEX(합계표[사번키],$X105)&amp;"|"&amp;대상월키,월별근무지표[키],0)),"직접 입력",IF($L105="—","—","기관명단")))</f>
        <v/>
      </c>
      <c r="X105" s="4">
        <f>IFERROR(MATCH(100,합계표[판정순번],0),"")</f>
        <v/>
      </c>
      <c r="Z105">
        <f>IF($AC105="","",INDEX(상세표[사번],$AC105)&amp;"")</f>
        <v/>
      </c>
      <c r="AA105">
        <f>IF($AC105="","",INDEX(상세표[성명],$AC105)&amp;"")</f>
        <v/>
      </c>
      <c r="AB105" s="20">
        <f>IF($AC105="","",SUMIFS(상세표[기록 시간외],상세표[사번키],INDEX(상세표[사번키],$AC105),상세표[반영월],대상월키))</f>
        <v/>
      </c>
      <c r="AC105" s="4">
        <f>IFERROR(MATCH(100,상세표[합계없음순번],0),"")</f>
        <v/>
      </c>
    </row>
    <row r="106">
      <c r="A106">
        <f>IF($X106="","",INDEX(합계표[사번],$X106)&amp;"")</f>
        <v/>
      </c>
      <c r="B106">
        <f>IF($X106="","",INDEX(합계표[성명],$X106)&amp;"")</f>
        <v/>
      </c>
      <c r="C106">
        <f>IF($X106="","",INDEX(합계표[부서],$X106)&amp;"")</f>
        <v/>
      </c>
      <c r="D106">
        <f>IF($X106="","",INDEX(합계표[직위(요약)],$X106)&amp;"")</f>
        <v/>
      </c>
      <c r="E106">
        <f>IF($X106="","",INDEX(합계표[직급 공존],$X106)&amp;"")</f>
        <v/>
      </c>
      <c r="F106" s="20">
        <f>IF($X106="","",SUMIFS(합계표[시스템 합계],합계표[사번키],INDEX(합계표[사번키],$X106)))</f>
        <v/>
      </c>
      <c r="G106" s="20">
        <f>IF($X106="","",SUMIFS(상세표[기록 시간외],상세표[사번키],INDEX(합계표[사번키],$X106),상세표[기록월],대상월키))</f>
        <v/>
      </c>
      <c r="H106">
        <f>IF($X106="","",IF(ABS($F106-$G106)&lt;0.01,"일치","불일치(차이 "&amp;TEXT($G106-$F106,"0.00")&amp;")"))</f>
        <v/>
      </c>
      <c r="I106" s="20">
        <f>IF($X106="","",SUMIFS(상세표[기록 시간외],상세표[사번키],INDEX(합계표[사번키],$X106),상세표[기록월],대상월키,상세표[반영월],"&lt;&gt;"&amp;대상월키))</f>
        <v/>
      </c>
      <c r="J106" s="20">
        <f>IF($X106="","",SUMIFS(상세표[기록 시간외],상세표[사번키],INDEX(합계표[사번키],$X106),상세표[기록월],"&lt;&gt;"&amp;대상월키,상세표[반영월],대상월키))</f>
        <v/>
      </c>
      <c r="K106" s="20">
        <f>IF($X106="","",SUMIFS(상세표[기록 시간외],상세표[사번키],INDEX(합계표[사번키],$X106),상세표[반영월],대상월키))</f>
        <v/>
      </c>
      <c r="L106">
        <f>IF($X106="","",IFERROR(INDEX(월별근무지표[적용 급여병원],MATCH(INDEX(합계표[사번키],$X106)&amp;"|"&amp;대상월키,월별근무지표[키],0))&amp;"",IF(COUNTIF(기관표[사번키],INDEX(합계표[사번키],$X106))+COUNTIF(월별근무지표[사번키],INDEX(합계표[사번키],$X106))&gt;0,IFERROR(INDEX(기관표[급여지급병원(기준월)],MATCH(INDEX(합계표[사번키],$X106)&amp;"|"&amp;대상월키,기관표[키],0))&amp;"","—"),"—")))</f>
        <v/>
      </c>
      <c r="M106">
        <f>IF($X106="","",IF(NOT(COUNTIF(기관표[사번키],INDEX(합계표[사번키],$X106))+COUNTIF(월별근무지표[사번키],INDEX(합계표[사번키],$X106))&gt;0),"기관명단에 없음(다른 병원으로 발송)",IF($L106="서울병원","해당",IF(N($R106)&gt;0,"해당(말일 근무)",IF($L106="—","대상월 기관명단 없음(추가 필요)","비해당")))))</f>
        <v/>
      </c>
      <c r="N106" s="20">
        <f>IF($X106="","",SUMIFS(상세표[06~07시],상세표[사번키],INDEX(합계표[사번키],$X106),상세표[반영월],대상월키,상세표[반영 기관],"서울병원"))</f>
        <v/>
      </c>
      <c r="O106" s="20">
        <f>IF($X106="","",SUMIFS(상세표[07~18시],상세표[사번키],INDEX(합계표[사번키],$X106),상세표[반영월],대상월키,상세표[반영 기관],"서울병원"))</f>
        <v/>
      </c>
      <c r="P106" s="20">
        <f>IF($X106="","",SUMIFS(상세표[18~22시],상세표[사번키],INDEX(합계표[사번키],$X106),상세표[반영월],대상월키,상세표[반영 기관],"서울병원"))</f>
        <v/>
      </c>
      <c r="Q106" s="20">
        <f>IF($X106="","",SUMIFS(상세표[22~06시],상세표[사번키],INDEX(합계표[사번키],$X106),상세표[반영월],대상월키,상세표[반영 기관],"서울병원"))</f>
        <v/>
      </c>
      <c r="R106" s="20">
        <f>IF($X106="","",SUM($N106:$Q106))</f>
        <v/>
      </c>
      <c r="S106">
        <f>IF($X106="","",COUNTIFS(상세표[사번키],INDEX(합계표[사번키],$X106),상세표[반영월],대상월키,상세표[야간당직],1,상세표[야간 구분],"평일"))</f>
        <v/>
      </c>
      <c r="T106">
        <f>IF($X106="","",COUNTIFS(상세표[사번키],INDEX(합계표[사번키],$X106),상세표[반영월],대상월키,상세표[야간당직],1,상세표[야간 구분],"휴일"))</f>
        <v/>
      </c>
      <c r="U106">
        <f>IF($X106="","",COUNTIFS(상세표[사번키],INDEX(합계표[사번키],$X106),상세표[반영월],대상월키,상세표[야간당직],1,상세표[야간 구분],"평일",상세표[반영 기관],"서울병원"))</f>
        <v/>
      </c>
      <c r="V106">
        <f>IF($X106="","",COUNTIFS(상세표[사번키],INDEX(합계표[사번키],$X106),상세표[반영월],대상월키,상세표[야간당직],1,상세표[야간 구분],"휴일",상세표[반영 기관],"서울병원"))</f>
        <v/>
      </c>
      <c r="W106">
        <f>IF($X106="","",IF(ISNUMBER(MATCH(INDEX(합계표[사번키],$X106)&amp;"|"&amp;대상월키,월별근무지표[키],0)),"직접 입력",IF($L106="—","—","기관명단")))</f>
        <v/>
      </c>
      <c r="X106" s="4">
        <f>IFERROR(MATCH(101,합계표[판정순번],0),"")</f>
        <v/>
      </c>
      <c r="Z106">
        <f>IF($AC106="","",INDEX(상세표[사번],$AC106)&amp;"")</f>
        <v/>
      </c>
      <c r="AA106">
        <f>IF($AC106="","",INDEX(상세표[성명],$AC106)&amp;"")</f>
        <v/>
      </c>
      <c r="AB106" s="20">
        <f>IF($AC106="","",SUMIFS(상세표[기록 시간외],상세표[사번키],INDEX(상세표[사번키],$AC106),상세표[반영월],대상월키))</f>
        <v/>
      </c>
      <c r="AC106" s="4">
        <f>IFERROR(MATCH(101,상세표[합계없음순번],0),"")</f>
        <v/>
      </c>
    </row>
    <row r="107">
      <c r="A107">
        <f>IF($X107="","",INDEX(합계표[사번],$X107)&amp;"")</f>
        <v/>
      </c>
      <c r="B107">
        <f>IF($X107="","",INDEX(합계표[성명],$X107)&amp;"")</f>
        <v/>
      </c>
      <c r="C107">
        <f>IF($X107="","",INDEX(합계표[부서],$X107)&amp;"")</f>
        <v/>
      </c>
      <c r="D107">
        <f>IF($X107="","",INDEX(합계표[직위(요약)],$X107)&amp;"")</f>
        <v/>
      </c>
      <c r="E107">
        <f>IF($X107="","",INDEX(합계표[직급 공존],$X107)&amp;"")</f>
        <v/>
      </c>
      <c r="F107" s="20">
        <f>IF($X107="","",SUMIFS(합계표[시스템 합계],합계표[사번키],INDEX(합계표[사번키],$X107)))</f>
        <v/>
      </c>
      <c r="G107" s="20">
        <f>IF($X107="","",SUMIFS(상세표[기록 시간외],상세표[사번키],INDEX(합계표[사번키],$X107),상세표[기록월],대상월키))</f>
        <v/>
      </c>
      <c r="H107">
        <f>IF($X107="","",IF(ABS($F107-$G107)&lt;0.01,"일치","불일치(차이 "&amp;TEXT($G107-$F107,"0.00")&amp;")"))</f>
        <v/>
      </c>
      <c r="I107" s="20">
        <f>IF($X107="","",SUMIFS(상세표[기록 시간외],상세표[사번키],INDEX(합계표[사번키],$X107),상세표[기록월],대상월키,상세표[반영월],"&lt;&gt;"&amp;대상월키))</f>
        <v/>
      </c>
      <c r="J107" s="20">
        <f>IF($X107="","",SUMIFS(상세표[기록 시간외],상세표[사번키],INDEX(합계표[사번키],$X107),상세표[기록월],"&lt;&gt;"&amp;대상월키,상세표[반영월],대상월키))</f>
        <v/>
      </c>
      <c r="K107" s="20">
        <f>IF($X107="","",SUMIFS(상세표[기록 시간외],상세표[사번키],INDEX(합계표[사번키],$X107),상세표[반영월],대상월키))</f>
        <v/>
      </c>
      <c r="L107">
        <f>IF($X107="","",IFERROR(INDEX(월별근무지표[적용 급여병원],MATCH(INDEX(합계표[사번키],$X107)&amp;"|"&amp;대상월키,월별근무지표[키],0))&amp;"",IF(COUNTIF(기관표[사번키],INDEX(합계표[사번키],$X107))+COUNTIF(월별근무지표[사번키],INDEX(합계표[사번키],$X107))&gt;0,IFERROR(INDEX(기관표[급여지급병원(기준월)],MATCH(INDEX(합계표[사번키],$X107)&amp;"|"&amp;대상월키,기관표[키],0))&amp;"","—"),"—")))</f>
        <v/>
      </c>
      <c r="M107">
        <f>IF($X107="","",IF(NOT(COUNTIF(기관표[사번키],INDEX(합계표[사번키],$X107))+COUNTIF(월별근무지표[사번키],INDEX(합계표[사번키],$X107))&gt;0),"기관명단에 없음(다른 병원으로 발송)",IF($L107="서울병원","해당",IF(N($R107)&gt;0,"해당(말일 근무)",IF($L107="—","대상월 기관명단 없음(추가 필요)","비해당")))))</f>
        <v/>
      </c>
      <c r="N107" s="20">
        <f>IF($X107="","",SUMIFS(상세표[06~07시],상세표[사번키],INDEX(합계표[사번키],$X107),상세표[반영월],대상월키,상세표[반영 기관],"서울병원"))</f>
        <v/>
      </c>
      <c r="O107" s="20">
        <f>IF($X107="","",SUMIFS(상세표[07~18시],상세표[사번키],INDEX(합계표[사번키],$X107),상세표[반영월],대상월키,상세표[반영 기관],"서울병원"))</f>
        <v/>
      </c>
      <c r="P107" s="20">
        <f>IF($X107="","",SUMIFS(상세표[18~22시],상세표[사번키],INDEX(합계표[사번키],$X107),상세표[반영월],대상월키,상세표[반영 기관],"서울병원"))</f>
        <v/>
      </c>
      <c r="Q107" s="20">
        <f>IF($X107="","",SUMIFS(상세표[22~06시],상세표[사번키],INDEX(합계표[사번키],$X107),상세표[반영월],대상월키,상세표[반영 기관],"서울병원"))</f>
        <v/>
      </c>
      <c r="R107" s="20">
        <f>IF($X107="","",SUM($N107:$Q107))</f>
        <v/>
      </c>
      <c r="S107">
        <f>IF($X107="","",COUNTIFS(상세표[사번키],INDEX(합계표[사번키],$X107),상세표[반영월],대상월키,상세표[야간당직],1,상세표[야간 구분],"평일"))</f>
        <v/>
      </c>
      <c r="T107">
        <f>IF($X107="","",COUNTIFS(상세표[사번키],INDEX(합계표[사번키],$X107),상세표[반영월],대상월키,상세표[야간당직],1,상세표[야간 구분],"휴일"))</f>
        <v/>
      </c>
      <c r="U107">
        <f>IF($X107="","",COUNTIFS(상세표[사번키],INDEX(합계표[사번키],$X107),상세표[반영월],대상월키,상세표[야간당직],1,상세표[야간 구분],"평일",상세표[반영 기관],"서울병원"))</f>
        <v/>
      </c>
      <c r="V107">
        <f>IF($X107="","",COUNTIFS(상세표[사번키],INDEX(합계표[사번키],$X107),상세표[반영월],대상월키,상세표[야간당직],1,상세표[야간 구분],"휴일",상세표[반영 기관],"서울병원"))</f>
        <v/>
      </c>
      <c r="W107">
        <f>IF($X107="","",IF(ISNUMBER(MATCH(INDEX(합계표[사번키],$X107)&amp;"|"&amp;대상월키,월별근무지표[키],0)),"직접 입력",IF($L107="—","—","기관명단")))</f>
        <v/>
      </c>
      <c r="X107" s="4">
        <f>IFERROR(MATCH(102,합계표[판정순번],0),"")</f>
        <v/>
      </c>
      <c r="Z107">
        <f>IF($AC107="","",INDEX(상세표[사번],$AC107)&amp;"")</f>
        <v/>
      </c>
      <c r="AA107">
        <f>IF($AC107="","",INDEX(상세표[성명],$AC107)&amp;"")</f>
        <v/>
      </c>
      <c r="AB107" s="20">
        <f>IF($AC107="","",SUMIFS(상세표[기록 시간외],상세표[사번키],INDEX(상세표[사번키],$AC107),상세표[반영월],대상월키))</f>
        <v/>
      </c>
      <c r="AC107" s="4">
        <f>IFERROR(MATCH(102,상세표[합계없음순번],0),"")</f>
        <v/>
      </c>
    </row>
    <row r="108">
      <c r="A108">
        <f>IF($X108="","",INDEX(합계표[사번],$X108)&amp;"")</f>
        <v/>
      </c>
      <c r="B108">
        <f>IF($X108="","",INDEX(합계표[성명],$X108)&amp;"")</f>
        <v/>
      </c>
      <c r="C108">
        <f>IF($X108="","",INDEX(합계표[부서],$X108)&amp;"")</f>
        <v/>
      </c>
      <c r="D108">
        <f>IF($X108="","",INDEX(합계표[직위(요약)],$X108)&amp;"")</f>
        <v/>
      </c>
      <c r="E108">
        <f>IF($X108="","",INDEX(합계표[직급 공존],$X108)&amp;"")</f>
        <v/>
      </c>
      <c r="F108" s="20">
        <f>IF($X108="","",SUMIFS(합계표[시스템 합계],합계표[사번키],INDEX(합계표[사번키],$X108)))</f>
        <v/>
      </c>
      <c r="G108" s="20">
        <f>IF($X108="","",SUMIFS(상세표[기록 시간외],상세표[사번키],INDEX(합계표[사번키],$X108),상세표[기록월],대상월키))</f>
        <v/>
      </c>
      <c r="H108">
        <f>IF($X108="","",IF(ABS($F108-$G108)&lt;0.01,"일치","불일치(차이 "&amp;TEXT($G108-$F108,"0.00")&amp;")"))</f>
        <v/>
      </c>
      <c r="I108" s="20">
        <f>IF($X108="","",SUMIFS(상세표[기록 시간외],상세표[사번키],INDEX(합계표[사번키],$X108),상세표[기록월],대상월키,상세표[반영월],"&lt;&gt;"&amp;대상월키))</f>
        <v/>
      </c>
      <c r="J108" s="20">
        <f>IF($X108="","",SUMIFS(상세표[기록 시간외],상세표[사번키],INDEX(합계표[사번키],$X108),상세표[기록월],"&lt;&gt;"&amp;대상월키,상세표[반영월],대상월키))</f>
        <v/>
      </c>
      <c r="K108" s="20">
        <f>IF($X108="","",SUMIFS(상세표[기록 시간외],상세표[사번키],INDEX(합계표[사번키],$X108),상세표[반영월],대상월키))</f>
        <v/>
      </c>
      <c r="L108">
        <f>IF($X108="","",IFERROR(INDEX(월별근무지표[적용 급여병원],MATCH(INDEX(합계표[사번키],$X108)&amp;"|"&amp;대상월키,월별근무지표[키],0))&amp;"",IF(COUNTIF(기관표[사번키],INDEX(합계표[사번키],$X108))+COUNTIF(월별근무지표[사번키],INDEX(합계표[사번키],$X108))&gt;0,IFERROR(INDEX(기관표[급여지급병원(기준월)],MATCH(INDEX(합계표[사번키],$X108)&amp;"|"&amp;대상월키,기관표[키],0))&amp;"","—"),"—")))</f>
        <v/>
      </c>
      <c r="M108">
        <f>IF($X108="","",IF(NOT(COUNTIF(기관표[사번키],INDEX(합계표[사번키],$X108))+COUNTIF(월별근무지표[사번키],INDEX(합계표[사번키],$X108))&gt;0),"기관명단에 없음(다른 병원으로 발송)",IF($L108="서울병원","해당",IF(N($R108)&gt;0,"해당(말일 근무)",IF($L108="—","대상월 기관명단 없음(추가 필요)","비해당")))))</f>
        <v/>
      </c>
      <c r="N108" s="20">
        <f>IF($X108="","",SUMIFS(상세표[06~07시],상세표[사번키],INDEX(합계표[사번키],$X108),상세표[반영월],대상월키,상세표[반영 기관],"서울병원"))</f>
        <v/>
      </c>
      <c r="O108" s="20">
        <f>IF($X108="","",SUMIFS(상세표[07~18시],상세표[사번키],INDEX(합계표[사번키],$X108),상세표[반영월],대상월키,상세표[반영 기관],"서울병원"))</f>
        <v/>
      </c>
      <c r="P108" s="20">
        <f>IF($X108="","",SUMIFS(상세표[18~22시],상세표[사번키],INDEX(합계표[사번키],$X108),상세표[반영월],대상월키,상세표[반영 기관],"서울병원"))</f>
        <v/>
      </c>
      <c r="Q108" s="20">
        <f>IF($X108="","",SUMIFS(상세표[22~06시],상세표[사번키],INDEX(합계표[사번키],$X108),상세표[반영월],대상월키,상세표[반영 기관],"서울병원"))</f>
        <v/>
      </c>
      <c r="R108" s="20">
        <f>IF($X108="","",SUM($N108:$Q108))</f>
        <v/>
      </c>
      <c r="S108">
        <f>IF($X108="","",COUNTIFS(상세표[사번키],INDEX(합계표[사번키],$X108),상세표[반영월],대상월키,상세표[야간당직],1,상세표[야간 구분],"평일"))</f>
        <v/>
      </c>
      <c r="T108">
        <f>IF($X108="","",COUNTIFS(상세표[사번키],INDEX(합계표[사번키],$X108),상세표[반영월],대상월키,상세표[야간당직],1,상세표[야간 구분],"휴일"))</f>
        <v/>
      </c>
      <c r="U108">
        <f>IF($X108="","",COUNTIFS(상세표[사번키],INDEX(합계표[사번키],$X108),상세표[반영월],대상월키,상세표[야간당직],1,상세표[야간 구분],"평일",상세표[반영 기관],"서울병원"))</f>
        <v/>
      </c>
      <c r="V108">
        <f>IF($X108="","",COUNTIFS(상세표[사번키],INDEX(합계표[사번키],$X108),상세표[반영월],대상월키,상세표[야간당직],1,상세표[야간 구분],"휴일",상세표[반영 기관],"서울병원"))</f>
        <v/>
      </c>
      <c r="W108">
        <f>IF($X108="","",IF(ISNUMBER(MATCH(INDEX(합계표[사번키],$X108)&amp;"|"&amp;대상월키,월별근무지표[키],0)),"직접 입력",IF($L108="—","—","기관명단")))</f>
        <v/>
      </c>
      <c r="X108" s="4">
        <f>IFERROR(MATCH(103,합계표[판정순번],0),"")</f>
        <v/>
      </c>
      <c r="Z108">
        <f>IF($AC108="","",INDEX(상세표[사번],$AC108)&amp;"")</f>
        <v/>
      </c>
      <c r="AA108">
        <f>IF($AC108="","",INDEX(상세표[성명],$AC108)&amp;"")</f>
        <v/>
      </c>
      <c r="AB108" s="20">
        <f>IF($AC108="","",SUMIFS(상세표[기록 시간외],상세표[사번키],INDEX(상세표[사번키],$AC108),상세표[반영월],대상월키))</f>
        <v/>
      </c>
      <c r="AC108" s="4">
        <f>IFERROR(MATCH(103,상세표[합계없음순번],0),"")</f>
        <v/>
      </c>
    </row>
    <row r="109">
      <c r="A109">
        <f>IF($X109="","",INDEX(합계표[사번],$X109)&amp;"")</f>
        <v/>
      </c>
      <c r="B109">
        <f>IF($X109="","",INDEX(합계표[성명],$X109)&amp;"")</f>
        <v/>
      </c>
      <c r="C109">
        <f>IF($X109="","",INDEX(합계표[부서],$X109)&amp;"")</f>
        <v/>
      </c>
      <c r="D109">
        <f>IF($X109="","",INDEX(합계표[직위(요약)],$X109)&amp;"")</f>
        <v/>
      </c>
      <c r="E109">
        <f>IF($X109="","",INDEX(합계표[직급 공존],$X109)&amp;"")</f>
        <v/>
      </c>
      <c r="F109" s="20">
        <f>IF($X109="","",SUMIFS(합계표[시스템 합계],합계표[사번키],INDEX(합계표[사번키],$X109)))</f>
        <v/>
      </c>
      <c r="G109" s="20">
        <f>IF($X109="","",SUMIFS(상세표[기록 시간외],상세표[사번키],INDEX(합계표[사번키],$X109),상세표[기록월],대상월키))</f>
        <v/>
      </c>
      <c r="H109">
        <f>IF($X109="","",IF(ABS($F109-$G109)&lt;0.01,"일치","불일치(차이 "&amp;TEXT($G109-$F109,"0.00")&amp;")"))</f>
        <v/>
      </c>
      <c r="I109" s="20">
        <f>IF($X109="","",SUMIFS(상세표[기록 시간외],상세표[사번키],INDEX(합계표[사번키],$X109),상세표[기록월],대상월키,상세표[반영월],"&lt;&gt;"&amp;대상월키))</f>
        <v/>
      </c>
      <c r="J109" s="20">
        <f>IF($X109="","",SUMIFS(상세표[기록 시간외],상세표[사번키],INDEX(합계표[사번키],$X109),상세표[기록월],"&lt;&gt;"&amp;대상월키,상세표[반영월],대상월키))</f>
        <v/>
      </c>
      <c r="K109" s="20">
        <f>IF($X109="","",SUMIFS(상세표[기록 시간외],상세표[사번키],INDEX(합계표[사번키],$X109),상세표[반영월],대상월키))</f>
        <v/>
      </c>
      <c r="L109">
        <f>IF($X109="","",IFERROR(INDEX(월별근무지표[적용 급여병원],MATCH(INDEX(합계표[사번키],$X109)&amp;"|"&amp;대상월키,월별근무지표[키],0))&amp;"",IF(COUNTIF(기관표[사번키],INDEX(합계표[사번키],$X109))+COUNTIF(월별근무지표[사번키],INDEX(합계표[사번키],$X109))&gt;0,IFERROR(INDEX(기관표[급여지급병원(기준월)],MATCH(INDEX(합계표[사번키],$X109)&amp;"|"&amp;대상월키,기관표[키],0))&amp;"","—"),"—")))</f>
        <v/>
      </c>
      <c r="M109">
        <f>IF($X109="","",IF(NOT(COUNTIF(기관표[사번키],INDEX(합계표[사번키],$X109))+COUNTIF(월별근무지표[사번키],INDEX(합계표[사번키],$X109))&gt;0),"기관명단에 없음(다른 병원으로 발송)",IF($L109="서울병원","해당",IF(N($R109)&gt;0,"해당(말일 근무)",IF($L109="—","대상월 기관명단 없음(추가 필요)","비해당")))))</f>
        <v/>
      </c>
      <c r="N109" s="20">
        <f>IF($X109="","",SUMIFS(상세표[06~07시],상세표[사번키],INDEX(합계표[사번키],$X109),상세표[반영월],대상월키,상세표[반영 기관],"서울병원"))</f>
        <v/>
      </c>
      <c r="O109" s="20">
        <f>IF($X109="","",SUMIFS(상세표[07~18시],상세표[사번키],INDEX(합계표[사번키],$X109),상세표[반영월],대상월키,상세표[반영 기관],"서울병원"))</f>
        <v/>
      </c>
      <c r="P109" s="20">
        <f>IF($X109="","",SUMIFS(상세표[18~22시],상세표[사번키],INDEX(합계표[사번키],$X109),상세표[반영월],대상월키,상세표[반영 기관],"서울병원"))</f>
        <v/>
      </c>
      <c r="Q109" s="20">
        <f>IF($X109="","",SUMIFS(상세표[22~06시],상세표[사번키],INDEX(합계표[사번키],$X109),상세표[반영월],대상월키,상세표[반영 기관],"서울병원"))</f>
        <v/>
      </c>
      <c r="R109" s="20">
        <f>IF($X109="","",SUM($N109:$Q109))</f>
        <v/>
      </c>
      <c r="S109">
        <f>IF($X109="","",COUNTIFS(상세표[사번키],INDEX(합계표[사번키],$X109),상세표[반영월],대상월키,상세표[야간당직],1,상세표[야간 구분],"평일"))</f>
        <v/>
      </c>
      <c r="T109">
        <f>IF($X109="","",COUNTIFS(상세표[사번키],INDEX(합계표[사번키],$X109),상세표[반영월],대상월키,상세표[야간당직],1,상세표[야간 구분],"휴일"))</f>
        <v/>
      </c>
      <c r="U109">
        <f>IF($X109="","",COUNTIFS(상세표[사번키],INDEX(합계표[사번키],$X109),상세표[반영월],대상월키,상세표[야간당직],1,상세표[야간 구분],"평일",상세표[반영 기관],"서울병원"))</f>
        <v/>
      </c>
      <c r="V109">
        <f>IF($X109="","",COUNTIFS(상세표[사번키],INDEX(합계표[사번키],$X109),상세표[반영월],대상월키,상세표[야간당직],1,상세표[야간 구분],"휴일",상세표[반영 기관],"서울병원"))</f>
        <v/>
      </c>
      <c r="W109">
        <f>IF($X109="","",IF(ISNUMBER(MATCH(INDEX(합계표[사번키],$X109)&amp;"|"&amp;대상월키,월별근무지표[키],0)),"직접 입력",IF($L109="—","—","기관명단")))</f>
        <v/>
      </c>
      <c r="X109" s="4">
        <f>IFERROR(MATCH(104,합계표[판정순번],0),"")</f>
        <v/>
      </c>
      <c r="Z109">
        <f>IF($AC109="","",INDEX(상세표[사번],$AC109)&amp;"")</f>
        <v/>
      </c>
      <c r="AA109">
        <f>IF($AC109="","",INDEX(상세표[성명],$AC109)&amp;"")</f>
        <v/>
      </c>
      <c r="AB109" s="20">
        <f>IF($AC109="","",SUMIFS(상세표[기록 시간외],상세표[사번키],INDEX(상세표[사번키],$AC109),상세표[반영월],대상월키))</f>
        <v/>
      </c>
      <c r="AC109" s="4">
        <f>IFERROR(MATCH(104,상세표[합계없음순번],0),"")</f>
        <v/>
      </c>
    </row>
    <row r="110">
      <c r="A110">
        <f>IF($X110="","",INDEX(합계표[사번],$X110)&amp;"")</f>
        <v/>
      </c>
      <c r="B110">
        <f>IF($X110="","",INDEX(합계표[성명],$X110)&amp;"")</f>
        <v/>
      </c>
      <c r="C110">
        <f>IF($X110="","",INDEX(합계표[부서],$X110)&amp;"")</f>
        <v/>
      </c>
      <c r="D110">
        <f>IF($X110="","",INDEX(합계표[직위(요약)],$X110)&amp;"")</f>
        <v/>
      </c>
      <c r="E110">
        <f>IF($X110="","",INDEX(합계표[직급 공존],$X110)&amp;"")</f>
        <v/>
      </c>
      <c r="F110" s="20">
        <f>IF($X110="","",SUMIFS(합계표[시스템 합계],합계표[사번키],INDEX(합계표[사번키],$X110)))</f>
        <v/>
      </c>
      <c r="G110" s="20">
        <f>IF($X110="","",SUMIFS(상세표[기록 시간외],상세표[사번키],INDEX(합계표[사번키],$X110),상세표[기록월],대상월키))</f>
        <v/>
      </c>
      <c r="H110">
        <f>IF($X110="","",IF(ABS($F110-$G110)&lt;0.01,"일치","불일치(차이 "&amp;TEXT($G110-$F110,"0.00")&amp;")"))</f>
        <v/>
      </c>
      <c r="I110" s="20">
        <f>IF($X110="","",SUMIFS(상세표[기록 시간외],상세표[사번키],INDEX(합계표[사번키],$X110),상세표[기록월],대상월키,상세표[반영월],"&lt;&gt;"&amp;대상월키))</f>
        <v/>
      </c>
      <c r="J110" s="20">
        <f>IF($X110="","",SUMIFS(상세표[기록 시간외],상세표[사번키],INDEX(합계표[사번키],$X110),상세표[기록월],"&lt;&gt;"&amp;대상월키,상세표[반영월],대상월키))</f>
        <v/>
      </c>
      <c r="K110" s="20">
        <f>IF($X110="","",SUMIFS(상세표[기록 시간외],상세표[사번키],INDEX(합계표[사번키],$X110),상세표[반영월],대상월키))</f>
        <v/>
      </c>
      <c r="L110">
        <f>IF($X110="","",IFERROR(INDEX(월별근무지표[적용 급여병원],MATCH(INDEX(합계표[사번키],$X110)&amp;"|"&amp;대상월키,월별근무지표[키],0))&amp;"",IF(COUNTIF(기관표[사번키],INDEX(합계표[사번키],$X110))+COUNTIF(월별근무지표[사번키],INDEX(합계표[사번키],$X110))&gt;0,IFERROR(INDEX(기관표[급여지급병원(기준월)],MATCH(INDEX(합계표[사번키],$X110)&amp;"|"&amp;대상월키,기관표[키],0))&amp;"","—"),"—")))</f>
        <v/>
      </c>
      <c r="M110">
        <f>IF($X110="","",IF(NOT(COUNTIF(기관표[사번키],INDEX(합계표[사번키],$X110))+COUNTIF(월별근무지표[사번키],INDEX(합계표[사번키],$X110))&gt;0),"기관명단에 없음(다른 병원으로 발송)",IF($L110="서울병원","해당",IF(N($R110)&gt;0,"해당(말일 근무)",IF($L110="—","대상월 기관명단 없음(추가 필요)","비해당")))))</f>
        <v/>
      </c>
      <c r="N110" s="20">
        <f>IF($X110="","",SUMIFS(상세표[06~07시],상세표[사번키],INDEX(합계표[사번키],$X110),상세표[반영월],대상월키,상세표[반영 기관],"서울병원"))</f>
        <v/>
      </c>
      <c r="O110" s="20">
        <f>IF($X110="","",SUMIFS(상세표[07~18시],상세표[사번키],INDEX(합계표[사번키],$X110),상세표[반영월],대상월키,상세표[반영 기관],"서울병원"))</f>
        <v/>
      </c>
      <c r="P110" s="20">
        <f>IF($X110="","",SUMIFS(상세표[18~22시],상세표[사번키],INDEX(합계표[사번키],$X110),상세표[반영월],대상월키,상세표[반영 기관],"서울병원"))</f>
        <v/>
      </c>
      <c r="Q110" s="20">
        <f>IF($X110="","",SUMIFS(상세표[22~06시],상세표[사번키],INDEX(합계표[사번키],$X110),상세표[반영월],대상월키,상세표[반영 기관],"서울병원"))</f>
        <v/>
      </c>
      <c r="R110" s="20">
        <f>IF($X110="","",SUM($N110:$Q110))</f>
        <v/>
      </c>
      <c r="S110">
        <f>IF($X110="","",COUNTIFS(상세표[사번키],INDEX(합계표[사번키],$X110),상세표[반영월],대상월키,상세표[야간당직],1,상세표[야간 구분],"평일"))</f>
        <v/>
      </c>
      <c r="T110">
        <f>IF($X110="","",COUNTIFS(상세표[사번키],INDEX(합계표[사번키],$X110),상세표[반영월],대상월키,상세표[야간당직],1,상세표[야간 구분],"휴일"))</f>
        <v/>
      </c>
      <c r="U110">
        <f>IF($X110="","",COUNTIFS(상세표[사번키],INDEX(합계표[사번키],$X110),상세표[반영월],대상월키,상세표[야간당직],1,상세표[야간 구분],"평일",상세표[반영 기관],"서울병원"))</f>
        <v/>
      </c>
      <c r="V110">
        <f>IF($X110="","",COUNTIFS(상세표[사번키],INDEX(합계표[사번키],$X110),상세표[반영월],대상월키,상세표[야간당직],1,상세표[야간 구분],"휴일",상세표[반영 기관],"서울병원"))</f>
        <v/>
      </c>
      <c r="W110">
        <f>IF($X110="","",IF(ISNUMBER(MATCH(INDEX(합계표[사번키],$X110)&amp;"|"&amp;대상월키,월별근무지표[키],0)),"직접 입력",IF($L110="—","—","기관명단")))</f>
        <v/>
      </c>
      <c r="X110" s="4">
        <f>IFERROR(MATCH(105,합계표[판정순번],0),"")</f>
        <v/>
      </c>
      <c r="Z110">
        <f>IF($AC110="","",INDEX(상세표[사번],$AC110)&amp;"")</f>
        <v/>
      </c>
      <c r="AA110">
        <f>IF($AC110="","",INDEX(상세표[성명],$AC110)&amp;"")</f>
        <v/>
      </c>
      <c r="AB110" s="20">
        <f>IF($AC110="","",SUMIFS(상세표[기록 시간외],상세표[사번키],INDEX(상세표[사번키],$AC110),상세표[반영월],대상월키))</f>
        <v/>
      </c>
      <c r="AC110" s="4">
        <f>IFERROR(MATCH(105,상세표[합계없음순번],0),"")</f>
        <v/>
      </c>
    </row>
    <row r="111">
      <c r="A111">
        <f>IF($X111="","",INDEX(합계표[사번],$X111)&amp;"")</f>
        <v/>
      </c>
      <c r="B111">
        <f>IF($X111="","",INDEX(합계표[성명],$X111)&amp;"")</f>
        <v/>
      </c>
      <c r="C111">
        <f>IF($X111="","",INDEX(합계표[부서],$X111)&amp;"")</f>
        <v/>
      </c>
      <c r="D111">
        <f>IF($X111="","",INDEX(합계표[직위(요약)],$X111)&amp;"")</f>
        <v/>
      </c>
      <c r="E111">
        <f>IF($X111="","",INDEX(합계표[직급 공존],$X111)&amp;"")</f>
        <v/>
      </c>
      <c r="F111" s="20">
        <f>IF($X111="","",SUMIFS(합계표[시스템 합계],합계표[사번키],INDEX(합계표[사번키],$X111)))</f>
        <v/>
      </c>
      <c r="G111" s="20">
        <f>IF($X111="","",SUMIFS(상세표[기록 시간외],상세표[사번키],INDEX(합계표[사번키],$X111),상세표[기록월],대상월키))</f>
        <v/>
      </c>
      <c r="H111">
        <f>IF($X111="","",IF(ABS($F111-$G111)&lt;0.01,"일치","불일치(차이 "&amp;TEXT($G111-$F111,"0.00")&amp;")"))</f>
        <v/>
      </c>
      <c r="I111" s="20">
        <f>IF($X111="","",SUMIFS(상세표[기록 시간외],상세표[사번키],INDEX(합계표[사번키],$X111),상세표[기록월],대상월키,상세표[반영월],"&lt;&gt;"&amp;대상월키))</f>
        <v/>
      </c>
      <c r="J111" s="20">
        <f>IF($X111="","",SUMIFS(상세표[기록 시간외],상세표[사번키],INDEX(합계표[사번키],$X111),상세표[기록월],"&lt;&gt;"&amp;대상월키,상세표[반영월],대상월키))</f>
        <v/>
      </c>
      <c r="K111" s="20">
        <f>IF($X111="","",SUMIFS(상세표[기록 시간외],상세표[사번키],INDEX(합계표[사번키],$X111),상세표[반영월],대상월키))</f>
        <v/>
      </c>
      <c r="L111">
        <f>IF($X111="","",IFERROR(INDEX(월별근무지표[적용 급여병원],MATCH(INDEX(합계표[사번키],$X111)&amp;"|"&amp;대상월키,월별근무지표[키],0))&amp;"",IF(COUNTIF(기관표[사번키],INDEX(합계표[사번키],$X111))+COUNTIF(월별근무지표[사번키],INDEX(합계표[사번키],$X111))&gt;0,IFERROR(INDEX(기관표[급여지급병원(기준월)],MATCH(INDEX(합계표[사번키],$X111)&amp;"|"&amp;대상월키,기관표[키],0))&amp;"","—"),"—")))</f>
        <v/>
      </c>
      <c r="M111">
        <f>IF($X111="","",IF(NOT(COUNTIF(기관표[사번키],INDEX(합계표[사번키],$X111))+COUNTIF(월별근무지표[사번키],INDEX(합계표[사번키],$X111))&gt;0),"기관명단에 없음(다른 병원으로 발송)",IF($L111="서울병원","해당",IF(N($R111)&gt;0,"해당(말일 근무)",IF($L111="—","대상월 기관명단 없음(추가 필요)","비해당")))))</f>
        <v/>
      </c>
      <c r="N111" s="20">
        <f>IF($X111="","",SUMIFS(상세표[06~07시],상세표[사번키],INDEX(합계표[사번키],$X111),상세표[반영월],대상월키,상세표[반영 기관],"서울병원"))</f>
        <v/>
      </c>
      <c r="O111" s="20">
        <f>IF($X111="","",SUMIFS(상세표[07~18시],상세표[사번키],INDEX(합계표[사번키],$X111),상세표[반영월],대상월키,상세표[반영 기관],"서울병원"))</f>
        <v/>
      </c>
      <c r="P111" s="20">
        <f>IF($X111="","",SUMIFS(상세표[18~22시],상세표[사번키],INDEX(합계표[사번키],$X111),상세표[반영월],대상월키,상세표[반영 기관],"서울병원"))</f>
        <v/>
      </c>
      <c r="Q111" s="20">
        <f>IF($X111="","",SUMIFS(상세표[22~06시],상세표[사번키],INDEX(합계표[사번키],$X111),상세표[반영월],대상월키,상세표[반영 기관],"서울병원"))</f>
        <v/>
      </c>
      <c r="R111" s="20">
        <f>IF($X111="","",SUM($N111:$Q111))</f>
        <v/>
      </c>
      <c r="S111">
        <f>IF($X111="","",COUNTIFS(상세표[사번키],INDEX(합계표[사번키],$X111),상세표[반영월],대상월키,상세표[야간당직],1,상세표[야간 구분],"평일"))</f>
        <v/>
      </c>
      <c r="T111">
        <f>IF($X111="","",COUNTIFS(상세표[사번키],INDEX(합계표[사번키],$X111),상세표[반영월],대상월키,상세표[야간당직],1,상세표[야간 구분],"휴일"))</f>
        <v/>
      </c>
      <c r="U111">
        <f>IF($X111="","",COUNTIFS(상세표[사번키],INDEX(합계표[사번키],$X111),상세표[반영월],대상월키,상세표[야간당직],1,상세표[야간 구분],"평일",상세표[반영 기관],"서울병원"))</f>
        <v/>
      </c>
      <c r="V111">
        <f>IF($X111="","",COUNTIFS(상세표[사번키],INDEX(합계표[사번키],$X111),상세표[반영월],대상월키,상세표[야간당직],1,상세표[야간 구분],"휴일",상세표[반영 기관],"서울병원"))</f>
        <v/>
      </c>
      <c r="W111">
        <f>IF($X111="","",IF(ISNUMBER(MATCH(INDEX(합계표[사번키],$X111)&amp;"|"&amp;대상월키,월별근무지표[키],0)),"직접 입력",IF($L111="—","—","기관명단")))</f>
        <v/>
      </c>
      <c r="X111" s="4">
        <f>IFERROR(MATCH(106,합계표[판정순번],0),"")</f>
        <v/>
      </c>
      <c r="Z111">
        <f>IF($AC111="","",INDEX(상세표[사번],$AC111)&amp;"")</f>
        <v/>
      </c>
      <c r="AA111">
        <f>IF($AC111="","",INDEX(상세표[성명],$AC111)&amp;"")</f>
        <v/>
      </c>
      <c r="AB111" s="20">
        <f>IF($AC111="","",SUMIFS(상세표[기록 시간외],상세표[사번키],INDEX(상세표[사번키],$AC111),상세표[반영월],대상월키))</f>
        <v/>
      </c>
      <c r="AC111" s="4">
        <f>IFERROR(MATCH(106,상세표[합계없음순번],0),"")</f>
        <v/>
      </c>
    </row>
    <row r="112">
      <c r="A112">
        <f>IF($X112="","",INDEX(합계표[사번],$X112)&amp;"")</f>
        <v/>
      </c>
      <c r="B112">
        <f>IF($X112="","",INDEX(합계표[성명],$X112)&amp;"")</f>
        <v/>
      </c>
      <c r="C112">
        <f>IF($X112="","",INDEX(합계표[부서],$X112)&amp;"")</f>
        <v/>
      </c>
      <c r="D112">
        <f>IF($X112="","",INDEX(합계표[직위(요약)],$X112)&amp;"")</f>
        <v/>
      </c>
      <c r="E112">
        <f>IF($X112="","",INDEX(합계표[직급 공존],$X112)&amp;"")</f>
        <v/>
      </c>
      <c r="F112" s="20">
        <f>IF($X112="","",SUMIFS(합계표[시스템 합계],합계표[사번키],INDEX(합계표[사번키],$X112)))</f>
        <v/>
      </c>
      <c r="G112" s="20">
        <f>IF($X112="","",SUMIFS(상세표[기록 시간외],상세표[사번키],INDEX(합계표[사번키],$X112),상세표[기록월],대상월키))</f>
        <v/>
      </c>
      <c r="H112">
        <f>IF($X112="","",IF(ABS($F112-$G112)&lt;0.01,"일치","불일치(차이 "&amp;TEXT($G112-$F112,"0.00")&amp;")"))</f>
        <v/>
      </c>
      <c r="I112" s="20">
        <f>IF($X112="","",SUMIFS(상세표[기록 시간외],상세표[사번키],INDEX(합계표[사번키],$X112),상세표[기록월],대상월키,상세표[반영월],"&lt;&gt;"&amp;대상월키))</f>
        <v/>
      </c>
      <c r="J112" s="20">
        <f>IF($X112="","",SUMIFS(상세표[기록 시간외],상세표[사번키],INDEX(합계표[사번키],$X112),상세표[기록월],"&lt;&gt;"&amp;대상월키,상세표[반영월],대상월키))</f>
        <v/>
      </c>
      <c r="K112" s="20">
        <f>IF($X112="","",SUMIFS(상세표[기록 시간외],상세표[사번키],INDEX(합계표[사번키],$X112),상세표[반영월],대상월키))</f>
        <v/>
      </c>
      <c r="L112">
        <f>IF($X112="","",IFERROR(INDEX(월별근무지표[적용 급여병원],MATCH(INDEX(합계표[사번키],$X112)&amp;"|"&amp;대상월키,월별근무지표[키],0))&amp;"",IF(COUNTIF(기관표[사번키],INDEX(합계표[사번키],$X112))+COUNTIF(월별근무지표[사번키],INDEX(합계표[사번키],$X112))&gt;0,IFERROR(INDEX(기관표[급여지급병원(기준월)],MATCH(INDEX(합계표[사번키],$X112)&amp;"|"&amp;대상월키,기관표[키],0))&amp;"","—"),"—")))</f>
        <v/>
      </c>
      <c r="M112">
        <f>IF($X112="","",IF(NOT(COUNTIF(기관표[사번키],INDEX(합계표[사번키],$X112))+COUNTIF(월별근무지표[사번키],INDEX(합계표[사번키],$X112))&gt;0),"기관명단에 없음(다른 병원으로 발송)",IF($L112="서울병원","해당",IF(N($R112)&gt;0,"해당(말일 근무)",IF($L112="—","대상월 기관명단 없음(추가 필요)","비해당")))))</f>
        <v/>
      </c>
      <c r="N112" s="20">
        <f>IF($X112="","",SUMIFS(상세표[06~07시],상세표[사번키],INDEX(합계표[사번키],$X112),상세표[반영월],대상월키,상세표[반영 기관],"서울병원"))</f>
        <v/>
      </c>
      <c r="O112" s="20">
        <f>IF($X112="","",SUMIFS(상세표[07~18시],상세표[사번키],INDEX(합계표[사번키],$X112),상세표[반영월],대상월키,상세표[반영 기관],"서울병원"))</f>
        <v/>
      </c>
      <c r="P112" s="20">
        <f>IF($X112="","",SUMIFS(상세표[18~22시],상세표[사번키],INDEX(합계표[사번키],$X112),상세표[반영월],대상월키,상세표[반영 기관],"서울병원"))</f>
        <v/>
      </c>
      <c r="Q112" s="20">
        <f>IF($X112="","",SUMIFS(상세표[22~06시],상세표[사번키],INDEX(합계표[사번키],$X112),상세표[반영월],대상월키,상세표[반영 기관],"서울병원"))</f>
        <v/>
      </c>
      <c r="R112" s="20">
        <f>IF($X112="","",SUM($N112:$Q112))</f>
        <v/>
      </c>
      <c r="S112">
        <f>IF($X112="","",COUNTIFS(상세표[사번키],INDEX(합계표[사번키],$X112),상세표[반영월],대상월키,상세표[야간당직],1,상세표[야간 구분],"평일"))</f>
        <v/>
      </c>
      <c r="T112">
        <f>IF($X112="","",COUNTIFS(상세표[사번키],INDEX(합계표[사번키],$X112),상세표[반영월],대상월키,상세표[야간당직],1,상세표[야간 구분],"휴일"))</f>
        <v/>
      </c>
      <c r="U112">
        <f>IF($X112="","",COUNTIFS(상세표[사번키],INDEX(합계표[사번키],$X112),상세표[반영월],대상월키,상세표[야간당직],1,상세표[야간 구분],"평일",상세표[반영 기관],"서울병원"))</f>
        <v/>
      </c>
      <c r="V112">
        <f>IF($X112="","",COUNTIFS(상세표[사번키],INDEX(합계표[사번키],$X112),상세표[반영월],대상월키,상세표[야간당직],1,상세표[야간 구분],"휴일",상세표[반영 기관],"서울병원"))</f>
        <v/>
      </c>
      <c r="W112">
        <f>IF($X112="","",IF(ISNUMBER(MATCH(INDEX(합계표[사번키],$X112)&amp;"|"&amp;대상월키,월별근무지표[키],0)),"직접 입력",IF($L112="—","—","기관명단")))</f>
        <v/>
      </c>
      <c r="X112" s="4">
        <f>IFERROR(MATCH(107,합계표[판정순번],0),"")</f>
        <v/>
      </c>
      <c r="Z112">
        <f>IF($AC112="","",INDEX(상세표[사번],$AC112)&amp;"")</f>
        <v/>
      </c>
      <c r="AA112">
        <f>IF($AC112="","",INDEX(상세표[성명],$AC112)&amp;"")</f>
        <v/>
      </c>
      <c r="AB112" s="20">
        <f>IF($AC112="","",SUMIFS(상세표[기록 시간외],상세표[사번키],INDEX(상세표[사번키],$AC112),상세표[반영월],대상월키))</f>
        <v/>
      </c>
      <c r="AC112" s="4">
        <f>IFERROR(MATCH(107,상세표[합계없음순번],0),"")</f>
        <v/>
      </c>
    </row>
    <row r="113">
      <c r="A113">
        <f>IF($X113="","",INDEX(합계표[사번],$X113)&amp;"")</f>
        <v/>
      </c>
      <c r="B113">
        <f>IF($X113="","",INDEX(합계표[성명],$X113)&amp;"")</f>
        <v/>
      </c>
      <c r="C113">
        <f>IF($X113="","",INDEX(합계표[부서],$X113)&amp;"")</f>
        <v/>
      </c>
      <c r="D113">
        <f>IF($X113="","",INDEX(합계표[직위(요약)],$X113)&amp;"")</f>
        <v/>
      </c>
      <c r="E113">
        <f>IF($X113="","",INDEX(합계표[직급 공존],$X113)&amp;"")</f>
        <v/>
      </c>
      <c r="F113" s="20">
        <f>IF($X113="","",SUMIFS(합계표[시스템 합계],합계표[사번키],INDEX(합계표[사번키],$X113)))</f>
        <v/>
      </c>
      <c r="G113" s="20">
        <f>IF($X113="","",SUMIFS(상세표[기록 시간외],상세표[사번키],INDEX(합계표[사번키],$X113),상세표[기록월],대상월키))</f>
        <v/>
      </c>
      <c r="H113">
        <f>IF($X113="","",IF(ABS($F113-$G113)&lt;0.01,"일치","불일치(차이 "&amp;TEXT($G113-$F113,"0.00")&amp;")"))</f>
        <v/>
      </c>
      <c r="I113" s="20">
        <f>IF($X113="","",SUMIFS(상세표[기록 시간외],상세표[사번키],INDEX(합계표[사번키],$X113),상세표[기록월],대상월키,상세표[반영월],"&lt;&gt;"&amp;대상월키))</f>
        <v/>
      </c>
      <c r="J113" s="20">
        <f>IF($X113="","",SUMIFS(상세표[기록 시간외],상세표[사번키],INDEX(합계표[사번키],$X113),상세표[기록월],"&lt;&gt;"&amp;대상월키,상세표[반영월],대상월키))</f>
        <v/>
      </c>
      <c r="K113" s="20">
        <f>IF($X113="","",SUMIFS(상세표[기록 시간외],상세표[사번키],INDEX(합계표[사번키],$X113),상세표[반영월],대상월키))</f>
        <v/>
      </c>
      <c r="L113">
        <f>IF($X113="","",IFERROR(INDEX(월별근무지표[적용 급여병원],MATCH(INDEX(합계표[사번키],$X113)&amp;"|"&amp;대상월키,월별근무지표[키],0))&amp;"",IF(COUNTIF(기관표[사번키],INDEX(합계표[사번키],$X113))+COUNTIF(월별근무지표[사번키],INDEX(합계표[사번키],$X113))&gt;0,IFERROR(INDEX(기관표[급여지급병원(기준월)],MATCH(INDEX(합계표[사번키],$X113)&amp;"|"&amp;대상월키,기관표[키],0))&amp;"","—"),"—")))</f>
        <v/>
      </c>
      <c r="M113">
        <f>IF($X113="","",IF(NOT(COUNTIF(기관표[사번키],INDEX(합계표[사번키],$X113))+COUNTIF(월별근무지표[사번키],INDEX(합계표[사번키],$X113))&gt;0),"기관명단에 없음(다른 병원으로 발송)",IF($L113="서울병원","해당",IF(N($R113)&gt;0,"해당(말일 근무)",IF($L113="—","대상월 기관명단 없음(추가 필요)","비해당")))))</f>
        <v/>
      </c>
      <c r="N113" s="20">
        <f>IF($X113="","",SUMIFS(상세표[06~07시],상세표[사번키],INDEX(합계표[사번키],$X113),상세표[반영월],대상월키,상세표[반영 기관],"서울병원"))</f>
        <v/>
      </c>
      <c r="O113" s="20">
        <f>IF($X113="","",SUMIFS(상세표[07~18시],상세표[사번키],INDEX(합계표[사번키],$X113),상세표[반영월],대상월키,상세표[반영 기관],"서울병원"))</f>
        <v/>
      </c>
      <c r="P113" s="20">
        <f>IF($X113="","",SUMIFS(상세표[18~22시],상세표[사번키],INDEX(합계표[사번키],$X113),상세표[반영월],대상월키,상세표[반영 기관],"서울병원"))</f>
        <v/>
      </c>
      <c r="Q113" s="20">
        <f>IF($X113="","",SUMIFS(상세표[22~06시],상세표[사번키],INDEX(합계표[사번키],$X113),상세표[반영월],대상월키,상세표[반영 기관],"서울병원"))</f>
        <v/>
      </c>
      <c r="R113" s="20">
        <f>IF($X113="","",SUM($N113:$Q113))</f>
        <v/>
      </c>
      <c r="S113">
        <f>IF($X113="","",COUNTIFS(상세표[사번키],INDEX(합계표[사번키],$X113),상세표[반영월],대상월키,상세표[야간당직],1,상세표[야간 구분],"평일"))</f>
        <v/>
      </c>
      <c r="T113">
        <f>IF($X113="","",COUNTIFS(상세표[사번키],INDEX(합계표[사번키],$X113),상세표[반영월],대상월키,상세표[야간당직],1,상세표[야간 구분],"휴일"))</f>
        <v/>
      </c>
      <c r="U113">
        <f>IF($X113="","",COUNTIFS(상세표[사번키],INDEX(합계표[사번키],$X113),상세표[반영월],대상월키,상세표[야간당직],1,상세표[야간 구분],"평일",상세표[반영 기관],"서울병원"))</f>
        <v/>
      </c>
      <c r="V113">
        <f>IF($X113="","",COUNTIFS(상세표[사번키],INDEX(합계표[사번키],$X113),상세표[반영월],대상월키,상세표[야간당직],1,상세표[야간 구분],"휴일",상세표[반영 기관],"서울병원"))</f>
        <v/>
      </c>
      <c r="W113">
        <f>IF($X113="","",IF(ISNUMBER(MATCH(INDEX(합계표[사번키],$X113)&amp;"|"&amp;대상월키,월별근무지표[키],0)),"직접 입력",IF($L113="—","—","기관명단")))</f>
        <v/>
      </c>
      <c r="X113" s="4">
        <f>IFERROR(MATCH(108,합계표[판정순번],0),"")</f>
        <v/>
      </c>
      <c r="Z113">
        <f>IF($AC113="","",INDEX(상세표[사번],$AC113)&amp;"")</f>
        <v/>
      </c>
      <c r="AA113">
        <f>IF($AC113="","",INDEX(상세표[성명],$AC113)&amp;"")</f>
        <v/>
      </c>
      <c r="AB113" s="20">
        <f>IF($AC113="","",SUMIFS(상세표[기록 시간외],상세표[사번키],INDEX(상세표[사번키],$AC113),상세표[반영월],대상월키))</f>
        <v/>
      </c>
      <c r="AC113" s="4">
        <f>IFERROR(MATCH(108,상세표[합계없음순번],0),"")</f>
        <v/>
      </c>
    </row>
    <row r="114">
      <c r="A114">
        <f>IF($X114="","",INDEX(합계표[사번],$X114)&amp;"")</f>
        <v/>
      </c>
      <c r="B114">
        <f>IF($X114="","",INDEX(합계표[성명],$X114)&amp;"")</f>
        <v/>
      </c>
      <c r="C114">
        <f>IF($X114="","",INDEX(합계표[부서],$X114)&amp;"")</f>
        <v/>
      </c>
      <c r="D114">
        <f>IF($X114="","",INDEX(합계표[직위(요약)],$X114)&amp;"")</f>
        <v/>
      </c>
      <c r="E114">
        <f>IF($X114="","",INDEX(합계표[직급 공존],$X114)&amp;"")</f>
        <v/>
      </c>
      <c r="F114" s="20">
        <f>IF($X114="","",SUMIFS(합계표[시스템 합계],합계표[사번키],INDEX(합계표[사번키],$X114)))</f>
        <v/>
      </c>
      <c r="G114" s="20">
        <f>IF($X114="","",SUMIFS(상세표[기록 시간외],상세표[사번키],INDEX(합계표[사번키],$X114),상세표[기록월],대상월키))</f>
        <v/>
      </c>
      <c r="H114">
        <f>IF($X114="","",IF(ABS($F114-$G114)&lt;0.01,"일치","불일치(차이 "&amp;TEXT($G114-$F114,"0.00")&amp;")"))</f>
        <v/>
      </c>
      <c r="I114" s="20">
        <f>IF($X114="","",SUMIFS(상세표[기록 시간외],상세표[사번키],INDEX(합계표[사번키],$X114),상세표[기록월],대상월키,상세표[반영월],"&lt;&gt;"&amp;대상월키))</f>
        <v/>
      </c>
      <c r="J114" s="20">
        <f>IF($X114="","",SUMIFS(상세표[기록 시간외],상세표[사번키],INDEX(합계표[사번키],$X114),상세표[기록월],"&lt;&gt;"&amp;대상월키,상세표[반영월],대상월키))</f>
        <v/>
      </c>
      <c r="K114" s="20">
        <f>IF($X114="","",SUMIFS(상세표[기록 시간외],상세표[사번키],INDEX(합계표[사번키],$X114),상세표[반영월],대상월키))</f>
        <v/>
      </c>
      <c r="L114">
        <f>IF($X114="","",IFERROR(INDEX(월별근무지표[적용 급여병원],MATCH(INDEX(합계표[사번키],$X114)&amp;"|"&amp;대상월키,월별근무지표[키],0))&amp;"",IF(COUNTIF(기관표[사번키],INDEX(합계표[사번키],$X114))+COUNTIF(월별근무지표[사번키],INDEX(합계표[사번키],$X114))&gt;0,IFERROR(INDEX(기관표[급여지급병원(기준월)],MATCH(INDEX(합계표[사번키],$X114)&amp;"|"&amp;대상월키,기관표[키],0))&amp;"","—"),"—")))</f>
        <v/>
      </c>
      <c r="M114">
        <f>IF($X114="","",IF(NOT(COUNTIF(기관표[사번키],INDEX(합계표[사번키],$X114))+COUNTIF(월별근무지표[사번키],INDEX(합계표[사번키],$X114))&gt;0),"기관명단에 없음(다른 병원으로 발송)",IF($L114="서울병원","해당",IF(N($R114)&gt;0,"해당(말일 근무)",IF($L114="—","대상월 기관명단 없음(추가 필요)","비해당")))))</f>
        <v/>
      </c>
      <c r="N114" s="20">
        <f>IF($X114="","",SUMIFS(상세표[06~07시],상세표[사번키],INDEX(합계표[사번키],$X114),상세표[반영월],대상월키,상세표[반영 기관],"서울병원"))</f>
        <v/>
      </c>
      <c r="O114" s="20">
        <f>IF($X114="","",SUMIFS(상세표[07~18시],상세표[사번키],INDEX(합계표[사번키],$X114),상세표[반영월],대상월키,상세표[반영 기관],"서울병원"))</f>
        <v/>
      </c>
      <c r="P114" s="20">
        <f>IF($X114="","",SUMIFS(상세표[18~22시],상세표[사번키],INDEX(합계표[사번키],$X114),상세표[반영월],대상월키,상세표[반영 기관],"서울병원"))</f>
        <v/>
      </c>
      <c r="Q114" s="20">
        <f>IF($X114="","",SUMIFS(상세표[22~06시],상세표[사번키],INDEX(합계표[사번키],$X114),상세표[반영월],대상월키,상세표[반영 기관],"서울병원"))</f>
        <v/>
      </c>
      <c r="R114" s="20">
        <f>IF($X114="","",SUM($N114:$Q114))</f>
        <v/>
      </c>
      <c r="S114">
        <f>IF($X114="","",COUNTIFS(상세표[사번키],INDEX(합계표[사번키],$X114),상세표[반영월],대상월키,상세표[야간당직],1,상세표[야간 구분],"평일"))</f>
        <v/>
      </c>
      <c r="T114">
        <f>IF($X114="","",COUNTIFS(상세표[사번키],INDEX(합계표[사번키],$X114),상세표[반영월],대상월키,상세표[야간당직],1,상세표[야간 구분],"휴일"))</f>
        <v/>
      </c>
      <c r="U114">
        <f>IF($X114="","",COUNTIFS(상세표[사번키],INDEX(합계표[사번키],$X114),상세표[반영월],대상월키,상세표[야간당직],1,상세표[야간 구분],"평일",상세표[반영 기관],"서울병원"))</f>
        <v/>
      </c>
      <c r="V114">
        <f>IF($X114="","",COUNTIFS(상세표[사번키],INDEX(합계표[사번키],$X114),상세표[반영월],대상월키,상세표[야간당직],1,상세표[야간 구분],"휴일",상세표[반영 기관],"서울병원"))</f>
        <v/>
      </c>
      <c r="W114">
        <f>IF($X114="","",IF(ISNUMBER(MATCH(INDEX(합계표[사번키],$X114)&amp;"|"&amp;대상월키,월별근무지표[키],0)),"직접 입력",IF($L114="—","—","기관명단")))</f>
        <v/>
      </c>
      <c r="X114" s="4">
        <f>IFERROR(MATCH(109,합계표[판정순번],0),"")</f>
        <v/>
      </c>
      <c r="Z114">
        <f>IF($AC114="","",INDEX(상세표[사번],$AC114)&amp;"")</f>
        <v/>
      </c>
      <c r="AA114">
        <f>IF($AC114="","",INDEX(상세표[성명],$AC114)&amp;"")</f>
        <v/>
      </c>
      <c r="AB114" s="20">
        <f>IF($AC114="","",SUMIFS(상세표[기록 시간외],상세표[사번키],INDEX(상세표[사번키],$AC114),상세표[반영월],대상월키))</f>
        <v/>
      </c>
      <c r="AC114" s="4">
        <f>IFERROR(MATCH(109,상세표[합계없음순번],0),"")</f>
        <v/>
      </c>
    </row>
    <row r="115">
      <c r="A115">
        <f>IF($X115="","",INDEX(합계표[사번],$X115)&amp;"")</f>
        <v/>
      </c>
      <c r="B115">
        <f>IF($X115="","",INDEX(합계표[성명],$X115)&amp;"")</f>
        <v/>
      </c>
      <c r="C115">
        <f>IF($X115="","",INDEX(합계표[부서],$X115)&amp;"")</f>
        <v/>
      </c>
      <c r="D115">
        <f>IF($X115="","",INDEX(합계표[직위(요약)],$X115)&amp;"")</f>
        <v/>
      </c>
      <c r="E115">
        <f>IF($X115="","",INDEX(합계표[직급 공존],$X115)&amp;"")</f>
        <v/>
      </c>
      <c r="F115" s="20">
        <f>IF($X115="","",SUMIFS(합계표[시스템 합계],합계표[사번키],INDEX(합계표[사번키],$X115)))</f>
        <v/>
      </c>
      <c r="G115" s="20">
        <f>IF($X115="","",SUMIFS(상세표[기록 시간외],상세표[사번키],INDEX(합계표[사번키],$X115),상세표[기록월],대상월키))</f>
        <v/>
      </c>
      <c r="H115">
        <f>IF($X115="","",IF(ABS($F115-$G115)&lt;0.01,"일치","불일치(차이 "&amp;TEXT($G115-$F115,"0.00")&amp;")"))</f>
        <v/>
      </c>
      <c r="I115" s="20">
        <f>IF($X115="","",SUMIFS(상세표[기록 시간외],상세표[사번키],INDEX(합계표[사번키],$X115),상세표[기록월],대상월키,상세표[반영월],"&lt;&gt;"&amp;대상월키))</f>
        <v/>
      </c>
      <c r="J115" s="20">
        <f>IF($X115="","",SUMIFS(상세표[기록 시간외],상세표[사번키],INDEX(합계표[사번키],$X115),상세표[기록월],"&lt;&gt;"&amp;대상월키,상세표[반영월],대상월키))</f>
        <v/>
      </c>
      <c r="K115" s="20">
        <f>IF($X115="","",SUMIFS(상세표[기록 시간외],상세표[사번키],INDEX(합계표[사번키],$X115),상세표[반영월],대상월키))</f>
        <v/>
      </c>
      <c r="L115">
        <f>IF($X115="","",IFERROR(INDEX(월별근무지표[적용 급여병원],MATCH(INDEX(합계표[사번키],$X115)&amp;"|"&amp;대상월키,월별근무지표[키],0))&amp;"",IF(COUNTIF(기관표[사번키],INDEX(합계표[사번키],$X115))+COUNTIF(월별근무지표[사번키],INDEX(합계표[사번키],$X115))&gt;0,IFERROR(INDEX(기관표[급여지급병원(기준월)],MATCH(INDEX(합계표[사번키],$X115)&amp;"|"&amp;대상월키,기관표[키],0))&amp;"","—"),"—")))</f>
        <v/>
      </c>
      <c r="M115">
        <f>IF($X115="","",IF(NOT(COUNTIF(기관표[사번키],INDEX(합계표[사번키],$X115))+COUNTIF(월별근무지표[사번키],INDEX(합계표[사번키],$X115))&gt;0),"기관명단에 없음(다른 병원으로 발송)",IF($L115="서울병원","해당",IF(N($R115)&gt;0,"해당(말일 근무)",IF($L115="—","대상월 기관명단 없음(추가 필요)","비해당")))))</f>
        <v/>
      </c>
      <c r="N115" s="20">
        <f>IF($X115="","",SUMIFS(상세표[06~07시],상세표[사번키],INDEX(합계표[사번키],$X115),상세표[반영월],대상월키,상세표[반영 기관],"서울병원"))</f>
        <v/>
      </c>
      <c r="O115" s="20">
        <f>IF($X115="","",SUMIFS(상세표[07~18시],상세표[사번키],INDEX(합계표[사번키],$X115),상세표[반영월],대상월키,상세표[반영 기관],"서울병원"))</f>
        <v/>
      </c>
      <c r="P115" s="20">
        <f>IF($X115="","",SUMIFS(상세표[18~22시],상세표[사번키],INDEX(합계표[사번키],$X115),상세표[반영월],대상월키,상세표[반영 기관],"서울병원"))</f>
        <v/>
      </c>
      <c r="Q115" s="20">
        <f>IF($X115="","",SUMIFS(상세표[22~06시],상세표[사번키],INDEX(합계표[사번키],$X115),상세표[반영월],대상월키,상세표[반영 기관],"서울병원"))</f>
        <v/>
      </c>
      <c r="R115" s="20">
        <f>IF($X115="","",SUM($N115:$Q115))</f>
        <v/>
      </c>
      <c r="S115">
        <f>IF($X115="","",COUNTIFS(상세표[사번키],INDEX(합계표[사번키],$X115),상세표[반영월],대상월키,상세표[야간당직],1,상세표[야간 구분],"평일"))</f>
        <v/>
      </c>
      <c r="T115">
        <f>IF($X115="","",COUNTIFS(상세표[사번키],INDEX(합계표[사번키],$X115),상세표[반영월],대상월키,상세표[야간당직],1,상세표[야간 구분],"휴일"))</f>
        <v/>
      </c>
      <c r="U115">
        <f>IF($X115="","",COUNTIFS(상세표[사번키],INDEX(합계표[사번키],$X115),상세표[반영월],대상월키,상세표[야간당직],1,상세표[야간 구분],"평일",상세표[반영 기관],"서울병원"))</f>
        <v/>
      </c>
      <c r="V115">
        <f>IF($X115="","",COUNTIFS(상세표[사번키],INDEX(합계표[사번키],$X115),상세표[반영월],대상월키,상세표[야간당직],1,상세표[야간 구분],"휴일",상세표[반영 기관],"서울병원"))</f>
        <v/>
      </c>
      <c r="W115">
        <f>IF($X115="","",IF(ISNUMBER(MATCH(INDEX(합계표[사번키],$X115)&amp;"|"&amp;대상월키,월별근무지표[키],0)),"직접 입력",IF($L115="—","—","기관명단")))</f>
        <v/>
      </c>
      <c r="X115" s="4">
        <f>IFERROR(MATCH(110,합계표[판정순번],0),"")</f>
        <v/>
      </c>
      <c r="Z115">
        <f>IF($AC115="","",INDEX(상세표[사번],$AC115)&amp;"")</f>
        <v/>
      </c>
      <c r="AA115">
        <f>IF($AC115="","",INDEX(상세표[성명],$AC115)&amp;"")</f>
        <v/>
      </c>
      <c r="AB115" s="20">
        <f>IF($AC115="","",SUMIFS(상세표[기록 시간외],상세표[사번키],INDEX(상세표[사번키],$AC115),상세표[반영월],대상월키))</f>
        <v/>
      </c>
      <c r="AC115" s="4">
        <f>IFERROR(MATCH(110,상세표[합계없음순번],0),"")</f>
        <v/>
      </c>
    </row>
    <row r="116">
      <c r="A116">
        <f>IF($X116="","",INDEX(합계표[사번],$X116)&amp;"")</f>
        <v/>
      </c>
      <c r="B116">
        <f>IF($X116="","",INDEX(합계표[성명],$X116)&amp;"")</f>
        <v/>
      </c>
      <c r="C116">
        <f>IF($X116="","",INDEX(합계표[부서],$X116)&amp;"")</f>
        <v/>
      </c>
      <c r="D116">
        <f>IF($X116="","",INDEX(합계표[직위(요약)],$X116)&amp;"")</f>
        <v/>
      </c>
      <c r="E116">
        <f>IF($X116="","",INDEX(합계표[직급 공존],$X116)&amp;"")</f>
        <v/>
      </c>
      <c r="F116" s="20">
        <f>IF($X116="","",SUMIFS(합계표[시스템 합계],합계표[사번키],INDEX(합계표[사번키],$X116)))</f>
        <v/>
      </c>
      <c r="G116" s="20">
        <f>IF($X116="","",SUMIFS(상세표[기록 시간외],상세표[사번키],INDEX(합계표[사번키],$X116),상세표[기록월],대상월키))</f>
        <v/>
      </c>
      <c r="H116">
        <f>IF($X116="","",IF(ABS($F116-$G116)&lt;0.01,"일치","불일치(차이 "&amp;TEXT($G116-$F116,"0.00")&amp;")"))</f>
        <v/>
      </c>
      <c r="I116" s="20">
        <f>IF($X116="","",SUMIFS(상세표[기록 시간외],상세표[사번키],INDEX(합계표[사번키],$X116),상세표[기록월],대상월키,상세표[반영월],"&lt;&gt;"&amp;대상월키))</f>
        <v/>
      </c>
      <c r="J116" s="20">
        <f>IF($X116="","",SUMIFS(상세표[기록 시간외],상세표[사번키],INDEX(합계표[사번키],$X116),상세표[기록월],"&lt;&gt;"&amp;대상월키,상세표[반영월],대상월키))</f>
        <v/>
      </c>
      <c r="K116" s="20">
        <f>IF($X116="","",SUMIFS(상세표[기록 시간외],상세표[사번키],INDEX(합계표[사번키],$X116),상세표[반영월],대상월키))</f>
        <v/>
      </c>
      <c r="L116">
        <f>IF($X116="","",IFERROR(INDEX(월별근무지표[적용 급여병원],MATCH(INDEX(합계표[사번키],$X116)&amp;"|"&amp;대상월키,월별근무지표[키],0))&amp;"",IF(COUNTIF(기관표[사번키],INDEX(합계표[사번키],$X116))+COUNTIF(월별근무지표[사번키],INDEX(합계표[사번키],$X116))&gt;0,IFERROR(INDEX(기관표[급여지급병원(기준월)],MATCH(INDEX(합계표[사번키],$X116)&amp;"|"&amp;대상월키,기관표[키],0))&amp;"","—"),"—")))</f>
        <v/>
      </c>
      <c r="M116">
        <f>IF($X116="","",IF(NOT(COUNTIF(기관표[사번키],INDEX(합계표[사번키],$X116))+COUNTIF(월별근무지표[사번키],INDEX(합계표[사번키],$X116))&gt;0),"기관명단에 없음(다른 병원으로 발송)",IF($L116="서울병원","해당",IF(N($R116)&gt;0,"해당(말일 근무)",IF($L116="—","대상월 기관명단 없음(추가 필요)","비해당")))))</f>
        <v/>
      </c>
      <c r="N116" s="20">
        <f>IF($X116="","",SUMIFS(상세표[06~07시],상세표[사번키],INDEX(합계표[사번키],$X116),상세표[반영월],대상월키,상세표[반영 기관],"서울병원"))</f>
        <v/>
      </c>
      <c r="O116" s="20">
        <f>IF($X116="","",SUMIFS(상세표[07~18시],상세표[사번키],INDEX(합계표[사번키],$X116),상세표[반영월],대상월키,상세표[반영 기관],"서울병원"))</f>
        <v/>
      </c>
      <c r="P116" s="20">
        <f>IF($X116="","",SUMIFS(상세표[18~22시],상세표[사번키],INDEX(합계표[사번키],$X116),상세표[반영월],대상월키,상세표[반영 기관],"서울병원"))</f>
        <v/>
      </c>
      <c r="Q116" s="20">
        <f>IF($X116="","",SUMIFS(상세표[22~06시],상세표[사번키],INDEX(합계표[사번키],$X116),상세표[반영월],대상월키,상세표[반영 기관],"서울병원"))</f>
        <v/>
      </c>
      <c r="R116" s="20">
        <f>IF($X116="","",SUM($N116:$Q116))</f>
        <v/>
      </c>
      <c r="S116">
        <f>IF($X116="","",COUNTIFS(상세표[사번키],INDEX(합계표[사번키],$X116),상세표[반영월],대상월키,상세표[야간당직],1,상세표[야간 구분],"평일"))</f>
        <v/>
      </c>
      <c r="T116">
        <f>IF($X116="","",COUNTIFS(상세표[사번키],INDEX(합계표[사번키],$X116),상세표[반영월],대상월키,상세표[야간당직],1,상세표[야간 구분],"휴일"))</f>
        <v/>
      </c>
      <c r="U116">
        <f>IF($X116="","",COUNTIFS(상세표[사번키],INDEX(합계표[사번키],$X116),상세표[반영월],대상월키,상세표[야간당직],1,상세표[야간 구분],"평일",상세표[반영 기관],"서울병원"))</f>
        <v/>
      </c>
      <c r="V116">
        <f>IF($X116="","",COUNTIFS(상세표[사번키],INDEX(합계표[사번키],$X116),상세표[반영월],대상월키,상세표[야간당직],1,상세표[야간 구분],"휴일",상세표[반영 기관],"서울병원"))</f>
        <v/>
      </c>
      <c r="W116">
        <f>IF($X116="","",IF(ISNUMBER(MATCH(INDEX(합계표[사번키],$X116)&amp;"|"&amp;대상월키,월별근무지표[키],0)),"직접 입력",IF($L116="—","—","기관명단")))</f>
        <v/>
      </c>
      <c r="X116" s="4">
        <f>IFERROR(MATCH(111,합계표[판정순번],0),"")</f>
        <v/>
      </c>
      <c r="Z116">
        <f>IF($AC116="","",INDEX(상세표[사번],$AC116)&amp;"")</f>
        <v/>
      </c>
      <c r="AA116">
        <f>IF($AC116="","",INDEX(상세표[성명],$AC116)&amp;"")</f>
        <v/>
      </c>
      <c r="AB116" s="20">
        <f>IF($AC116="","",SUMIFS(상세표[기록 시간외],상세표[사번키],INDEX(상세표[사번키],$AC116),상세표[반영월],대상월키))</f>
        <v/>
      </c>
      <c r="AC116" s="4">
        <f>IFERROR(MATCH(111,상세표[합계없음순번],0),"")</f>
        <v/>
      </c>
    </row>
    <row r="117">
      <c r="A117">
        <f>IF($X117="","",INDEX(합계표[사번],$X117)&amp;"")</f>
        <v/>
      </c>
      <c r="B117">
        <f>IF($X117="","",INDEX(합계표[성명],$X117)&amp;"")</f>
        <v/>
      </c>
      <c r="C117">
        <f>IF($X117="","",INDEX(합계표[부서],$X117)&amp;"")</f>
        <v/>
      </c>
      <c r="D117">
        <f>IF($X117="","",INDEX(합계표[직위(요약)],$X117)&amp;"")</f>
        <v/>
      </c>
      <c r="E117">
        <f>IF($X117="","",INDEX(합계표[직급 공존],$X117)&amp;"")</f>
        <v/>
      </c>
      <c r="F117" s="20">
        <f>IF($X117="","",SUMIFS(합계표[시스템 합계],합계표[사번키],INDEX(합계표[사번키],$X117)))</f>
        <v/>
      </c>
      <c r="G117" s="20">
        <f>IF($X117="","",SUMIFS(상세표[기록 시간외],상세표[사번키],INDEX(합계표[사번키],$X117),상세표[기록월],대상월키))</f>
        <v/>
      </c>
      <c r="H117">
        <f>IF($X117="","",IF(ABS($F117-$G117)&lt;0.01,"일치","불일치(차이 "&amp;TEXT($G117-$F117,"0.00")&amp;")"))</f>
        <v/>
      </c>
      <c r="I117" s="20">
        <f>IF($X117="","",SUMIFS(상세표[기록 시간외],상세표[사번키],INDEX(합계표[사번키],$X117),상세표[기록월],대상월키,상세표[반영월],"&lt;&gt;"&amp;대상월키))</f>
        <v/>
      </c>
      <c r="J117" s="20">
        <f>IF($X117="","",SUMIFS(상세표[기록 시간외],상세표[사번키],INDEX(합계표[사번키],$X117),상세표[기록월],"&lt;&gt;"&amp;대상월키,상세표[반영월],대상월키))</f>
        <v/>
      </c>
      <c r="K117" s="20">
        <f>IF($X117="","",SUMIFS(상세표[기록 시간외],상세표[사번키],INDEX(합계표[사번키],$X117),상세표[반영월],대상월키))</f>
        <v/>
      </c>
      <c r="L117">
        <f>IF($X117="","",IFERROR(INDEX(월별근무지표[적용 급여병원],MATCH(INDEX(합계표[사번키],$X117)&amp;"|"&amp;대상월키,월별근무지표[키],0))&amp;"",IF(COUNTIF(기관표[사번키],INDEX(합계표[사번키],$X117))+COUNTIF(월별근무지표[사번키],INDEX(합계표[사번키],$X117))&gt;0,IFERROR(INDEX(기관표[급여지급병원(기준월)],MATCH(INDEX(합계표[사번키],$X117)&amp;"|"&amp;대상월키,기관표[키],0))&amp;"","—"),"—")))</f>
        <v/>
      </c>
      <c r="M117">
        <f>IF($X117="","",IF(NOT(COUNTIF(기관표[사번키],INDEX(합계표[사번키],$X117))+COUNTIF(월별근무지표[사번키],INDEX(합계표[사번키],$X117))&gt;0),"기관명단에 없음(다른 병원으로 발송)",IF($L117="서울병원","해당",IF(N($R117)&gt;0,"해당(말일 근무)",IF($L117="—","대상월 기관명단 없음(추가 필요)","비해당")))))</f>
        <v/>
      </c>
      <c r="N117" s="20">
        <f>IF($X117="","",SUMIFS(상세표[06~07시],상세표[사번키],INDEX(합계표[사번키],$X117),상세표[반영월],대상월키,상세표[반영 기관],"서울병원"))</f>
        <v/>
      </c>
      <c r="O117" s="20">
        <f>IF($X117="","",SUMIFS(상세표[07~18시],상세표[사번키],INDEX(합계표[사번키],$X117),상세표[반영월],대상월키,상세표[반영 기관],"서울병원"))</f>
        <v/>
      </c>
      <c r="P117" s="20">
        <f>IF($X117="","",SUMIFS(상세표[18~22시],상세표[사번키],INDEX(합계표[사번키],$X117),상세표[반영월],대상월키,상세표[반영 기관],"서울병원"))</f>
        <v/>
      </c>
      <c r="Q117" s="20">
        <f>IF($X117="","",SUMIFS(상세표[22~06시],상세표[사번키],INDEX(합계표[사번키],$X117),상세표[반영월],대상월키,상세표[반영 기관],"서울병원"))</f>
        <v/>
      </c>
      <c r="R117" s="20">
        <f>IF($X117="","",SUM($N117:$Q117))</f>
        <v/>
      </c>
      <c r="S117">
        <f>IF($X117="","",COUNTIFS(상세표[사번키],INDEX(합계표[사번키],$X117),상세표[반영월],대상월키,상세표[야간당직],1,상세표[야간 구분],"평일"))</f>
        <v/>
      </c>
      <c r="T117">
        <f>IF($X117="","",COUNTIFS(상세표[사번키],INDEX(합계표[사번키],$X117),상세표[반영월],대상월키,상세표[야간당직],1,상세표[야간 구분],"휴일"))</f>
        <v/>
      </c>
      <c r="U117">
        <f>IF($X117="","",COUNTIFS(상세표[사번키],INDEX(합계표[사번키],$X117),상세표[반영월],대상월키,상세표[야간당직],1,상세표[야간 구분],"평일",상세표[반영 기관],"서울병원"))</f>
        <v/>
      </c>
      <c r="V117">
        <f>IF($X117="","",COUNTIFS(상세표[사번키],INDEX(합계표[사번키],$X117),상세표[반영월],대상월키,상세표[야간당직],1,상세표[야간 구분],"휴일",상세표[반영 기관],"서울병원"))</f>
        <v/>
      </c>
      <c r="W117">
        <f>IF($X117="","",IF(ISNUMBER(MATCH(INDEX(합계표[사번키],$X117)&amp;"|"&amp;대상월키,월별근무지표[키],0)),"직접 입력",IF($L117="—","—","기관명단")))</f>
        <v/>
      </c>
      <c r="X117" s="4">
        <f>IFERROR(MATCH(112,합계표[판정순번],0),"")</f>
        <v/>
      </c>
      <c r="Z117">
        <f>IF($AC117="","",INDEX(상세표[사번],$AC117)&amp;"")</f>
        <v/>
      </c>
      <c r="AA117">
        <f>IF($AC117="","",INDEX(상세표[성명],$AC117)&amp;"")</f>
        <v/>
      </c>
      <c r="AB117" s="20">
        <f>IF($AC117="","",SUMIFS(상세표[기록 시간외],상세표[사번키],INDEX(상세표[사번키],$AC117),상세표[반영월],대상월키))</f>
        <v/>
      </c>
      <c r="AC117" s="4">
        <f>IFERROR(MATCH(112,상세표[합계없음순번],0),"")</f>
        <v/>
      </c>
    </row>
    <row r="118">
      <c r="A118">
        <f>IF($X118="","",INDEX(합계표[사번],$X118)&amp;"")</f>
        <v/>
      </c>
      <c r="B118">
        <f>IF($X118="","",INDEX(합계표[성명],$X118)&amp;"")</f>
        <v/>
      </c>
      <c r="C118">
        <f>IF($X118="","",INDEX(합계표[부서],$X118)&amp;"")</f>
        <v/>
      </c>
      <c r="D118">
        <f>IF($X118="","",INDEX(합계표[직위(요약)],$X118)&amp;"")</f>
        <v/>
      </c>
      <c r="E118">
        <f>IF($X118="","",INDEX(합계표[직급 공존],$X118)&amp;"")</f>
        <v/>
      </c>
      <c r="F118" s="20">
        <f>IF($X118="","",SUMIFS(합계표[시스템 합계],합계표[사번키],INDEX(합계표[사번키],$X118)))</f>
        <v/>
      </c>
      <c r="G118" s="20">
        <f>IF($X118="","",SUMIFS(상세표[기록 시간외],상세표[사번키],INDEX(합계표[사번키],$X118),상세표[기록월],대상월키))</f>
        <v/>
      </c>
      <c r="H118">
        <f>IF($X118="","",IF(ABS($F118-$G118)&lt;0.01,"일치","불일치(차이 "&amp;TEXT($G118-$F118,"0.00")&amp;")"))</f>
        <v/>
      </c>
      <c r="I118" s="20">
        <f>IF($X118="","",SUMIFS(상세표[기록 시간외],상세표[사번키],INDEX(합계표[사번키],$X118),상세표[기록월],대상월키,상세표[반영월],"&lt;&gt;"&amp;대상월키))</f>
        <v/>
      </c>
      <c r="J118" s="20">
        <f>IF($X118="","",SUMIFS(상세표[기록 시간외],상세표[사번키],INDEX(합계표[사번키],$X118),상세표[기록월],"&lt;&gt;"&amp;대상월키,상세표[반영월],대상월키))</f>
        <v/>
      </c>
      <c r="K118" s="20">
        <f>IF($X118="","",SUMIFS(상세표[기록 시간외],상세표[사번키],INDEX(합계표[사번키],$X118),상세표[반영월],대상월키))</f>
        <v/>
      </c>
      <c r="L118">
        <f>IF($X118="","",IFERROR(INDEX(월별근무지표[적용 급여병원],MATCH(INDEX(합계표[사번키],$X118)&amp;"|"&amp;대상월키,월별근무지표[키],0))&amp;"",IF(COUNTIF(기관표[사번키],INDEX(합계표[사번키],$X118))+COUNTIF(월별근무지표[사번키],INDEX(합계표[사번키],$X118))&gt;0,IFERROR(INDEX(기관표[급여지급병원(기준월)],MATCH(INDEX(합계표[사번키],$X118)&amp;"|"&amp;대상월키,기관표[키],0))&amp;"","—"),"—")))</f>
        <v/>
      </c>
      <c r="M118">
        <f>IF($X118="","",IF(NOT(COUNTIF(기관표[사번키],INDEX(합계표[사번키],$X118))+COUNTIF(월별근무지표[사번키],INDEX(합계표[사번키],$X118))&gt;0),"기관명단에 없음(다른 병원으로 발송)",IF($L118="서울병원","해당",IF(N($R118)&gt;0,"해당(말일 근무)",IF($L118="—","대상월 기관명단 없음(추가 필요)","비해당")))))</f>
        <v/>
      </c>
      <c r="N118" s="20">
        <f>IF($X118="","",SUMIFS(상세표[06~07시],상세표[사번키],INDEX(합계표[사번키],$X118),상세표[반영월],대상월키,상세표[반영 기관],"서울병원"))</f>
        <v/>
      </c>
      <c r="O118" s="20">
        <f>IF($X118="","",SUMIFS(상세표[07~18시],상세표[사번키],INDEX(합계표[사번키],$X118),상세표[반영월],대상월키,상세표[반영 기관],"서울병원"))</f>
        <v/>
      </c>
      <c r="P118" s="20">
        <f>IF($X118="","",SUMIFS(상세표[18~22시],상세표[사번키],INDEX(합계표[사번키],$X118),상세표[반영월],대상월키,상세표[반영 기관],"서울병원"))</f>
        <v/>
      </c>
      <c r="Q118" s="20">
        <f>IF($X118="","",SUMIFS(상세표[22~06시],상세표[사번키],INDEX(합계표[사번키],$X118),상세표[반영월],대상월키,상세표[반영 기관],"서울병원"))</f>
        <v/>
      </c>
      <c r="R118" s="20">
        <f>IF($X118="","",SUM($N118:$Q118))</f>
        <v/>
      </c>
      <c r="S118">
        <f>IF($X118="","",COUNTIFS(상세표[사번키],INDEX(합계표[사번키],$X118),상세표[반영월],대상월키,상세표[야간당직],1,상세표[야간 구분],"평일"))</f>
        <v/>
      </c>
      <c r="T118">
        <f>IF($X118="","",COUNTIFS(상세표[사번키],INDEX(합계표[사번키],$X118),상세표[반영월],대상월키,상세표[야간당직],1,상세표[야간 구분],"휴일"))</f>
        <v/>
      </c>
      <c r="U118">
        <f>IF($X118="","",COUNTIFS(상세표[사번키],INDEX(합계표[사번키],$X118),상세표[반영월],대상월키,상세표[야간당직],1,상세표[야간 구분],"평일",상세표[반영 기관],"서울병원"))</f>
        <v/>
      </c>
      <c r="V118">
        <f>IF($X118="","",COUNTIFS(상세표[사번키],INDEX(합계표[사번키],$X118),상세표[반영월],대상월키,상세표[야간당직],1,상세표[야간 구분],"휴일",상세표[반영 기관],"서울병원"))</f>
        <v/>
      </c>
      <c r="W118">
        <f>IF($X118="","",IF(ISNUMBER(MATCH(INDEX(합계표[사번키],$X118)&amp;"|"&amp;대상월키,월별근무지표[키],0)),"직접 입력",IF($L118="—","—","기관명단")))</f>
        <v/>
      </c>
      <c r="X118" s="4">
        <f>IFERROR(MATCH(113,합계표[판정순번],0),"")</f>
        <v/>
      </c>
      <c r="Z118">
        <f>IF($AC118="","",INDEX(상세표[사번],$AC118)&amp;"")</f>
        <v/>
      </c>
      <c r="AA118">
        <f>IF($AC118="","",INDEX(상세표[성명],$AC118)&amp;"")</f>
        <v/>
      </c>
      <c r="AB118" s="20">
        <f>IF($AC118="","",SUMIFS(상세표[기록 시간외],상세표[사번키],INDEX(상세표[사번키],$AC118),상세표[반영월],대상월키))</f>
        <v/>
      </c>
      <c r="AC118" s="4">
        <f>IFERROR(MATCH(113,상세표[합계없음순번],0),"")</f>
        <v/>
      </c>
    </row>
    <row r="119">
      <c r="A119">
        <f>IF($X119="","",INDEX(합계표[사번],$X119)&amp;"")</f>
        <v/>
      </c>
      <c r="B119">
        <f>IF($X119="","",INDEX(합계표[성명],$X119)&amp;"")</f>
        <v/>
      </c>
      <c r="C119">
        <f>IF($X119="","",INDEX(합계표[부서],$X119)&amp;"")</f>
        <v/>
      </c>
      <c r="D119">
        <f>IF($X119="","",INDEX(합계표[직위(요약)],$X119)&amp;"")</f>
        <v/>
      </c>
      <c r="E119">
        <f>IF($X119="","",INDEX(합계표[직급 공존],$X119)&amp;"")</f>
        <v/>
      </c>
      <c r="F119" s="20">
        <f>IF($X119="","",SUMIFS(합계표[시스템 합계],합계표[사번키],INDEX(합계표[사번키],$X119)))</f>
        <v/>
      </c>
      <c r="G119" s="20">
        <f>IF($X119="","",SUMIFS(상세표[기록 시간외],상세표[사번키],INDEX(합계표[사번키],$X119),상세표[기록월],대상월키))</f>
        <v/>
      </c>
      <c r="H119">
        <f>IF($X119="","",IF(ABS($F119-$G119)&lt;0.01,"일치","불일치(차이 "&amp;TEXT($G119-$F119,"0.00")&amp;")"))</f>
        <v/>
      </c>
      <c r="I119" s="20">
        <f>IF($X119="","",SUMIFS(상세표[기록 시간외],상세표[사번키],INDEX(합계표[사번키],$X119),상세표[기록월],대상월키,상세표[반영월],"&lt;&gt;"&amp;대상월키))</f>
        <v/>
      </c>
      <c r="J119" s="20">
        <f>IF($X119="","",SUMIFS(상세표[기록 시간외],상세표[사번키],INDEX(합계표[사번키],$X119),상세표[기록월],"&lt;&gt;"&amp;대상월키,상세표[반영월],대상월키))</f>
        <v/>
      </c>
      <c r="K119" s="20">
        <f>IF($X119="","",SUMIFS(상세표[기록 시간외],상세표[사번키],INDEX(합계표[사번키],$X119),상세표[반영월],대상월키))</f>
        <v/>
      </c>
      <c r="L119">
        <f>IF($X119="","",IFERROR(INDEX(월별근무지표[적용 급여병원],MATCH(INDEX(합계표[사번키],$X119)&amp;"|"&amp;대상월키,월별근무지표[키],0))&amp;"",IF(COUNTIF(기관표[사번키],INDEX(합계표[사번키],$X119))+COUNTIF(월별근무지표[사번키],INDEX(합계표[사번키],$X119))&gt;0,IFERROR(INDEX(기관표[급여지급병원(기준월)],MATCH(INDEX(합계표[사번키],$X119)&amp;"|"&amp;대상월키,기관표[키],0))&amp;"","—"),"—")))</f>
        <v/>
      </c>
      <c r="M119">
        <f>IF($X119="","",IF(NOT(COUNTIF(기관표[사번키],INDEX(합계표[사번키],$X119))+COUNTIF(월별근무지표[사번키],INDEX(합계표[사번키],$X119))&gt;0),"기관명단에 없음(다른 병원으로 발송)",IF($L119="서울병원","해당",IF(N($R119)&gt;0,"해당(말일 근무)",IF($L119="—","대상월 기관명단 없음(추가 필요)","비해당")))))</f>
        <v/>
      </c>
      <c r="N119" s="20">
        <f>IF($X119="","",SUMIFS(상세표[06~07시],상세표[사번키],INDEX(합계표[사번키],$X119),상세표[반영월],대상월키,상세표[반영 기관],"서울병원"))</f>
        <v/>
      </c>
      <c r="O119" s="20">
        <f>IF($X119="","",SUMIFS(상세표[07~18시],상세표[사번키],INDEX(합계표[사번키],$X119),상세표[반영월],대상월키,상세표[반영 기관],"서울병원"))</f>
        <v/>
      </c>
      <c r="P119" s="20">
        <f>IF($X119="","",SUMIFS(상세표[18~22시],상세표[사번키],INDEX(합계표[사번키],$X119),상세표[반영월],대상월키,상세표[반영 기관],"서울병원"))</f>
        <v/>
      </c>
      <c r="Q119" s="20">
        <f>IF($X119="","",SUMIFS(상세표[22~06시],상세표[사번키],INDEX(합계표[사번키],$X119),상세표[반영월],대상월키,상세표[반영 기관],"서울병원"))</f>
        <v/>
      </c>
      <c r="R119" s="20">
        <f>IF($X119="","",SUM($N119:$Q119))</f>
        <v/>
      </c>
      <c r="S119">
        <f>IF($X119="","",COUNTIFS(상세표[사번키],INDEX(합계표[사번키],$X119),상세표[반영월],대상월키,상세표[야간당직],1,상세표[야간 구분],"평일"))</f>
        <v/>
      </c>
      <c r="T119">
        <f>IF($X119="","",COUNTIFS(상세표[사번키],INDEX(합계표[사번키],$X119),상세표[반영월],대상월키,상세표[야간당직],1,상세표[야간 구분],"휴일"))</f>
        <v/>
      </c>
      <c r="U119">
        <f>IF($X119="","",COUNTIFS(상세표[사번키],INDEX(합계표[사번키],$X119),상세표[반영월],대상월키,상세표[야간당직],1,상세표[야간 구분],"평일",상세표[반영 기관],"서울병원"))</f>
        <v/>
      </c>
      <c r="V119">
        <f>IF($X119="","",COUNTIFS(상세표[사번키],INDEX(합계표[사번키],$X119),상세표[반영월],대상월키,상세표[야간당직],1,상세표[야간 구분],"휴일",상세표[반영 기관],"서울병원"))</f>
        <v/>
      </c>
      <c r="W119">
        <f>IF($X119="","",IF(ISNUMBER(MATCH(INDEX(합계표[사번키],$X119)&amp;"|"&amp;대상월키,월별근무지표[키],0)),"직접 입력",IF($L119="—","—","기관명단")))</f>
        <v/>
      </c>
      <c r="X119" s="4">
        <f>IFERROR(MATCH(114,합계표[판정순번],0),"")</f>
        <v/>
      </c>
      <c r="Z119">
        <f>IF($AC119="","",INDEX(상세표[사번],$AC119)&amp;"")</f>
        <v/>
      </c>
      <c r="AA119">
        <f>IF($AC119="","",INDEX(상세표[성명],$AC119)&amp;"")</f>
        <v/>
      </c>
      <c r="AB119" s="20">
        <f>IF($AC119="","",SUMIFS(상세표[기록 시간외],상세표[사번키],INDEX(상세표[사번키],$AC119),상세표[반영월],대상월키))</f>
        <v/>
      </c>
      <c r="AC119" s="4">
        <f>IFERROR(MATCH(114,상세표[합계없음순번],0),"")</f>
        <v/>
      </c>
    </row>
    <row r="120">
      <c r="A120">
        <f>IF($X120="","",INDEX(합계표[사번],$X120)&amp;"")</f>
        <v/>
      </c>
      <c r="B120">
        <f>IF($X120="","",INDEX(합계표[성명],$X120)&amp;"")</f>
        <v/>
      </c>
      <c r="C120">
        <f>IF($X120="","",INDEX(합계표[부서],$X120)&amp;"")</f>
        <v/>
      </c>
      <c r="D120">
        <f>IF($X120="","",INDEX(합계표[직위(요약)],$X120)&amp;"")</f>
        <v/>
      </c>
      <c r="E120">
        <f>IF($X120="","",INDEX(합계표[직급 공존],$X120)&amp;"")</f>
        <v/>
      </c>
      <c r="F120" s="20">
        <f>IF($X120="","",SUMIFS(합계표[시스템 합계],합계표[사번키],INDEX(합계표[사번키],$X120)))</f>
        <v/>
      </c>
      <c r="G120" s="20">
        <f>IF($X120="","",SUMIFS(상세표[기록 시간외],상세표[사번키],INDEX(합계표[사번키],$X120),상세표[기록월],대상월키))</f>
        <v/>
      </c>
      <c r="H120">
        <f>IF($X120="","",IF(ABS($F120-$G120)&lt;0.01,"일치","불일치(차이 "&amp;TEXT($G120-$F120,"0.00")&amp;")"))</f>
        <v/>
      </c>
      <c r="I120" s="20">
        <f>IF($X120="","",SUMIFS(상세표[기록 시간외],상세표[사번키],INDEX(합계표[사번키],$X120),상세표[기록월],대상월키,상세표[반영월],"&lt;&gt;"&amp;대상월키))</f>
        <v/>
      </c>
      <c r="J120" s="20">
        <f>IF($X120="","",SUMIFS(상세표[기록 시간외],상세표[사번키],INDEX(합계표[사번키],$X120),상세표[기록월],"&lt;&gt;"&amp;대상월키,상세표[반영월],대상월키))</f>
        <v/>
      </c>
      <c r="K120" s="20">
        <f>IF($X120="","",SUMIFS(상세표[기록 시간외],상세표[사번키],INDEX(합계표[사번키],$X120),상세표[반영월],대상월키))</f>
        <v/>
      </c>
      <c r="L120">
        <f>IF($X120="","",IFERROR(INDEX(월별근무지표[적용 급여병원],MATCH(INDEX(합계표[사번키],$X120)&amp;"|"&amp;대상월키,월별근무지표[키],0))&amp;"",IF(COUNTIF(기관표[사번키],INDEX(합계표[사번키],$X120))+COUNTIF(월별근무지표[사번키],INDEX(합계표[사번키],$X120))&gt;0,IFERROR(INDEX(기관표[급여지급병원(기준월)],MATCH(INDEX(합계표[사번키],$X120)&amp;"|"&amp;대상월키,기관표[키],0))&amp;"","—"),"—")))</f>
        <v/>
      </c>
      <c r="M120">
        <f>IF($X120="","",IF(NOT(COUNTIF(기관표[사번키],INDEX(합계표[사번키],$X120))+COUNTIF(월별근무지표[사번키],INDEX(합계표[사번키],$X120))&gt;0),"기관명단에 없음(다른 병원으로 발송)",IF($L120="서울병원","해당",IF(N($R120)&gt;0,"해당(말일 근무)",IF($L120="—","대상월 기관명단 없음(추가 필요)","비해당")))))</f>
        <v/>
      </c>
      <c r="N120" s="20">
        <f>IF($X120="","",SUMIFS(상세표[06~07시],상세표[사번키],INDEX(합계표[사번키],$X120),상세표[반영월],대상월키,상세표[반영 기관],"서울병원"))</f>
        <v/>
      </c>
      <c r="O120" s="20">
        <f>IF($X120="","",SUMIFS(상세표[07~18시],상세표[사번키],INDEX(합계표[사번키],$X120),상세표[반영월],대상월키,상세표[반영 기관],"서울병원"))</f>
        <v/>
      </c>
      <c r="P120" s="20">
        <f>IF($X120="","",SUMIFS(상세표[18~22시],상세표[사번키],INDEX(합계표[사번키],$X120),상세표[반영월],대상월키,상세표[반영 기관],"서울병원"))</f>
        <v/>
      </c>
      <c r="Q120" s="20">
        <f>IF($X120="","",SUMIFS(상세표[22~06시],상세표[사번키],INDEX(합계표[사번키],$X120),상세표[반영월],대상월키,상세표[반영 기관],"서울병원"))</f>
        <v/>
      </c>
      <c r="R120" s="20">
        <f>IF($X120="","",SUM($N120:$Q120))</f>
        <v/>
      </c>
      <c r="S120">
        <f>IF($X120="","",COUNTIFS(상세표[사번키],INDEX(합계표[사번키],$X120),상세표[반영월],대상월키,상세표[야간당직],1,상세표[야간 구분],"평일"))</f>
        <v/>
      </c>
      <c r="T120">
        <f>IF($X120="","",COUNTIFS(상세표[사번키],INDEX(합계표[사번키],$X120),상세표[반영월],대상월키,상세표[야간당직],1,상세표[야간 구분],"휴일"))</f>
        <v/>
      </c>
      <c r="U120">
        <f>IF($X120="","",COUNTIFS(상세표[사번키],INDEX(합계표[사번키],$X120),상세표[반영월],대상월키,상세표[야간당직],1,상세표[야간 구분],"평일",상세표[반영 기관],"서울병원"))</f>
        <v/>
      </c>
      <c r="V120">
        <f>IF($X120="","",COUNTIFS(상세표[사번키],INDEX(합계표[사번키],$X120),상세표[반영월],대상월키,상세표[야간당직],1,상세표[야간 구분],"휴일",상세표[반영 기관],"서울병원"))</f>
        <v/>
      </c>
      <c r="W120">
        <f>IF($X120="","",IF(ISNUMBER(MATCH(INDEX(합계표[사번키],$X120)&amp;"|"&amp;대상월키,월별근무지표[키],0)),"직접 입력",IF($L120="—","—","기관명단")))</f>
        <v/>
      </c>
      <c r="X120" s="4">
        <f>IFERROR(MATCH(115,합계표[판정순번],0),"")</f>
        <v/>
      </c>
      <c r="Z120">
        <f>IF($AC120="","",INDEX(상세표[사번],$AC120)&amp;"")</f>
        <v/>
      </c>
      <c r="AA120">
        <f>IF($AC120="","",INDEX(상세표[성명],$AC120)&amp;"")</f>
        <v/>
      </c>
      <c r="AB120" s="20">
        <f>IF($AC120="","",SUMIFS(상세표[기록 시간외],상세표[사번키],INDEX(상세표[사번키],$AC120),상세표[반영월],대상월키))</f>
        <v/>
      </c>
      <c r="AC120" s="4">
        <f>IFERROR(MATCH(115,상세표[합계없음순번],0),"")</f>
        <v/>
      </c>
    </row>
    <row r="121">
      <c r="A121">
        <f>IF($X121="","",INDEX(합계표[사번],$X121)&amp;"")</f>
        <v/>
      </c>
      <c r="B121">
        <f>IF($X121="","",INDEX(합계표[성명],$X121)&amp;"")</f>
        <v/>
      </c>
      <c r="C121">
        <f>IF($X121="","",INDEX(합계표[부서],$X121)&amp;"")</f>
        <v/>
      </c>
      <c r="D121">
        <f>IF($X121="","",INDEX(합계표[직위(요약)],$X121)&amp;"")</f>
        <v/>
      </c>
      <c r="E121">
        <f>IF($X121="","",INDEX(합계표[직급 공존],$X121)&amp;"")</f>
        <v/>
      </c>
      <c r="F121" s="20">
        <f>IF($X121="","",SUMIFS(합계표[시스템 합계],합계표[사번키],INDEX(합계표[사번키],$X121)))</f>
        <v/>
      </c>
      <c r="G121" s="20">
        <f>IF($X121="","",SUMIFS(상세표[기록 시간외],상세표[사번키],INDEX(합계표[사번키],$X121),상세표[기록월],대상월키))</f>
        <v/>
      </c>
      <c r="H121">
        <f>IF($X121="","",IF(ABS($F121-$G121)&lt;0.01,"일치","불일치(차이 "&amp;TEXT($G121-$F121,"0.00")&amp;")"))</f>
        <v/>
      </c>
      <c r="I121" s="20">
        <f>IF($X121="","",SUMIFS(상세표[기록 시간외],상세표[사번키],INDEX(합계표[사번키],$X121),상세표[기록월],대상월키,상세표[반영월],"&lt;&gt;"&amp;대상월키))</f>
        <v/>
      </c>
      <c r="J121" s="20">
        <f>IF($X121="","",SUMIFS(상세표[기록 시간외],상세표[사번키],INDEX(합계표[사번키],$X121),상세표[기록월],"&lt;&gt;"&amp;대상월키,상세표[반영월],대상월키))</f>
        <v/>
      </c>
      <c r="K121" s="20">
        <f>IF($X121="","",SUMIFS(상세표[기록 시간외],상세표[사번키],INDEX(합계표[사번키],$X121),상세표[반영월],대상월키))</f>
        <v/>
      </c>
      <c r="L121">
        <f>IF($X121="","",IFERROR(INDEX(월별근무지표[적용 급여병원],MATCH(INDEX(합계표[사번키],$X121)&amp;"|"&amp;대상월키,월별근무지표[키],0))&amp;"",IF(COUNTIF(기관표[사번키],INDEX(합계표[사번키],$X121))+COUNTIF(월별근무지표[사번키],INDEX(합계표[사번키],$X121))&gt;0,IFERROR(INDEX(기관표[급여지급병원(기준월)],MATCH(INDEX(합계표[사번키],$X121)&amp;"|"&amp;대상월키,기관표[키],0))&amp;"","—"),"—")))</f>
        <v/>
      </c>
      <c r="M121">
        <f>IF($X121="","",IF(NOT(COUNTIF(기관표[사번키],INDEX(합계표[사번키],$X121))+COUNTIF(월별근무지표[사번키],INDEX(합계표[사번키],$X121))&gt;0),"기관명단에 없음(다른 병원으로 발송)",IF($L121="서울병원","해당",IF(N($R121)&gt;0,"해당(말일 근무)",IF($L121="—","대상월 기관명단 없음(추가 필요)","비해당")))))</f>
        <v/>
      </c>
      <c r="N121" s="20">
        <f>IF($X121="","",SUMIFS(상세표[06~07시],상세표[사번키],INDEX(합계표[사번키],$X121),상세표[반영월],대상월키,상세표[반영 기관],"서울병원"))</f>
        <v/>
      </c>
      <c r="O121" s="20">
        <f>IF($X121="","",SUMIFS(상세표[07~18시],상세표[사번키],INDEX(합계표[사번키],$X121),상세표[반영월],대상월키,상세표[반영 기관],"서울병원"))</f>
        <v/>
      </c>
      <c r="P121" s="20">
        <f>IF($X121="","",SUMIFS(상세표[18~22시],상세표[사번키],INDEX(합계표[사번키],$X121),상세표[반영월],대상월키,상세표[반영 기관],"서울병원"))</f>
        <v/>
      </c>
      <c r="Q121" s="20">
        <f>IF($X121="","",SUMIFS(상세표[22~06시],상세표[사번키],INDEX(합계표[사번키],$X121),상세표[반영월],대상월키,상세표[반영 기관],"서울병원"))</f>
        <v/>
      </c>
      <c r="R121" s="20">
        <f>IF($X121="","",SUM($N121:$Q121))</f>
        <v/>
      </c>
      <c r="S121">
        <f>IF($X121="","",COUNTIFS(상세표[사번키],INDEX(합계표[사번키],$X121),상세표[반영월],대상월키,상세표[야간당직],1,상세표[야간 구분],"평일"))</f>
        <v/>
      </c>
      <c r="T121">
        <f>IF($X121="","",COUNTIFS(상세표[사번키],INDEX(합계표[사번키],$X121),상세표[반영월],대상월키,상세표[야간당직],1,상세표[야간 구분],"휴일"))</f>
        <v/>
      </c>
      <c r="U121">
        <f>IF($X121="","",COUNTIFS(상세표[사번키],INDEX(합계표[사번키],$X121),상세표[반영월],대상월키,상세표[야간당직],1,상세표[야간 구분],"평일",상세표[반영 기관],"서울병원"))</f>
        <v/>
      </c>
      <c r="V121">
        <f>IF($X121="","",COUNTIFS(상세표[사번키],INDEX(합계표[사번키],$X121),상세표[반영월],대상월키,상세표[야간당직],1,상세표[야간 구분],"휴일",상세표[반영 기관],"서울병원"))</f>
        <v/>
      </c>
      <c r="W121">
        <f>IF($X121="","",IF(ISNUMBER(MATCH(INDEX(합계표[사번키],$X121)&amp;"|"&amp;대상월키,월별근무지표[키],0)),"직접 입력",IF($L121="—","—","기관명단")))</f>
        <v/>
      </c>
      <c r="X121" s="4">
        <f>IFERROR(MATCH(116,합계표[판정순번],0),"")</f>
        <v/>
      </c>
      <c r="Z121">
        <f>IF($AC121="","",INDEX(상세표[사번],$AC121)&amp;"")</f>
        <v/>
      </c>
      <c r="AA121">
        <f>IF($AC121="","",INDEX(상세표[성명],$AC121)&amp;"")</f>
        <v/>
      </c>
      <c r="AB121" s="20">
        <f>IF($AC121="","",SUMIFS(상세표[기록 시간외],상세표[사번키],INDEX(상세표[사번키],$AC121),상세표[반영월],대상월키))</f>
        <v/>
      </c>
      <c r="AC121" s="4">
        <f>IFERROR(MATCH(116,상세표[합계없음순번],0),"")</f>
        <v/>
      </c>
    </row>
    <row r="122">
      <c r="A122">
        <f>IF($X122="","",INDEX(합계표[사번],$X122)&amp;"")</f>
        <v/>
      </c>
      <c r="B122">
        <f>IF($X122="","",INDEX(합계표[성명],$X122)&amp;"")</f>
        <v/>
      </c>
      <c r="C122">
        <f>IF($X122="","",INDEX(합계표[부서],$X122)&amp;"")</f>
        <v/>
      </c>
      <c r="D122">
        <f>IF($X122="","",INDEX(합계표[직위(요약)],$X122)&amp;"")</f>
        <v/>
      </c>
      <c r="E122">
        <f>IF($X122="","",INDEX(합계표[직급 공존],$X122)&amp;"")</f>
        <v/>
      </c>
      <c r="F122" s="20">
        <f>IF($X122="","",SUMIFS(합계표[시스템 합계],합계표[사번키],INDEX(합계표[사번키],$X122)))</f>
        <v/>
      </c>
      <c r="G122" s="20">
        <f>IF($X122="","",SUMIFS(상세표[기록 시간외],상세표[사번키],INDEX(합계표[사번키],$X122),상세표[기록월],대상월키))</f>
        <v/>
      </c>
      <c r="H122">
        <f>IF($X122="","",IF(ABS($F122-$G122)&lt;0.01,"일치","불일치(차이 "&amp;TEXT($G122-$F122,"0.00")&amp;")"))</f>
        <v/>
      </c>
      <c r="I122" s="20">
        <f>IF($X122="","",SUMIFS(상세표[기록 시간외],상세표[사번키],INDEX(합계표[사번키],$X122),상세표[기록월],대상월키,상세표[반영월],"&lt;&gt;"&amp;대상월키))</f>
        <v/>
      </c>
      <c r="J122" s="20">
        <f>IF($X122="","",SUMIFS(상세표[기록 시간외],상세표[사번키],INDEX(합계표[사번키],$X122),상세표[기록월],"&lt;&gt;"&amp;대상월키,상세표[반영월],대상월키))</f>
        <v/>
      </c>
      <c r="K122" s="20">
        <f>IF($X122="","",SUMIFS(상세표[기록 시간외],상세표[사번키],INDEX(합계표[사번키],$X122),상세표[반영월],대상월키))</f>
        <v/>
      </c>
      <c r="L122">
        <f>IF($X122="","",IFERROR(INDEX(월별근무지표[적용 급여병원],MATCH(INDEX(합계표[사번키],$X122)&amp;"|"&amp;대상월키,월별근무지표[키],0))&amp;"",IF(COUNTIF(기관표[사번키],INDEX(합계표[사번키],$X122))+COUNTIF(월별근무지표[사번키],INDEX(합계표[사번키],$X122))&gt;0,IFERROR(INDEX(기관표[급여지급병원(기준월)],MATCH(INDEX(합계표[사번키],$X122)&amp;"|"&amp;대상월키,기관표[키],0))&amp;"","—"),"—")))</f>
        <v/>
      </c>
      <c r="M122">
        <f>IF($X122="","",IF(NOT(COUNTIF(기관표[사번키],INDEX(합계표[사번키],$X122))+COUNTIF(월별근무지표[사번키],INDEX(합계표[사번키],$X122))&gt;0),"기관명단에 없음(다른 병원으로 발송)",IF($L122="서울병원","해당",IF(N($R122)&gt;0,"해당(말일 근무)",IF($L122="—","대상월 기관명단 없음(추가 필요)","비해당")))))</f>
        <v/>
      </c>
      <c r="N122" s="20">
        <f>IF($X122="","",SUMIFS(상세표[06~07시],상세표[사번키],INDEX(합계표[사번키],$X122),상세표[반영월],대상월키,상세표[반영 기관],"서울병원"))</f>
        <v/>
      </c>
      <c r="O122" s="20">
        <f>IF($X122="","",SUMIFS(상세표[07~18시],상세표[사번키],INDEX(합계표[사번키],$X122),상세표[반영월],대상월키,상세표[반영 기관],"서울병원"))</f>
        <v/>
      </c>
      <c r="P122" s="20">
        <f>IF($X122="","",SUMIFS(상세표[18~22시],상세표[사번키],INDEX(합계표[사번키],$X122),상세표[반영월],대상월키,상세표[반영 기관],"서울병원"))</f>
        <v/>
      </c>
      <c r="Q122" s="20">
        <f>IF($X122="","",SUMIFS(상세표[22~06시],상세표[사번키],INDEX(합계표[사번키],$X122),상세표[반영월],대상월키,상세표[반영 기관],"서울병원"))</f>
        <v/>
      </c>
      <c r="R122" s="20">
        <f>IF($X122="","",SUM($N122:$Q122))</f>
        <v/>
      </c>
      <c r="S122">
        <f>IF($X122="","",COUNTIFS(상세표[사번키],INDEX(합계표[사번키],$X122),상세표[반영월],대상월키,상세표[야간당직],1,상세표[야간 구분],"평일"))</f>
        <v/>
      </c>
      <c r="T122">
        <f>IF($X122="","",COUNTIFS(상세표[사번키],INDEX(합계표[사번키],$X122),상세표[반영월],대상월키,상세표[야간당직],1,상세표[야간 구분],"휴일"))</f>
        <v/>
      </c>
      <c r="U122">
        <f>IF($X122="","",COUNTIFS(상세표[사번키],INDEX(합계표[사번키],$X122),상세표[반영월],대상월키,상세표[야간당직],1,상세표[야간 구분],"평일",상세표[반영 기관],"서울병원"))</f>
        <v/>
      </c>
      <c r="V122">
        <f>IF($X122="","",COUNTIFS(상세표[사번키],INDEX(합계표[사번키],$X122),상세표[반영월],대상월키,상세표[야간당직],1,상세표[야간 구분],"휴일",상세표[반영 기관],"서울병원"))</f>
        <v/>
      </c>
      <c r="W122">
        <f>IF($X122="","",IF(ISNUMBER(MATCH(INDEX(합계표[사번키],$X122)&amp;"|"&amp;대상월키,월별근무지표[키],0)),"직접 입력",IF($L122="—","—","기관명단")))</f>
        <v/>
      </c>
      <c r="X122" s="4">
        <f>IFERROR(MATCH(117,합계표[판정순번],0),"")</f>
        <v/>
      </c>
      <c r="Z122">
        <f>IF($AC122="","",INDEX(상세표[사번],$AC122)&amp;"")</f>
        <v/>
      </c>
      <c r="AA122">
        <f>IF($AC122="","",INDEX(상세표[성명],$AC122)&amp;"")</f>
        <v/>
      </c>
      <c r="AB122" s="20">
        <f>IF($AC122="","",SUMIFS(상세표[기록 시간외],상세표[사번키],INDEX(상세표[사번키],$AC122),상세표[반영월],대상월키))</f>
        <v/>
      </c>
      <c r="AC122" s="4">
        <f>IFERROR(MATCH(117,상세표[합계없음순번],0),"")</f>
        <v/>
      </c>
    </row>
    <row r="123">
      <c r="A123">
        <f>IF($X123="","",INDEX(합계표[사번],$X123)&amp;"")</f>
        <v/>
      </c>
      <c r="B123">
        <f>IF($X123="","",INDEX(합계표[성명],$X123)&amp;"")</f>
        <v/>
      </c>
      <c r="C123">
        <f>IF($X123="","",INDEX(합계표[부서],$X123)&amp;"")</f>
        <v/>
      </c>
      <c r="D123">
        <f>IF($X123="","",INDEX(합계표[직위(요약)],$X123)&amp;"")</f>
        <v/>
      </c>
      <c r="E123">
        <f>IF($X123="","",INDEX(합계표[직급 공존],$X123)&amp;"")</f>
        <v/>
      </c>
      <c r="F123" s="20">
        <f>IF($X123="","",SUMIFS(합계표[시스템 합계],합계표[사번키],INDEX(합계표[사번키],$X123)))</f>
        <v/>
      </c>
      <c r="G123" s="20">
        <f>IF($X123="","",SUMIFS(상세표[기록 시간외],상세표[사번키],INDEX(합계표[사번키],$X123),상세표[기록월],대상월키))</f>
        <v/>
      </c>
      <c r="H123">
        <f>IF($X123="","",IF(ABS($F123-$G123)&lt;0.01,"일치","불일치(차이 "&amp;TEXT($G123-$F123,"0.00")&amp;")"))</f>
        <v/>
      </c>
      <c r="I123" s="20">
        <f>IF($X123="","",SUMIFS(상세표[기록 시간외],상세표[사번키],INDEX(합계표[사번키],$X123),상세표[기록월],대상월키,상세표[반영월],"&lt;&gt;"&amp;대상월키))</f>
        <v/>
      </c>
      <c r="J123" s="20">
        <f>IF($X123="","",SUMIFS(상세표[기록 시간외],상세표[사번키],INDEX(합계표[사번키],$X123),상세표[기록월],"&lt;&gt;"&amp;대상월키,상세표[반영월],대상월키))</f>
        <v/>
      </c>
      <c r="K123" s="20">
        <f>IF($X123="","",SUMIFS(상세표[기록 시간외],상세표[사번키],INDEX(합계표[사번키],$X123),상세표[반영월],대상월키))</f>
        <v/>
      </c>
      <c r="L123">
        <f>IF($X123="","",IFERROR(INDEX(월별근무지표[적용 급여병원],MATCH(INDEX(합계표[사번키],$X123)&amp;"|"&amp;대상월키,월별근무지표[키],0))&amp;"",IF(COUNTIF(기관표[사번키],INDEX(합계표[사번키],$X123))+COUNTIF(월별근무지표[사번키],INDEX(합계표[사번키],$X123))&gt;0,IFERROR(INDEX(기관표[급여지급병원(기준월)],MATCH(INDEX(합계표[사번키],$X123)&amp;"|"&amp;대상월키,기관표[키],0))&amp;"","—"),"—")))</f>
        <v/>
      </c>
      <c r="M123">
        <f>IF($X123="","",IF(NOT(COUNTIF(기관표[사번키],INDEX(합계표[사번키],$X123))+COUNTIF(월별근무지표[사번키],INDEX(합계표[사번키],$X123))&gt;0),"기관명단에 없음(다른 병원으로 발송)",IF($L123="서울병원","해당",IF(N($R123)&gt;0,"해당(말일 근무)",IF($L123="—","대상월 기관명단 없음(추가 필요)","비해당")))))</f>
        <v/>
      </c>
      <c r="N123" s="20">
        <f>IF($X123="","",SUMIFS(상세표[06~07시],상세표[사번키],INDEX(합계표[사번키],$X123),상세표[반영월],대상월키,상세표[반영 기관],"서울병원"))</f>
        <v/>
      </c>
      <c r="O123" s="20">
        <f>IF($X123="","",SUMIFS(상세표[07~18시],상세표[사번키],INDEX(합계표[사번키],$X123),상세표[반영월],대상월키,상세표[반영 기관],"서울병원"))</f>
        <v/>
      </c>
      <c r="P123" s="20">
        <f>IF($X123="","",SUMIFS(상세표[18~22시],상세표[사번키],INDEX(합계표[사번키],$X123),상세표[반영월],대상월키,상세표[반영 기관],"서울병원"))</f>
        <v/>
      </c>
      <c r="Q123" s="20">
        <f>IF($X123="","",SUMIFS(상세표[22~06시],상세표[사번키],INDEX(합계표[사번키],$X123),상세표[반영월],대상월키,상세표[반영 기관],"서울병원"))</f>
        <v/>
      </c>
      <c r="R123" s="20">
        <f>IF($X123="","",SUM($N123:$Q123))</f>
        <v/>
      </c>
      <c r="S123">
        <f>IF($X123="","",COUNTIFS(상세표[사번키],INDEX(합계표[사번키],$X123),상세표[반영월],대상월키,상세표[야간당직],1,상세표[야간 구분],"평일"))</f>
        <v/>
      </c>
      <c r="T123">
        <f>IF($X123="","",COUNTIFS(상세표[사번키],INDEX(합계표[사번키],$X123),상세표[반영월],대상월키,상세표[야간당직],1,상세표[야간 구분],"휴일"))</f>
        <v/>
      </c>
      <c r="U123">
        <f>IF($X123="","",COUNTIFS(상세표[사번키],INDEX(합계표[사번키],$X123),상세표[반영월],대상월키,상세표[야간당직],1,상세표[야간 구분],"평일",상세표[반영 기관],"서울병원"))</f>
        <v/>
      </c>
      <c r="V123">
        <f>IF($X123="","",COUNTIFS(상세표[사번키],INDEX(합계표[사번키],$X123),상세표[반영월],대상월키,상세표[야간당직],1,상세표[야간 구분],"휴일",상세표[반영 기관],"서울병원"))</f>
        <v/>
      </c>
      <c r="W123">
        <f>IF($X123="","",IF(ISNUMBER(MATCH(INDEX(합계표[사번키],$X123)&amp;"|"&amp;대상월키,월별근무지표[키],0)),"직접 입력",IF($L123="—","—","기관명단")))</f>
        <v/>
      </c>
      <c r="X123" s="4">
        <f>IFERROR(MATCH(118,합계표[판정순번],0),"")</f>
        <v/>
      </c>
      <c r="Z123">
        <f>IF($AC123="","",INDEX(상세표[사번],$AC123)&amp;"")</f>
        <v/>
      </c>
      <c r="AA123">
        <f>IF($AC123="","",INDEX(상세표[성명],$AC123)&amp;"")</f>
        <v/>
      </c>
      <c r="AB123" s="20">
        <f>IF($AC123="","",SUMIFS(상세표[기록 시간외],상세표[사번키],INDEX(상세표[사번키],$AC123),상세표[반영월],대상월키))</f>
        <v/>
      </c>
      <c r="AC123" s="4">
        <f>IFERROR(MATCH(118,상세표[합계없음순번],0),"")</f>
        <v/>
      </c>
    </row>
    <row r="124">
      <c r="A124">
        <f>IF($X124="","",INDEX(합계표[사번],$X124)&amp;"")</f>
        <v/>
      </c>
      <c r="B124">
        <f>IF($X124="","",INDEX(합계표[성명],$X124)&amp;"")</f>
        <v/>
      </c>
      <c r="C124">
        <f>IF($X124="","",INDEX(합계표[부서],$X124)&amp;"")</f>
        <v/>
      </c>
      <c r="D124">
        <f>IF($X124="","",INDEX(합계표[직위(요약)],$X124)&amp;"")</f>
        <v/>
      </c>
      <c r="E124">
        <f>IF($X124="","",INDEX(합계표[직급 공존],$X124)&amp;"")</f>
        <v/>
      </c>
      <c r="F124" s="20">
        <f>IF($X124="","",SUMIFS(합계표[시스템 합계],합계표[사번키],INDEX(합계표[사번키],$X124)))</f>
        <v/>
      </c>
      <c r="G124" s="20">
        <f>IF($X124="","",SUMIFS(상세표[기록 시간외],상세표[사번키],INDEX(합계표[사번키],$X124),상세표[기록월],대상월키))</f>
        <v/>
      </c>
      <c r="H124">
        <f>IF($X124="","",IF(ABS($F124-$G124)&lt;0.01,"일치","불일치(차이 "&amp;TEXT($G124-$F124,"0.00")&amp;")"))</f>
        <v/>
      </c>
      <c r="I124" s="20">
        <f>IF($X124="","",SUMIFS(상세표[기록 시간외],상세표[사번키],INDEX(합계표[사번키],$X124),상세표[기록월],대상월키,상세표[반영월],"&lt;&gt;"&amp;대상월키))</f>
        <v/>
      </c>
      <c r="J124" s="20">
        <f>IF($X124="","",SUMIFS(상세표[기록 시간외],상세표[사번키],INDEX(합계표[사번키],$X124),상세표[기록월],"&lt;&gt;"&amp;대상월키,상세표[반영월],대상월키))</f>
        <v/>
      </c>
      <c r="K124" s="20">
        <f>IF($X124="","",SUMIFS(상세표[기록 시간외],상세표[사번키],INDEX(합계표[사번키],$X124),상세표[반영월],대상월키))</f>
        <v/>
      </c>
      <c r="L124">
        <f>IF($X124="","",IFERROR(INDEX(월별근무지표[적용 급여병원],MATCH(INDEX(합계표[사번키],$X124)&amp;"|"&amp;대상월키,월별근무지표[키],0))&amp;"",IF(COUNTIF(기관표[사번키],INDEX(합계표[사번키],$X124))+COUNTIF(월별근무지표[사번키],INDEX(합계표[사번키],$X124))&gt;0,IFERROR(INDEX(기관표[급여지급병원(기준월)],MATCH(INDEX(합계표[사번키],$X124)&amp;"|"&amp;대상월키,기관표[키],0))&amp;"","—"),"—")))</f>
        <v/>
      </c>
      <c r="M124">
        <f>IF($X124="","",IF(NOT(COUNTIF(기관표[사번키],INDEX(합계표[사번키],$X124))+COUNTIF(월별근무지표[사번키],INDEX(합계표[사번키],$X124))&gt;0),"기관명단에 없음(다른 병원으로 발송)",IF($L124="서울병원","해당",IF(N($R124)&gt;0,"해당(말일 근무)",IF($L124="—","대상월 기관명단 없음(추가 필요)","비해당")))))</f>
        <v/>
      </c>
      <c r="N124" s="20">
        <f>IF($X124="","",SUMIFS(상세표[06~07시],상세표[사번키],INDEX(합계표[사번키],$X124),상세표[반영월],대상월키,상세표[반영 기관],"서울병원"))</f>
        <v/>
      </c>
      <c r="O124" s="20">
        <f>IF($X124="","",SUMIFS(상세표[07~18시],상세표[사번키],INDEX(합계표[사번키],$X124),상세표[반영월],대상월키,상세표[반영 기관],"서울병원"))</f>
        <v/>
      </c>
      <c r="P124" s="20">
        <f>IF($X124="","",SUMIFS(상세표[18~22시],상세표[사번키],INDEX(합계표[사번키],$X124),상세표[반영월],대상월키,상세표[반영 기관],"서울병원"))</f>
        <v/>
      </c>
      <c r="Q124" s="20">
        <f>IF($X124="","",SUMIFS(상세표[22~06시],상세표[사번키],INDEX(합계표[사번키],$X124),상세표[반영월],대상월키,상세표[반영 기관],"서울병원"))</f>
        <v/>
      </c>
      <c r="R124" s="20">
        <f>IF($X124="","",SUM($N124:$Q124))</f>
        <v/>
      </c>
      <c r="S124">
        <f>IF($X124="","",COUNTIFS(상세표[사번키],INDEX(합계표[사번키],$X124),상세표[반영월],대상월키,상세표[야간당직],1,상세표[야간 구분],"평일"))</f>
        <v/>
      </c>
      <c r="T124">
        <f>IF($X124="","",COUNTIFS(상세표[사번키],INDEX(합계표[사번키],$X124),상세표[반영월],대상월키,상세표[야간당직],1,상세표[야간 구분],"휴일"))</f>
        <v/>
      </c>
      <c r="U124">
        <f>IF($X124="","",COUNTIFS(상세표[사번키],INDEX(합계표[사번키],$X124),상세표[반영월],대상월키,상세표[야간당직],1,상세표[야간 구분],"평일",상세표[반영 기관],"서울병원"))</f>
        <v/>
      </c>
      <c r="V124">
        <f>IF($X124="","",COUNTIFS(상세표[사번키],INDEX(합계표[사번키],$X124),상세표[반영월],대상월키,상세표[야간당직],1,상세표[야간 구분],"휴일",상세표[반영 기관],"서울병원"))</f>
        <v/>
      </c>
      <c r="W124">
        <f>IF($X124="","",IF(ISNUMBER(MATCH(INDEX(합계표[사번키],$X124)&amp;"|"&amp;대상월키,월별근무지표[키],0)),"직접 입력",IF($L124="—","—","기관명단")))</f>
        <v/>
      </c>
      <c r="X124" s="4">
        <f>IFERROR(MATCH(119,합계표[판정순번],0),"")</f>
        <v/>
      </c>
      <c r="Z124">
        <f>IF($AC124="","",INDEX(상세표[사번],$AC124)&amp;"")</f>
        <v/>
      </c>
      <c r="AA124">
        <f>IF($AC124="","",INDEX(상세표[성명],$AC124)&amp;"")</f>
        <v/>
      </c>
      <c r="AB124" s="20">
        <f>IF($AC124="","",SUMIFS(상세표[기록 시간외],상세표[사번키],INDEX(상세표[사번키],$AC124),상세표[반영월],대상월키))</f>
        <v/>
      </c>
      <c r="AC124" s="4">
        <f>IFERROR(MATCH(119,상세표[합계없음순번],0),"")</f>
        <v/>
      </c>
    </row>
    <row r="125">
      <c r="A125">
        <f>IF($X125="","",INDEX(합계표[사번],$X125)&amp;"")</f>
        <v/>
      </c>
      <c r="B125">
        <f>IF($X125="","",INDEX(합계표[성명],$X125)&amp;"")</f>
        <v/>
      </c>
      <c r="C125">
        <f>IF($X125="","",INDEX(합계표[부서],$X125)&amp;"")</f>
        <v/>
      </c>
      <c r="D125">
        <f>IF($X125="","",INDEX(합계표[직위(요약)],$X125)&amp;"")</f>
        <v/>
      </c>
      <c r="E125">
        <f>IF($X125="","",INDEX(합계표[직급 공존],$X125)&amp;"")</f>
        <v/>
      </c>
      <c r="F125" s="20">
        <f>IF($X125="","",SUMIFS(합계표[시스템 합계],합계표[사번키],INDEX(합계표[사번키],$X125)))</f>
        <v/>
      </c>
      <c r="G125" s="20">
        <f>IF($X125="","",SUMIFS(상세표[기록 시간외],상세표[사번키],INDEX(합계표[사번키],$X125),상세표[기록월],대상월키))</f>
        <v/>
      </c>
      <c r="H125">
        <f>IF($X125="","",IF(ABS($F125-$G125)&lt;0.01,"일치","불일치(차이 "&amp;TEXT($G125-$F125,"0.00")&amp;")"))</f>
        <v/>
      </c>
      <c r="I125" s="20">
        <f>IF($X125="","",SUMIFS(상세표[기록 시간외],상세표[사번키],INDEX(합계표[사번키],$X125),상세표[기록월],대상월키,상세표[반영월],"&lt;&gt;"&amp;대상월키))</f>
        <v/>
      </c>
      <c r="J125" s="20">
        <f>IF($X125="","",SUMIFS(상세표[기록 시간외],상세표[사번키],INDEX(합계표[사번키],$X125),상세표[기록월],"&lt;&gt;"&amp;대상월키,상세표[반영월],대상월키))</f>
        <v/>
      </c>
      <c r="K125" s="20">
        <f>IF($X125="","",SUMIFS(상세표[기록 시간외],상세표[사번키],INDEX(합계표[사번키],$X125),상세표[반영월],대상월키))</f>
        <v/>
      </c>
      <c r="L125">
        <f>IF($X125="","",IFERROR(INDEX(월별근무지표[적용 급여병원],MATCH(INDEX(합계표[사번키],$X125)&amp;"|"&amp;대상월키,월별근무지표[키],0))&amp;"",IF(COUNTIF(기관표[사번키],INDEX(합계표[사번키],$X125))+COUNTIF(월별근무지표[사번키],INDEX(합계표[사번키],$X125))&gt;0,IFERROR(INDEX(기관표[급여지급병원(기준월)],MATCH(INDEX(합계표[사번키],$X125)&amp;"|"&amp;대상월키,기관표[키],0))&amp;"","—"),"—")))</f>
        <v/>
      </c>
      <c r="M125">
        <f>IF($X125="","",IF(NOT(COUNTIF(기관표[사번키],INDEX(합계표[사번키],$X125))+COUNTIF(월별근무지표[사번키],INDEX(합계표[사번키],$X125))&gt;0),"기관명단에 없음(다른 병원으로 발송)",IF($L125="서울병원","해당",IF(N($R125)&gt;0,"해당(말일 근무)",IF($L125="—","대상월 기관명단 없음(추가 필요)","비해당")))))</f>
        <v/>
      </c>
      <c r="N125" s="20">
        <f>IF($X125="","",SUMIFS(상세표[06~07시],상세표[사번키],INDEX(합계표[사번키],$X125),상세표[반영월],대상월키,상세표[반영 기관],"서울병원"))</f>
        <v/>
      </c>
      <c r="O125" s="20">
        <f>IF($X125="","",SUMIFS(상세표[07~18시],상세표[사번키],INDEX(합계표[사번키],$X125),상세표[반영월],대상월키,상세표[반영 기관],"서울병원"))</f>
        <v/>
      </c>
      <c r="P125" s="20">
        <f>IF($X125="","",SUMIFS(상세표[18~22시],상세표[사번키],INDEX(합계표[사번키],$X125),상세표[반영월],대상월키,상세표[반영 기관],"서울병원"))</f>
        <v/>
      </c>
      <c r="Q125" s="20">
        <f>IF($X125="","",SUMIFS(상세표[22~06시],상세표[사번키],INDEX(합계표[사번키],$X125),상세표[반영월],대상월키,상세표[반영 기관],"서울병원"))</f>
        <v/>
      </c>
      <c r="R125" s="20">
        <f>IF($X125="","",SUM($N125:$Q125))</f>
        <v/>
      </c>
      <c r="S125">
        <f>IF($X125="","",COUNTIFS(상세표[사번키],INDEX(합계표[사번키],$X125),상세표[반영월],대상월키,상세표[야간당직],1,상세표[야간 구분],"평일"))</f>
        <v/>
      </c>
      <c r="T125">
        <f>IF($X125="","",COUNTIFS(상세표[사번키],INDEX(합계표[사번키],$X125),상세표[반영월],대상월키,상세표[야간당직],1,상세표[야간 구분],"휴일"))</f>
        <v/>
      </c>
      <c r="U125">
        <f>IF($X125="","",COUNTIFS(상세표[사번키],INDEX(합계표[사번키],$X125),상세표[반영월],대상월키,상세표[야간당직],1,상세표[야간 구분],"평일",상세표[반영 기관],"서울병원"))</f>
        <v/>
      </c>
      <c r="V125">
        <f>IF($X125="","",COUNTIFS(상세표[사번키],INDEX(합계표[사번키],$X125),상세표[반영월],대상월키,상세표[야간당직],1,상세표[야간 구분],"휴일",상세표[반영 기관],"서울병원"))</f>
        <v/>
      </c>
      <c r="W125">
        <f>IF($X125="","",IF(ISNUMBER(MATCH(INDEX(합계표[사번키],$X125)&amp;"|"&amp;대상월키,월별근무지표[키],0)),"직접 입력",IF($L125="—","—","기관명단")))</f>
        <v/>
      </c>
      <c r="X125" s="4">
        <f>IFERROR(MATCH(120,합계표[판정순번],0),"")</f>
        <v/>
      </c>
      <c r="Z125">
        <f>IF($AC125="","",INDEX(상세표[사번],$AC125)&amp;"")</f>
        <v/>
      </c>
      <c r="AA125">
        <f>IF($AC125="","",INDEX(상세표[성명],$AC125)&amp;"")</f>
        <v/>
      </c>
      <c r="AB125" s="20">
        <f>IF($AC125="","",SUMIFS(상세표[기록 시간외],상세표[사번키],INDEX(상세표[사번키],$AC125),상세표[반영월],대상월키))</f>
        <v/>
      </c>
      <c r="AC125" s="4">
        <f>IFERROR(MATCH(120,상세표[합계없음순번],0),"")</f>
        <v/>
      </c>
    </row>
    <row r="126">
      <c r="A126">
        <f>IF($X126="","",INDEX(합계표[사번],$X126)&amp;"")</f>
        <v/>
      </c>
      <c r="B126">
        <f>IF($X126="","",INDEX(합계표[성명],$X126)&amp;"")</f>
        <v/>
      </c>
      <c r="C126">
        <f>IF($X126="","",INDEX(합계표[부서],$X126)&amp;"")</f>
        <v/>
      </c>
      <c r="D126">
        <f>IF($X126="","",INDEX(합계표[직위(요약)],$X126)&amp;"")</f>
        <v/>
      </c>
      <c r="E126">
        <f>IF($X126="","",INDEX(합계표[직급 공존],$X126)&amp;"")</f>
        <v/>
      </c>
      <c r="F126" s="20">
        <f>IF($X126="","",SUMIFS(합계표[시스템 합계],합계표[사번키],INDEX(합계표[사번키],$X126)))</f>
        <v/>
      </c>
      <c r="G126" s="20">
        <f>IF($X126="","",SUMIFS(상세표[기록 시간외],상세표[사번키],INDEX(합계표[사번키],$X126),상세표[기록월],대상월키))</f>
        <v/>
      </c>
      <c r="H126">
        <f>IF($X126="","",IF(ABS($F126-$G126)&lt;0.01,"일치","불일치(차이 "&amp;TEXT($G126-$F126,"0.00")&amp;")"))</f>
        <v/>
      </c>
      <c r="I126" s="20">
        <f>IF($X126="","",SUMIFS(상세표[기록 시간외],상세표[사번키],INDEX(합계표[사번키],$X126),상세표[기록월],대상월키,상세표[반영월],"&lt;&gt;"&amp;대상월키))</f>
        <v/>
      </c>
      <c r="J126" s="20">
        <f>IF($X126="","",SUMIFS(상세표[기록 시간외],상세표[사번키],INDEX(합계표[사번키],$X126),상세표[기록월],"&lt;&gt;"&amp;대상월키,상세표[반영월],대상월키))</f>
        <v/>
      </c>
      <c r="K126" s="20">
        <f>IF($X126="","",SUMIFS(상세표[기록 시간외],상세표[사번키],INDEX(합계표[사번키],$X126),상세표[반영월],대상월키))</f>
        <v/>
      </c>
      <c r="L126">
        <f>IF($X126="","",IFERROR(INDEX(월별근무지표[적용 급여병원],MATCH(INDEX(합계표[사번키],$X126)&amp;"|"&amp;대상월키,월별근무지표[키],0))&amp;"",IF(COUNTIF(기관표[사번키],INDEX(합계표[사번키],$X126))+COUNTIF(월별근무지표[사번키],INDEX(합계표[사번키],$X126))&gt;0,IFERROR(INDEX(기관표[급여지급병원(기준월)],MATCH(INDEX(합계표[사번키],$X126)&amp;"|"&amp;대상월키,기관표[키],0))&amp;"","—"),"—")))</f>
        <v/>
      </c>
      <c r="M126">
        <f>IF($X126="","",IF(NOT(COUNTIF(기관표[사번키],INDEX(합계표[사번키],$X126))+COUNTIF(월별근무지표[사번키],INDEX(합계표[사번키],$X126))&gt;0),"기관명단에 없음(다른 병원으로 발송)",IF($L126="서울병원","해당",IF(N($R126)&gt;0,"해당(말일 근무)",IF($L126="—","대상월 기관명단 없음(추가 필요)","비해당")))))</f>
        <v/>
      </c>
      <c r="N126" s="20">
        <f>IF($X126="","",SUMIFS(상세표[06~07시],상세표[사번키],INDEX(합계표[사번키],$X126),상세표[반영월],대상월키,상세표[반영 기관],"서울병원"))</f>
        <v/>
      </c>
      <c r="O126" s="20">
        <f>IF($X126="","",SUMIFS(상세표[07~18시],상세표[사번키],INDEX(합계표[사번키],$X126),상세표[반영월],대상월키,상세표[반영 기관],"서울병원"))</f>
        <v/>
      </c>
      <c r="P126" s="20">
        <f>IF($X126="","",SUMIFS(상세표[18~22시],상세표[사번키],INDEX(합계표[사번키],$X126),상세표[반영월],대상월키,상세표[반영 기관],"서울병원"))</f>
        <v/>
      </c>
      <c r="Q126" s="20">
        <f>IF($X126="","",SUMIFS(상세표[22~06시],상세표[사번키],INDEX(합계표[사번키],$X126),상세표[반영월],대상월키,상세표[반영 기관],"서울병원"))</f>
        <v/>
      </c>
      <c r="R126" s="20">
        <f>IF($X126="","",SUM($N126:$Q126))</f>
        <v/>
      </c>
      <c r="S126">
        <f>IF($X126="","",COUNTIFS(상세표[사번키],INDEX(합계표[사번키],$X126),상세표[반영월],대상월키,상세표[야간당직],1,상세표[야간 구분],"평일"))</f>
        <v/>
      </c>
      <c r="T126">
        <f>IF($X126="","",COUNTIFS(상세표[사번키],INDEX(합계표[사번키],$X126),상세표[반영월],대상월키,상세표[야간당직],1,상세표[야간 구분],"휴일"))</f>
        <v/>
      </c>
      <c r="U126">
        <f>IF($X126="","",COUNTIFS(상세표[사번키],INDEX(합계표[사번키],$X126),상세표[반영월],대상월키,상세표[야간당직],1,상세표[야간 구분],"평일",상세표[반영 기관],"서울병원"))</f>
        <v/>
      </c>
      <c r="V126">
        <f>IF($X126="","",COUNTIFS(상세표[사번키],INDEX(합계표[사번키],$X126),상세표[반영월],대상월키,상세표[야간당직],1,상세표[야간 구분],"휴일",상세표[반영 기관],"서울병원"))</f>
        <v/>
      </c>
      <c r="W126">
        <f>IF($X126="","",IF(ISNUMBER(MATCH(INDEX(합계표[사번키],$X126)&amp;"|"&amp;대상월키,월별근무지표[키],0)),"직접 입력",IF($L126="—","—","기관명단")))</f>
        <v/>
      </c>
      <c r="X126" s="4">
        <f>IFERROR(MATCH(121,합계표[판정순번],0),"")</f>
        <v/>
      </c>
      <c r="Z126">
        <f>IF($AC126="","",INDEX(상세표[사번],$AC126)&amp;"")</f>
        <v/>
      </c>
      <c r="AA126">
        <f>IF($AC126="","",INDEX(상세표[성명],$AC126)&amp;"")</f>
        <v/>
      </c>
      <c r="AB126" s="20">
        <f>IF($AC126="","",SUMIFS(상세표[기록 시간외],상세표[사번키],INDEX(상세표[사번키],$AC126),상세표[반영월],대상월키))</f>
        <v/>
      </c>
      <c r="AC126" s="4">
        <f>IFERROR(MATCH(121,상세표[합계없음순번],0),"")</f>
        <v/>
      </c>
    </row>
    <row r="127">
      <c r="A127">
        <f>IF($X127="","",INDEX(합계표[사번],$X127)&amp;"")</f>
        <v/>
      </c>
      <c r="B127">
        <f>IF($X127="","",INDEX(합계표[성명],$X127)&amp;"")</f>
        <v/>
      </c>
      <c r="C127">
        <f>IF($X127="","",INDEX(합계표[부서],$X127)&amp;"")</f>
        <v/>
      </c>
      <c r="D127">
        <f>IF($X127="","",INDEX(합계표[직위(요약)],$X127)&amp;"")</f>
        <v/>
      </c>
      <c r="E127">
        <f>IF($X127="","",INDEX(합계표[직급 공존],$X127)&amp;"")</f>
        <v/>
      </c>
      <c r="F127" s="20">
        <f>IF($X127="","",SUMIFS(합계표[시스템 합계],합계표[사번키],INDEX(합계표[사번키],$X127)))</f>
        <v/>
      </c>
      <c r="G127" s="20">
        <f>IF($X127="","",SUMIFS(상세표[기록 시간외],상세표[사번키],INDEX(합계표[사번키],$X127),상세표[기록월],대상월키))</f>
        <v/>
      </c>
      <c r="H127">
        <f>IF($X127="","",IF(ABS($F127-$G127)&lt;0.01,"일치","불일치(차이 "&amp;TEXT($G127-$F127,"0.00")&amp;")"))</f>
        <v/>
      </c>
      <c r="I127" s="20">
        <f>IF($X127="","",SUMIFS(상세표[기록 시간외],상세표[사번키],INDEX(합계표[사번키],$X127),상세표[기록월],대상월키,상세표[반영월],"&lt;&gt;"&amp;대상월키))</f>
        <v/>
      </c>
      <c r="J127" s="20">
        <f>IF($X127="","",SUMIFS(상세표[기록 시간외],상세표[사번키],INDEX(합계표[사번키],$X127),상세표[기록월],"&lt;&gt;"&amp;대상월키,상세표[반영월],대상월키))</f>
        <v/>
      </c>
      <c r="K127" s="20">
        <f>IF($X127="","",SUMIFS(상세표[기록 시간외],상세표[사번키],INDEX(합계표[사번키],$X127),상세표[반영월],대상월키))</f>
        <v/>
      </c>
      <c r="L127">
        <f>IF($X127="","",IFERROR(INDEX(월별근무지표[적용 급여병원],MATCH(INDEX(합계표[사번키],$X127)&amp;"|"&amp;대상월키,월별근무지표[키],0))&amp;"",IF(COUNTIF(기관표[사번키],INDEX(합계표[사번키],$X127))+COUNTIF(월별근무지표[사번키],INDEX(합계표[사번키],$X127))&gt;0,IFERROR(INDEX(기관표[급여지급병원(기준월)],MATCH(INDEX(합계표[사번키],$X127)&amp;"|"&amp;대상월키,기관표[키],0))&amp;"","—"),"—")))</f>
        <v/>
      </c>
      <c r="M127">
        <f>IF($X127="","",IF(NOT(COUNTIF(기관표[사번키],INDEX(합계표[사번키],$X127))+COUNTIF(월별근무지표[사번키],INDEX(합계표[사번키],$X127))&gt;0),"기관명단에 없음(다른 병원으로 발송)",IF($L127="서울병원","해당",IF(N($R127)&gt;0,"해당(말일 근무)",IF($L127="—","대상월 기관명단 없음(추가 필요)","비해당")))))</f>
        <v/>
      </c>
      <c r="N127" s="20">
        <f>IF($X127="","",SUMIFS(상세표[06~07시],상세표[사번키],INDEX(합계표[사번키],$X127),상세표[반영월],대상월키,상세표[반영 기관],"서울병원"))</f>
        <v/>
      </c>
      <c r="O127" s="20">
        <f>IF($X127="","",SUMIFS(상세표[07~18시],상세표[사번키],INDEX(합계표[사번키],$X127),상세표[반영월],대상월키,상세표[반영 기관],"서울병원"))</f>
        <v/>
      </c>
      <c r="P127" s="20">
        <f>IF($X127="","",SUMIFS(상세표[18~22시],상세표[사번키],INDEX(합계표[사번키],$X127),상세표[반영월],대상월키,상세표[반영 기관],"서울병원"))</f>
        <v/>
      </c>
      <c r="Q127" s="20">
        <f>IF($X127="","",SUMIFS(상세표[22~06시],상세표[사번키],INDEX(합계표[사번키],$X127),상세표[반영월],대상월키,상세표[반영 기관],"서울병원"))</f>
        <v/>
      </c>
      <c r="R127" s="20">
        <f>IF($X127="","",SUM($N127:$Q127))</f>
        <v/>
      </c>
      <c r="S127">
        <f>IF($X127="","",COUNTIFS(상세표[사번키],INDEX(합계표[사번키],$X127),상세표[반영월],대상월키,상세표[야간당직],1,상세표[야간 구분],"평일"))</f>
        <v/>
      </c>
      <c r="T127">
        <f>IF($X127="","",COUNTIFS(상세표[사번키],INDEX(합계표[사번키],$X127),상세표[반영월],대상월키,상세표[야간당직],1,상세표[야간 구분],"휴일"))</f>
        <v/>
      </c>
      <c r="U127">
        <f>IF($X127="","",COUNTIFS(상세표[사번키],INDEX(합계표[사번키],$X127),상세표[반영월],대상월키,상세표[야간당직],1,상세표[야간 구분],"평일",상세표[반영 기관],"서울병원"))</f>
        <v/>
      </c>
      <c r="V127">
        <f>IF($X127="","",COUNTIFS(상세표[사번키],INDEX(합계표[사번키],$X127),상세표[반영월],대상월키,상세표[야간당직],1,상세표[야간 구분],"휴일",상세표[반영 기관],"서울병원"))</f>
        <v/>
      </c>
      <c r="W127">
        <f>IF($X127="","",IF(ISNUMBER(MATCH(INDEX(합계표[사번키],$X127)&amp;"|"&amp;대상월키,월별근무지표[키],0)),"직접 입력",IF($L127="—","—","기관명단")))</f>
        <v/>
      </c>
      <c r="X127" s="4">
        <f>IFERROR(MATCH(122,합계표[판정순번],0),"")</f>
        <v/>
      </c>
      <c r="Z127">
        <f>IF($AC127="","",INDEX(상세표[사번],$AC127)&amp;"")</f>
        <v/>
      </c>
      <c r="AA127">
        <f>IF($AC127="","",INDEX(상세표[성명],$AC127)&amp;"")</f>
        <v/>
      </c>
      <c r="AB127" s="20">
        <f>IF($AC127="","",SUMIFS(상세표[기록 시간외],상세표[사번키],INDEX(상세표[사번키],$AC127),상세표[반영월],대상월키))</f>
        <v/>
      </c>
      <c r="AC127" s="4">
        <f>IFERROR(MATCH(122,상세표[합계없음순번],0),"")</f>
        <v/>
      </c>
    </row>
    <row r="128">
      <c r="A128">
        <f>IF($X128="","",INDEX(합계표[사번],$X128)&amp;"")</f>
        <v/>
      </c>
      <c r="B128">
        <f>IF($X128="","",INDEX(합계표[성명],$X128)&amp;"")</f>
        <v/>
      </c>
      <c r="C128">
        <f>IF($X128="","",INDEX(합계표[부서],$X128)&amp;"")</f>
        <v/>
      </c>
      <c r="D128">
        <f>IF($X128="","",INDEX(합계표[직위(요약)],$X128)&amp;"")</f>
        <v/>
      </c>
      <c r="E128">
        <f>IF($X128="","",INDEX(합계표[직급 공존],$X128)&amp;"")</f>
        <v/>
      </c>
      <c r="F128" s="20">
        <f>IF($X128="","",SUMIFS(합계표[시스템 합계],합계표[사번키],INDEX(합계표[사번키],$X128)))</f>
        <v/>
      </c>
      <c r="G128" s="20">
        <f>IF($X128="","",SUMIFS(상세표[기록 시간외],상세표[사번키],INDEX(합계표[사번키],$X128),상세표[기록월],대상월키))</f>
        <v/>
      </c>
      <c r="H128">
        <f>IF($X128="","",IF(ABS($F128-$G128)&lt;0.01,"일치","불일치(차이 "&amp;TEXT($G128-$F128,"0.00")&amp;")"))</f>
        <v/>
      </c>
      <c r="I128" s="20">
        <f>IF($X128="","",SUMIFS(상세표[기록 시간외],상세표[사번키],INDEX(합계표[사번키],$X128),상세표[기록월],대상월키,상세표[반영월],"&lt;&gt;"&amp;대상월키))</f>
        <v/>
      </c>
      <c r="J128" s="20">
        <f>IF($X128="","",SUMIFS(상세표[기록 시간외],상세표[사번키],INDEX(합계표[사번키],$X128),상세표[기록월],"&lt;&gt;"&amp;대상월키,상세표[반영월],대상월키))</f>
        <v/>
      </c>
      <c r="K128" s="20">
        <f>IF($X128="","",SUMIFS(상세표[기록 시간외],상세표[사번키],INDEX(합계표[사번키],$X128),상세표[반영월],대상월키))</f>
        <v/>
      </c>
      <c r="L128">
        <f>IF($X128="","",IFERROR(INDEX(월별근무지표[적용 급여병원],MATCH(INDEX(합계표[사번키],$X128)&amp;"|"&amp;대상월키,월별근무지표[키],0))&amp;"",IF(COUNTIF(기관표[사번키],INDEX(합계표[사번키],$X128))+COUNTIF(월별근무지표[사번키],INDEX(합계표[사번키],$X128))&gt;0,IFERROR(INDEX(기관표[급여지급병원(기준월)],MATCH(INDEX(합계표[사번키],$X128)&amp;"|"&amp;대상월키,기관표[키],0))&amp;"","—"),"—")))</f>
        <v/>
      </c>
      <c r="M128">
        <f>IF($X128="","",IF(NOT(COUNTIF(기관표[사번키],INDEX(합계표[사번키],$X128))+COUNTIF(월별근무지표[사번키],INDEX(합계표[사번키],$X128))&gt;0),"기관명단에 없음(다른 병원으로 발송)",IF($L128="서울병원","해당",IF(N($R128)&gt;0,"해당(말일 근무)",IF($L128="—","대상월 기관명단 없음(추가 필요)","비해당")))))</f>
        <v/>
      </c>
      <c r="N128" s="20">
        <f>IF($X128="","",SUMIFS(상세표[06~07시],상세표[사번키],INDEX(합계표[사번키],$X128),상세표[반영월],대상월키,상세표[반영 기관],"서울병원"))</f>
        <v/>
      </c>
      <c r="O128" s="20">
        <f>IF($X128="","",SUMIFS(상세표[07~18시],상세표[사번키],INDEX(합계표[사번키],$X128),상세표[반영월],대상월키,상세표[반영 기관],"서울병원"))</f>
        <v/>
      </c>
      <c r="P128" s="20">
        <f>IF($X128="","",SUMIFS(상세표[18~22시],상세표[사번키],INDEX(합계표[사번키],$X128),상세표[반영월],대상월키,상세표[반영 기관],"서울병원"))</f>
        <v/>
      </c>
      <c r="Q128" s="20">
        <f>IF($X128="","",SUMIFS(상세표[22~06시],상세표[사번키],INDEX(합계표[사번키],$X128),상세표[반영월],대상월키,상세표[반영 기관],"서울병원"))</f>
        <v/>
      </c>
      <c r="R128" s="20">
        <f>IF($X128="","",SUM($N128:$Q128))</f>
        <v/>
      </c>
      <c r="S128">
        <f>IF($X128="","",COUNTIFS(상세표[사번키],INDEX(합계표[사번키],$X128),상세표[반영월],대상월키,상세표[야간당직],1,상세표[야간 구분],"평일"))</f>
        <v/>
      </c>
      <c r="T128">
        <f>IF($X128="","",COUNTIFS(상세표[사번키],INDEX(합계표[사번키],$X128),상세표[반영월],대상월키,상세표[야간당직],1,상세표[야간 구분],"휴일"))</f>
        <v/>
      </c>
      <c r="U128">
        <f>IF($X128="","",COUNTIFS(상세표[사번키],INDEX(합계표[사번키],$X128),상세표[반영월],대상월키,상세표[야간당직],1,상세표[야간 구분],"평일",상세표[반영 기관],"서울병원"))</f>
        <v/>
      </c>
      <c r="V128">
        <f>IF($X128="","",COUNTIFS(상세표[사번키],INDEX(합계표[사번키],$X128),상세표[반영월],대상월키,상세표[야간당직],1,상세표[야간 구분],"휴일",상세표[반영 기관],"서울병원"))</f>
        <v/>
      </c>
      <c r="W128">
        <f>IF($X128="","",IF(ISNUMBER(MATCH(INDEX(합계표[사번키],$X128)&amp;"|"&amp;대상월키,월별근무지표[키],0)),"직접 입력",IF($L128="—","—","기관명단")))</f>
        <v/>
      </c>
      <c r="X128" s="4">
        <f>IFERROR(MATCH(123,합계표[판정순번],0),"")</f>
        <v/>
      </c>
      <c r="Z128">
        <f>IF($AC128="","",INDEX(상세표[사번],$AC128)&amp;"")</f>
        <v/>
      </c>
      <c r="AA128">
        <f>IF($AC128="","",INDEX(상세표[성명],$AC128)&amp;"")</f>
        <v/>
      </c>
      <c r="AB128" s="20">
        <f>IF($AC128="","",SUMIFS(상세표[기록 시간외],상세표[사번키],INDEX(상세표[사번키],$AC128),상세표[반영월],대상월키))</f>
        <v/>
      </c>
      <c r="AC128" s="4">
        <f>IFERROR(MATCH(123,상세표[합계없음순번],0),"")</f>
        <v/>
      </c>
    </row>
    <row r="129">
      <c r="A129">
        <f>IF($X129="","",INDEX(합계표[사번],$X129)&amp;"")</f>
        <v/>
      </c>
      <c r="B129">
        <f>IF($X129="","",INDEX(합계표[성명],$X129)&amp;"")</f>
        <v/>
      </c>
      <c r="C129">
        <f>IF($X129="","",INDEX(합계표[부서],$X129)&amp;"")</f>
        <v/>
      </c>
      <c r="D129">
        <f>IF($X129="","",INDEX(합계표[직위(요약)],$X129)&amp;"")</f>
        <v/>
      </c>
      <c r="E129">
        <f>IF($X129="","",INDEX(합계표[직급 공존],$X129)&amp;"")</f>
        <v/>
      </c>
      <c r="F129" s="20">
        <f>IF($X129="","",SUMIFS(합계표[시스템 합계],합계표[사번키],INDEX(합계표[사번키],$X129)))</f>
        <v/>
      </c>
      <c r="G129" s="20">
        <f>IF($X129="","",SUMIFS(상세표[기록 시간외],상세표[사번키],INDEX(합계표[사번키],$X129),상세표[기록월],대상월키))</f>
        <v/>
      </c>
      <c r="H129">
        <f>IF($X129="","",IF(ABS($F129-$G129)&lt;0.01,"일치","불일치(차이 "&amp;TEXT($G129-$F129,"0.00")&amp;")"))</f>
        <v/>
      </c>
      <c r="I129" s="20">
        <f>IF($X129="","",SUMIFS(상세표[기록 시간외],상세표[사번키],INDEX(합계표[사번키],$X129),상세표[기록월],대상월키,상세표[반영월],"&lt;&gt;"&amp;대상월키))</f>
        <v/>
      </c>
      <c r="J129" s="20">
        <f>IF($X129="","",SUMIFS(상세표[기록 시간외],상세표[사번키],INDEX(합계표[사번키],$X129),상세표[기록월],"&lt;&gt;"&amp;대상월키,상세표[반영월],대상월키))</f>
        <v/>
      </c>
      <c r="K129" s="20">
        <f>IF($X129="","",SUMIFS(상세표[기록 시간외],상세표[사번키],INDEX(합계표[사번키],$X129),상세표[반영월],대상월키))</f>
        <v/>
      </c>
      <c r="L129">
        <f>IF($X129="","",IFERROR(INDEX(월별근무지표[적용 급여병원],MATCH(INDEX(합계표[사번키],$X129)&amp;"|"&amp;대상월키,월별근무지표[키],0))&amp;"",IF(COUNTIF(기관표[사번키],INDEX(합계표[사번키],$X129))+COUNTIF(월별근무지표[사번키],INDEX(합계표[사번키],$X129))&gt;0,IFERROR(INDEX(기관표[급여지급병원(기준월)],MATCH(INDEX(합계표[사번키],$X129)&amp;"|"&amp;대상월키,기관표[키],0))&amp;"","—"),"—")))</f>
        <v/>
      </c>
      <c r="M129">
        <f>IF($X129="","",IF(NOT(COUNTIF(기관표[사번키],INDEX(합계표[사번키],$X129))+COUNTIF(월별근무지표[사번키],INDEX(합계표[사번키],$X129))&gt;0),"기관명단에 없음(다른 병원으로 발송)",IF($L129="서울병원","해당",IF(N($R129)&gt;0,"해당(말일 근무)",IF($L129="—","대상월 기관명단 없음(추가 필요)","비해당")))))</f>
        <v/>
      </c>
      <c r="N129" s="20">
        <f>IF($X129="","",SUMIFS(상세표[06~07시],상세표[사번키],INDEX(합계표[사번키],$X129),상세표[반영월],대상월키,상세표[반영 기관],"서울병원"))</f>
        <v/>
      </c>
      <c r="O129" s="20">
        <f>IF($X129="","",SUMIFS(상세표[07~18시],상세표[사번키],INDEX(합계표[사번키],$X129),상세표[반영월],대상월키,상세표[반영 기관],"서울병원"))</f>
        <v/>
      </c>
      <c r="P129" s="20">
        <f>IF($X129="","",SUMIFS(상세표[18~22시],상세표[사번키],INDEX(합계표[사번키],$X129),상세표[반영월],대상월키,상세표[반영 기관],"서울병원"))</f>
        <v/>
      </c>
      <c r="Q129" s="20">
        <f>IF($X129="","",SUMIFS(상세표[22~06시],상세표[사번키],INDEX(합계표[사번키],$X129),상세표[반영월],대상월키,상세표[반영 기관],"서울병원"))</f>
        <v/>
      </c>
      <c r="R129" s="20">
        <f>IF($X129="","",SUM($N129:$Q129))</f>
        <v/>
      </c>
      <c r="S129">
        <f>IF($X129="","",COUNTIFS(상세표[사번키],INDEX(합계표[사번키],$X129),상세표[반영월],대상월키,상세표[야간당직],1,상세표[야간 구분],"평일"))</f>
        <v/>
      </c>
      <c r="T129">
        <f>IF($X129="","",COUNTIFS(상세표[사번키],INDEX(합계표[사번키],$X129),상세표[반영월],대상월키,상세표[야간당직],1,상세표[야간 구분],"휴일"))</f>
        <v/>
      </c>
      <c r="U129">
        <f>IF($X129="","",COUNTIFS(상세표[사번키],INDEX(합계표[사번키],$X129),상세표[반영월],대상월키,상세표[야간당직],1,상세표[야간 구분],"평일",상세표[반영 기관],"서울병원"))</f>
        <v/>
      </c>
      <c r="V129">
        <f>IF($X129="","",COUNTIFS(상세표[사번키],INDEX(합계표[사번키],$X129),상세표[반영월],대상월키,상세표[야간당직],1,상세표[야간 구분],"휴일",상세표[반영 기관],"서울병원"))</f>
        <v/>
      </c>
      <c r="W129">
        <f>IF($X129="","",IF(ISNUMBER(MATCH(INDEX(합계표[사번키],$X129)&amp;"|"&amp;대상월키,월별근무지표[키],0)),"직접 입력",IF($L129="—","—","기관명단")))</f>
        <v/>
      </c>
      <c r="X129" s="4">
        <f>IFERROR(MATCH(124,합계표[판정순번],0),"")</f>
        <v/>
      </c>
      <c r="Z129">
        <f>IF($AC129="","",INDEX(상세표[사번],$AC129)&amp;"")</f>
        <v/>
      </c>
      <c r="AA129">
        <f>IF($AC129="","",INDEX(상세표[성명],$AC129)&amp;"")</f>
        <v/>
      </c>
      <c r="AB129" s="20">
        <f>IF($AC129="","",SUMIFS(상세표[기록 시간외],상세표[사번키],INDEX(상세표[사번키],$AC129),상세표[반영월],대상월키))</f>
        <v/>
      </c>
      <c r="AC129" s="4">
        <f>IFERROR(MATCH(124,상세표[합계없음순번],0),"")</f>
        <v/>
      </c>
    </row>
    <row r="130">
      <c r="A130">
        <f>IF($X130="","",INDEX(합계표[사번],$X130)&amp;"")</f>
        <v/>
      </c>
      <c r="B130">
        <f>IF($X130="","",INDEX(합계표[성명],$X130)&amp;"")</f>
        <v/>
      </c>
      <c r="C130">
        <f>IF($X130="","",INDEX(합계표[부서],$X130)&amp;"")</f>
        <v/>
      </c>
      <c r="D130">
        <f>IF($X130="","",INDEX(합계표[직위(요약)],$X130)&amp;"")</f>
        <v/>
      </c>
      <c r="E130">
        <f>IF($X130="","",INDEX(합계표[직급 공존],$X130)&amp;"")</f>
        <v/>
      </c>
      <c r="F130" s="20">
        <f>IF($X130="","",SUMIFS(합계표[시스템 합계],합계표[사번키],INDEX(합계표[사번키],$X130)))</f>
        <v/>
      </c>
      <c r="G130" s="20">
        <f>IF($X130="","",SUMIFS(상세표[기록 시간외],상세표[사번키],INDEX(합계표[사번키],$X130),상세표[기록월],대상월키))</f>
        <v/>
      </c>
      <c r="H130">
        <f>IF($X130="","",IF(ABS($F130-$G130)&lt;0.01,"일치","불일치(차이 "&amp;TEXT($G130-$F130,"0.00")&amp;")"))</f>
        <v/>
      </c>
      <c r="I130" s="20">
        <f>IF($X130="","",SUMIFS(상세표[기록 시간외],상세표[사번키],INDEX(합계표[사번키],$X130),상세표[기록월],대상월키,상세표[반영월],"&lt;&gt;"&amp;대상월키))</f>
        <v/>
      </c>
      <c r="J130" s="20">
        <f>IF($X130="","",SUMIFS(상세표[기록 시간외],상세표[사번키],INDEX(합계표[사번키],$X130),상세표[기록월],"&lt;&gt;"&amp;대상월키,상세표[반영월],대상월키))</f>
        <v/>
      </c>
      <c r="K130" s="20">
        <f>IF($X130="","",SUMIFS(상세표[기록 시간외],상세표[사번키],INDEX(합계표[사번키],$X130),상세표[반영월],대상월키))</f>
        <v/>
      </c>
      <c r="L130">
        <f>IF($X130="","",IFERROR(INDEX(월별근무지표[적용 급여병원],MATCH(INDEX(합계표[사번키],$X130)&amp;"|"&amp;대상월키,월별근무지표[키],0))&amp;"",IF(COUNTIF(기관표[사번키],INDEX(합계표[사번키],$X130))+COUNTIF(월별근무지표[사번키],INDEX(합계표[사번키],$X130))&gt;0,IFERROR(INDEX(기관표[급여지급병원(기준월)],MATCH(INDEX(합계표[사번키],$X130)&amp;"|"&amp;대상월키,기관표[키],0))&amp;"","—"),"—")))</f>
        <v/>
      </c>
      <c r="M130">
        <f>IF($X130="","",IF(NOT(COUNTIF(기관표[사번키],INDEX(합계표[사번키],$X130))+COUNTIF(월별근무지표[사번키],INDEX(합계표[사번키],$X130))&gt;0),"기관명단에 없음(다른 병원으로 발송)",IF($L130="서울병원","해당",IF(N($R130)&gt;0,"해당(말일 근무)",IF($L130="—","대상월 기관명단 없음(추가 필요)","비해당")))))</f>
        <v/>
      </c>
      <c r="N130" s="20">
        <f>IF($X130="","",SUMIFS(상세표[06~07시],상세표[사번키],INDEX(합계표[사번키],$X130),상세표[반영월],대상월키,상세표[반영 기관],"서울병원"))</f>
        <v/>
      </c>
      <c r="O130" s="20">
        <f>IF($X130="","",SUMIFS(상세표[07~18시],상세표[사번키],INDEX(합계표[사번키],$X130),상세표[반영월],대상월키,상세표[반영 기관],"서울병원"))</f>
        <v/>
      </c>
      <c r="P130" s="20">
        <f>IF($X130="","",SUMIFS(상세표[18~22시],상세표[사번키],INDEX(합계표[사번키],$X130),상세표[반영월],대상월키,상세표[반영 기관],"서울병원"))</f>
        <v/>
      </c>
      <c r="Q130" s="20">
        <f>IF($X130="","",SUMIFS(상세표[22~06시],상세표[사번키],INDEX(합계표[사번키],$X130),상세표[반영월],대상월키,상세표[반영 기관],"서울병원"))</f>
        <v/>
      </c>
      <c r="R130" s="20">
        <f>IF($X130="","",SUM($N130:$Q130))</f>
        <v/>
      </c>
      <c r="S130">
        <f>IF($X130="","",COUNTIFS(상세표[사번키],INDEX(합계표[사번키],$X130),상세표[반영월],대상월키,상세표[야간당직],1,상세표[야간 구분],"평일"))</f>
        <v/>
      </c>
      <c r="T130">
        <f>IF($X130="","",COUNTIFS(상세표[사번키],INDEX(합계표[사번키],$X130),상세표[반영월],대상월키,상세표[야간당직],1,상세표[야간 구분],"휴일"))</f>
        <v/>
      </c>
      <c r="U130">
        <f>IF($X130="","",COUNTIFS(상세표[사번키],INDEX(합계표[사번키],$X130),상세표[반영월],대상월키,상세표[야간당직],1,상세표[야간 구분],"평일",상세표[반영 기관],"서울병원"))</f>
        <v/>
      </c>
      <c r="V130">
        <f>IF($X130="","",COUNTIFS(상세표[사번키],INDEX(합계표[사번키],$X130),상세표[반영월],대상월키,상세표[야간당직],1,상세표[야간 구분],"휴일",상세표[반영 기관],"서울병원"))</f>
        <v/>
      </c>
      <c r="W130">
        <f>IF($X130="","",IF(ISNUMBER(MATCH(INDEX(합계표[사번키],$X130)&amp;"|"&amp;대상월키,월별근무지표[키],0)),"직접 입력",IF($L130="—","—","기관명단")))</f>
        <v/>
      </c>
      <c r="X130" s="4">
        <f>IFERROR(MATCH(125,합계표[판정순번],0),"")</f>
        <v/>
      </c>
      <c r="Z130">
        <f>IF($AC130="","",INDEX(상세표[사번],$AC130)&amp;"")</f>
        <v/>
      </c>
      <c r="AA130">
        <f>IF($AC130="","",INDEX(상세표[성명],$AC130)&amp;"")</f>
        <v/>
      </c>
      <c r="AB130" s="20">
        <f>IF($AC130="","",SUMIFS(상세표[기록 시간외],상세표[사번키],INDEX(상세표[사번키],$AC130),상세표[반영월],대상월키))</f>
        <v/>
      </c>
      <c r="AC130" s="4">
        <f>IFERROR(MATCH(125,상세표[합계없음순번],0),"")</f>
        <v/>
      </c>
    </row>
    <row r="131">
      <c r="A131">
        <f>IF($X131="","",INDEX(합계표[사번],$X131)&amp;"")</f>
        <v/>
      </c>
      <c r="B131">
        <f>IF($X131="","",INDEX(합계표[성명],$X131)&amp;"")</f>
        <v/>
      </c>
      <c r="C131">
        <f>IF($X131="","",INDEX(합계표[부서],$X131)&amp;"")</f>
        <v/>
      </c>
      <c r="D131">
        <f>IF($X131="","",INDEX(합계표[직위(요약)],$X131)&amp;"")</f>
        <v/>
      </c>
      <c r="E131">
        <f>IF($X131="","",INDEX(합계표[직급 공존],$X131)&amp;"")</f>
        <v/>
      </c>
      <c r="F131" s="20">
        <f>IF($X131="","",SUMIFS(합계표[시스템 합계],합계표[사번키],INDEX(합계표[사번키],$X131)))</f>
        <v/>
      </c>
      <c r="G131" s="20">
        <f>IF($X131="","",SUMIFS(상세표[기록 시간외],상세표[사번키],INDEX(합계표[사번키],$X131),상세표[기록월],대상월키))</f>
        <v/>
      </c>
      <c r="H131">
        <f>IF($X131="","",IF(ABS($F131-$G131)&lt;0.01,"일치","불일치(차이 "&amp;TEXT($G131-$F131,"0.00")&amp;")"))</f>
        <v/>
      </c>
      <c r="I131" s="20">
        <f>IF($X131="","",SUMIFS(상세표[기록 시간외],상세표[사번키],INDEX(합계표[사번키],$X131),상세표[기록월],대상월키,상세표[반영월],"&lt;&gt;"&amp;대상월키))</f>
        <v/>
      </c>
      <c r="J131" s="20">
        <f>IF($X131="","",SUMIFS(상세표[기록 시간외],상세표[사번키],INDEX(합계표[사번키],$X131),상세표[기록월],"&lt;&gt;"&amp;대상월키,상세표[반영월],대상월키))</f>
        <v/>
      </c>
      <c r="K131" s="20">
        <f>IF($X131="","",SUMIFS(상세표[기록 시간외],상세표[사번키],INDEX(합계표[사번키],$X131),상세표[반영월],대상월키))</f>
        <v/>
      </c>
      <c r="L131">
        <f>IF($X131="","",IFERROR(INDEX(월별근무지표[적용 급여병원],MATCH(INDEX(합계표[사번키],$X131)&amp;"|"&amp;대상월키,월별근무지표[키],0))&amp;"",IF(COUNTIF(기관표[사번키],INDEX(합계표[사번키],$X131))+COUNTIF(월별근무지표[사번키],INDEX(합계표[사번키],$X131))&gt;0,IFERROR(INDEX(기관표[급여지급병원(기준월)],MATCH(INDEX(합계표[사번키],$X131)&amp;"|"&amp;대상월키,기관표[키],0))&amp;"","—"),"—")))</f>
        <v/>
      </c>
      <c r="M131">
        <f>IF($X131="","",IF(NOT(COUNTIF(기관표[사번키],INDEX(합계표[사번키],$X131))+COUNTIF(월별근무지표[사번키],INDEX(합계표[사번키],$X131))&gt;0),"기관명단에 없음(다른 병원으로 발송)",IF($L131="서울병원","해당",IF(N($R131)&gt;0,"해당(말일 근무)",IF($L131="—","대상월 기관명단 없음(추가 필요)","비해당")))))</f>
        <v/>
      </c>
      <c r="N131" s="20">
        <f>IF($X131="","",SUMIFS(상세표[06~07시],상세표[사번키],INDEX(합계표[사번키],$X131),상세표[반영월],대상월키,상세표[반영 기관],"서울병원"))</f>
        <v/>
      </c>
      <c r="O131" s="20">
        <f>IF($X131="","",SUMIFS(상세표[07~18시],상세표[사번키],INDEX(합계표[사번키],$X131),상세표[반영월],대상월키,상세표[반영 기관],"서울병원"))</f>
        <v/>
      </c>
      <c r="P131" s="20">
        <f>IF($X131="","",SUMIFS(상세표[18~22시],상세표[사번키],INDEX(합계표[사번키],$X131),상세표[반영월],대상월키,상세표[반영 기관],"서울병원"))</f>
        <v/>
      </c>
      <c r="Q131" s="20">
        <f>IF($X131="","",SUMIFS(상세표[22~06시],상세표[사번키],INDEX(합계표[사번키],$X131),상세표[반영월],대상월키,상세표[반영 기관],"서울병원"))</f>
        <v/>
      </c>
      <c r="R131" s="20">
        <f>IF($X131="","",SUM($N131:$Q131))</f>
        <v/>
      </c>
      <c r="S131">
        <f>IF($X131="","",COUNTIFS(상세표[사번키],INDEX(합계표[사번키],$X131),상세표[반영월],대상월키,상세표[야간당직],1,상세표[야간 구분],"평일"))</f>
        <v/>
      </c>
      <c r="T131">
        <f>IF($X131="","",COUNTIFS(상세표[사번키],INDEX(합계표[사번키],$X131),상세표[반영월],대상월키,상세표[야간당직],1,상세표[야간 구분],"휴일"))</f>
        <v/>
      </c>
      <c r="U131">
        <f>IF($X131="","",COUNTIFS(상세표[사번키],INDEX(합계표[사번키],$X131),상세표[반영월],대상월키,상세표[야간당직],1,상세표[야간 구분],"평일",상세표[반영 기관],"서울병원"))</f>
        <v/>
      </c>
      <c r="V131">
        <f>IF($X131="","",COUNTIFS(상세표[사번키],INDEX(합계표[사번키],$X131),상세표[반영월],대상월키,상세표[야간당직],1,상세표[야간 구분],"휴일",상세표[반영 기관],"서울병원"))</f>
        <v/>
      </c>
      <c r="W131">
        <f>IF($X131="","",IF(ISNUMBER(MATCH(INDEX(합계표[사번키],$X131)&amp;"|"&amp;대상월키,월별근무지표[키],0)),"직접 입력",IF($L131="—","—","기관명단")))</f>
        <v/>
      </c>
      <c r="X131" s="4">
        <f>IFERROR(MATCH(126,합계표[판정순번],0),"")</f>
        <v/>
      </c>
      <c r="Z131">
        <f>IF($AC131="","",INDEX(상세표[사번],$AC131)&amp;"")</f>
        <v/>
      </c>
      <c r="AA131">
        <f>IF($AC131="","",INDEX(상세표[성명],$AC131)&amp;"")</f>
        <v/>
      </c>
      <c r="AB131" s="20">
        <f>IF($AC131="","",SUMIFS(상세표[기록 시간외],상세표[사번키],INDEX(상세표[사번키],$AC131),상세표[반영월],대상월키))</f>
        <v/>
      </c>
      <c r="AC131" s="4">
        <f>IFERROR(MATCH(126,상세표[합계없음순번],0),"")</f>
        <v/>
      </c>
    </row>
    <row r="132">
      <c r="A132">
        <f>IF($X132="","",INDEX(합계표[사번],$X132)&amp;"")</f>
        <v/>
      </c>
      <c r="B132">
        <f>IF($X132="","",INDEX(합계표[성명],$X132)&amp;"")</f>
        <v/>
      </c>
      <c r="C132">
        <f>IF($X132="","",INDEX(합계표[부서],$X132)&amp;"")</f>
        <v/>
      </c>
      <c r="D132">
        <f>IF($X132="","",INDEX(합계표[직위(요약)],$X132)&amp;"")</f>
        <v/>
      </c>
      <c r="E132">
        <f>IF($X132="","",INDEX(합계표[직급 공존],$X132)&amp;"")</f>
        <v/>
      </c>
      <c r="F132" s="20">
        <f>IF($X132="","",SUMIFS(합계표[시스템 합계],합계표[사번키],INDEX(합계표[사번키],$X132)))</f>
        <v/>
      </c>
      <c r="G132" s="20">
        <f>IF($X132="","",SUMIFS(상세표[기록 시간외],상세표[사번키],INDEX(합계표[사번키],$X132),상세표[기록월],대상월키))</f>
        <v/>
      </c>
      <c r="H132">
        <f>IF($X132="","",IF(ABS($F132-$G132)&lt;0.01,"일치","불일치(차이 "&amp;TEXT($G132-$F132,"0.00")&amp;")"))</f>
        <v/>
      </c>
      <c r="I132" s="20">
        <f>IF($X132="","",SUMIFS(상세표[기록 시간외],상세표[사번키],INDEX(합계표[사번키],$X132),상세표[기록월],대상월키,상세표[반영월],"&lt;&gt;"&amp;대상월키))</f>
        <v/>
      </c>
      <c r="J132" s="20">
        <f>IF($X132="","",SUMIFS(상세표[기록 시간외],상세표[사번키],INDEX(합계표[사번키],$X132),상세표[기록월],"&lt;&gt;"&amp;대상월키,상세표[반영월],대상월키))</f>
        <v/>
      </c>
      <c r="K132" s="20">
        <f>IF($X132="","",SUMIFS(상세표[기록 시간외],상세표[사번키],INDEX(합계표[사번키],$X132),상세표[반영월],대상월키))</f>
        <v/>
      </c>
      <c r="L132">
        <f>IF($X132="","",IFERROR(INDEX(월별근무지표[적용 급여병원],MATCH(INDEX(합계표[사번키],$X132)&amp;"|"&amp;대상월키,월별근무지표[키],0))&amp;"",IF(COUNTIF(기관표[사번키],INDEX(합계표[사번키],$X132))+COUNTIF(월별근무지표[사번키],INDEX(합계표[사번키],$X132))&gt;0,IFERROR(INDEX(기관표[급여지급병원(기준월)],MATCH(INDEX(합계표[사번키],$X132)&amp;"|"&amp;대상월키,기관표[키],0))&amp;"","—"),"—")))</f>
        <v/>
      </c>
      <c r="M132">
        <f>IF($X132="","",IF(NOT(COUNTIF(기관표[사번키],INDEX(합계표[사번키],$X132))+COUNTIF(월별근무지표[사번키],INDEX(합계표[사번키],$X132))&gt;0),"기관명단에 없음(다른 병원으로 발송)",IF($L132="서울병원","해당",IF(N($R132)&gt;0,"해당(말일 근무)",IF($L132="—","대상월 기관명단 없음(추가 필요)","비해당")))))</f>
        <v/>
      </c>
      <c r="N132" s="20">
        <f>IF($X132="","",SUMIFS(상세표[06~07시],상세표[사번키],INDEX(합계표[사번키],$X132),상세표[반영월],대상월키,상세표[반영 기관],"서울병원"))</f>
        <v/>
      </c>
      <c r="O132" s="20">
        <f>IF($X132="","",SUMIFS(상세표[07~18시],상세표[사번키],INDEX(합계표[사번키],$X132),상세표[반영월],대상월키,상세표[반영 기관],"서울병원"))</f>
        <v/>
      </c>
      <c r="P132" s="20">
        <f>IF($X132="","",SUMIFS(상세표[18~22시],상세표[사번키],INDEX(합계표[사번키],$X132),상세표[반영월],대상월키,상세표[반영 기관],"서울병원"))</f>
        <v/>
      </c>
      <c r="Q132" s="20">
        <f>IF($X132="","",SUMIFS(상세표[22~06시],상세표[사번키],INDEX(합계표[사번키],$X132),상세표[반영월],대상월키,상세표[반영 기관],"서울병원"))</f>
        <v/>
      </c>
      <c r="R132" s="20">
        <f>IF($X132="","",SUM($N132:$Q132))</f>
        <v/>
      </c>
      <c r="S132">
        <f>IF($X132="","",COUNTIFS(상세표[사번키],INDEX(합계표[사번키],$X132),상세표[반영월],대상월키,상세표[야간당직],1,상세표[야간 구분],"평일"))</f>
        <v/>
      </c>
      <c r="T132">
        <f>IF($X132="","",COUNTIFS(상세표[사번키],INDEX(합계표[사번키],$X132),상세표[반영월],대상월키,상세표[야간당직],1,상세표[야간 구분],"휴일"))</f>
        <v/>
      </c>
      <c r="U132">
        <f>IF($X132="","",COUNTIFS(상세표[사번키],INDEX(합계표[사번키],$X132),상세표[반영월],대상월키,상세표[야간당직],1,상세표[야간 구분],"평일",상세표[반영 기관],"서울병원"))</f>
        <v/>
      </c>
      <c r="V132">
        <f>IF($X132="","",COUNTIFS(상세표[사번키],INDEX(합계표[사번키],$X132),상세표[반영월],대상월키,상세표[야간당직],1,상세표[야간 구분],"휴일",상세표[반영 기관],"서울병원"))</f>
        <v/>
      </c>
      <c r="W132">
        <f>IF($X132="","",IF(ISNUMBER(MATCH(INDEX(합계표[사번키],$X132)&amp;"|"&amp;대상월키,월별근무지표[키],0)),"직접 입력",IF($L132="—","—","기관명단")))</f>
        <v/>
      </c>
      <c r="X132" s="4">
        <f>IFERROR(MATCH(127,합계표[판정순번],0),"")</f>
        <v/>
      </c>
      <c r="Z132">
        <f>IF($AC132="","",INDEX(상세표[사번],$AC132)&amp;"")</f>
        <v/>
      </c>
      <c r="AA132">
        <f>IF($AC132="","",INDEX(상세표[성명],$AC132)&amp;"")</f>
        <v/>
      </c>
      <c r="AB132" s="20">
        <f>IF($AC132="","",SUMIFS(상세표[기록 시간외],상세표[사번키],INDEX(상세표[사번키],$AC132),상세표[반영월],대상월키))</f>
        <v/>
      </c>
      <c r="AC132" s="4">
        <f>IFERROR(MATCH(127,상세표[합계없음순번],0),"")</f>
        <v/>
      </c>
    </row>
    <row r="133">
      <c r="A133">
        <f>IF($X133="","",INDEX(합계표[사번],$X133)&amp;"")</f>
        <v/>
      </c>
      <c r="B133">
        <f>IF($X133="","",INDEX(합계표[성명],$X133)&amp;"")</f>
        <v/>
      </c>
      <c r="C133">
        <f>IF($X133="","",INDEX(합계표[부서],$X133)&amp;"")</f>
        <v/>
      </c>
      <c r="D133">
        <f>IF($X133="","",INDEX(합계표[직위(요약)],$X133)&amp;"")</f>
        <v/>
      </c>
      <c r="E133">
        <f>IF($X133="","",INDEX(합계표[직급 공존],$X133)&amp;"")</f>
        <v/>
      </c>
      <c r="F133" s="20">
        <f>IF($X133="","",SUMIFS(합계표[시스템 합계],합계표[사번키],INDEX(합계표[사번키],$X133)))</f>
        <v/>
      </c>
      <c r="G133" s="20">
        <f>IF($X133="","",SUMIFS(상세표[기록 시간외],상세표[사번키],INDEX(합계표[사번키],$X133),상세표[기록월],대상월키))</f>
        <v/>
      </c>
      <c r="H133">
        <f>IF($X133="","",IF(ABS($F133-$G133)&lt;0.01,"일치","불일치(차이 "&amp;TEXT($G133-$F133,"0.00")&amp;")"))</f>
        <v/>
      </c>
      <c r="I133" s="20">
        <f>IF($X133="","",SUMIFS(상세표[기록 시간외],상세표[사번키],INDEX(합계표[사번키],$X133),상세표[기록월],대상월키,상세표[반영월],"&lt;&gt;"&amp;대상월키))</f>
        <v/>
      </c>
      <c r="J133" s="20">
        <f>IF($X133="","",SUMIFS(상세표[기록 시간외],상세표[사번키],INDEX(합계표[사번키],$X133),상세표[기록월],"&lt;&gt;"&amp;대상월키,상세표[반영월],대상월키))</f>
        <v/>
      </c>
      <c r="K133" s="20">
        <f>IF($X133="","",SUMIFS(상세표[기록 시간외],상세표[사번키],INDEX(합계표[사번키],$X133),상세표[반영월],대상월키))</f>
        <v/>
      </c>
      <c r="L133">
        <f>IF($X133="","",IFERROR(INDEX(월별근무지표[적용 급여병원],MATCH(INDEX(합계표[사번키],$X133)&amp;"|"&amp;대상월키,월별근무지표[키],0))&amp;"",IF(COUNTIF(기관표[사번키],INDEX(합계표[사번키],$X133))+COUNTIF(월별근무지표[사번키],INDEX(합계표[사번키],$X133))&gt;0,IFERROR(INDEX(기관표[급여지급병원(기준월)],MATCH(INDEX(합계표[사번키],$X133)&amp;"|"&amp;대상월키,기관표[키],0))&amp;"","—"),"—")))</f>
        <v/>
      </c>
      <c r="M133">
        <f>IF($X133="","",IF(NOT(COUNTIF(기관표[사번키],INDEX(합계표[사번키],$X133))+COUNTIF(월별근무지표[사번키],INDEX(합계표[사번키],$X133))&gt;0),"기관명단에 없음(다른 병원으로 발송)",IF($L133="서울병원","해당",IF(N($R133)&gt;0,"해당(말일 근무)",IF($L133="—","대상월 기관명단 없음(추가 필요)","비해당")))))</f>
        <v/>
      </c>
      <c r="N133" s="20">
        <f>IF($X133="","",SUMIFS(상세표[06~07시],상세표[사번키],INDEX(합계표[사번키],$X133),상세표[반영월],대상월키,상세표[반영 기관],"서울병원"))</f>
        <v/>
      </c>
      <c r="O133" s="20">
        <f>IF($X133="","",SUMIFS(상세표[07~18시],상세표[사번키],INDEX(합계표[사번키],$X133),상세표[반영월],대상월키,상세표[반영 기관],"서울병원"))</f>
        <v/>
      </c>
      <c r="P133" s="20">
        <f>IF($X133="","",SUMIFS(상세표[18~22시],상세표[사번키],INDEX(합계표[사번키],$X133),상세표[반영월],대상월키,상세표[반영 기관],"서울병원"))</f>
        <v/>
      </c>
      <c r="Q133" s="20">
        <f>IF($X133="","",SUMIFS(상세표[22~06시],상세표[사번키],INDEX(합계표[사번키],$X133),상세표[반영월],대상월키,상세표[반영 기관],"서울병원"))</f>
        <v/>
      </c>
      <c r="R133" s="20">
        <f>IF($X133="","",SUM($N133:$Q133))</f>
        <v/>
      </c>
      <c r="S133">
        <f>IF($X133="","",COUNTIFS(상세표[사번키],INDEX(합계표[사번키],$X133),상세표[반영월],대상월키,상세표[야간당직],1,상세표[야간 구분],"평일"))</f>
        <v/>
      </c>
      <c r="T133">
        <f>IF($X133="","",COUNTIFS(상세표[사번키],INDEX(합계표[사번키],$X133),상세표[반영월],대상월키,상세표[야간당직],1,상세표[야간 구분],"휴일"))</f>
        <v/>
      </c>
      <c r="U133">
        <f>IF($X133="","",COUNTIFS(상세표[사번키],INDEX(합계표[사번키],$X133),상세표[반영월],대상월키,상세표[야간당직],1,상세표[야간 구분],"평일",상세표[반영 기관],"서울병원"))</f>
        <v/>
      </c>
      <c r="V133">
        <f>IF($X133="","",COUNTIFS(상세표[사번키],INDEX(합계표[사번키],$X133),상세표[반영월],대상월키,상세표[야간당직],1,상세표[야간 구분],"휴일",상세표[반영 기관],"서울병원"))</f>
        <v/>
      </c>
      <c r="W133">
        <f>IF($X133="","",IF(ISNUMBER(MATCH(INDEX(합계표[사번키],$X133)&amp;"|"&amp;대상월키,월별근무지표[키],0)),"직접 입력",IF($L133="—","—","기관명단")))</f>
        <v/>
      </c>
      <c r="X133" s="4">
        <f>IFERROR(MATCH(128,합계표[판정순번],0),"")</f>
        <v/>
      </c>
      <c r="Z133">
        <f>IF($AC133="","",INDEX(상세표[사번],$AC133)&amp;"")</f>
        <v/>
      </c>
      <c r="AA133">
        <f>IF($AC133="","",INDEX(상세표[성명],$AC133)&amp;"")</f>
        <v/>
      </c>
      <c r="AB133" s="20">
        <f>IF($AC133="","",SUMIFS(상세표[기록 시간외],상세표[사번키],INDEX(상세표[사번키],$AC133),상세표[반영월],대상월키))</f>
        <v/>
      </c>
      <c r="AC133" s="4">
        <f>IFERROR(MATCH(128,상세표[합계없음순번],0),"")</f>
        <v/>
      </c>
    </row>
    <row r="134">
      <c r="A134">
        <f>IF($X134="","",INDEX(합계표[사번],$X134)&amp;"")</f>
        <v/>
      </c>
      <c r="B134">
        <f>IF($X134="","",INDEX(합계표[성명],$X134)&amp;"")</f>
        <v/>
      </c>
      <c r="C134">
        <f>IF($X134="","",INDEX(합계표[부서],$X134)&amp;"")</f>
        <v/>
      </c>
      <c r="D134">
        <f>IF($X134="","",INDEX(합계표[직위(요약)],$X134)&amp;"")</f>
        <v/>
      </c>
      <c r="E134">
        <f>IF($X134="","",INDEX(합계표[직급 공존],$X134)&amp;"")</f>
        <v/>
      </c>
      <c r="F134" s="20">
        <f>IF($X134="","",SUMIFS(합계표[시스템 합계],합계표[사번키],INDEX(합계표[사번키],$X134)))</f>
        <v/>
      </c>
      <c r="G134" s="20">
        <f>IF($X134="","",SUMIFS(상세표[기록 시간외],상세표[사번키],INDEX(합계표[사번키],$X134),상세표[기록월],대상월키))</f>
        <v/>
      </c>
      <c r="H134">
        <f>IF($X134="","",IF(ABS($F134-$G134)&lt;0.01,"일치","불일치(차이 "&amp;TEXT($G134-$F134,"0.00")&amp;")"))</f>
        <v/>
      </c>
      <c r="I134" s="20">
        <f>IF($X134="","",SUMIFS(상세표[기록 시간외],상세표[사번키],INDEX(합계표[사번키],$X134),상세표[기록월],대상월키,상세표[반영월],"&lt;&gt;"&amp;대상월키))</f>
        <v/>
      </c>
      <c r="J134" s="20">
        <f>IF($X134="","",SUMIFS(상세표[기록 시간외],상세표[사번키],INDEX(합계표[사번키],$X134),상세표[기록월],"&lt;&gt;"&amp;대상월키,상세표[반영월],대상월키))</f>
        <v/>
      </c>
      <c r="K134" s="20">
        <f>IF($X134="","",SUMIFS(상세표[기록 시간외],상세표[사번키],INDEX(합계표[사번키],$X134),상세표[반영월],대상월키))</f>
        <v/>
      </c>
      <c r="L134">
        <f>IF($X134="","",IFERROR(INDEX(월별근무지표[적용 급여병원],MATCH(INDEX(합계표[사번키],$X134)&amp;"|"&amp;대상월키,월별근무지표[키],0))&amp;"",IF(COUNTIF(기관표[사번키],INDEX(합계표[사번키],$X134))+COUNTIF(월별근무지표[사번키],INDEX(합계표[사번키],$X134))&gt;0,IFERROR(INDEX(기관표[급여지급병원(기준월)],MATCH(INDEX(합계표[사번키],$X134)&amp;"|"&amp;대상월키,기관표[키],0))&amp;"","—"),"—")))</f>
        <v/>
      </c>
      <c r="M134">
        <f>IF($X134="","",IF(NOT(COUNTIF(기관표[사번키],INDEX(합계표[사번키],$X134))+COUNTIF(월별근무지표[사번키],INDEX(합계표[사번키],$X134))&gt;0),"기관명단에 없음(다른 병원으로 발송)",IF($L134="서울병원","해당",IF(N($R134)&gt;0,"해당(말일 근무)",IF($L134="—","대상월 기관명단 없음(추가 필요)","비해당")))))</f>
        <v/>
      </c>
      <c r="N134" s="20">
        <f>IF($X134="","",SUMIFS(상세표[06~07시],상세표[사번키],INDEX(합계표[사번키],$X134),상세표[반영월],대상월키,상세표[반영 기관],"서울병원"))</f>
        <v/>
      </c>
      <c r="O134" s="20">
        <f>IF($X134="","",SUMIFS(상세표[07~18시],상세표[사번키],INDEX(합계표[사번키],$X134),상세표[반영월],대상월키,상세표[반영 기관],"서울병원"))</f>
        <v/>
      </c>
      <c r="P134" s="20">
        <f>IF($X134="","",SUMIFS(상세표[18~22시],상세표[사번키],INDEX(합계표[사번키],$X134),상세표[반영월],대상월키,상세표[반영 기관],"서울병원"))</f>
        <v/>
      </c>
      <c r="Q134" s="20">
        <f>IF($X134="","",SUMIFS(상세표[22~06시],상세표[사번키],INDEX(합계표[사번키],$X134),상세표[반영월],대상월키,상세표[반영 기관],"서울병원"))</f>
        <v/>
      </c>
      <c r="R134" s="20">
        <f>IF($X134="","",SUM($N134:$Q134))</f>
        <v/>
      </c>
      <c r="S134">
        <f>IF($X134="","",COUNTIFS(상세표[사번키],INDEX(합계표[사번키],$X134),상세표[반영월],대상월키,상세표[야간당직],1,상세표[야간 구분],"평일"))</f>
        <v/>
      </c>
      <c r="T134">
        <f>IF($X134="","",COUNTIFS(상세표[사번키],INDEX(합계표[사번키],$X134),상세표[반영월],대상월키,상세표[야간당직],1,상세표[야간 구분],"휴일"))</f>
        <v/>
      </c>
      <c r="U134">
        <f>IF($X134="","",COUNTIFS(상세표[사번키],INDEX(합계표[사번키],$X134),상세표[반영월],대상월키,상세표[야간당직],1,상세표[야간 구분],"평일",상세표[반영 기관],"서울병원"))</f>
        <v/>
      </c>
      <c r="V134">
        <f>IF($X134="","",COUNTIFS(상세표[사번키],INDEX(합계표[사번키],$X134),상세표[반영월],대상월키,상세표[야간당직],1,상세표[야간 구분],"휴일",상세표[반영 기관],"서울병원"))</f>
        <v/>
      </c>
      <c r="W134">
        <f>IF($X134="","",IF(ISNUMBER(MATCH(INDEX(합계표[사번키],$X134)&amp;"|"&amp;대상월키,월별근무지표[키],0)),"직접 입력",IF($L134="—","—","기관명단")))</f>
        <v/>
      </c>
      <c r="X134" s="4">
        <f>IFERROR(MATCH(129,합계표[판정순번],0),"")</f>
        <v/>
      </c>
      <c r="Z134">
        <f>IF($AC134="","",INDEX(상세표[사번],$AC134)&amp;"")</f>
        <v/>
      </c>
      <c r="AA134">
        <f>IF($AC134="","",INDEX(상세표[성명],$AC134)&amp;"")</f>
        <v/>
      </c>
      <c r="AB134" s="20">
        <f>IF($AC134="","",SUMIFS(상세표[기록 시간외],상세표[사번키],INDEX(상세표[사번키],$AC134),상세표[반영월],대상월키))</f>
        <v/>
      </c>
      <c r="AC134" s="4">
        <f>IFERROR(MATCH(129,상세표[합계없음순번],0),"")</f>
        <v/>
      </c>
    </row>
    <row r="135">
      <c r="A135">
        <f>IF($X135="","",INDEX(합계표[사번],$X135)&amp;"")</f>
        <v/>
      </c>
      <c r="B135">
        <f>IF($X135="","",INDEX(합계표[성명],$X135)&amp;"")</f>
        <v/>
      </c>
      <c r="C135">
        <f>IF($X135="","",INDEX(합계표[부서],$X135)&amp;"")</f>
        <v/>
      </c>
      <c r="D135">
        <f>IF($X135="","",INDEX(합계표[직위(요약)],$X135)&amp;"")</f>
        <v/>
      </c>
      <c r="E135">
        <f>IF($X135="","",INDEX(합계표[직급 공존],$X135)&amp;"")</f>
        <v/>
      </c>
      <c r="F135" s="20">
        <f>IF($X135="","",SUMIFS(합계표[시스템 합계],합계표[사번키],INDEX(합계표[사번키],$X135)))</f>
        <v/>
      </c>
      <c r="G135" s="20">
        <f>IF($X135="","",SUMIFS(상세표[기록 시간외],상세표[사번키],INDEX(합계표[사번키],$X135),상세표[기록월],대상월키))</f>
        <v/>
      </c>
      <c r="H135">
        <f>IF($X135="","",IF(ABS($F135-$G135)&lt;0.01,"일치","불일치(차이 "&amp;TEXT($G135-$F135,"0.00")&amp;")"))</f>
        <v/>
      </c>
      <c r="I135" s="20">
        <f>IF($X135="","",SUMIFS(상세표[기록 시간외],상세표[사번키],INDEX(합계표[사번키],$X135),상세표[기록월],대상월키,상세표[반영월],"&lt;&gt;"&amp;대상월키))</f>
        <v/>
      </c>
      <c r="J135" s="20">
        <f>IF($X135="","",SUMIFS(상세표[기록 시간외],상세표[사번키],INDEX(합계표[사번키],$X135),상세표[기록월],"&lt;&gt;"&amp;대상월키,상세표[반영월],대상월키))</f>
        <v/>
      </c>
      <c r="K135" s="20">
        <f>IF($X135="","",SUMIFS(상세표[기록 시간외],상세표[사번키],INDEX(합계표[사번키],$X135),상세표[반영월],대상월키))</f>
        <v/>
      </c>
      <c r="L135">
        <f>IF($X135="","",IFERROR(INDEX(월별근무지표[적용 급여병원],MATCH(INDEX(합계표[사번키],$X135)&amp;"|"&amp;대상월키,월별근무지표[키],0))&amp;"",IF(COUNTIF(기관표[사번키],INDEX(합계표[사번키],$X135))+COUNTIF(월별근무지표[사번키],INDEX(합계표[사번키],$X135))&gt;0,IFERROR(INDEX(기관표[급여지급병원(기준월)],MATCH(INDEX(합계표[사번키],$X135)&amp;"|"&amp;대상월키,기관표[키],0))&amp;"","—"),"—")))</f>
        <v/>
      </c>
      <c r="M135">
        <f>IF($X135="","",IF(NOT(COUNTIF(기관표[사번키],INDEX(합계표[사번키],$X135))+COUNTIF(월별근무지표[사번키],INDEX(합계표[사번키],$X135))&gt;0),"기관명단에 없음(다른 병원으로 발송)",IF($L135="서울병원","해당",IF(N($R135)&gt;0,"해당(말일 근무)",IF($L135="—","대상월 기관명단 없음(추가 필요)","비해당")))))</f>
        <v/>
      </c>
      <c r="N135" s="20">
        <f>IF($X135="","",SUMIFS(상세표[06~07시],상세표[사번키],INDEX(합계표[사번키],$X135),상세표[반영월],대상월키,상세표[반영 기관],"서울병원"))</f>
        <v/>
      </c>
      <c r="O135" s="20">
        <f>IF($X135="","",SUMIFS(상세표[07~18시],상세표[사번키],INDEX(합계표[사번키],$X135),상세표[반영월],대상월키,상세표[반영 기관],"서울병원"))</f>
        <v/>
      </c>
      <c r="P135" s="20">
        <f>IF($X135="","",SUMIFS(상세표[18~22시],상세표[사번키],INDEX(합계표[사번키],$X135),상세표[반영월],대상월키,상세표[반영 기관],"서울병원"))</f>
        <v/>
      </c>
      <c r="Q135" s="20">
        <f>IF($X135="","",SUMIFS(상세표[22~06시],상세표[사번키],INDEX(합계표[사번키],$X135),상세표[반영월],대상월키,상세표[반영 기관],"서울병원"))</f>
        <v/>
      </c>
      <c r="R135" s="20">
        <f>IF($X135="","",SUM($N135:$Q135))</f>
        <v/>
      </c>
      <c r="S135">
        <f>IF($X135="","",COUNTIFS(상세표[사번키],INDEX(합계표[사번키],$X135),상세표[반영월],대상월키,상세표[야간당직],1,상세표[야간 구분],"평일"))</f>
        <v/>
      </c>
      <c r="T135">
        <f>IF($X135="","",COUNTIFS(상세표[사번키],INDEX(합계표[사번키],$X135),상세표[반영월],대상월키,상세표[야간당직],1,상세표[야간 구분],"휴일"))</f>
        <v/>
      </c>
      <c r="U135">
        <f>IF($X135="","",COUNTIFS(상세표[사번키],INDEX(합계표[사번키],$X135),상세표[반영월],대상월키,상세표[야간당직],1,상세표[야간 구분],"평일",상세표[반영 기관],"서울병원"))</f>
        <v/>
      </c>
      <c r="V135">
        <f>IF($X135="","",COUNTIFS(상세표[사번키],INDEX(합계표[사번키],$X135),상세표[반영월],대상월키,상세표[야간당직],1,상세표[야간 구분],"휴일",상세표[반영 기관],"서울병원"))</f>
        <v/>
      </c>
      <c r="W135">
        <f>IF($X135="","",IF(ISNUMBER(MATCH(INDEX(합계표[사번키],$X135)&amp;"|"&amp;대상월키,월별근무지표[키],0)),"직접 입력",IF($L135="—","—","기관명단")))</f>
        <v/>
      </c>
      <c r="X135" s="4">
        <f>IFERROR(MATCH(130,합계표[판정순번],0),"")</f>
        <v/>
      </c>
      <c r="Z135">
        <f>IF($AC135="","",INDEX(상세표[사번],$AC135)&amp;"")</f>
        <v/>
      </c>
      <c r="AA135">
        <f>IF($AC135="","",INDEX(상세표[성명],$AC135)&amp;"")</f>
        <v/>
      </c>
      <c r="AB135" s="20">
        <f>IF($AC135="","",SUMIFS(상세표[기록 시간외],상세표[사번키],INDEX(상세표[사번키],$AC135),상세표[반영월],대상월키))</f>
        <v/>
      </c>
      <c r="AC135" s="4">
        <f>IFERROR(MATCH(130,상세표[합계없음순번],0),"")</f>
        <v/>
      </c>
    </row>
    <row r="136">
      <c r="A136">
        <f>IF($X136="","",INDEX(합계표[사번],$X136)&amp;"")</f>
        <v/>
      </c>
      <c r="B136">
        <f>IF($X136="","",INDEX(합계표[성명],$X136)&amp;"")</f>
        <v/>
      </c>
      <c r="C136">
        <f>IF($X136="","",INDEX(합계표[부서],$X136)&amp;"")</f>
        <v/>
      </c>
      <c r="D136">
        <f>IF($X136="","",INDEX(합계표[직위(요약)],$X136)&amp;"")</f>
        <v/>
      </c>
      <c r="E136">
        <f>IF($X136="","",INDEX(합계표[직급 공존],$X136)&amp;"")</f>
        <v/>
      </c>
      <c r="F136" s="20">
        <f>IF($X136="","",SUMIFS(합계표[시스템 합계],합계표[사번키],INDEX(합계표[사번키],$X136)))</f>
        <v/>
      </c>
      <c r="G136" s="20">
        <f>IF($X136="","",SUMIFS(상세표[기록 시간외],상세표[사번키],INDEX(합계표[사번키],$X136),상세표[기록월],대상월키))</f>
        <v/>
      </c>
      <c r="H136">
        <f>IF($X136="","",IF(ABS($F136-$G136)&lt;0.01,"일치","불일치(차이 "&amp;TEXT($G136-$F136,"0.00")&amp;")"))</f>
        <v/>
      </c>
      <c r="I136" s="20">
        <f>IF($X136="","",SUMIFS(상세표[기록 시간외],상세표[사번키],INDEX(합계표[사번키],$X136),상세표[기록월],대상월키,상세표[반영월],"&lt;&gt;"&amp;대상월키))</f>
        <v/>
      </c>
      <c r="J136" s="20">
        <f>IF($X136="","",SUMIFS(상세표[기록 시간외],상세표[사번키],INDEX(합계표[사번키],$X136),상세표[기록월],"&lt;&gt;"&amp;대상월키,상세표[반영월],대상월키))</f>
        <v/>
      </c>
      <c r="K136" s="20">
        <f>IF($X136="","",SUMIFS(상세표[기록 시간외],상세표[사번키],INDEX(합계표[사번키],$X136),상세표[반영월],대상월키))</f>
        <v/>
      </c>
      <c r="L136">
        <f>IF($X136="","",IFERROR(INDEX(월별근무지표[적용 급여병원],MATCH(INDEX(합계표[사번키],$X136)&amp;"|"&amp;대상월키,월별근무지표[키],0))&amp;"",IF(COUNTIF(기관표[사번키],INDEX(합계표[사번키],$X136))+COUNTIF(월별근무지표[사번키],INDEX(합계표[사번키],$X136))&gt;0,IFERROR(INDEX(기관표[급여지급병원(기준월)],MATCH(INDEX(합계표[사번키],$X136)&amp;"|"&amp;대상월키,기관표[키],0))&amp;"","—"),"—")))</f>
        <v/>
      </c>
      <c r="M136">
        <f>IF($X136="","",IF(NOT(COUNTIF(기관표[사번키],INDEX(합계표[사번키],$X136))+COUNTIF(월별근무지표[사번키],INDEX(합계표[사번키],$X136))&gt;0),"기관명단에 없음(다른 병원으로 발송)",IF($L136="서울병원","해당",IF(N($R136)&gt;0,"해당(말일 근무)",IF($L136="—","대상월 기관명단 없음(추가 필요)","비해당")))))</f>
        <v/>
      </c>
      <c r="N136" s="20">
        <f>IF($X136="","",SUMIFS(상세표[06~07시],상세표[사번키],INDEX(합계표[사번키],$X136),상세표[반영월],대상월키,상세표[반영 기관],"서울병원"))</f>
        <v/>
      </c>
      <c r="O136" s="20">
        <f>IF($X136="","",SUMIFS(상세표[07~18시],상세표[사번키],INDEX(합계표[사번키],$X136),상세표[반영월],대상월키,상세표[반영 기관],"서울병원"))</f>
        <v/>
      </c>
      <c r="P136" s="20">
        <f>IF($X136="","",SUMIFS(상세표[18~22시],상세표[사번키],INDEX(합계표[사번키],$X136),상세표[반영월],대상월키,상세표[반영 기관],"서울병원"))</f>
        <v/>
      </c>
      <c r="Q136" s="20">
        <f>IF($X136="","",SUMIFS(상세표[22~06시],상세표[사번키],INDEX(합계표[사번키],$X136),상세표[반영월],대상월키,상세표[반영 기관],"서울병원"))</f>
        <v/>
      </c>
      <c r="R136" s="20">
        <f>IF($X136="","",SUM($N136:$Q136))</f>
        <v/>
      </c>
      <c r="S136">
        <f>IF($X136="","",COUNTIFS(상세표[사번키],INDEX(합계표[사번키],$X136),상세표[반영월],대상월키,상세표[야간당직],1,상세표[야간 구분],"평일"))</f>
        <v/>
      </c>
      <c r="T136">
        <f>IF($X136="","",COUNTIFS(상세표[사번키],INDEX(합계표[사번키],$X136),상세표[반영월],대상월키,상세표[야간당직],1,상세표[야간 구분],"휴일"))</f>
        <v/>
      </c>
      <c r="U136">
        <f>IF($X136="","",COUNTIFS(상세표[사번키],INDEX(합계표[사번키],$X136),상세표[반영월],대상월키,상세표[야간당직],1,상세표[야간 구분],"평일",상세표[반영 기관],"서울병원"))</f>
        <v/>
      </c>
      <c r="V136">
        <f>IF($X136="","",COUNTIFS(상세표[사번키],INDEX(합계표[사번키],$X136),상세표[반영월],대상월키,상세표[야간당직],1,상세표[야간 구분],"휴일",상세표[반영 기관],"서울병원"))</f>
        <v/>
      </c>
      <c r="W136">
        <f>IF($X136="","",IF(ISNUMBER(MATCH(INDEX(합계표[사번키],$X136)&amp;"|"&amp;대상월키,월별근무지표[키],0)),"직접 입력",IF($L136="—","—","기관명단")))</f>
        <v/>
      </c>
      <c r="X136" s="4">
        <f>IFERROR(MATCH(131,합계표[판정순번],0),"")</f>
        <v/>
      </c>
      <c r="Z136">
        <f>IF($AC136="","",INDEX(상세표[사번],$AC136)&amp;"")</f>
        <v/>
      </c>
      <c r="AA136">
        <f>IF($AC136="","",INDEX(상세표[성명],$AC136)&amp;"")</f>
        <v/>
      </c>
      <c r="AB136" s="20">
        <f>IF($AC136="","",SUMIFS(상세표[기록 시간외],상세표[사번키],INDEX(상세표[사번키],$AC136),상세표[반영월],대상월키))</f>
        <v/>
      </c>
      <c r="AC136" s="4">
        <f>IFERROR(MATCH(131,상세표[합계없음순번],0),"")</f>
        <v/>
      </c>
    </row>
    <row r="137">
      <c r="A137">
        <f>IF($X137="","",INDEX(합계표[사번],$X137)&amp;"")</f>
        <v/>
      </c>
      <c r="B137">
        <f>IF($X137="","",INDEX(합계표[성명],$X137)&amp;"")</f>
        <v/>
      </c>
      <c r="C137">
        <f>IF($X137="","",INDEX(합계표[부서],$X137)&amp;"")</f>
        <v/>
      </c>
      <c r="D137">
        <f>IF($X137="","",INDEX(합계표[직위(요약)],$X137)&amp;"")</f>
        <v/>
      </c>
      <c r="E137">
        <f>IF($X137="","",INDEX(합계표[직급 공존],$X137)&amp;"")</f>
        <v/>
      </c>
      <c r="F137" s="20">
        <f>IF($X137="","",SUMIFS(합계표[시스템 합계],합계표[사번키],INDEX(합계표[사번키],$X137)))</f>
        <v/>
      </c>
      <c r="G137" s="20">
        <f>IF($X137="","",SUMIFS(상세표[기록 시간외],상세표[사번키],INDEX(합계표[사번키],$X137),상세표[기록월],대상월키))</f>
        <v/>
      </c>
      <c r="H137">
        <f>IF($X137="","",IF(ABS($F137-$G137)&lt;0.01,"일치","불일치(차이 "&amp;TEXT($G137-$F137,"0.00")&amp;")"))</f>
        <v/>
      </c>
      <c r="I137" s="20">
        <f>IF($X137="","",SUMIFS(상세표[기록 시간외],상세표[사번키],INDEX(합계표[사번키],$X137),상세표[기록월],대상월키,상세표[반영월],"&lt;&gt;"&amp;대상월키))</f>
        <v/>
      </c>
      <c r="J137" s="20">
        <f>IF($X137="","",SUMIFS(상세표[기록 시간외],상세표[사번키],INDEX(합계표[사번키],$X137),상세표[기록월],"&lt;&gt;"&amp;대상월키,상세표[반영월],대상월키))</f>
        <v/>
      </c>
      <c r="K137" s="20">
        <f>IF($X137="","",SUMIFS(상세표[기록 시간외],상세표[사번키],INDEX(합계표[사번키],$X137),상세표[반영월],대상월키))</f>
        <v/>
      </c>
      <c r="L137">
        <f>IF($X137="","",IFERROR(INDEX(월별근무지표[적용 급여병원],MATCH(INDEX(합계표[사번키],$X137)&amp;"|"&amp;대상월키,월별근무지표[키],0))&amp;"",IF(COUNTIF(기관표[사번키],INDEX(합계표[사번키],$X137))+COUNTIF(월별근무지표[사번키],INDEX(합계표[사번키],$X137))&gt;0,IFERROR(INDEX(기관표[급여지급병원(기준월)],MATCH(INDEX(합계표[사번키],$X137)&amp;"|"&amp;대상월키,기관표[키],0))&amp;"","—"),"—")))</f>
        <v/>
      </c>
      <c r="M137">
        <f>IF($X137="","",IF(NOT(COUNTIF(기관표[사번키],INDEX(합계표[사번키],$X137))+COUNTIF(월별근무지표[사번키],INDEX(합계표[사번키],$X137))&gt;0),"기관명단에 없음(다른 병원으로 발송)",IF($L137="서울병원","해당",IF(N($R137)&gt;0,"해당(말일 근무)",IF($L137="—","대상월 기관명단 없음(추가 필요)","비해당")))))</f>
        <v/>
      </c>
      <c r="N137" s="20">
        <f>IF($X137="","",SUMIFS(상세표[06~07시],상세표[사번키],INDEX(합계표[사번키],$X137),상세표[반영월],대상월키,상세표[반영 기관],"서울병원"))</f>
        <v/>
      </c>
      <c r="O137" s="20">
        <f>IF($X137="","",SUMIFS(상세표[07~18시],상세표[사번키],INDEX(합계표[사번키],$X137),상세표[반영월],대상월키,상세표[반영 기관],"서울병원"))</f>
        <v/>
      </c>
      <c r="P137" s="20">
        <f>IF($X137="","",SUMIFS(상세표[18~22시],상세표[사번키],INDEX(합계표[사번키],$X137),상세표[반영월],대상월키,상세표[반영 기관],"서울병원"))</f>
        <v/>
      </c>
      <c r="Q137" s="20">
        <f>IF($X137="","",SUMIFS(상세표[22~06시],상세표[사번키],INDEX(합계표[사번키],$X137),상세표[반영월],대상월키,상세표[반영 기관],"서울병원"))</f>
        <v/>
      </c>
      <c r="R137" s="20">
        <f>IF($X137="","",SUM($N137:$Q137))</f>
        <v/>
      </c>
      <c r="S137">
        <f>IF($X137="","",COUNTIFS(상세표[사번키],INDEX(합계표[사번키],$X137),상세표[반영월],대상월키,상세표[야간당직],1,상세표[야간 구분],"평일"))</f>
        <v/>
      </c>
      <c r="T137">
        <f>IF($X137="","",COUNTIFS(상세표[사번키],INDEX(합계표[사번키],$X137),상세표[반영월],대상월키,상세표[야간당직],1,상세표[야간 구분],"휴일"))</f>
        <v/>
      </c>
      <c r="U137">
        <f>IF($X137="","",COUNTIFS(상세표[사번키],INDEX(합계표[사번키],$X137),상세표[반영월],대상월키,상세표[야간당직],1,상세표[야간 구분],"평일",상세표[반영 기관],"서울병원"))</f>
        <v/>
      </c>
      <c r="V137">
        <f>IF($X137="","",COUNTIFS(상세표[사번키],INDEX(합계표[사번키],$X137),상세표[반영월],대상월키,상세표[야간당직],1,상세표[야간 구분],"휴일",상세표[반영 기관],"서울병원"))</f>
        <v/>
      </c>
      <c r="W137">
        <f>IF($X137="","",IF(ISNUMBER(MATCH(INDEX(합계표[사번키],$X137)&amp;"|"&amp;대상월키,월별근무지표[키],0)),"직접 입력",IF($L137="—","—","기관명단")))</f>
        <v/>
      </c>
      <c r="X137" s="4">
        <f>IFERROR(MATCH(132,합계표[판정순번],0),"")</f>
        <v/>
      </c>
      <c r="Z137">
        <f>IF($AC137="","",INDEX(상세표[사번],$AC137)&amp;"")</f>
        <v/>
      </c>
      <c r="AA137">
        <f>IF($AC137="","",INDEX(상세표[성명],$AC137)&amp;"")</f>
        <v/>
      </c>
      <c r="AB137" s="20">
        <f>IF($AC137="","",SUMIFS(상세표[기록 시간외],상세표[사번키],INDEX(상세표[사번키],$AC137),상세표[반영월],대상월키))</f>
        <v/>
      </c>
      <c r="AC137" s="4">
        <f>IFERROR(MATCH(132,상세표[합계없음순번],0),"")</f>
        <v/>
      </c>
    </row>
    <row r="138">
      <c r="A138">
        <f>IF($X138="","",INDEX(합계표[사번],$X138)&amp;"")</f>
        <v/>
      </c>
      <c r="B138">
        <f>IF($X138="","",INDEX(합계표[성명],$X138)&amp;"")</f>
        <v/>
      </c>
      <c r="C138">
        <f>IF($X138="","",INDEX(합계표[부서],$X138)&amp;"")</f>
        <v/>
      </c>
      <c r="D138">
        <f>IF($X138="","",INDEX(합계표[직위(요약)],$X138)&amp;"")</f>
        <v/>
      </c>
      <c r="E138">
        <f>IF($X138="","",INDEX(합계표[직급 공존],$X138)&amp;"")</f>
        <v/>
      </c>
      <c r="F138" s="20">
        <f>IF($X138="","",SUMIFS(합계표[시스템 합계],합계표[사번키],INDEX(합계표[사번키],$X138)))</f>
        <v/>
      </c>
      <c r="G138" s="20">
        <f>IF($X138="","",SUMIFS(상세표[기록 시간외],상세표[사번키],INDEX(합계표[사번키],$X138),상세표[기록월],대상월키))</f>
        <v/>
      </c>
      <c r="H138">
        <f>IF($X138="","",IF(ABS($F138-$G138)&lt;0.01,"일치","불일치(차이 "&amp;TEXT($G138-$F138,"0.00")&amp;")"))</f>
        <v/>
      </c>
      <c r="I138" s="20">
        <f>IF($X138="","",SUMIFS(상세표[기록 시간외],상세표[사번키],INDEX(합계표[사번키],$X138),상세표[기록월],대상월키,상세표[반영월],"&lt;&gt;"&amp;대상월키))</f>
        <v/>
      </c>
      <c r="J138" s="20">
        <f>IF($X138="","",SUMIFS(상세표[기록 시간외],상세표[사번키],INDEX(합계표[사번키],$X138),상세표[기록월],"&lt;&gt;"&amp;대상월키,상세표[반영월],대상월키))</f>
        <v/>
      </c>
      <c r="K138" s="20">
        <f>IF($X138="","",SUMIFS(상세표[기록 시간외],상세표[사번키],INDEX(합계표[사번키],$X138),상세표[반영월],대상월키))</f>
        <v/>
      </c>
      <c r="L138">
        <f>IF($X138="","",IFERROR(INDEX(월별근무지표[적용 급여병원],MATCH(INDEX(합계표[사번키],$X138)&amp;"|"&amp;대상월키,월별근무지표[키],0))&amp;"",IF(COUNTIF(기관표[사번키],INDEX(합계표[사번키],$X138))+COUNTIF(월별근무지표[사번키],INDEX(합계표[사번키],$X138))&gt;0,IFERROR(INDEX(기관표[급여지급병원(기준월)],MATCH(INDEX(합계표[사번키],$X138)&amp;"|"&amp;대상월키,기관표[키],0))&amp;"","—"),"—")))</f>
        <v/>
      </c>
      <c r="M138">
        <f>IF($X138="","",IF(NOT(COUNTIF(기관표[사번키],INDEX(합계표[사번키],$X138))+COUNTIF(월별근무지표[사번키],INDEX(합계표[사번키],$X138))&gt;0),"기관명단에 없음(다른 병원으로 발송)",IF($L138="서울병원","해당",IF(N($R138)&gt;0,"해당(말일 근무)",IF($L138="—","대상월 기관명단 없음(추가 필요)","비해당")))))</f>
        <v/>
      </c>
      <c r="N138" s="20">
        <f>IF($X138="","",SUMIFS(상세표[06~07시],상세표[사번키],INDEX(합계표[사번키],$X138),상세표[반영월],대상월키,상세표[반영 기관],"서울병원"))</f>
        <v/>
      </c>
      <c r="O138" s="20">
        <f>IF($X138="","",SUMIFS(상세표[07~18시],상세표[사번키],INDEX(합계표[사번키],$X138),상세표[반영월],대상월키,상세표[반영 기관],"서울병원"))</f>
        <v/>
      </c>
      <c r="P138" s="20">
        <f>IF($X138="","",SUMIFS(상세표[18~22시],상세표[사번키],INDEX(합계표[사번키],$X138),상세표[반영월],대상월키,상세표[반영 기관],"서울병원"))</f>
        <v/>
      </c>
      <c r="Q138" s="20">
        <f>IF($X138="","",SUMIFS(상세표[22~06시],상세표[사번키],INDEX(합계표[사번키],$X138),상세표[반영월],대상월키,상세표[반영 기관],"서울병원"))</f>
        <v/>
      </c>
      <c r="R138" s="20">
        <f>IF($X138="","",SUM($N138:$Q138))</f>
        <v/>
      </c>
      <c r="S138">
        <f>IF($X138="","",COUNTIFS(상세표[사번키],INDEX(합계표[사번키],$X138),상세표[반영월],대상월키,상세표[야간당직],1,상세표[야간 구분],"평일"))</f>
        <v/>
      </c>
      <c r="T138">
        <f>IF($X138="","",COUNTIFS(상세표[사번키],INDEX(합계표[사번키],$X138),상세표[반영월],대상월키,상세표[야간당직],1,상세표[야간 구분],"휴일"))</f>
        <v/>
      </c>
      <c r="U138">
        <f>IF($X138="","",COUNTIFS(상세표[사번키],INDEX(합계표[사번키],$X138),상세표[반영월],대상월키,상세표[야간당직],1,상세표[야간 구분],"평일",상세표[반영 기관],"서울병원"))</f>
        <v/>
      </c>
      <c r="V138">
        <f>IF($X138="","",COUNTIFS(상세표[사번키],INDEX(합계표[사번키],$X138),상세표[반영월],대상월키,상세표[야간당직],1,상세표[야간 구분],"휴일",상세표[반영 기관],"서울병원"))</f>
        <v/>
      </c>
      <c r="W138">
        <f>IF($X138="","",IF(ISNUMBER(MATCH(INDEX(합계표[사번키],$X138)&amp;"|"&amp;대상월키,월별근무지표[키],0)),"직접 입력",IF($L138="—","—","기관명단")))</f>
        <v/>
      </c>
      <c r="X138" s="4">
        <f>IFERROR(MATCH(133,합계표[판정순번],0),"")</f>
        <v/>
      </c>
      <c r="Z138">
        <f>IF($AC138="","",INDEX(상세표[사번],$AC138)&amp;"")</f>
        <v/>
      </c>
      <c r="AA138">
        <f>IF($AC138="","",INDEX(상세표[성명],$AC138)&amp;"")</f>
        <v/>
      </c>
      <c r="AB138" s="20">
        <f>IF($AC138="","",SUMIFS(상세표[기록 시간외],상세표[사번키],INDEX(상세표[사번키],$AC138),상세표[반영월],대상월키))</f>
        <v/>
      </c>
      <c r="AC138" s="4">
        <f>IFERROR(MATCH(133,상세표[합계없음순번],0),"")</f>
        <v/>
      </c>
    </row>
    <row r="139">
      <c r="A139">
        <f>IF($X139="","",INDEX(합계표[사번],$X139)&amp;"")</f>
        <v/>
      </c>
      <c r="B139">
        <f>IF($X139="","",INDEX(합계표[성명],$X139)&amp;"")</f>
        <v/>
      </c>
      <c r="C139">
        <f>IF($X139="","",INDEX(합계표[부서],$X139)&amp;"")</f>
        <v/>
      </c>
      <c r="D139">
        <f>IF($X139="","",INDEX(합계표[직위(요약)],$X139)&amp;"")</f>
        <v/>
      </c>
      <c r="E139">
        <f>IF($X139="","",INDEX(합계표[직급 공존],$X139)&amp;"")</f>
        <v/>
      </c>
      <c r="F139" s="20">
        <f>IF($X139="","",SUMIFS(합계표[시스템 합계],합계표[사번키],INDEX(합계표[사번키],$X139)))</f>
        <v/>
      </c>
      <c r="G139" s="20">
        <f>IF($X139="","",SUMIFS(상세표[기록 시간외],상세표[사번키],INDEX(합계표[사번키],$X139),상세표[기록월],대상월키))</f>
        <v/>
      </c>
      <c r="H139">
        <f>IF($X139="","",IF(ABS($F139-$G139)&lt;0.01,"일치","불일치(차이 "&amp;TEXT($G139-$F139,"0.00")&amp;")"))</f>
        <v/>
      </c>
      <c r="I139" s="20">
        <f>IF($X139="","",SUMIFS(상세표[기록 시간외],상세표[사번키],INDEX(합계표[사번키],$X139),상세표[기록월],대상월키,상세표[반영월],"&lt;&gt;"&amp;대상월키))</f>
        <v/>
      </c>
      <c r="J139" s="20">
        <f>IF($X139="","",SUMIFS(상세표[기록 시간외],상세표[사번키],INDEX(합계표[사번키],$X139),상세표[기록월],"&lt;&gt;"&amp;대상월키,상세표[반영월],대상월키))</f>
        <v/>
      </c>
      <c r="K139" s="20">
        <f>IF($X139="","",SUMIFS(상세표[기록 시간외],상세표[사번키],INDEX(합계표[사번키],$X139),상세표[반영월],대상월키))</f>
        <v/>
      </c>
      <c r="L139">
        <f>IF($X139="","",IFERROR(INDEX(월별근무지표[적용 급여병원],MATCH(INDEX(합계표[사번키],$X139)&amp;"|"&amp;대상월키,월별근무지표[키],0))&amp;"",IF(COUNTIF(기관표[사번키],INDEX(합계표[사번키],$X139))+COUNTIF(월별근무지표[사번키],INDEX(합계표[사번키],$X139))&gt;0,IFERROR(INDEX(기관표[급여지급병원(기준월)],MATCH(INDEX(합계표[사번키],$X139)&amp;"|"&amp;대상월키,기관표[키],0))&amp;"","—"),"—")))</f>
        <v/>
      </c>
      <c r="M139">
        <f>IF($X139="","",IF(NOT(COUNTIF(기관표[사번키],INDEX(합계표[사번키],$X139))+COUNTIF(월별근무지표[사번키],INDEX(합계표[사번키],$X139))&gt;0),"기관명단에 없음(다른 병원으로 발송)",IF($L139="서울병원","해당",IF(N($R139)&gt;0,"해당(말일 근무)",IF($L139="—","대상월 기관명단 없음(추가 필요)","비해당")))))</f>
        <v/>
      </c>
      <c r="N139" s="20">
        <f>IF($X139="","",SUMIFS(상세표[06~07시],상세표[사번키],INDEX(합계표[사번키],$X139),상세표[반영월],대상월키,상세표[반영 기관],"서울병원"))</f>
        <v/>
      </c>
      <c r="O139" s="20">
        <f>IF($X139="","",SUMIFS(상세표[07~18시],상세표[사번키],INDEX(합계표[사번키],$X139),상세표[반영월],대상월키,상세표[반영 기관],"서울병원"))</f>
        <v/>
      </c>
      <c r="P139" s="20">
        <f>IF($X139="","",SUMIFS(상세표[18~22시],상세표[사번키],INDEX(합계표[사번키],$X139),상세표[반영월],대상월키,상세표[반영 기관],"서울병원"))</f>
        <v/>
      </c>
      <c r="Q139" s="20">
        <f>IF($X139="","",SUMIFS(상세표[22~06시],상세표[사번키],INDEX(합계표[사번키],$X139),상세표[반영월],대상월키,상세표[반영 기관],"서울병원"))</f>
        <v/>
      </c>
      <c r="R139" s="20">
        <f>IF($X139="","",SUM($N139:$Q139))</f>
        <v/>
      </c>
      <c r="S139">
        <f>IF($X139="","",COUNTIFS(상세표[사번키],INDEX(합계표[사번키],$X139),상세표[반영월],대상월키,상세표[야간당직],1,상세표[야간 구분],"평일"))</f>
        <v/>
      </c>
      <c r="T139">
        <f>IF($X139="","",COUNTIFS(상세표[사번키],INDEX(합계표[사번키],$X139),상세표[반영월],대상월키,상세표[야간당직],1,상세표[야간 구분],"휴일"))</f>
        <v/>
      </c>
      <c r="U139">
        <f>IF($X139="","",COUNTIFS(상세표[사번키],INDEX(합계표[사번키],$X139),상세표[반영월],대상월키,상세표[야간당직],1,상세표[야간 구분],"평일",상세표[반영 기관],"서울병원"))</f>
        <v/>
      </c>
      <c r="V139">
        <f>IF($X139="","",COUNTIFS(상세표[사번키],INDEX(합계표[사번키],$X139),상세표[반영월],대상월키,상세표[야간당직],1,상세표[야간 구분],"휴일",상세표[반영 기관],"서울병원"))</f>
        <v/>
      </c>
      <c r="W139">
        <f>IF($X139="","",IF(ISNUMBER(MATCH(INDEX(합계표[사번키],$X139)&amp;"|"&amp;대상월키,월별근무지표[키],0)),"직접 입력",IF($L139="—","—","기관명단")))</f>
        <v/>
      </c>
      <c r="X139" s="4">
        <f>IFERROR(MATCH(134,합계표[판정순번],0),"")</f>
        <v/>
      </c>
      <c r="Z139">
        <f>IF($AC139="","",INDEX(상세표[사번],$AC139)&amp;"")</f>
        <v/>
      </c>
      <c r="AA139">
        <f>IF($AC139="","",INDEX(상세표[성명],$AC139)&amp;"")</f>
        <v/>
      </c>
      <c r="AB139" s="20">
        <f>IF($AC139="","",SUMIFS(상세표[기록 시간외],상세표[사번키],INDEX(상세표[사번키],$AC139),상세표[반영월],대상월키))</f>
        <v/>
      </c>
      <c r="AC139" s="4">
        <f>IFERROR(MATCH(134,상세표[합계없음순번],0),"")</f>
        <v/>
      </c>
    </row>
    <row r="140">
      <c r="A140">
        <f>IF($X140="","",INDEX(합계표[사번],$X140)&amp;"")</f>
        <v/>
      </c>
      <c r="B140">
        <f>IF($X140="","",INDEX(합계표[성명],$X140)&amp;"")</f>
        <v/>
      </c>
      <c r="C140">
        <f>IF($X140="","",INDEX(합계표[부서],$X140)&amp;"")</f>
        <v/>
      </c>
      <c r="D140">
        <f>IF($X140="","",INDEX(합계표[직위(요약)],$X140)&amp;"")</f>
        <v/>
      </c>
      <c r="E140">
        <f>IF($X140="","",INDEX(합계표[직급 공존],$X140)&amp;"")</f>
        <v/>
      </c>
      <c r="F140" s="20">
        <f>IF($X140="","",SUMIFS(합계표[시스템 합계],합계표[사번키],INDEX(합계표[사번키],$X140)))</f>
        <v/>
      </c>
      <c r="G140" s="20">
        <f>IF($X140="","",SUMIFS(상세표[기록 시간외],상세표[사번키],INDEX(합계표[사번키],$X140),상세표[기록월],대상월키))</f>
        <v/>
      </c>
      <c r="H140">
        <f>IF($X140="","",IF(ABS($F140-$G140)&lt;0.01,"일치","불일치(차이 "&amp;TEXT($G140-$F140,"0.00")&amp;")"))</f>
        <v/>
      </c>
      <c r="I140" s="20">
        <f>IF($X140="","",SUMIFS(상세표[기록 시간외],상세표[사번키],INDEX(합계표[사번키],$X140),상세표[기록월],대상월키,상세표[반영월],"&lt;&gt;"&amp;대상월키))</f>
        <v/>
      </c>
      <c r="J140" s="20">
        <f>IF($X140="","",SUMIFS(상세표[기록 시간외],상세표[사번키],INDEX(합계표[사번키],$X140),상세표[기록월],"&lt;&gt;"&amp;대상월키,상세표[반영월],대상월키))</f>
        <v/>
      </c>
      <c r="K140" s="20">
        <f>IF($X140="","",SUMIFS(상세표[기록 시간외],상세표[사번키],INDEX(합계표[사번키],$X140),상세표[반영월],대상월키))</f>
        <v/>
      </c>
      <c r="L140">
        <f>IF($X140="","",IFERROR(INDEX(월별근무지표[적용 급여병원],MATCH(INDEX(합계표[사번키],$X140)&amp;"|"&amp;대상월키,월별근무지표[키],0))&amp;"",IF(COUNTIF(기관표[사번키],INDEX(합계표[사번키],$X140))+COUNTIF(월별근무지표[사번키],INDEX(합계표[사번키],$X140))&gt;0,IFERROR(INDEX(기관표[급여지급병원(기준월)],MATCH(INDEX(합계표[사번키],$X140)&amp;"|"&amp;대상월키,기관표[키],0))&amp;"","—"),"—")))</f>
        <v/>
      </c>
      <c r="M140">
        <f>IF($X140="","",IF(NOT(COUNTIF(기관표[사번키],INDEX(합계표[사번키],$X140))+COUNTIF(월별근무지표[사번키],INDEX(합계표[사번키],$X140))&gt;0),"기관명단에 없음(다른 병원으로 발송)",IF($L140="서울병원","해당",IF(N($R140)&gt;0,"해당(말일 근무)",IF($L140="—","대상월 기관명단 없음(추가 필요)","비해당")))))</f>
        <v/>
      </c>
      <c r="N140" s="20">
        <f>IF($X140="","",SUMIFS(상세표[06~07시],상세표[사번키],INDEX(합계표[사번키],$X140),상세표[반영월],대상월키,상세표[반영 기관],"서울병원"))</f>
        <v/>
      </c>
      <c r="O140" s="20">
        <f>IF($X140="","",SUMIFS(상세표[07~18시],상세표[사번키],INDEX(합계표[사번키],$X140),상세표[반영월],대상월키,상세표[반영 기관],"서울병원"))</f>
        <v/>
      </c>
      <c r="P140" s="20">
        <f>IF($X140="","",SUMIFS(상세표[18~22시],상세표[사번키],INDEX(합계표[사번키],$X140),상세표[반영월],대상월키,상세표[반영 기관],"서울병원"))</f>
        <v/>
      </c>
      <c r="Q140" s="20">
        <f>IF($X140="","",SUMIFS(상세표[22~06시],상세표[사번키],INDEX(합계표[사번키],$X140),상세표[반영월],대상월키,상세표[반영 기관],"서울병원"))</f>
        <v/>
      </c>
      <c r="R140" s="20">
        <f>IF($X140="","",SUM($N140:$Q140))</f>
        <v/>
      </c>
      <c r="S140">
        <f>IF($X140="","",COUNTIFS(상세표[사번키],INDEX(합계표[사번키],$X140),상세표[반영월],대상월키,상세표[야간당직],1,상세표[야간 구분],"평일"))</f>
        <v/>
      </c>
      <c r="T140">
        <f>IF($X140="","",COUNTIFS(상세표[사번키],INDEX(합계표[사번키],$X140),상세표[반영월],대상월키,상세표[야간당직],1,상세표[야간 구분],"휴일"))</f>
        <v/>
      </c>
      <c r="U140">
        <f>IF($X140="","",COUNTIFS(상세표[사번키],INDEX(합계표[사번키],$X140),상세표[반영월],대상월키,상세표[야간당직],1,상세표[야간 구분],"평일",상세표[반영 기관],"서울병원"))</f>
        <v/>
      </c>
      <c r="V140">
        <f>IF($X140="","",COUNTIFS(상세표[사번키],INDEX(합계표[사번키],$X140),상세표[반영월],대상월키,상세표[야간당직],1,상세표[야간 구분],"휴일",상세표[반영 기관],"서울병원"))</f>
        <v/>
      </c>
      <c r="W140">
        <f>IF($X140="","",IF(ISNUMBER(MATCH(INDEX(합계표[사번키],$X140)&amp;"|"&amp;대상월키,월별근무지표[키],0)),"직접 입력",IF($L140="—","—","기관명단")))</f>
        <v/>
      </c>
      <c r="X140" s="4">
        <f>IFERROR(MATCH(135,합계표[판정순번],0),"")</f>
        <v/>
      </c>
      <c r="Z140">
        <f>IF($AC140="","",INDEX(상세표[사번],$AC140)&amp;"")</f>
        <v/>
      </c>
      <c r="AA140">
        <f>IF($AC140="","",INDEX(상세표[성명],$AC140)&amp;"")</f>
        <v/>
      </c>
      <c r="AB140" s="20">
        <f>IF($AC140="","",SUMIFS(상세표[기록 시간외],상세표[사번키],INDEX(상세표[사번키],$AC140),상세표[반영월],대상월키))</f>
        <v/>
      </c>
      <c r="AC140" s="4">
        <f>IFERROR(MATCH(135,상세표[합계없음순번],0),"")</f>
        <v/>
      </c>
    </row>
    <row r="141">
      <c r="A141">
        <f>IF($X141="","",INDEX(합계표[사번],$X141)&amp;"")</f>
        <v/>
      </c>
      <c r="B141">
        <f>IF($X141="","",INDEX(합계표[성명],$X141)&amp;"")</f>
        <v/>
      </c>
      <c r="C141">
        <f>IF($X141="","",INDEX(합계표[부서],$X141)&amp;"")</f>
        <v/>
      </c>
      <c r="D141">
        <f>IF($X141="","",INDEX(합계표[직위(요약)],$X141)&amp;"")</f>
        <v/>
      </c>
      <c r="E141">
        <f>IF($X141="","",INDEX(합계표[직급 공존],$X141)&amp;"")</f>
        <v/>
      </c>
      <c r="F141" s="20">
        <f>IF($X141="","",SUMIFS(합계표[시스템 합계],합계표[사번키],INDEX(합계표[사번키],$X141)))</f>
        <v/>
      </c>
      <c r="G141" s="20">
        <f>IF($X141="","",SUMIFS(상세표[기록 시간외],상세표[사번키],INDEX(합계표[사번키],$X141),상세표[기록월],대상월키))</f>
        <v/>
      </c>
      <c r="H141">
        <f>IF($X141="","",IF(ABS($F141-$G141)&lt;0.01,"일치","불일치(차이 "&amp;TEXT($G141-$F141,"0.00")&amp;")"))</f>
        <v/>
      </c>
      <c r="I141" s="20">
        <f>IF($X141="","",SUMIFS(상세표[기록 시간외],상세표[사번키],INDEX(합계표[사번키],$X141),상세표[기록월],대상월키,상세표[반영월],"&lt;&gt;"&amp;대상월키))</f>
        <v/>
      </c>
      <c r="J141" s="20">
        <f>IF($X141="","",SUMIFS(상세표[기록 시간외],상세표[사번키],INDEX(합계표[사번키],$X141),상세표[기록월],"&lt;&gt;"&amp;대상월키,상세표[반영월],대상월키))</f>
        <v/>
      </c>
      <c r="K141" s="20">
        <f>IF($X141="","",SUMIFS(상세표[기록 시간외],상세표[사번키],INDEX(합계표[사번키],$X141),상세표[반영월],대상월키))</f>
        <v/>
      </c>
      <c r="L141">
        <f>IF($X141="","",IFERROR(INDEX(월별근무지표[적용 급여병원],MATCH(INDEX(합계표[사번키],$X141)&amp;"|"&amp;대상월키,월별근무지표[키],0))&amp;"",IF(COUNTIF(기관표[사번키],INDEX(합계표[사번키],$X141))+COUNTIF(월별근무지표[사번키],INDEX(합계표[사번키],$X141))&gt;0,IFERROR(INDEX(기관표[급여지급병원(기준월)],MATCH(INDEX(합계표[사번키],$X141)&amp;"|"&amp;대상월키,기관표[키],0))&amp;"","—"),"—")))</f>
        <v/>
      </c>
      <c r="M141">
        <f>IF($X141="","",IF(NOT(COUNTIF(기관표[사번키],INDEX(합계표[사번키],$X141))+COUNTIF(월별근무지표[사번키],INDEX(합계표[사번키],$X141))&gt;0),"기관명단에 없음(다른 병원으로 발송)",IF($L141="서울병원","해당",IF(N($R141)&gt;0,"해당(말일 근무)",IF($L141="—","대상월 기관명단 없음(추가 필요)","비해당")))))</f>
        <v/>
      </c>
      <c r="N141" s="20">
        <f>IF($X141="","",SUMIFS(상세표[06~07시],상세표[사번키],INDEX(합계표[사번키],$X141),상세표[반영월],대상월키,상세표[반영 기관],"서울병원"))</f>
        <v/>
      </c>
      <c r="O141" s="20">
        <f>IF($X141="","",SUMIFS(상세표[07~18시],상세표[사번키],INDEX(합계표[사번키],$X141),상세표[반영월],대상월키,상세표[반영 기관],"서울병원"))</f>
        <v/>
      </c>
      <c r="P141" s="20">
        <f>IF($X141="","",SUMIFS(상세표[18~22시],상세표[사번키],INDEX(합계표[사번키],$X141),상세표[반영월],대상월키,상세표[반영 기관],"서울병원"))</f>
        <v/>
      </c>
      <c r="Q141" s="20">
        <f>IF($X141="","",SUMIFS(상세표[22~06시],상세표[사번키],INDEX(합계표[사번키],$X141),상세표[반영월],대상월키,상세표[반영 기관],"서울병원"))</f>
        <v/>
      </c>
      <c r="R141" s="20">
        <f>IF($X141="","",SUM($N141:$Q141))</f>
        <v/>
      </c>
      <c r="S141">
        <f>IF($X141="","",COUNTIFS(상세표[사번키],INDEX(합계표[사번키],$X141),상세표[반영월],대상월키,상세표[야간당직],1,상세표[야간 구분],"평일"))</f>
        <v/>
      </c>
      <c r="T141">
        <f>IF($X141="","",COUNTIFS(상세표[사번키],INDEX(합계표[사번키],$X141),상세표[반영월],대상월키,상세표[야간당직],1,상세표[야간 구분],"휴일"))</f>
        <v/>
      </c>
      <c r="U141">
        <f>IF($X141="","",COUNTIFS(상세표[사번키],INDEX(합계표[사번키],$X141),상세표[반영월],대상월키,상세표[야간당직],1,상세표[야간 구분],"평일",상세표[반영 기관],"서울병원"))</f>
        <v/>
      </c>
      <c r="V141">
        <f>IF($X141="","",COUNTIFS(상세표[사번키],INDEX(합계표[사번키],$X141),상세표[반영월],대상월키,상세표[야간당직],1,상세표[야간 구분],"휴일",상세표[반영 기관],"서울병원"))</f>
        <v/>
      </c>
      <c r="W141">
        <f>IF($X141="","",IF(ISNUMBER(MATCH(INDEX(합계표[사번키],$X141)&amp;"|"&amp;대상월키,월별근무지표[키],0)),"직접 입력",IF($L141="—","—","기관명단")))</f>
        <v/>
      </c>
      <c r="X141" s="4">
        <f>IFERROR(MATCH(136,합계표[판정순번],0),"")</f>
        <v/>
      </c>
      <c r="Z141">
        <f>IF($AC141="","",INDEX(상세표[사번],$AC141)&amp;"")</f>
        <v/>
      </c>
      <c r="AA141">
        <f>IF($AC141="","",INDEX(상세표[성명],$AC141)&amp;"")</f>
        <v/>
      </c>
      <c r="AB141" s="20">
        <f>IF($AC141="","",SUMIFS(상세표[기록 시간외],상세표[사번키],INDEX(상세표[사번키],$AC141),상세표[반영월],대상월키))</f>
        <v/>
      </c>
      <c r="AC141" s="4">
        <f>IFERROR(MATCH(136,상세표[합계없음순번],0),"")</f>
        <v/>
      </c>
    </row>
    <row r="142">
      <c r="A142">
        <f>IF($X142="","",INDEX(합계표[사번],$X142)&amp;"")</f>
        <v/>
      </c>
      <c r="B142">
        <f>IF($X142="","",INDEX(합계표[성명],$X142)&amp;"")</f>
        <v/>
      </c>
      <c r="C142">
        <f>IF($X142="","",INDEX(합계표[부서],$X142)&amp;"")</f>
        <v/>
      </c>
      <c r="D142">
        <f>IF($X142="","",INDEX(합계표[직위(요약)],$X142)&amp;"")</f>
        <v/>
      </c>
      <c r="E142">
        <f>IF($X142="","",INDEX(합계표[직급 공존],$X142)&amp;"")</f>
        <v/>
      </c>
      <c r="F142" s="20">
        <f>IF($X142="","",SUMIFS(합계표[시스템 합계],합계표[사번키],INDEX(합계표[사번키],$X142)))</f>
        <v/>
      </c>
      <c r="G142" s="20">
        <f>IF($X142="","",SUMIFS(상세표[기록 시간외],상세표[사번키],INDEX(합계표[사번키],$X142),상세표[기록월],대상월키))</f>
        <v/>
      </c>
      <c r="H142">
        <f>IF($X142="","",IF(ABS($F142-$G142)&lt;0.01,"일치","불일치(차이 "&amp;TEXT($G142-$F142,"0.00")&amp;")"))</f>
        <v/>
      </c>
      <c r="I142" s="20">
        <f>IF($X142="","",SUMIFS(상세표[기록 시간외],상세표[사번키],INDEX(합계표[사번키],$X142),상세표[기록월],대상월키,상세표[반영월],"&lt;&gt;"&amp;대상월키))</f>
        <v/>
      </c>
      <c r="J142" s="20">
        <f>IF($X142="","",SUMIFS(상세표[기록 시간외],상세표[사번키],INDEX(합계표[사번키],$X142),상세표[기록월],"&lt;&gt;"&amp;대상월키,상세표[반영월],대상월키))</f>
        <v/>
      </c>
      <c r="K142" s="20">
        <f>IF($X142="","",SUMIFS(상세표[기록 시간외],상세표[사번키],INDEX(합계표[사번키],$X142),상세표[반영월],대상월키))</f>
        <v/>
      </c>
      <c r="L142">
        <f>IF($X142="","",IFERROR(INDEX(월별근무지표[적용 급여병원],MATCH(INDEX(합계표[사번키],$X142)&amp;"|"&amp;대상월키,월별근무지표[키],0))&amp;"",IF(COUNTIF(기관표[사번키],INDEX(합계표[사번키],$X142))+COUNTIF(월별근무지표[사번키],INDEX(합계표[사번키],$X142))&gt;0,IFERROR(INDEX(기관표[급여지급병원(기준월)],MATCH(INDEX(합계표[사번키],$X142)&amp;"|"&amp;대상월키,기관표[키],0))&amp;"","—"),"—")))</f>
        <v/>
      </c>
      <c r="M142">
        <f>IF($X142="","",IF(NOT(COUNTIF(기관표[사번키],INDEX(합계표[사번키],$X142))+COUNTIF(월별근무지표[사번키],INDEX(합계표[사번키],$X142))&gt;0),"기관명단에 없음(다른 병원으로 발송)",IF($L142="서울병원","해당",IF(N($R142)&gt;0,"해당(말일 근무)",IF($L142="—","대상월 기관명단 없음(추가 필요)","비해당")))))</f>
        <v/>
      </c>
      <c r="N142" s="20">
        <f>IF($X142="","",SUMIFS(상세표[06~07시],상세표[사번키],INDEX(합계표[사번키],$X142),상세표[반영월],대상월키,상세표[반영 기관],"서울병원"))</f>
        <v/>
      </c>
      <c r="O142" s="20">
        <f>IF($X142="","",SUMIFS(상세표[07~18시],상세표[사번키],INDEX(합계표[사번키],$X142),상세표[반영월],대상월키,상세표[반영 기관],"서울병원"))</f>
        <v/>
      </c>
      <c r="P142" s="20">
        <f>IF($X142="","",SUMIFS(상세표[18~22시],상세표[사번키],INDEX(합계표[사번키],$X142),상세표[반영월],대상월키,상세표[반영 기관],"서울병원"))</f>
        <v/>
      </c>
      <c r="Q142" s="20">
        <f>IF($X142="","",SUMIFS(상세표[22~06시],상세표[사번키],INDEX(합계표[사번키],$X142),상세표[반영월],대상월키,상세표[반영 기관],"서울병원"))</f>
        <v/>
      </c>
      <c r="R142" s="20">
        <f>IF($X142="","",SUM($N142:$Q142))</f>
        <v/>
      </c>
      <c r="S142">
        <f>IF($X142="","",COUNTIFS(상세표[사번키],INDEX(합계표[사번키],$X142),상세표[반영월],대상월키,상세표[야간당직],1,상세표[야간 구분],"평일"))</f>
        <v/>
      </c>
      <c r="T142">
        <f>IF($X142="","",COUNTIFS(상세표[사번키],INDEX(합계표[사번키],$X142),상세표[반영월],대상월키,상세표[야간당직],1,상세표[야간 구분],"휴일"))</f>
        <v/>
      </c>
      <c r="U142">
        <f>IF($X142="","",COUNTIFS(상세표[사번키],INDEX(합계표[사번키],$X142),상세표[반영월],대상월키,상세표[야간당직],1,상세표[야간 구분],"평일",상세표[반영 기관],"서울병원"))</f>
        <v/>
      </c>
      <c r="V142">
        <f>IF($X142="","",COUNTIFS(상세표[사번키],INDEX(합계표[사번키],$X142),상세표[반영월],대상월키,상세표[야간당직],1,상세표[야간 구분],"휴일",상세표[반영 기관],"서울병원"))</f>
        <v/>
      </c>
      <c r="W142">
        <f>IF($X142="","",IF(ISNUMBER(MATCH(INDEX(합계표[사번키],$X142)&amp;"|"&amp;대상월키,월별근무지표[키],0)),"직접 입력",IF($L142="—","—","기관명단")))</f>
        <v/>
      </c>
      <c r="X142" s="4">
        <f>IFERROR(MATCH(137,합계표[판정순번],0),"")</f>
        <v/>
      </c>
      <c r="Z142">
        <f>IF($AC142="","",INDEX(상세표[사번],$AC142)&amp;"")</f>
        <v/>
      </c>
      <c r="AA142">
        <f>IF($AC142="","",INDEX(상세표[성명],$AC142)&amp;"")</f>
        <v/>
      </c>
      <c r="AB142" s="20">
        <f>IF($AC142="","",SUMIFS(상세표[기록 시간외],상세표[사번키],INDEX(상세표[사번키],$AC142),상세표[반영월],대상월키))</f>
        <v/>
      </c>
      <c r="AC142" s="4">
        <f>IFERROR(MATCH(137,상세표[합계없음순번],0),"")</f>
        <v/>
      </c>
    </row>
    <row r="143">
      <c r="A143">
        <f>IF($X143="","",INDEX(합계표[사번],$X143)&amp;"")</f>
        <v/>
      </c>
      <c r="B143">
        <f>IF($X143="","",INDEX(합계표[성명],$X143)&amp;"")</f>
        <v/>
      </c>
      <c r="C143">
        <f>IF($X143="","",INDEX(합계표[부서],$X143)&amp;"")</f>
        <v/>
      </c>
      <c r="D143">
        <f>IF($X143="","",INDEX(합계표[직위(요약)],$X143)&amp;"")</f>
        <v/>
      </c>
      <c r="E143">
        <f>IF($X143="","",INDEX(합계표[직급 공존],$X143)&amp;"")</f>
        <v/>
      </c>
      <c r="F143" s="20">
        <f>IF($X143="","",SUMIFS(합계표[시스템 합계],합계표[사번키],INDEX(합계표[사번키],$X143)))</f>
        <v/>
      </c>
      <c r="G143" s="20">
        <f>IF($X143="","",SUMIFS(상세표[기록 시간외],상세표[사번키],INDEX(합계표[사번키],$X143),상세표[기록월],대상월키))</f>
        <v/>
      </c>
      <c r="H143">
        <f>IF($X143="","",IF(ABS($F143-$G143)&lt;0.01,"일치","불일치(차이 "&amp;TEXT($G143-$F143,"0.00")&amp;")"))</f>
        <v/>
      </c>
      <c r="I143" s="20">
        <f>IF($X143="","",SUMIFS(상세표[기록 시간외],상세표[사번키],INDEX(합계표[사번키],$X143),상세표[기록월],대상월키,상세표[반영월],"&lt;&gt;"&amp;대상월키))</f>
        <v/>
      </c>
      <c r="J143" s="20">
        <f>IF($X143="","",SUMIFS(상세표[기록 시간외],상세표[사번키],INDEX(합계표[사번키],$X143),상세표[기록월],"&lt;&gt;"&amp;대상월키,상세표[반영월],대상월키))</f>
        <v/>
      </c>
      <c r="K143" s="20">
        <f>IF($X143="","",SUMIFS(상세표[기록 시간외],상세표[사번키],INDEX(합계표[사번키],$X143),상세표[반영월],대상월키))</f>
        <v/>
      </c>
      <c r="L143">
        <f>IF($X143="","",IFERROR(INDEX(월별근무지표[적용 급여병원],MATCH(INDEX(합계표[사번키],$X143)&amp;"|"&amp;대상월키,월별근무지표[키],0))&amp;"",IF(COUNTIF(기관표[사번키],INDEX(합계표[사번키],$X143))+COUNTIF(월별근무지표[사번키],INDEX(합계표[사번키],$X143))&gt;0,IFERROR(INDEX(기관표[급여지급병원(기준월)],MATCH(INDEX(합계표[사번키],$X143)&amp;"|"&amp;대상월키,기관표[키],0))&amp;"","—"),"—")))</f>
        <v/>
      </c>
      <c r="M143">
        <f>IF($X143="","",IF(NOT(COUNTIF(기관표[사번키],INDEX(합계표[사번키],$X143))+COUNTIF(월별근무지표[사번키],INDEX(합계표[사번키],$X143))&gt;0),"기관명단에 없음(다른 병원으로 발송)",IF($L143="서울병원","해당",IF(N($R143)&gt;0,"해당(말일 근무)",IF($L143="—","대상월 기관명단 없음(추가 필요)","비해당")))))</f>
        <v/>
      </c>
      <c r="N143" s="20">
        <f>IF($X143="","",SUMIFS(상세표[06~07시],상세표[사번키],INDEX(합계표[사번키],$X143),상세표[반영월],대상월키,상세표[반영 기관],"서울병원"))</f>
        <v/>
      </c>
      <c r="O143" s="20">
        <f>IF($X143="","",SUMIFS(상세표[07~18시],상세표[사번키],INDEX(합계표[사번키],$X143),상세표[반영월],대상월키,상세표[반영 기관],"서울병원"))</f>
        <v/>
      </c>
      <c r="P143" s="20">
        <f>IF($X143="","",SUMIFS(상세표[18~22시],상세표[사번키],INDEX(합계표[사번키],$X143),상세표[반영월],대상월키,상세표[반영 기관],"서울병원"))</f>
        <v/>
      </c>
      <c r="Q143" s="20">
        <f>IF($X143="","",SUMIFS(상세표[22~06시],상세표[사번키],INDEX(합계표[사번키],$X143),상세표[반영월],대상월키,상세표[반영 기관],"서울병원"))</f>
        <v/>
      </c>
      <c r="R143" s="20">
        <f>IF($X143="","",SUM($N143:$Q143))</f>
        <v/>
      </c>
      <c r="S143">
        <f>IF($X143="","",COUNTIFS(상세표[사번키],INDEX(합계표[사번키],$X143),상세표[반영월],대상월키,상세표[야간당직],1,상세표[야간 구분],"평일"))</f>
        <v/>
      </c>
      <c r="T143">
        <f>IF($X143="","",COUNTIFS(상세표[사번키],INDEX(합계표[사번키],$X143),상세표[반영월],대상월키,상세표[야간당직],1,상세표[야간 구분],"휴일"))</f>
        <v/>
      </c>
      <c r="U143">
        <f>IF($X143="","",COUNTIFS(상세표[사번키],INDEX(합계표[사번키],$X143),상세표[반영월],대상월키,상세표[야간당직],1,상세표[야간 구분],"평일",상세표[반영 기관],"서울병원"))</f>
        <v/>
      </c>
      <c r="V143">
        <f>IF($X143="","",COUNTIFS(상세표[사번키],INDEX(합계표[사번키],$X143),상세표[반영월],대상월키,상세표[야간당직],1,상세표[야간 구분],"휴일",상세표[반영 기관],"서울병원"))</f>
        <v/>
      </c>
      <c r="W143">
        <f>IF($X143="","",IF(ISNUMBER(MATCH(INDEX(합계표[사번키],$X143)&amp;"|"&amp;대상월키,월별근무지표[키],0)),"직접 입력",IF($L143="—","—","기관명단")))</f>
        <v/>
      </c>
      <c r="X143" s="4">
        <f>IFERROR(MATCH(138,합계표[판정순번],0),"")</f>
        <v/>
      </c>
      <c r="Z143">
        <f>IF($AC143="","",INDEX(상세표[사번],$AC143)&amp;"")</f>
        <v/>
      </c>
      <c r="AA143">
        <f>IF($AC143="","",INDEX(상세표[성명],$AC143)&amp;"")</f>
        <v/>
      </c>
      <c r="AB143" s="20">
        <f>IF($AC143="","",SUMIFS(상세표[기록 시간외],상세표[사번키],INDEX(상세표[사번키],$AC143),상세표[반영월],대상월키))</f>
        <v/>
      </c>
      <c r="AC143" s="4">
        <f>IFERROR(MATCH(138,상세표[합계없음순번],0),"")</f>
        <v/>
      </c>
    </row>
    <row r="144">
      <c r="A144">
        <f>IF($X144="","",INDEX(합계표[사번],$X144)&amp;"")</f>
        <v/>
      </c>
      <c r="B144">
        <f>IF($X144="","",INDEX(합계표[성명],$X144)&amp;"")</f>
        <v/>
      </c>
      <c r="C144">
        <f>IF($X144="","",INDEX(합계표[부서],$X144)&amp;"")</f>
        <v/>
      </c>
      <c r="D144">
        <f>IF($X144="","",INDEX(합계표[직위(요약)],$X144)&amp;"")</f>
        <v/>
      </c>
      <c r="E144">
        <f>IF($X144="","",INDEX(합계표[직급 공존],$X144)&amp;"")</f>
        <v/>
      </c>
      <c r="F144" s="20">
        <f>IF($X144="","",SUMIFS(합계표[시스템 합계],합계표[사번키],INDEX(합계표[사번키],$X144)))</f>
        <v/>
      </c>
      <c r="G144" s="20">
        <f>IF($X144="","",SUMIFS(상세표[기록 시간외],상세표[사번키],INDEX(합계표[사번키],$X144),상세표[기록월],대상월키))</f>
        <v/>
      </c>
      <c r="H144">
        <f>IF($X144="","",IF(ABS($F144-$G144)&lt;0.01,"일치","불일치(차이 "&amp;TEXT($G144-$F144,"0.00")&amp;")"))</f>
        <v/>
      </c>
      <c r="I144" s="20">
        <f>IF($X144="","",SUMIFS(상세표[기록 시간외],상세표[사번키],INDEX(합계표[사번키],$X144),상세표[기록월],대상월키,상세표[반영월],"&lt;&gt;"&amp;대상월키))</f>
        <v/>
      </c>
      <c r="J144" s="20">
        <f>IF($X144="","",SUMIFS(상세표[기록 시간외],상세표[사번키],INDEX(합계표[사번키],$X144),상세표[기록월],"&lt;&gt;"&amp;대상월키,상세표[반영월],대상월키))</f>
        <v/>
      </c>
      <c r="K144" s="20">
        <f>IF($X144="","",SUMIFS(상세표[기록 시간외],상세표[사번키],INDEX(합계표[사번키],$X144),상세표[반영월],대상월키))</f>
        <v/>
      </c>
      <c r="L144">
        <f>IF($X144="","",IFERROR(INDEX(월별근무지표[적용 급여병원],MATCH(INDEX(합계표[사번키],$X144)&amp;"|"&amp;대상월키,월별근무지표[키],0))&amp;"",IF(COUNTIF(기관표[사번키],INDEX(합계표[사번키],$X144))+COUNTIF(월별근무지표[사번키],INDEX(합계표[사번키],$X144))&gt;0,IFERROR(INDEX(기관표[급여지급병원(기준월)],MATCH(INDEX(합계표[사번키],$X144)&amp;"|"&amp;대상월키,기관표[키],0))&amp;"","—"),"—")))</f>
        <v/>
      </c>
      <c r="M144">
        <f>IF($X144="","",IF(NOT(COUNTIF(기관표[사번키],INDEX(합계표[사번키],$X144))+COUNTIF(월별근무지표[사번키],INDEX(합계표[사번키],$X144))&gt;0),"기관명단에 없음(다른 병원으로 발송)",IF($L144="서울병원","해당",IF(N($R144)&gt;0,"해당(말일 근무)",IF($L144="—","대상월 기관명단 없음(추가 필요)","비해당")))))</f>
        <v/>
      </c>
      <c r="N144" s="20">
        <f>IF($X144="","",SUMIFS(상세표[06~07시],상세표[사번키],INDEX(합계표[사번키],$X144),상세표[반영월],대상월키,상세표[반영 기관],"서울병원"))</f>
        <v/>
      </c>
      <c r="O144" s="20">
        <f>IF($X144="","",SUMIFS(상세표[07~18시],상세표[사번키],INDEX(합계표[사번키],$X144),상세표[반영월],대상월키,상세표[반영 기관],"서울병원"))</f>
        <v/>
      </c>
      <c r="P144" s="20">
        <f>IF($X144="","",SUMIFS(상세표[18~22시],상세표[사번키],INDEX(합계표[사번키],$X144),상세표[반영월],대상월키,상세표[반영 기관],"서울병원"))</f>
        <v/>
      </c>
      <c r="Q144" s="20">
        <f>IF($X144="","",SUMIFS(상세표[22~06시],상세표[사번키],INDEX(합계표[사번키],$X144),상세표[반영월],대상월키,상세표[반영 기관],"서울병원"))</f>
        <v/>
      </c>
      <c r="R144" s="20">
        <f>IF($X144="","",SUM($N144:$Q144))</f>
        <v/>
      </c>
      <c r="S144">
        <f>IF($X144="","",COUNTIFS(상세표[사번키],INDEX(합계표[사번키],$X144),상세표[반영월],대상월키,상세표[야간당직],1,상세표[야간 구분],"평일"))</f>
        <v/>
      </c>
      <c r="T144">
        <f>IF($X144="","",COUNTIFS(상세표[사번키],INDEX(합계표[사번키],$X144),상세표[반영월],대상월키,상세표[야간당직],1,상세표[야간 구분],"휴일"))</f>
        <v/>
      </c>
      <c r="U144">
        <f>IF($X144="","",COUNTIFS(상세표[사번키],INDEX(합계표[사번키],$X144),상세표[반영월],대상월키,상세표[야간당직],1,상세표[야간 구분],"평일",상세표[반영 기관],"서울병원"))</f>
        <v/>
      </c>
      <c r="V144">
        <f>IF($X144="","",COUNTIFS(상세표[사번키],INDEX(합계표[사번키],$X144),상세표[반영월],대상월키,상세표[야간당직],1,상세표[야간 구분],"휴일",상세표[반영 기관],"서울병원"))</f>
        <v/>
      </c>
      <c r="W144">
        <f>IF($X144="","",IF(ISNUMBER(MATCH(INDEX(합계표[사번키],$X144)&amp;"|"&amp;대상월키,월별근무지표[키],0)),"직접 입력",IF($L144="—","—","기관명단")))</f>
        <v/>
      </c>
      <c r="X144" s="4">
        <f>IFERROR(MATCH(139,합계표[판정순번],0),"")</f>
        <v/>
      </c>
      <c r="Z144">
        <f>IF($AC144="","",INDEX(상세표[사번],$AC144)&amp;"")</f>
        <v/>
      </c>
      <c r="AA144">
        <f>IF($AC144="","",INDEX(상세표[성명],$AC144)&amp;"")</f>
        <v/>
      </c>
      <c r="AB144" s="20">
        <f>IF($AC144="","",SUMIFS(상세표[기록 시간외],상세표[사번키],INDEX(상세표[사번키],$AC144),상세표[반영월],대상월키))</f>
        <v/>
      </c>
      <c r="AC144" s="4">
        <f>IFERROR(MATCH(139,상세표[합계없음순번],0),"")</f>
        <v/>
      </c>
    </row>
    <row r="145">
      <c r="A145">
        <f>IF($X145="","",INDEX(합계표[사번],$X145)&amp;"")</f>
        <v/>
      </c>
      <c r="B145">
        <f>IF($X145="","",INDEX(합계표[성명],$X145)&amp;"")</f>
        <v/>
      </c>
      <c r="C145">
        <f>IF($X145="","",INDEX(합계표[부서],$X145)&amp;"")</f>
        <v/>
      </c>
      <c r="D145">
        <f>IF($X145="","",INDEX(합계표[직위(요약)],$X145)&amp;"")</f>
        <v/>
      </c>
      <c r="E145">
        <f>IF($X145="","",INDEX(합계표[직급 공존],$X145)&amp;"")</f>
        <v/>
      </c>
      <c r="F145" s="20">
        <f>IF($X145="","",SUMIFS(합계표[시스템 합계],합계표[사번키],INDEX(합계표[사번키],$X145)))</f>
        <v/>
      </c>
      <c r="G145" s="20">
        <f>IF($X145="","",SUMIFS(상세표[기록 시간외],상세표[사번키],INDEX(합계표[사번키],$X145),상세표[기록월],대상월키))</f>
        <v/>
      </c>
      <c r="H145">
        <f>IF($X145="","",IF(ABS($F145-$G145)&lt;0.01,"일치","불일치(차이 "&amp;TEXT($G145-$F145,"0.00")&amp;")"))</f>
        <v/>
      </c>
      <c r="I145" s="20">
        <f>IF($X145="","",SUMIFS(상세표[기록 시간외],상세표[사번키],INDEX(합계표[사번키],$X145),상세표[기록월],대상월키,상세표[반영월],"&lt;&gt;"&amp;대상월키))</f>
        <v/>
      </c>
      <c r="J145" s="20">
        <f>IF($X145="","",SUMIFS(상세표[기록 시간외],상세표[사번키],INDEX(합계표[사번키],$X145),상세표[기록월],"&lt;&gt;"&amp;대상월키,상세표[반영월],대상월키))</f>
        <v/>
      </c>
      <c r="K145" s="20">
        <f>IF($X145="","",SUMIFS(상세표[기록 시간외],상세표[사번키],INDEX(합계표[사번키],$X145),상세표[반영월],대상월키))</f>
        <v/>
      </c>
      <c r="L145">
        <f>IF($X145="","",IFERROR(INDEX(월별근무지표[적용 급여병원],MATCH(INDEX(합계표[사번키],$X145)&amp;"|"&amp;대상월키,월별근무지표[키],0))&amp;"",IF(COUNTIF(기관표[사번키],INDEX(합계표[사번키],$X145))+COUNTIF(월별근무지표[사번키],INDEX(합계표[사번키],$X145))&gt;0,IFERROR(INDEX(기관표[급여지급병원(기준월)],MATCH(INDEX(합계표[사번키],$X145)&amp;"|"&amp;대상월키,기관표[키],0))&amp;"","—"),"—")))</f>
        <v/>
      </c>
      <c r="M145">
        <f>IF($X145="","",IF(NOT(COUNTIF(기관표[사번키],INDEX(합계표[사번키],$X145))+COUNTIF(월별근무지표[사번키],INDEX(합계표[사번키],$X145))&gt;0),"기관명단에 없음(다른 병원으로 발송)",IF($L145="서울병원","해당",IF(N($R145)&gt;0,"해당(말일 근무)",IF($L145="—","대상월 기관명단 없음(추가 필요)","비해당")))))</f>
        <v/>
      </c>
      <c r="N145" s="20">
        <f>IF($X145="","",SUMIFS(상세표[06~07시],상세표[사번키],INDEX(합계표[사번키],$X145),상세표[반영월],대상월키,상세표[반영 기관],"서울병원"))</f>
        <v/>
      </c>
      <c r="O145" s="20">
        <f>IF($X145="","",SUMIFS(상세표[07~18시],상세표[사번키],INDEX(합계표[사번키],$X145),상세표[반영월],대상월키,상세표[반영 기관],"서울병원"))</f>
        <v/>
      </c>
      <c r="P145" s="20">
        <f>IF($X145="","",SUMIFS(상세표[18~22시],상세표[사번키],INDEX(합계표[사번키],$X145),상세표[반영월],대상월키,상세표[반영 기관],"서울병원"))</f>
        <v/>
      </c>
      <c r="Q145" s="20">
        <f>IF($X145="","",SUMIFS(상세표[22~06시],상세표[사번키],INDEX(합계표[사번키],$X145),상세표[반영월],대상월키,상세표[반영 기관],"서울병원"))</f>
        <v/>
      </c>
      <c r="R145" s="20">
        <f>IF($X145="","",SUM($N145:$Q145))</f>
        <v/>
      </c>
      <c r="S145">
        <f>IF($X145="","",COUNTIFS(상세표[사번키],INDEX(합계표[사번키],$X145),상세표[반영월],대상월키,상세표[야간당직],1,상세표[야간 구분],"평일"))</f>
        <v/>
      </c>
      <c r="T145">
        <f>IF($X145="","",COUNTIFS(상세표[사번키],INDEX(합계표[사번키],$X145),상세표[반영월],대상월키,상세표[야간당직],1,상세표[야간 구분],"휴일"))</f>
        <v/>
      </c>
      <c r="U145">
        <f>IF($X145="","",COUNTIFS(상세표[사번키],INDEX(합계표[사번키],$X145),상세표[반영월],대상월키,상세표[야간당직],1,상세표[야간 구분],"평일",상세표[반영 기관],"서울병원"))</f>
        <v/>
      </c>
      <c r="V145">
        <f>IF($X145="","",COUNTIFS(상세표[사번키],INDEX(합계표[사번키],$X145),상세표[반영월],대상월키,상세표[야간당직],1,상세표[야간 구분],"휴일",상세표[반영 기관],"서울병원"))</f>
        <v/>
      </c>
      <c r="W145">
        <f>IF($X145="","",IF(ISNUMBER(MATCH(INDEX(합계표[사번키],$X145)&amp;"|"&amp;대상월키,월별근무지표[키],0)),"직접 입력",IF($L145="—","—","기관명단")))</f>
        <v/>
      </c>
      <c r="X145" s="4">
        <f>IFERROR(MATCH(140,합계표[판정순번],0),"")</f>
        <v/>
      </c>
      <c r="Z145">
        <f>IF($AC145="","",INDEX(상세표[사번],$AC145)&amp;"")</f>
        <v/>
      </c>
      <c r="AA145">
        <f>IF($AC145="","",INDEX(상세표[성명],$AC145)&amp;"")</f>
        <v/>
      </c>
      <c r="AB145" s="20">
        <f>IF($AC145="","",SUMIFS(상세표[기록 시간외],상세표[사번키],INDEX(상세표[사번키],$AC145),상세표[반영월],대상월키))</f>
        <v/>
      </c>
      <c r="AC145" s="4">
        <f>IFERROR(MATCH(140,상세표[합계없음순번],0),"")</f>
        <v/>
      </c>
    </row>
    <row r="146">
      <c r="A146">
        <f>IF($X146="","",INDEX(합계표[사번],$X146)&amp;"")</f>
        <v/>
      </c>
      <c r="B146">
        <f>IF($X146="","",INDEX(합계표[성명],$X146)&amp;"")</f>
        <v/>
      </c>
      <c r="C146">
        <f>IF($X146="","",INDEX(합계표[부서],$X146)&amp;"")</f>
        <v/>
      </c>
      <c r="D146">
        <f>IF($X146="","",INDEX(합계표[직위(요약)],$X146)&amp;"")</f>
        <v/>
      </c>
      <c r="E146">
        <f>IF($X146="","",INDEX(합계표[직급 공존],$X146)&amp;"")</f>
        <v/>
      </c>
      <c r="F146" s="20">
        <f>IF($X146="","",SUMIFS(합계표[시스템 합계],합계표[사번키],INDEX(합계표[사번키],$X146)))</f>
        <v/>
      </c>
      <c r="G146" s="20">
        <f>IF($X146="","",SUMIFS(상세표[기록 시간외],상세표[사번키],INDEX(합계표[사번키],$X146),상세표[기록월],대상월키))</f>
        <v/>
      </c>
      <c r="H146">
        <f>IF($X146="","",IF(ABS($F146-$G146)&lt;0.01,"일치","불일치(차이 "&amp;TEXT($G146-$F146,"0.00")&amp;")"))</f>
        <v/>
      </c>
      <c r="I146" s="20">
        <f>IF($X146="","",SUMIFS(상세표[기록 시간외],상세표[사번키],INDEX(합계표[사번키],$X146),상세표[기록월],대상월키,상세표[반영월],"&lt;&gt;"&amp;대상월키))</f>
        <v/>
      </c>
      <c r="J146" s="20">
        <f>IF($X146="","",SUMIFS(상세표[기록 시간외],상세표[사번키],INDEX(합계표[사번키],$X146),상세표[기록월],"&lt;&gt;"&amp;대상월키,상세표[반영월],대상월키))</f>
        <v/>
      </c>
      <c r="K146" s="20">
        <f>IF($X146="","",SUMIFS(상세표[기록 시간외],상세표[사번키],INDEX(합계표[사번키],$X146),상세표[반영월],대상월키))</f>
        <v/>
      </c>
      <c r="L146">
        <f>IF($X146="","",IFERROR(INDEX(월별근무지표[적용 급여병원],MATCH(INDEX(합계표[사번키],$X146)&amp;"|"&amp;대상월키,월별근무지표[키],0))&amp;"",IF(COUNTIF(기관표[사번키],INDEX(합계표[사번키],$X146))+COUNTIF(월별근무지표[사번키],INDEX(합계표[사번키],$X146))&gt;0,IFERROR(INDEX(기관표[급여지급병원(기준월)],MATCH(INDEX(합계표[사번키],$X146)&amp;"|"&amp;대상월키,기관표[키],0))&amp;"","—"),"—")))</f>
        <v/>
      </c>
      <c r="M146">
        <f>IF($X146="","",IF(NOT(COUNTIF(기관표[사번키],INDEX(합계표[사번키],$X146))+COUNTIF(월별근무지표[사번키],INDEX(합계표[사번키],$X146))&gt;0),"기관명단에 없음(다른 병원으로 발송)",IF($L146="서울병원","해당",IF(N($R146)&gt;0,"해당(말일 근무)",IF($L146="—","대상월 기관명단 없음(추가 필요)","비해당")))))</f>
        <v/>
      </c>
      <c r="N146" s="20">
        <f>IF($X146="","",SUMIFS(상세표[06~07시],상세표[사번키],INDEX(합계표[사번키],$X146),상세표[반영월],대상월키,상세표[반영 기관],"서울병원"))</f>
        <v/>
      </c>
      <c r="O146" s="20">
        <f>IF($X146="","",SUMIFS(상세표[07~18시],상세표[사번키],INDEX(합계표[사번키],$X146),상세표[반영월],대상월키,상세표[반영 기관],"서울병원"))</f>
        <v/>
      </c>
      <c r="P146" s="20">
        <f>IF($X146="","",SUMIFS(상세표[18~22시],상세표[사번키],INDEX(합계표[사번키],$X146),상세표[반영월],대상월키,상세표[반영 기관],"서울병원"))</f>
        <v/>
      </c>
      <c r="Q146" s="20">
        <f>IF($X146="","",SUMIFS(상세표[22~06시],상세표[사번키],INDEX(합계표[사번키],$X146),상세표[반영월],대상월키,상세표[반영 기관],"서울병원"))</f>
        <v/>
      </c>
      <c r="R146" s="20">
        <f>IF($X146="","",SUM($N146:$Q146))</f>
        <v/>
      </c>
      <c r="S146">
        <f>IF($X146="","",COUNTIFS(상세표[사번키],INDEX(합계표[사번키],$X146),상세표[반영월],대상월키,상세표[야간당직],1,상세표[야간 구분],"평일"))</f>
        <v/>
      </c>
      <c r="T146">
        <f>IF($X146="","",COUNTIFS(상세표[사번키],INDEX(합계표[사번키],$X146),상세표[반영월],대상월키,상세표[야간당직],1,상세표[야간 구분],"휴일"))</f>
        <v/>
      </c>
      <c r="U146">
        <f>IF($X146="","",COUNTIFS(상세표[사번키],INDEX(합계표[사번키],$X146),상세표[반영월],대상월키,상세표[야간당직],1,상세표[야간 구분],"평일",상세표[반영 기관],"서울병원"))</f>
        <v/>
      </c>
      <c r="V146">
        <f>IF($X146="","",COUNTIFS(상세표[사번키],INDEX(합계표[사번키],$X146),상세표[반영월],대상월키,상세표[야간당직],1,상세표[야간 구분],"휴일",상세표[반영 기관],"서울병원"))</f>
        <v/>
      </c>
      <c r="W146">
        <f>IF($X146="","",IF(ISNUMBER(MATCH(INDEX(합계표[사번키],$X146)&amp;"|"&amp;대상월키,월별근무지표[키],0)),"직접 입력",IF($L146="—","—","기관명단")))</f>
        <v/>
      </c>
      <c r="X146" s="4">
        <f>IFERROR(MATCH(141,합계표[판정순번],0),"")</f>
        <v/>
      </c>
      <c r="Z146">
        <f>IF($AC146="","",INDEX(상세표[사번],$AC146)&amp;"")</f>
        <v/>
      </c>
      <c r="AA146">
        <f>IF($AC146="","",INDEX(상세표[성명],$AC146)&amp;"")</f>
        <v/>
      </c>
      <c r="AB146" s="20">
        <f>IF($AC146="","",SUMIFS(상세표[기록 시간외],상세표[사번키],INDEX(상세표[사번키],$AC146),상세표[반영월],대상월키))</f>
        <v/>
      </c>
      <c r="AC146" s="4">
        <f>IFERROR(MATCH(141,상세표[합계없음순번],0),"")</f>
        <v/>
      </c>
    </row>
    <row r="147">
      <c r="A147">
        <f>IF($X147="","",INDEX(합계표[사번],$X147)&amp;"")</f>
        <v/>
      </c>
      <c r="B147">
        <f>IF($X147="","",INDEX(합계표[성명],$X147)&amp;"")</f>
        <v/>
      </c>
      <c r="C147">
        <f>IF($X147="","",INDEX(합계표[부서],$X147)&amp;"")</f>
        <v/>
      </c>
      <c r="D147">
        <f>IF($X147="","",INDEX(합계표[직위(요약)],$X147)&amp;"")</f>
        <v/>
      </c>
      <c r="E147">
        <f>IF($X147="","",INDEX(합계표[직급 공존],$X147)&amp;"")</f>
        <v/>
      </c>
      <c r="F147" s="20">
        <f>IF($X147="","",SUMIFS(합계표[시스템 합계],합계표[사번키],INDEX(합계표[사번키],$X147)))</f>
        <v/>
      </c>
      <c r="G147" s="20">
        <f>IF($X147="","",SUMIFS(상세표[기록 시간외],상세표[사번키],INDEX(합계표[사번키],$X147),상세표[기록월],대상월키))</f>
        <v/>
      </c>
      <c r="H147">
        <f>IF($X147="","",IF(ABS($F147-$G147)&lt;0.01,"일치","불일치(차이 "&amp;TEXT($G147-$F147,"0.00")&amp;")"))</f>
        <v/>
      </c>
      <c r="I147" s="20">
        <f>IF($X147="","",SUMIFS(상세표[기록 시간외],상세표[사번키],INDEX(합계표[사번키],$X147),상세표[기록월],대상월키,상세표[반영월],"&lt;&gt;"&amp;대상월키))</f>
        <v/>
      </c>
      <c r="J147" s="20">
        <f>IF($X147="","",SUMIFS(상세표[기록 시간외],상세표[사번키],INDEX(합계표[사번키],$X147),상세표[기록월],"&lt;&gt;"&amp;대상월키,상세표[반영월],대상월키))</f>
        <v/>
      </c>
      <c r="K147" s="20">
        <f>IF($X147="","",SUMIFS(상세표[기록 시간외],상세표[사번키],INDEX(합계표[사번키],$X147),상세표[반영월],대상월키))</f>
        <v/>
      </c>
      <c r="L147">
        <f>IF($X147="","",IFERROR(INDEX(월별근무지표[적용 급여병원],MATCH(INDEX(합계표[사번키],$X147)&amp;"|"&amp;대상월키,월별근무지표[키],0))&amp;"",IF(COUNTIF(기관표[사번키],INDEX(합계표[사번키],$X147))+COUNTIF(월별근무지표[사번키],INDEX(합계표[사번키],$X147))&gt;0,IFERROR(INDEX(기관표[급여지급병원(기준월)],MATCH(INDEX(합계표[사번키],$X147)&amp;"|"&amp;대상월키,기관표[키],0))&amp;"","—"),"—")))</f>
        <v/>
      </c>
      <c r="M147">
        <f>IF($X147="","",IF(NOT(COUNTIF(기관표[사번키],INDEX(합계표[사번키],$X147))+COUNTIF(월별근무지표[사번키],INDEX(합계표[사번키],$X147))&gt;0),"기관명단에 없음(다른 병원으로 발송)",IF($L147="서울병원","해당",IF(N($R147)&gt;0,"해당(말일 근무)",IF($L147="—","대상월 기관명단 없음(추가 필요)","비해당")))))</f>
        <v/>
      </c>
      <c r="N147" s="20">
        <f>IF($X147="","",SUMIFS(상세표[06~07시],상세표[사번키],INDEX(합계표[사번키],$X147),상세표[반영월],대상월키,상세표[반영 기관],"서울병원"))</f>
        <v/>
      </c>
      <c r="O147" s="20">
        <f>IF($X147="","",SUMIFS(상세표[07~18시],상세표[사번키],INDEX(합계표[사번키],$X147),상세표[반영월],대상월키,상세표[반영 기관],"서울병원"))</f>
        <v/>
      </c>
      <c r="P147" s="20">
        <f>IF($X147="","",SUMIFS(상세표[18~22시],상세표[사번키],INDEX(합계표[사번키],$X147),상세표[반영월],대상월키,상세표[반영 기관],"서울병원"))</f>
        <v/>
      </c>
      <c r="Q147" s="20">
        <f>IF($X147="","",SUMIFS(상세표[22~06시],상세표[사번키],INDEX(합계표[사번키],$X147),상세표[반영월],대상월키,상세표[반영 기관],"서울병원"))</f>
        <v/>
      </c>
      <c r="R147" s="20">
        <f>IF($X147="","",SUM($N147:$Q147))</f>
        <v/>
      </c>
      <c r="S147">
        <f>IF($X147="","",COUNTIFS(상세표[사번키],INDEX(합계표[사번키],$X147),상세표[반영월],대상월키,상세표[야간당직],1,상세표[야간 구분],"평일"))</f>
        <v/>
      </c>
      <c r="T147">
        <f>IF($X147="","",COUNTIFS(상세표[사번키],INDEX(합계표[사번키],$X147),상세표[반영월],대상월키,상세표[야간당직],1,상세표[야간 구분],"휴일"))</f>
        <v/>
      </c>
      <c r="U147">
        <f>IF($X147="","",COUNTIFS(상세표[사번키],INDEX(합계표[사번키],$X147),상세표[반영월],대상월키,상세표[야간당직],1,상세표[야간 구분],"평일",상세표[반영 기관],"서울병원"))</f>
        <v/>
      </c>
      <c r="V147">
        <f>IF($X147="","",COUNTIFS(상세표[사번키],INDEX(합계표[사번키],$X147),상세표[반영월],대상월키,상세표[야간당직],1,상세표[야간 구분],"휴일",상세표[반영 기관],"서울병원"))</f>
        <v/>
      </c>
      <c r="W147">
        <f>IF($X147="","",IF(ISNUMBER(MATCH(INDEX(합계표[사번키],$X147)&amp;"|"&amp;대상월키,월별근무지표[키],0)),"직접 입력",IF($L147="—","—","기관명단")))</f>
        <v/>
      </c>
      <c r="X147" s="4">
        <f>IFERROR(MATCH(142,합계표[판정순번],0),"")</f>
        <v/>
      </c>
      <c r="Z147">
        <f>IF($AC147="","",INDEX(상세표[사번],$AC147)&amp;"")</f>
        <v/>
      </c>
      <c r="AA147">
        <f>IF($AC147="","",INDEX(상세표[성명],$AC147)&amp;"")</f>
        <v/>
      </c>
      <c r="AB147" s="20">
        <f>IF($AC147="","",SUMIFS(상세표[기록 시간외],상세표[사번키],INDEX(상세표[사번키],$AC147),상세표[반영월],대상월키))</f>
        <v/>
      </c>
      <c r="AC147" s="4">
        <f>IFERROR(MATCH(142,상세표[합계없음순번],0),"")</f>
        <v/>
      </c>
    </row>
    <row r="148">
      <c r="A148">
        <f>IF($X148="","",INDEX(합계표[사번],$X148)&amp;"")</f>
        <v/>
      </c>
      <c r="B148">
        <f>IF($X148="","",INDEX(합계표[성명],$X148)&amp;"")</f>
        <v/>
      </c>
      <c r="C148">
        <f>IF($X148="","",INDEX(합계표[부서],$X148)&amp;"")</f>
        <v/>
      </c>
      <c r="D148">
        <f>IF($X148="","",INDEX(합계표[직위(요약)],$X148)&amp;"")</f>
        <v/>
      </c>
      <c r="E148">
        <f>IF($X148="","",INDEX(합계표[직급 공존],$X148)&amp;"")</f>
        <v/>
      </c>
      <c r="F148" s="20">
        <f>IF($X148="","",SUMIFS(합계표[시스템 합계],합계표[사번키],INDEX(합계표[사번키],$X148)))</f>
        <v/>
      </c>
      <c r="G148" s="20">
        <f>IF($X148="","",SUMIFS(상세표[기록 시간외],상세표[사번키],INDEX(합계표[사번키],$X148),상세표[기록월],대상월키))</f>
        <v/>
      </c>
      <c r="H148">
        <f>IF($X148="","",IF(ABS($F148-$G148)&lt;0.01,"일치","불일치(차이 "&amp;TEXT($G148-$F148,"0.00")&amp;")"))</f>
        <v/>
      </c>
      <c r="I148" s="20">
        <f>IF($X148="","",SUMIFS(상세표[기록 시간외],상세표[사번키],INDEX(합계표[사번키],$X148),상세표[기록월],대상월키,상세표[반영월],"&lt;&gt;"&amp;대상월키))</f>
        <v/>
      </c>
      <c r="J148" s="20">
        <f>IF($X148="","",SUMIFS(상세표[기록 시간외],상세표[사번키],INDEX(합계표[사번키],$X148),상세표[기록월],"&lt;&gt;"&amp;대상월키,상세표[반영월],대상월키))</f>
        <v/>
      </c>
      <c r="K148" s="20">
        <f>IF($X148="","",SUMIFS(상세표[기록 시간외],상세표[사번키],INDEX(합계표[사번키],$X148),상세표[반영월],대상월키))</f>
        <v/>
      </c>
      <c r="L148">
        <f>IF($X148="","",IFERROR(INDEX(월별근무지표[적용 급여병원],MATCH(INDEX(합계표[사번키],$X148)&amp;"|"&amp;대상월키,월별근무지표[키],0))&amp;"",IF(COUNTIF(기관표[사번키],INDEX(합계표[사번키],$X148))+COUNTIF(월별근무지표[사번키],INDEX(합계표[사번키],$X148))&gt;0,IFERROR(INDEX(기관표[급여지급병원(기준월)],MATCH(INDEX(합계표[사번키],$X148)&amp;"|"&amp;대상월키,기관표[키],0))&amp;"","—"),"—")))</f>
        <v/>
      </c>
      <c r="M148">
        <f>IF($X148="","",IF(NOT(COUNTIF(기관표[사번키],INDEX(합계표[사번키],$X148))+COUNTIF(월별근무지표[사번키],INDEX(합계표[사번키],$X148))&gt;0),"기관명단에 없음(다른 병원으로 발송)",IF($L148="서울병원","해당",IF(N($R148)&gt;0,"해당(말일 근무)",IF($L148="—","대상월 기관명단 없음(추가 필요)","비해당")))))</f>
        <v/>
      </c>
      <c r="N148" s="20">
        <f>IF($X148="","",SUMIFS(상세표[06~07시],상세표[사번키],INDEX(합계표[사번키],$X148),상세표[반영월],대상월키,상세표[반영 기관],"서울병원"))</f>
        <v/>
      </c>
      <c r="O148" s="20">
        <f>IF($X148="","",SUMIFS(상세표[07~18시],상세표[사번키],INDEX(합계표[사번키],$X148),상세표[반영월],대상월키,상세표[반영 기관],"서울병원"))</f>
        <v/>
      </c>
      <c r="P148" s="20">
        <f>IF($X148="","",SUMIFS(상세표[18~22시],상세표[사번키],INDEX(합계표[사번키],$X148),상세표[반영월],대상월키,상세표[반영 기관],"서울병원"))</f>
        <v/>
      </c>
      <c r="Q148" s="20">
        <f>IF($X148="","",SUMIFS(상세표[22~06시],상세표[사번키],INDEX(합계표[사번키],$X148),상세표[반영월],대상월키,상세표[반영 기관],"서울병원"))</f>
        <v/>
      </c>
      <c r="R148" s="20">
        <f>IF($X148="","",SUM($N148:$Q148))</f>
        <v/>
      </c>
      <c r="S148">
        <f>IF($X148="","",COUNTIFS(상세표[사번키],INDEX(합계표[사번키],$X148),상세표[반영월],대상월키,상세표[야간당직],1,상세표[야간 구분],"평일"))</f>
        <v/>
      </c>
      <c r="T148">
        <f>IF($X148="","",COUNTIFS(상세표[사번키],INDEX(합계표[사번키],$X148),상세표[반영월],대상월키,상세표[야간당직],1,상세표[야간 구분],"휴일"))</f>
        <v/>
      </c>
      <c r="U148">
        <f>IF($X148="","",COUNTIFS(상세표[사번키],INDEX(합계표[사번키],$X148),상세표[반영월],대상월키,상세표[야간당직],1,상세표[야간 구분],"평일",상세표[반영 기관],"서울병원"))</f>
        <v/>
      </c>
      <c r="V148">
        <f>IF($X148="","",COUNTIFS(상세표[사번키],INDEX(합계표[사번키],$X148),상세표[반영월],대상월키,상세표[야간당직],1,상세표[야간 구분],"휴일",상세표[반영 기관],"서울병원"))</f>
        <v/>
      </c>
      <c r="W148">
        <f>IF($X148="","",IF(ISNUMBER(MATCH(INDEX(합계표[사번키],$X148)&amp;"|"&amp;대상월키,월별근무지표[키],0)),"직접 입력",IF($L148="—","—","기관명단")))</f>
        <v/>
      </c>
      <c r="X148" s="4">
        <f>IFERROR(MATCH(143,합계표[판정순번],0),"")</f>
        <v/>
      </c>
      <c r="Z148">
        <f>IF($AC148="","",INDEX(상세표[사번],$AC148)&amp;"")</f>
        <v/>
      </c>
      <c r="AA148">
        <f>IF($AC148="","",INDEX(상세표[성명],$AC148)&amp;"")</f>
        <v/>
      </c>
      <c r="AB148" s="20">
        <f>IF($AC148="","",SUMIFS(상세표[기록 시간외],상세표[사번키],INDEX(상세표[사번키],$AC148),상세표[반영월],대상월키))</f>
        <v/>
      </c>
      <c r="AC148" s="4">
        <f>IFERROR(MATCH(143,상세표[합계없음순번],0),"")</f>
        <v/>
      </c>
    </row>
    <row r="149">
      <c r="A149">
        <f>IF($X149="","",INDEX(합계표[사번],$X149)&amp;"")</f>
        <v/>
      </c>
      <c r="B149">
        <f>IF($X149="","",INDEX(합계표[성명],$X149)&amp;"")</f>
        <v/>
      </c>
      <c r="C149">
        <f>IF($X149="","",INDEX(합계표[부서],$X149)&amp;"")</f>
        <v/>
      </c>
      <c r="D149">
        <f>IF($X149="","",INDEX(합계표[직위(요약)],$X149)&amp;"")</f>
        <v/>
      </c>
      <c r="E149">
        <f>IF($X149="","",INDEX(합계표[직급 공존],$X149)&amp;"")</f>
        <v/>
      </c>
      <c r="F149" s="20">
        <f>IF($X149="","",SUMIFS(합계표[시스템 합계],합계표[사번키],INDEX(합계표[사번키],$X149)))</f>
        <v/>
      </c>
      <c r="G149" s="20">
        <f>IF($X149="","",SUMIFS(상세표[기록 시간외],상세표[사번키],INDEX(합계표[사번키],$X149),상세표[기록월],대상월키))</f>
        <v/>
      </c>
      <c r="H149">
        <f>IF($X149="","",IF(ABS($F149-$G149)&lt;0.01,"일치","불일치(차이 "&amp;TEXT($G149-$F149,"0.00")&amp;")"))</f>
        <v/>
      </c>
      <c r="I149" s="20">
        <f>IF($X149="","",SUMIFS(상세표[기록 시간외],상세표[사번키],INDEX(합계표[사번키],$X149),상세표[기록월],대상월키,상세표[반영월],"&lt;&gt;"&amp;대상월키))</f>
        <v/>
      </c>
      <c r="J149" s="20">
        <f>IF($X149="","",SUMIFS(상세표[기록 시간외],상세표[사번키],INDEX(합계표[사번키],$X149),상세표[기록월],"&lt;&gt;"&amp;대상월키,상세표[반영월],대상월키))</f>
        <v/>
      </c>
      <c r="K149" s="20">
        <f>IF($X149="","",SUMIFS(상세표[기록 시간외],상세표[사번키],INDEX(합계표[사번키],$X149),상세표[반영월],대상월키))</f>
        <v/>
      </c>
      <c r="L149">
        <f>IF($X149="","",IFERROR(INDEX(월별근무지표[적용 급여병원],MATCH(INDEX(합계표[사번키],$X149)&amp;"|"&amp;대상월키,월별근무지표[키],0))&amp;"",IF(COUNTIF(기관표[사번키],INDEX(합계표[사번키],$X149))+COUNTIF(월별근무지표[사번키],INDEX(합계표[사번키],$X149))&gt;0,IFERROR(INDEX(기관표[급여지급병원(기준월)],MATCH(INDEX(합계표[사번키],$X149)&amp;"|"&amp;대상월키,기관표[키],0))&amp;"","—"),"—")))</f>
        <v/>
      </c>
      <c r="M149">
        <f>IF($X149="","",IF(NOT(COUNTIF(기관표[사번키],INDEX(합계표[사번키],$X149))+COUNTIF(월별근무지표[사번키],INDEX(합계표[사번키],$X149))&gt;0),"기관명단에 없음(다른 병원으로 발송)",IF($L149="서울병원","해당",IF(N($R149)&gt;0,"해당(말일 근무)",IF($L149="—","대상월 기관명단 없음(추가 필요)","비해당")))))</f>
        <v/>
      </c>
      <c r="N149" s="20">
        <f>IF($X149="","",SUMIFS(상세표[06~07시],상세표[사번키],INDEX(합계표[사번키],$X149),상세표[반영월],대상월키,상세표[반영 기관],"서울병원"))</f>
        <v/>
      </c>
      <c r="O149" s="20">
        <f>IF($X149="","",SUMIFS(상세표[07~18시],상세표[사번키],INDEX(합계표[사번키],$X149),상세표[반영월],대상월키,상세표[반영 기관],"서울병원"))</f>
        <v/>
      </c>
      <c r="P149" s="20">
        <f>IF($X149="","",SUMIFS(상세표[18~22시],상세표[사번키],INDEX(합계표[사번키],$X149),상세표[반영월],대상월키,상세표[반영 기관],"서울병원"))</f>
        <v/>
      </c>
      <c r="Q149" s="20">
        <f>IF($X149="","",SUMIFS(상세표[22~06시],상세표[사번키],INDEX(합계표[사번키],$X149),상세표[반영월],대상월키,상세표[반영 기관],"서울병원"))</f>
        <v/>
      </c>
      <c r="R149" s="20">
        <f>IF($X149="","",SUM($N149:$Q149))</f>
        <v/>
      </c>
      <c r="S149">
        <f>IF($X149="","",COUNTIFS(상세표[사번키],INDEX(합계표[사번키],$X149),상세표[반영월],대상월키,상세표[야간당직],1,상세표[야간 구분],"평일"))</f>
        <v/>
      </c>
      <c r="T149">
        <f>IF($X149="","",COUNTIFS(상세표[사번키],INDEX(합계표[사번키],$X149),상세표[반영월],대상월키,상세표[야간당직],1,상세표[야간 구분],"휴일"))</f>
        <v/>
      </c>
      <c r="U149">
        <f>IF($X149="","",COUNTIFS(상세표[사번키],INDEX(합계표[사번키],$X149),상세표[반영월],대상월키,상세표[야간당직],1,상세표[야간 구분],"평일",상세표[반영 기관],"서울병원"))</f>
        <v/>
      </c>
      <c r="V149">
        <f>IF($X149="","",COUNTIFS(상세표[사번키],INDEX(합계표[사번키],$X149),상세표[반영월],대상월키,상세표[야간당직],1,상세표[야간 구분],"휴일",상세표[반영 기관],"서울병원"))</f>
        <v/>
      </c>
      <c r="W149">
        <f>IF($X149="","",IF(ISNUMBER(MATCH(INDEX(합계표[사번키],$X149)&amp;"|"&amp;대상월키,월별근무지표[키],0)),"직접 입력",IF($L149="—","—","기관명단")))</f>
        <v/>
      </c>
      <c r="X149" s="4">
        <f>IFERROR(MATCH(144,합계표[판정순번],0),"")</f>
        <v/>
      </c>
      <c r="Z149">
        <f>IF($AC149="","",INDEX(상세표[사번],$AC149)&amp;"")</f>
        <v/>
      </c>
      <c r="AA149">
        <f>IF($AC149="","",INDEX(상세표[성명],$AC149)&amp;"")</f>
        <v/>
      </c>
      <c r="AB149" s="20">
        <f>IF($AC149="","",SUMIFS(상세표[기록 시간외],상세표[사번키],INDEX(상세표[사번키],$AC149),상세표[반영월],대상월키))</f>
        <v/>
      </c>
      <c r="AC149" s="4">
        <f>IFERROR(MATCH(144,상세표[합계없음순번],0),"")</f>
        <v/>
      </c>
    </row>
    <row r="150">
      <c r="A150">
        <f>IF($X150="","",INDEX(합계표[사번],$X150)&amp;"")</f>
        <v/>
      </c>
      <c r="B150">
        <f>IF($X150="","",INDEX(합계표[성명],$X150)&amp;"")</f>
        <v/>
      </c>
      <c r="C150">
        <f>IF($X150="","",INDEX(합계표[부서],$X150)&amp;"")</f>
        <v/>
      </c>
      <c r="D150">
        <f>IF($X150="","",INDEX(합계표[직위(요약)],$X150)&amp;"")</f>
        <v/>
      </c>
      <c r="E150">
        <f>IF($X150="","",INDEX(합계표[직급 공존],$X150)&amp;"")</f>
        <v/>
      </c>
      <c r="F150" s="20">
        <f>IF($X150="","",SUMIFS(합계표[시스템 합계],합계표[사번키],INDEX(합계표[사번키],$X150)))</f>
        <v/>
      </c>
      <c r="G150" s="20">
        <f>IF($X150="","",SUMIFS(상세표[기록 시간외],상세표[사번키],INDEX(합계표[사번키],$X150),상세표[기록월],대상월키))</f>
        <v/>
      </c>
      <c r="H150">
        <f>IF($X150="","",IF(ABS($F150-$G150)&lt;0.01,"일치","불일치(차이 "&amp;TEXT($G150-$F150,"0.00")&amp;")"))</f>
        <v/>
      </c>
      <c r="I150" s="20">
        <f>IF($X150="","",SUMIFS(상세표[기록 시간외],상세표[사번키],INDEX(합계표[사번키],$X150),상세표[기록월],대상월키,상세표[반영월],"&lt;&gt;"&amp;대상월키))</f>
        <v/>
      </c>
      <c r="J150" s="20">
        <f>IF($X150="","",SUMIFS(상세표[기록 시간외],상세표[사번키],INDEX(합계표[사번키],$X150),상세표[기록월],"&lt;&gt;"&amp;대상월키,상세표[반영월],대상월키))</f>
        <v/>
      </c>
      <c r="K150" s="20">
        <f>IF($X150="","",SUMIFS(상세표[기록 시간외],상세표[사번키],INDEX(합계표[사번키],$X150),상세표[반영월],대상월키))</f>
        <v/>
      </c>
      <c r="L150">
        <f>IF($X150="","",IFERROR(INDEX(월별근무지표[적용 급여병원],MATCH(INDEX(합계표[사번키],$X150)&amp;"|"&amp;대상월키,월별근무지표[키],0))&amp;"",IF(COUNTIF(기관표[사번키],INDEX(합계표[사번키],$X150))+COUNTIF(월별근무지표[사번키],INDEX(합계표[사번키],$X150))&gt;0,IFERROR(INDEX(기관표[급여지급병원(기준월)],MATCH(INDEX(합계표[사번키],$X150)&amp;"|"&amp;대상월키,기관표[키],0))&amp;"","—"),"—")))</f>
        <v/>
      </c>
      <c r="M150">
        <f>IF($X150="","",IF(NOT(COUNTIF(기관표[사번키],INDEX(합계표[사번키],$X150))+COUNTIF(월별근무지표[사번키],INDEX(합계표[사번키],$X150))&gt;0),"기관명단에 없음(다른 병원으로 발송)",IF($L150="서울병원","해당",IF(N($R150)&gt;0,"해당(말일 근무)",IF($L150="—","대상월 기관명단 없음(추가 필요)","비해당")))))</f>
        <v/>
      </c>
      <c r="N150" s="20">
        <f>IF($X150="","",SUMIFS(상세표[06~07시],상세표[사번키],INDEX(합계표[사번키],$X150),상세표[반영월],대상월키,상세표[반영 기관],"서울병원"))</f>
        <v/>
      </c>
      <c r="O150" s="20">
        <f>IF($X150="","",SUMIFS(상세표[07~18시],상세표[사번키],INDEX(합계표[사번키],$X150),상세표[반영월],대상월키,상세표[반영 기관],"서울병원"))</f>
        <v/>
      </c>
      <c r="P150" s="20">
        <f>IF($X150="","",SUMIFS(상세표[18~22시],상세표[사번키],INDEX(합계표[사번키],$X150),상세표[반영월],대상월키,상세표[반영 기관],"서울병원"))</f>
        <v/>
      </c>
      <c r="Q150" s="20">
        <f>IF($X150="","",SUMIFS(상세표[22~06시],상세표[사번키],INDEX(합계표[사번키],$X150),상세표[반영월],대상월키,상세표[반영 기관],"서울병원"))</f>
        <v/>
      </c>
      <c r="R150" s="20">
        <f>IF($X150="","",SUM($N150:$Q150))</f>
        <v/>
      </c>
      <c r="S150">
        <f>IF($X150="","",COUNTIFS(상세표[사번키],INDEX(합계표[사번키],$X150),상세표[반영월],대상월키,상세표[야간당직],1,상세표[야간 구분],"평일"))</f>
        <v/>
      </c>
      <c r="T150">
        <f>IF($X150="","",COUNTIFS(상세표[사번키],INDEX(합계표[사번키],$X150),상세표[반영월],대상월키,상세표[야간당직],1,상세표[야간 구분],"휴일"))</f>
        <v/>
      </c>
      <c r="U150">
        <f>IF($X150="","",COUNTIFS(상세표[사번키],INDEX(합계표[사번키],$X150),상세표[반영월],대상월키,상세표[야간당직],1,상세표[야간 구분],"평일",상세표[반영 기관],"서울병원"))</f>
        <v/>
      </c>
      <c r="V150">
        <f>IF($X150="","",COUNTIFS(상세표[사번키],INDEX(합계표[사번키],$X150),상세표[반영월],대상월키,상세표[야간당직],1,상세표[야간 구분],"휴일",상세표[반영 기관],"서울병원"))</f>
        <v/>
      </c>
      <c r="W150">
        <f>IF($X150="","",IF(ISNUMBER(MATCH(INDEX(합계표[사번키],$X150)&amp;"|"&amp;대상월키,월별근무지표[키],0)),"직접 입력",IF($L150="—","—","기관명단")))</f>
        <v/>
      </c>
      <c r="X150" s="4">
        <f>IFERROR(MATCH(145,합계표[판정순번],0),"")</f>
        <v/>
      </c>
      <c r="Z150">
        <f>IF($AC150="","",INDEX(상세표[사번],$AC150)&amp;"")</f>
        <v/>
      </c>
      <c r="AA150">
        <f>IF($AC150="","",INDEX(상세표[성명],$AC150)&amp;"")</f>
        <v/>
      </c>
      <c r="AB150" s="20">
        <f>IF($AC150="","",SUMIFS(상세표[기록 시간외],상세표[사번키],INDEX(상세표[사번키],$AC150),상세표[반영월],대상월키))</f>
        <v/>
      </c>
      <c r="AC150" s="4">
        <f>IFERROR(MATCH(145,상세표[합계없음순번],0),"")</f>
        <v/>
      </c>
    </row>
    <row r="151">
      <c r="A151">
        <f>IF($X151="","",INDEX(합계표[사번],$X151)&amp;"")</f>
        <v/>
      </c>
      <c r="B151">
        <f>IF($X151="","",INDEX(합계표[성명],$X151)&amp;"")</f>
        <v/>
      </c>
      <c r="C151">
        <f>IF($X151="","",INDEX(합계표[부서],$X151)&amp;"")</f>
        <v/>
      </c>
      <c r="D151">
        <f>IF($X151="","",INDEX(합계표[직위(요약)],$X151)&amp;"")</f>
        <v/>
      </c>
      <c r="E151">
        <f>IF($X151="","",INDEX(합계표[직급 공존],$X151)&amp;"")</f>
        <v/>
      </c>
      <c r="F151" s="20">
        <f>IF($X151="","",SUMIFS(합계표[시스템 합계],합계표[사번키],INDEX(합계표[사번키],$X151)))</f>
        <v/>
      </c>
      <c r="G151" s="20">
        <f>IF($X151="","",SUMIFS(상세표[기록 시간외],상세표[사번키],INDEX(합계표[사번키],$X151),상세표[기록월],대상월키))</f>
        <v/>
      </c>
      <c r="H151">
        <f>IF($X151="","",IF(ABS($F151-$G151)&lt;0.01,"일치","불일치(차이 "&amp;TEXT($G151-$F151,"0.00")&amp;")"))</f>
        <v/>
      </c>
      <c r="I151" s="20">
        <f>IF($X151="","",SUMIFS(상세표[기록 시간외],상세표[사번키],INDEX(합계표[사번키],$X151),상세표[기록월],대상월키,상세표[반영월],"&lt;&gt;"&amp;대상월키))</f>
        <v/>
      </c>
      <c r="J151" s="20">
        <f>IF($X151="","",SUMIFS(상세표[기록 시간외],상세표[사번키],INDEX(합계표[사번키],$X151),상세표[기록월],"&lt;&gt;"&amp;대상월키,상세표[반영월],대상월키))</f>
        <v/>
      </c>
      <c r="K151" s="20">
        <f>IF($X151="","",SUMIFS(상세표[기록 시간외],상세표[사번키],INDEX(합계표[사번키],$X151),상세표[반영월],대상월키))</f>
        <v/>
      </c>
      <c r="L151">
        <f>IF($X151="","",IFERROR(INDEX(월별근무지표[적용 급여병원],MATCH(INDEX(합계표[사번키],$X151)&amp;"|"&amp;대상월키,월별근무지표[키],0))&amp;"",IF(COUNTIF(기관표[사번키],INDEX(합계표[사번키],$X151))+COUNTIF(월별근무지표[사번키],INDEX(합계표[사번키],$X151))&gt;0,IFERROR(INDEX(기관표[급여지급병원(기준월)],MATCH(INDEX(합계표[사번키],$X151)&amp;"|"&amp;대상월키,기관표[키],0))&amp;"","—"),"—")))</f>
        <v/>
      </c>
      <c r="M151">
        <f>IF($X151="","",IF(NOT(COUNTIF(기관표[사번키],INDEX(합계표[사번키],$X151))+COUNTIF(월별근무지표[사번키],INDEX(합계표[사번키],$X151))&gt;0),"기관명단에 없음(다른 병원으로 발송)",IF($L151="서울병원","해당",IF(N($R151)&gt;0,"해당(말일 근무)",IF($L151="—","대상월 기관명단 없음(추가 필요)","비해당")))))</f>
        <v/>
      </c>
      <c r="N151" s="20">
        <f>IF($X151="","",SUMIFS(상세표[06~07시],상세표[사번키],INDEX(합계표[사번키],$X151),상세표[반영월],대상월키,상세표[반영 기관],"서울병원"))</f>
        <v/>
      </c>
      <c r="O151" s="20">
        <f>IF($X151="","",SUMIFS(상세표[07~18시],상세표[사번키],INDEX(합계표[사번키],$X151),상세표[반영월],대상월키,상세표[반영 기관],"서울병원"))</f>
        <v/>
      </c>
      <c r="P151" s="20">
        <f>IF($X151="","",SUMIFS(상세표[18~22시],상세표[사번키],INDEX(합계표[사번키],$X151),상세표[반영월],대상월키,상세표[반영 기관],"서울병원"))</f>
        <v/>
      </c>
      <c r="Q151" s="20">
        <f>IF($X151="","",SUMIFS(상세표[22~06시],상세표[사번키],INDEX(합계표[사번키],$X151),상세표[반영월],대상월키,상세표[반영 기관],"서울병원"))</f>
        <v/>
      </c>
      <c r="R151" s="20">
        <f>IF($X151="","",SUM($N151:$Q151))</f>
        <v/>
      </c>
      <c r="S151">
        <f>IF($X151="","",COUNTIFS(상세표[사번키],INDEX(합계표[사번키],$X151),상세표[반영월],대상월키,상세표[야간당직],1,상세표[야간 구분],"평일"))</f>
        <v/>
      </c>
      <c r="T151">
        <f>IF($X151="","",COUNTIFS(상세표[사번키],INDEX(합계표[사번키],$X151),상세표[반영월],대상월키,상세표[야간당직],1,상세표[야간 구분],"휴일"))</f>
        <v/>
      </c>
      <c r="U151">
        <f>IF($X151="","",COUNTIFS(상세표[사번키],INDEX(합계표[사번키],$X151),상세표[반영월],대상월키,상세표[야간당직],1,상세표[야간 구분],"평일",상세표[반영 기관],"서울병원"))</f>
        <v/>
      </c>
      <c r="V151">
        <f>IF($X151="","",COUNTIFS(상세표[사번키],INDEX(합계표[사번키],$X151),상세표[반영월],대상월키,상세표[야간당직],1,상세표[야간 구분],"휴일",상세표[반영 기관],"서울병원"))</f>
        <v/>
      </c>
      <c r="W151">
        <f>IF($X151="","",IF(ISNUMBER(MATCH(INDEX(합계표[사번키],$X151)&amp;"|"&amp;대상월키,월별근무지표[키],0)),"직접 입력",IF($L151="—","—","기관명단")))</f>
        <v/>
      </c>
      <c r="X151" s="4">
        <f>IFERROR(MATCH(146,합계표[판정순번],0),"")</f>
        <v/>
      </c>
      <c r="Z151">
        <f>IF($AC151="","",INDEX(상세표[사번],$AC151)&amp;"")</f>
        <v/>
      </c>
      <c r="AA151">
        <f>IF($AC151="","",INDEX(상세표[성명],$AC151)&amp;"")</f>
        <v/>
      </c>
      <c r="AB151" s="20">
        <f>IF($AC151="","",SUMIFS(상세표[기록 시간외],상세표[사번키],INDEX(상세표[사번키],$AC151),상세표[반영월],대상월키))</f>
        <v/>
      </c>
      <c r="AC151" s="4">
        <f>IFERROR(MATCH(146,상세표[합계없음순번],0),"")</f>
        <v/>
      </c>
    </row>
    <row r="152">
      <c r="A152">
        <f>IF($X152="","",INDEX(합계표[사번],$X152)&amp;"")</f>
        <v/>
      </c>
      <c r="B152">
        <f>IF($X152="","",INDEX(합계표[성명],$X152)&amp;"")</f>
        <v/>
      </c>
      <c r="C152">
        <f>IF($X152="","",INDEX(합계표[부서],$X152)&amp;"")</f>
        <v/>
      </c>
      <c r="D152">
        <f>IF($X152="","",INDEX(합계표[직위(요약)],$X152)&amp;"")</f>
        <v/>
      </c>
      <c r="E152">
        <f>IF($X152="","",INDEX(합계표[직급 공존],$X152)&amp;"")</f>
        <v/>
      </c>
      <c r="F152" s="20">
        <f>IF($X152="","",SUMIFS(합계표[시스템 합계],합계표[사번키],INDEX(합계표[사번키],$X152)))</f>
        <v/>
      </c>
      <c r="G152" s="20">
        <f>IF($X152="","",SUMIFS(상세표[기록 시간외],상세표[사번키],INDEX(합계표[사번키],$X152),상세표[기록월],대상월키))</f>
        <v/>
      </c>
      <c r="H152">
        <f>IF($X152="","",IF(ABS($F152-$G152)&lt;0.01,"일치","불일치(차이 "&amp;TEXT($G152-$F152,"0.00")&amp;")"))</f>
        <v/>
      </c>
      <c r="I152" s="20">
        <f>IF($X152="","",SUMIFS(상세표[기록 시간외],상세표[사번키],INDEX(합계표[사번키],$X152),상세표[기록월],대상월키,상세표[반영월],"&lt;&gt;"&amp;대상월키))</f>
        <v/>
      </c>
      <c r="J152" s="20">
        <f>IF($X152="","",SUMIFS(상세표[기록 시간외],상세표[사번키],INDEX(합계표[사번키],$X152),상세표[기록월],"&lt;&gt;"&amp;대상월키,상세표[반영월],대상월키))</f>
        <v/>
      </c>
      <c r="K152" s="20">
        <f>IF($X152="","",SUMIFS(상세표[기록 시간외],상세표[사번키],INDEX(합계표[사번키],$X152),상세표[반영월],대상월키))</f>
        <v/>
      </c>
      <c r="L152">
        <f>IF($X152="","",IFERROR(INDEX(월별근무지표[적용 급여병원],MATCH(INDEX(합계표[사번키],$X152)&amp;"|"&amp;대상월키,월별근무지표[키],0))&amp;"",IF(COUNTIF(기관표[사번키],INDEX(합계표[사번키],$X152))+COUNTIF(월별근무지표[사번키],INDEX(합계표[사번키],$X152))&gt;0,IFERROR(INDEX(기관표[급여지급병원(기준월)],MATCH(INDEX(합계표[사번키],$X152)&amp;"|"&amp;대상월키,기관표[키],0))&amp;"","—"),"—")))</f>
        <v/>
      </c>
      <c r="M152">
        <f>IF($X152="","",IF(NOT(COUNTIF(기관표[사번키],INDEX(합계표[사번키],$X152))+COUNTIF(월별근무지표[사번키],INDEX(합계표[사번키],$X152))&gt;0),"기관명단에 없음(다른 병원으로 발송)",IF($L152="서울병원","해당",IF(N($R152)&gt;0,"해당(말일 근무)",IF($L152="—","대상월 기관명단 없음(추가 필요)","비해당")))))</f>
        <v/>
      </c>
      <c r="N152" s="20">
        <f>IF($X152="","",SUMIFS(상세표[06~07시],상세표[사번키],INDEX(합계표[사번키],$X152),상세표[반영월],대상월키,상세표[반영 기관],"서울병원"))</f>
        <v/>
      </c>
      <c r="O152" s="20">
        <f>IF($X152="","",SUMIFS(상세표[07~18시],상세표[사번키],INDEX(합계표[사번키],$X152),상세표[반영월],대상월키,상세표[반영 기관],"서울병원"))</f>
        <v/>
      </c>
      <c r="P152" s="20">
        <f>IF($X152="","",SUMIFS(상세표[18~22시],상세표[사번키],INDEX(합계표[사번키],$X152),상세표[반영월],대상월키,상세표[반영 기관],"서울병원"))</f>
        <v/>
      </c>
      <c r="Q152" s="20">
        <f>IF($X152="","",SUMIFS(상세표[22~06시],상세표[사번키],INDEX(합계표[사번키],$X152),상세표[반영월],대상월키,상세표[반영 기관],"서울병원"))</f>
        <v/>
      </c>
      <c r="R152" s="20">
        <f>IF($X152="","",SUM($N152:$Q152))</f>
        <v/>
      </c>
      <c r="S152">
        <f>IF($X152="","",COUNTIFS(상세표[사번키],INDEX(합계표[사번키],$X152),상세표[반영월],대상월키,상세표[야간당직],1,상세표[야간 구분],"평일"))</f>
        <v/>
      </c>
      <c r="T152">
        <f>IF($X152="","",COUNTIFS(상세표[사번키],INDEX(합계표[사번키],$X152),상세표[반영월],대상월키,상세표[야간당직],1,상세표[야간 구분],"휴일"))</f>
        <v/>
      </c>
      <c r="U152">
        <f>IF($X152="","",COUNTIFS(상세표[사번키],INDEX(합계표[사번키],$X152),상세표[반영월],대상월키,상세표[야간당직],1,상세표[야간 구분],"평일",상세표[반영 기관],"서울병원"))</f>
        <v/>
      </c>
      <c r="V152">
        <f>IF($X152="","",COUNTIFS(상세표[사번키],INDEX(합계표[사번키],$X152),상세표[반영월],대상월키,상세표[야간당직],1,상세표[야간 구분],"휴일",상세표[반영 기관],"서울병원"))</f>
        <v/>
      </c>
      <c r="W152">
        <f>IF($X152="","",IF(ISNUMBER(MATCH(INDEX(합계표[사번키],$X152)&amp;"|"&amp;대상월키,월별근무지표[키],0)),"직접 입력",IF($L152="—","—","기관명단")))</f>
        <v/>
      </c>
      <c r="X152" s="4">
        <f>IFERROR(MATCH(147,합계표[판정순번],0),"")</f>
        <v/>
      </c>
      <c r="Z152">
        <f>IF($AC152="","",INDEX(상세표[사번],$AC152)&amp;"")</f>
        <v/>
      </c>
      <c r="AA152">
        <f>IF($AC152="","",INDEX(상세표[성명],$AC152)&amp;"")</f>
        <v/>
      </c>
      <c r="AB152" s="20">
        <f>IF($AC152="","",SUMIFS(상세표[기록 시간외],상세표[사번키],INDEX(상세표[사번키],$AC152),상세표[반영월],대상월키))</f>
        <v/>
      </c>
      <c r="AC152" s="4">
        <f>IFERROR(MATCH(147,상세표[합계없음순번],0),"")</f>
        <v/>
      </c>
    </row>
    <row r="153">
      <c r="A153">
        <f>IF($X153="","",INDEX(합계표[사번],$X153)&amp;"")</f>
        <v/>
      </c>
      <c r="B153">
        <f>IF($X153="","",INDEX(합계표[성명],$X153)&amp;"")</f>
        <v/>
      </c>
      <c r="C153">
        <f>IF($X153="","",INDEX(합계표[부서],$X153)&amp;"")</f>
        <v/>
      </c>
      <c r="D153">
        <f>IF($X153="","",INDEX(합계표[직위(요약)],$X153)&amp;"")</f>
        <v/>
      </c>
      <c r="E153">
        <f>IF($X153="","",INDEX(합계표[직급 공존],$X153)&amp;"")</f>
        <v/>
      </c>
      <c r="F153" s="20">
        <f>IF($X153="","",SUMIFS(합계표[시스템 합계],합계표[사번키],INDEX(합계표[사번키],$X153)))</f>
        <v/>
      </c>
      <c r="G153" s="20">
        <f>IF($X153="","",SUMIFS(상세표[기록 시간외],상세표[사번키],INDEX(합계표[사번키],$X153),상세표[기록월],대상월키))</f>
        <v/>
      </c>
      <c r="H153">
        <f>IF($X153="","",IF(ABS($F153-$G153)&lt;0.01,"일치","불일치(차이 "&amp;TEXT($G153-$F153,"0.00")&amp;")"))</f>
        <v/>
      </c>
      <c r="I153" s="20">
        <f>IF($X153="","",SUMIFS(상세표[기록 시간외],상세표[사번키],INDEX(합계표[사번키],$X153),상세표[기록월],대상월키,상세표[반영월],"&lt;&gt;"&amp;대상월키))</f>
        <v/>
      </c>
      <c r="J153" s="20">
        <f>IF($X153="","",SUMIFS(상세표[기록 시간외],상세표[사번키],INDEX(합계표[사번키],$X153),상세표[기록월],"&lt;&gt;"&amp;대상월키,상세표[반영월],대상월키))</f>
        <v/>
      </c>
      <c r="K153" s="20">
        <f>IF($X153="","",SUMIFS(상세표[기록 시간외],상세표[사번키],INDEX(합계표[사번키],$X153),상세표[반영월],대상월키))</f>
        <v/>
      </c>
      <c r="L153">
        <f>IF($X153="","",IFERROR(INDEX(월별근무지표[적용 급여병원],MATCH(INDEX(합계표[사번키],$X153)&amp;"|"&amp;대상월키,월별근무지표[키],0))&amp;"",IF(COUNTIF(기관표[사번키],INDEX(합계표[사번키],$X153))+COUNTIF(월별근무지표[사번키],INDEX(합계표[사번키],$X153))&gt;0,IFERROR(INDEX(기관표[급여지급병원(기준월)],MATCH(INDEX(합계표[사번키],$X153)&amp;"|"&amp;대상월키,기관표[키],0))&amp;"","—"),"—")))</f>
        <v/>
      </c>
      <c r="M153">
        <f>IF($X153="","",IF(NOT(COUNTIF(기관표[사번키],INDEX(합계표[사번키],$X153))+COUNTIF(월별근무지표[사번키],INDEX(합계표[사번키],$X153))&gt;0),"기관명단에 없음(다른 병원으로 발송)",IF($L153="서울병원","해당",IF(N($R153)&gt;0,"해당(말일 근무)",IF($L153="—","대상월 기관명단 없음(추가 필요)","비해당")))))</f>
        <v/>
      </c>
      <c r="N153" s="20">
        <f>IF($X153="","",SUMIFS(상세표[06~07시],상세표[사번키],INDEX(합계표[사번키],$X153),상세표[반영월],대상월키,상세표[반영 기관],"서울병원"))</f>
        <v/>
      </c>
      <c r="O153" s="20">
        <f>IF($X153="","",SUMIFS(상세표[07~18시],상세표[사번키],INDEX(합계표[사번키],$X153),상세표[반영월],대상월키,상세표[반영 기관],"서울병원"))</f>
        <v/>
      </c>
      <c r="P153" s="20">
        <f>IF($X153="","",SUMIFS(상세표[18~22시],상세표[사번키],INDEX(합계표[사번키],$X153),상세표[반영월],대상월키,상세표[반영 기관],"서울병원"))</f>
        <v/>
      </c>
      <c r="Q153" s="20">
        <f>IF($X153="","",SUMIFS(상세표[22~06시],상세표[사번키],INDEX(합계표[사번키],$X153),상세표[반영월],대상월키,상세표[반영 기관],"서울병원"))</f>
        <v/>
      </c>
      <c r="R153" s="20">
        <f>IF($X153="","",SUM($N153:$Q153))</f>
        <v/>
      </c>
      <c r="S153">
        <f>IF($X153="","",COUNTIFS(상세표[사번키],INDEX(합계표[사번키],$X153),상세표[반영월],대상월키,상세표[야간당직],1,상세표[야간 구분],"평일"))</f>
        <v/>
      </c>
      <c r="T153">
        <f>IF($X153="","",COUNTIFS(상세표[사번키],INDEX(합계표[사번키],$X153),상세표[반영월],대상월키,상세표[야간당직],1,상세표[야간 구분],"휴일"))</f>
        <v/>
      </c>
      <c r="U153">
        <f>IF($X153="","",COUNTIFS(상세표[사번키],INDEX(합계표[사번키],$X153),상세표[반영월],대상월키,상세표[야간당직],1,상세표[야간 구분],"평일",상세표[반영 기관],"서울병원"))</f>
        <v/>
      </c>
      <c r="V153">
        <f>IF($X153="","",COUNTIFS(상세표[사번키],INDEX(합계표[사번키],$X153),상세표[반영월],대상월키,상세표[야간당직],1,상세표[야간 구분],"휴일",상세표[반영 기관],"서울병원"))</f>
        <v/>
      </c>
      <c r="W153">
        <f>IF($X153="","",IF(ISNUMBER(MATCH(INDEX(합계표[사번키],$X153)&amp;"|"&amp;대상월키,월별근무지표[키],0)),"직접 입력",IF($L153="—","—","기관명단")))</f>
        <v/>
      </c>
      <c r="X153" s="4">
        <f>IFERROR(MATCH(148,합계표[판정순번],0),"")</f>
        <v/>
      </c>
      <c r="Z153">
        <f>IF($AC153="","",INDEX(상세표[사번],$AC153)&amp;"")</f>
        <v/>
      </c>
      <c r="AA153">
        <f>IF($AC153="","",INDEX(상세표[성명],$AC153)&amp;"")</f>
        <v/>
      </c>
      <c r="AB153" s="20">
        <f>IF($AC153="","",SUMIFS(상세표[기록 시간외],상세표[사번키],INDEX(상세표[사번키],$AC153),상세표[반영월],대상월키))</f>
        <v/>
      </c>
      <c r="AC153" s="4">
        <f>IFERROR(MATCH(148,상세표[합계없음순번],0),"")</f>
        <v/>
      </c>
    </row>
    <row r="154">
      <c r="A154">
        <f>IF($X154="","",INDEX(합계표[사번],$X154)&amp;"")</f>
        <v/>
      </c>
      <c r="B154">
        <f>IF($X154="","",INDEX(합계표[성명],$X154)&amp;"")</f>
        <v/>
      </c>
      <c r="C154">
        <f>IF($X154="","",INDEX(합계표[부서],$X154)&amp;"")</f>
        <v/>
      </c>
      <c r="D154">
        <f>IF($X154="","",INDEX(합계표[직위(요약)],$X154)&amp;"")</f>
        <v/>
      </c>
      <c r="E154">
        <f>IF($X154="","",INDEX(합계표[직급 공존],$X154)&amp;"")</f>
        <v/>
      </c>
      <c r="F154" s="20">
        <f>IF($X154="","",SUMIFS(합계표[시스템 합계],합계표[사번키],INDEX(합계표[사번키],$X154)))</f>
        <v/>
      </c>
      <c r="G154" s="20">
        <f>IF($X154="","",SUMIFS(상세표[기록 시간외],상세표[사번키],INDEX(합계표[사번키],$X154),상세표[기록월],대상월키))</f>
        <v/>
      </c>
      <c r="H154">
        <f>IF($X154="","",IF(ABS($F154-$G154)&lt;0.01,"일치","불일치(차이 "&amp;TEXT($G154-$F154,"0.00")&amp;")"))</f>
        <v/>
      </c>
      <c r="I154" s="20">
        <f>IF($X154="","",SUMIFS(상세표[기록 시간외],상세표[사번키],INDEX(합계표[사번키],$X154),상세표[기록월],대상월키,상세표[반영월],"&lt;&gt;"&amp;대상월키))</f>
        <v/>
      </c>
      <c r="J154" s="20">
        <f>IF($X154="","",SUMIFS(상세표[기록 시간외],상세표[사번키],INDEX(합계표[사번키],$X154),상세표[기록월],"&lt;&gt;"&amp;대상월키,상세표[반영월],대상월키))</f>
        <v/>
      </c>
      <c r="K154" s="20">
        <f>IF($X154="","",SUMIFS(상세표[기록 시간외],상세표[사번키],INDEX(합계표[사번키],$X154),상세표[반영월],대상월키))</f>
        <v/>
      </c>
      <c r="L154">
        <f>IF($X154="","",IFERROR(INDEX(월별근무지표[적용 급여병원],MATCH(INDEX(합계표[사번키],$X154)&amp;"|"&amp;대상월키,월별근무지표[키],0))&amp;"",IF(COUNTIF(기관표[사번키],INDEX(합계표[사번키],$X154))+COUNTIF(월별근무지표[사번키],INDEX(합계표[사번키],$X154))&gt;0,IFERROR(INDEX(기관표[급여지급병원(기준월)],MATCH(INDEX(합계표[사번키],$X154)&amp;"|"&amp;대상월키,기관표[키],0))&amp;"","—"),"—")))</f>
        <v/>
      </c>
      <c r="M154">
        <f>IF($X154="","",IF(NOT(COUNTIF(기관표[사번키],INDEX(합계표[사번키],$X154))+COUNTIF(월별근무지표[사번키],INDEX(합계표[사번키],$X154))&gt;0),"기관명단에 없음(다른 병원으로 발송)",IF($L154="서울병원","해당",IF(N($R154)&gt;0,"해당(말일 근무)",IF($L154="—","대상월 기관명단 없음(추가 필요)","비해당")))))</f>
        <v/>
      </c>
      <c r="N154" s="20">
        <f>IF($X154="","",SUMIFS(상세표[06~07시],상세표[사번키],INDEX(합계표[사번키],$X154),상세표[반영월],대상월키,상세표[반영 기관],"서울병원"))</f>
        <v/>
      </c>
      <c r="O154" s="20">
        <f>IF($X154="","",SUMIFS(상세표[07~18시],상세표[사번키],INDEX(합계표[사번키],$X154),상세표[반영월],대상월키,상세표[반영 기관],"서울병원"))</f>
        <v/>
      </c>
      <c r="P154" s="20">
        <f>IF($X154="","",SUMIFS(상세표[18~22시],상세표[사번키],INDEX(합계표[사번키],$X154),상세표[반영월],대상월키,상세표[반영 기관],"서울병원"))</f>
        <v/>
      </c>
      <c r="Q154" s="20">
        <f>IF($X154="","",SUMIFS(상세표[22~06시],상세표[사번키],INDEX(합계표[사번키],$X154),상세표[반영월],대상월키,상세표[반영 기관],"서울병원"))</f>
        <v/>
      </c>
      <c r="R154" s="20">
        <f>IF($X154="","",SUM($N154:$Q154))</f>
        <v/>
      </c>
      <c r="S154">
        <f>IF($X154="","",COUNTIFS(상세표[사번키],INDEX(합계표[사번키],$X154),상세표[반영월],대상월키,상세표[야간당직],1,상세표[야간 구분],"평일"))</f>
        <v/>
      </c>
      <c r="T154">
        <f>IF($X154="","",COUNTIFS(상세표[사번키],INDEX(합계표[사번키],$X154),상세표[반영월],대상월키,상세표[야간당직],1,상세표[야간 구분],"휴일"))</f>
        <v/>
      </c>
      <c r="U154">
        <f>IF($X154="","",COUNTIFS(상세표[사번키],INDEX(합계표[사번키],$X154),상세표[반영월],대상월키,상세표[야간당직],1,상세표[야간 구분],"평일",상세표[반영 기관],"서울병원"))</f>
        <v/>
      </c>
      <c r="V154">
        <f>IF($X154="","",COUNTIFS(상세표[사번키],INDEX(합계표[사번키],$X154),상세표[반영월],대상월키,상세표[야간당직],1,상세표[야간 구분],"휴일",상세표[반영 기관],"서울병원"))</f>
        <v/>
      </c>
      <c r="W154">
        <f>IF($X154="","",IF(ISNUMBER(MATCH(INDEX(합계표[사번키],$X154)&amp;"|"&amp;대상월키,월별근무지표[키],0)),"직접 입력",IF($L154="—","—","기관명단")))</f>
        <v/>
      </c>
      <c r="X154" s="4">
        <f>IFERROR(MATCH(149,합계표[판정순번],0),"")</f>
        <v/>
      </c>
      <c r="Z154">
        <f>IF($AC154="","",INDEX(상세표[사번],$AC154)&amp;"")</f>
        <v/>
      </c>
      <c r="AA154">
        <f>IF($AC154="","",INDEX(상세표[성명],$AC154)&amp;"")</f>
        <v/>
      </c>
      <c r="AB154" s="20">
        <f>IF($AC154="","",SUMIFS(상세표[기록 시간외],상세표[사번키],INDEX(상세표[사번키],$AC154),상세표[반영월],대상월키))</f>
        <v/>
      </c>
      <c r="AC154" s="4">
        <f>IFERROR(MATCH(149,상세표[합계없음순번],0),"")</f>
        <v/>
      </c>
    </row>
    <row r="155">
      <c r="A155">
        <f>IF($X155="","",INDEX(합계표[사번],$X155)&amp;"")</f>
        <v/>
      </c>
      <c r="B155">
        <f>IF($X155="","",INDEX(합계표[성명],$X155)&amp;"")</f>
        <v/>
      </c>
      <c r="C155">
        <f>IF($X155="","",INDEX(합계표[부서],$X155)&amp;"")</f>
        <v/>
      </c>
      <c r="D155">
        <f>IF($X155="","",INDEX(합계표[직위(요약)],$X155)&amp;"")</f>
        <v/>
      </c>
      <c r="E155">
        <f>IF($X155="","",INDEX(합계표[직급 공존],$X155)&amp;"")</f>
        <v/>
      </c>
      <c r="F155" s="20">
        <f>IF($X155="","",SUMIFS(합계표[시스템 합계],합계표[사번키],INDEX(합계표[사번키],$X155)))</f>
        <v/>
      </c>
      <c r="G155" s="20">
        <f>IF($X155="","",SUMIFS(상세표[기록 시간외],상세표[사번키],INDEX(합계표[사번키],$X155),상세표[기록월],대상월키))</f>
        <v/>
      </c>
      <c r="H155">
        <f>IF($X155="","",IF(ABS($F155-$G155)&lt;0.01,"일치","불일치(차이 "&amp;TEXT($G155-$F155,"0.00")&amp;")"))</f>
        <v/>
      </c>
      <c r="I155" s="20">
        <f>IF($X155="","",SUMIFS(상세표[기록 시간외],상세표[사번키],INDEX(합계표[사번키],$X155),상세표[기록월],대상월키,상세표[반영월],"&lt;&gt;"&amp;대상월키))</f>
        <v/>
      </c>
      <c r="J155" s="20">
        <f>IF($X155="","",SUMIFS(상세표[기록 시간외],상세표[사번키],INDEX(합계표[사번키],$X155),상세표[기록월],"&lt;&gt;"&amp;대상월키,상세표[반영월],대상월키))</f>
        <v/>
      </c>
      <c r="K155" s="20">
        <f>IF($X155="","",SUMIFS(상세표[기록 시간외],상세표[사번키],INDEX(합계표[사번키],$X155),상세표[반영월],대상월키))</f>
        <v/>
      </c>
      <c r="L155">
        <f>IF($X155="","",IFERROR(INDEX(월별근무지표[적용 급여병원],MATCH(INDEX(합계표[사번키],$X155)&amp;"|"&amp;대상월키,월별근무지표[키],0))&amp;"",IF(COUNTIF(기관표[사번키],INDEX(합계표[사번키],$X155))+COUNTIF(월별근무지표[사번키],INDEX(합계표[사번키],$X155))&gt;0,IFERROR(INDEX(기관표[급여지급병원(기준월)],MATCH(INDEX(합계표[사번키],$X155)&amp;"|"&amp;대상월키,기관표[키],0))&amp;"","—"),"—")))</f>
        <v/>
      </c>
      <c r="M155">
        <f>IF($X155="","",IF(NOT(COUNTIF(기관표[사번키],INDEX(합계표[사번키],$X155))+COUNTIF(월별근무지표[사번키],INDEX(합계표[사번키],$X155))&gt;0),"기관명단에 없음(다른 병원으로 발송)",IF($L155="서울병원","해당",IF(N($R155)&gt;0,"해당(말일 근무)",IF($L155="—","대상월 기관명단 없음(추가 필요)","비해당")))))</f>
        <v/>
      </c>
      <c r="N155" s="20">
        <f>IF($X155="","",SUMIFS(상세표[06~07시],상세표[사번키],INDEX(합계표[사번키],$X155),상세표[반영월],대상월키,상세표[반영 기관],"서울병원"))</f>
        <v/>
      </c>
      <c r="O155" s="20">
        <f>IF($X155="","",SUMIFS(상세표[07~18시],상세표[사번키],INDEX(합계표[사번키],$X155),상세표[반영월],대상월키,상세표[반영 기관],"서울병원"))</f>
        <v/>
      </c>
      <c r="P155" s="20">
        <f>IF($X155="","",SUMIFS(상세표[18~22시],상세표[사번키],INDEX(합계표[사번키],$X155),상세표[반영월],대상월키,상세표[반영 기관],"서울병원"))</f>
        <v/>
      </c>
      <c r="Q155" s="20">
        <f>IF($X155="","",SUMIFS(상세표[22~06시],상세표[사번키],INDEX(합계표[사번키],$X155),상세표[반영월],대상월키,상세표[반영 기관],"서울병원"))</f>
        <v/>
      </c>
      <c r="R155" s="20">
        <f>IF($X155="","",SUM($N155:$Q155))</f>
        <v/>
      </c>
      <c r="S155">
        <f>IF($X155="","",COUNTIFS(상세표[사번키],INDEX(합계표[사번키],$X155),상세표[반영월],대상월키,상세표[야간당직],1,상세표[야간 구분],"평일"))</f>
        <v/>
      </c>
      <c r="T155">
        <f>IF($X155="","",COUNTIFS(상세표[사번키],INDEX(합계표[사번키],$X155),상세표[반영월],대상월키,상세표[야간당직],1,상세표[야간 구분],"휴일"))</f>
        <v/>
      </c>
      <c r="U155">
        <f>IF($X155="","",COUNTIFS(상세표[사번키],INDEX(합계표[사번키],$X155),상세표[반영월],대상월키,상세표[야간당직],1,상세표[야간 구분],"평일",상세표[반영 기관],"서울병원"))</f>
        <v/>
      </c>
      <c r="V155">
        <f>IF($X155="","",COUNTIFS(상세표[사번키],INDEX(합계표[사번키],$X155),상세표[반영월],대상월키,상세표[야간당직],1,상세표[야간 구분],"휴일",상세표[반영 기관],"서울병원"))</f>
        <v/>
      </c>
      <c r="W155">
        <f>IF($X155="","",IF(ISNUMBER(MATCH(INDEX(합계표[사번키],$X155)&amp;"|"&amp;대상월키,월별근무지표[키],0)),"직접 입력",IF($L155="—","—","기관명단")))</f>
        <v/>
      </c>
      <c r="X155" s="4">
        <f>IFERROR(MATCH(150,합계표[판정순번],0),"")</f>
        <v/>
      </c>
      <c r="Z155">
        <f>IF($AC155="","",INDEX(상세표[사번],$AC155)&amp;"")</f>
        <v/>
      </c>
      <c r="AA155">
        <f>IF($AC155="","",INDEX(상세표[성명],$AC155)&amp;"")</f>
        <v/>
      </c>
      <c r="AB155" s="20">
        <f>IF($AC155="","",SUMIFS(상세표[기록 시간외],상세표[사번키],INDEX(상세표[사번키],$AC155),상세표[반영월],대상월키))</f>
        <v/>
      </c>
      <c r="AC155" s="4">
        <f>IFERROR(MATCH(150,상세표[합계없음순번],0),"")</f>
        <v/>
      </c>
    </row>
    <row r="156">
      <c r="A156">
        <f>IF($X156="","",INDEX(합계표[사번],$X156)&amp;"")</f>
        <v/>
      </c>
      <c r="B156">
        <f>IF($X156="","",INDEX(합계표[성명],$X156)&amp;"")</f>
        <v/>
      </c>
      <c r="C156">
        <f>IF($X156="","",INDEX(합계표[부서],$X156)&amp;"")</f>
        <v/>
      </c>
      <c r="D156">
        <f>IF($X156="","",INDEX(합계표[직위(요약)],$X156)&amp;"")</f>
        <v/>
      </c>
      <c r="E156">
        <f>IF($X156="","",INDEX(합계표[직급 공존],$X156)&amp;"")</f>
        <v/>
      </c>
      <c r="F156" s="20">
        <f>IF($X156="","",SUMIFS(합계표[시스템 합계],합계표[사번키],INDEX(합계표[사번키],$X156)))</f>
        <v/>
      </c>
      <c r="G156" s="20">
        <f>IF($X156="","",SUMIFS(상세표[기록 시간외],상세표[사번키],INDEX(합계표[사번키],$X156),상세표[기록월],대상월키))</f>
        <v/>
      </c>
      <c r="H156">
        <f>IF($X156="","",IF(ABS($F156-$G156)&lt;0.01,"일치","불일치(차이 "&amp;TEXT($G156-$F156,"0.00")&amp;")"))</f>
        <v/>
      </c>
      <c r="I156" s="20">
        <f>IF($X156="","",SUMIFS(상세표[기록 시간외],상세표[사번키],INDEX(합계표[사번키],$X156),상세표[기록월],대상월키,상세표[반영월],"&lt;&gt;"&amp;대상월키))</f>
        <v/>
      </c>
      <c r="J156" s="20">
        <f>IF($X156="","",SUMIFS(상세표[기록 시간외],상세표[사번키],INDEX(합계표[사번키],$X156),상세표[기록월],"&lt;&gt;"&amp;대상월키,상세표[반영월],대상월키))</f>
        <v/>
      </c>
      <c r="K156" s="20">
        <f>IF($X156="","",SUMIFS(상세표[기록 시간외],상세표[사번키],INDEX(합계표[사번키],$X156),상세표[반영월],대상월키))</f>
        <v/>
      </c>
      <c r="L156">
        <f>IF($X156="","",IFERROR(INDEX(월별근무지표[적용 급여병원],MATCH(INDEX(합계표[사번키],$X156)&amp;"|"&amp;대상월키,월별근무지표[키],0))&amp;"",IF(COUNTIF(기관표[사번키],INDEX(합계표[사번키],$X156))+COUNTIF(월별근무지표[사번키],INDEX(합계표[사번키],$X156))&gt;0,IFERROR(INDEX(기관표[급여지급병원(기준월)],MATCH(INDEX(합계표[사번키],$X156)&amp;"|"&amp;대상월키,기관표[키],0))&amp;"","—"),"—")))</f>
        <v/>
      </c>
      <c r="M156">
        <f>IF($X156="","",IF(NOT(COUNTIF(기관표[사번키],INDEX(합계표[사번키],$X156))+COUNTIF(월별근무지표[사번키],INDEX(합계표[사번키],$X156))&gt;0),"기관명단에 없음(다른 병원으로 발송)",IF($L156="서울병원","해당",IF(N($R156)&gt;0,"해당(말일 근무)",IF($L156="—","대상월 기관명단 없음(추가 필요)","비해당")))))</f>
        <v/>
      </c>
      <c r="N156" s="20">
        <f>IF($X156="","",SUMIFS(상세표[06~07시],상세표[사번키],INDEX(합계표[사번키],$X156),상세표[반영월],대상월키,상세표[반영 기관],"서울병원"))</f>
        <v/>
      </c>
      <c r="O156" s="20">
        <f>IF($X156="","",SUMIFS(상세표[07~18시],상세표[사번키],INDEX(합계표[사번키],$X156),상세표[반영월],대상월키,상세표[반영 기관],"서울병원"))</f>
        <v/>
      </c>
      <c r="P156" s="20">
        <f>IF($X156="","",SUMIFS(상세표[18~22시],상세표[사번키],INDEX(합계표[사번키],$X156),상세표[반영월],대상월키,상세표[반영 기관],"서울병원"))</f>
        <v/>
      </c>
      <c r="Q156" s="20">
        <f>IF($X156="","",SUMIFS(상세표[22~06시],상세표[사번키],INDEX(합계표[사번키],$X156),상세표[반영월],대상월키,상세표[반영 기관],"서울병원"))</f>
        <v/>
      </c>
      <c r="R156" s="20">
        <f>IF($X156="","",SUM($N156:$Q156))</f>
        <v/>
      </c>
      <c r="S156">
        <f>IF($X156="","",COUNTIFS(상세표[사번키],INDEX(합계표[사번키],$X156),상세표[반영월],대상월키,상세표[야간당직],1,상세표[야간 구분],"평일"))</f>
        <v/>
      </c>
      <c r="T156">
        <f>IF($X156="","",COUNTIFS(상세표[사번키],INDEX(합계표[사번키],$X156),상세표[반영월],대상월키,상세표[야간당직],1,상세표[야간 구분],"휴일"))</f>
        <v/>
      </c>
      <c r="U156">
        <f>IF($X156="","",COUNTIFS(상세표[사번키],INDEX(합계표[사번키],$X156),상세표[반영월],대상월키,상세표[야간당직],1,상세표[야간 구분],"평일",상세표[반영 기관],"서울병원"))</f>
        <v/>
      </c>
      <c r="V156">
        <f>IF($X156="","",COUNTIFS(상세표[사번키],INDEX(합계표[사번키],$X156),상세표[반영월],대상월키,상세표[야간당직],1,상세표[야간 구분],"휴일",상세표[반영 기관],"서울병원"))</f>
        <v/>
      </c>
      <c r="W156">
        <f>IF($X156="","",IF(ISNUMBER(MATCH(INDEX(합계표[사번키],$X156)&amp;"|"&amp;대상월키,월별근무지표[키],0)),"직접 입력",IF($L156="—","—","기관명단")))</f>
        <v/>
      </c>
      <c r="X156" s="4">
        <f>IFERROR(MATCH(151,합계표[판정순번],0),"")</f>
        <v/>
      </c>
      <c r="Z156">
        <f>IF($AC156="","",INDEX(상세표[사번],$AC156)&amp;"")</f>
        <v/>
      </c>
      <c r="AA156">
        <f>IF($AC156="","",INDEX(상세표[성명],$AC156)&amp;"")</f>
        <v/>
      </c>
      <c r="AB156" s="20">
        <f>IF($AC156="","",SUMIFS(상세표[기록 시간외],상세표[사번키],INDEX(상세표[사번키],$AC156),상세표[반영월],대상월키))</f>
        <v/>
      </c>
      <c r="AC156" s="4">
        <f>IFERROR(MATCH(151,상세표[합계없음순번],0),"")</f>
        <v/>
      </c>
    </row>
    <row r="157">
      <c r="A157">
        <f>IF($X157="","",INDEX(합계표[사번],$X157)&amp;"")</f>
        <v/>
      </c>
      <c r="B157">
        <f>IF($X157="","",INDEX(합계표[성명],$X157)&amp;"")</f>
        <v/>
      </c>
      <c r="C157">
        <f>IF($X157="","",INDEX(합계표[부서],$X157)&amp;"")</f>
        <v/>
      </c>
      <c r="D157">
        <f>IF($X157="","",INDEX(합계표[직위(요약)],$X157)&amp;"")</f>
        <v/>
      </c>
      <c r="E157">
        <f>IF($X157="","",INDEX(합계표[직급 공존],$X157)&amp;"")</f>
        <v/>
      </c>
      <c r="F157" s="20">
        <f>IF($X157="","",SUMIFS(합계표[시스템 합계],합계표[사번키],INDEX(합계표[사번키],$X157)))</f>
        <v/>
      </c>
      <c r="G157" s="20">
        <f>IF($X157="","",SUMIFS(상세표[기록 시간외],상세표[사번키],INDEX(합계표[사번키],$X157),상세표[기록월],대상월키))</f>
        <v/>
      </c>
      <c r="H157">
        <f>IF($X157="","",IF(ABS($F157-$G157)&lt;0.01,"일치","불일치(차이 "&amp;TEXT($G157-$F157,"0.00")&amp;")"))</f>
        <v/>
      </c>
      <c r="I157" s="20">
        <f>IF($X157="","",SUMIFS(상세표[기록 시간외],상세표[사번키],INDEX(합계표[사번키],$X157),상세표[기록월],대상월키,상세표[반영월],"&lt;&gt;"&amp;대상월키))</f>
        <v/>
      </c>
      <c r="J157" s="20">
        <f>IF($X157="","",SUMIFS(상세표[기록 시간외],상세표[사번키],INDEX(합계표[사번키],$X157),상세표[기록월],"&lt;&gt;"&amp;대상월키,상세표[반영월],대상월키))</f>
        <v/>
      </c>
      <c r="K157" s="20">
        <f>IF($X157="","",SUMIFS(상세표[기록 시간외],상세표[사번키],INDEX(합계표[사번키],$X157),상세표[반영월],대상월키))</f>
        <v/>
      </c>
      <c r="L157">
        <f>IF($X157="","",IFERROR(INDEX(월별근무지표[적용 급여병원],MATCH(INDEX(합계표[사번키],$X157)&amp;"|"&amp;대상월키,월별근무지표[키],0))&amp;"",IF(COUNTIF(기관표[사번키],INDEX(합계표[사번키],$X157))+COUNTIF(월별근무지표[사번키],INDEX(합계표[사번키],$X157))&gt;0,IFERROR(INDEX(기관표[급여지급병원(기준월)],MATCH(INDEX(합계표[사번키],$X157)&amp;"|"&amp;대상월키,기관표[키],0))&amp;"","—"),"—")))</f>
        <v/>
      </c>
      <c r="M157">
        <f>IF($X157="","",IF(NOT(COUNTIF(기관표[사번키],INDEX(합계표[사번키],$X157))+COUNTIF(월별근무지표[사번키],INDEX(합계표[사번키],$X157))&gt;0),"기관명단에 없음(다른 병원으로 발송)",IF($L157="서울병원","해당",IF(N($R157)&gt;0,"해당(말일 근무)",IF($L157="—","대상월 기관명단 없음(추가 필요)","비해당")))))</f>
        <v/>
      </c>
      <c r="N157" s="20">
        <f>IF($X157="","",SUMIFS(상세표[06~07시],상세표[사번키],INDEX(합계표[사번키],$X157),상세표[반영월],대상월키,상세표[반영 기관],"서울병원"))</f>
        <v/>
      </c>
      <c r="O157" s="20">
        <f>IF($X157="","",SUMIFS(상세표[07~18시],상세표[사번키],INDEX(합계표[사번키],$X157),상세표[반영월],대상월키,상세표[반영 기관],"서울병원"))</f>
        <v/>
      </c>
      <c r="P157" s="20">
        <f>IF($X157="","",SUMIFS(상세표[18~22시],상세표[사번키],INDEX(합계표[사번키],$X157),상세표[반영월],대상월키,상세표[반영 기관],"서울병원"))</f>
        <v/>
      </c>
      <c r="Q157" s="20">
        <f>IF($X157="","",SUMIFS(상세표[22~06시],상세표[사번키],INDEX(합계표[사번키],$X157),상세표[반영월],대상월키,상세표[반영 기관],"서울병원"))</f>
        <v/>
      </c>
      <c r="R157" s="20">
        <f>IF($X157="","",SUM($N157:$Q157))</f>
        <v/>
      </c>
      <c r="S157">
        <f>IF($X157="","",COUNTIFS(상세표[사번키],INDEX(합계표[사번키],$X157),상세표[반영월],대상월키,상세표[야간당직],1,상세표[야간 구분],"평일"))</f>
        <v/>
      </c>
      <c r="T157">
        <f>IF($X157="","",COUNTIFS(상세표[사번키],INDEX(합계표[사번키],$X157),상세표[반영월],대상월키,상세표[야간당직],1,상세표[야간 구분],"휴일"))</f>
        <v/>
      </c>
      <c r="U157">
        <f>IF($X157="","",COUNTIFS(상세표[사번키],INDEX(합계표[사번키],$X157),상세표[반영월],대상월키,상세표[야간당직],1,상세표[야간 구분],"평일",상세표[반영 기관],"서울병원"))</f>
        <v/>
      </c>
      <c r="V157">
        <f>IF($X157="","",COUNTIFS(상세표[사번키],INDEX(합계표[사번키],$X157),상세표[반영월],대상월키,상세표[야간당직],1,상세표[야간 구분],"휴일",상세표[반영 기관],"서울병원"))</f>
        <v/>
      </c>
      <c r="W157">
        <f>IF($X157="","",IF(ISNUMBER(MATCH(INDEX(합계표[사번키],$X157)&amp;"|"&amp;대상월키,월별근무지표[키],0)),"직접 입력",IF($L157="—","—","기관명단")))</f>
        <v/>
      </c>
      <c r="X157" s="4">
        <f>IFERROR(MATCH(152,합계표[판정순번],0),"")</f>
        <v/>
      </c>
      <c r="Z157">
        <f>IF($AC157="","",INDEX(상세표[사번],$AC157)&amp;"")</f>
        <v/>
      </c>
      <c r="AA157">
        <f>IF($AC157="","",INDEX(상세표[성명],$AC157)&amp;"")</f>
        <v/>
      </c>
      <c r="AB157" s="20">
        <f>IF($AC157="","",SUMIFS(상세표[기록 시간외],상세표[사번키],INDEX(상세표[사번키],$AC157),상세표[반영월],대상월키))</f>
        <v/>
      </c>
      <c r="AC157" s="4">
        <f>IFERROR(MATCH(152,상세표[합계없음순번],0),"")</f>
        <v/>
      </c>
    </row>
    <row r="158">
      <c r="A158">
        <f>IF($X158="","",INDEX(합계표[사번],$X158)&amp;"")</f>
        <v/>
      </c>
      <c r="B158">
        <f>IF($X158="","",INDEX(합계표[성명],$X158)&amp;"")</f>
        <v/>
      </c>
      <c r="C158">
        <f>IF($X158="","",INDEX(합계표[부서],$X158)&amp;"")</f>
        <v/>
      </c>
      <c r="D158">
        <f>IF($X158="","",INDEX(합계표[직위(요약)],$X158)&amp;"")</f>
        <v/>
      </c>
      <c r="E158">
        <f>IF($X158="","",INDEX(합계표[직급 공존],$X158)&amp;"")</f>
        <v/>
      </c>
      <c r="F158" s="20">
        <f>IF($X158="","",SUMIFS(합계표[시스템 합계],합계표[사번키],INDEX(합계표[사번키],$X158)))</f>
        <v/>
      </c>
      <c r="G158" s="20">
        <f>IF($X158="","",SUMIFS(상세표[기록 시간외],상세표[사번키],INDEX(합계표[사번키],$X158),상세표[기록월],대상월키))</f>
        <v/>
      </c>
      <c r="H158">
        <f>IF($X158="","",IF(ABS($F158-$G158)&lt;0.01,"일치","불일치(차이 "&amp;TEXT($G158-$F158,"0.00")&amp;")"))</f>
        <v/>
      </c>
      <c r="I158" s="20">
        <f>IF($X158="","",SUMIFS(상세표[기록 시간외],상세표[사번키],INDEX(합계표[사번키],$X158),상세표[기록월],대상월키,상세표[반영월],"&lt;&gt;"&amp;대상월키))</f>
        <v/>
      </c>
      <c r="J158" s="20">
        <f>IF($X158="","",SUMIFS(상세표[기록 시간외],상세표[사번키],INDEX(합계표[사번키],$X158),상세표[기록월],"&lt;&gt;"&amp;대상월키,상세표[반영월],대상월키))</f>
        <v/>
      </c>
      <c r="K158" s="20">
        <f>IF($X158="","",SUMIFS(상세표[기록 시간외],상세표[사번키],INDEX(합계표[사번키],$X158),상세표[반영월],대상월키))</f>
        <v/>
      </c>
      <c r="L158">
        <f>IF($X158="","",IFERROR(INDEX(월별근무지표[적용 급여병원],MATCH(INDEX(합계표[사번키],$X158)&amp;"|"&amp;대상월키,월별근무지표[키],0))&amp;"",IF(COUNTIF(기관표[사번키],INDEX(합계표[사번키],$X158))+COUNTIF(월별근무지표[사번키],INDEX(합계표[사번키],$X158))&gt;0,IFERROR(INDEX(기관표[급여지급병원(기준월)],MATCH(INDEX(합계표[사번키],$X158)&amp;"|"&amp;대상월키,기관표[키],0))&amp;"","—"),"—")))</f>
        <v/>
      </c>
      <c r="M158">
        <f>IF($X158="","",IF(NOT(COUNTIF(기관표[사번키],INDEX(합계표[사번키],$X158))+COUNTIF(월별근무지표[사번키],INDEX(합계표[사번키],$X158))&gt;0),"기관명단에 없음(다른 병원으로 발송)",IF($L158="서울병원","해당",IF(N($R158)&gt;0,"해당(말일 근무)",IF($L158="—","대상월 기관명단 없음(추가 필요)","비해당")))))</f>
        <v/>
      </c>
      <c r="N158" s="20">
        <f>IF($X158="","",SUMIFS(상세표[06~07시],상세표[사번키],INDEX(합계표[사번키],$X158),상세표[반영월],대상월키,상세표[반영 기관],"서울병원"))</f>
        <v/>
      </c>
      <c r="O158" s="20">
        <f>IF($X158="","",SUMIFS(상세표[07~18시],상세표[사번키],INDEX(합계표[사번키],$X158),상세표[반영월],대상월키,상세표[반영 기관],"서울병원"))</f>
        <v/>
      </c>
      <c r="P158" s="20">
        <f>IF($X158="","",SUMIFS(상세표[18~22시],상세표[사번키],INDEX(합계표[사번키],$X158),상세표[반영월],대상월키,상세표[반영 기관],"서울병원"))</f>
        <v/>
      </c>
      <c r="Q158" s="20">
        <f>IF($X158="","",SUMIFS(상세표[22~06시],상세표[사번키],INDEX(합계표[사번키],$X158),상세표[반영월],대상월키,상세표[반영 기관],"서울병원"))</f>
        <v/>
      </c>
      <c r="R158" s="20">
        <f>IF($X158="","",SUM($N158:$Q158))</f>
        <v/>
      </c>
      <c r="S158">
        <f>IF($X158="","",COUNTIFS(상세표[사번키],INDEX(합계표[사번키],$X158),상세표[반영월],대상월키,상세표[야간당직],1,상세표[야간 구분],"평일"))</f>
        <v/>
      </c>
      <c r="T158">
        <f>IF($X158="","",COUNTIFS(상세표[사번키],INDEX(합계표[사번키],$X158),상세표[반영월],대상월키,상세표[야간당직],1,상세표[야간 구분],"휴일"))</f>
        <v/>
      </c>
      <c r="U158">
        <f>IF($X158="","",COUNTIFS(상세표[사번키],INDEX(합계표[사번키],$X158),상세표[반영월],대상월키,상세표[야간당직],1,상세표[야간 구분],"평일",상세표[반영 기관],"서울병원"))</f>
        <v/>
      </c>
      <c r="V158">
        <f>IF($X158="","",COUNTIFS(상세표[사번키],INDEX(합계표[사번키],$X158),상세표[반영월],대상월키,상세표[야간당직],1,상세표[야간 구분],"휴일",상세표[반영 기관],"서울병원"))</f>
        <v/>
      </c>
      <c r="W158">
        <f>IF($X158="","",IF(ISNUMBER(MATCH(INDEX(합계표[사번키],$X158)&amp;"|"&amp;대상월키,월별근무지표[키],0)),"직접 입력",IF($L158="—","—","기관명단")))</f>
        <v/>
      </c>
      <c r="X158" s="4">
        <f>IFERROR(MATCH(153,합계표[판정순번],0),"")</f>
        <v/>
      </c>
      <c r="Z158">
        <f>IF($AC158="","",INDEX(상세표[사번],$AC158)&amp;"")</f>
        <v/>
      </c>
      <c r="AA158">
        <f>IF($AC158="","",INDEX(상세표[성명],$AC158)&amp;"")</f>
        <v/>
      </c>
      <c r="AB158" s="20">
        <f>IF($AC158="","",SUMIFS(상세표[기록 시간외],상세표[사번키],INDEX(상세표[사번키],$AC158),상세표[반영월],대상월키))</f>
        <v/>
      </c>
      <c r="AC158" s="4">
        <f>IFERROR(MATCH(153,상세표[합계없음순번],0),"")</f>
        <v/>
      </c>
    </row>
    <row r="159">
      <c r="A159">
        <f>IF($X159="","",INDEX(합계표[사번],$X159)&amp;"")</f>
        <v/>
      </c>
      <c r="B159">
        <f>IF($X159="","",INDEX(합계표[성명],$X159)&amp;"")</f>
        <v/>
      </c>
      <c r="C159">
        <f>IF($X159="","",INDEX(합계표[부서],$X159)&amp;"")</f>
        <v/>
      </c>
      <c r="D159">
        <f>IF($X159="","",INDEX(합계표[직위(요약)],$X159)&amp;"")</f>
        <v/>
      </c>
      <c r="E159">
        <f>IF($X159="","",INDEX(합계표[직급 공존],$X159)&amp;"")</f>
        <v/>
      </c>
      <c r="F159" s="20">
        <f>IF($X159="","",SUMIFS(합계표[시스템 합계],합계표[사번키],INDEX(합계표[사번키],$X159)))</f>
        <v/>
      </c>
      <c r="G159" s="20">
        <f>IF($X159="","",SUMIFS(상세표[기록 시간외],상세표[사번키],INDEX(합계표[사번키],$X159),상세표[기록월],대상월키))</f>
        <v/>
      </c>
      <c r="H159">
        <f>IF($X159="","",IF(ABS($F159-$G159)&lt;0.01,"일치","불일치(차이 "&amp;TEXT($G159-$F159,"0.00")&amp;")"))</f>
        <v/>
      </c>
      <c r="I159" s="20">
        <f>IF($X159="","",SUMIFS(상세표[기록 시간외],상세표[사번키],INDEX(합계표[사번키],$X159),상세표[기록월],대상월키,상세표[반영월],"&lt;&gt;"&amp;대상월키))</f>
        <v/>
      </c>
      <c r="J159" s="20">
        <f>IF($X159="","",SUMIFS(상세표[기록 시간외],상세표[사번키],INDEX(합계표[사번키],$X159),상세표[기록월],"&lt;&gt;"&amp;대상월키,상세표[반영월],대상월키))</f>
        <v/>
      </c>
      <c r="K159" s="20">
        <f>IF($X159="","",SUMIFS(상세표[기록 시간외],상세표[사번키],INDEX(합계표[사번키],$X159),상세표[반영월],대상월키))</f>
        <v/>
      </c>
      <c r="L159">
        <f>IF($X159="","",IFERROR(INDEX(월별근무지표[적용 급여병원],MATCH(INDEX(합계표[사번키],$X159)&amp;"|"&amp;대상월키,월별근무지표[키],0))&amp;"",IF(COUNTIF(기관표[사번키],INDEX(합계표[사번키],$X159))+COUNTIF(월별근무지표[사번키],INDEX(합계표[사번키],$X159))&gt;0,IFERROR(INDEX(기관표[급여지급병원(기준월)],MATCH(INDEX(합계표[사번키],$X159)&amp;"|"&amp;대상월키,기관표[키],0))&amp;"","—"),"—")))</f>
        <v/>
      </c>
      <c r="M159">
        <f>IF($X159="","",IF(NOT(COUNTIF(기관표[사번키],INDEX(합계표[사번키],$X159))+COUNTIF(월별근무지표[사번키],INDEX(합계표[사번키],$X159))&gt;0),"기관명단에 없음(다른 병원으로 발송)",IF($L159="서울병원","해당",IF(N($R159)&gt;0,"해당(말일 근무)",IF($L159="—","대상월 기관명단 없음(추가 필요)","비해당")))))</f>
        <v/>
      </c>
      <c r="N159" s="20">
        <f>IF($X159="","",SUMIFS(상세표[06~07시],상세표[사번키],INDEX(합계표[사번키],$X159),상세표[반영월],대상월키,상세표[반영 기관],"서울병원"))</f>
        <v/>
      </c>
      <c r="O159" s="20">
        <f>IF($X159="","",SUMIFS(상세표[07~18시],상세표[사번키],INDEX(합계표[사번키],$X159),상세표[반영월],대상월키,상세표[반영 기관],"서울병원"))</f>
        <v/>
      </c>
      <c r="P159" s="20">
        <f>IF($X159="","",SUMIFS(상세표[18~22시],상세표[사번키],INDEX(합계표[사번키],$X159),상세표[반영월],대상월키,상세표[반영 기관],"서울병원"))</f>
        <v/>
      </c>
      <c r="Q159" s="20">
        <f>IF($X159="","",SUMIFS(상세표[22~06시],상세표[사번키],INDEX(합계표[사번키],$X159),상세표[반영월],대상월키,상세표[반영 기관],"서울병원"))</f>
        <v/>
      </c>
      <c r="R159" s="20">
        <f>IF($X159="","",SUM($N159:$Q159))</f>
        <v/>
      </c>
      <c r="S159">
        <f>IF($X159="","",COUNTIFS(상세표[사번키],INDEX(합계표[사번키],$X159),상세표[반영월],대상월키,상세표[야간당직],1,상세표[야간 구분],"평일"))</f>
        <v/>
      </c>
      <c r="T159">
        <f>IF($X159="","",COUNTIFS(상세표[사번키],INDEX(합계표[사번키],$X159),상세표[반영월],대상월키,상세표[야간당직],1,상세표[야간 구분],"휴일"))</f>
        <v/>
      </c>
      <c r="U159">
        <f>IF($X159="","",COUNTIFS(상세표[사번키],INDEX(합계표[사번키],$X159),상세표[반영월],대상월키,상세표[야간당직],1,상세표[야간 구분],"평일",상세표[반영 기관],"서울병원"))</f>
        <v/>
      </c>
      <c r="V159">
        <f>IF($X159="","",COUNTIFS(상세표[사번키],INDEX(합계표[사번키],$X159),상세표[반영월],대상월키,상세표[야간당직],1,상세표[야간 구분],"휴일",상세표[반영 기관],"서울병원"))</f>
        <v/>
      </c>
      <c r="W159">
        <f>IF($X159="","",IF(ISNUMBER(MATCH(INDEX(합계표[사번키],$X159)&amp;"|"&amp;대상월키,월별근무지표[키],0)),"직접 입력",IF($L159="—","—","기관명단")))</f>
        <v/>
      </c>
      <c r="X159" s="4">
        <f>IFERROR(MATCH(154,합계표[판정순번],0),"")</f>
        <v/>
      </c>
      <c r="Z159">
        <f>IF($AC159="","",INDEX(상세표[사번],$AC159)&amp;"")</f>
        <v/>
      </c>
      <c r="AA159">
        <f>IF($AC159="","",INDEX(상세표[성명],$AC159)&amp;"")</f>
        <v/>
      </c>
      <c r="AB159" s="20">
        <f>IF($AC159="","",SUMIFS(상세표[기록 시간외],상세표[사번키],INDEX(상세표[사번키],$AC159),상세표[반영월],대상월키))</f>
        <v/>
      </c>
      <c r="AC159" s="4">
        <f>IFERROR(MATCH(154,상세표[합계없음순번],0),"")</f>
        <v/>
      </c>
    </row>
    <row r="160">
      <c r="A160">
        <f>IF($X160="","",INDEX(합계표[사번],$X160)&amp;"")</f>
        <v/>
      </c>
      <c r="B160">
        <f>IF($X160="","",INDEX(합계표[성명],$X160)&amp;"")</f>
        <v/>
      </c>
      <c r="C160">
        <f>IF($X160="","",INDEX(합계표[부서],$X160)&amp;"")</f>
        <v/>
      </c>
      <c r="D160">
        <f>IF($X160="","",INDEX(합계표[직위(요약)],$X160)&amp;"")</f>
        <v/>
      </c>
      <c r="E160">
        <f>IF($X160="","",INDEX(합계표[직급 공존],$X160)&amp;"")</f>
        <v/>
      </c>
      <c r="F160" s="20">
        <f>IF($X160="","",SUMIFS(합계표[시스템 합계],합계표[사번키],INDEX(합계표[사번키],$X160)))</f>
        <v/>
      </c>
      <c r="G160" s="20">
        <f>IF($X160="","",SUMIFS(상세표[기록 시간외],상세표[사번키],INDEX(합계표[사번키],$X160),상세표[기록월],대상월키))</f>
        <v/>
      </c>
      <c r="H160">
        <f>IF($X160="","",IF(ABS($F160-$G160)&lt;0.01,"일치","불일치(차이 "&amp;TEXT($G160-$F160,"0.00")&amp;")"))</f>
        <v/>
      </c>
      <c r="I160" s="20">
        <f>IF($X160="","",SUMIFS(상세표[기록 시간외],상세표[사번키],INDEX(합계표[사번키],$X160),상세표[기록월],대상월키,상세표[반영월],"&lt;&gt;"&amp;대상월키))</f>
        <v/>
      </c>
      <c r="J160" s="20">
        <f>IF($X160="","",SUMIFS(상세표[기록 시간외],상세표[사번키],INDEX(합계표[사번키],$X160),상세표[기록월],"&lt;&gt;"&amp;대상월키,상세표[반영월],대상월키))</f>
        <v/>
      </c>
      <c r="K160" s="20">
        <f>IF($X160="","",SUMIFS(상세표[기록 시간외],상세표[사번키],INDEX(합계표[사번키],$X160),상세표[반영월],대상월키))</f>
        <v/>
      </c>
      <c r="L160">
        <f>IF($X160="","",IFERROR(INDEX(월별근무지표[적용 급여병원],MATCH(INDEX(합계표[사번키],$X160)&amp;"|"&amp;대상월키,월별근무지표[키],0))&amp;"",IF(COUNTIF(기관표[사번키],INDEX(합계표[사번키],$X160))+COUNTIF(월별근무지표[사번키],INDEX(합계표[사번키],$X160))&gt;0,IFERROR(INDEX(기관표[급여지급병원(기준월)],MATCH(INDEX(합계표[사번키],$X160)&amp;"|"&amp;대상월키,기관표[키],0))&amp;"","—"),"—")))</f>
        <v/>
      </c>
      <c r="M160">
        <f>IF($X160="","",IF(NOT(COUNTIF(기관표[사번키],INDEX(합계표[사번키],$X160))+COUNTIF(월별근무지표[사번키],INDEX(합계표[사번키],$X160))&gt;0),"기관명단에 없음(다른 병원으로 발송)",IF($L160="서울병원","해당",IF(N($R160)&gt;0,"해당(말일 근무)",IF($L160="—","대상월 기관명단 없음(추가 필요)","비해당")))))</f>
        <v/>
      </c>
      <c r="N160" s="20">
        <f>IF($X160="","",SUMIFS(상세표[06~07시],상세표[사번키],INDEX(합계표[사번키],$X160),상세표[반영월],대상월키,상세표[반영 기관],"서울병원"))</f>
        <v/>
      </c>
      <c r="O160" s="20">
        <f>IF($X160="","",SUMIFS(상세표[07~18시],상세표[사번키],INDEX(합계표[사번키],$X160),상세표[반영월],대상월키,상세표[반영 기관],"서울병원"))</f>
        <v/>
      </c>
      <c r="P160" s="20">
        <f>IF($X160="","",SUMIFS(상세표[18~22시],상세표[사번키],INDEX(합계표[사번키],$X160),상세표[반영월],대상월키,상세표[반영 기관],"서울병원"))</f>
        <v/>
      </c>
      <c r="Q160" s="20">
        <f>IF($X160="","",SUMIFS(상세표[22~06시],상세표[사번키],INDEX(합계표[사번키],$X160),상세표[반영월],대상월키,상세표[반영 기관],"서울병원"))</f>
        <v/>
      </c>
      <c r="R160" s="20">
        <f>IF($X160="","",SUM($N160:$Q160))</f>
        <v/>
      </c>
      <c r="S160">
        <f>IF($X160="","",COUNTIFS(상세표[사번키],INDEX(합계표[사번키],$X160),상세표[반영월],대상월키,상세표[야간당직],1,상세표[야간 구분],"평일"))</f>
        <v/>
      </c>
      <c r="T160">
        <f>IF($X160="","",COUNTIFS(상세표[사번키],INDEX(합계표[사번키],$X160),상세표[반영월],대상월키,상세표[야간당직],1,상세표[야간 구분],"휴일"))</f>
        <v/>
      </c>
      <c r="U160">
        <f>IF($X160="","",COUNTIFS(상세표[사번키],INDEX(합계표[사번키],$X160),상세표[반영월],대상월키,상세표[야간당직],1,상세표[야간 구분],"평일",상세표[반영 기관],"서울병원"))</f>
        <v/>
      </c>
      <c r="V160">
        <f>IF($X160="","",COUNTIFS(상세표[사번키],INDEX(합계표[사번키],$X160),상세표[반영월],대상월키,상세표[야간당직],1,상세표[야간 구분],"휴일",상세표[반영 기관],"서울병원"))</f>
        <v/>
      </c>
      <c r="W160">
        <f>IF($X160="","",IF(ISNUMBER(MATCH(INDEX(합계표[사번키],$X160)&amp;"|"&amp;대상월키,월별근무지표[키],0)),"직접 입력",IF($L160="—","—","기관명단")))</f>
        <v/>
      </c>
      <c r="X160" s="4">
        <f>IFERROR(MATCH(155,합계표[판정순번],0),"")</f>
        <v/>
      </c>
      <c r="Z160">
        <f>IF($AC160="","",INDEX(상세표[사번],$AC160)&amp;"")</f>
        <v/>
      </c>
      <c r="AA160">
        <f>IF($AC160="","",INDEX(상세표[성명],$AC160)&amp;"")</f>
        <v/>
      </c>
      <c r="AB160" s="20">
        <f>IF($AC160="","",SUMIFS(상세표[기록 시간외],상세표[사번키],INDEX(상세표[사번키],$AC160),상세표[반영월],대상월키))</f>
        <v/>
      </c>
      <c r="AC160" s="4">
        <f>IFERROR(MATCH(155,상세표[합계없음순번],0),"")</f>
        <v/>
      </c>
    </row>
    <row r="161">
      <c r="A161">
        <f>IF($X161="","",INDEX(합계표[사번],$X161)&amp;"")</f>
        <v/>
      </c>
      <c r="B161">
        <f>IF($X161="","",INDEX(합계표[성명],$X161)&amp;"")</f>
        <v/>
      </c>
      <c r="C161">
        <f>IF($X161="","",INDEX(합계표[부서],$X161)&amp;"")</f>
        <v/>
      </c>
      <c r="D161">
        <f>IF($X161="","",INDEX(합계표[직위(요약)],$X161)&amp;"")</f>
        <v/>
      </c>
      <c r="E161">
        <f>IF($X161="","",INDEX(합계표[직급 공존],$X161)&amp;"")</f>
        <v/>
      </c>
      <c r="F161" s="20">
        <f>IF($X161="","",SUMIFS(합계표[시스템 합계],합계표[사번키],INDEX(합계표[사번키],$X161)))</f>
        <v/>
      </c>
      <c r="G161" s="20">
        <f>IF($X161="","",SUMIFS(상세표[기록 시간외],상세표[사번키],INDEX(합계표[사번키],$X161),상세표[기록월],대상월키))</f>
        <v/>
      </c>
      <c r="H161">
        <f>IF($X161="","",IF(ABS($F161-$G161)&lt;0.01,"일치","불일치(차이 "&amp;TEXT($G161-$F161,"0.00")&amp;")"))</f>
        <v/>
      </c>
      <c r="I161" s="20">
        <f>IF($X161="","",SUMIFS(상세표[기록 시간외],상세표[사번키],INDEX(합계표[사번키],$X161),상세표[기록월],대상월키,상세표[반영월],"&lt;&gt;"&amp;대상월키))</f>
        <v/>
      </c>
      <c r="J161" s="20">
        <f>IF($X161="","",SUMIFS(상세표[기록 시간외],상세표[사번키],INDEX(합계표[사번키],$X161),상세표[기록월],"&lt;&gt;"&amp;대상월키,상세표[반영월],대상월키))</f>
        <v/>
      </c>
      <c r="K161" s="20">
        <f>IF($X161="","",SUMIFS(상세표[기록 시간외],상세표[사번키],INDEX(합계표[사번키],$X161),상세표[반영월],대상월키))</f>
        <v/>
      </c>
      <c r="L161">
        <f>IF($X161="","",IFERROR(INDEX(월별근무지표[적용 급여병원],MATCH(INDEX(합계표[사번키],$X161)&amp;"|"&amp;대상월키,월별근무지표[키],0))&amp;"",IF(COUNTIF(기관표[사번키],INDEX(합계표[사번키],$X161))+COUNTIF(월별근무지표[사번키],INDEX(합계표[사번키],$X161))&gt;0,IFERROR(INDEX(기관표[급여지급병원(기준월)],MATCH(INDEX(합계표[사번키],$X161)&amp;"|"&amp;대상월키,기관표[키],0))&amp;"","—"),"—")))</f>
        <v/>
      </c>
      <c r="M161">
        <f>IF($X161="","",IF(NOT(COUNTIF(기관표[사번키],INDEX(합계표[사번키],$X161))+COUNTIF(월별근무지표[사번키],INDEX(합계표[사번키],$X161))&gt;0),"기관명단에 없음(다른 병원으로 발송)",IF($L161="서울병원","해당",IF(N($R161)&gt;0,"해당(말일 근무)",IF($L161="—","대상월 기관명단 없음(추가 필요)","비해당")))))</f>
        <v/>
      </c>
      <c r="N161" s="20">
        <f>IF($X161="","",SUMIFS(상세표[06~07시],상세표[사번키],INDEX(합계표[사번키],$X161),상세표[반영월],대상월키,상세표[반영 기관],"서울병원"))</f>
        <v/>
      </c>
      <c r="O161" s="20">
        <f>IF($X161="","",SUMIFS(상세표[07~18시],상세표[사번키],INDEX(합계표[사번키],$X161),상세표[반영월],대상월키,상세표[반영 기관],"서울병원"))</f>
        <v/>
      </c>
      <c r="P161" s="20">
        <f>IF($X161="","",SUMIFS(상세표[18~22시],상세표[사번키],INDEX(합계표[사번키],$X161),상세표[반영월],대상월키,상세표[반영 기관],"서울병원"))</f>
        <v/>
      </c>
      <c r="Q161" s="20">
        <f>IF($X161="","",SUMIFS(상세표[22~06시],상세표[사번키],INDEX(합계표[사번키],$X161),상세표[반영월],대상월키,상세표[반영 기관],"서울병원"))</f>
        <v/>
      </c>
      <c r="R161" s="20">
        <f>IF($X161="","",SUM($N161:$Q161))</f>
        <v/>
      </c>
      <c r="S161">
        <f>IF($X161="","",COUNTIFS(상세표[사번키],INDEX(합계표[사번키],$X161),상세표[반영월],대상월키,상세표[야간당직],1,상세표[야간 구분],"평일"))</f>
        <v/>
      </c>
      <c r="T161">
        <f>IF($X161="","",COUNTIFS(상세표[사번키],INDEX(합계표[사번키],$X161),상세표[반영월],대상월키,상세표[야간당직],1,상세표[야간 구분],"휴일"))</f>
        <v/>
      </c>
      <c r="U161">
        <f>IF($X161="","",COUNTIFS(상세표[사번키],INDEX(합계표[사번키],$X161),상세표[반영월],대상월키,상세표[야간당직],1,상세표[야간 구분],"평일",상세표[반영 기관],"서울병원"))</f>
        <v/>
      </c>
      <c r="V161">
        <f>IF($X161="","",COUNTIFS(상세표[사번키],INDEX(합계표[사번키],$X161),상세표[반영월],대상월키,상세표[야간당직],1,상세표[야간 구분],"휴일",상세표[반영 기관],"서울병원"))</f>
        <v/>
      </c>
      <c r="W161">
        <f>IF($X161="","",IF(ISNUMBER(MATCH(INDEX(합계표[사번키],$X161)&amp;"|"&amp;대상월키,월별근무지표[키],0)),"직접 입력",IF($L161="—","—","기관명단")))</f>
        <v/>
      </c>
      <c r="X161" s="4">
        <f>IFERROR(MATCH(156,합계표[판정순번],0),"")</f>
        <v/>
      </c>
      <c r="Z161">
        <f>IF($AC161="","",INDEX(상세표[사번],$AC161)&amp;"")</f>
        <v/>
      </c>
      <c r="AA161">
        <f>IF($AC161="","",INDEX(상세표[성명],$AC161)&amp;"")</f>
        <v/>
      </c>
      <c r="AB161" s="20">
        <f>IF($AC161="","",SUMIFS(상세표[기록 시간외],상세표[사번키],INDEX(상세표[사번키],$AC161),상세표[반영월],대상월키))</f>
        <v/>
      </c>
      <c r="AC161" s="4">
        <f>IFERROR(MATCH(156,상세표[합계없음순번],0),"")</f>
        <v/>
      </c>
    </row>
    <row r="162">
      <c r="A162">
        <f>IF($X162="","",INDEX(합계표[사번],$X162)&amp;"")</f>
        <v/>
      </c>
      <c r="B162">
        <f>IF($X162="","",INDEX(합계표[성명],$X162)&amp;"")</f>
        <v/>
      </c>
      <c r="C162">
        <f>IF($X162="","",INDEX(합계표[부서],$X162)&amp;"")</f>
        <v/>
      </c>
      <c r="D162">
        <f>IF($X162="","",INDEX(합계표[직위(요약)],$X162)&amp;"")</f>
        <v/>
      </c>
      <c r="E162">
        <f>IF($X162="","",INDEX(합계표[직급 공존],$X162)&amp;"")</f>
        <v/>
      </c>
      <c r="F162" s="20">
        <f>IF($X162="","",SUMIFS(합계표[시스템 합계],합계표[사번키],INDEX(합계표[사번키],$X162)))</f>
        <v/>
      </c>
      <c r="G162" s="20">
        <f>IF($X162="","",SUMIFS(상세표[기록 시간외],상세표[사번키],INDEX(합계표[사번키],$X162),상세표[기록월],대상월키))</f>
        <v/>
      </c>
      <c r="H162">
        <f>IF($X162="","",IF(ABS($F162-$G162)&lt;0.01,"일치","불일치(차이 "&amp;TEXT($G162-$F162,"0.00")&amp;")"))</f>
        <v/>
      </c>
      <c r="I162" s="20">
        <f>IF($X162="","",SUMIFS(상세표[기록 시간외],상세표[사번키],INDEX(합계표[사번키],$X162),상세표[기록월],대상월키,상세표[반영월],"&lt;&gt;"&amp;대상월키))</f>
        <v/>
      </c>
      <c r="J162" s="20">
        <f>IF($X162="","",SUMIFS(상세표[기록 시간외],상세표[사번키],INDEX(합계표[사번키],$X162),상세표[기록월],"&lt;&gt;"&amp;대상월키,상세표[반영월],대상월키))</f>
        <v/>
      </c>
      <c r="K162" s="20">
        <f>IF($X162="","",SUMIFS(상세표[기록 시간외],상세표[사번키],INDEX(합계표[사번키],$X162),상세표[반영월],대상월키))</f>
        <v/>
      </c>
      <c r="L162">
        <f>IF($X162="","",IFERROR(INDEX(월별근무지표[적용 급여병원],MATCH(INDEX(합계표[사번키],$X162)&amp;"|"&amp;대상월키,월별근무지표[키],0))&amp;"",IF(COUNTIF(기관표[사번키],INDEX(합계표[사번키],$X162))+COUNTIF(월별근무지표[사번키],INDEX(합계표[사번키],$X162))&gt;0,IFERROR(INDEX(기관표[급여지급병원(기준월)],MATCH(INDEX(합계표[사번키],$X162)&amp;"|"&amp;대상월키,기관표[키],0))&amp;"","—"),"—")))</f>
        <v/>
      </c>
      <c r="M162">
        <f>IF($X162="","",IF(NOT(COUNTIF(기관표[사번키],INDEX(합계표[사번키],$X162))+COUNTIF(월별근무지표[사번키],INDEX(합계표[사번키],$X162))&gt;0),"기관명단에 없음(다른 병원으로 발송)",IF($L162="서울병원","해당",IF(N($R162)&gt;0,"해당(말일 근무)",IF($L162="—","대상월 기관명단 없음(추가 필요)","비해당")))))</f>
        <v/>
      </c>
      <c r="N162" s="20">
        <f>IF($X162="","",SUMIFS(상세표[06~07시],상세표[사번키],INDEX(합계표[사번키],$X162),상세표[반영월],대상월키,상세표[반영 기관],"서울병원"))</f>
        <v/>
      </c>
      <c r="O162" s="20">
        <f>IF($X162="","",SUMIFS(상세표[07~18시],상세표[사번키],INDEX(합계표[사번키],$X162),상세표[반영월],대상월키,상세표[반영 기관],"서울병원"))</f>
        <v/>
      </c>
      <c r="P162" s="20">
        <f>IF($X162="","",SUMIFS(상세표[18~22시],상세표[사번키],INDEX(합계표[사번키],$X162),상세표[반영월],대상월키,상세표[반영 기관],"서울병원"))</f>
        <v/>
      </c>
      <c r="Q162" s="20">
        <f>IF($X162="","",SUMIFS(상세표[22~06시],상세표[사번키],INDEX(합계표[사번키],$X162),상세표[반영월],대상월키,상세표[반영 기관],"서울병원"))</f>
        <v/>
      </c>
      <c r="R162" s="20">
        <f>IF($X162="","",SUM($N162:$Q162))</f>
        <v/>
      </c>
      <c r="S162">
        <f>IF($X162="","",COUNTIFS(상세표[사번키],INDEX(합계표[사번키],$X162),상세표[반영월],대상월키,상세표[야간당직],1,상세표[야간 구분],"평일"))</f>
        <v/>
      </c>
      <c r="T162">
        <f>IF($X162="","",COUNTIFS(상세표[사번키],INDEX(합계표[사번키],$X162),상세표[반영월],대상월키,상세표[야간당직],1,상세표[야간 구분],"휴일"))</f>
        <v/>
      </c>
      <c r="U162">
        <f>IF($X162="","",COUNTIFS(상세표[사번키],INDEX(합계표[사번키],$X162),상세표[반영월],대상월키,상세표[야간당직],1,상세표[야간 구분],"평일",상세표[반영 기관],"서울병원"))</f>
        <v/>
      </c>
      <c r="V162">
        <f>IF($X162="","",COUNTIFS(상세표[사번키],INDEX(합계표[사번키],$X162),상세표[반영월],대상월키,상세표[야간당직],1,상세표[야간 구분],"휴일",상세표[반영 기관],"서울병원"))</f>
        <v/>
      </c>
      <c r="W162">
        <f>IF($X162="","",IF(ISNUMBER(MATCH(INDEX(합계표[사번키],$X162)&amp;"|"&amp;대상월키,월별근무지표[키],0)),"직접 입력",IF($L162="—","—","기관명단")))</f>
        <v/>
      </c>
      <c r="X162" s="4">
        <f>IFERROR(MATCH(157,합계표[판정순번],0),"")</f>
        <v/>
      </c>
      <c r="Z162">
        <f>IF($AC162="","",INDEX(상세표[사번],$AC162)&amp;"")</f>
        <v/>
      </c>
      <c r="AA162">
        <f>IF($AC162="","",INDEX(상세표[성명],$AC162)&amp;"")</f>
        <v/>
      </c>
      <c r="AB162" s="20">
        <f>IF($AC162="","",SUMIFS(상세표[기록 시간외],상세표[사번키],INDEX(상세표[사번키],$AC162),상세표[반영월],대상월키))</f>
        <v/>
      </c>
      <c r="AC162" s="4">
        <f>IFERROR(MATCH(157,상세표[합계없음순번],0),"")</f>
        <v/>
      </c>
    </row>
    <row r="163">
      <c r="A163">
        <f>IF($X163="","",INDEX(합계표[사번],$X163)&amp;"")</f>
        <v/>
      </c>
      <c r="B163">
        <f>IF($X163="","",INDEX(합계표[성명],$X163)&amp;"")</f>
        <v/>
      </c>
      <c r="C163">
        <f>IF($X163="","",INDEX(합계표[부서],$X163)&amp;"")</f>
        <v/>
      </c>
      <c r="D163">
        <f>IF($X163="","",INDEX(합계표[직위(요약)],$X163)&amp;"")</f>
        <v/>
      </c>
      <c r="E163">
        <f>IF($X163="","",INDEX(합계표[직급 공존],$X163)&amp;"")</f>
        <v/>
      </c>
      <c r="F163" s="20">
        <f>IF($X163="","",SUMIFS(합계표[시스템 합계],합계표[사번키],INDEX(합계표[사번키],$X163)))</f>
        <v/>
      </c>
      <c r="G163" s="20">
        <f>IF($X163="","",SUMIFS(상세표[기록 시간외],상세표[사번키],INDEX(합계표[사번키],$X163),상세표[기록월],대상월키))</f>
        <v/>
      </c>
      <c r="H163">
        <f>IF($X163="","",IF(ABS($F163-$G163)&lt;0.01,"일치","불일치(차이 "&amp;TEXT($G163-$F163,"0.00")&amp;")"))</f>
        <v/>
      </c>
      <c r="I163" s="20">
        <f>IF($X163="","",SUMIFS(상세표[기록 시간외],상세표[사번키],INDEX(합계표[사번키],$X163),상세표[기록월],대상월키,상세표[반영월],"&lt;&gt;"&amp;대상월키))</f>
        <v/>
      </c>
      <c r="J163" s="20">
        <f>IF($X163="","",SUMIFS(상세표[기록 시간외],상세표[사번키],INDEX(합계표[사번키],$X163),상세표[기록월],"&lt;&gt;"&amp;대상월키,상세표[반영월],대상월키))</f>
        <v/>
      </c>
      <c r="K163" s="20">
        <f>IF($X163="","",SUMIFS(상세표[기록 시간외],상세표[사번키],INDEX(합계표[사번키],$X163),상세표[반영월],대상월키))</f>
        <v/>
      </c>
      <c r="L163">
        <f>IF($X163="","",IFERROR(INDEX(월별근무지표[적용 급여병원],MATCH(INDEX(합계표[사번키],$X163)&amp;"|"&amp;대상월키,월별근무지표[키],0))&amp;"",IF(COUNTIF(기관표[사번키],INDEX(합계표[사번키],$X163))+COUNTIF(월별근무지표[사번키],INDEX(합계표[사번키],$X163))&gt;0,IFERROR(INDEX(기관표[급여지급병원(기준월)],MATCH(INDEX(합계표[사번키],$X163)&amp;"|"&amp;대상월키,기관표[키],0))&amp;"","—"),"—")))</f>
        <v/>
      </c>
      <c r="M163">
        <f>IF($X163="","",IF(NOT(COUNTIF(기관표[사번키],INDEX(합계표[사번키],$X163))+COUNTIF(월별근무지표[사번키],INDEX(합계표[사번키],$X163))&gt;0),"기관명단에 없음(다른 병원으로 발송)",IF($L163="서울병원","해당",IF(N($R163)&gt;0,"해당(말일 근무)",IF($L163="—","대상월 기관명단 없음(추가 필요)","비해당")))))</f>
        <v/>
      </c>
      <c r="N163" s="20">
        <f>IF($X163="","",SUMIFS(상세표[06~07시],상세표[사번키],INDEX(합계표[사번키],$X163),상세표[반영월],대상월키,상세표[반영 기관],"서울병원"))</f>
        <v/>
      </c>
      <c r="O163" s="20">
        <f>IF($X163="","",SUMIFS(상세표[07~18시],상세표[사번키],INDEX(합계표[사번키],$X163),상세표[반영월],대상월키,상세표[반영 기관],"서울병원"))</f>
        <v/>
      </c>
      <c r="P163" s="20">
        <f>IF($X163="","",SUMIFS(상세표[18~22시],상세표[사번키],INDEX(합계표[사번키],$X163),상세표[반영월],대상월키,상세표[반영 기관],"서울병원"))</f>
        <v/>
      </c>
      <c r="Q163" s="20">
        <f>IF($X163="","",SUMIFS(상세표[22~06시],상세표[사번키],INDEX(합계표[사번키],$X163),상세표[반영월],대상월키,상세표[반영 기관],"서울병원"))</f>
        <v/>
      </c>
      <c r="R163" s="20">
        <f>IF($X163="","",SUM($N163:$Q163))</f>
        <v/>
      </c>
      <c r="S163">
        <f>IF($X163="","",COUNTIFS(상세표[사번키],INDEX(합계표[사번키],$X163),상세표[반영월],대상월키,상세표[야간당직],1,상세표[야간 구분],"평일"))</f>
        <v/>
      </c>
      <c r="T163">
        <f>IF($X163="","",COUNTIFS(상세표[사번키],INDEX(합계표[사번키],$X163),상세표[반영월],대상월키,상세표[야간당직],1,상세표[야간 구분],"휴일"))</f>
        <v/>
      </c>
      <c r="U163">
        <f>IF($X163="","",COUNTIFS(상세표[사번키],INDEX(합계표[사번키],$X163),상세표[반영월],대상월키,상세표[야간당직],1,상세표[야간 구분],"평일",상세표[반영 기관],"서울병원"))</f>
        <v/>
      </c>
      <c r="V163">
        <f>IF($X163="","",COUNTIFS(상세표[사번키],INDEX(합계표[사번키],$X163),상세표[반영월],대상월키,상세표[야간당직],1,상세표[야간 구분],"휴일",상세표[반영 기관],"서울병원"))</f>
        <v/>
      </c>
      <c r="W163">
        <f>IF($X163="","",IF(ISNUMBER(MATCH(INDEX(합계표[사번키],$X163)&amp;"|"&amp;대상월키,월별근무지표[키],0)),"직접 입력",IF($L163="—","—","기관명단")))</f>
        <v/>
      </c>
      <c r="X163" s="4">
        <f>IFERROR(MATCH(158,합계표[판정순번],0),"")</f>
        <v/>
      </c>
      <c r="Z163">
        <f>IF($AC163="","",INDEX(상세표[사번],$AC163)&amp;"")</f>
        <v/>
      </c>
      <c r="AA163">
        <f>IF($AC163="","",INDEX(상세표[성명],$AC163)&amp;"")</f>
        <v/>
      </c>
      <c r="AB163" s="20">
        <f>IF($AC163="","",SUMIFS(상세표[기록 시간외],상세표[사번키],INDEX(상세표[사번키],$AC163),상세표[반영월],대상월키))</f>
        <v/>
      </c>
      <c r="AC163" s="4">
        <f>IFERROR(MATCH(158,상세표[합계없음순번],0),"")</f>
        <v/>
      </c>
    </row>
    <row r="164">
      <c r="A164">
        <f>IF($X164="","",INDEX(합계표[사번],$X164)&amp;"")</f>
        <v/>
      </c>
      <c r="B164">
        <f>IF($X164="","",INDEX(합계표[성명],$X164)&amp;"")</f>
        <v/>
      </c>
      <c r="C164">
        <f>IF($X164="","",INDEX(합계표[부서],$X164)&amp;"")</f>
        <v/>
      </c>
      <c r="D164">
        <f>IF($X164="","",INDEX(합계표[직위(요약)],$X164)&amp;"")</f>
        <v/>
      </c>
      <c r="E164">
        <f>IF($X164="","",INDEX(합계표[직급 공존],$X164)&amp;"")</f>
        <v/>
      </c>
      <c r="F164" s="20">
        <f>IF($X164="","",SUMIFS(합계표[시스템 합계],합계표[사번키],INDEX(합계표[사번키],$X164)))</f>
        <v/>
      </c>
      <c r="G164" s="20">
        <f>IF($X164="","",SUMIFS(상세표[기록 시간외],상세표[사번키],INDEX(합계표[사번키],$X164),상세표[기록월],대상월키))</f>
        <v/>
      </c>
      <c r="H164">
        <f>IF($X164="","",IF(ABS($F164-$G164)&lt;0.01,"일치","불일치(차이 "&amp;TEXT($G164-$F164,"0.00")&amp;")"))</f>
        <v/>
      </c>
      <c r="I164" s="20">
        <f>IF($X164="","",SUMIFS(상세표[기록 시간외],상세표[사번키],INDEX(합계표[사번키],$X164),상세표[기록월],대상월키,상세표[반영월],"&lt;&gt;"&amp;대상월키))</f>
        <v/>
      </c>
      <c r="J164" s="20">
        <f>IF($X164="","",SUMIFS(상세표[기록 시간외],상세표[사번키],INDEX(합계표[사번키],$X164),상세표[기록월],"&lt;&gt;"&amp;대상월키,상세표[반영월],대상월키))</f>
        <v/>
      </c>
      <c r="K164" s="20">
        <f>IF($X164="","",SUMIFS(상세표[기록 시간외],상세표[사번키],INDEX(합계표[사번키],$X164),상세표[반영월],대상월키))</f>
        <v/>
      </c>
      <c r="L164">
        <f>IF($X164="","",IFERROR(INDEX(월별근무지표[적용 급여병원],MATCH(INDEX(합계표[사번키],$X164)&amp;"|"&amp;대상월키,월별근무지표[키],0))&amp;"",IF(COUNTIF(기관표[사번키],INDEX(합계표[사번키],$X164))+COUNTIF(월별근무지표[사번키],INDEX(합계표[사번키],$X164))&gt;0,IFERROR(INDEX(기관표[급여지급병원(기준월)],MATCH(INDEX(합계표[사번키],$X164)&amp;"|"&amp;대상월키,기관표[키],0))&amp;"","—"),"—")))</f>
        <v/>
      </c>
      <c r="M164">
        <f>IF($X164="","",IF(NOT(COUNTIF(기관표[사번키],INDEX(합계표[사번키],$X164))+COUNTIF(월별근무지표[사번키],INDEX(합계표[사번키],$X164))&gt;0),"기관명단에 없음(다른 병원으로 발송)",IF($L164="서울병원","해당",IF(N($R164)&gt;0,"해당(말일 근무)",IF($L164="—","대상월 기관명단 없음(추가 필요)","비해당")))))</f>
        <v/>
      </c>
      <c r="N164" s="20">
        <f>IF($X164="","",SUMIFS(상세표[06~07시],상세표[사번키],INDEX(합계표[사번키],$X164),상세표[반영월],대상월키,상세표[반영 기관],"서울병원"))</f>
        <v/>
      </c>
      <c r="O164" s="20">
        <f>IF($X164="","",SUMIFS(상세표[07~18시],상세표[사번키],INDEX(합계표[사번키],$X164),상세표[반영월],대상월키,상세표[반영 기관],"서울병원"))</f>
        <v/>
      </c>
      <c r="P164" s="20">
        <f>IF($X164="","",SUMIFS(상세표[18~22시],상세표[사번키],INDEX(합계표[사번키],$X164),상세표[반영월],대상월키,상세표[반영 기관],"서울병원"))</f>
        <v/>
      </c>
      <c r="Q164" s="20">
        <f>IF($X164="","",SUMIFS(상세표[22~06시],상세표[사번키],INDEX(합계표[사번키],$X164),상세표[반영월],대상월키,상세표[반영 기관],"서울병원"))</f>
        <v/>
      </c>
      <c r="R164" s="20">
        <f>IF($X164="","",SUM($N164:$Q164))</f>
        <v/>
      </c>
      <c r="S164">
        <f>IF($X164="","",COUNTIFS(상세표[사번키],INDEX(합계표[사번키],$X164),상세표[반영월],대상월키,상세표[야간당직],1,상세표[야간 구분],"평일"))</f>
        <v/>
      </c>
      <c r="T164">
        <f>IF($X164="","",COUNTIFS(상세표[사번키],INDEX(합계표[사번키],$X164),상세표[반영월],대상월키,상세표[야간당직],1,상세표[야간 구분],"휴일"))</f>
        <v/>
      </c>
      <c r="U164">
        <f>IF($X164="","",COUNTIFS(상세표[사번키],INDEX(합계표[사번키],$X164),상세표[반영월],대상월키,상세표[야간당직],1,상세표[야간 구분],"평일",상세표[반영 기관],"서울병원"))</f>
        <v/>
      </c>
      <c r="V164">
        <f>IF($X164="","",COUNTIFS(상세표[사번키],INDEX(합계표[사번키],$X164),상세표[반영월],대상월키,상세표[야간당직],1,상세표[야간 구분],"휴일",상세표[반영 기관],"서울병원"))</f>
        <v/>
      </c>
      <c r="W164">
        <f>IF($X164="","",IF(ISNUMBER(MATCH(INDEX(합계표[사번키],$X164)&amp;"|"&amp;대상월키,월별근무지표[키],0)),"직접 입력",IF($L164="—","—","기관명단")))</f>
        <v/>
      </c>
      <c r="X164" s="4">
        <f>IFERROR(MATCH(159,합계표[판정순번],0),"")</f>
        <v/>
      </c>
      <c r="Z164">
        <f>IF($AC164="","",INDEX(상세표[사번],$AC164)&amp;"")</f>
        <v/>
      </c>
      <c r="AA164">
        <f>IF($AC164="","",INDEX(상세표[성명],$AC164)&amp;"")</f>
        <v/>
      </c>
      <c r="AB164" s="20">
        <f>IF($AC164="","",SUMIFS(상세표[기록 시간외],상세표[사번키],INDEX(상세표[사번키],$AC164),상세표[반영월],대상월키))</f>
        <v/>
      </c>
      <c r="AC164" s="4">
        <f>IFERROR(MATCH(159,상세표[합계없음순번],0),"")</f>
        <v/>
      </c>
    </row>
    <row r="165">
      <c r="A165">
        <f>IF($X165="","",INDEX(합계표[사번],$X165)&amp;"")</f>
        <v/>
      </c>
      <c r="B165">
        <f>IF($X165="","",INDEX(합계표[성명],$X165)&amp;"")</f>
        <v/>
      </c>
      <c r="C165">
        <f>IF($X165="","",INDEX(합계표[부서],$X165)&amp;"")</f>
        <v/>
      </c>
      <c r="D165">
        <f>IF($X165="","",INDEX(합계표[직위(요약)],$X165)&amp;"")</f>
        <v/>
      </c>
      <c r="E165">
        <f>IF($X165="","",INDEX(합계표[직급 공존],$X165)&amp;"")</f>
        <v/>
      </c>
      <c r="F165" s="20">
        <f>IF($X165="","",SUMIFS(합계표[시스템 합계],합계표[사번키],INDEX(합계표[사번키],$X165)))</f>
        <v/>
      </c>
      <c r="G165" s="20">
        <f>IF($X165="","",SUMIFS(상세표[기록 시간외],상세표[사번키],INDEX(합계표[사번키],$X165),상세표[기록월],대상월키))</f>
        <v/>
      </c>
      <c r="H165">
        <f>IF($X165="","",IF(ABS($F165-$G165)&lt;0.01,"일치","불일치(차이 "&amp;TEXT($G165-$F165,"0.00")&amp;")"))</f>
        <v/>
      </c>
      <c r="I165" s="20">
        <f>IF($X165="","",SUMIFS(상세표[기록 시간외],상세표[사번키],INDEX(합계표[사번키],$X165),상세표[기록월],대상월키,상세표[반영월],"&lt;&gt;"&amp;대상월키))</f>
        <v/>
      </c>
      <c r="J165" s="20">
        <f>IF($X165="","",SUMIFS(상세표[기록 시간외],상세표[사번키],INDEX(합계표[사번키],$X165),상세표[기록월],"&lt;&gt;"&amp;대상월키,상세표[반영월],대상월키))</f>
        <v/>
      </c>
      <c r="K165" s="20">
        <f>IF($X165="","",SUMIFS(상세표[기록 시간외],상세표[사번키],INDEX(합계표[사번키],$X165),상세표[반영월],대상월키))</f>
        <v/>
      </c>
      <c r="L165">
        <f>IF($X165="","",IFERROR(INDEX(월별근무지표[적용 급여병원],MATCH(INDEX(합계표[사번키],$X165)&amp;"|"&amp;대상월키,월별근무지표[키],0))&amp;"",IF(COUNTIF(기관표[사번키],INDEX(합계표[사번키],$X165))+COUNTIF(월별근무지표[사번키],INDEX(합계표[사번키],$X165))&gt;0,IFERROR(INDEX(기관표[급여지급병원(기준월)],MATCH(INDEX(합계표[사번키],$X165)&amp;"|"&amp;대상월키,기관표[키],0))&amp;"","—"),"—")))</f>
        <v/>
      </c>
      <c r="M165">
        <f>IF($X165="","",IF(NOT(COUNTIF(기관표[사번키],INDEX(합계표[사번키],$X165))+COUNTIF(월별근무지표[사번키],INDEX(합계표[사번키],$X165))&gt;0),"기관명단에 없음(다른 병원으로 발송)",IF($L165="서울병원","해당",IF(N($R165)&gt;0,"해당(말일 근무)",IF($L165="—","대상월 기관명단 없음(추가 필요)","비해당")))))</f>
        <v/>
      </c>
      <c r="N165" s="20">
        <f>IF($X165="","",SUMIFS(상세표[06~07시],상세표[사번키],INDEX(합계표[사번키],$X165),상세표[반영월],대상월키,상세표[반영 기관],"서울병원"))</f>
        <v/>
      </c>
      <c r="O165" s="20">
        <f>IF($X165="","",SUMIFS(상세표[07~18시],상세표[사번키],INDEX(합계표[사번키],$X165),상세표[반영월],대상월키,상세표[반영 기관],"서울병원"))</f>
        <v/>
      </c>
      <c r="P165" s="20">
        <f>IF($X165="","",SUMIFS(상세표[18~22시],상세표[사번키],INDEX(합계표[사번키],$X165),상세표[반영월],대상월키,상세표[반영 기관],"서울병원"))</f>
        <v/>
      </c>
      <c r="Q165" s="20">
        <f>IF($X165="","",SUMIFS(상세표[22~06시],상세표[사번키],INDEX(합계표[사번키],$X165),상세표[반영월],대상월키,상세표[반영 기관],"서울병원"))</f>
        <v/>
      </c>
      <c r="R165" s="20">
        <f>IF($X165="","",SUM($N165:$Q165))</f>
        <v/>
      </c>
      <c r="S165">
        <f>IF($X165="","",COUNTIFS(상세표[사번키],INDEX(합계표[사번키],$X165),상세표[반영월],대상월키,상세표[야간당직],1,상세표[야간 구분],"평일"))</f>
        <v/>
      </c>
      <c r="T165">
        <f>IF($X165="","",COUNTIFS(상세표[사번키],INDEX(합계표[사번키],$X165),상세표[반영월],대상월키,상세표[야간당직],1,상세표[야간 구분],"휴일"))</f>
        <v/>
      </c>
      <c r="U165">
        <f>IF($X165="","",COUNTIFS(상세표[사번키],INDEX(합계표[사번키],$X165),상세표[반영월],대상월키,상세표[야간당직],1,상세표[야간 구분],"평일",상세표[반영 기관],"서울병원"))</f>
        <v/>
      </c>
      <c r="V165">
        <f>IF($X165="","",COUNTIFS(상세표[사번키],INDEX(합계표[사번키],$X165),상세표[반영월],대상월키,상세표[야간당직],1,상세표[야간 구분],"휴일",상세표[반영 기관],"서울병원"))</f>
        <v/>
      </c>
      <c r="W165">
        <f>IF($X165="","",IF(ISNUMBER(MATCH(INDEX(합계표[사번키],$X165)&amp;"|"&amp;대상월키,월별근무지표[키],0)),"직접 입력",IF($L165="—","—","기관명단")))</f>
        <v/>
      </c>
      <c r="X165" s="4">
        <f>IFERROR(MATCH(160,합계표[판정순번],0),"")</f>
        <v/>
      </c>
      <c r="Z165">
        <f>IF($AC165="","",INDEX(상세표[사번],$AC165)&amp;"")</f>
        <v/>
      </c>
      <c r="AA165">
        <f>IF($AC165="","",INDEX(상세표[성명],$AC165)&amp;"")</f>
        <v/>
      </c>
      <c r="AB165" s="20">
        <f>IF($AC165="","",SUMIFS(상세표[기록 시간외],상세표[사번키],INDEX(상세표[사번키],$AC165),상세표[반영월],대상월키))</f>
        <v/>
      </c>
      <c r="AC165" s="4">
        <f>IFERROR(MATCH(160,상세표[합계없음순번],0),"")</f>
        <v/>
      </c>
    </row>
    <row r="166">
      <c r="A166">
        <f>IF($X166="","",INDEX(합계표[사번],$X166)&amp;"")</f>
        <v/>
      </c>
      <c r="B166">
        <f>IF($X166="","",INDEX(합계표[성명],$X166)&amp;"")</f>
        <v/>
      </c>
      <c r="C166">
        <f>IF($X166="","",INDEX(합계표[부서],$X166)&amp;"")</f>
        <v/>
      </c>
      <c r="D166">
        <f>IF($X166="","",INDEX(합계표[직위(요약)],$X166)&amp;"")</f>
        <v/>
      </c>
      <c r="E166">
        <f>IF($X166="","",INDEX(합계표[직급 공존],$X166)&amp;"")</f>
        <v/>
      </c>
      <c r="F166" s="20">
        <f>IF($X166="","",SUMIFS(합계표[시스템 합계],합계표[사번키],INDEX(합계표[사번키],$X166)))</f>
        <v/>
      </c>
      <c r="G166" s="20">
        <f>IF($X166="","",SUMIFS(상세표[기록 시간외],상세표[사번키],INDEX(합계표[사번키],$X166),상세표[기록월],대상월키))</f>
        <v/>
      </c>
      <c r="H166">
        <f>IF($X166="","",IF(ABS($F166-$G166)&lt;0.01,"일치","불일치(차이 "&amp;TEXT($G166-$F166,"0.00")&amp;")"))</f>
        <v/>
      </c>
      <c r="I166" s="20">
        <f>IF($X166="","",SUMIFS(상세표[기록 시간외],상세표[사번키],INDEX(합계표[사번키],$X166),상세표[기록월],대상월키,상세표[반영월],"&lt;&gt;"&amp;대상월키))</f>
        <v/>
      </c>
      <c r="J166" s="20">
        <f>IF($X166="","",SUMIFS(상세표[기록 시간외],상세표[사번키],INDEX(합계표[사번키],$X166),상세표[기록월],"&lt;&gt;"&amp;대상월키,상세표[반영월],대상월키))</f>
        <v/>
      </c>
      <c r="K166" s="20">
        <f>IF($X166="","",SUMIFS(상세표[기록 시간외],상세표[사번키],INDEX(합계표[사번키],$X166),상세표[반영월],대상월키))</f>
        <v/>
      </c>
      <c r="L166">
        <f>IF($X166="","",IFERROR(INDEX(월별근무지표[적용 급여병원],MATCH(INDEX(합계표[사번키],$X166)&amp;"|"&amp;대상월키,월별근무지표[키],0))&amp;"",IF(COUNTIF(기관표[사번키],INDEX(합계표[사번키],$X166))+COUNTIF(월별근무지표[사번키],INDEX(합계표[사번키],$X166))&gt;0,IFERROR(INDEX(기관표[급여지급병원(기준월)],MATCH(INDEX(합계표[사번키],$X166)&amp;"|"&amp;대상월키,기관표[키],0))&amp;"","—"),"—")))</f>
        <v/>
      </c>
      <c r="M166">
        <f>IF($X166="","",IF(NOT(COUNTIF(기관표[사번키],INDEX(합계표[사번키],$X166))+COUNTIF(월별근무지표[사번키],INDEX(합계표[사번키],$X166))&gt;0),"기관명단에 없음(다른 병원으로 발송)",IF($L166="서울병원","해당",IF(N($R166)&gt;0,"해당(말일 근무)",IF($L166="—","대상월 기관명단 없음(추가 필요)","비해당")))))</f>
        <v/>
      </c>
      <c r="N166" s="20">
        <f>IF($X166="","",SUMIFS(상세표[06~07시],상세표[사번키],INDEX(합계표[사번키],$X166),상세표[반영월],대상월키,상세표[반영 기관],"서울병원"))</f>
        <v/>
      </c>
      <c r="O166" s="20">
        <f>IF($X166="","",SUMIFS(상세표[07~18시],상세표[사번키],INDEX(합계표[사번키],$X166),상세표[반영월],대상월키,상세표[반영 기관],"서울병원"))</f>
        <v/>
      </c>
      <c r="P166" s="20">
        <f>IF($X166="","",SUMIFS(상세표[18~22시],상세표[사번키],INDEX(합계표[사번키],$X166),상세표[반영월],대상월키,상세표[반영 기관],"서울병원"))</f>
        <v/>
      </c>
      <c r="Q166" s="20">
        <f>IF($X166="","",SUMIFS(상세표[22~06시],상세표[사번키],INDEX(합계표[사번키],$X166),상세표[반영월],대상월키,상세표[반영 기관],"서울병원"))</f>
        <v/>
      </c>
      <c r="R166" s="20">
        <f>IF($X166="","",SUM($N166:$Q166))</f>
        <v/>
      </c>
      <c r="S166">
        <f>IF($X166="","",COUNTIFS(상세표[사번키],INDEX(합계표[사번키],$X166),상세표[반영월],대상월키,상세표[야간당직],1,상세표[야간 구분],"평일"))</f>
        <v/>
      </c>
      <c r="T166">
        <f>IF($X166="","",COUNTIFS(상세표[사번키],INDEX(합계표[사번키],$X166),상세표[반영월],대상월키,상세표[야간당직],1,상세표[야간 구분],"휴일"))</f>
        <v/>
      </c>
      <c r="U166">
        <f>IF($X166="","",COUNTIFS(상세표[사번키],INDEX(합계표[사번키],$X166),상세표[반영월],대상월키,상세표[야간당직],1,상세표[야간 구분],"평일",상세표[반영 기관],"서울병원"))</f>
        <v/>
      </c>
      <c r="V166">
        <f>IF($X166="","",COUNTIFS(상세표[사번키],INDEX(합계표[사번키],$X166),상세표[반영월],대상월키,상세표[야간당직],1,상세표[야간 구분],"휴일",상세표[반영 기관],"서울병원"))</f>
        <v/>
      </c>
      <c r="W166">
        <f>IF($X166="","",IF(ISNUMBER(MATCH(INDEX(합계표[사번키],$X166)&amp;"|"&amp;대상월키,월별근무지표[키],0)),"직접 입력",IF($L166="—","—","기관명단")))</f>
        <v/>
      </c>
      <c r="X166" s="4">
        <f>IFERROR(MATCH(161,합계표[판정순번],0),"")</f>
        <v/>
      </c>
      <c r="Z166">
        <f>IF($AC166="","",INDEX(상세표[사번],$AC166)&amp;"")</f>
        <v/>
      </c>
      <c r="AA166">
        <f>IF($AC166="","",INDEX(상세표[성명],$AC166)&amp;"")</f>
        <v/>
      </c>
      <c r="AB166" s="20">
        <f>IF($AC166="","",SUMIFS(상세표[기록 시간외],상세표[사번키],INDEX(상세표[사번키],$AC166),상세표[반영월],대상월키))</f>
        <v/>
      </c>
      <c r="AC166" s="4">
        <f>IFERROR(MATCH(161,상세표[합계없음순번],0),"")</f>
        <v/>
      </c>
    </row>
    <row r="167">
      <c r="A167">
        <f>IF($X167="","",INDEX(합계표[사번],$X167)&amp;"")</f>
        <v/>
      </c>
      <c r="B167">
        <f>IF($X167="","",INDEX(합계표[성명],$X167)&amp;"")</f>
        <v/>
      </c>
      <c r="C167">
        <f>IF($X167="","",INDEX(합계표[부서],$X167)&amp;"")</f>
        <v/>
      </c>
      <c r="D167">
        <f>IF($X167="","",INDEX(합계표[직위(요약)],$X167)&amp;"")</f>
        <v/>
      </c>
      <c r="E167">
        <f>IF($X167="","",INDEX(합계표[직급 공존],$X167)&amp;"")</f>
        <v/>
      </c>
      <c r="F167" s="20">
        <f>IF($X167="","",SUMIFS(합계표[시스템 합계],합계표[사번키],INDEX(합계표[사번키],$X167)))</f>
        <v/>
      </c>
      <c r="G167" s="20">
        <f>IF($X167="","",SUMIFS(상세표[기록 시간외],상세표[사번키],INDEX(합계표[사번키],$X167),상세표[기록월],대상월키))</f>
        <v/>
      </c>
      <c r="H167">
        <f>IF($X167="","",IF(ABS($F167-$G167)&lt;0.01,"일치","불일치(차이 "&amp;TEXT($G167-$F167,"0.00")&amp;")"))</f>
        <v/>
      </c>
      <c r="I167" s="20">
        <f>IF($X167="","",SUMIFS(상세표[기록 시간외],상세표[사번키],INDEX(합계표[사번키],$X167),상세표[기록월],대상월키,상세표[반영월],"&lt;&gt;"&amp;대상월키))</f>
        <v/>
      </c>
      <c r="J167" s="20">
        <f>IF($X167="","",SUMIFS(상세표[기록 시간외],상세표[사번키],INDEX(합계표[사번키],$X167),상세표[기록월],"&lt;&gt;"&amp;대상월키,상세표[반영월],대상월키))</f>
        <v/>
      </c>
      <c r="K167" s="20">
        <f>IF($X167="","",SUMIFS(상세표[기록 시간외],상세표[사번키],INDEX(합계표[사번키],$X167),상세표[반영월],대상월키))</f>
        <v/>
      </c>
      <c r="L167">
        <f>IF($X167="","",IFERROR(INDEX(월별근무지표[적용 급여병원],MATCH(INDEX(합계표[사번키],$X167)&amp;"|"&amp;대상월키,월별근무지표[키],0))&amp;"",IF(COUNTIF(기관표[사번키],INDEX(합계표[사번키],$X167))+COUNTIF(월별근무지표[사번키],INDEX(합계표[사번키],$X167))&gt;0,IFERROR(INDEX(기관표[급여지급병원(기준월)],MATCH(INDEX(합계표[사번키],$X167)&amp;"|"&amp;대상월키,기관표[키],0))&amp;"","—"),"—")))</f>
        <v/>
      </c>
      <c r="M167">
        <f>IF($X167="","",IF(NOT(COUNTIF(기관표[사번키],INDEX(합계표[사번키],$X167))+COUNTIF(월별근무지표[사번키],INDEX(합계표[사번키],$X167))&gt;0),"기관명단에 없음(다른 병원으로 발송)",IF($L167="서울병원","해당",IF(N($R167)&gt;0,"해당(말일 근무)",IF($L167="—","대상월 기관명단 없음(추가 필요)","비해당")))))</f>
        <v/>
      </c>
      <c r="N167" s="20">
        <f>IF($X167="","",SUMIFS(상세표[06~07시],상세표[사번키],INDEX(합계표[사번키],$X167),상세표[반영월],대상월키,상세표[반영 기관],"서울병원"))</f>
        <v/>
      </c>
      <c r="O167" s="20">
        <f>IF($X167="","",SUMIFS(상세표[07~18시],상세표[사번키],INDEX(합계표[사번키],$X167),상세표[반영월],대상월키,상세표[반영 기관],"서울병원"))</f>
        <v/>
      </c>
      <c r="P167" s="20">
        <f>IF($X167="","",SUMIFS(상세표[18~22시],상세표[사번키],INDEX(합계표[사번키],$X167),상세표[반영월],대상월키,상세표[반영 기관],"서울병원"))</f>
        <v/>
      </c>
      <c r="Q167" s="20">
        <f>IF($X167="","",SUMIFS(상세표[22~06시],상세표[사번키],INDEX(합계표[사번키],$X167),상세표[반영월],대상월키,상세표[반영 기관],"서울병원"))</f>
        <v/>
      </c>
      <c r="R167" s="20">
        <f>IF($X167="","",SUM($N167:$Q167))</f>
        <v/>
      </c>
      <c r="S167">
        <f>IF($X167="","",COUNTIFS(상세표[사번키],INDEX(합계표[사번키],$X167),상세표[반영월],대상월키,상세표[야간당직],1,상세표[야간 구분],"평일"))</f>
        <v/>
      </c>
      <c r="T167">
        <f>IF($X167="","",COUNTIFS(상세표[사번키],INDEX(합계표[사번키],$X167),상세표[반영월],대상월키,상세표[야간당직],1,상세표[야간 구분],"휴일"))</f>
        <v/>
      </c>
      <c r="U167">
        <f>IF($X167="","",COUNTIFS(상세표[사번키],INDEX(합계표[사번키],$X167),상세표[반영월],대상월키,상세표[야간당직],1,상세표[야간 구분],"평일",상세표[반영 기관],"서울병원"))</f>
        <v/>
      </c>
      <c r="V167">
        <f>IF($X167="","",COUNTIFS(상세표[사번키],INDEX(합계표[사번키],$X167),상세표[반영월],대상월키,상세표[야간당직],1,상세표[야간 구분],"휴일",상세표[반영 기관],"서울병원"))</f>
        <v/>
      </c>
      <c r="W167">
        <f>IF($X167="","",IF(ISNUMBER(MATCH(INDEX(합계표[사번키],$X167)&amp;"|"&amp;대상월키,월별근무지표[키],0)),"직접 입력",IF($L167="—","—","기관명단")))</f>
        <v/>
      </c>
      <c r="X167" s="4">
        <f>IFERROR(MATCH(162,합계표[판정순번],0),"")</f>
        <v/>
      </c>
      <c r="Z167">
        <f>IF($AC167="","",INDEX(상세표[사번],$AC167)&amp;"")</f>
        <v/>
      </c>
      <c r="AA167">
        <f>IF($AC167="","",INDEX(상세표[성명],$AC167)&amp;"")</f>
        <v/>
      </c>
      <c r="AB167" s="20">
        <f>IF($AC167="","",SUMIFS(상세표[기록 시간외],상세표[사번키],INDEX(상세표[사번키],$AC167),상세표[반영월],대상월키))</f>
        <v/>
      </c>
      <c r="AC167" s="4">
        <f>IFERROR(MATCH(162,상세표[합계없음순번],0),"")</f>
        <v/>
      </c>
    </row>
    <row r="168">
      <c r="A168">
        <f>IF($X168="","",INDEX(합계표[사번],$X168)&amp;"")</f>
        <v/>
      </c>
      <c r="B168">
        <f>IF($X168="","",INDEX(합계표[성명],$X168)&amp;"")</f>
        <v/>
      </c>
      <c r="C168">
        <f>IF($X168="","",INDEX(합계표[부서],$X168)&amp;"")</f>
        <v/>
      </c>
      <c r="D168">
        <f>IF($X168="","",INDEX(합계표[직위(요약)],$X168)&amp;"")</f>
        <v/>
      </c>
      <c r="E168">
        <f>IF($X168="","",INDEX(합계표[직급 공존],$X168)&amp;"")</f>
        <v/>
      </c>
      <c r="F168" s="20">
        <f>IF($X168="","",SUMIFS(합계표[시스템 합계],합계표[사번키],INDEX(합계표[사번키],$X168)))</f>
        <v/>
      </c>
      <c r="G168" s="20">
        <f>IF($X168="","",SUMIFS(상세표[기록 시간외],상세표[사번키],INDEX(합계표[사번키],$X168),상세표[기록월],대상월키))</f>
        <v/>
      </c>
      <c r="H168">
        <f>IF($X168="","",IF(ABS($F168-$G168)&lt;0.01,"일치","불일치(차이 "&amp;TEXT($G168-$F168,"0.00")&amp;")"))</f>
        <v/>
      </c>
      <c r="I168" s="20">
        <f>IF($X168="","",SUMIFS(상세표[기록 시간외],상세표[사번키],INDEX(합계표[사번키],$X168),상세표[기록월],대상월키,상세표[반영월],"&lt;&gt;"&amp;대상월키))</f>
        <v/>
      </c>
      <c r="J168" s="20">
        <f>IF($X168="","",SUMIFS(상세표[기록 시간외],상세표[사번키],INDEX(합계표[사번키],$X168),상세표[기록월],"&lt;&gt;"&amp;대상월키,상세표[반영월],대상월키))</f>
        <v/>
      </c>
      <c r="K168" s="20">
        <f>IF($X168="","",SUMIFS(상세표[기록 시간외],상세표[사번키],INDEX(합계표[사번키],$X168),상세표[반영월],대상월키))</f>
        <v/>
      </c>
      <c r="L168">
        <f>IF($X168="","",IFERROR(INDEX(월별근무지표[적용 급여병원],MATCH(INDEX(합계표[사번키],$X168)&amp;"|"&amp;대상월키,월별근무지표[키],0))&amp;"",IF(COUNTIF(기관표[사번키],INDEX(합계표[사번키],$X168))+COUNTIF(월별근무지표[사번키],INDEX(합계표[사번키],$X168))&gt;0,IFERROR(INDEX(기관표[급여지급병원(기준월)],MATCH(INDEX(합계표[사번키],$X168)&amp;"|"&amp;대상월키,기관표[키],0))&amp;"","—"),"—")))</f>
        <v/>
      </c>
      <c r="M168">
        <f>IF($X168="","",IF(NOT(COUNTIF(기관표[사번키],INDEX(합계표[사번키],$X168))+COUNTIF(월별근무지표[사번키],INDEX(합계표[사번키],$X168))&gt;0),"기관명단에 없음(다른 병원으로 발송)",IF($L168="서울병원","해당",IF(N($R168)&gt;0,"해당(말일 근무)",IF($L168="—","대상월 기관명단 없음(추가 필요)","비해당")))))</f>
        <v/>
      </c>
      <c r="N168" s="20">
        <f>IF($X168="","",SUMIFS(상세표[06~07시],상세표[사번키],INDEX(합계표[사번키],$X168),상세표[반영월],대상월키,상세표[반영 기관],"서울병원"))</f>
        <v/>
      </c>
      <c r="O168" s="20">
        <f>IF($X168="","",SUMIFS(상세표[07~18시],상세표[사번키],INDEX(합계표[사번키],$X168),상세표[반영월],대상월키,상세표[반영 기관],"서울병원"))</f>
        <v/>
      </c>
      <c r="P168" s="20">
        <f>IF($X168="","",SUMIFS(상세표[18~22시],상세표[사번키],INDEX(합계표[사번키],$X168),상세표[반영월],대상월키,상세표[반영 기관],"서울병원"))</f>
        <v/>
      </c>
      <c r="Q168" s="20">
        <f>IF($X168="","",SUMIFS(상세표[22~06시],상세표[사번키],INDEX(합계표[사번키],$X168),상세표[반영월],대상월키,상세표[반영 기관],"서울병원"))</f>
        <v/>
      </c>
      <c r="R168" s="20">
        <f>IF($X168="","",SUM($N168:$Q168))</f>
        <v/>
      </c>
      <c r="S168">
        <f>IF($X168="","",COUNTIFS(상세표[사번키],INDEX(합계표[사번키],$X168),상세표[반영월],대상월키,상세표[야간당직],1,상세표[야간 구분],"평일"))</f>
        <v/>
      </c>
      <c r="T168">
        <f>IF($X168="","",COUNTIFS(상세표[사번키],INDEX(합계표[사번키],$X168),상세표[반영월],대상월키,상세표[야간당직],1,상세표[야간 구분],"휴일"))</f>
        <v/>
      </c>
      <c r="U168">
        <f>IF($X168="","",COUNTIFS(상세표[사번키],INDEX(합계표[사번키],$X168),상세표[반영월],대상월키,상세표[야간당직],1,상세표[야간 구분],"평일",상세표[반영 기관],"서울병원"))</f>
        <v/>
      </c>
      <c r="V168">
        <f>IF($X168="","",COUNTIFS(상세표[사번키],INDEX(합계표[사번키],$X168),상세표[반영월],대상월키,상세표[야간당직],1,상세표[야간 구분],"휴일",상세표[반영 기관],"서울병원"))</f>
        <v/>
      </c>
      <c r="W168">
        <f>IF($X168="","",IF(ISNUMBER(MATCH(INDEX(합계표[사번키],$X168)&amp;"|"&amp;대상월키,월별근무지표[키],0)),"직접 입력",IF($L168="—","—","기관명단")))</f>
        <v/>
      </c>
      <c r="X168" s="4">
        <f>IFERROR(MATCH(163,합계표[판정순번],0),"")</f>
        <v/>
      </c>
      <c r="Z168">
        <f>IF($AC168="","",INDEX(상세표[사번],$AC168)&amp;"")</f>
        <v/>
      </c>
      <c r="AA168">
        <f>IF($AC168="","",INDEX(상세표[성명],$AC168)&amp;"")</f>
        <v/>
      </c>
      <c r="AB168" s="20">
        <f>IF($AC168="","",SUMIFS(상세표[기록 시간외],상세표[사번키],INDEX(상세표[사번키],$AC168),상세표[반영월],대상월키))</f>
        <v/>
      </c>
      <c r="AC168" s="4">
        <f>IFERROR(MATCH(163,상세표[합계없음순번],0),"")</f>
        <v/>
      </c>
    </row>
    <row r="169">
      <c r="A169">
        <f>IF($X169="","",INDEX(합계표[사번],$X169)&amp;"")</f>
        <v/>
      </c>
      <c r="B169">
        <f>IF($X169="","",INDEX(합계표[성명],$X169)&amp;"")</f>
        <v/>
      </c>
      <c r="C169">
        <f>IF($X169="","",INDEX(합계표[부서],$X169)&amp;"")</f>
        <v/>
      </c>
      <c r="D169">
        <f>IF($X169="","",INDEX(합계표[직위(요약)],$X169)&amp;"")</f>
        <v/>
      </c>
      <c r="E169">
        <f>IF($X169="","",INDEX(합계표[직급 공존],$X169)&amp;"")</f>
        <v/>
      </c>
      <c r="F169" s="20">
        <f>IF($X169="","",SUMIFS(합계표[시스템 합계],합계표[사번키],INDEX(합계표[사번키],$X169)))</f>
        <v/>
      </c>
      <c r="G169" s="20">
        <f>IF($X169="","",SUMIFS(상세표[기록 시간외],상세표[사번키],INDEX(합계표[사번키],$X169),상세표[기록월],대상월키))</f>
        <v/>
      </c>
      <c r="H169">
        <f>IF($X169="","",IF(ABS($F169-$G169)&lt;0.01,"일치","불일치(차이 "&amp;TEXT($G169-$F169,"0.00")&amp;")"))</f>
        <v/>
      </c>
      <c r="I169" s="20">
        <f>IF($X169="","",SUMIFS(상세표[기록 시간외],상세표[사번키],INDEX(합계표[사번키],$X169),상세표[기록월],대상월키,상세표[반영월],"&lt;&gt;"&amp;대상월키))</f>
        <v/>
      </c>
      <c r="J169" s="20">
        <f>IF($X169="","",SUMIFS(상세표[기록 시간외],상세표[사번키],INDEX(합계표[사번키],$X169),상세표[기록월],"&lt;&gt;"&amp;대상월키,상세표[반영월],대상월키))</f>
        <v/>
      </c>
      <c r="K169" s="20">
        <f>IF($X169="","",SUMIFS(상세표[기록 시간외],상세표[사번키],INDEX(합계표[사번키],$X169),상세표[반영월],대상월키))</f>
        <v/>
      </c>
      <c r="L169">
        <f>IF($X169="","",IFERROR(INDEX(월별근무지표[적용 급여병원],MATCH(INDEX(합계표[사번키],$X169)&amp;"|"&amp;대상월키,월별근무지표[키],0))&amp;"",IF(COUNTIF(기관표[사번키],INDEX(합계표[사번키],$X169))+COUNTIF(월별근무지표[사번키],INDEX(합계표[사번키],$X169))&gt;0,IFERROR(INDEX(기관표[급여지급병원(기준월)],MATCH(INDEX(합계표[사번키],$X169)&amp;"|"&amp;대상월키,기관표[키],0))&amp;"","—"),"—")))</f>
        <v/>
      </c>
      <c r="M169">
        <f>IF($X169="","",IF(NOT(COUNTIF(기관표[사번키],INDEX(합계표[사번키],$X169))+COUNTIF(월별근무지표[사번키],INDEX(합계표[사번키],$X169))&gt;0),"기관명단에 없음(다른 병원으로 발송)",IF($L169="서울병원","해당",IF(N($R169)&gt;0,"해당(말일 근무)",IF($L169="—","대상월 기관명단 없음(추가 필요)","비해당")))))</f>
        <v/>
      </c>
      <c r="N169" s="20">
        <f>IF($X169="","",SUMIFS(상세표[06~07시],상세표[사번키],INDEX(합계표[사번키],$X169),상세표[반영월],대상월키,상세표[반영 기관],"서울병원"))</f>
        <v/>
      </c>
      <c r="O169" s="20">
        <f>IF($X169="","",SUMIFS(상세표[07~18시],상세표[사번키],INDEX(합계표[사번키],$X169),상세표[반영월],대상월키,상세표[반영 기관],"서울병원"))</f>
        <v/>
      </c>
      <c r="P169" s="20">
        <f>IF($X169="","",SUMIFS(상세표[18~22시],상세표[사번키],INDEX(합계표[사번키],$X169),상세표[반영월],대상월키,상세표[반영 기관],"서울병원"))</f>
        <v/>
      </c>
      <c r="Q169" s="20">
        <f>IF($X169="","",SUMIFS(상세표[22~06시],상세표[사번키],INDEX(합계표[사번키],$X169),상세표[반영월],대상월키,상세표[반영 기관],"서울병원"))</f>
        <v/>
      </c>
      <c r="R169" s="20">
        <f>IF($X169="","",SUM($N169:$Q169))</f>
        <v/>
      </c>
      <c r="S169">
        <f>IF($X169="","",COUNTIFS(상세표[사번키],INDEX(합계표[사번키],$X169),상세표[반영월],대상월키,상세표[야간당직],1,상세표[야간 구분],"평일"))</f>
        <v/>
      </c>
      <c r="T169">
        <f>IF($X169="","",COUNTIFS(상세표[사번키],INDEX(합계표[사번키],$X169),상세표[반영월],대상월키,상세표[야간당직],1,상세표[야간 구분],"휴일"))</f>
        <v/>
      </c>
      <c r="U169">
        <f>IF($X169="","",COUNTIFS(상세표[사번키],INDEX(합계표[사번키],$X169),상세표[반영월],대상월키,상세표[야간당직],1,상세표[야간 구분],"평일",상세표[반영 기관],"서울병원"))</f>
        <v/>
      </c>
      <c r="V169">
        <f>IF($X169="","",COUNTIFS(상세표[사번키],INDEX(합계표[사번키],$X169),상세표[반영월],대상월키,상세표[야간당직],1,상세표[야간 구분],"휴일",상세표[반영 기관],"서울병원"))</f>
        <v/>
      </c>
      <c r="W169">
        <f>IF($X169="","",IF(ISNUMBER(MATCH(INDEX(합계표[사번키],$X169)&amp;"|"&amp;대상월키,월별근무지표[키],0)),"직접 입력",IF($L169="—","—","기관명단")))</f>
        <v/>
      </c>
      <c r="X169" s="4">
        <f>IFERROR(MATCH(164,합계표[판정순번],0),"")</f>
        <v/>
      </c>
      <c r="Z169">
        <f>IF($AC169="","",INDEX(상세표[사번],$AC169)&amp;"")</f>
        <v/>
      </c>
      <c r="AA169">
        <f>IF($AC169="","",INDEX(상세표[성명],$AC169)&amp;"")</f>
        <v/>
      </c>
      <c r="AB169" s="20">
        <f>IF($AC169="","",SUMIFS(상세표[기록 시간외],상세표[사번키],INDEX(상세표[사번키],$AC169),상세표[반영월],대상월키))</f>
        <v/>
      </c>
      <c r="AC169" s="4">
        <f>IFERROR(MATCH(164,상세표[합계없음순번],0),"")</f>
        <v/>
      </c>
    </row>
    <row r="170">
      <c r="A170">
        <f>IF($X170="","",INDEX(합계표[사번],$X170)&amp;"")</f>
        <v/>
      </c>
      <c r="B170">
        <f>IF($X170="","",INDEX(합계표[성명],$X170)&amp;"")</f>
        <v/>
      </c>
      <c r="C170">
        <f>IF($X170="","",INDEX(합계표[부서],$X170)&amp;"")</f>
        <v/>
      </c>
      <c r="D170">
        <f>IF($X170="","",INDEX(합계표[직위(요약)],$X170)&amp;"")</f>
        <v/>
      </c>
      <c r="E170">
        <f>IF($X170="","",INDEX(합계표[직급 공존],$X170)&amp;"")</f>
        <v/>
      </c>
      <c r="F170" s="20">
        <f>IF($X170="","",SUMIFS(합계표[시스템 합계],합계표[사번키],INDEX(합계표[사번키],$X170)))</f>
        <v/>
      </c>
      <c r="G170" s="20">
        <f>IF($X170="","",SUMIFS(상세표[기록 시간외],상세표[사번키],INDEX(합계표[사번키],$X170),상세표[기록월],대상월키))</f>
        <v/>
      </c>
      <c r="H170">
        <f>IF($X170="","",IF(ABS($F170-$G170)&lt;0.01,"일치","불일치(차이 "&amp;TEXT($G170-$F170,"0.00")&amp;")"))</f>
        <v/>
      </c>
      <c r="I170" s="20">
        <f>IF($X170="","",SUMIFS(상세표[기록 시간외],상세표[사번키],INDEX(합계표[사번키],$X170),상세표[기록월],대상월키,상세표[반영월],"&lt;&gt;"&amp;대상월키))</f>
        <v/>
      </c>
      <c r="J170" s="20">
        <f>IF($X170="","",SUMIFS(상세표[기록 시간외],상세표[사번키],INDEX(합계표[사번키],$X170),상세표[기록월],"&lt;&gt;"&amp;대상월키,상세표[반영월],대상월키))</f>
        <v/>
      </c>
      <c r="K170" s="20">
        <f>IF($X170="","",SUMIFS(상세표[기록 시간외],상세표[사번키],INDEX(합계표[사번키],$X170),상세표[반영월],대상월키))</f>
        <v/>
      </c>
      <c r="L170">
        <f>IF($X170="","",IFERROR(INDEX(월별근무지표[적용 급여병원],MATCH(INDEX(합계표[사번키],$X170)&amp;"|"&amp;대상월키,월별근무지표[키],0))&amp;"",IF(COUNTIF(기관표[사번키],INDEX(합계표[사번키],$X170))+COUNTIF(월별근무지표[사번키],INDEX(합계표[사번키],$X170))&gt;0,IFERROR(INDEX(기관표[급여지급병원(기준월)],MATCH(INDEX(합계표[사번키],$X170)&amp;"|"&amp;대상월키,기관표[키],0))&amp;"","—"),"—")))</f>
        <v/>
      </c>
      <c r="M170">
        <f>IF($X170="","",IF(NOT(COUNTIF(기관표[사번키],INDEX(합계표[사번키],$X170))+COUNTIF(월별근무지표[사번키],INDEX(합계표[사번키],$X170))&gt;0),"기관명단에 없음(다른 병원으로 발송)",IF($L170="서울병원","해당",IF(N($R170)&gt;0,"해당(말일 근무)",IF($L170="—","대상월 기관명단 없음(추가 필요)","비해당")))))</f>
        <v/>
      </c>
      <c r="N170" s="20">
        <f>IF($X170="","",SUMIFS(상세표[06~07시],상세표[사번키],INDEX(합계표[사번키],$X170),상세표[반영월],대상월키,상세표[반영 기관],"서울병원"))</f>
        <v/>
      </c>
      <c r="O170" s="20">
        <f>IF($X170="","",SUMIFS(상세표[07~18시],상세표[사번키],INDEX(합계표[사번키],$X170),상세표[반영월],대상월키,상세표[반영 기관],"서울병원"))</f>
        <v/>
      </c>
      <c r="P170" s="20">
        <f>IF($X170="","",SUMIFS(상세표[18~22시],상세표[사번키],INDEX(합계표[사번키],$X170),상세표[반영월],대상월키,상세표[반영 기관],"서울병원"))</f>
        <v/>
      </c>
      <c r="Q170" s="20">
        <f>IF($X170="","",SUMIFS(상세표[22~06시],상세표[사번키],INDEX(합계표[사번키],$X170),상세표[반영월],대상월키,상세표[반영 기관],"서울병원"))</f>
        <v/>
      </c>
      <c r="R170" s="20">
        <f>IF($X170="","",SUM($N170:$Q170))</f>
        <v/>
      </c>
      <c r="S170">
        <f>IF($X170="","",COUNTIFS(상세표[사번키],INDEX(합계표[사번키],$X170),상세표[반영월],대상월키,상세표[야간당직],1,상세표[야간 구분],"평일"))</f>
        <v/>
      </c>
      <c r="T170">
        <f>IF($X170="","",COUNTIFS(상세표[사번키],INDEX(합계표[사번키],$X170),상세표[반영월],대상월키,상세표[야간당직],1,상세표[야간 구분],"휴일"))</f>
        <v/>
      </c>
      <c r="U170">
        <f>IF($X170="","",COUNTIFS(상세표[사번키],INDEX(합계표[사번키],$X170),상세표[반영월],대상월키,상세표[야간당직],1,상세표[야간 구분],"평일",상세표[반영 기관],"서울병원"))</f>
        <v/>
      </c>
      <c r="V170">
        <f>IF($X170="","",COUNTIFS(상세표[사번키],INDEX(합계표[사번키],$X170),상세표[반영월],대상월키,상세표[야간당직],1,상세표[야간 구분],"휴일",상세표[반영 기관],"서울병원"))</f>
        <v/>
      </c>
      <c r="W170">
        <f>IF($X170="","",IF(ISNUMBER(MATCH(INDEX(합계표[사번키],$X170)&amp;"|"&amp;대상월키,월별근무지표[키],0)),"직접 입력",IF($L170="—","—","기관명단")))</f>
        <v/>
      </c>
      <c r="X170" s="4">
        <f>IFERROR(MATCH(165,합계표[판정순번],0),"")</f>
        <v/>
      </c>
      <c r="Z170">
        <f>IF($AC170="","",INDEX(상세표[사번],$AC170)&amp;"")</f>
        <v/>
      </c>
      <c r="AA170">
        <f>IF($AC170="","",INDEX(상세표[성명],$AC170)&amp;"")</f>
        <v/>
      </c>
      <c r="AB170" s="20">
        <f>IF($AC170="","",SUMIFS(상세표[기록 시간외],상세표[사번키],INDEX(상세표[사번키],$AC170),상세표[반영월],대상월키))</f>
        <v/>
      </c>
      <c r="AC170" s="4">
        <f>IFERROR(MATCH(165,상세표[합계없음순번],0),"")</f>
        <v/>
      </c>
    </row>
    <row r="171">
      <c r="A171">
        <f>IF($X171="","",INDEX(합계표[사번],$X171)&amp;"")</f>
        <v/>
      </c>
      <c r="B171">
        <f>IF($X171="","",INDEX(합계표[성명],$X171)&amp;"")</f>
        <v/>
      </c>
      <c r="C171">
        <f>IF($X171="","",INDEX(합계표[부서],$X171)&amp;"")</f>
        <v/>
      </c>
      <c r="D171">
        <f>IF($X171="","",INDEX(합계표[직위(요약)],$X171)&amp;"")</f>
        <v/>
      </c>
      <c r="E171">
        <f>IF($X171="","",INDEX(합계표[직급 공존],$X171)&amp;"")</f>
        <v/>
      </c>
      <c r="F171" s="20">
        <f>IF($X171="","",SUMIFS(합계표[시스템 합계],합계표[사번키],INDEX(합계표[사번키],$X171)))</f>
        <v/>
      </c>
      <c r="G171" s="20">
        <f>IF($X171="","",SUMIFS(상세표[기록 시간외],상세표[사번키],INDEX(합계표[사번키],$X171),상세표[기록월],대상월키))</f>
        <v/>
      </c>
      <c r="H171">
        <f>IF($X171="","",IF(ABS($F171-$G171)&lt;0.01,"일치","불일치(차이 "&amp;TEXT($G171-$F171,"0.00")&amp;")"))</f>
        <v/>
      </c>
      <c r="I171" s="20">
        <f>IF($X171="","",SUMIFS(상세표[기록 시간외],상세표[사번키],INDEX(합계표[사번키],$X171),상세표[기록월],대상월키,상세표[반영월],"&lt;&gt;"&amp;대상월키))</f>
        <v/>
      </c>
      <c r="J171" s="20">
        <f>IF($X171="","",SUMIFS(상세표[기록 시간외],상세표[사번키],INDEX(합계표[사번키],$X171),상세표[기록월],"&lt;&gt;"&amp;대상월키,상세표[반영월],대상월키))</f>
        <v/>
      </c>
      <c r="K171" s="20">
        <f>IF($X171="","",SUMIFS(상세표[기록 시간외],상세표[사번키],INDEX(합계표[사번키],$X171),상세표[반영월],대상월키))</f>
        <v/>
      </c>
      <c r="L171">
        <f>IF($X171="","",IFERROR(INDEX(월별근무지표[적용 급여병원],MATCH(INDEX(합계표[사번키],$X171)&amp;"|"&amp;대상월키,월별근무지표[키],0))&amp;"",IF(COUNTIF(기관표[사번키],INDEX(합계표[사번키],$X171))+COUNTIF(월별근무지표[사번키],INDEX(합계표[사번키],$X171))&gt;0,IFERROR(INDEX(기관표[급여지급병원(기준월)],MATCH(INDEX(합계표[사번키],$X171)&amp;"|"&amp;대상월키,기관표[키],0))&amp;"","—"),"—")))</f>
        <v/>
      </c>
      <c r="M171">
        <f>IF($X171="","",IF(NOT(COUNTIF(기관표[사번키],INDEX(합계표[사번키],$X171))+COUNTIF(월별근무지표[사번키],INDEX(합계표[사번키],$X171))&gt;0),"기관명단에 없음(다른 병원으로 발송)",IF($L171="서울병원","해당",IF(N($R171)&gt;0,"해당(말일 근무)",IF($L171="—","대상월 기관명단 없음(추가 필요)","비해당")))))</f>
        <v/>
      </c>
      <c r="N171" s="20">
        <f>IF($X171="","",SUMIFS(상세표[06~07시],상세표[사번키],INDEX(합계표[사번키],$X171),상세표[반영월],대상월키,상세표[반영 기관],"서울병원"))</f>
        <v/>
      </c>
      <c r="O171" s="20">
        <f>IF($X171="","",SUMIFS(상세표[07~18시],상세표[사번키],INDEX(합계표[사번키],$X171),상세표[반영월],대상월키,상세표[반영 기관],"서울병원"))</f>
        <v/>
      </c>
      <c r="P171" s="20">
        <f>IF($X171="","",SUMIFS(상세표[18~22시],상세표[사번키],INDEX(합계표[사번키],$X171),상세표[반영월],대상월키,상세표[반영 기관],"서울병원"))</f>
        <v/>
      </c>
      <c r="Q171" s="20">
        <f>IF($X171="","",SUMIFS(상세표[22~06시],상세표[사번키],INDEX(합계표[사번키],$X171),상세표[반영월],대상월키,상세표[반영 기관],"서울병원"))</f>
        <v/>
      </c>
      <c r="R171" s="20">
        <f>IF($X171="","",SUM($N171:$Q171))</f>
        <v/>
      </c>
      <c r="S171">
        <f>IF($X171="","",COUNTIFS(상세표[사번키],INDEX(합계표[사번키],$X171),상세표[반영월],대상월키,상세표[야간당직],1,상세표[야간 구분],"평일"))</f>
        <v/>
      </c>
      <c r="T171">
        <f>IF($X171="","",COUNTIFS(상세표[사번키],INDEX(합계표[사번키],$X171),상세표[반영월],대상월키,상세표[야간당직],1,상세표[야간 구분],"휴일"))</f>
        <v/>
      </c>
      <c r="U171">
        <f>IF($X171="","",COUNTIFS(상세표[사번키],INDEX(합계표[사번키],$X171),상세표[반영월],대상월키,상세표[야간당직],1,상세표[야간 구분],"평일",상세표[반영 기관],"서울병원"))</f>
        <v/>
      </c>
      <c r="V171">
        <f>IF($X171="","",COUNTIFS(상세표[사번키],INDEX(합계표[사번키],$X171),상세표[반영월],대상월키,상세표[야간당직],1,상세표[야간 구분],"휴일",상세표[반영 기관],"서울병원"))</f>
        <v/>
      </c>
      <c r="W171">
        <f>IF($X171="","",IF(ISNUMBER(MATCH(INDEX(합계표[사번키],$X171)&amp;"|"&amp;대상월키,월별근무지표[키],0)),"직접 입력",IF($L171="—","—","기관명단")))</f>
        <v/>
      </c>
      <c r="X171" s="4">
        <f>IFERROR(MATCH(166,합계표[판정순번],0),"")</f>
        <v/>
      </c>
      <c r="Z171">
        <f>IF($AC171="","",INDEX(상세표[사번],$AC171)&amp;"")</f>
        <v/>
      </c>
      <c r="AA171">
        <f>IF($AC171="","",INDEX(상세표[성명],$AC171)&amp;"")</f>
        <v/>
      </c>
      <c r="AB171" s="20">
        <f>IF($AC171="","",SUMIFS(상세표[기록 시간외],상세표[사번키],INDEX(상세표[사번키],$AC171),상세표[반영월],대상월키))</f>
        <v/>
      </c>
      <c r="AC171" s="4">
        <f>IFERROR(MATCH(166,상세표[합계없음순번],0),"")</f>
        <v/>
      </c>
    </row>
    <row r="172">
      <c r="A172">
        <f>IF($X172="","",INDEX(합계표[사번],$X172)&amp;"")</f>
        <v/>
      </c>
      <c r="B172">
        <f>IF($X172="","",INDEX(합계표[성명],$X172)&amp;"")</f>
        <v/>
      </c>
      <c r="C172">
        <f>IF($X172="","",INDEX(합계표[부서],$X172)&amp;"")</f>
        <v/>
      </c>
      <c r="D172">
        <f>IF($X172="","",INDEX(합계표[직위(요약)],$X172)&amp;"")</f>
        <v/>
      </c>
      <c r="E172">
        <f>IF($X172="","",INDEX(합계표[직급 공존],$X172)&amp;"")</f>
        <v/>
      </c>
      <c r="F172" s="20">
        <f>IF($X172="","",SUMIFS(합계표[시스템 합계],합계표[사번키],INDEX(합계표[사번키],$X172)))</f>
        <v/>
      </c>
      <c r="G172" s="20">
        <f>IF($X172="","",SUMIFS(상세표[기록 시간외],상세표[사번키],INDEX(합계표[사번키],$X172),상세표[기록월],대상월키))</f>
        <v/>
      </c>
      <c r="H172">
        <f>IF($X172="","",IF(ABS($F172-$G172)&lt;0.01,"일치","불일치(차이 "&amp;TEXT($G172-$F172,"0.00")&amp;")"))</f>
        <v/>
      </c>
      <c r="I172" s="20">
        <f>IF($X172="","",SUMIFS(상세표[기록 시간외],상세표[사번키],INDEX(합계표[사번키],$X172),상세표[기록월],대상월키,상세표[반영월],"&lt;&gt;"&amp;대상월키))</f>
        <v/>
      </c>
      <c r="J172" s="20">
        <f>IF($X172="","",SUMIFS(상세표[기록 시간외],상세표[사번키],INDEX(합계표[사번키],$X172),상세표[기록월],"&lt;&gt;"&amp;대상월키,상세표[반영월],대상월키))</f>
        <v/>
      </c>
      <c r="K172" s="20">
        <f>IF($X172="","",SUMIFS(상세표[기록 시간외],상세표[사번키],INDEX(합계표[사번키],$X172),상세표[반영월],대상월키))</f>
        <v/>
      </c>
      <c r="L172">
        <f>IF($X172="","",IFERROR(INDEX(월별근무지표[적용 급여병원],MATCH(INDEX(합계표[사번키],$X172)&amp;"|"&amp;대상월키,월별근무지표[키],0))&amp;"",IF(COUNTIF(기관표[사번키],INDEX(합계표[사번키],$X172))+COUNTIF(월별근무지표[사번키],INDEX(합계표[사번키],$X172))&gt;0,IFERROR(INDEX(기관표[급여지급병원(기준월)],MATCH(INDEX(합계표[사번키],$X172)&amp;"|"&amp;대상월키,기관표[키],0))&amp;"","—"),"—")))</f>
        <v/>
      </c>
      <c r="M172">
        <f>IF($X172="","",IF(NOT(COUNTIF(기관표[사번키],INDEX(합계표[사번키],$X172))+COUNTIF(월별근무지표[사번키],INDEX(합계표[사번키],$X172))&gt;0),"기관명단에 없음(다른 병원으로 발송)",IF($L172="서울병원","해당",IF(N($R172)&gt;0,"해당(말일 근무)",IF($L172="—","대상월 기관명단 없음(추가 필요)","비해당")))))</f>
        <v/>
      </c>
      <c r="N172" s="20">
        <f>IF($X172="","",SUMIFS(상세표[06~07시],상세표[사번키],INDEX(합계표[사번키],$X172),상세표[반영월],대상월키,상세표[반영 기관],"서울병원"))</f>
        <v/>
      </c>
      <c r="O172" s="20">
        <f>IF($X172="","",SUMIFS(상세표[07~18시],상세표[사번키],INDEX(합계표[사번키],$X172),상세표[반영월],대상월키,상세표[반영 기관],"서울병원"))</f>
        <v/>
      </c>
      <c r="P172" s="20">
        <f>IF($X172="","",SUMIFS(상세표[18~22시],상세표[사번키],INDEX(합계표[사번키],$X172),상세표[반영월],대상월키,상세표[반영 기관],"서울병원"))</f>
        <v/>
      </c>
      <c r="Q172" s="20">
        <f>IF($X172="","",SUMIFS(상세표[22~06시],상세표[사번키],INDEX(합계표[사번키],$X172),상세표[반영월],대상월키,상세표[반영 기관],"서울병원"))</f>
        <v/>
      </c>
      <c r="R172" s="20">
        <f>IF($X172="","",SUM($N172:$Q172))</f>
        <v/>
      </c>
      <c r="S172">
        <f>IF($X172="","",COUNTIFS(상세표[사번키],INDEX(합계표[사번키],$X172),상세표[반영월],대상월키,상세표[야간당직],1,상세표[야간 구분],"평일"))</f>
        <v/>
      </c>
      <c r="T172">
        <f>IF($X172="","",COUNTIFS(상세표[사번키],INDEX(합계표[사번키],$X172),상세표[반영월],대상월키,상세표[야간당직],1,상세표[야간 구분],"휴일"))</f>
        <v/>
      </c>
      <c r="U172">
        <f>IF($X172="","",COUNTIFS(상세표[사번키],INDEX(합계표[사번키],$X172),상세표[반영월],대상월키,상세표[야간당직],1,상세표[야간 구분],"평일",상세표[반영 기관],"서울병원"))</f>
        <v/>
      </c>
      <c r="V172">
        <f>IF($X172="","",COUNTIFS(상세표[사번키],INDEX(합계표[사번키],$X172),상세표[반영월],대상월키,상세표[야간당직],1,상세표[야간 구분],"휴일",상세표[반영 기관],"서울병원"))</f>
        <v/>
      </c>
      <c r="W172">
        <f>IF($X172="","",IF(ISNUMBER(MATCH(INDEX(합계표[사번키],$X172)&amp;"|"&amp;대상월키,월별근무지표[키],0)),"직접 입력",IF($L172="—","—","기관명단")))</f>
        <v/>
      </c>
      <c r="X172" s="4">
        <f>IFERROR(MATCH(167,합계표[판정순번],0),"")</f>
        <v/>
      </c>
      <c r="Z172">
        <f>IF($AC172="","",INDEX(상세표[사번],$AC172)&amp;"")</f>
        <v/>
      </c>
      <c r="AA172">
        <f>IF($AC172="","",INDEX(상세표[성명],$AC172)&amp;"")</f>
        <v/>
      </c>
      <c r="AB172" s="20">
        <f>IF($AC172="","",SUMIFS(상세표[기록 시간외],상세표[사번키],INDEX(상세표[사번키],$AC172),상세표[반영월],대상월키))</f>
        <v/>
      </c>
      <c r="AC172" s="4">
        <f>IFERROR(MATCH(167,상세표[합계없음순번],0),"")</f>
        <v/>
      </c>
    </row>
    <row r="173">
      <c r="A173">
        <f>IF($X173="","",INDEX(합계표[사번],$X173)&amp;"")</f>
        <v/>
      </c>
      <c r="B173">
        <f>IF($X173="","",INDEX(합계표[성명],$X173)&amp;"")</f>
        <v/>
      </c>
      <c r="C173">
        <f>IF($X173="","",INDEX(합계표[부서],$X173)&amp;"")</f>
        <v/>
      </c>
      <c r="D173">
        <f>IF($X173="","",INDEX(합계표[직위(요약)],$X173)&amp;"")</f>
        <v/>
      </c>
      <c r="E173">
        <f>IF($X173="","",INDEX(합계표[직급 공존],$X173)&amp;"")</f>
        <v/>
      </c>
      <c r="F173" s="20">
        <f>IF($X173="","",SUMIFS(합계표[시스템 합계],합계표[사번키],INDEX(합계표[사번키],$X173)))</f>
        <v/>
      </c>
      <c r="G173" s="20">
        <f>IF($X173="","",SUMIFS(상세표[기록 시간외],상세표[사번키],INDEX(합계표[사번키],$X173),상세표[기록월],대상월키))</f>
        <v/>
      </c>
      <c r="H173">
        <f>IF($X173="","",IF(ABS($F173-$G173)&lt;0.01,"일치","불일치(차이 "&amp;TEXT($G173-$F173,"0.00")&amp;")"))</f>
        <v/>
      </c>
      <c r="I173" s="20">
        <f>IF($X173="","",SUMIFS(상세표[기록 시간외],상세표[사번키],INDEX(합계표[사번키],$X173),상세표[기록월],대상월키,상세표[반영월],"&lt;&gt;"&amp;대상월키))</f>
        <v/>
      </c>
      <c r="J173" s="20">
        <f>IF($X173="","",SUMIFS(상세표[기록 시간외],상세표[사번키],INDEX(합계표[사번키],$X173),상세표[기록월],"&lt;&gt;"&amp;대상월키,상세표[반영월],대상월키))</f>
        <v/>
      </c>
      <c r="K173" s="20">
        <f>IF($X173="","",SUMIFS(상세표[기록 시간외],상세표[사번키],INDEX(합계표[사번키],$X173),상세표[반영월],대상월키))</f>
        <v/>
      </c>
      <c r="L173">
        <f>IF($X173="","",IFERROR(INDEX(월별근무지표[적용 급여병원],MATCH(INDEX(합계표[사번키],$X173)&amp;"|"&amp;대상월키,월별근무지표[키],0))&amp;"",IF(COUNTIF(기관표[사번키],INDEX(합계표[사번키],$X173))+COUNTIF(월별근무지표[사번키],INDEX(합계표[사번키],$X173))&gt;0,IFERROR(INDEX(기관표[급여지급병원(기준월)],MATCH(INDEX(합계표[사번키],$X173)&amp;"|"&amp;대상월키,기관표[키],0))&amp;"","—"),"—")))</f>
        <v/>
      </c>
      <c r="M173">
        <f>IF($X173="","",IF(NOT(COUNTIF(기관표[사번키],INDEX(합계표[사번키],$X173))+COUNTIF(월별근무지표[사번키],INDEX(합계표[사번키],$X173))&gt;0),"기관명단에 없음(다른 병원으로 발송)",IF($L173="서울병원","해당",IF(N($R173)&gt;0,"해당(말일 근무)",IF($L173="—","대상월 기관명단 없음(추가 필요)","비해당")))))</f>
        <v/>
      </c>
      <c r="N173" s="20">
        <f>IF($X173="","",SUMIFS(상세표[06~07시],상세표[사번키],INDEX(합계표[사번키],$X173),상세표[반영월],대상월키,상세표[반영 기관],"서울병원"))</f>
        <v/>
      </c>
      <c r="O173" s="20">
        <f>IF($X173="","",SUMIFS(상세표[07~18시],상세표[사번키],INDEX(합계표[사번키],$X173),상세표[반영월],대상월키,상세표[반영 기관],"서울병원"))</f>
        <v/>
      </c>
      <c r="P173" s="20">
        <f>IF($X173="","",SUMIFS(상세표[18~22시],상세표[사번키],INDEX(합계표[사번키],$X173),상세표[반영월],대상월키,상세표[반영 기관],"서울병원"))</f>
        <v/>
      </c>
      <c r="Q173" s="20">
        <f>IF($X173="","",SUMIFS(상세표[22~06시],상세표[사번키],INDEX(합계표[사번키],$X173),상세표[반영월],대상월키,상세표[반영 기관],"서울병원"))</f>
        <v/>
      </c>
      <c r="R173" s="20">
        <f>IF($X173="","",SUM($N173:$Q173))</f>
        <v/>
      </c>
      <c r="S173">
        <f>IF($X173="","",COUNTIFS(상세표[사번키],INDEX(합계표[사번키],$X173),상세표[반영월],대상월키,상세표[야간당직],1,상세표[야간 구분],"평일"))</f>
        <v/>
      </c>
      <c r="T173">
        <f>IF($X173="","",COUNTIFS(상세표[사번키],INDEX(합계표[사번키],$X173),상세표[반영월],대상월키,상세표[야간당직],1,상세표[야간 구분],"휴일"))</f>
        <v/>
      </c>
      <c r="U173">
        <f>IF($X173="","",COUNTIFS(상세표[사번키],INDEX(합계표[사번키],$X173),상세표[반영월],대상월키,상세표[야간당직],1,상세표[야간 구분],"평일",상세표[반영 기관],"서울병원"))</f>
        <v/>
      </c>
      <c r="V173">
        <f>IF($X173="","",COUNTIFS(상세표[사번키],INDEX(합계표[사번키],$X173),상세표[반영월],대상월키,상세표[야간당직],1,상세표[야간 구분],"휴일",상세표[반영 기관],"서울병원"))</f>
        <v/>
      </c>
      <c r="W173">
        <f>IF($X173="","",IF(ISNUMBER(MATCH(INDEX(합계표[사번키],$X173)&amp;"|"&amp;대상월키,월별근무지표[키],0)),"직접 입력",IF($L173="—","—","기관명단")))</f>
        <v/>
      </c>
      <c r="X173" s="4">
        <f>IFERROR(MATCH(168,합계표[판정순번],0),"")</f>
        <v/>
      </c>
      <c r="Z173">
        <f>IF($AC173="","",INDEX(상세표[사번],$AC173)&amp;"")</f>
        <v/>
      </c>
      <c r="AA173">
        <f>IF($AC173="","",INDEX(상세표[성명],$AC173)&amp;"")</f>
        <v/>
      </c>
      <c r="AB173" s="20">
        <f>IF($AC173="","",SUMIFS(상세표[기록 시간외],상세표[사번키],INDEX(상세표[사번키],$AC173),상세표[반영월],대상월키))</f>
        <v/>
      </c>
      <c r="AC173" s="4">
        <f>IFERROR(MATCH(168,상세표[합계없음순번],0),"")</f>
        <v/>
      </c>
    </row>
    <row r="174">
      <c r="A174">
        <f>IF($X174="","",INDEX(합계표[사번],$X174)&amp;"")</f>
        <v/>
      </c>
      <c r="B174">
        <f>IF($X174="","",INDEX(합계표[성명],$X174)&amp;"")</f>
        <v/>
      </c>
      <c r="C174">
        <f>IF($X174="","",INDEX(합계표[부서],$X174)&amp;"")</f>
        <v/>
      </c>
      <c r="D174">
        <f>IF($X174="","",INDEX(합계표[직위(요약)],$X174)&amp;"")</f>
        <v/>
      </c>
      <c r="E174">
        <f>IF($X174="","",INDEX(합계표[직급 공존],$X174)&amp;"")</f>
        <v/>
      </c>
      <c r="F174" s="20">
        <f>IF($X174="","",SUMIFS(합계표[시스템 합계],합계표[사번키],INDEX(합계표[사번키],$X174)))</f>
        <v/>
      </c>
      <c r="G174" s="20">
        <f>IF($X174="","",SUMIFS(상세표[기록 시간외],상세표[사번키],INDEX(합계표[사번키],$X174),상세표[기록월],대상월키))</f>
        <v/>
      </c>
      <c r="H174">
        <f>IF($X174="","",IF(ABS($F174-$G174)&lt;0.01,"일치","불일치(차이 "&amp;TEXT($G174-$F174,"0.00")&amp;")"))</f>
        <v/>
      </c>
      <c r="I174" s="20">
        <f>IF($X174="","",SUMIFS(상세표[기록 시간외],상세표[사번키],INDEX(합계표[사번키],$X174),상세표[기록월],대상월키,상세표[반영월],"&lt;&gt;"&amp;대상월키))</f>
        <v/>
      </c>
      <c r="J174" s="20">
        <f>IF($X174="","",SUMIFS(상세표[기록 시간외],상세표[사번키],INDEX(합계표[사번키],$X174),상세표[기록월],"&lt;&gt;"&amp;대상월키,상세표[반영월],대상월키))</f>
        <v/>
      </c>
      <c r="K174" s="20">
        <f>IF($X174="","",SUMIFS(상세표[기록 시간외],상세표[사번키],INDEX(합계표[사번키],$X174),상세표[반영월],대상월키))</f>
        <v/>
      </c>
      <c r="L174">
        <f>IF($X174="","",IFERROR(INDEX(월별근무지표[적용 급여병원],MATCH(INDEX(합계표[사번키],$X174)&amp;"|"&amp;대상월키,월별근무지표[키],0))&amp;"",IF(COUNTIF(기관표[사번키],INDEX(합계표[사번키],$X174))+COUNTIF(월별근무지표[사번키],INDEX(합계표[사번키],$X174))&gt;0,IFERROR(INDEX(기관표[급여지급병원(기준월)],MATCH(INDEX(합계표[사번키],$X174)&amp;"|"&amp;대상월키,기관표[키],0))&amp;"","—"),"—")))</f>
        <v/>
      </c>
      <c r="M174">
        <f>IF($X174="","",IF(NOT(COUNTIF(기관표[사번키],INDEX(합계표[사번키],$X174))+COUNTIF(월별근무지표[사번키],INDEX(합계표[사번키],$X174))&gt;0),"기관명단에 없음(다른 병원으로 발송)",IF($L174="서울병원","해당",IF(N($R174)&gt;0,"해당(말일 근무)",IF($L174="—","대상월 기관명단 없음(추가 필요)","비해당")))))</f>
        <v/>
      </c>
      <c r="N174" s="20">
        <f>IF($X174="","",SUMIFS(상세표[06~07시],상세표[사번키],INDEX(합계표[사번키],$X174),상세표[반영월],대상월키,상세표[반영 기관],"서울병원"))</f>
        <v/>
      </c>
      <c r="O174" s="20">
        <f>IF($X174="","",SUMIFS(상세표[07~18시],상세표[사번키],INDEX(합계표[사번키],$X174),상세표[반영월],대상월키,상세표[반영 기관],"서울병원"))</f>
        <v/>
      </c>
      <c r="P174" s="20">
        <f>IF($X174="","",SUMIFS(상세표[18~22시],상세표[사번키],INDEX(합계표[사번키],$X174),상세표[반영월],대상월키,상세표[반영 기관],"서울병원"))</f>
        <v/>
      </c>
      <c r="Q174" s="20">
        <f>IF($X174="","",SUMIFS(상세표[22~06시],상세표[사번키],INDEX(합계표[사번키],$X174),상세표[반영월],대상월키,상세표[반영 기관],"서울병원"))</f>
        <v/>
      </c>
      <c r="R174" s="20">
        <f>IF($X174="","",SUM($N174:$Q174))</f>
        <v/>
      </c>
      <c r="S174">
        <f>IF($X174="","",COUNTIFS(상세표[사번키],INDEX(합계표[사번키],$X174),상세표[반영월],대상월키,상세표[야간당직],1,상세표[야간 구분],"평일"))</f>
        <v/>
      </c>
      <c r="T174">
        <f>IF($X174="","",COUNTIFS(상세표[사번키],INDEX(합계표[사번키],$X174),상세표[반영월],대상월키,상세표[야간당직],1,상세표[야간 구분],"휴일"))</f>
        <v/>
      </c>
      <c r="U174">
        <f>IF($X174="","",COUNTIFS(상세표[사번키],INDEX(합계표[사번키],$X174),상세표[반영월],대상월키,상세표[야간당직],1,상세표[야간 구분],"평일",상세표[반영 기관],"서울병원"))</f>
        <v/>
      </c>
      <c r="V174">
        <f>IF($X174="","",COUNTIFS(상세표[사번키],INDEX(합계표[사번키],$X174),상세표[반영월],대상월키,상세표[야간당직],1,상세표[야간 구분],"휴일",상세표[반영 기관],"서울병원"))</f>
        <v/>
      </c>
      <c r="W174">
        <f>IF($X174="","",IF(ISNUMBER(MATCH(INDEX(합계표[사번키],$X174)&amp;"|"&amp;대상월키,월별근무지표[키],0)),"직접 입력",IF($L174="—","—","기관명단")))</f>
        <v/>
      </c>
      <c r="X174" s="4">
        <f>IFERROR(MATCH(169,합계표[판정순번],0),"")</f>
        <v/>
      </c>
      <c r="Z174">
        <f>IF($AC174="","",INDEX(상세표[사번],$AC174)&amp;"")</f>
        <v/>
      </c>
      <c r="AA174">
        <f>IF($AC174="","",INDEX(상세표[성명],$AC174)&amp;"")</f>
        <v/>
      </c>
      <c r="AB174" s="20">
        <f>IF($AC174="","",SUMIFS(상세표[기록 시간외],상세표[사번키],INDEX(상세표[사번키],$AC174),상세표[반영월],대상월키))</f>
        <v/>
      </c>
      <c r="AC174" s="4">
        <f>IFERROR(MATCH(169,상세표[합계없음순번],0),"")</f>
        <v/>
      </c>
    </row>
    <row r="175">
      <c r="A175">
        <f>IF($X175="","",INDEX(합계표[사번],$X175)&amp;"")</f>
        <v/>
      </c>
      <c r="B175">
        <f>IF($X175="","",INDEX(합계표[성명],$X175)&amp;"")</f>
        <v/>
      </c>
      <c r="C175">
        <f>IF($X175="","",INDEX(합계표[부서],$X175)&amp;"")</f>
        <v/>
      </c>
      <c r="D175">
        <f>IF($X175="","",INDEX(합계표[직위(요약)],$X175)&amp;"")</f>
        <v/>
      </c>
      <c r="E175">
        <f>IF($X175="","",INDEX(합계표[직급 공존],$X175)&amp;"")</f>
        <v/>
      </c>
      <c r="F175" s="20">
        <f>IF($X175="","",SUMIFS(합계표[시스템 합계],합계표[사번키],INDEX(합계표[사번키],$X175)))</f>
        <v/>
      </c>
      <c r="G175" s="20">
        <f>IF($X175="","",SUMIFS(상세표[기록 시간외],상세표[사번키],INDEX(합계표[사번키],$X175),상세표[기록월],대상월키))</f>
        <v/>
      </c>
      <c r="H175">
        <f>IF($X175="","",IF(ABS($F175-$G175)&lt;0.01,"일치","불일치(차이 "&amp;TEXT($G175-$F175,"0.00")&amp;")"))</f>
        <v/>
      </c>
      <c r="I175" s="20">
        <f>IF($X175="","",SUMIFS(상세표[기록 시간외],상세표[사번키],INDEX(합계표[사번키],$X175),상세표[기록월],대상월키,상세표[반영월],"&lt;&gt;"&amp;대상월키))</f>
        <v/>
      </c>
      <c r="J175" s="20">
        <f>IF($X175="","",SUMIFS(상세표[기록 시간외],상세표[사번키],INDEX(합계표[사번키],$X175),상세표[기록월],"&lt;&gt;"&amp;대상월키,상세표[반영월],대상월키))</f>
        <v/>
      </c>
      <c r="K175" s="20">
        <f>IF($X175="","",SUMIFS(상세표[기록 시간외],상세표[사번키],INDEX(합계표[사번키],$X175),상세표[반영월],대상월키))</f>
        <v/>
      </c>
      <c r="L175">
        <f>IF($X175="","",IFERROR(INDEX(월별근무지표[적용 급여병원],MATCH(INDEX(합계표[사번키],$X175)&amp;"|"&amp;대상월키,월별근무지표[키],0))&amp;"",IF(COUNTIF(기관표[사번키],INDEX(합계표[사번키],$X175))+COUNTIF(월별근무지표[사번키],INDEX(합계표[사번키],$X175))&gt;0,IFERROR(INDEX(기관표[급여지급병원(기준월)],MATCH(INDEX(합계표[사번키],$X175)&amp;"|"&amp;대상월키,기관표[키],0))&amp;"","—"),"—")))</f>
        <v/>
      </c>
      <c r="M175">
        <f>IF($X175="","",IF(NOT(COUNTIF(기관표[사번키],INDEX(합계표[사번키],$X175))+COUNTIF(월별근무지표[사번키],INDEX(합계표[사번키],$X175))&gt;0),"기관명단에 없음(다른 병원으로 발송)",IF($L175="서울병원","해당",IF(N($R175)&gt;0,"해당(말일 근무)",IF($L175="—","대상월 기관명단 없음(추가 필요)","비해당")))))</f>
        <v/>
      </c>
      <c r="N175" s="20">
        <f>IF($X175="","",SUMIFS(상세표[06~07시],상세표[사번키],INDEX(합계표[사번키],$X175),상세표[반영월],대상월키,상세표[반영 기관],"서울병원"))</f>
        <v/>
      </c>
      <c r="O175" s="20">
        <f>IF($X175="","",SUMIFS(상세표[07~18시],상세표[사번키],INDEX(합계표[사번키],$X175),상세표[반영월],대상월키,상세표[반영 기관],"서울병원"))</f>
        <v/>
      </c>
      <c r="P175" s="20">
        <f>IF($X175="","",SUMIFS(상세표[18~22시],상세표[사번키],INDEX(합계표[사번키],$X175),상세표[반영월],대상월키,상세표[반영 기관],"서울병원"))</f>
        <v/>
      </c>
      <c r="Q175" s="20">
        <f>IF($X175="","",SUMIFS(상세표[22~06시],상세표[사번키],INDEX(합계표[사번키],$X175),상세표[반영월],대상월키,상세표[반영 기관],"서울병원"))</f>
        <v/>
      </c>
      <c r="R175" s="20">
        <f>IF($X175="","",SUM($N175:$Q175))</f>
        <v/>
      </c>
      <c r="S175">
        <f>IF($X175="","",COUNTIFS(상세표[사번키],INDEX(합계표[사번키],$X175),상세표[반영월],대상월키,상세표[야간당직],1,상세표[야간 구분],"평일"))</f>
        <v/>
      </c>
      <c r="T175">
        <f>IF($X175="","",COUNTIFS(상세표[사번키],INDEX(합계표[사번키],$X175),상세표[반영월],대상월키,상세표[야간당직],1,상세표[야간 구분],"휴일"))</f>
        <v/>
      </c>
      <c r="U175">
        <f>IF($X175="","",COUNTIFS(상세표[사번키],INDEX(합계표[사번키],$X175),상세표[반영월],대상월키,상세표[야간당직],1,상세표[야간 구분],"평일",상세표[반영 기관],"서울병원"))</f>
        <v/>
      </c>
      <c r="V175">
        <f>IF($X175="","",COUNTIFS(상세표[사번키],INDEX(합계표[사번키],$X175),상세표[반영월],대상월키,상세표[야간당직],1,상세표[야간 구분],"휴일",상세표[반영 기관],"서울병원"))</f>
        <v/>
      </c>
      <c r="W175">
        <f>IF($X175="","",IF(ISNUMBER(MATCH(INDEX(합계표[사번키],$X175)&amp;"|"&amp;대상월키,월별근무지표[키],0)),"직접 입력",IF($L175="—","—","기관명단")))</f>
        <v/>
      </c>
      <c r="X175" s="4">
        <f>IFERROR(MATCH(170,합계표[판정순번],0),"")</f>
        <v/>
      </c>
      <c r="Z175">
        <f>IF($AC175="","",INDEX(상세표[사번],$AC175)&amp;"")</f>
        <v/>
      </c>
      <c r="AA175">
        <f>IF($AC175="","",INDEX(상세표[성명],$AC175)&amp;"")</f>
        <v/>
      </c>
      <c r="AB175" s="20">
        <f>IF($AC175="","",SUMIFS(상세표[기록 시간외],상세표[사번키],INDEX(상세표[사번키],$AC175),상세표[반영월],대상월키))</f>
        <v/>
      </c>
      <c r="AC175" s="4">
        <f>IFERROR(MATCH(170,상세표[합계없음순번],0),"")</f>
        <v/>
      </c>
    </row>
    <row r="176">
      <c r="A176">
        <f>IF($X176="","",INDEX(합계표[사번],$X176)&amp;"")</f>
        <v/>
      </c>
      <c r="B176">
        <f>IF($X176="","",INDEX(합계표[성명],$X176)&amp;"")</f>
        <v/>
      </c>
      <c r="C176">
        <f>IF($X176="","",INDEX(합계표[부서],$X176)&amp;"")</f>
        <v/>
      </c>
      <c r="D176">
        <f>IF($X176="","",INDEX(합계표[직위(요약)],$X176)&amp;"")</f>
        <v/>
      </c>
      <c r="E176">
        <f>IF($X176="","",INDEX(합계표[직급 공존],$X176)&amp;"")</f>
        <v/>
      </c>
      <c r="F176" s="20">
        <f>IF($X176="","",SUMIFS(합계표[시스템 합계],합계표[사번키],INDEX(합계표[사번키],$X176)))</f>
        <v/>
      </c>
      <c r="G176" s="20">
        <f>IF($X176="","",SUMIFS(상세표[기록 시간외],상세표[사번키],INDEX(합계표[사번키],$X176),상세표[기록월],대상월키))</f>
        <v/>
      </c>
      <c r="H176">
        <f>IF($X176="","",IF(ABS($F176-$G176)&lt;0.01,"일치","불일치(차이 "&amp;TEXT($G176-$F176,"0.00")&amp;")"))</f>
        <v/>
      </c>
      <c r="I176" s="20">
        <f>IF($X176="","",SUMIFS(상세표[기록 시간외],상세표[사번키],INDEX(합계표[사번키],$X176),상세표[기록월],대상월키,상세표[반영월],"&lt;&gt;"&amp;대상월키))</f>
        <v/>
      </c>
      <c r="J176" s="20">
        <f>IF($X176="","",SUMIFS(상세표[기록 시간외],상세표[사번키],INDEX(합계표[사번키],$X176),상세표[기록월],"&lt;&gt;"&amp;대상월키,상세표[반영월],대상월키))</f>
        <v/>
      </c>
      <c r="K176" s="20">
        <f>IF($X176="","",SUMIFS(상세표[기록 시간외],상세표[사번키],INDEX(합계표[사번키],$X176),상세표[반영월],대상월키))</f>
        <v/>
      </c>
      <c r="L176">
        <f>IF($X176="","",IFERROR(INDEX(월별근무지표[적용 급여병원],MATCH(INDEX(합계표[사번키],$X176)&amp;"|"&amp;대상월키,월별근무지표[키],0))&amp;"",IF(COUNTIF(기관표[사번키],INDEX(합계표[사번키],$X176))+COUNTIF(월별근무지표[사번키],INDEX(합계표[사번키],$X176))&gt;0,IFERROR(INDEX(기관표[급여지급병원(기준월)],MATCH(INDEX(합계표[사번키],$X176)&amp;"|"&amp;대상월키,기관표[키],0))&amp;"","—"),"—")))</f>
        <v/>
      </c>
      <c r="M176">
        <f>IF($X176="","",IF(NOT(COUNTIF(기관표[사번키],INDEX(합계표[사번키],$X176))+COUNTIF(월별근무지표[사번키],INDEX(합계표[사번키],$X176))&gt;0),"기관명단에 없음(다른 병원으로 발송)",IF($L176="서울병원","해당",IF(N($R176)&gt;0,"해당(말일 근무)",IF($L176="—","대상월 기관명단 없음(추가 필요)","비해당")))))</f>
        <v/>
      </c>
      <c r="N176" s="20">
        <f>IF($X176="","",SUMIFS(상세표[06~07시],상세표[사번키],INDEX(합계표[사번키],$X176),상세표[반영월],대상월키,상세표[반영 기관],"서울병원"))</f>
        <v/>
      </c>
      <c r="O176" s="20">
        <f>IF($X176="","",SUMIFS(상세표[07~18시],상세표[사번키],INDEX(합계표[사번키],$X176),상세표[반영월],대상월키,상세표[반영 기관],"서울병원"))</f>
        <v/>
      </c>
      <c r="P176" s="20">
        <f>IF($X176="","",SUMIFS(상세표[18~22시],상세표[사번키],INDEX(합계표[사번키],$X176),상세표[반영월],대상월키,상세표[반영 기관],"서울병원"))</f>
        <v/>
      </c>
      <c r="Q176" s="20">
        <f>IF($X176="","",SUMIFS(상세표[22~06시],상세표[사번키],INDEX(합계표[사번키],$X176),상세표[반영월],대상월키,상세표[반영 기관],"서울병원"))</f>
        <v/>
      </c>
      <c r="R176" s="20">
        <f>IF($X176="","",SUM($N176:$Q176))</f>
        <v/>
      </c>
      <c r="S176">
        <f>IF($X176="","",COUNTIFS(상세표[사번키],INDEX(합계표[사번키],$X176),상세표[반영월],대상월키,상세표[야간당직],1,상세표[야간 구분],"평일"))</f>
        <v/>
      </c>
      <c r="T176">
        <f>IF($X176="","",COUNTIFS(상세표[사번키],INDEX(합계표[사번키],$X176),상세표[반영월],대상월키,상세표[야간당직],1,상세표[야간 구분],"휴일"))</f>
        <v/>
      </c>
      <c r="U176">
        <f>IF($X176="","",COUNTIFS(상세표[사번키],INDEX(합계표[사번키],$X176),상세표[반영월],대상월키,상세표[야간당직],1,상세표[야간 구분],"평일",상세표[반영 기관],"서울병원"))</f>
        <v/>
      </c>
      <c r="V176">
        <f>IF($X176="","",COUNTIFS(상세표[사번키],INDEX(합계표[사번키],$X176),상세표[반영월],대상월키,상세표[야간당직],1,상세표[야간 구분],"휴일",상세표[반영 기관],"서울병원"))</f>
        <v/>
      </c>
      <c r="W176">
        <f>IF($X176="","",IF(ISNUMBER(MATCH(INDEX(합계표[사번키],$X176)&amp;"|"&amp;대상월키,월별근무지표[키],0)),"직접 입력",IF($L176="—","—","기관명단")))</f>
        <v/>
      </c>
      <c r="X176" s="4">
        <f>IFERROR(MATCH(171,합계표[판정순번],0),"")</f>
        <v/>
      </c>
      <c r="Z176">
        <f>IF($AC176="","",INDEX(상세표[사번],$AC176)&amp;"")</f>
        <v/>
      </c>
      <c r="AA176">
        <f>IF($AC176="","",INDEX(상세표[성명],$AC176)&amp;"")</f>
        <v/>
      </c>
      <c r="AB176" s="20">
        <f>IF($AC176="","",SUMIFS(상세표[기록 시간외],상세표[사번키],INDEX(상세표[사번키],$AC176),상세표[반영월],대상월키))</f>
        <v/>
      </c>
      <c r="AC176" s="4">
        <f>IFERROR(MATCH(171,상세표[합계없음순번],0),"")</f>
        <v/>
      </c>
    </row>
    <row r="177">
      <c r="A177">
        <f>IF($X177="","",INDEX(합계표[사번],$X177)&amp;"")</f>
        <v/>
      </c>
      <c r="B177">
        <f>IF($X177="","",INDEX(합계표[성명],$X177)&amp;"")</f>
        <v/>
      </c>
      <c r="C177">
        <f>IF($X177="","",INDEX(합계표[부서],$X177)&amp;"")</f>
        <v/>
      </c>
      <c r="D177">
        <f>IF($X177="","",INDEX(합계표[직위(요약)],$X177)&amp;"")</f>
        <v/>
      </c>
      <c r="E177">
        <f>IF($X177="","",INDEX(합계표[직급 공존],$X177)&amp;"")</f>
        <v/>
      </c>
      <c r="F177" s="20">
        <f>IF($X177="","",SUMIFS(합계표[시스템 합계],합계표[사번키],INDEX(합계표[사번키],$X177)))</f>
        <v/>
      </c>
      <c r="G177" s="20">
        <f>IF($X177="","",SUMIFS(상세표[기록 시간외],상세표[사번키],INDEX(합계표[사번키],$X177),상세표[기록월],대상월키))</f>
        <v/>
      </c>
      <c r="H177">
        <f>IF($X177="","",IF(ABS($F177-$G177)&lt;0.01,"일치","불일치(차이 "&amp;TEXT($G177-$F177,"0.00")&amp;")"))</f>
        <v/>
      </c>
      <c r="I177" s="20">
        <f>IF($X177="","",SUMIFS(상세표[기록 시간외],상세표[사번키],INDEX(합계표[사번키],$X177),상세표[기록월],대상월키,상세표[반영월],"&lt;&gt;"&amp;대상월키))</f>
        <v/>
      </c>
      <c r="J177" s="20">
        <f>IF($X177="","",SUMIFS(상세표[기록 시간외],상세표[사번키],INDEX(합계표[사번키],$X177),상세표[기록월],"&lt;&gt;"&amp;대상월키,상세표[반영월],대상월키))</f>
        <v/>
      </c>
      <c r="K177" s="20">
        <f>IF($X177="","",SUMIFS(상세표[기록 시간외],상세표[사번키],INDEX(합계표[사번키],$X177),상세표[반영월],대상월키))</f>
        <v/>
      </c>
      <c r="L177">
        <f>IF($X177="","",IFERROR(INDEX(월별근무지표[적용 급여병원],MATCH(INDEX(합계표[사번키],$X177)&amp;"|"&amp;대상월키,월별근무지표[키],0))&amp;"",IF(COUNTIF(기관표[사번키],INDEX(합계표[사번키],$X177))+COUNTIF(월별근무지표[사번키],INDEX(합계표[사번키],$X177))&gt;0,IFERROR(INDEX(기관표[급여지급병원(기준월)],MATCH(INDEX(합계표[사번키],$X177)&amp;"|"&amp;대상월키,기관표[키],0))&amp;"","—"),"—")))</f>
        <v/>
      </c>
      <c r="M177">
        <f>IF($X177="","",IF(NOT(COUNTIF(기관표[사번키],INDEX(합계표[사번키],$X177))+COUNTIF(월별근무지표[사번키],INDEX(합계표[사번키],$X177))&gt;0),"기관명단에 없음(다른 병원으로 발송)",IF($L177="서울병원","해당",IF(N($R177)&gt;0,"해당(말일 근무)",IF($L177="—","대상월 기관명단 없음(추가 필요)","비해당")))))</f>
        <v/>
      </c>
      <c r="N177" s="20">
        <f>IF($X177="","",SUMIFS(상세표[06~07시],상세표[사번키],INDEX(합계표[사번키],$X177),상세표[반영월],대상월키,상세표[반영 기관],"서울병원"))</f>
        <v/>
      </c>
      <c r="O177" s="20">
        <f>IF($X177="","",SUMIFS(상세표[07~18시],상세표[사번키],INDEX(합계표[사번키],$X177),상세표[반영월],대상월키,상세표[반영 기관],"서울병원"))</f>
        <v/>
      </c>
      <c r="P177" s="20">
        <f>IF($X177="","",SUMIFS(상세표[18~22시],상세표[사번키],INDEX(합계표[사번키],$X177),상세표[반영월],대상월키,상세표[반영 기관],"서울병원"))</f>
        <v/>
      </c>
      <c r="Q177" s="20">
        <f>IF($X177="","",SUMIFS(상세표[22~06시],상세표[사번키],INDEX(합계표[사번키],$X177),상세표[반영월],대상월키,상세표[반영 기관],"서울병원"))</f>
        <v/>
      </c>
      <c r="R177" s="20">
        <f>IF($X177="","",SUM($N177:$Q177))</f>
        <v/>
      </c>
      <c r="S177">
        <f>IF($X177="","",COUNTIFS(상세표[사번키],INDEX(합계표[사번키],$X177),상세표[반영월],대상월키,상세표[야간당직],1,상세표[야간 구분],"평일"))</f>
        <v/>
      </c>
      <c r="T177">
        <f>IF($X177="","",COUNTIFS(상세표[사번키],INDEX(합계표[사번키],$X177),상세표[반영월],대상월키,상세표[야간당직],1,상세표[야간 구분],"휴일"))</f>
        <v/>
      </c>
      <c r="U177">
        <f>IF($X177="","",COUNTIFS(상세표[사번키],INDEX(합계표[사번키],$X177),상세표[반영월],대상월키,상세표[야간당직],1,상세표[야간 구분],"평일",상세표[반영 기관],"서울병원"))</f>
        <v/>
      </c>
      <c r="V177">
        <f>IF($X177="","",COUNTIFS(상세표[사번키],INDEX(합계표[사번키],$X177),상세표[반영월],대상월키,상세표[야간당직],1,상세표[야간 구분],"휴일",상세표[반영 기관],"서울병원"))</f>
        <v/>
      </c>
      <c r="W177">
        <f>IF($X177="","",IF(ISNUMBER(MATCH(INDEX(합계표[사번키],$X177)&amp;"|"&amp;대상월키,월별근무지표[키],0)),"직접 입력",IF($L177="—","—","기관명단")))</f>
        <v/>
      </c>
      <c r="X177" s="4">
        <f>IFERROR(MATCH(172,합계표[판정순번],0),"")</f>
        <v/>
      </c>
      <c r="Z177">
        <f>IF($AC177="","",INDEX(상세표[사번],$AC177)&amp;"")</f>
        <v/>
      </c>
      <c r="AA177">
        <f>IF($AC177="","",INDEX(상세표[성명],$AC177)&amp;"")</f>
        <v/>
      </c>
      <c r="AB177" s="20">
        <f>IF($AC177="","",SUMIFS(상세표[기록 시간외],상세표[사번키],INDEX(상세표[사번키],$AC177),상세표[반영월],대상월키))</f>
        <v/>
      </c>
      <c r="AC177" s="4">
        <f>IFERROR(MATCH(172,상세표[합계없음순번],0),"")</f>
        <v/>
      </c>
    </row>
    <row r="178">
      <c r="A178">
        <f>IF($X178="","",INDEX(합계표[사번],$X178)&amp;"")</f>
        <v/>
      </c>
      <c r="B178">
        <f>IF($X178="","",INDEX(합계표[성명],$X178)&amp;"")</f>
        <v/>
      </c>
      <c r="C178">
        <f>IF($X178="","",INDEX(합계표[부서],$X178)&amp;"")</f>
        <v/>
      </c>
      <c r="D178">
        <f>IF($X178="","",INDEX(합계표[직위(요약)],$X178)&amp;"")</f>
        <v/>
      </c>
      <c r="E178">
        <f>IF($X178="","",INDEX(합계표[직급 공존],$X178)&amp;"")</f>
        <v/>
      </c>
      <c r="F178" s="20">
        <f>IF($X178="","",SUMIFS(합계표[시스템 합계],합계표[사번키],INDEX(합계표[사번키],$X178)))</f>
        <v/>
      </c>
      <c r="G178" s="20">
        <f>IF($X178="","",SUMIFS(상세표[기록 시간외],상세표[사번키],INDEX(합계표[사번키],$X178),상세표[기록월],대상월키))</f>
        <v/>
      </c>
      <c r="H178">
        <f>IF($X178="","",IF(ABS($F178-$G178)&lt;0.01,"일치","불일치(차이 "&amp;TEXT($G178-$F178,"0.00")&amp;")"))</f>
        <v/>
      </c>
      <c r="I178" s="20">
        <f>IF($X178="","",SUMIFS(상세표[기록 시간외],상세표[사번키],INDEX(합계표[사번키],$X178),상세표[기록월],대상월키,상세표[반영월],"&lt;&gt;"&amp;대상월키))</f>
        <v/>
      </c>
      <c r="J178" s="20">
        <f>IF($X178="","",SUMIFS(상세표[기록 시간외],상세표[사번키],INDEX(합계표[사번키],$X178),상세표[기록월],"&lt;&gt;"&amp;대상월키,상세표[반영월],대상월키))</f>
        <v/>
      </c>
      <c r="K178" s="20">
        <f>IF($X178="","",SUMIFS(상세표[기록 시간외],상세표[사번키],INDEX(합계표[사번키],$X178),상세표[반영월],대상월키))</f>
        <v/>
      </c>
      <c r="L178">
        <f>IF($X178="","",IFERROR(INDEX(월별근무지표[적용 급여병원],MATCH(INDEX(합계표[사번키],$X178)&amp;"|"&amp;대상월키,월별근무지표[키],0))&amp;"",IF(COUNTIF(기관표[사번키],INDEX(합계표[사번키],$X178))+COUNTIF(월별근무지표[사번키],INDEX(합계표[사번키],$X178))&gt;0,IFERROR(INDEX(기관표[급여지급병원(기준월)],MATCH(INDEX(합계표[사번키],$X178)&amp;"|"&amp;대상월키,기관표[키],0))&amp;"","—"),"—")))</f>
        <v/>
      </c>
      <c r="M178">
        <f>IF($X178="","",IF(NOT(COUNTIF(기관표[사번키],INDEX(합계표[사번키],$X178))+COUNTIF(월별근무지표[사번키],INDEX(합계표[사번키],$X178))&gt;0),"기관명단에 없음(다른 병원으로 발송)",IF($L178="서울병원","해당",IF(N($R178)&gt;0,"해당(말일 근무)",IF($L178="—","대상월 기관명단 없음(추가 필요)","비해당")))))</f>
        <v/>
      </c>
      <c r="N178" s="20">
        <f>IF($X178="","",SUMIFS(상세표[06~07시],상세표[사번키],INDEX(합계표[사번키],$X178),상세표[반영월],대상월키,상세표[반영 기관],"서울병원"))</f>
        <v/>
      </c>
      <c r="O178" s="20">
        <f>IF($X178="","",SUMIFS(상세표[07~18시],상세표[사번키],INDEX(합계표[사번키],$X178),상세표[반영월],대상월키,상세표[반영 기관],"서울병원"))</f>
        <v/>
      </c>
      <c r="P178" s="20">
        <f>IF($X178="","",SUMIFS(상세표[18~22시],상세표[사번키],INDEX(합계표[사번키],$X178),상세표[반영월],대상월키,상세표[반영 기관],"서울병원"))</f>
        <v/>
      </c>
      <c r="Q178" s="20">
        <f>IF($X178="","",SUMIFS(상세표[22~06시],상세표[사번키],INDEX(합계표[사번키],$X178),상세표[반영월],대상월키,상세표[반영 기관],"서울병원"))</f>
        <v/>
      </c>
      <c r="R178" s="20">
        <f>IF($X178="","",SUM($N178:$Q178))</f>
        <v/>
      </c>
      <c r="S178">
        <f>IF($X178="","",COUNTIFS(상세표[사번키],INDEX(합계표[사번키],$X178),상세표[반영월],대상월키,상세표[야간당직],1,상세표[야간 구분],"평일"))</f>
        <v/>
      </c>
      <c r="T178">
        <f>IF($X178="","",COUNTIFS(상세표[사번키],INDEX(합계표[사번키],$X178),상세표[반영월],대상월키,상세표[야간당직],1,상세표[야간 구분],"휴일"))</f>
        <v/>
      </c>
      <c r="U178">
        <f>IF($X178="","",COUNTIFS(상세표[사번키],INDEX(합계표[사번키],$X178),상세표[반영월],대상월키,상세표[야간당직],1,상세표[야간 구분],"평일",상세표[반영 기관],"서울병원"))</f>
        <v/>
      </c>
      <c r="V178">
        <f>IF($X178="","",COUNTIFS(상세표[사번키],INDEX(합계표[사번키],$X178),상세표[반영월],대상월키,상세표[야간당직],1,상세표[야간 구분],"휴일",상세표[반영 기관],"서울병원"))</f>
        <v/>
      </c>
      <c r="W178">
        <f>IF($X178="","",IF(ISNUMBER(MATCH(INDEX(합계표[사번키],$X178)&amp;"|"&amp;대상월키,월별근무지표[키],0)),"직접 입력",IF($L178="—","—","기관명단")))</f>
        <v/>
      </c>
      <c r="X178" s="4">
        <f>IFERROR(MATCH(173,합계표[판정순번],0),"")</f>
        <v/>
      </c>
      <c r="Z178">
        <f>IF($AC178="","",INDEX(상세표[사번],$AC178)&amp;"")</f>
        <v/>
      </c>
      <c r="AA178">
        <f>IF($AC178="","",INDEX(상세표[성명],$AC178)&amp;"")</f>
        <v/>
      </c>
      <c r="AB178" s="20">
        <f>IF($AC178="","",SUMIFS(상세표[기록 시간외],상세표[사번키],INDEX(상세표[사번키],$AC178),상세표[반영월],대상월키))</f>
        <v/>
      </c>
      <c r="AC178" s="4">
        <f>IFERROR(MATCH(173,상세표[합계없음순번],0),"")</f>
        <v/>
      </c>
    </row>
    <row r="179">
      <c r="A179">
        <f>IF($X179="","",INDEX(합계표[사번],$X179)&amp;"")</f>
        <v/>
      </c>
      <c r="B179">
        <f>IF($X179="","",INDEX(합계표[성명],$X179)&amp;"")</f>
        <v/>
      </c>
      <c r="C179">
        <f>IF($X179="","",INDEX(합계표[부서],$X179)&amp;"")</f>
        <v/>
      </c>
      <c r="D179">
        <f>IF($X179="","",INDEX(합계표[직위(요약)],$X179)&amp;"")</f>
        <v/>
      </c>
      <c r="E179">
        <f>IF($X179="","",INDEX(합계표[직급 공존],$X179)&amp;"")</f>
        <v/>
      </c>
      <c r="F179" s="20">
        <f>IF($X179="","",SUMIFS(합계표[시스템 합계],합계표[사번키],INDEX(합계표[사번키],$X179)))</f>
        <v/>
      </c>
      <c r="G179" s="20">
        <f>IF($X179="","",SUMIFS(상세표[기록 시간외],상세표[사번키],INDEX(합계표[사번키],$X179),상세표[기록월],대상월키))</f>
        <v/>
      </c>
      <c r="H179">
        <f>IF($X179="","",IF(ABS($F179-$G179)&lt;0.01,"일치","불일치(차이 "&amp;TEXT($G179-$F179,"0.00")&amp;")"))</f>
        <v/>
      </c>
      <c r="I179" s="20">
        <f>IF($X179="","",SUMIFS(상세표[기록 시간외],상세표[사번키],INDEX(합계표[사번키],$X179),상세표[기록월],대상월키,상세표[반영월],"&lt;&gt;"&amp;대상월키))</f>
        <v/>
      </c>
      <c r="J179" s="20">
        <f>IF($X179="","",SUMIFS(상세표[기록 시간외],상세표[사번키],INDEX(합계표[사번키],$X179),상세표[기록월],"&lt;&gt;"&amp;대상월키,상세표[반영월],대상월키))</f>
        <v/>
      </c>
      <c r="K179" s="20">
        <f>IF($X179="","",SUMIFS(상세표[기록 시간외],상세표[사번키],INDEX(합계표[사번키],$X179),상세표[반영월],대상월키))</f>
        <v/>
      </c>
      <c r="L179">
        <f>IF($X179="","",IFERROR(INDEX(월별근무지표[적용 급여병원],MATCH(INDEX(합계표[사번키],$X179)&amp;"|"&amp;대상월키,월별근무지표[키],0))&amp;"",IF(COUNTIF(기관표[사번키],INDEX(합계표[사번키],$X179))+COUNTIF(월별근무지표[사번키],INDEX(합계표[사번키],$X179))&gt;0,IFERROR(INDEX(기관표[급여지급병원(기준월)],MATCH(INDEX(합계표[사번키],$X179)&amp;"|"&amp;대상월키,기관표[키],0))&amp;"","—"),"—")))</f>
        <v/>
      </c>
      <c r="M179">
        <f>IF($X179="","",IF(NOT(COUNTIF(기관표[사번키],INDEX(합계표[사번키],$X179))+COUNTIF(월별근무지표[사번키],INDEX(합계표[사번키],$X179))&gt;0),"기관명단에 없음(다른 병원으로 발송)",IF($L179="서울병원","해당",IF(N($R179)&gt;0,"해당(말일 근무)",IF($L179="—","대상월 기관명단 없음(추가 필요)","비해당")))))</f>
        <v/>
      </c>
      <c r="N179" s="20">
        <f>IF($X179="","",SUMIFS(상세표[06~07시],상세표[사번키],INDEX(합계표[사번키],$X179),상세표[반영월],대상월키,상세표[반영 기관],"서울병원"))</f>
        <v/>
      </c>
      <c r="O179" s="20">
        <f>IF($X179="","",SUMIFS(상세표[07~18시],상세표[사번키],INDEX(합계표[사번키],$X179),상세표[반영월],대상월키,상세표[반영 기관],"서울병원"))</f>
        <v/>
      </c>
      <c r="P179" s="20">
        <f>IF($X179="","",SUMIFS(상세표[18~22시],상세표[사번키],INDEX(합계표[사번키],$X179),상세표[반영월],대상월키,상세표[반영 기관],"서울병원"))</f>
        <v/>
      </c>
      <c r="Q179" s="20">
        <f>IF($X179="","",SUMIFS(상세표[22~06시],상세표[사번키],INDEX(합계표[사번키],$X179),상세표[반영월],대상월키,상세표[반영 기관],"서울병원"))</f>
        <v/>
      </c>
      <c r="R179" s="20">
        <f>IF($X179="","",SUM($N179:$Q179))</f>
        <v/>
      </c>
      <c r="S179">
        <f>IF($X179="","",COUNTIFS(상세표[사번키],INDEX(합계표[사번키],$X179),상세표[반영월],대상월키,상세표[야간당직],1,상세표[야간 구분],"평일"))</f>
        <v/>
      </c>
      <c r="T179">
        <f>IF($X179="","",COUNTIFS(상세표[사번키],INDEX(합계표[사번키],$X179),상세표[반영월],대상월키,상세표[야간당직],1,상세표[야간 구분],"휴일"))</f>
        <v/>
      </c>
      <c r="U179">
        <f>IF($X179="","",COUNTIFS(상세표[사번키],INDEX(합계표[사번키],$X179),상세표[반영월],대상월키,상세표[야간당직],1,상세표[야간 구분],"평일",상세표[반영 기관],"서울병원"))</f>
        <v/>
      </c>
      <c r="V179">
        <f>IF($X179="","",COUNTIFS(상세표[사번키],INDEX(합계표[사번키],$X179),상세표[반영월],대상월키,상세표[야간당직],1,상세표[야간 구분],"휴일",상세표[반영 기관],"서울병원"))</f>
        <v/>
      </c>
      <c r="W179">
        <f>IF($X179="","",IF(ISNUMBER(MATCH(INDEX(합계표[사번키],$X179)&amp;"|"&amp;대상월키,월별근무지표[키],0)),"직접 입력",IF($L179="—","—","기관명단")))</f>
        <v/>
      </c>
      <c r="X179" s="4">
        <f>IFERROR(MATCH(174,합계표[판정순번],0),"")</f>
        <v/>
      </c>
      <c r="Z179">
        <f>IF($AC179="","",INDEX(상세표[사번],$AC179)&amp;"")</f>
        <v/>
      </c>
      <c r="AA179">
        <f>IF($AC179="","",INDEX(상세표[성명],$AC179)&amp;"")</f>
        <v/>
      </c>
      <c r="AB179" s="20">
        <f>IF($AC179="","",SUMIFS(상세표[기록 시간외],상세표[사번키],INDEX(상세표[사번키],$AC179),상세표[반영월],대상월키))</f>
        <v/>
      </c>
      <c r="AC179" s="4">
        <f>IFERROR(MATCH(174,상세표[합계없음순번],0),"")</f>
        <v/>
      </c>
    </row>
    <row r="180">
      <c r="A180">
        <f>IF($X180="","",INDEX(합계표[사번],$X180)&amp;"")</f>
        <v/>
      </c>
      <c r="B180">
        <f>IF($X180="","",INDEX(합계표[성명],$X180)&amp;"")</f>
        <v/>
      </c>
      <c r="C180">
        <f>IF($X180="","",INDEX(합계표[부서],$X180)&amp;"")</f>
        <v/>
      </c>
      <c r="D180">
        <f>IF($X180="","",INDEX(합계표[직위(요약)],$X180)&amp;"")</f>
        <v/>
      </c>
      <c r="E180">
        <f>IF($X180="","",INDEX(합계표[직급 공존],$X180)&amp;"")</f>
        <v/>
      </c>
      <c r="F180" s="20">
        <f>IF($X180="","",SUMIFS(합계표[시스템 합계],합계표[사번키],INDEX(합계표[사번키],$X180)))</f>
        <v/>
      </c>
      <c r="G180" s="20">
        <f>IF($X180="","",SUMIFS(상세표[기록 시간외],상세표[사번키],INDEX(합계표[사번키],$X180),상세표[기록월],대상월키))</f>
        <v/>
      </c>
      <c r="H180">
        <f>IF($X180="","",IF(ABS($F180-$G180)&lt;0.01,"일치","불일치(차이 "&amp;TEXT($G180-$F180,"0.00")&amp;")"))</f>
        <v/>
      </c>
      <c r="I180" s="20">
        <f>IF($X180="","",SUMIFS(상세표[기록 시간외],상세표[사번키],INDEX(합계표[사번키],$X180),상세표[기록월],대상월키,상세표[반영월],"&lt;&gt;"&amp;대상월키))</f>
        <v/>
      </c>
      <c r="J180" s="20">
        <f>IF($X180="","",SUMIFS(상세표[기록 시간외],상세표[사번키],INDEX(합계표[사번키],$X180),상세표[기록월],"&lt;&gt;"&amp;대상월키,상세표[반영월],대상월키))</f>
        <v/>
      </c>
      <c r="K180" s="20">
        <f>IF($X180="","",SUMIFS(상세표[기록 시간외],상세표[사번키],INDEX(합계표[사번키],$X180),상세표[반영월],대상월키))</f>
        <v/>
      </c>
      <c r="L180">
        <f>IF($X180="","",IFERROR(INDEX(월별근무지표[적용 급여병원],MATCH(INDEX(합계표[사번키],$X180)&amp;"|"&amp;대상월키,월별근무지표[키],0))&amp;"",IF(COUNTIF(기관표[사번키],INDEX(합계표[사번키],$X180))+COUNTIF(월별근무지표[사번키],INDEX(합계표[사번키],$X180))&gt;0,IFERROR(INDEX(기관표[급여지급병원(기준월)],MATCH(INDEX(합계표[사번키],$X180)&amp;"|"&amp;대상월키,기관표[키],0))&amp;"","—"),"—")))</f>
        <v/>
      </c>
      <c r="M180">
        <f>IF($X180="","",IF(NOT(COUNTIF(기관표[사번키],INDEX(합계표[사번키],$X180))+COUNTIF(월별근무지표[사번키],INDEX(합계표[사번키],$X180))&gt;0),"기관명단에 없음(다른 병원으로 발송)",IF($L180="서울병원","해당",IF(N($R180)&gt;0,"해당(말일 근무)",IF($L180="—","대상월 기관명단 없음(추가 필요)","비해당")))))</f>
        <v/>
      </c>
      <c r="N180" s="20">
        <f>IF($X180="","",SUMIFS(상세표[06~07시],상세표[사번키],INDEX(합계표[사번키],$X180),상세표[반영월],대상월키,상세표[반영 기관],"서울병원"))</f>
        <v/>
      </c>
      <c r="O180" s="20">
        <f>IF($X180="","",SUMIFS(상세표[07~18시],상세표[사번키],INDEX(합계표[사번키],$X180),상세표[반영월],대상월키,상세표[반영 기관],"서울병원"))</f>
        <v/>
      </c>
      <c r="P180" s="20">
        <f>IF($X180="","",SUMIFS(상세표[18~22시],상세표[사번키],INDEX(합계표[사번키],$X180),상세표[반영월],대상월키,상세표[반영 기관],"서울병원"))</f>
        <v/>
      </c>
      <c r="Q180" s="20">
        <f>IF($X180="","",SUMIFS(상세표[22~06시],상세표[사번키],INDEX(합계표[사번키],$X180),상세표[반영월],대상월키,상세표[반영 기관],"서울병원"))</f>
        <v/>
      </c>
      <c r="R180" s="20">
        <f>IF($X180="","",SUM($N180:$Q180))</f>
        <v/>
      </c>
      <c r="S180">
        <f>IF($X180="","",COUNTIFS(상세표[사번키],INDEX(합계표[사번키],$X180),상세표[반영월],대상월키,상세표[야간당직],1,상세표[야간 구분],"평일"))</f>
        <v/>
      </c>
      <c r="T180">
        <f>IF($X180="","",COUNTIFS(상세표[사번키],INDEX(합계표[사번키],$X180),상세표[반영월],대상월키,상세표[야간당직],1,상세표[야간 구분],"휴일"))</f>
        <v/>
      </c>
      <c r="U180">
        <f>IF($X180="","",COUNTIFS(상세표[사번키],INDEX(합계표[사번키],$X180),상세표[반영월],대상월키,상세표[야간당직],1,상세표[야간 구분],"평일",상세표[반영 기관],"서울병원"))</f>
        <v/>
      </c>
      <c r="V180">
        <f>IF($X180="","",COUNTIFS(상세표[사번키],INDEX(합계표[사번키],$X180),상세표[반영월],대상월키,상세표[야간당직],1,상세표[야간 구분],"휴일",상세표[반영 기관],"서울병원"))</f>
        <v/>
      </c>
      <c r="W180">
        <f>IF($X180="","",IF(ISNUMBER(MATCH(INDEX(합계표[사번키],$X180)&amp;"|"&amp;대상월키,월별근무지표[키],0)),"직접 입력",IF($L180="—","—","기관명단")))</f>
        <v/>
      </c>
      <c r="X180" s="4">
        <f>IFERROR(MATCH(175,합계표[판정순번],0),"")</f>
        <v/>
      </c>
      <c r="Z180">
        <f>IF($AC180="","",INDEX(상세표[사번],$AC180)&amp;"")</f>
        <v/>
      </c>
      <c r="AA180">
        <f>IF($AC180="","",INDEX(상세표[성명],$AC180)&amp;"")</f>
        <v/>
      </c>
      <c r="AB180" s="20">
        <f>IF($AC180="","",SUMIFS(상세표[기록 시간외],상세표[사번키],INDEX(상세표[사번키],$AC180),상세표[반영월],대상월키))</f>
        <v/>
      </c>
      <c r="AC180" s="4">
        <f>IFERROR(MATCH(175,상세표[합계없음순번],0),"")</f>
        <v/>
      </c>
    </row>
    <row r="181">
      <c r="A181">
        <f>IF($X181="","",INDEX(합계표[사번],$X181)&amp;"")</f>
        <v/>
      </c>
      <c r="B181">
        <f>IF($X181="","",INDEX(합계표[성명],$X181)&amp;"")</f>
        <v/>
      </c>
      <c r="C181">
        <f>IF($X181="","",INDEX(합계표[부서],$X181)&amp;"")</f>
        <v/>
      </c>
      <c r="D181">
        <f>IF($X181="","",INDEX(합계표[직위(요약)],$X181)&amp;"")</f>
        <v/>
      </c>
      <c r="E181">
        <f>IF($X181="","",INDEX(합계표[직급 공존],$X181)&amp;"")</f>
        <v/>
      </c>
      <c r="F181" s="20">
        <f>IF($X181="","",SUMIFS(합계표[시스템 합계],합계표[사번키],INDEX(합계표[사번키],$X181)))</f>
        <v/>
      </c>
      <c r="G181" s="20">
        <f>IF($X181="","",SUMIFS(상세표[기록 시간외],상세표[사번키],INDEX(합계표[사번키],$X181),상세표[기록월],대상월키))</f>
        <v/>
      </c>
      <c r="H181">
        <f>IF($X181="","",IF(ABS($F181-$G181)&lt;0.01,"일치","불일치(차이 "&amp;TEXT($G181-$F181,"0.00")&amp;")"))</f>
        <v/>
      </c>
      <c r="I181" s="20">
        <f>IF($X181="","",SUMIFS(상세표[기록 시간외],상세표[사번키],INDEX(합계표[사번키],$X181),상세표[기록월],대상월키,상세표[반영월],"&lt;&gt;"&amp;대상월키))</f>
        <v/>
      </c>
      <c r="J181" s="20">
        <f>IF($X181="","",SUMIFS(상세표[기록 시간외],상세표[사번키],INDEX(합계표[사번키],$X181),상세표[기록월],"&lt;&gt;"&amp;대상월키,상세표[반영월],대상월키))</f>
        <v/>
      </c>
      <c r="K181" s="20">
        <f>IF($X181="","",SUMIFS(상세표[기록 시간외],상세표[사번키],INDEX(합계표[사번키],$X181),상세표[반영월],대상월키))</f>
        <v/>
      </c>
      <c r="L181">
        <f>IF($X181="","",IFERROR(INDEX(월별근무지표[적용 급여병원],MATCH(INDEX(합계표[사번키],$X181)&amp;"|"&amp;대상월키,월별근무지표[키],0))&amp;"",IF(COUNTIF(기관표[사번키],INDEX(합계표[사번키],$X181))+COUNTIF(월별근무지표[사번키],INDEX(합계표[사번키],$X181))&gt;0,IFERROR(INDEX(기관표[급여지급병원(기준월)],MATCH(INDEX(합계표[사번키],$X181)&amp;"|"&amp;대상월키,기관표[키],0))&amp;"","—"),"—")))</f>
        <v/>
      </c>
      <c r="M181">
        <f>IF($X181="","",IF(NOT(COUNTIF(기관표[사번키],INDEX(합계표[사번키],$X181))+COUNTIF(월별근무지표[사번키],INDEX(합계표[사번키],$X181))&gt;0),"기관명단에 없음(다른 병원으로 발송)",IF($L181="서울병원","해당",IF(N($R181)&gt;0,"해당(말일 근무)",IF($L181="—","대상월 기관명단 없음(추가 필요)","비해당")))))</f>
        <v/>
      </c>
      <c r="N181" s="20">
        <f>IF($X181="","",SUMIFS(상세표[06~07시],상세표[사번키],INDEX(합계표[사번키],$X181),상세표[반영월],대상월키,상세표[반영 기관],"서울병원"))</f>
        <v/>
      </c>
      <c r="O181" s="20">
        <f>IF($X181="","",SUMIFS(상세표[07~18시],상세표[사번키],INDEX(합계표[사번키],$X181),상세표[반영월],대상월키,상세표[반영 기관],"서울병원"))</f>
        <v/>
      </c>
      <c r="P181" s="20">
        <f>IF($X181="","",SUMIFS(상세표[18~22시],상세표[사번키],INDEX(합계표[사번키],$X181),상세표[반영월],대상월키,상세표[반영 기관],"서울병원"))</f>
        <v/>
      </c>
      <c r="Q181" s="20">
        <f>IF($X181="","",SUMIFS(상세표[22~06시],상세표[사번키],INDEX(합계표[사번키],$X181),상세표[반영월],대상월키,상세표[반영 기관],"서울병원"))</f>
        <v/>
      </c>
      <c r="R181" s="20">
        <f>IF($X181="","",SUM($N181:$Q181))</f>
        <v/>
      </c>
      <c r="S181">
        <f>IF($X181="","",COUNTIFS(상세표[사번키],INDEX(합계표[사번키],$X181),상세표[반영월],대상월키,상세표[야간당직],1,상세표[야간 구분],"평일"))</f>
        <v/>
      </c>
      <c r="T181">
        <f>IF($X181="","",COUNTIFS(상세표[사번키],INDEX(합계표[사번키],$X181),상세표[반영월],대상월키,상세표[야간당직],1,상세표[야간 구분],"휴일"))</f>
        <v/>
      </c>
      <c r="U181">
        <f>IF($X181="","",COUNTIFS(상세표[사번키],INDEX(합계표[사번키],$X181),상세표[반영월],대상월키,상세표[야간당직],1,상세표[야간 구분],"평일",상세표[반영 기관],"서울병원"))</f>
        <v/>
      </c>
      <c r="V181">
        <f>IF($X181="","",COUNTIFS(상세표[사번키],INDEX(합계표[사번키],$X181),상세표[반영월],대상월키,상세표[야간당직],1,상세표[야간 구분],"휴일",상세표[반영 기관],"서울병원"))</f>
        <v/>
      </c>
      <c r="W181">
        <f>IF($X181="","",IF(ISNUMBER(MATCH(INDEX(합계표[사번키],$X181)&amp;"|"&amp;대상월키,월별근무지표[키],0)),"직접 입력",IF($L181="—","—","기관명단")))</f>
        <v/>
      </c>
      <c r="X181" s="4">
        <f>IFERROR(MATCH(176,합계표[판정순번],0),"")</f>
        <v/>
      </c>
      <c r="Z181">
        <f>IF($AC181="","",INDEX(상세표[사번],$AC181)&amp;"")</f>
        <v/>
      </c>
      <c r="AA181">
        <f>IF($AC181="","",INDEX(상세표[성명],$AC181)&amp;"")</f>
        <v/>
      </c>
      <c r="AB181" s="20">
        <f>IF($AC181="","",SUMIFS(상세표[기록 시간외],상세표[사번키],INDEX(상세표[사번키],$AC181),상세표[반영월],대상월키))</f>
        <v/>
      </c>
      <c r="AC181" s="4">
        <f>IFERROR(MATCH(176,상세표[합계없음순번],0),"")</f>
        <v/>
      </c>
    </row>
    <row r="182">
      <c r="A182">
        <f>IF($X182="","",INDEX(합계표[사번],$X182)&amp;"")</f>
        <v/>
      </c>
      <c r="B182">
        <f>IF($X182="","",INDEX(합계표[성명],$X182)&amp;"")</f>
        <v/>
      </c>
      <c r="C182">
        <f>IF($X182="","",INDEX(합계표[부서],$X182)&amp;"")</f>
        <v/>
      </c>
      <c r="D182">
        <f>IF($X182="","",INDEX(합계표[직위(요약)],$X182)&amp;"")</f>
        <v/>
      </c>
      <c r="E182">
        <f>IF($X182="","",INDEX(합계표[직급 공존],$X182)&amp;"")</f>
        <v/>
      </c>
      <c r="F182" s="20">
        <f>IF($X182="","",SUMIFS(합계표[시스템 합계],합계표[사번키],INDEX(합계표[사번키],$X182)))</f>
        <v/>
      </c>
      <c r="G182" s="20">
        <f>IF($X182="","",SUMIFS(상세표[기록 시간외],상세표[사번키],INDEX(합계표[사번키],$X182),상세표[기록월],대상월키))</f>
        <v/>
      </c>
      <c r="H182">
        <f>IF($X182="","",IF(ABS($F182-$G182)&lt;0.01,"일치","불일치(차이 "&amp;TEXT($G182-$F182,"0.00")&amp;")"))</f>
        <v/>
      </c>
      <c r="I182" s="20">
        <f>IF($X182="","",SUMIFS(상세표[기록 시간외],상세표[사번키],INDEX(합계표[사번키],$X182),상세표[기록월],대상월키,상세표[반영월],"&lt;&gt;"&amp;대상월키))</f>
        <v/>
      </c>
      <c r="J182" s="20">
        <f>IF($X182="","",SUMIFS(상세표[기록 시간외],상세표[사번키],INDEX(합계표[사번키],$X182),상세표[기록월],"&lt;&gt;"&amp;대상월키,상세표[반영월],대상월키))</f>
        <v/>
      </c>
      <c r="K182" s="20">
        <f>IF($X182="","",SUMIFS(상세표[기록 시간외],상세표[사번키],INDEX(합계표[사번키],$X182),상세표[반영월],대상월키))</f>
        <v/>
      </c>
      <c r="L182">
        <f>IF($X182="","",IFERROR(INDEX(월별근무지표[적용 급여병원],MATCH(INDEX(합계표[사번키],$X182)&amp;"|"&amp;대상월키,월별근무지표[키],0))&amp;"",IF(COUNTIF(기관표[사번키],INDEX(합계표[사번키],$X182))+COUNTIF(월별근무지표[사번키],INDEX(합계표[사번키],$X182))&gt;0,IFERROR(INDEX(기관표[급여지급병원(기준월)],MATCH(INDEX(합계표[사번키],$X182)&amp;"|"&amp;대상월키,기관표[키],0))&amp;"","—"),"—")))</f>
        <v/>
      </c>
      <c r="M182">
        <f>IF($X182="","",IF(NOT(COUNTIF(기관표[사번키],INDEX(합계표[사번키],$X182))+COUNTIF(월별근무지표[사번키],INDEX(합계표[사번키],$X182))&gt;0),"기관명단에 없음(다른 병원으로 발송)",IF($L182="서울병원","해당",IF(N($R182)&gt;0,"해당(말일 근무)",IF($L182="—","대상월 기관명단 없음(추가 필요)","비해당")))))</f>
        <v/>
      </c>
      <c r="N182" s="20">
        <f>IF($X182="","",SUMIFS(상세표[06~07시],상세표[사번키],INDEX(합계표[사번키],$X182),상세표[반영월],대상월키,상세표[반영 기관],"서울병원"))</f>
        <v/>
      </c>
      <c r="O182" s="20">
        <f>IF($X182="","",SUMIFS(상세표[07~18시],상세표[사번키],INDEX(합계표[사번키],$X182),상세표[반영월],대상월키,상세표[반영 기관],"서울병원"))</f>
        <v/>
      </c>
      <c r="P182" s="20">
        <f>IF($X182="","",SUMIFS(상세표[18~22시],상세표[사번키],INDEX(합계표[사번키],$X182),상세표[반영월],대상월키,상세표[반영 기관],"서울병원"))</f>
        <v/>
      </c>
      <c r="Q182" s="20">
        <f>IF($X182="","",SUMIFS(상세표[22~06시],상세표[사번키],INDEX(합계표[사번키],$X182),상세표[반영월],대상월키,상세표[반영 기관],"서울병원"))</f>
        <v/>
      </c>
      <c r="R182" s="20">
        <f>IF($X182="","",SUM($N182:$Q182))</f>
        <v/>
      </c>
      <c r="S182">
        <f>IF($X182="","",COUNTIFS(상세표[사번키],INDEX(합계표[사번키],$X182),상세표[반영월],대상월키,상세표[야간당직],1,상세표[야간 구분],"평일"))</f>
        <v/>
      </c>
      <c r="T182">
        <f>IF($X182="","",COUNTIFS(상세표[사번키],INDEX(합계표[사번키],$X182),상세표[반영월],대상월키,상세표[야간당직],1,상세표[야간 구분],"휴일"))</f>
        <v/>
      </c>
      <c r="U182">
        <f>IF($X182="","",COUNTIFS(상세표[사번키],INDEX(합계표[사번키],$X182),상세표[반영월],대상월키,상세표[야간당직],1,상세표[야간 구분],"평일",상세표[반영 기관],"서울병원"))</f>
        <v/>
      </c>
      <c r="V182">
        <f>IF($X182="","",COUNTIFS(상세표[사번키],INDEX(합계표[사번키],$X182),상세표[반영월],대상월키,상세표[야간당직],1,상세표[야간 구분],"휴일",상세표[반영 기관],"서울병원"))</f>
        <v/>
      </c>
      <c r="W182">
        <f>IF($X182="","",IF(ISNUMBER(MATCH(INDEX(합계표[사번키],$X182)&amp;"|"&amp;대상월키,월별근무지표[키],0)),"직접 입력",IF($L182="—","—","기관명단")))</f>
        <v/>
      </c>
      <c r="X182" s="4">
        <f>IFERROR(MATCH(177,합계표[판정순번],0),"")</f>
        <v/>
      </c>
      <c r="Z182">
        <f>IF($AC182="","",INDEX(상세표[사번],$AC182)&amp;"")</f>
        <v/>
      </c>
      <c r="AA182">
        <f>IF($AC182="","",INDEX(상세표[성명],$AC182)&amp;"")</f>
        <v/>
      </c>
      <c r="AB182" s="20">
        <f>IF($AC182="","",SUMIFS(상세표[기록 시간외],상세표[사번키],INDEX(상세표[사번키],$AC182),상세표[반영월],대상월키))</f>
        <v/>
      </c>
      <c r="AC182" s="4">
        <f>IFERROR(MATCH(177,상세표[합계없음순번],0),"")</f>
        <v/>
      </c>
    </row>
    <row r="183">
      <c r="A183">
        <f>IF($X183="","",INDEX(합계표[사번],$X183)&amp;"")</f>
        <v/>
      </c>
      <c r="B183">
        <f>IF($X183="","",INDEX(합계표[성명],$X183)&amp;"")</f>
        <v/>
      </c>
      <c r="C183">
        <f>IF($X183="","",INDEX(합계표[부서],$X183)&amp;"")</f>
        <v/>
      </c>
      <c r="D183">
        <f>IF($X183="","",INDEX(합계표[직위(요약)],$X183)&amp;"")</f>
        <v/>
      </c>
      <c r="E183">
        <f>IF($X183="","",INDEX(합계표[직급 공존],$X183)&amp;"")</f>
        <v/>
      </c>
      <c r="F183" s="20">
        <f>IF($X183="","",SUMIFS(합계표[시스템 합계],합계표[사번키],INDEX(합계표[사번키],$X183)))</f>
        <v/>
      </c>
      <c r="G183" s="20">
        <f>IF($X183="","",SUMIFS(상세표[기록 시간외],상세표[사번키],INDEX(합계표[사번키],$X183),상세표[기록월],대상월키))</f>
        <v/>
      </c>
      <c r="H183">
        <f>IF($X183="","",IF(ABS($F183-$G183)&lt;0.01,"일치","불일치(차이 "&amp;TEXT($G183-$F183,"0.00")&amp;")"))</f>
        <v/>
      </c>
      <c r="I183" s="20">
        <f>IF($X183="","",SUMIFS(상세표[기록 시간외],상세표[사번키],INDEX(합계표[사번키],$X183),상세표[기록월],대상월키,상세표[반영월],"&lt;&gt;"&amp;대상월키))</f>
        <v/>
      </c>
      <c r="J183" s="20">
        <f>IF($X183="","",SUMIFS(상세표[기록 시간외],상세표[사번키],INDEX(합계표[사번키],$X183),상세표[기록월],"&lt;&gt;"&amp;대상월키,상세표[반영월],대상월키))</f>
        <v/>
      </c>
      <c r="K183" s="20">
        <f>IF($X183="","",SUMIFS(상세표[기록 시간외],상세표[사번키],INDEX(합계표[사번키],$X183),상세표[반영월],대상월키))</f>
        <v/>
      </c>
      <c r="L183">
        <f>IF($X183="","",IFERROR(INDEX(월별근무지표[적용 급여병원],MATCH(INDEX(합계표[사번키],$X183)&amp;"|"&amp;대상월키,월별근무지표[키],0))&amp;"",IF(COUNTIF(기관표[사번키],INDEX(합계표[사번키],$X183))+COUNTIF(월별근무지표[사번키],INDEX(합계표[사번키],$X183))&gt;0,IFERROR(INDEX(기관표[급여지급병원(기준월)],MATCH(INDEX(합계표[사번키],$X183)&amp;"|"&amp;대상월키,기관표[키],0))&amp;"","—"),"—")))</f>
        <v/>
      </c>
      <c r="M183">
        <f>IF($X183="","",IF(NOT(COUNTIF(기관표[사번키],INDEX(합계표[사번키],$X183))+COUNTIF(월별근무지표[사번키],INDEX(합계표[사번키],$X183))&gt;0),"기관명단에 없음(다른 병원으로 발송)",IF($L183="서울병원","해당",IF(N($R183)&gt;0,"해당(말일 근무)",IF($L183="—","대상월 기관명단 없음(추가 필요)","비해당")))))</f>
        <v/>
      </c>
      <c r="N183" s="20">
        <f>IF($X183="","",SUMIFS(상세표[06~07시],상세표[사번키],INDEX(합계표[사번키],$X183),상세표[반영월],대상월키,상세표[반영 기관],"서울병원"))</f>
        <v/>
      </c>
      <c r="O183" s="20">
        <f>IF($X183="","",SUMIFS(상세표[07~18시],상세표[사번키],INDEX(합계표[사번키],$X183),상세표[반영월],대상월키,상세표[반영 기관],"서울병원"))</f>
        <v/>
      </c>
      <c r="P183" s="20">
        <f>IF($X183="","",SUMIFS(상세표[18~22시],상세표[사번키],INDEX(합계표[사번키],$X183),상세표[반영월],대상월키,상세표[반영 기관],"서울병원"))</f>
        <v/>
      </c>
      <c r="Q183" s="20">
        <f>IF($X183="","",SUMIFS(상세표[22~06시],상세표[사번키],INDEX(합계표[사번키],$X183),상세표[반영월],대상월키,상세표[반영 기관],"서울병원"))</f>
        <v/>
      </c>
      <c r="R183" s="20">
        <f>IF($X183="","",SUM($N183:$Q183))</f>
        <v/>
      </c>
      <c r="S183">
        <f>IF($X183="","",COUNTIFS(상세표[사번키],INDEX(합계표[사번키],$X183),상세표[반영월],대상월키,상세표[야간당직],1,상세표[야간 구분],"평일"))</f>
        <v/>
      </c>
      <c r="T183">
        <f>IF($X183="","",COUNTIFS(상세표[사번키],INDEX(합계표[사번키],$X183),상세표[반영월],대상월키,상세표[야간당직],1,상세표[야간 구분],"휴일"))</f>
        <v/>
      </c>
      <c r="U183">
        <f>IF($X183="","",COUNTIFS(상세표[사번키],INDEX(합계표[사번키],$X183),상세표[반영월],대상월키,상세표[야간당직],1,상세표[야간 구분],"평일",상세표[반영 기관],"서울병원"))</f>
        <v/>
      </c>
      <c r="V183">
        <f>IF($X183="","",COUNTIFS(상세표[사번키],INDEX(합계표[사번키],$X183),상세표[반영월],대상월키,상세표[야간당직],1,상세표[야간 구분],"휴일",상세표[반영 기관],"서울병원"))</f>
        <v/>
      </c>
      <c r="W183">
        <f>IF($X183="","",IF(ISNUMBER(MATCH(INDEX(합계표[사번키],$X183)&amp;"|"&amp;대상월키,월별근무지표[키],0)),"직접 입력",IF($L183="—","—","기관명단")))</f>
        <v/>
      </c>
      <c r="X183" s="4">
        <f>IFERROR(MATCH(178,합계표[판정순번],0),"")</f>
        <v/>
      </c>
      <c r="Z183">
        <f>IF($AC183="","",INDEX(상세표[사번],$AC183)&amp;"")</f>
        <v/>
      </c>
      <c r="AA183">
        <f>IF($AC183="","",INDEX(상세표[성명],$AC183)&amp;"")</f>
        <v/>
      </c>
      <c r="AB183" s="20">
        <f>IF($AC183="","",SUMIFS(상세표[기록 시간외],상세표[사번키],INDEX(상세표[사번키],$AC183),상세표[반영월],대상월키))</f>
        <v/>
      </c>
      <c r="AC183" s="4">
        <f>IFERROR(MATCH(178,상세표[합계없음순번],0),"")</f>
        <v/>
      </c>
    </row>
    <row r="184">
      <c r="A184">
        <f>IF($X184="","",INDEX(합계표[사번],$X184)&amp;"")</f>
        <v/>
      </c>
      <c r="B184">
        <f>IF($X184="","",INDEX(합계표[성명],$X184)&amp;"")</f>
        <v/>
      </c>
      <c r="C184">
        <f>IF($X184="","",INDEX(합계표[부서],$X184)&amp;"")</f>
        <v/>
      </c>
      <c r="D184">
        <f>IF($X184="","",INDEX(합계표[직위(요약)],$X184)&amp;"")</f>
        <v/>
      </c>
      <c r="E184">
        <f>IF($X184="","",INDEX(합계표[직급 공존],$X184)&amp;"")</f>
        <v/>
      </c>
      <c r="F184" s="20">
        <f>IF($X184="","",SUMIFS(합계표[시스템 합계],합계표[사번키],INDEX(합계표[사번키],$X184)))</f>
        <v/>
      </c>
      <c r="G184" s="20">
        <f>IF($X184="","",SUMIFS(상세표[기록 시간외],상세표[사번키],INDEX(합계표[사번키],$X184),상세표[기록월],대상월키))</f>
        <v/>
      </c>
      <c r="H184">
        <f>IF($X184="","",IF(ABS($F184-$G184)&lt;0.01,"일치","불일치(차이 "&amp;TEXT($G184-$F184,"0.00")&amp;")"))</f>
        <v/>
      </c>
      <c r="I184" s="20">
        <f>IF($X184="","",SUMIFS(상세표[기록 시간외],상세표[사번키],INDEX(합계표[사번키],$X184),상세표[기록월],대상월키,상세표[반영월],"&lt;&gt;"&amp;대상월키))</f>
        <v/>
      </c>
      <c r="J184" s="20">
        <f>IF($X184="","",SUMIFS(상세표[기록 시간외],상세표[사번키],INDEX(합계표[사번키],$X184),상세표[기록월],"&lt;&gt;"&amp;대상월키,상세표[반영월],대상월키))</f>
        <v/>
      </c>
      <c r="K184" s="20">
        <f>IF($X184="","",SUMIFS(상세표[기록 시간외],상세표[사번키],INDEX(합계표[사번키],$X184),상세표[반영월],대상월키))</f>
        <v/>
      </c>
      <c r="L184">
        <f>IF($X184="","",IFERROR(INDEX(월별근무지표[적용 급여병원],MATCH(INDEX(합계표[사번키],$X184)&amp;"|"&amp;대상월키,월별근무지표[키],0))&amp;"",IF(COUNTIF(기관표[사번키],INDEX(합계표[사번키],$X184))+COUNTIF(월별근무지표[사번키],INDEX(합계표[사번키],$X184))&gt;0,IFERROR(INDEX(기관표[급여지급병원(기준월)],MATCH(INDEX(합계표[사번키],$X184)&amp;"|"&amp;대상월키,기관표[키],0))&amp;"","—"),"—")))</f>
        <v/>
      </c>
      <c r="M184">
        <f>IF($X184="","",IF(NOT(COUNTIF(기관표[사번키],INDEX(합계표[사번키],$X184))+COUNTIF(월별근무지표[사번키],INDEX(합계표[사번키],$X184))&gt;0),"기관명단에 없음(다른 병원으로 발송)",IF($L184="서울병원","해당",IF(N($R184)&gt;0,"해당(말일 근무)",IF($L184="—","대상월 기관명단 없음(추가 필요)","비해당")))))</f>
        <v/>
      </c>
      <c r="N184" s="20">
        <f>IF($X184="","",SUMIFS(상세표[06~07시],상세표[사번키],INDEX(합계표[사번키],$X184),상세표[반영월],대상월키,상세표[반영 기관],"서울병원"))</f>
        <v/>
      </c>
      <c r="O184" s="20">
        <f>IF($X184="","",SUMIFS(상세표[07~18시],상세표[사번키],INDEX(합계표[사번키],$X184),상세표[반영월],대상월키,상세표[반영 기관],"서울병원"))</f>
        <v/>
      </c>
      <c r="P184" s="20">
        <f>IF($X184="","",SUMIFS(상세표[18~22시],상세표[사번키],INDEX(합계표[사번키],$X184),상세표[반영월],대상월키,상세표[반영 기관],"서울병원"))</f>
        <v/>
      </c>
      <c r="Q184" s="20">
        <f>IF($X184="","",SUMIFS(상세표[22~06시],상세표[사번키],INDEX(합계표[사번키],$X184),상세표[반영월],대상월키,상세표[반영 기관],"서울병원"))</f>
        <v/>
      </c>
      <c r="R184" s="20">
        <f>IF($X184="","",SUM($N184:$Q184))</f>
        <v/>
      </c>
      <c r="S184">
        <f>IF($X184="","",COUNTIFS(상세표[사번키],INDEX(합계표[사번키],$X184),상세표[반영월],대상월키,상세표[야간당직],1,상세표[야간 구분],"평일"))</f>
        <v/>
      </c>
      <c r="T184">
        <f>IF($X184="","",COUNTIFS(상세표[사번키],INDEX(합계표[사번키],$X184),상세표[반영월],대상월키,상세표[야간당직],1,상세표[야간 구분],"휴일"))</f>
        <v/>
      </c>
      <c r="U184">
        <f>IF($X184="","",COUNTIFS(상세표[사번키],INDEX(합계표[사번키],$X184),상세표[반영월],대상월키,상세표[야간당직],1,상세표[야간 구분],"평일",상세표[반영 기관],"서울병원"))</f>
        <v/>
      </c>
      <c r="V184">
        <f>IF($X184="","",COUNTIFS(상세표[사번키],INDEX(합계표[사번키],$X184),상세표[반영월],대상월키,상세표[야간당직],1,상세표[야간 구분],"휴일",상세표[반영 기관],"서울병원"))</f>
        <v/>
      </c>
      <c r="W184">
        <f>IF($X184="","",IF(ISNUMBER(MATCH(INDEX(합계표[사번키],$X184)&amp;"|"&amp;대상월키,월별근무지표[키],0)),"직접 입력",IF($L184="—","—","기관명단")))</f>
        <v/>
      </c>
      <c r="X184" s="4">
        <f>IFERROR(MATCH(179,합계표[판정순번],0),"")</f>
        <v/>
      </c>
      <c r="Z184">
        <f>IF($AC184="","",INDEX(상세표[사번],$AC184)&amp;"")</f>
        <v/>
      </c>
      <c r="AA184">
        <f>IF($AC184="","",INDEX(상세표[성명],$AC184)&amp;"")</f>
        <v/>
      </c>
      <c r="AB184" s="20">
        <f>IF($AC184="","",SUMIFS(상세표[기록 시간외],상세표[사번키],INDEX(상세표[사번키],$AC184),상세표[반영월],대상월키))</f>
        <v/>
      </c>
      <c r="AC184" s="4">
        <f>IFERROR(MATCH(179,상세표[합계없음순번],0),"")</f>
        <v/>
      </c>
    </row>
    <row r="185">
      <c r="A185">
        <f>IF($X185="","",INDEX(합계표[사번],$X185)&amp;"")</f>
        <v/>
      </c>
      <c r="B185">
        <f>IF($X185="","",INDEX(합계표[성명],$X185)&amp;"")</f>
        <v/>
      </c>
      <c r="C185">
        <f>IF($X185="","",INDEX(합계표[부서],$X185)&amp;"")</f>
        <v/>
      </c>
      <c r="D185">
        <f>IF($X185="","",INDEX(합계표[직위(요약)],$X185)&amp;"")</f>
        <v/>
      </c>
      <c r="E185">
        <f>IF($X185="","",INDEX(합계표[직급 공존],$X185)&amp;"")</f>
        <v/>
      </c>
      <c r="F185" s="20">
        <f>IF($X185="","",SUMIFS(합계표[시스템 합계],합계표[사번키],INDEX(합계표[사번키],$X185)))</f>
        <v/>
      </c>
      <c r="G185" s="20">
        <f>IF($X185="","",SUMIFS(상세표[기록 시간외],상세표[사번키],INDEX(합계표[사번키],$X185),상세표[기록월],대상월키))</f>
        <v/>
      </c>
      <c r="H185">
        <f>IF($X185="","",IF(ABS($F185-$G185)&lt;0.01,"일치","불일치(차이 "&amp;TEXT($G185-$F185,"0.00")&amp;")"))</f>
        <v/>
      </c>
      <c r="I185" s="20">
        <f>IF($X185="","",SUMIFS(상세표[기록 시간외],상세표[사번키],INDEX(합계표[사번키],$X185),상세표[기록월],대상월키,상세표[반영월],"&lt;&gt;"&amp;대상월키))</f>
        <v/>
      </c>
      <c r="J185" s="20">
        <f>IF($X185="","",SUMIFS(상세표[기록 시간외],상세표[사번키],INDEX(합계표[사번키],$X185),상세표[기록월],"&lt;&gt;"&amp;대상월키,상세표[반영월],대상월키))</f>
        <v/>
      </c>
      <c r="K185" s="20">
        <f>IF($X185="","",SUMIFS(상세표[기록 시간외],상세표[사번키],INDEX(합계표[사번키],$X185),상세표[반영월],대상월키))</f>
        <v/>
      </c>
      <c r="L185">
        <f>IF($X185="","",IFERROR(INDEX(월별근무지표[적용 급여병원],MATCH(INDEX(합계표[사번키],$X185)&amp;"|"&amp;대상월키,월별근무지표[키],0))&amp;"",IF(COUNTIF(기관표[사번키],INDEX(합계표[사번키],$X185))+COUNTIF(월별근무지표[사번키],INDEX(합계표[사번키],$X185))&gt;0,IFERROR(INDEX(기관표[급여지급병원(기준월)],MATCH(INDEX(합계표[사번키],$X185)&amp;"|"&amp;대상월키,기관표[키],0))&amp;"","—"),"—")))</f>
        <v/>
      </c>
      <c r="M185">
        <f>IF($X185="","",IF(NOT(COUNTIF(기관표[사번키],INDEX(합계표[사번키],$X185))+COUNTIF(월별근무지표[사번키],INDEX(합계표[사번키],$X185))&gt;0),"기관명단에 없음(다른 병원으로 발송)",IF($L185="서울병원","해당",IF(N($R185)&gt;0,"해당(말일 근무)",IF($L185="—","대상월 기관명단 없음(추가 필요)","비해당")))))</f>
        <v/>
      </c>
      <c r="N185" s="20">
        <f>IF($X185="","",SUMIFS(상세표[06~07시],상세표[사번키],INDEX(합계표[사번키],$X185),상세표[반영월],대상월키,상세표[반영 기관],"서울병원"))</f>
        <v/>
      </c>
      <c r="O185" s="20">
        <f>IF($X185="","",SUMIFS(상세표[07~18시],상세표[사번키],INDEX(합계표[사번키],$X185),상세표[반영월],대상월키,상세표[반영 기관],"서울병원"))</f>
        <v/>
      </c>
      <c r="P185" s="20">
        <f>IF($X185="","",SUMIFS(상세표[18~22시],상세표[사번키],INDEX(합계표[사번키],$X185),상세표[반영월],대상월키,상세표[반영 기관],"서울병원"))</f>
        <v/>
      </c>
      <c r="Q185" s="20">
        <f>IF($X185="","",SUMIFS(상세표[22~06시],상세표[사번키],INDEX(합계표[사번키],$X185),상세표[반영월],대상월키,상세표[반영 기관],"서울병원"))</f>
        <v/>
      </c>
      <c r="R185" s="20">
        <f>IF($X185="","",SUM($N185:$Q185))</f>
        <v/>
      </c>
      <c r="S185">
        <f>IF($X185="","",COUNTIFS(상세표[사번키],INDEX(합계표[사번키],$X185),상세표[반영월],대상월키,상세표[야간당직],1,상세표[야간 구분],"평일"))</f>
        <v/>
      </c>
      <c r="T185">
        <f>IF($X185="","",COUNTIFS(상세표[사번키],INDEX(합계표[사번키],$X185),상세표[반영월],대상월키,상세표[야간당직],1,상세표[야간 구분],"휴일"))</f>
        <v/>
      </c>
      <c r="U185">
        <f>IF($X185="","",COUNTIFS(상세표[사번키],INDEX(합계표[사번키],$X185),상세표[반영월],대상월키,상세표[야간당직],1,상세표[야간 구분],"평일",상세표[반영 기관],"서울병원"))</f>
        <v/>
      </c>
      <c r="V185">
        <f>IF($X185="","",COUNTIFS(상세표[사번키],INDEX(합계표[사번키],$X185),상세표[반영월],대상월키,상세표[야간당직],1,상세표[야간 구분],"휴일",상세표[반영 기관],"서울병원"))</f>
        <v/>
      </c>
      <c r="W185">
        <f>IF($X185="","",IF(ISNUMBER(MATCH(INDEX(합계표[사번키],$X185)&amp;"|"&amp;대상월키,월별근무지표[키],0)),"직접 입력",IF($L185="—","—","기관명단")))</f>
        <v/>
      </c>
      <c r="X185" s="4">
        <f>IFERROR(MATCH(180,합계표[판정순번],0),"")</f>
        <v/>
      </c>
      <c r="Z185">
        <f>IF($AC185="","",INDEX(상세표[사번],$AC185)&amp;"")</f>
        <v/>
      </c>
      <c r="AA185">
        <f>IF($AC185="","",INDEX(상세표[성명],$AC185)&amp;"")</f>
        <v/>
      </c>
      <c r="AB185" s="20">
        <f>IF($AC185="","",SUMIFS(상세표[기록 시간외],상세표[사번키],INDEX(상세표[사번키],$AC185),상세표[반영월],대상월키))</f>
        <v/>
      </c>
      <c r="AC185" s="4">
        <f>IFERROR(MATCH(180,상세표[합계없음순번],0),"")</f>
        <v/>
      </c>
    </row>
    <row r="186">
      <c r="A186">
        <f>IF($X186="","",INDEX(합계표[사번],$X186)&amp;"")</f>
        <v/>
      </c>
      <c r="B186">
        <f>IF($X186="","",INDEX(합계표[성명],$X186)&amp;"")</f>
        <v/>
      </c>
      <c r="C186">
        <f>IF($X186="","",INDEX(합계표[부서],$X186)&amp;"")</f>
        <v/>
      </c>
      <c r="D186">
        <f>IF($X186="","",INDEX(합계표[직위(요약)],$X186)&amp;"")</f>
        <v/>
      </c>
      <c r="E186">
        <f>IF($X186="","",INDEX(합계표[직급 공존],$X186)&amp;"")</f>
        <v/>
      </c>
      <c r="F186" s="20">
        <f>IF($X186="","",SUMIFS(합계표[시스템 합계],합계표[사번키],INDEX(합계표[사번키],$X186)))</f>
        <v/>
      </c>
      <c r="G186" s="20">
        <f>IF($X186="","",SUMIFS(상세표[기록 시간외],상세표[사번키],INDEX(합계표[사번키],$X186),상세표[기록월],대상월키))</f>
        <v/>
      </c>
      <c r="H186">
        <f>IF($X186="","",IF(ABS($F186-$G186)&lt;0.01,"일치","불일치(차이 "&amp;TEXT($G186-$F186,"0.00")&amp;")"))</f>
        <v/>
      </c>
      <c r="I186" s="20">
        <f>IF($X186="","",SUMIFS(상세표[기록 시간외],상세표[사번키],INDEX(합계표[사번키],$X186),상세표[기록월],대상월키,상세표[반영월],"&lt;&gt;"&amp;대상월키))</f>
        <v/>
      </c>
      <c r="J186" s="20">
        <f>IF($X186="","",SUMIFS(상세표[기록 시간외],상세표[사번키],INDEX(합계표[사번키],$X186),상세표[기록월],"&lt;&gt;"&amp;대상월키,상세표[반영월],대상월키))</f>
        <v/>
      </c>
      <c r="K186" s="20">
        <f>IF($X186="","",SUMIFS(상세표[기록 시간외],상세표[사번키],INDEX(합계표[사번키],$X186),상세표[반영월],대상월키))</f>
        <v/>
      </c>
      <c r="L186">
        <f>IF($X186="","",IFERROR(INDEX(월별근무지표[적용 급여병원],MATCH(INDEX(합계표[사번키],$X186)&amp;"|"&amp;대상월키,월별근무지표[키],0))&amp;"",IF(COUNTIF(기관표[사번키],INDEX(합계표[사번키],$X186))+COUNTIF(월별근무지표[사번키],INDEX(합계표[사번키],$X186))&gt;0,IFERROR(INDEX(기관표[급여지급병원(기준월)],MATCH(INDEX(합계표[사번키],$X186)&amp;"|"&amp;대상월키,기관표[키],0))&amp;"","—"),"—")))</f>
        <v/>
      </c>
      <c r="M186">
        <f>IF($X186="","",IF(NOT(COUNTIF(기관표[사번키],INDEX(합계표[사번키],$X186))+COUNTIF(월별근무지표[사번키],INDEX(합계표[사번키],$X186))&gt;0),"기관명단에 없음(다른 병원으로 발송)",IF($L186="서울병원","해당",IF(N($R186)&gt;0,"해당(말일 근무)",IF($L186="—","대상월 기관명단 없음(추가 필요)","비해당")))))</f>
        <v/>
      </c>
      <c r="N186" s="20">
        <f>IF($X186="","",SUMIFS(상세표[06~07시],상세표[사번키],INDEX(합계표[사번키],$X186),상세표[반영월],대상월키,상세표[반영 기관],"서울병원"))</f>
        <v/>
      </c>
      <c r="O186" s="20">
        <f>IF($X186="","",SUMIFS(상세표[07~18시],상세표[사번키],INDEX(합계표[사번키],$X186),상세표[반영월],대상월키,상세표[반영 기관],"서울병원"))</f>
        <v/>
      </c>
      <c r="P186" s="20">
        <f>IF($X186="","",SUMIFS(상세표[18~22시],상세표[사번키],INDEX(합계표[사번키],$X186),상세표[반영월],대상월키,상세표[반영 기관],"서울병원"))</f>
        <v/>
      </c>
      <c r="Q186" s="20">
        <f>IF($X186="","",SUMIFS(상세표[22~06시],상세표[사번키],INDEX(합계표[사번키],$X186),상세표[반영월],대상월키,상세표[반영 기관],"서울병원"))</f>
        <v/>
      </c>
      <c r="R186" s="20">
        <f>IF($X186="","",SUM($N186:$Q186))</f>
        <v/>
      </c>
      <c r="S186">
        <f>IF($X186="","",COUNTIFS(상세표[사번키],INDEX(합계표[사번키],$X186),상세표[반영월],대상월키,상세표[야간당직],1,상세표[야간 구분],"평일"))</f>
        <v/>
      </c>
      <c r="T186">
        <f>IF($X186="","",COUNTIFS(상세표[사번키],INDEX(합계표[사번키],$X186),상세표[반영월],대상월키,상세표[야간당직],1,상세표[야간 구분],"휴일"))</f>
        <v/>
      </c>
      <c r="U186">
        <f>IF($X186="","",COUNTIFS(상세표[사번키],INDEX(합계표[사번키],$X186),상세표[반영월],대상월키,상세표[야간당직],1,상세표[야간 구분],"평일",상세표[반영 기관],"서울병원"))</f>
        <v/>
      </c>
      <c r="V186">
        <f>IF($X186="","",COUNTIFS(상세표[사번키],INDEX(합계표[사번키],$X186),상세표[반영월],대상월키,상세표[야간당직],1,상세표[야간 구분],"휴일",상세표[반영 기관],"서울병원"))</f>
        <v/>
      </c>
      <c r="W186">
        <f>IF($X186="","",IF(ISNUMBER(MATCH(INDEX(합계표[사번키],$X186)&amp;"|"&amp;대상월키,월별근무지표[키],0)),"직접 입력",IF($L186="—","—","기관명단")))</f>
        <v/>
      </c>
      <c r="X186" s="4">
        <f>IFERROR(MATCH(181,합계표[판정순번],0),"")</f>
        <v/>
      </c>
      <c r="Z186">
        <f>IF($AC186="","",INDEX(상세표[사번],$AC186)&amp;"")</f>
        <v/>
      </c>
      <c r="AA186">
        <f>IF($AC186="","",INDEX(상세표[성명],$AC186)&amp;"")</f>
        <v/>
      </c>
      <c r="AB186" s="20">
        <f>IF($AC186="","",SUMIFS(상세표[기록 시간외],상세표[사번키],INDEX(상세표[사번키],$AC186),상세표[반영월],대상월키))</f>
        <v/>
      </c>
      <c r="AC186" s="4">
        <f>IFERROR(MATCH(181,상세표[합계없음순번],0),"")</f>
        <v/>
      </c>
    </row>
    <row r="187">
      <c r="A187">
        <f>IF($X187="","",INDEX(합계표[사번],$X187)&amp;"")</f>
        <v/>
      </c>
      <c r="B187">
        <f>IF($X187="","",INDEX(합계표[성명],$X187)&amp;"")</f>
        <v/>
      </c>
      <c r="C187">
        <f>IF($X187="","",INDEX(합계표[부서],$X187)&amp;"")</f>
        <v/>
      </c>
      <c r="D187">
        <f>IF($X187="","",INDEX(합계표[직위(요약)],$X187)&amp;"")</f>
        <v/>
      </c>
      <c r="E187">
        <f>IF($X187="","",INDEX(합계표[직급 공존],$X187)&amp;"")</f>
        <v/>
      </c>
      <c r="F187" s="20">
        <f>IF($X187="","",SUMIFS(합계표[시스템 합계],합계표[사번키],INDEX(합계표[사번키],$X187)))</f>
        <v/>
      </c>
      <c r="G187" s="20">
        <f>IF($X187="","",SUMIFS(상세표[기록 시간외],상세표[사번키],INDEX(합계표[사번키],$X187),상세표[기록월],대상월키))</f>
        <v/>
      </c>
      <c r="H187">
        <f>IF($X187="","",IF(ABS($F187-$G187)&lt;0.01,"일치","불일치(차이 "&amp;TEXT($G187-$F187,"0.00")&amp;")"))</f>
        <v/>
      </c>
      <c r="I187" s="20">
        <f>IF($X187="","",SUMIFS(상세표[기록 시간외],상세표[사번키],INDEX(합계표[사번키],$X187),상세표[기록월],대상월키,상세표[반영월],"&lt;&gt;"&amp;대상월키))</f>
        <v/>
      </c>
      <c r="J187" s="20">
        <f>IF($X187="","",SUMIFS(상세표[기록 시간외],상세표[사번키],INDEX(합계표[사번키],$X187),상세표[기록월],"&lt;&gt;"&amp;대상월키,상세표[반영월],대상월키))</f>
        <v/>
      </c>
      <c r="K187" s="20">
        <f>IF($X187="","",SUMIFS(상세표[기록 시간외],상세표[사번키],INDEX(합계표[사번키],$X187),상세표[반영월],대상월키))</f>
        <v/>
      </c>
      <c r="L187">
        <f>IF($X187="","",IFERROR(INDEX(월별근무지표[적용 급여병원],MATCH(INDEX(합계표[사번키],$X187)&amp;"|"&amp;대상월키,월별근무지표[키],0))&amp;"",IF(COUNTIF(기관표[사번키],INDEX(합계표[사번키],$X187))+COUNTIF(월별근무지표[사번키],INDEX(합계표[사번키],$X187))&gt;0,IFERROR(INDEX(기관표[급여지급병원(기준월)],MATCH(INDEX(합계표[사번키],$X187)&amp;"|"&amp;대상월키,기관표[키],0))&amp;"","—"),"—")))</f>
        <v/>
      </c>
      <c r="M187">
        <f>IF($X187="","",IF(NOT(COUNTIF(기관표[사번키],INDEX(합계표[사번키],$X187))+COUNTIF(월별근무지표[사번키],INDEX(합계표[사번키],$X187))&gt;0),"기관명단에 없음(다른 병원으로 발송)",IF($L187="서울병원","해당",IF(N($R187)&gt;0,"해당(말일 근무)",IF($L187="—","대상월 기관명단 없음(추가 필요)","비해당")))))</f>
        <v/>
      </c>
      <c r="N187" s="20">
        <f>IF($X187="","",SUMIFS(상세표[06~07시],상세표[사번키],INDEX(합계표[사번키],$X187),상세표[반영월],대상월키,상세표[반영 기관],"서울병원"))</f>
        <v/>
      </c>
      <c r="O187" s="20">
        <f>IF($X187="","",SUMIFS(상세표[07~18시],상세표[사번키],INDEX(합계표[사번키],$X187),상세표[반영월],대상월키,상세표[반영 기관],"서울병원"))</f>
        <v/>
      </c>
      <c r="P187" s="20">
        <f>IF($X187="","",SUMIFS(상세표[18~22시],상세표[사번키],INDEX(합계표[사번키],$X187),상세표[반영월],대상월키,상세표[반영 기관],"서울병원"))</f>
        <v/>
      </c>
      <c r="Q187" s="20">
        <f>IF($X187="","",SUMIFS(상세표[22~06시],상세표[사번키],INDEX(합계표[사번키],$X187),상세표[반영월],대상월키,상세표[반영 기관],"서울병원"))</f>
        <v/>
      </c>
      <c r="R187" s="20">
        <f>IF($X187="","",SUM($N187:$Q187))</f>
        <v/>
      </c>
      <c r="S187">
        <f>IF($X187="","",COUNTIFS(상세표[사번키],INDEX(합계표[사번키],$X187),상세표[반영월],대상월키,상세표[야간당직],1,상세표[야간 구분],"평일"))</f>
        <v/>
      </c>
      <c r="T187">
        <f>IF($X187="","",COUNTIFS(상세표[사번키],INDEX(합계표[사번키],$X187),상세표[반영월],대상월키,상세표[야간당직],1,상세표[야간 구분],"휴일"))</f>
        <v/>
      </c>
      <c r="U187">
        <f>IF($X187="","",COUNTIFS(상세표[사번키],INDEX(합계표[사번키],$X187),상세표[반영월],대상월키,상세표[야간당직],1,상세표[야간 구분],"평일",상세표[반영 기관],"서울병원"))</f>
        <v/>
      </c>
      <c r="V187">
        <f>IF($X187="","",COUNTIFS(상세표[사번키],INDEX(합계표[사번키],$X187),상세표[반영월],대상월키,상세표[야간당직],1,상세표[야간 구분],"휴일",상세표[반영 기관],"서울병원"))</f>
        <v/>
      </c>
      <c r="W187">
        <f>IF($X187="","",IF(ISNUMBER(MATCH(INDEX(합계표[사번키],$X187)&amp;"|"&amp;대상월키,월별근무지표[키],0)),"직접 입력",IF($L187="—","—","기관명단")))</f>
        <v/>
      </c>
      <c r="X187" s="4">
        <f>IFERROR(MATCH(182,합계표[판정순번],0),"")</f>
        <v/>
      </c>
      <c r="Z187">
        <f>IF($AC187="","",INDEX(상세표[사번],$AC187)&amp;"")</f>
        <v/>
      </c>
      <c r="AA187">
        <f>IF($AC187="","",INDEX(상세표[성명],$AC187)&amp;"")</f>
        <v/>
      </c>
      <c r="AB187" s="20">
        <f>IF($AC187="","",SUMIFS(상세표[기록 시간외],상세표[사번키],INDEX(상세표[사번키],$AC187),상세표[반영월],대상월키))</f>
        <v/>
      </c>
      <c r="AC187" s="4">
        <f>IFERROR(MATCH(182,상세표[합계없음순번],0),"")</f>
        <v/>
      </c>
    </row>
    <row r="188">
      <c r="A188">
        <f>IF($X188="","",INDEX(합계표[사번],$X188)&amp;"")</f>
        <v/>
      </c>
      <c r="B188">
        <f>IF($X188="","",INDEX(합계표[성명],$X188)&amp;"")</f>
        <v/>
      </c>
      <c r="C188">
        <f>IF($X188="","",INDEX(합계표[부서],$X188)&amp;"")</f>
        <v/>
      </c>
      <c r="D188">
        <f>IF($X188="","",INDEX(합계표[직위(요약)],$X188)&amp;"")</f>
        <v/>
      </c>
      <c r="E188">
        <f>IF($X188="","",INDEX(합계표[직급 공존],$X188)&amp;"")</f>
        <v/>
      </c>
      <c r="F188" s="20">
        <f>IF($X188="","",SUMIFS(합계표[시스템 합계],합계표[사번키],INDEX(합계표[사번키],$X188)))</f>
        <v/>
      </c>
      <c r="G188" s="20">
        <f>IF($X188="","",SUMIFS(상세표[기록 시간외],상세표[사번키],INDEX(합계표[사번키],$X188),상세표[기록월],대상월키))</f>
        <v/>
      </c>
      <c r="H188">
        <f>IF($X188="","",IF(ABS($F188-$G188)&lt;0.01,"일치","불일치(차이 "&amp;TEXT($G188-$F188,"0.00")&amp;")"))</f>
        <v/>
      </c>
      <c r="I188" s="20">
        <f>IF($X188="","",SUMIFS(상세표[기록 시간외],상세표[사번키],INDEX(합계표[사번키],$X188),상세표[기록월],대상월키,상세표[반영월],"&lt;&gt;"&amp;대상월키))</f>
        <v/>
      </c>
      <c r="J188" s="20">
        <f>IF($X188="","",SUMIFS(상세표[기록 시간외],상세표[사번키],INDEX(합계표[사번키],$X188),상세표[기록월],"&lt;&gt;"&amp;대상월키,상세표[반영월],대상월키))</f>
        <v/>
      </c>
      <c r="K188" s="20">
        <f>IF($X188="","",SUMIFS(상세표[기록 시간외],상세표[사번키],INDEX(합계표[사번키],$X188),상세표[반영월],대상월키))</f>
        <v/>
      </c>
      <c r="L188">
        <f>IF($X188="","",IFERROR(INDEX(월별근무지표[적용 급여병원],MATCH(INDEX(합계표[사번키],$X188)&amp;"|"&amp;대상월키,월별근무지표[키],0))&amp;"",IF(COUNTIF(기관표[사번키],INDEX(합계표[사번키],$X188))+COUNTIF(월별근무지표[사번키],INDEX(합계표[사번키],$X188))&gt;0,IFERROR(INDEX(기관표[급여지급병원(기준월)],MATCH(INDEX(합계표[사번키],$X188)&amp;"|"&amp;대상월키,기관표[키],0))&amp;"","—"),"—")))</f>
        <v/>
      </c>
      <c r="M188">
        <f>IF($X188="","",IF(NOT(COUNTIF(기관표[사번키],INDEX(합계표[사번키],$X188))+COUNTIF(월별근무지표[사번키],INDEX(합계표[사번키],$X188))&gt;0),"기관명단에 없음(다른 병원으로 발송)",IF($L188="서울병원","해당",IF(N($R188)&gt;0,"해당(말일 근무)",IF($L188="—","대상월 기관명단 없음(추가 필요)","비해당")))))</f>
        <v/>
      </c>
      <c r="N188" s="20">
        <f>IF($X188="","",SUMIFS(상세표[06~07시],상세표[사번키],INDEX(합계표[사번키],$X188),상세표[반영월],대상월키,상세표[반영 기관],"서울병원"))</f>
        <v/>
      </c>
      <c r="O188" s="20">
        <f>IF($X188="","",SUMIFS(상세표[07~18시],상세표[사번키],INDEX(합계표[사번키],$X188),상세표[반영월],대상월키,상세표[반영 기관],"서울병원"))</f>
        <v/>
      </c>
      <c r="P188" s="20">
        <f>IF($X188="","",SUMIFS(상세표[18~22시],상세표[사번키],INDEX(합계표[사번키],$X188),상세표[반영월],대상월키,상세표[반영 기관],"서울병원"))</f>
        <v/>
      </c>
      <c r="Q188" s="20">
        <f>IF($X188="","",SUMIFS(상세표[22~06시],상세표[사번키],INDEX(합계표[사번키],$X188),상세표[반영월],대상월키,상세표[반영 기관],"서울병원"))</f>
        <v/>
      </c>
      <c r="R188" s="20">
        <f>IF($X188="","",SUM($N188:$Q188))</f>
        <v/>
      </c>
      <c r="S188">
        <f>IF($X188="","",COUNTIFS(상세표[사번키],INDEX(합계표[사번키],$X188),상세표[반영월],대상월키,상세표[야간당직],1,상세표[야간 구분],"평일"))</f>
        <v/>
      </c>
      <c r="T188">
        <f>IF($X188="","",COUNTIFS(상세표[사번키],INDEX(합계표[사번키],$X188),상세표[반영월],대상월키,상세표[야간당직],1,상세표[야간 구분],"휴일"))</f>
        <v/>
      </c>
      <c r="U188">
        <f>IF($X188="","",COUNTIFS(상세표[사번키],INDEX(합계표[사번키],$X188),상세표[반영월],대상월키,상세표[야간당직],1,상세표[야간 구분],"평일",상세표[반영 기관],"서울병원"))</f>
        <v/>
      </c>
      <c r="V188">
        <f>IF($X188="","",COUNTIFS(상세표[사번키],INDEX(합계표[사번키],$X188),상세표[반영월],대상월키,상세표[야간당직],1,상세표[야간 구분],"휴일",상세표[반영 기관],"서울병원"))</f>
        <v/>
      </c>
      <c r="W188">
        <f>IF($X188="","",IF(ISNUMBER(MATCH(INDEX(합계표[사번키],$X188)&amp;"|"&amp;대상월키,월별근무지표[키],0)),"직접 입력",IF($L188="—","—","기관명단")))</f>
        <v/>
      </c>
      <c r="X188" s="4">
        <f>IFERROR(MATCH(183,합계표[판정순번],0),"")</f>
        <v/>
      </c>
      <c r="Z188">
        <f>IF($AC188="","",INDEX(상세표[사번],$AC188)&amp;"")</f>
        <v/>
      </c>
      <c r="AA188">
        <f>IF($AC188="","",INDEX(상세표[성명],$AC188)&amp;"")</f>
        <v/>
      </c>
      <c r="AB188" s="20">
        <f>IF($AC188="","",SUMIFS(상세표[기록 시간외],상세표[사번키],INDEX(상세표[사번키],$AC188),상세표[반영월],대상월키))</f>
        <v/>
      </c>
      <c r="AC188" s="4">
        <f>IFERROR(MATCH(183,상세표[합계없음순번],0),"")</f>
        <v/>
      </c>
    </row>
    <row r="189">
      <c r="A189">
        <f>IF($X189="","",INDEX(합계표[사번],$X189)&amp;"")</f>
        <v/>
      </c>
      <c r="B189">
        <f>IF($X189="","",INDEX(합계표[성명],$X189)&amp;"")</f>
        <v/>
      </c>
      <c r="C189">
        <f>IF($X189="","",INDEX(합계표[부서],$X189)&amp;"")</f>
        <v/>
      </c>
      <c r="D189">
        <f>IF($X189="","",INDEX(합계표[직위(요약)],$X189)&amp;"")</f>
        <v/>
      </c>
      <c r="E189">
        <f>IF($X189="","",INDEX(합계표[직급 공존],$X189)&amp;"")</f>
        <v/>
      </c>
      <c r="F189" s="20">
        <f>IF($X189="","",SUMIFS(합계표[시스템 합계],합계표[사번키],INDEX(합계표[사번키],$X189)))</f>
        <v/>
      </c>
      <c r="G189" s="20">
        <f>IF($X189="","",SUMIFS(상세표[기록 시간외],상세표[사번키],INDEX(합계표[사번키],$X189),상세표[기록월],대상월키))</f>
        <v/>
      </c>
      <c r="H189">
        <f>IF($X189="","",IF(ABS($F189-$G189)&lt;0.01,"일치","불일치(차이 "&amp;TEXT($G189-$F189,"0.00")&amp;")"))</f>
        <v/>
      </c>
      <c r="I189" s="20">
        <f>IF($X189="","",SUMIFS(상세표[기록 시간외],상세표[사번키],INDEX(합계표[사번키],$X189),상세표[기록월],대상월키,상세표[반영월],"&lt;&gt;"&amp;대상월키))</f>
        <v/>
      </c>
      <c r="J189" s="20">
        <f>IF($X189="","",SUMIFS(상세표[기록 시간외],상세표[사번키],INDEX(합계표[사번키],$X189),상세표[기록월],"&lt;&gt;"&amp;대상월키,상세표[반영월],대상월키))</f>
        <v/>
      </c>
      <c r="K189" s="20">
        <f>IF($X189="","",SUMIFS(상세표[기록 시간외],상세표[사번키],INDEX(합계표[사번키],$X189),상세표[반영월],대상월키))</f>
        <v/>
      </c>
      <c r="L189">
        <f>IF($X189="","",IFERROR(INDEX(월별근무지표[적용 급여병원],MATCH(INDEX(합계표[사번키],$X189)&amp;"|"&amp;대상월키,월별근무지표[키],0))&amp;"",IF(COUNTIF(기관표[사번키],INDEX(합계표[사번키],$X189))+COUNTIF(월별근무지표[사번키],INDEX(합계표[사번키],$X189))&gt;0,IFERROR(INDEX(기관표[급여지급병원(기준월)],MATCH(INDEX(합계표[사번키],$X189)&amp;"|"&amp;대상월키,기관표[키],0))&amp;"","—"),"—")))</f>
        <v/>
      </c>
      <c r="M189">
        <f>IF($X189="","",IF(NOT(COUNTIF(기관표[사번키],INDEX(합계표[사번키],$X189))+COUNTIF(월별근무지표[사번키],INDEX(합계표[사번키],$X189))&gt;0),"기관명단에 없음(다른 병원으로 발송)",IF($L189="서울병원","해당",IF(N($R189)&gt;0,"해당(말일 근무)",IF($L189="—","대상월 기관명단 없음(추가 필요)","비해당")))))</f>
        <v/>
      </c>
      <c r="N189" s="20">
        <f>IF($X189="","",SUMIFS(상세표[06~07시],상세표[사번키],INDEX(합계표[사번키],$X189),상세표[반영월],대상월키,상세표[반영 기관],"서울병원"))</f>
        <v/>
      </c>
      <c r="O189" s="20">
        <f>IF($X189="","",SUMIFS(상세표[07~18시],상세표[사번키],INDEX(합계표[사번키],$X189),상세표[반영월],대상월키,상세표[반영 기관],"서울병원"))</f>
        <v/>
      </c>
      <c r="P189" s="20">
        <f>IF($X189="","",SUMIFS(상세표[18~22시],상세표[사번키],INDEX(합계표[사번키],$X189),상세표[반영월],대상월키,상세표[반영 기관],"서울병원"))</f>
        <v/>
      </c>
      <c r="Q189" s="20">
        <f>IF($X189="","",SUMIFS(상세표[22~06시],상세표[사번키],INDEX(합계표[사번키],$X189),상세표[반영월],대상월키,상세표[반영 기관],"서울병원"))</f>
        <v/>
      </c>
      <c r="R189" s="20">
        <f>IF($X189="","",SUM($N189:$Q189))</f>
        <v/>
      </c>
      <c r="S189">
        <f>IF($X189="","",COUNTIFS(상세표[사번키],INDEX(합계표[사번키],$X189),상세표[반영월],대상월키,상세표[야간당직],1,상세표[야간 구분],"평일"))</f>
        <v/>
      </c>
      <c r="T189">
        <f>IF($X189="","",COUNTIFS(상세표[사번키],INDEX(합계표[사번키],$X189),상세표[반영월],대상월키,상세표[야간당직],1,상세표[야간 구분],"휴일"))</f>
        <v/>
      </c>
      <c r="U189">
        <f>IF($X189="","",COUNTIFS(상세표[사번키],INDEX(합계표[사번키],$X189),상세표[반영월],대상월키,상세표[야간당직],1,상세표[야간 구분],"평일",상세표[반영 기관],"서울병원"))</f>
        <v/>
      </c>
      <c r="V189">
        <f>IF($X189="","",COUNTIFS(상세표[사번키],INDEX(합계표[사번키],$X189),상세표[반영월],대상월키,상세표[야간당직],1,상세표[야간 구분],"휴일",상세표[반영 기관],"서울병원"))</f>
        <v/>
      </c>
      <c r="W189">
        <f>IF($X189="","",IF(ISNUMBER(MATCH(INDEX(합계표[사번키],$X189)&amp;"|"&amp;대상월키,월별근무지표[키],0)),"직접 입력",IF($L189="—","—","기관명단")))</f>
        <v/>
      </c>
      <c r="X189" s="4">
        <f>IFERROR(MATCH(184,합계표[판정순번],0),"")</f>
        <v/>
      </c>
      <c r="Z189">
        <f>IF($AC189="","",INDEX(상세표[사번],$AC189)&amp;"")</f>
        <v/>
      </c>
      <c r="AA189">
        <f>IF($AC189="","",INDEX(상세표[성명],$AC189)&amp;"")</f>
        <v/>
      </c>
      <c r="AB189" s="20">
        <f>IF($AC189="","",SUMIFS(상세표[기록 시간외],상세표[사번키],INDEX(상세표[사번키],$AC189),상세표[반영월],대상월키))</f>
        <v/>
      </c>
      <c r="AC189" s="4">
        <f>IFERROR(MATCH(184,상세표[합계없음순번],0),"")</f>
        <v/>
      </c>
    </row>
    <row r="190">
      <c r="A190">
        <f>IF($X190="","",INDEX(합계표[사번],$X190)&amp;"")</f>
        <v/>
      </c>
      <c r="B190">
        <f>IF($X190="","",INDEX(합계표[성명],$X190)&amp;"")</f>
        <v/>
      </c>
      <c r="C190">
        <f>IF($X190="","",INDEX(합계표[부서],$X190)&amp;"")</f>
        <v/>
      </c>
      <c r="D190">
        <f>IF($X190="","",INDEX(합계표[직위(요약)],$X190)&amp;"")</f>
        <v/>
      </c>
      <c r="E190">
        <f>IF($X190="","",INDEX(합계표[직급 공존],$X190)&amp;"")</f>
        <v/>
      </c>
      <c r="F190" s="20">
        <f>IF($X190="","",SUMIFS(합계표[시스템 합계],합계표[사번키],INDEX(합계표[사번키],$X190)))</f>
        <v/>
      </c>
      <c r="G190" s="20">
        <f>IF($X190="","",SUMIFS(상세표[기록 시간외],상세표[사번키],INDEX(합계표[사번키],$X190),상세표[기록월],대상월키))</f>
        <v/>
      </c>
      <c r="H190">
        <f>IF($X190="","",IF(ABS($F190-$G190)&lt;0.01,"일치","불일치(차이 "&amp;TEXT($G190-$F190,"0.00")&amp;")"))</f>
        <v/>
      </c>
      <c r="I190" s="20">
        <f>IF($X190="","",SUMIFS(상세표[기록 시간외],상세표[사번키],INDEX(합계표[사번키],$X190),상세표[기록월],대상월키,상세표[반영월],"&lt;&gt;"&amp;대상월키))</f>
        <v/>
      </c>
      <c r="J190" s="20">
        <f>IF($X190="","",SUMIFS(상세표[기록 시간외],상세표[사번키],INDEX(합계표[사번키],$X190),상세표[기록월],"&lt;&gt;"&amp;대상월키,상세표[반영월],대상월키))</f>
        <v/>
      </c>
      <c r="K190" s="20">
        <f>IF($X190="","",SUMIFS(상세표[기록 시간외],상세표[사번키],INDEX(합계표[사번키],$X190),상세표[반영월],대상월키))</f>
        <v/>
      </c>
      <c r="L190">
        <f>IF($X190="","",IFERROR(INDEX(월별근무지표[적용 급여병원],MATCH(INDEX(합계표[사번키],$X190)&amp;"|"&amp;대상월키,월별근무지표[키],0))&amp;"",IF(COUNTIF(기관표[사번키],INDEX(합계표[사번키],$X190))+COUNTIF(월별근무지표[사번키],INDEX(합계표[사번키],$X190))&gt;0,IFERROR(INDEX(기관표[급여지급병원(기준월)],MATCH(INDEX(합계표[사번키],$X190)&amp;"|"&amp;대상월키,기관표[키],0))&amp;"","—"),"—")))</f>
        <v/>
      </c>
      <c r="M190">
        <f>IF($X190="","",IF(NOT(COUNTIF(기관표[사번키],INDEX(합계표[사번키],$X190))+COUNTIF(월별근무지표[사번키],INDEX(합계표[사번키],$X190))&gt;0),"기관명단에 없음(다른 병원으로 발송)",IF($L190="서울병원","해당",IF(N($R190)&gt;0,"해당(말일 근무)",IF($L190="—","대상월 기관명단 없음(추가 필요)","비해당")))))</f>
        <v/>
      </c>
      <c r="N190" s="20">
        <f>IF($X190="","",SUMIFS(상세표[06~07시],상세표[사번키],INDEX(합계표[사번키],$X190),상세표[반영월],대상월키,상세표[반영 기관],"서울병원"))</f>
        <v/>
      </c>
      <c r="O190" s="20">
        <f>IF($X190="","",SUMIFS(상세표[07~18시],상세표[사번키],INDEX(합계표[사번키],$X190),상세표[반영월],대상월키,상세표[반영 기관],"서울병원"))</f>
        <v/>
      </c>
      <c r="P190" s="20">
        <f>IF($X190="","",SUMIFS(상세표[18~22시],상세표[사번키],INDEX(합계표[사번키],$X190),상세표[반영월],대상월키,상세표[반영 기관],"서울병원"))</f>
        <v/>
      </c>
      <c r="Q190" s="20">
        <f>IF($X190="","",SUMIFS(상세표[22~06시],상세표[사번키],INDEX(합계표[사번키],$X190),상세표[반영월],대상월키,상세표[반영 기관],"서울병원"))</f>
        <v/>
      </c>
      <c r="R190" s="20">
        <f>IF($X190="","",SUM($N190:$Q190))</f>
        <v/>
      </c>
      <c r="S190">
        <f>IF($X190="","",COUNTIFS(상세표[사번키],INDEX(합계표[사번키],$X190),상세표[반영월],대상월키,상세표[야간당직],1,상세표[야간 구분],"평일"))</f>
        <v/>
      </c>
      <c r="T190">
        <f>IF($X190="","",COUNTIFS(상세표[사번키],INDEX(합계표[사번키],$X190),상세표[반영월],대상월키,상세표[야간당직],1,상세표[야간 구분],"휴일"))</f>
        <v/>
      </c>
      <c r="U190">
        <f>IF($X190="","",COUNTIFS(상세표[사번키],INDEX(합계표[사번키],$X190),상세표[반영월],대상월키,상세표[야간당직],1,상세표[야간 구분],"평일",상세표[반영 기관],"서울병원"))</f>
        <v/>
      </c>
      <c r="V190">
        <f>IF($X190="","",COUNTIFS(상세표[사번키],INDEX(합계표[사번키],$X190),상세표[반영월],대상월키,상세표[야간당직],1,상세표[야간 구분],"휴일",상세표[반영 기관],"서울병원"))</f>
        <v/>
      </c>
      <c r="W190">
        <f>IF($X190="","",IF(ISNUMBER(MATCH(INDEX(합계표[사번키],$X190)&amp;"|"&amp;대상월키,월별근무지표[키],0)),"직접 입력",IF($L190="—","—","기관명단")))</f>
        <v/>
      </c>
      <c r="X190" s="4">
        <f>IFERROR(MATCH(185,합계표[판정순번],0),"")</f>
        <v/>
      </c>
      <c r="Z190">
        <f>IF($AC190="","",INDEX(상세표[사번],$AC190)&amp;"")</f>
        <v/>
      </c>
      <c r="AA190">
        <f>IF($AC190="","",INDEX(상세표[성명],$AC190)&amp;"")</f>
        <v/>
      </c>
      <c r="AB190" s="20">
        <f>IF($AC190="","",SUMIFS(상세표[기록 시간외],상세표[사번키],INDEX(상세표[사번키],$AC190),상세표[반영월],대상월키))</f>
        <v/>
      </c>
      <c r="AC190" s="4">
        <f>IFERROR(MATCH(185,상세표[합계없음순번],0),"")</f>
        <v/>
      </c>
    </row>
    <row r="191">
      <c r="A191">
        <f>IF($X191="","",INDEX(합계표[사번],$X191)&amp;"")</f>
        <v/>
      </c>
      <c r="B191">
        <f>IF($X191="","",INDEX(합계표[성명],$X191)&amp;"")</f>
        <v/>
      </c>
      <c r="C191">
        <f>IF($X191="","",INDEX(합계표[부서],$X191)&amp;"")</f>
        <v/>
      </c>
      <c r="D191">
        <f>IF($X191="","",INDEX(합계표[직위(요약)],$X191)&amp;"")</f>
        <v/>
      </c>
      <c r="E191">
        <f>IF($X191="","",INDEX(합계표[직급 공존],$X191)&amp;"")</f>
        <v/>
      </c>
      <c r="F191" s="20">
        <f>IF($X191="","",SUMIFS(합계표[시스템 합계],합계표[사번키],INDEX(합계표[사번키],$X191)))</f>
        <v/>
      </c>
      <c r="G191" s="20">
        <f>IF($X191="","",SUMIFS(상세표[기록 시간외],상세표[사번키],INDEX(합계표[사번키],$X191),상세표[기록월],대상월키))</f>
        <v/>
      </c>
      <c r="H191">
        <f>IF($X191="","",IF(ABS($F191-$G191)&lt;0.01,"일치","불일치(차이 "&amp;TEXT($G191-$F191,"0.00")&amp;")"))</f>
        <v/>
      </c>
      <c r="I191" s="20">
        <f>IF($X191="","",SUMIFS(상세표[기록 시간외],상세표[사번키],INDEX(합계표[사번키],$X191),상세표[기록월],대상월키,상세표[반영월],"&lt;&gt;"&amp;대상월키))</f>
        <v/>
      </c>
      <c r="J191" s="20">
        <f>IF($X191="","",SUMIFS(상세표[기록 시간외],상세표[사번키],INDEX(합계표[사번키],$X191),상세표[기록월],"&lt;&gt;"&amp;대상월키,상세표[반영월],대상월키))</f>
        <v/>
      </c>
      <c r="K191" s="20">
        <f>IF($X191="","",SUMIFS(상세표[기록 시간외],상세표[사번키],INDEX(합계표[사번키],$X191),상세표[반영월],대상월키))</f>
        <v/>
      </c>
      <c r="L191">
        <f>IF($X191="","",IFERROR(INDEX(월별근무지표[적용 급여병원],MATCH(INDEX(합계표[사번키],$X191)&amp;"|"&amp;대상월키,월별근무지표[키],0))&amp;"",IF(COUNTIF(기관표[사번키],INDEX(합계표[사번키],$X191))+COUNTIF(월별근무지표[사번키],INDEX(합계표[사번키],$X191))&gt;0,IFERROR(INDEX(기관표[급여지급병원(기준월)],MATCH(INDEX(합계표[사번키],$X191)&amp;"|"&amp;대상월키,기관표[키],0))&amp;"","—"),"—")))</f>
        <v/>
      </c>
      <c r="M191">
        <f>IF($X191="","",IF(NOT(COUNTIF(기관표[사번키],INDEX(합계표[사번키],$X191))+COUNTIF(월별근무지표[사번키],INDEX(합계표[사번키],$X191))&gt;0),"기관명단에 없음(다른 병원으로 발송)",IF($L191="서울병원","해당",IF(N($R191)&gt;0,"해당(말일 근무)",IF($L191="—","대상월 기관명단 없음(추가 필요)","비해당")))))</f>
        <v/>
      </c>
      <c r="N191" s="20">
        <f>IF($X191="","",SUMIFS(상세표[06~07시],상세표[사번키],INDEX(합계표[사번키],$X191),상세표[반영월],대상월키,상세표[반영 기관],"서울병원"))</f>
        <v/>
      </c>
      <c r="O191" s="20">
        <f>IF($X191="","",SUMIFS(상세표[07~18시],상세표[사번키],INDEX(합계표[사번키],$X191),상세표[반영월],대상월키,상세표[반영 기관],"서울병원"))</f>
        <v/>
      </c>
      <c r="P191" s="20">
        <f>IF($X191="","",SUMIFS(상세표[18~22시],상세표[사번키],INDEX(합계표[사번키],$X191),상세표[반영월],대상월키,상세표[반영 기관],"서울병원"))</f>
        <v/>
      </c>
      <c r="Q191" s="20">
        <f>IF($X191="","",SUMIFS(상세표[22~06시],상세표[사번키],INDEX(합계표[사번키],$X191),상세표[반영월],대상월키,상세표[반영 기관],"서울병원"))</f>
        <v/>
      </c>
      <c r="R191" s="20">
        <f>IF($X191="","",SUM($N191:$Q191))</f>
        <v/>
      </c>
      <c r="S191">
        <f>IF($X191="","",COUNTIFS(상세표[사번키],INDEX(합계표[사번키],$X191),상세표[반영월],대상월키,상세표[야간당직],1,상세표[야간 구분],"평일"))</f>
        <v/>
      </c>
      <c r="T191">
        <f>IF($X191="","",COUNTIFS(상세표[사번키],INDEX(합계표[사번키],$X191),상세표[반영월],대상월키,상세표[야간당직],1,상세표[야간 구분],"휴일"))</f>
        <v/>
      </c>
      <c r="U191">
        <f>IF($X191="","",COUNTIFS(상세표[사번키],INDEX(합계표[사번키],$X191),상세표[반영월],대상월키,상세표[야간당직],1,상세표[야간 구분],"평일",상세표[반영 기관],"서울병원"))</f>
        <v/>
      </c>
      <c r="V191">
        <f>IF($X191="","",COUNTIFS(상세표[사번키],INDEX(합계표[사번키],$X191),상세표[반영월],대상월키,상세표[야간당직],1,상세표[야간 구분],"휴일",상세표[반영 기관],"서울병원"))</f>
        <v/>
      </c>
      <c r="W191">
        <f>IF($X191="","",IF(ISNUMBER(MATCH(INDEX(합계표[사번키],$X191)&amp;"|"&amp;대상월키,월별근무지표[키],0)),"직접 입력",IF($L191="—","—","기관명단")))</f>
        <v/>
      </c>
      <c r="X191" s="4">
        <f>IFERROR(MATCH(186,합계표[판정순번],0),"")</f>
        <v/>
      </c>
      <c r="Z191">
        <f>IF($AC191="","",INDEX(상세표[사번],$AC191)&amp;"")</f>
        <v/>
      </c>
      <c r="AA191">
        <f>IF($AC191="","",INDEX(상세표[성명],$AC191)&amp;"")</f>
        <v/>
      </c>
      <c r="AB191" s="20">
        <f>IF($AC191="","",SUMIFS(상세표[기록 시간외],상세표[사번키],INDEX(상세표[사번키],$AC191),상세표[반영월],대상월키))</f>
        <v/>
      </c>
      <c r="AC191" s="4">
        <f>IFERROR(MATCH(186,상세표[합계없음순번],0),"")</f>
        <v/>
      </c>
    </row>
    <row r="192">
      <c r="A192">
        <f>IF($X192="","",INDEX(합계표[사번],$X192)&amp;"")</f>
        <v/>
      </c>
      <c r="B192">
        <f>IF($X192="","",INDEX(합계표[성명],$X192)&amp;"")</f>
        <v/>
      </c>
      <c r="C192">
        <f>IF($X192="","",INDEX(합계표[부서],$X192)&amp;"")</f>
        <v/>
      </c>
      <c r="D192">
        <f>IF($X192="","",INDEX(합계표[직위(요약)],$X192)&amp;"")</f>
        <v/>
      </c>
      <c r="E192">
        <f>IF($X192="","",INDEX(합계표[직급 공존],$X192)&amp;"")</f>
        <v/>
      </c>
      <c r="F192" s="20">
        <f>IF($X192="","",SUMIFS(합계표[시스템 합계],합계표[사번키],INDEX(합계표[사번키],$X192)))</f>
        <v/>
      </c>
      <c r="G192" s="20">
        <f>IF($X192="","",SUMIFS(상세표[기록 시간외],상세표[사번키],INDEX(합계표[사번키],$X192),상세표[기록월],대상월키))</f>
        <v/>
      </c>
      <c r="H192">
        <f>IF($X192="","",IF(ABS($F192-$G192)&lt;0.01,"일치","불일치(차이 "&amp;TEXT($G192-$F192,"0.00")&amp;")"))</f>
        <v/>
      </c>
      <c r="I192" s="20">
        <f>IF($X192="","",SUMIFS(상세표[기록 시간외],상세표[사번키],INDEX(합계표[사번키],$X192),상세표[기록월],대상월키,상세표[반영월],"&lt;&gt;"&amp;대상월키))</f>
        <v/>
      </c>
      <c r="J192" s="20">
        <f>IF($X192="","",SUMIFS(상세표[기록 시간외],상세표[사번키],INDEX(합계표[사번키],$X192),상세표[기록월],"&lt;&gt;"&amp;대상월키,상세표[반영월],대상월키))</f>
        <v/>
      </c>
      <c r="K192" s="20">
        <f>IF($X192="","",SUMIFS(상세표[기록 시간외],상세표[사번키],INDEX(합계표[사번키],$X192),상세표[반영월],대상월키))</f>
        <v/>
      </c>
      <c r="L192">
        <f>IF($X192="","",IFERROR(INDEX(월별근무지표[적용 급여병원],MATCH(INDEX(합계표[사번키],$X192)&amp;"|"&amp;대상월키,월별근무지표[키],0))&amp;"",IF(COUNTIF(기관표[사번키],INDEX(합계표[사번키],$X192))+COUNTIF(월별근무지표[사번키],INDEX(합계표[사번키],$X192))&gt;0,IFERROR(INDEX(기관표[급여지급병원(기준월)],MATCH(INDEX(합계표[사번키],$X192)&amp;"|"&amp;대상월키,기관표[키],0))&amp;"","—"),"—")))</f>
        <v/>
      </c>
      <c r="M192">
        <f>IF($X192="","",IF(NOT(COUNTIF(기관표[사번키],INDEX(합계표[사번키],$X192))+COUNTIF(월별근무지표[사번키],INDEX(합계표[사번키],$X192))&gt;0),"기관명단에 없음(다른 병원으로 발송)",IF($L192="서울병원","해당",IF(N($R192)&gt;0,"해당(말일 근무)",IF($L192="—","대상월 기관명단 없음(추가 필요)","비해당")))))</f>
        <v/>
      </c>
      <c r="N192" s="20">
        <f>IF($X192="","",SUMIFS(상세표[06~07시],상세표[사번키],INDEX(합계표[사번키],$X192),상세표[반영월],대상월키,상세표[반영 기관],"서울병원"))</f>
        <v/>
      </c>
      <c r="O192" s="20">
        <f>IF($X192="","",SUMIFS(상세표[07~18시],상세표[사번키],INDEX(합계표[사번키],$X192),상세표[반영월],대상월키,상세표[반영 기관],"서울병원"))</f>
        <v/>
      </c>
      <c r="P192" s="20">
        <f>IF($X192="","",SUMIFS(상세표[18~22시],상세표[사번키],INDEX(합계표[사번키],$X192),상세표[반영월],대상월키,상세표[반영 기관],"서울병원"))</f>
        <v/>
      </c>
      <c r="Q192" s="20">
        <f>IF($X192="","",SUMIFS(상세표[22~06시],상세표[사번키],INDEX(합계표[사번키],$X192),상세표[반영월],대상월키,상세표[반영 기관],"서울병원"))</f>
        <v/>
      </c>
      <c r="R192" s="20">
        <f>IF($X192="","",SUM($N192:$Q192))</f>
        <v/>
      </c>
      <c r="S192">
        <f>IF($X192="","",COUNTIFS(상세표[사번키],INDEX(합계표[사번키],$X192),상세표[반영월],대상월키,상세표[야간당직],1,상세표[야간 구분],"평일"))</f>
        <v/>
      </c>
      <c r="T192">
        <f>IF($X192="","",COUNTIFS(상세표[사번키],INDEX(합계표[사번키],$X192),상세표[반영월],대상월키,상세표[야간당직],1,상세표[야간 구분],"휴일"))</f>
        <v/>
      </c>
      <c r="U192">
        <f>IF($X192="","",COUNTIFS(상세표[사번키],INDEX(합계표[사번키],$X192),상세표[반영월],대상월키,상세표[야간당직],1,상세표[야간 구분],"평일",상세표[반영 기관],"서울병원"))</f>
        <v/>
      </c>
      <c r="V192">
        <f>IF($X192="","",COUNTIFS(상세표[사번키],INDEX(합계표[사번키],$X192),상세표[반영월],대상월키,상세표[야간당직],1,상세표[야간 구분],"휴일",상세표[반영 기관],"서울병원"))</f>
        <v/>
      </c>
      <c r="W192">
        <f>IF($X192="","",IF(ISNUMBER(MATCH(INDEX(합계표[사번키],$X192)&amp;"|"&amp;대상월키,월별근무지표[키],0)),"직접 입력",IF($L192="—","—","기관명단")))</f>
        <v/>
      </c>
      <c r="X192" s="4">
        <f>IFERROR(MATCH(187,합계표[판정순번],0),"")</f>
        <v/>
      </c>
      <c r="Z192">
        <f>IF($AC192="","",INDEX(상세표[사번],$AC192)&amp;"")</f>
        <v/>
      </c>
      <c r="AA192">
        <f>IF($AC192="","",INDEX(상세표[성명],$AC192)&amp;"")</f>
        <v/>
      </c>
      <c r="AB192" s="20">
        <f>IF($AC192="","",SUMIFS(상세표[기록 시간외],상세표[사번키],INDEX(상세표[사번키],$AC192),상세표[반영월],대상월키))</f>
        <v/>
      </c>
      <c r="AC192" s="4">
        <f>IFERROR(MATCH(187,상세표[합계없음순번],0),"")</f>
        <v/>
      </c>
    </row>
    <row r="193">
      <c r="A193">
        <f>IF($X193="","",INDEX(합계표[사번],$X193)&amp;"")</f>
        <v/>
      </c>
      <c r="B193">
        <f>IF($X193="","",INDEX(합계표[성명],$X193)&amp;"")</f>
        <v/>
      </c>
      <c r="C193">
        <f>IF($X193="","",INDEX(합계표[부서],$X193)&amp;"")</f>
        <v/>
      </c>
      <c r="D193">
        <f>IF($X193="","",INDEX(합계표[직위(요약)],$X193)&amp;"")</f>
        <v/>
      </c>
      <c r="E193">
        <f>IF($X193="","",INDEX(합계표[직급 공존],$X193)&amp;"")</f>
        <v/>
      </c>
      <c r="F193" s="20">
        <f>IF($X193="","",SUMIFS(합계표[시스템 합계],합계표[사번키],INDEX(합계표[사번키],$X193)))</f>
        <v/>
      </c>
      <c r="G193" s="20">
        <f>IF($X193="","",SUMIFS(상세표[기록 시간외],상세표[사번키],INDEX(합계표[사번키],$X193),상세표[기록월],대상월키))</f>
        <v/>
      </c>
      <c r="H193">
        <f>IF($X193="","",IF(ABS($F193-$G193)&lt;0.01,"일치","불일치(차이 "&amp;TEXT($G193-$F193,"0.00")&amp;")"))</f>
        <v/>
      </c>
      <c r="I193" s="20">
        <f>IF($X193="","",SUMIFS(상세표[기록 시간외],상세표[사번키],INDEX(합계표[사번키],$X193),상세표[기록월],대상월키,상세표[반영월],"&lt;&gt;"&amp;대상월키))</f>
        <v/>
      </c>
      <c r="J193" s="20">
        <f>IF($X193="","",SUMIFS(상세표[기록 시간외],상세표[사번키],INDEX(합계표[사번키],$X193),상세표[기록월],"&lt;&gt;"&amp;대상월키,상세표[반영월],대상월키))</f>
        <v/>
      </c>
      <c r="K193" s="20">
        <f>IF($X193="","",SUMIFS(상세표[기록 시간외],상세표[사번키],INDEX(합계표[사번키],$X193),상세표[반영월],대상월키))</f>
        <v/>
      </c>
      <c r="L193">
        <f>IF($X193="","",IFERROR(INDEX(월별근무지표[적용 급여병원],MATCH(INDEX(합계표[사번키],$X193)&amp;"|"&amp;대상월키,월별근무지표[키],0))&amp;"",IF(COUNTIF(기관표[사번키],INDEX(합계표[사번키],$X193))+COUNTIF(월별근무지표[사번키],INDEX(합계표[사번키],$X193))&gt;0,IFERROR(INDEX(기관표[급여지급병원(기준월)],MATCH(INDEX(합계표[사번키],$X193)&amp;"|"&amp;대상월키,기관표[키],0))&amp;"","—"),"—")))</f>
        <v/>
      </c>
      <c r="M193">
        <f>IF($X193="","",IF(NOT(COUNTIF(기관표[사번키],INDEX(합계표[사번키],$X193))+COUNTIF(월별근무지표[사번키],INDEX(합계표[사번키],$X193))&gt;0),"기관명단에 없음(다른 병원으로 발송)",IF($L193="서울병원","해당",IF(N($R193)&gt;0,"해당(말일 근무)",IF($L193="—","대상월 기관명단 없음(추가 필요)","비해당")))))</f>
        <v/>
      </c>
      <c r="N193" s="20">
        <f>IF($X193="","",SUMIFS(상세표[06~07시],상세표[사번키],INDEX(합계표[사번키],$X193),상세표[반영월],대상월키,상세표[반영 기관],"서울병원"))</f>
        <v/>
      </c>
      <c r="O193" s="20">
        <f>IF($X193="","",SUMIFS(상세표[07~18시],상세표[사번키],INDEX(합계표[사번키],$X193),상세표[반영월],대상월키,상세표[반영 기관],"서울병원"))</f>
        <v/>
      </c>
      <c r="P193" s="20">
        <f>IF($X193="","",SUMIFS(상세표[18~22시],상세표[사번키],INDEX(합계표[사번키],$X193),상세표[반영월],대상월키,상세표[반영 기관],"서울병원"))</f>
        <v/>
      </c>
      <c r="Q193" s="20">
        <f>IF($X193="","",SUMIFS(상세표[22~06시],상세표[사번키],INDEX(합계표[사번키],$X193),상세표[반영월],대상월키,상세표[반영 기관],"서울병원"))</f>
        <v/>
      </c>
      <c r="R193" s="20">
        <f>IF($X193="","",SUM($N193:$Q193))</f>
        <v/>
      </c>
      <c r="S193">
        <f>IF($X193="","",COUNTIFS(상세표[사번키],INDEX(합계표[사번키],$X193),상세표[반영월],대상월키,상세표[야간당직],1,상세표[야간 구분],"평일"))</f>
        <v/>
      </c>
      <c r="T193">
        <f>IF($X193="","",COUNTIFS(상세표[사번키],INDEX(합계표[사번키],$X193),상세표[반영월],대상월키,상세표[야간당직],1,상세표[야간 구분],"휴일"))</f>
        <v/>
      </c>
      <c r="U193">
        <f>IF($X193="","",COUNTIFS(상세표[사번키],INDEX(합계표[사번키],$X193),상세표[반영월],대상월키,상세표[야간당직],1,상세표[야간 구분],"평일",상세표[반영 기관],"서울병원"))</f>
        <v/>
      </c>
      <c r="V193">
        <f>IF($X193="","",COUNTIFS(상세표[사번키],INDEX(합계표[사번키],$X193),상세표[반영월],대상월키,상세표[야간당직],1,상세표[야간 구분],"휴일",상세표[반영 기관],"서울병원"))</f>
        <v/>
      </c>
      <c r="W193">
        <f>IF($X193="","",IF(ISNUMBER(MATCH(INDEX(합계표[사번키],$X193)&amp;"|"&amp;대상월키,월별근무지표[키],0)),"직접 입력",IF($L193="—","—","기관명단")))</f>
        <v/>
      </c>
      <c r="X193" s="4">
        <f>IFERROR(MATCH(188,합계표[판정순번],0),"")</f>
        <v/>
      </c>
      <c r="Z193">
        <f>IF($AC193="","",INDEX(상세표[사번],$AC193)&amp;"")</f>
        <v/>
      </c>
      <c r="AA193">
        <f>IF($AC193="","",INDEX(상세표[성명],$AC193)&amp;"")</f>
        <v/>
      </c>
      <c r="AB193" s="20">
        <f>IF($AC193="","",SUMIFS(상세표[기록 시간외],상세표[사번키],INDEX(상세표[사번키],$AC193),상세표[반영월],대상월키))</f>
        <v/>
      </c>
      <c r="AC193" s="4">
        <f>IFERROR(MATCH(188,상세표[합계없음순번],0),"")</f>
        <v/>
      </c>
    </row>
    <row r="194">
      <c r="A194">
        <f>IF($X194="","",INDEX(합계표[사번],$X194)&amp;"")</f>
        <v/>
      </c>
      <c r="B194">
        <f>IF($X194="","",INDEX(합계표[성명],$X194)&amp;"")</f>
        <v/>
      </c>
      <c r="C194">
        <f>IF($X194="","",INDEX(합계표[부서],$X194)&amp;"")</f>
        <v/>
      </c>
      <c r="D194">
        <f>IF($X194="","",INDEX(합계표[직위(요약)],$X194)&amp;"")</f>
        <v/>
      </c>
      <c r="E194">
        <f>IF($X194="","",INDEX(합계표[직급 공존],$X194)&amp;"")</f>
        <v/>
      </c>
      <c r="F194" s="20">
        <f>IF($X194="","",SUMIFS(합계표[시스템 합계],합계표[사번키],INDEX(합계표[사번키],$X194)))</f>
        <v/>
      </c>
      <c r="G194" s="20">
        <f>IF($X194="","",SUMIFS(상세표[기록 시간외],상세표[사번키],INDEX(합계표[사번키],$X194),상세표[기록월],대상월키))</f>
        <v/>
      </c>
      <c r="H194">
        <f>IF($X194="","",IF(ABS($F194-$G194)&lt;0.01,"일치","불일치(차이 "&amp;TEXT($G194-$F194,"0.00")&amp;")"))</f>
        <v/>
      </c>
      <c r="I194" s="20">
        <f>IF($X194="","",SUMIFS(상세표[기록 시간외],상세표[사번키],INDEX(합계표[사번키],$X194),상세표[기록월],대상월키,상세표[반영월],"&lt;&gt;"&amp;대상월키))</f>
        <v/>
      </c>
      <c r="J194" s="20">
        <f>IF($X194="","",SUMIFS(상세표[기록 시간외],상세표[사번키],INDEX(합계표[사번키],$X194),상세표[기록월],"&lt;&gt;"&amp;대상월키,상세표[반영월],대상월키))</f>
        <v/>
      </c>
      <c r="K194" s="20">
        <f>IF($X194="","",SUMIFS(상세표[기록 시간외],상세표[사번키],INDEX(합계표[사번키],$X194),상세표[반영월],대상월키))</f>
        <v/>
      </c>
      <c r="L194">
        <f>IF($X194="","",IFERROR(INDEX(월별근무지표[적용 급여병원],MATCH(INDEX(합계표[사번키],$X194)&amp;"|"&amp;대상월키,월별근무지표[키],0))&amp;"",IF(COUNTIF(기관표[사번키],INDEX(합계표[사번키],$X194))+COUNTIF(월별근무지표[사번키],INDEX(합계표[사번키],$X194))&gt;0,IFERROR(INDEX(기관표[급여지급병원(기준월)],MATCH(INDEX(합계표[사번키],$X194)&amp;"|"&amp;대상월키,기관표[키],0))&amp;"","—"),"—")))</f>
        <v/>
      </c>
      <c r="M194">
        <f>IF($X194="","",IF(NOT(COUNTIF(기관표[사번키],INDEX(합계표[사번키],$X194))+COUNTIF(월별근무지표[사번키],INDEX(합계표[사번키],$X194))&gt;0),"기관명단에 없음(다른 병원으로 발송)",IF($L194="서울병원","해당",IF(N($R194)&gt;0,"해당(말일 근무)",IF($L194="—","대상월 기관명단 없음(추가 필요)","비해당")))))</f>
        <v/>
      </c>
      <c r="N194" s="20">
        <f>IF($X194="","",SUMIFS(상세표[06~07시],상세표[사번키],INDEX(합계표[사번키],$X194),상세표[반영월],대상월키,상세표[반영 기관],"서울병원"))</f>
        <v/>
      </c>
      <c r="O194" s="20">
        <f>IF($X194="","",SUMIFS(상세표[07~18시],상세표[사번키],INDEX(합계표[사번키],$X194),상세표[반영월],대상월키,상세표[반영 기관],"서울병원"))</f>
        <v/>
      </c>
      <c r="P194" s="20">
        <f>IF($X194="","",SUMIFS(상세표[18~22시],상세표[사번키],INDEX(합계표[사번키],$X194),상세표[반영월],대상월키,상세표[반영 기관],"서울병원"))</f>
        <v/>
      </c>
      <c r="Q194" s="20">
        <f>IF($X194="","",SUMIFS(상세표[22~06시],상세표[사번키],INDEX(합계표[사번키],$X194),상세표[반영월],대상월키,상세표[반영 기관],"서울병원"))</f>
        <v/>
      </c>
      <c r="R194" s="20">
        <f>IF($X194="","",SUM($N194:$Q194))</f>
        <v/>
      </c>
      <c r="S194">
        <f>IF($X194="","",COUNTIFS(상세표[사번키],INDEX(합계표[사번키],$X194),상세표[반영월],대상월키,상세표[야간당직],1,상세표[야간 구분],"평일"))</f>
        <v/>
      </c>
      <c r="T194">
        <f>IF($X194="","",COUNTIFS(상세표[사번키],INDEX(합계표[사번키],$X194),상세표[반영월],대상월키,상세표[야간당직],1,상세표[야간 구분],"휴일"))</f>
        <v/>
      </c>
      <c r="U194">
        <f>IF($X194="","",COUNTIFS(상세표[사번키],INDEX(합계표[사번키],$X194),상세표[반영월],대상월키,상세표[야간당직],1,상세표[야간 구분],"평일",상세표[반영 기관],"서울병원"))</f>
        <v/>
      </c>
      <c r="V194">
        <f>IF($X194="","",COUNTIFS(상세표[사번키],INDEX(합계표[사번키],$X194),상세표[반영월],대상월키,상세표[야간당직],1,상세표[야간 구분],"휴일",상세표[반영 기관],"서울병원"))</f>
        <v/>
      </c>
      <c r="W194">
        <f>IF($X194="","",IF(ISNUMBER(MATCH(INDEX(합계표[사번키],$X194)&amp;"|"&amp;대상월키,월별근무지표[키],0)),"직접 입력",IF($L194="—","—","기관명단")))</f>
        <v/>
      </c>
      <c r="X194" s="4">
        <f>IFERROR(MATCH(189,합계표[판정순번],0),"")</f>
        <v/>
      </c>
      <c r="Z194">
        <f>IF($AC194="","",INDEX(상세표[사번],$AC194)&amp;"")</f>
        <v/>
      </c>
      <c r="AA194">
        <f>IF($AC194="","",INDEX(상세표[성명],$AC194)&amp;"")</f>
        <v/>
      </c>
      <c r="AB194" s="20">
        <f>IF($AC194="","",SUMIFS(상세표[기록 시간외],상세표[사번키],INDEX(상세표[사번키],$AC194),상세표[반영월],대상월키))</f>
        <v/>
      </c>
      <c r="AC194" s="4">
        <f>IFERROR(MATCH(189,상세표[합계없음순번],0),"")</f>
        <v/>
      </c>
    </row>
    <row r="195">
      <c r="A195">
        <f>IF($X195="","",INDEX(합계표[사번],$X195)&amp;"")</f>
        <v/>
      </c>
      <c r="B195">
        <f>IF($X195="","",INDEX(합계표[성명],$X195)&amp;"")</f>
        <v/>
      </c>
      <c r="C195">
        <f>IF($X195="","",INDEX(합계표[부서],$X195)&amp;"")</f>
        <v/>
      </c>
      <c r="D195">
        <f>IF($X195="","",INDEX(합계표[직위(요약)],$X195)&amp;"")</f>
        <v/>
      </c>
      <c r="E195">
        <f>IF($X195="","",INDEX(합계표[직급 공존],$X195)&amp;"")</f>
        <v/>
      </c>
      <c r="F195" s="20">
        <f>IF($X195="","",SUMIFS(합계표[시스템 합계],합계표[사번키],INDEX(합계표[사번키],$X195)))</f>
        <v/>
      </c>
      <c r="G195" s="20">
        <f>IF($X195="","",SUMIFS(상세표[기록 시간외],상세표[사번키],INDEX(합계표[사번키],$X195),상세표[기록월],대상월키))</f>
        <v/>
      </c>
      <c r="H195">
        <f>IF($X195="","",IF(ABS($F195-$G195)&lt;0.01,"일치","불일치(차이 "&amp;TEXT($G195-$F195,"0.00")&amp;")"))</f>
        <v/>
      </c>
      <c r="I195" s="20">
        <f>IF($X195="","",SUMIFS(상세표[기록 시간외],상세표[사번키],INDEX(합계표[사번키],$X195),상세표[기록월],대상월키,상세표[반영월],"&lt;&gt;"&amp;대상월키))</f>
        <v/>
      </c>
      <c r="J195" s="20">
        <f>IF($X195="","",SUMIFS(상세표[기록 시간외],상세표[사번키],INDEX(합계표[사번키],$X195),상세표[기록월],"&lt;&gt;"&amp;대상월키,상세표[반영월],대상월키))</f>
        <v/>
      </c>
      <c r="K195" s="20">
        <f>IF($X195="","",SUMIFS(상세표[기록 시간외],상세표[사번키],INDEX(합계표[사번키],$X195),상세표[반영월],대상월키))</f>
        <v/>
      </c>
      <c r="L195">
        <f>IF($X195="","",IFERROR(INDEX(월별근무지표[적용 급여병원],MATCH(INDEX(합계표[사번키],$X195)&amp;"|"&amp;대상월키,월별근무지표[키],0))&amp;"",IF(COUNTIF(기관표[사번키],INDEX(합계표[사번키],$X195))+COUNTIF(월별근무지표[사번키],INDEX(합계표[사번키],$X195))&gt;0,IFERROR(INDEX(기관표[급여지급병원(기준월)],MATCH(INDEX(합계표[사번키],$X195)&amp;"|"&amp;대상월키,기관표[키],0))&amp;"","—"),"—")))</f>
        <v/>
      </c>
      <c r="M195">
        <f>IF($X195="","",IF(NOT(COUNTIF(기관표[사번키],INDEX(합계표[사번키],$X195))+COUNTIF(월별근무지표[사번키],INDEX(합계표[사번키],$X195))&gt;0),"기관명단에 없음(다른 병원으로 발송)",IF($L195="서울병원","해당",IF(N($R195)&gt;0,"해당(말일 근무)",IF($L195="—","대상월 기관명단 없음(추가 필요)","비해당")))))</f>
        <v/>
      </c>
      <c r="N195" s="20">
        <f>IF($X195="","",SUMIFS(상세표[06~07시],상세표[사번키],INDEX(합계표[사번키],$X195),상세표[반영월],대상월키,상세표[반영 기관],"서울병원"))</f>
        <v/>
      </c>
      <c r="O195" s="20">
        <f>IF($X195="","",SUMIFS(상세표[07~18시],상세표[사번키],INDEX(합계표[사번키],$X195),상세표[반영월],대상월키,상세표[반영 기관],"서울병원"))</f>
        <v/>
      </c>
      <c r="P195" s="20">
        <f>IF($X195="","",SUMIFS(상세표[18~22시],상세표[사번키],INDEX(합계표[사번키],$X195),상세표[반영월],대상월키,상세표[반영 기관],"서울병원"))</f>
        <v/>
      </c>
      <c r="Q195" s="20">
        <f>IF($X195="","",SUMIFS(상세표[22~06시],상세표[사번키],INDEX(합계표[사번키],$X195),상세표[반영월],대상월키,상세표[반영 기관],"서울병원"))</f>
        <v/>
      </c>
      <c r="R195" s="20">
        <f>IF($X195="","",SUM($N195:$Q195))</f>
        <v/>
      </c>
      <c r="S195">
        <f>IF($X195="","",COUNTIFS(상세표[사번키],INDEX(합계표[사번키],$X195),상세표[반영월],대상월키,상세표[야간당직],1,상세표[야간 구분],"평일"))</f>
        <v/>
      </c>
      <c r="T195">
        <f>IF($X195="","",COUNTIFS(상세표[사번키],INDEX(합계표[사번키],$X195),상세표[반영월],대상월키,상세표[야간당직],1,상세표[야간 구분],"휴일"))</f>
        <v/>
      </c>
      <c r="U195">
        <f>IF($X195="","",COUNTIFS(상세표[사번키],INDEX(합계표[사번키],$X195),상세표[반영월],대상월키,상세표[야간당직],1,상세표[야간 구분],"평일",상세표[반영 기관],"서울병원"))</f>
        <v/>
      </c>
      <c r="V195">
        <f>IF($X195="","",COUNTIFS(상세표[사번키],INDEX(합계표[사번키],$X195),상세표[반영월],대상월키,상세표[야간당직],1,상세표[야간 구분],"휴일",상세표[반영 기관],"서울병원"))</f>
        <v/>
      </c>
      <c r="W195">
        <f>IF($X195="","",IF(ISNUMBER(MATCH(INDEX(합계표[사번키],$X195)&amp;"|"&amp;대상월키,월별근무지표[키],0)),"직접 입력",IF($L195="—","—","기관명단")))</f>
        <v/>
      </c>
      <c r="X195" s="4">
        <f>IFERROR(MATCH(190,합계표[판정순번],0),"")</f>
        <v/>
      </c>
      <c r="Z195">
        <f>IF($AC195="","",INDEX(상세표[사번],$AC195)&amp;"")</f>
        <v/>
      </c>
      <c r="AA195">
        <f>IF($AC195="","",INDEX(상세표[성명],$AC195)&amp;"")</f>
        <v/>
      </c>
      <c r="AB195" s="20">
        <f>IF($AC195="","",SUMIFS(상세표[기록 시간외],상세표[사번키],INDEX(상세표[사번키],$AC195),상세표[반영월],대상월키))</f>
        <v/>
      </c>
      <c r="AC195" s="4">
        <f>IFERROR(MATCH(190,상세표[합계없음순번],0),"")</f>
        <v/>
      </c>
    </row>
    <row r="196">
      <c r="A196">
        <f>IF($X196="","",INDEX(합계표[사번],$X196)&amp;"")</f>
        <v/>
      </c>
      <c r="B196">
        <f>IF($X196="","",INDEX(합계표[성명],$X196)&amp;"")</f>
        <v/>
      </c>
      <c r="C196">
        <f>IF($X196="","",INDEX(합계표[부서],$X196)&amp;"")</f>
        <v/>
      </c>
      <c r="D196">
        <f>IF($X196="","",INDEX(합계표[직위(요약)],$X196)&amp;"")</f>
        <v/>
      </c>
      <c r="E196">
        <f>IF($X196="","",INDEX(합계표[직급 공존],$X196)&amp;"")</f>
        <v/>
      </c>
      <c r="F196" s="20">
        <f>IF($X196="","",SUMIFS(합계표[시스템 합계],합계표[사번키],INDEX(합계표[사번키],$X196)))</f>
        <v/>
      </c>
      <c r="G196" s="20">
        <f>IF($X196="","",SUMIFS(상세표[기록 시간외],상세표[사번키],INDEX(합계표[사번키],$X196),상세표[기록월],대상월키))</f>
        <v/>
      </c>
      <c r="H196">
        <f>IF($X196="","",IF(ABS($F196-$G196)&lt;0.01,"일치","불일치(차이 "&amp;TEXT($G196-$F196,"0.00")&amp;")"))</f>
        <v/>
      </c>
      <c r="I196" s="20">
        <f>IF($X196="","",SUMIFS(상세표[기록 시간외],상세표[사번키],INDEX(합계표[사번키],$X196),상세표[기록월],대상월키,상세표[반영월],"&lt;&gt;"&amp;대상월키))</f>
        <v/>
      </c>
      <c r="J196" s="20">
        <f>IF($X196="","",SUMIFS(상세표[기록 시간외],상세표[사번키],INDEX(합계표[사번키],$X196),상세표[기록월],"&lt;&gt;"&amp;대상월키,상세표[반영월],대상월키))</f>
        <v/>
      </c>
      <c r="K196" s="20">
        <f>IF($X196="","",SUMIFS(상세표[기록 시간외],상세표[사번키],INDEX(합계표[사번키],$X196),상세표[반영월],대상월키))</f>
        <v/>
      </c>
      <c r="L196">
        <f>IF($X196="","",IFERROR(INDEX(월별근무지표[적용 급여병원],MATCH(INDEX(합계표[사번키],$X196)&amp;"|"&amp;대상월키,월별근무지표[키],0))&amp;"",IF(COUNTIF(기관표[사번키],INDEX(합계표[사번키],$X196))+COUNTIF(월별근무지표[사번키],INDEX(합계표[사번키],$X196))&gt;0,IFERROR(INDEX(기관표[급여지급병원(기준월)],MATCH(INDEX(합계표[사번키],$X196)&amp;"|"&amp;대상월키,기관표[키],0))&amp;"","—"),"—")))</f>
        <v/>
      </c>
      <c r="M196">
        <f>IF($X196="","",IF(NOT(COUNTIF(기관표[사번키],INDEX(합계표[사번키],$X196))+COUNTIF(월별근무지표[사번키],INDEX(합계표[사번키],$X196))&gt;0),"기관명단에 없음(다른 병원으로 발송)",IF($L196="서울병원","해당",IF(N($R196)&gt;0,"해당(말일 근무)",IF($L196="—","대상월 기관명단 없음(추가 필요)","비해당")))))</f>
        <v/>
      </c>
      <c r="N196" s="20">
        <f>IF($X196="","",SUMIFS(상세표[06~07시],상세표[사번키],INDEX(합계표[사번키],$X196),상세표[반영월],대상월키,상세표[반영 기관],"서울병원"))</f>
        <v/>
      </c>
      <c r="O196" s="20">
        <f>IF($X196="","",SUMIFS(상세표[07~18시],상세표[사번키],INDEX(합계표[사번키],$X196),상세표[반영월],대상월키,상세표[반영 기관],"서울병원"))</f>
        <v/>
      </c>
      <c r="P196" s="20">
        <f>IF($X196="","",SUMIFS(상세표[18~22시],상세표[사번키],INDEX(합계표[사번키],$X196),상세표[반영월],대상월키,상세표[반영 기관],"서울병원"))</f>
        <v/>
      </c>
      <c r="Q196" s="20">
        <f>IF($X196="","",SUMIFS(상세표[22~06시],상세표[사번키],INDEX(합계표[사번키],$X196),상세표[반영월],대상월키,상세표[반영 기관],"서울병원"))</f>
        <v/>
      </c>
      <c r="R196" s="20">
        <f>IF($X196="","",SUM($N196:$Q196))</f>
        <v/>
      </c>
      <c r="S196">
        <f>IF($X196="","",COUNTIFS(상세표[사번키],INDEX(합계표[사번키],$X196),상세표[반영월],대상월키,상세표[야간당직],1,상세표[야간 구분],"평일"))</f>
        <v/>
      </c>
      <c r="T196">
        <f>IF($X196="","",COUNTIFS(상세표[사번키],INDEX(합계표[사번키],$X196),상세표[반영월],대상월키,상세표[야간당직],1,상세표[야간 구분],"휴일"))</f>
        <v/>
      </c>
      <c r="U196">
        <f>IF($X196="","",COUNTIFS(상세표[사번키],INDEX(합계표[사번키],$X196),상세표[반영월],대상월키,상세표[야간당직],1,상세표[야간 구분],"평일",상세표[반영 기관],"서울병원"))</f>
        <v/>
      </c>
      <c r="V196">
        <f>IF($X196="","",COUNTIFS(상세표[사번키],INDEX(합계표[사번키],$X196),상세표[반영월],대상월키,상세표[야간당직],1,상세표[야간 구분],"휴일",상세표[반영 기관],"서울병원"))</f>
        <v/>
      </c>
      <c r="W196">
        <f>IF($X196="","",IF(ISNUMBER(MATCH(INDEX(합계표[사번키],$X196)&amp;"|"&amp;대상월키,월별근무지표[키],0)),"직접 입력",IF($L196="—","—","기관명단")))</f>
        <v/>
      </c>
      <c r="X196" s="4">
        <f>IFERROR(MATCH(191,합계표[판정순번],0),"")</f>
        <v/>
      </c>
      <c r="Z196">
        <f>IF($AC196="","",INDEX(상세표[사번],$AC196)&amp;"")</f>
        <v/>
      </c>
      <c r="AA196">
        <f>IF($AC196="","",INDEX(상세표[성명],$AC196)&amp;"")</f>
        <v/>
      </c>
      <c r="AB196" s="20">
        <f>IF($AC196="","",SUMIFS(상세표[기록 시간외],상세표[사번키],INDEX(상세표[사번키],$AC196),상세표[반영월],대상월키))</f>
        <v/>
      </c>
      <c r="AC196" s="4">
        <f>IFERROR(MATCH(191,상세표[합계없음순번],0),"")</f>
        <v/>
      </c>
    </row>
    <row r="197">
      <c r="A197">
        <f>IF($X197="","",INDEX(합계표[사번],$X197)&amp;"")</f>
        <v/>
      </c>
      <c r="B197">
        <f>IF($X197="","",INDEX(합계표[성명],$X197)&amp;"")</f>
        <v/>
      </c>
      <c r="C197">
        <f>IF($X197="","",INDEX(합계표[부서],$X197)&amp;"")</f>
        <v/>
      </c>
      <c r="D197">
        <f>IF($X197="","",INDEX(합계표[직위(요약)],$X197)&amp;"")</f>
        <v/>
      </c>
      <c r="E197">
        <f>IF($X197="","",INDEX(합계표[직급 공존],$X197)&amp;"")</f>
        <v/>
      </c>
      <c r="F197" s="20">
        <f>IF($X197="","",SUMIFS(합계표[시스템 합계],합계표[사번키],INDEX(합계표[사번키],$X197)))</f>
        <v/>
      </c>
      <c r="G197" s="20">
        <f>IF($X197="","",SUMIFS(상세표[기록 시간외],상세표[사번키],INDEX(합계표[사번키],$X197),상세표[기록월],대상월키))</f>
        <v/>
      </c>
      <c r="H197">
        <f>IF($X197="","",IF(ABS($F197-$G197)&lt;0.01,"일치","불일치(차이 "&amp;TEXT($G197-$F197,"0.00")&amp;")"))</f>
        <v/>
      </c>
      <c r="I197" s="20">
        <f>IF($X197="","",SUMIFS(상세표[기록 시간외],상세표[사번키],INDEX(합계표[사번키],$X197),상세표[기록월],대상월키,상세표[반영월],"&lt;&gt;"&amp;대상월키))</f>
        <v/>
      </c>
      <c r="J197" s="20">
        <f>IF($X197="","",SUMIFS(상세표[기록 시간외],상세표[사번키],INDEX(합계표[사번키],$X197),상세표[기록월],"&lt;&gt;"&amp;대상월키,상세표[반영월],대상월키))</f>
        <v/>
      </c>
      <c r="K197" s="20">
        <f>IF($X197="","",SUMIFS(상세표[기록 시간외],상세표[사번키],INDEX(합계표[사번키],$X197),상세표[반영월],대상월키))</f>
        <v/>
      </c>
      <c r="L197">
        <f>IF($X197="","",IFERROR(INDEX(월별근무지표[적용 급여병원],MATCH(INDEX(합계표[사번키],$X197)&amp;"|"&amp;대상월키,월별근무지표[키],0))&amp;"",IF(COUNTIF(기관표[사번키],INDEX(합계표[사번키],$X197))+COUNTIF(월별근무지표[사번키],INDEX(합계표[사번키],$X197))&gt;0,IFERROR(INDEX(기관표[급여지급병원(기준월)],MATCH(INDEX(합계표[사번키],$X197)&amp;"|"&amp;대상월키,기관표[키],0))&amp;"","—"),"—")))</f>
        <v/>
      </c>
      <c r="M197">
        <f>IF($X197="","",IF(NOT(COUNTIF(기관표[사번키],INDEX(합계표[사번키],$X197))+COUNTIF(월별근무지표[사번키],INDEX(합계표[사번키],$X197))&gt;0),"기관명단에 없음(다른 병원으로 발송)",IF($L197="서울병원","해당",IF(N($R197)&gt;0,"해당(말일 근무)",IF($L197="—","대상월 기관명단 없음(추가 필요)","비해당")))))</f>
        <v/>
      </c>
      <c r="N197" s="20">
        <f>IF($X197="","",SUMIFS(상세표[06~07시],상세표[사번키],INDEX(합계표[사번키],$X197),상세표[반영월],대상월키,상세표[반영 기관],"서울병원"))</f>
        <v/>
      </c>
      <c r="O197" s="20">
        <f>IF($X197="","",SUMIFS(상세표[07~18시],상세표[사번키],INDEX(합계표[사번키],$X197),상세표[반영월],대상월키,상세표[반영 기관],"서울병원"))</f>
        <v/>
      </c>
      <c r="P197" s="20">
        <f>IF($X197="","",SUMIFS(상세표[18~22시],상세표[사번키],INDEX(합계표[사번키],$X197),상세표[반영월],대상월키,상세표[반영 기관],"서울병원"))</f>
        <v/>
      </c>
      <c r="Q197" s="20">
        <f>IF($X197="","",SUMIFS(상세표[22~06시],상세표[사번키],INDEX(합계표[사번키],$X197),상세표[반영월],대상월키,상세표[반영 기관],"서울병원"))</f>
        <v/>
      </c>
      <c r="R197" s="20">
        <f>IF($X197="","",SUM($N197:$Q197))</f>
        <v/>
      </c>
      <c r="S197">
        <f>IF($X197="","",COUNTIFS(상세표[사번키],INDEX(합계표[사번키],$X197),상세표[반영월],대상월키,상세표[야간당직],1,상세표[야간 구분],"평일"))</f>
        <v/>
      </c>
      <c r="T197">
        <f>IF($X197="","",COUNTIFS(상세표[사번키],INDEX(합계표[사번키],$X197),상세표[반영월],대상월키,상세표[야간당직],1,상세표[야간 구분],"휴일"))</f>
        <v/>
      </c>
      <c r="U197">
        <f>IF($X197="","",COUNTIFS(상세표[사번키],INDEX(합계표[사번키],$X197),상세표[반영월],대상월키,상세표[야간당직],1,상세표[야간 구분],"평일",상세표[반영 기관],"서울병원"))</f>
        <v/>
      </c>
      <c r="V197">
        <f>IF($X197="","",COUNTIFS(상세표[사번키],INDEX(합계표[사번키],$X197),상세표[반영월],대상월키,상세표[야간당직],1,상세표[야간 구분],"휴일",상세표[반영 기관],"서울병원"))</f>
        <v/>
      </c>
      <c r="W197">
        <f>IF($X197="","",IF(ISNUMBER(MATCH(INDEX(합계표[사번키],$X197)&amp;"|"&amp;대상월키,월별근무지표[키],0)),"직접 입력",IF($L197="—","—","기관명단")))</f>
        <v/>
      </c>
      <c r="X197" s="4">
        <f>IFERROR(MATCH(192,합계표[판정순번],0),"")</f>
        <v/>
      </c>
      <c r="Z197">
        <f>IF($AC197="","",INDEX(상세표[사번],$AC197)&amp;"")</f>
        <v/>
      </c>
      <c r="AA197">
        <f>IF($AC197="","",INDEX(상세표[성명],$AC197)&amp;"")</f>
        <v/>
      </c>
      <c r="AB197" s="20">
        <f>IF($AC197="","",SUMIFS(상세표[기록 시간외],상세표[사번키],INDEX(상세표[사번키],$AC197),상세표[반영월],대상월키))</f>
        <v/>
      </c>
      <c r="AC197" s="4">
        <f>IFERROR(MATCH(192,상세표[합계없음순번],0),"")</f>
        <v/>
      </c>
    </row>
    <row r="198">
      <c r="A198">
        <f>IF($X198="","",INDEX(합계표[사번],$X198)&amp;"")</f>
        <v/>
      </c>
      <c r="B198">
        <f>IF($X198="","",INDEX(합계표[성명],$X198)&amp;"")</f>
        <v/>
      </c>
      <c r="C198">
        <f>IF($X198="","",INDEX(합계표[부서],$X198)&amp;"")</f>
        <v/>
      </c>
      <c r="D198">
        <f>IF($X198="","",INDEX(합계표[직위(요약)],$X198)&amp;"")</f>
        <v/>
      </c>
      <c r="E198">
        <f>IF($X198="","",INDEX(합계표[직급 공존],$X198)&amp;"")</f>
        <v/>
      </c>
      <c r="F198" s="20">
        <f>IF($X198="","",SUMIFS(합계표[시스템 합계],합계표[사번키],INDEX(합계표[사번키],$X198)))</f>
        <v/>
      </c>
      <c r="G198" s="20">
        <f>IF($X198="","",SUMIFS(상세표[기록 시간외],상세표[사번키],INDEX(합계표[사번키],$X198),상세표[기록월],대상월키))</f>
        <v/>
      </c>
      <c r="H198">
        <f>IF($X198="","",IF(ABS($F198-$G198)&lt;0.01,"일치","불일치(차이 "&amp;TEXT($G198-$F198,"0.00")&amp;")"))</f>
        <v/>
      </c>
      <c r="I198" s="20">
        <f>IF($X198="","",SUMIFS(상세표[기록 시간외],상세표[사번키],INDEX(합계표[사번키],$X198),상세표[기록월],대상월키,상세표[반영월],"&lt;&gt;"&amp;대상월키))</f>
        <v/>
      </c>
      <c r="J198" s="20">
        <f>IF($X198="","",SUMIFS(상세표[기록 시간외],상세표[사번키],INDEX(합계표[사번키],$X198),상세표[기록월],"&lt;&gt;"&amp;대상월키,상세표[반영월],대상월키))</f>
        <v/>
      </c>
      <c r="K198" s="20">
        <f>IF($X198="","",SUMIFS(상세표[기록 시간외],상세표[사번키],INDEX(합계표[사번키],$X198),상세표[반영월],대상월키))</f>
        <v/>
      </c>
      <c r="L198">
        <f>IF($X198="","",IFERROR(INDEX(월별근무지표[적용 급여병원],MATCH(INDEX(합계표[사번키],$X198)&amp;"|"&amp;대상월키,월별근무지표[키],0))&amp;"",IF(COUNTIF(기관표[사번키],INDEX(합계표[사번키],$X198))+COUNTIF(월별근무지표[사번키],INDEX(합계표[사번키],$X198))&gt;0,IFERROR(INDEX(기관표[급여지급병원(기준월)],MATCH(INDEX(합계표[사번키],$X198)&amp;"|"&amp;대상월키,기관표[키],0))&amp;"","—"),"—")))</f>
        <v/>
      </c>
      <c r="M198">
        <f>IF($X198="","",IF(NOT(COUNTIF(기관표[사번키],INDEX(합계표[사번키],$X198))+COUNTIF(월별근무지표[사번키],INDEX(합계표[사번키],$X198))&gt;0),"기관명단에 없음(다른 병원으로 발송)",IF($L198="서울병원","해당",IF(N($R198)&gt;0,"해당(말일 근무)",IF($L198="—","대상월 기관명단 없음(추가 필요)","비해당")))))</f>
        <v/>
      </c>
      <c r="N198" s="20">
        <f>IF($X198="","",SUMIFS(상세표[06~07시],상세표[사번키],INDEX(합계표[사번키],$X198),상세표[반영월],대상월키,상세표[반영 기관],"서울병원"))</f>
        <v/>
      </c>
      <c r="O198" s="20">
        <f>IF($X198="","",SUMIFS(상세표[07~18시],상세표[사번키],INDEX(합계표[사번키],$X198),상세표[반영월],대상월키,상세표[반영 기관],"서울병원"))</f>
        <v/>
      </c>
      <c r="P198" s="20">
        <f>IF($X198="","",SUMIFS(상세표[18~22시],상세표[사번키],INDEX(합계표[사번키],$X198),상세표[반영월],대상월키,상세표[반영 기관],"서울병원"))</f>
        <v/>
      </c>
      <c r="Q198" s="20">
        <f>IF($X198="","",SUMIFS(상세표[22~06시],상세표[사번키],INDEX(합계표[사번키],$X198),상세표[반영월],대상월키,상세표[반영 기관],"서울병원"))</f>
        <v/>
      </c>
      <c r="R198" s="20">
        <f>IF($X198="","",SUM($N198:$Q198))</f>
        <v/>
      </c>
      <c r="S198">
        <f>IF($X198="","",COUNTIFS(상세표[사번키],INDEX(합계표[사번키],$X198),상세표[반영월],대상월키,상세표[야간당직],1,상세표[야간 구분],"평일"))</f>
        <v/>
      </c>
      <c r="T198">
        <f>IF($X198="","",COUNTIFS(상세표[사번키],INDEX(합계표[사번키],$X198),상세표[반영월],대상월키,상세표[야간당직],1,상세표[야간 구분],"휴일"))</f>
        <v/>
      </c>
      <c r="U198">
        <f>IF($X198="","",COUNTIFS(상세표[사번키],INDEX(합계표[사번키],$X198),상세표[반영월],대상월키,상세표[야간당직],1,상세표[야간 구분],"평일",상세표[반영 기관],"서울병원"))</f>
        <v/>
      </c>
      <c r="V198">
        <f>IF($X198="","",COUNTIFS(상세표[사번키],INDEX(합계표[사번키],$X198),상세표[반영월],대상월키,상세표[야간당직],1,상세표[야간 구분],"휴일",상세표[반영 기관],"서울병원"))</f>
        <v/>
      </c>
      <c r="W198">
        <f>IF($X198="","",IF(ISNUMBER(MATCH(INDEX(합계표[사번키],$X198)&amp;"|"&amp;대상월키,월별근무지표[키],0)),"직접 입력",IF($L198="—","—","기관명단")))</f>
        <v/>
      </c>
      <c r="X198" s="4">
        <f>IFERROR(MATCH(193,합계표[판정순번],0),"")</f>
        <v/>
      </c>
      <c r="Z198">
        <f>IF($AC198="","",INDEX(상세표[사번],$AC198)&amp;"")</f>
        <v/>
      </c>
      <c r="AA198">
        <f>IF($AC198="","",INDEX(상세표[성명],$AC198)&amp;"")</f>
        <v/>
      </c>
      <c r="AB198" s="20">
        <f>IF($AC198="","",SUMIFS(상세표[기록 시간외],상세표[사번키],INDEX(상세표[사번키],$AC198),상세표[반영월],대상월키))</f>
        <v/>
      </c>
      <c r="AC198" s="4">
        <f>IFERROR(MATCH(193,상세표[합계없음순번],0),"")</f>
        <v/>
      </c>
    </row>
    <row r="199">
      <c r="A199">
        <f>IF($X199="","",INDEX(합계표[사번],$X199)&amp;"")</f>
        <v/>
      </c>
      <c r="B199">
        <f>IF($X199="","",INDEX(합계표[성명],$X199)&amp;"")</f>
        <v/>
      </c>
      <c r="C199">
        <f>IF($X199="","",INDEX(합계표[부서],$X199)&amp;"")</f>
        <v/>
      </c>
      <c r="D199">
        <f>IF($X199="","",INDEX(합계표[직위(요약)],$X199)&amp;"")</f>
        <v/>
      </c>
      <c r="E199">
        <f>IF($X199="","",INDEX(합계표[직급 공존],$X199)&amp;"")</f>
        <v/>
      </c>
      <c r="F199" s="20">
        <f>IF($X199="","",SUMIFS(합계표[시스템 합계],합계표[사번키],INDEX(합계표[사번키],$X199)))</f>
        <v/>
      </c>
      <c r="G199" s="20">
        <f>IF($X199="","",SUMIFS(상세표[기록 시간외],상세표[사번키],INDEX(합계표[사번키],$X199),상세표[기록월],대상월키))</f>
        <v/>
      </c>
      <c r="H199">
        <f>IF($X199="","",IF(ABS($F199-$G199)&lt;0.01,"일치","불일치(차이 "&amp;TEXT($G199-$F199,"0.00")&amp;")"))</f>
        <v/>
      </c>
      <c r="I199" s="20">
        <f>IF($X199="","",SUMIFS(상세표[기록 시간외],상세표[사번키],INDEX(합계표[사번키],$X199),상세표[기록월],대상월키,상세표[반영월],"&lt;&gt;"&amp;대상월키))</f>
        <v/>
      </c>
      <c r="J199" s="20">
        <f>IF($X199="","",SUMIFS(상세표[기록 시간외],상세표[사번키],INDEX(합계표[사번키],$X199),상세표[기록월],"&lt;&gt;"&amp;대상월키,상세표[반영월],대상월키))</f>
        <v/>
      </c>
      <c r="K199" s="20">
        <f>IF($X199="","",SUMIFS(상세표[기록 시간외],상세표[사번키],INDEX(합계표[사번키],$X199),상세표[반영월],대상월키))</f>
        <v/>
      </c>
      <c r="L199">
        <f>IF($X199="","",IFERROR(INDEX(월별근무지표[적용 급여병원],MATCH(INDEX(합계표[사번키],$X199)&amp;"|"&amp;대상월키,월별근무지표[키],0))&amp;"",IF(COUNTIF(기관표[사번키],INDEX(합계표[사번키],$X199))+COUNTIF(월별근무지표[사번키],INDEX(합계표[사번키],$X199))&gt;0,IFERROR(INDEX(기관표[급여지급병원(기준월)],MATCH(INDEX(합계표[사번키],$X199)&amp;"|"&amp;대상월키,기관표[키],0))&amp;"","—"),"—")))</f>
        <v/>
      </c>
      <c r="M199">
        <f>IF($X199="","",IF(NOT(COUNTIF(기관표[사번키],INDEX(합계표[사번키],$X199))+COUNTIF(월별근무지표[사번키],INDEX(합계표[사번키],$X199))&gt;0),"기관명단에 없음(다른 병원으로 발송)",IF($L199="서울병원","해당",IF(N($R199)&gt;0,"해당(말일 근무)",IF($L199="—","대상월 기관명단 없음(추가 필요)","비해당")))))</f>
        <v/>
      </c>
      <c r="N199" s="20">
        <f>IF($X199="","",SUMIFS(상세표[06~07시],상세표[사번키],INDEX(합계표[사번키],$X199),상세표[반영월],대상월키,상세표[반영 기관],"서울병원"))</f>
        <v/>
      </c>
      <c r="O199" s="20">
        <f>IF($X199="","",SUMIFS(상세표[07~18시],상세표[사번키],INDEX(합계표[사번키],$X199),상세표[반영월],대상월키,상세표[반영 기관],"서울병원"))</f>
        <v/>
      </c>
      <c r="P199" s="20">
        <f>IF($X199="","",SUMIFS(상세표[18~22시],상세표[사번키],INDEX(합계표[사번키],$X199),상세표[반영월],대상월키,상세표[반영 기관],"서울병원"))</f>
        <v/>
      </c>
      <c r="Q199" s="20">
        <f>IF($X199="","",SUMIFS(상세표[22~06시],상세표[사번키],INDEX(합계표[사번키],$X199),상세표[반영월],대상월키,상세표[반영 기관],"서울병원"))</f>
        <v/>
      </c>
      <c r="R199" s="20">
        <f>IF($X199="","",SUM($N199:$Q199))</f>
        <v/>
      </c>
      <c r="S199">
        <f>IF($X199="","",COUNTIFS(상세표[사번키],INDEX(합계표[사번키],$X199),상세표[반영월],대상월키,상세표[야간당직],1,상세표[야간 구분],"평일"))</f>
        <v/>
      </c>
      <c r="T199">
        <f>IF($X199="","",COUNTIFS(상세표[사번키],INDEX(합계표[사번키],$X199),상세표[반영월],대상월키,상세표[야간당직],1,상세표[야간 구분],"휴일"))</f>
        <v/>
      </c>
      <c r="U199">
        <f>IF($X199="","",COUNTIFS(상세표[사번키],INDEX(합계표[사번키],$X199),상세표[반영월],대상월키,상세표[야간당직],1,상세표[야간 구분],"평일",상세표[반영 기관],"서울병원"))</f>
        <v/>
      </c>
      <c r="V199">
        <f>IF($X199="","",COUNTIFS(상세표[사번키],INDEX(합계표[사번키],$X199),상세표[반영월],대상월키,상세표[야간당직],1,상세표[야간 구분],"휴일",상세표[반영 기관],"서울병원"))</f>
        <v/>
      </c>
      <c r="W199">
        <f>IF($X199="","",IF(ISNUMBER(MATCH(INDEX(합계표[사번키],$X199)&amp;"|"&amp;대상월키,월별근무지표[키],0)),"직접 입력",IF($L199="—","—","기관명단")))</f>
        <v/>
      </c>
      <c r="X199" s="4">
        <f>IFERROR(MATCH(194,합계표[판정순번],0),"")</f>
        <v/>
      </c>
      <c r="Z199">
        <f>IF($AC199="","",INDEX(상세표[사번],$AC199)&amp;"")</f>
        <v/>
      </c>
      <c r="AA199">
        <f>IF($AC199="","",INDEX(상세표[성명],$AC199)&amp;"")</f>
        <v/>
      </c>
      <c r="AB199" s="20">
        <f>IF($AC199="","",SUMIFS(상세표[기록 시간외],상세표[사번키],INDEX(상세표[사번키],$AC199),상세표[반영월],대상월키))</f>
        <v/>
      </c>
      <c r="AC199" s="4">
        <f>IFERROR(MATCH(194,상세표[합계없음순번],0),"")</f>
        <v/>
      </c>
    </row>
    <row r="200">
      <c r="A200">
        <f>IF($X200="","",INDEX(합계표[사번],$X200)&amp;"")</f>
        <v/>
      </c>
      <c r="B200">
        <f>IF($X200="","",INDEX(합계표[성명],$X200)&amp;"")</f>
        <v/>
      </c>
      <c r="C200">
        <f>IF($X200="","",INDEX(합계표[부서],$X200)&amp;"")</f>
        <v/>
      </c>
      <c r="D200">
        <f>IF($X200="","",INDEX(합계표[직위(요약)],$X200)&amp;"")</f>
        <v/>
      </c>
      <c r="E200">
        <f>IF($X200="","",INDEX(합계표[직급 공존],$X200)&amp;"")</f>
        <v/>
      </c>
      <c r="F200" s="20">
        <f>IF($X200="","",SUMIFS(합계표[시스템 합계],합계표[사번키],INDEX(합계표[사번키],$X200)))</f>
        <v/>
      </c>
      <c r="G200" s="20">
        <f>IF($X200="","",SUMIFS(상세표[기록 시간외],상세표[사번키],INDEX(합계표[사번키],$X200),상세표[기록월],대상월키))</f>
        <v/>
      </c>
      <c r="H200">
        <f>IF($X200="","",IF(ABS($F200-$G200)&lt;0.01,"일치","불일치(차이 "&amp;TEXT($G200-$F200,"0.00")&amp;")"))</f>
        <v/>
      </c>
      <c r="I200" s="20">
        <f>IF($X200="","",SUMIFS(상세표[기록 시간외],상세표[사번키],INDEX(합계표[사번키],$X200),상세표[기록월],대상월키,상세표[반영월],"&lt;&gt;"&amp;대상월키))</f>
        <v/>
      </c>
      <c r="J200" s="20">
        <f>IF($X200="","",SUMIFS(상세표[기록 시간외],상세표[사번키],INDEX(합계표[사번키],$X200),상세표[기록월],"&lt;&gt;"&amp;대상월키,상세표[반영월],대상월키))</f>
        <v/>
      </c>
      <c r="K200" s="20">
        <f>IF($X200="","",SUMIFS(상세표[기록 시간외],상세표[사번키],INDEX(합계표[사번키],$X200),상세표[반영월],대상월키))</f>
        <v/>
      </c>
      <c r="L200">
        <f>IF($X200="","",IFERROR(INDEX(월별근무지표[적용 급여병원],MATCH(INDEX(합계표[사번키],$X200)&amp;"|"&amp;대상월키,월별근무지표[키],0))&amp;"",IF(COUNTIF(기관표[사번키],INDEX(합계표[사번키],$X200))+COUNTIF(월별근무지표[사번키],INDEX(합계표[사번키],$X200))&gt;0,IFERROR(INDEX(기관표[급여지급병원(기준월)],MATCH(INDEX(합계표[사번키],$X200)&amp;"|"&amp;대상월키,기관표[키],0))&amp;"","—"),"—")))</f>
        <v/>
      </c>
      <c r="M200">
        <f>IF($X200="","",IF(NOT(COUNTIF(기관표[사번키],INDEX(합계표[사번키],$X200))+COUNTIF(월별근무지표[사번키],INDEX(합계표[사번키],$X200))&gt;0),"기관명단에 없음(다른 병원으로 발송)",IF($L200="서울병원","해당",IF(N($R200)&gt;0,"해당(말일 근무)",IF($L200="—","대상월 기관명단 없음(추가 필요)","비해당")))))</f>
        <v/>
      </c>
      <c r="N200" s="20">
        <f>IF($X200="","",SUMIFS(상세표[06~07시],상세표[사번키],INDEX(합계표[사번키],$X200),상세표[반영월],대상월키,상세표[반영 기관],"서울병원"))</f>
        <v/>
      </c>
      <c r="O200" s="20">
        <f>IF($X200="","",SUMIFS(상세표[07~18시],상세표[사번키],INDEX(합계표[사번키],$X200),상세표[반영월],대상월키,상세표[반영 기관],"서울병원"))</f>
        <v/>
      </c>
      <c r="P200" s="20">
        <f>IF($X200="","",SUMIFS(상세표[18~22시],상세표[사번키],INDEX(합계표[사번키],$X200),상세표[반영월],대상월키,상세표[반영 기관],"서울병원"))</f>
        <v/>
      </c>
      <c r="Q200" s="20">
        <f>IF($X200="","",SUMIFS(상세표[22~06시],상세표[사번키],INDEX(합계표[사번키],$X200),상세표[반영월],대상월키,상세표[반영 기관],"서울병원"))</f>
        <v/>
      </c>
      <c r="R200" s="20">
        <f>IF($X200="","",SUM($N200:$Q200))</f>
        <v/>
      </c>
      <c r="S200">
        <f>IF($X200="","",COUNTIFS(상세표[사번키],INDEX(합계표[사번키],$X200),상세표[반영월],대상월키,상세표[야간당직],1,상세표[야간 구분],"평일"))</f>
        <v/>
      </c>
      <c r="T200">
        <f>IF($X200="","",COUNTIFS(상세표[사번키],INDEX(합계표[사번키],$X200),상세표[반영월],대상월키,상세표[야간당직],1,상세표[야간 구분],"휴일"))</f>
        <v/>
      </c>
      <c r="U200">
        <f>IF($X200="","",COUNTIFS(상세표[사번키],INDEX(합계표[사번키],$X200),상세표[반영월],대상월키,상세표[야간당직],1,상세표[야간 구분],"평일",상세표[반영 기관],"서울병원"))</f>
        <v/>
      </c>
      <c r="V200">
        <f>IF($X200="","",COUNTIFS(상세표[사번키],INDEX(합계표[사번키],$X200),상세표[반영월],대상월키,상세표[야간당직],1,상세표[야간 구분],"휴일",상세표[반영 기관],"서울병원"))</f>
        <v/>
      </c>
      <c r="W200">
        <f>IF($X200="","",IF(ISNUMBER(MATCH(INDEX(합계표[사번키],$X200)&amp;"|"&amp;대상월키,월별근무지표[키],0)),"직접 입력",IF($L200="—","—","기관명단")))</f>
        <v/>
      </c>
      <c r="X200" s="4">
        <f>IFERROR(MATCH(195,합계표[판정순번],0),"")</f>
        <v/>
      </c>
      <c r="Z200">
        <f>IF($AC200="","",INDEX(상세표[사번],$AC200)&amp;"")</f>
        <v/>
      </c>
      <c r="AA200">
        <f>IF($AC200="","",INDEX(상세표[성명],$AC200)&amp;"")</f>
        <v/>
      </c>
      <c r="AB200" s="20">
        <f>IF($AC200="","",SUMIFS(상세표[기록 시간외],상세표[사번키],INDEX(상세표[사번키],$AC200),상세표[반영월],대상월키))</f>
        <v/>
      </c>
      <c r="AC200" s="4">
        <f>IFERROR(MATCH(195,상세표[합계없음순번],0),"")</f>
        <v/>
      </c>
    </row>
    <row r="201">
      <c r="A201">
        <f>IF($X201="","",INDEX(합계표[사번],$X201)&amp;"")</f>
        <v/>
      </c>
      <c r="B201">
        <f>IF($X201="","",INDEX(합계표[성명],$X201)&amp;"")</f>
        <v/>
      </c>
      <c r="C201">
        <f>IF($X201="","",INDEX(합계표[부서],$X201)&amp;"")</f>
        <v/>
      </c>
      <c r="D201">
        <f>IF($X201="","",INDEX(합계표[직위(요약)],$X201)&amp;"")</f>
        <v/>
      </c>
      <c r="E201">
        <f>IF($X201="","",INDEX(합계표[직급 공존],$X201)&amp;"")</f>
        <v/>
      </c>
      <c r="F201" s="20">
        <f>IF($X201="","",SUMIFS(합계표[시스템 합계],합계표[사번키],INDEX(합계표[사번키],$X201)))</f>
        <v/>
      </c>
      <c r="G201" s="20">
        <f>IF($X201="","",SUMIFS(상세표[기록 시간외],상세표[사번키],INDEX(합계표[사번키],$X201),상세표[기록월],대상월키))</f>
        <v/>
      </c>
      <c r="H201">
        <f>IF($X201="","",IF(ABS($F201-$G201)&lt;0.01,"일치","불일치(차이 "&amp;TEXT($G201-$F201,"0.00")&amp;")"))</f>
        <v/>
      </c>
      <c r="I201" s="20">
        <f>IF($X201="","",SUMIFS(상세표[기록 시간외],상세표[사번키],INDEX(합계표[사번키],$X201),상세표[기록월],대상월키,상세표[반영월],"&lt;&gt;"&amp;대상월키))</f>
        <v/>
      </c>
      <c r="J201" s="20">
        <f>IF($X201="","",SUMIFS(상세표[기록 시간외],상세표[사번키],INDEX(합계표[사번키],$X201),상세표[기록월],"&lt;&gt;"&amp;대상월키,상세표[반영월],대상월키))</f>
        <v/>
      </c>
      <c r="K201" s="20">
        <f>IF($X201="","",SUMIFS(상세표[기록 시간외],상세표[사번키],INDEX(합계표[사번키],$X201),상세표[반영월],대상월키))</f>
        <v/>
      </c>
      <c r="L201">
        <f>IF($X201="","",IFERROR(INDEX(월별근무지표[적용 급여병원],MATCH(INDEX(합계표[사번키],$X201)&amp;"|"&amp;대상월키,월별근무지표[키],0))&amp;"",IF(COUNTIF(기관표[사번키],INDEX(합계표[사번키],$X201))+COUNTIF(월별근무지표[사번키],INDEX(합계표[사번키],$X201))&gt;0,IFERROR(INDEX(기관표[급여지급병원(기준월)],MATCH(INDEX(합계표[사번키],$X201)&amp;"|"&amp;대상월키,기관표[키],0))&amp;"","—"),"—")))</f>
        <v/>
      </c>
      <c r="M201">
        <f>IF($X201="","",IF(NOT(COUNTIF(기관표[사번키],INDEX(합계표[사번키],$X201))+COUNTIF(월별근무지표[사번키],INDEX(합계표[사번키],$X201))&gt;0),"기관명단에 없음(다른 병원으로 발송)",IF($L201="서울병원","해당",IF(N($R201)&gt;0,"해당(말일 근무)",IF($L201="—","대상월 기관명단 없음(추가 필요)","비해당")))))</f>
        <v/>
      </c>
      <c r="N201" s="20">
        <f>IF($X201="","",SUMIFS(상세표[06~07시],상세표[사번키],INDEX(합계표[사번키],$X201),상세표[반영월],대상월키,상세표[반영 기관],"서울병원"))</f>
        <v/>
      </c>
      <c r="O201" s="20">
        <f>IF($X201="","",SUMIFS(상세표[07~18시],상세표[사번키],INDEX(합계표[사번키],$X201),상세표[반영월],대상월키,상세표[반영 기관],"서울병원"))</f>
        <v/>
      </c>
      <c r="P201" s="20">
        <f>IF($X201="","",SUMIFS(상세표[18~22시],상세표[사번키],INDEX(합계표[사번키],$X201),상세표[반영월],대상월키,상세표[반영 기관],"서울병원"))</f>
        <v/>
      </c>
      <c r="Q201" s="20">
        <f>IF($X201="","",SUMIFS(상세표[22~06시],상세표[사번키],INDEX(합계표[사번키],$X201),상세표[반영월],대상월키,상세표[반영 기관],"서울병원"))</f>
        <v/>
      </c>
      <c r="R201" s="20">
        <f>IF($X201="","",SUM($N201:$Q201))</f>
        <v/>
      </c>
      <c r="S201">
        <f>IF($X201="","",COUNTIFS(상세표[사번키],INDEX(합계표[사번키],$X201),상세표[반영월],대상월키,상세표[야간당직],1,상세표[야간 구분],"평일"))</f>
        <v/>
      </c>
      <c r="T201">
        <f>IF($X201="","",COUNTIFS(상세표[사번키],INDEX(합계표[사번키],$X201),상세표[반영월],대상월키,상세표[야간당직],1,상세표[야간 구분],"휴일"))</f>
        <v/>
      </c>
      <c r="U201">
        <f>IF($X201="","",COUNTIFS(상세표[사번키],INDEX(합계표[사번키],$X201),상세표[반영월],대상월키,상세표[야간당직],1,상세표[야간 구분],"평일",상세표[반영 기관],"서울병원"))</f>
        <v/>
      </c>
      <c r="V201">
        <f>IF($X201="","",COUNTIFS(상세표[사번키],INDEX(합계표[사번키],$X201),상세표[반영월],대상월키,상세표[야간당직],1,상세표[야간 구분],"휴일",상세표[반영 기관],"서울병원"))</f>
        <v/>
      </c>
      <c r="W201">
        <f>IF($X201="","",IF(ISNUMBER(MATCH(INDEX(합계표[사번키],$X201)&amp;"|"&amp;대상월키,월별근무지표[키],0)),"직접 입력",IF($L201="—","—","기관명단")))</f>
        <v/>
      </c>
      <c r="X201" s="4">
        <f>IFERROR(MATCH(196,합계표[판정순번],0),"")</f>
        <v/>
      </c>
      <c r="Z201">
        <f>IF($AC201="","",INDEX(상세표[사번],$AC201)&amp;"")</f>
        <v/>
      </c>
      <c r="AA201">
        <f>IF($AC201="","",INDEX(상세표[성명],$AC201)&amp;"")</f>
        <v/>
      </c>
      <c r="AB201" s="20">
        <f>IF($AC201="","",SUMIFS(상세표[기록 시간외],상세표[사번키],INDEX(상세표[사번키],$AC201),상세표[반영월],대상월키))</f>
        <v/>
      </c>
      <c r="AC201" s="4">
        <f>IFERROR(MATCH(196,상세표[합계없음순번],0),"")</f>
        <v/>
      </c>
    </row>
    <row r="202">
      <c r="A202">
        <f>IF($X202="","",INDEX(합계표[사번],$X202)&amp;"")</f>
        <v/>
      </c>
      <c r="B202">
        <f>IF($X202="","",INDEX(합계표[성명],$X202)&amp;"")</f>
        <v/>
      </c>
      <c r="C202">
        <f>IF($X202="","",INDEX(합계표[부서],$X202)&amp;"")</f>
        <v/>
      </c>
      <c r="D202">
        <f>IF($X202="","",INDEX(합계표[직위(요약)],$X202)&amp;"")</f>
        <v/>
      </c>
      <c r="E202">
        <f>IF($X202="","",INDEX(합계표[직급 공존],$X202)&amp;"")</f>
        <v/>
      </c>
      <c r="F202" s="20">
        <f>IF($X202="","",SUMIFS(합계표[시스템 합계],합계표[사번키],INDEX(합계표[사번키],$X202)))</f>
        <v/>
      </c>
      <c r="G202" s="20">
        <f>IF($X202="","",SUMIFS(상세표[기록 시간외],상세표[사번키],INDEX(합계표[사번키],$X202),상세표[기록월],대상월키))</f>
        <v/>
      </c>
      <c r="H202">
        <f>IF($X202="","",IF(ABS($F202-$G202)&lt;0.01,"일치","불일치(차이 "&amp;TEXT($G202-$F202,"0.00")&amp;")"))</f>
        <v/>
      </c>
      <c r="I202" s="20">
        <f>IF($X202="","",SUMIFS(상세표[기록 시간외],상세표[사번키],INDEX(합계표[사번키],$X202),상세표[기록월],대상월키,상세표[반영월],"&lt;&gt;"&amp;대상월키))</f>
        <v/>
      </c>
      <c r="J202" s="20">
        <f>IF($X202="","",SUMIFS(상세표[기록 시간외],상세표[사번키],INDEX(합계표[사번키],$X202),상세표[기록월],"&lt;&gt;"&amp;대상월키,상세표[반영월],대상월키))</f>
        <v/>
      </c>
      <c r="K202" s="20">
        <f>IF($X202="","",SUMIFS(상세표[기록 시간외],상세표[사번키],INDEX(합계표[사번키],$X202),상세표[반영월],대상월키))</f>
        <v/>
      </c>
      <c r="L202">
        <f>IF($X202="","",IFERROR(INDEX(월별근무지표[적용 급여병원],MATCH(INDEX(합계표[사번키],$X202)&amp;"|"&amp;대상월키,월별근무지표[키],0))&amp;"",IF(COUNTIF(기관표[사번키],INDEX(합계표[사번키],$X202))+COUNTIF(월별근무지표[사번키],INDEX(합계표[사번키],$X202))&gt;0,IFERROR(INDEX(기관표[급여지급병원(기준월)],MATCH(INDEX(합계표[사번키],$X202)&amp;"|"&amp;대상월키,기관표[키],0))&amp;"","—"),"—")))</f>
        <v/>
      </c>
      <c r="M202">
        <f>IF($X202="","",IF(NOT(COUNTIF(기관표[사번키],INDEX(합계표[사번키],$X202))+COUNTIF(월별근무지표[사번키],INDEX(합계표[사번키],$X202))&gt;0),"기관명단에 없음(다른 병원으로 발송)",IF($L202="서울병원","해당",IF(N($R202)&gt;0,"해당(말일 근무)",IF($L202="—","대상월 기관명단 없음(추가 필요)","비해당")))))</f>
        <v/>
      </c>
      <c r="N202" s="20">
        <f>IF($X202="","",SUMIFS(상세표[06~07시],상세표[사번키],INDEX(합계표[사번키],$X202),상세표[반영월],대상월키,상세표[반영 기관],"서울병원"))</f>
        <v/>
      </c>
      <c r="O202" s="20">
        <f>IF($X202="","",SUMIFS(상세표[07~18시],상세표[사번키],INDEX(합계표[사번키],$X202),상세표[반영월],대상월키,상세표[반영 기관],"서울병원"))</f>
        <v/>
      </c>
      <c r="P202" s="20">
        <f>IF($X202="","",SUMIFS(상세표[18~22시],상세표[사번키],INDEX(합계표[사번키],$X202),상세표[반영월],대상월키,상세표[반영 기관],"서울병원"))</f>
        <v/>
      </c>
      <c r="Q202" s="20">
        <f>IF($X202="","",SUMIFS(상세표[22~06시],상세표[사번키],INDEX(합계표[사번키],$X202),상세표[반영월],대상월키,상세표[반영 기관],"서울병원"))</f>
        <v/>
      </c>
      <c r="R202" s="20">
        <f>IF($X202="","",SUM($N202:$Q202))</f>
        <v/>
      </c>
      <c r="S202">
        <f>IF($X202="","",COUNTIFS(상세표[사번키],INDEX(합계표[사번키],$X202),상세표[반영월],대상월키,상세표[야간당직],1,상세표[야간 구분],"평일"))</f>
        <v/>
      </c>
      <c r="T202">
        <f>IF($X202="","",COUNTIFS(상세표[사번키],INDEX(합계표[사번키],$X202),상세표[반영월],대상월키,상세표[야간당직],1,상세표[야간 구분],"휴일"))</f>
        <v/>
      </c>
      <c r="U202">
        <f>IF($X202="","",COUNTIFS(상세표[사번키],INDEX(합계표[사번키],$X202),상세표[반영월],대상월키,상세표[야간당직],1,상세표[야간 구분],"평일",상세표[반영 기관],"서울병원"))</f>
        <v/>
      </c>
      <c r="V202">
        <f>IF($X202="","",COUNTIFS(상세표[사번키],INDEX(합계표[사번키],$X202),상세표[반영월],대상월키,상세표[야간당직],1,상세표[야간 구분],"휴일",상세표[반영 기관],"서울병원"))</f>
        <v/>
      </c>
      <c r="W202">
        <f>IF($X202="","",IF(ISNUMBER(MATCH(INDEX(합계표[사번키],$X202)&amp;"|"&amp;대상월키,월별근무지표[키],0)),"직접 입력",IF($L202="—","—","기관명단")))</f>
        <v/>
      </c>
      <c r="X202" s="4">
        <f>IFERROR(MATCH(197,합계표[판정순번],0),"")</f>
        <v/>
      </c>
      <c r="Z202">
        <f>IF($AC202="","",INDEX(상세표[사번],$AC202)&amp;"")</f>
        <v/>
      </c>
      <c r="AA202">
        <f>IF($AC202="","",INDEX(상세표[성명],$AC202)&amp;"")</f>
        <v/>
      </c>
      <c r="AB202" s="20">
        <f>IF($AC202="","",SUMIFS(상세표[기록 시간외],상세표[사번키],INDEX(상세표[사번키],$AC202),상세표[반영월],대상월키))</f>
        <v/>
      </c>
      <c r="AC202" s="4">
        <f>IFERROR(MATCH(197,상세표[합계없음순번],0),"")</f>
        <v/>
      </c>
    </row>
    <row r="203">
      <c r="A203">
        <f>IF($X203="","",INDEX(합계표[사번],$X203)&amp;"")</f>
        <v/>
      </c>
      <c r="B203">
        <f>IF($X203="","",INDEX(합계표[성명],$X203)&amp;"")</f>
        <v/>
      </c>
      <c r="C203">
        <f>IF($X203="","",INDEX(합계표[부서],$X203)&amp;"")</f>
        <v/>
      </c>
      <c r="D203">
        <f>IF($X203="","",INDEX(합계표[직위(요약)],$X203)&amp;"")</f>
        <v/>
      </c>
      <c r="E203">
        <f>IF($X203="","",INDEX(합계표[직급 공존],$X203)&amp;"")</f>
        <v/>
      </c>
      <c r="F203" s="20">
        <f>IF($X203="","",SUMIFS(합계표[시스템 합계],합계표[사번키],INDEX(합계표[사번키],$X203)))</f>
        <v/>
      </c>
      <c r="G203" s="20">
        <f>IF($X203="","",SUMIFS(상세표[기록 시간외],상세표[사번키],INDEX(합계표[사번키],$X203),상세표[기록월],대상월키))</f>
        <v/>
      </c>
      <c r="H203">
        <f>IF($X203="","",IF(ABS($F203-$G203)&lt;0.01,"일치","불일치(차이 "&amp;TEXT($G203-$F203,"0.00")&amp;")"))</f>
        <v/>
      </c>
      <c r="I203" s="20">
        <f>IF($X203="","",SUMIFS(상세표[기록 시간외],상세표[사번키],INDEX(합계표[사번키],$X203),상세표[기록월],대상월키,상세표[반영월],"&lt;&gt;"&amp;대상월키))</f>
        <v/>
      </c>
      <c r="J203" s="20">
        <f>IF($X203="","",SUMIFS(상세표[기록 시간외],상세표[사번키],INDEX(합계표[사번키],$X203),상세표[기록월],"&lt;&gt;"&amp;대상월키,상세표[반영월],대상월키))</f>
        <v/>
      </c>
      <c r="K203" s="20">
        <f>IF($X203="","",SUMIFS(상세표[기록 시간외],상세표[사번키],INDEX(합계표[사번키],$X203),상세표[반영월],대상월키))</f>
        <v/>
      </c>
      <c r="L203">
        <f>IF($X203="","",IFERROR(INDEX(월별근무지표[적용 급여병원],MATCH(INDEX(합계표[사번키],$X203)&amp;"|"&amp;대상월키,월별근무지표[키],0))&amp;"",IF(COUNTIF(기관표[사번키],INDEX(합계표[사번키],$X203))+COUNTIF(월별근무지표[사번키],INDEX(합계표[사번키],$X203))&gt;0,IFERROR(INDEX(기관표[급여지급병원(기준월)],MATCH(INDEX(합계표[사번키],$X203)&amp;"|"&amp;대상월키,기관표[키],0))&amp;"","—"),"—")))</f>
        <v/>
      </c>
      <c r="M203">
        <f>IF($X203="","",IF(NOT(COUNTIF(기관표[사번키],INDEX(합계표[사번키],$X203))+COUNTIF(월별근무지표[사번키],INDEX(합계표[사번키],$X203))&gt;0),"기관명단에 없음(다른 병원으로 발송)",IF($L203="서울병원","해당",IF(N($R203)&gt;0,"해당(말일 근무)",IF($L203="—","대상월 기관명단 없음(추가 필요)","비해당")))))</f>
        <v/>
      </c>
      <c r="N203" s="20">
        <f>IF($X203="","",SUMIFS(상세표[06~07시],상세표[사번키],INDEX(합계표[사번키],$X203),상세표[반영월],대상월키,상세표[반영 기관],"서울병원"))</f>
        <v/>
      </c>
      <c r="O203" s="20">
        <f>IF($X203="","",SUMIFS(상세표[07~18시],상세표[사번키],INDEX(합계표[사번키],$X203),상세표[반영월],대상월키,상세표[반영 기관],"서울병원"))</f>
        <v/>
      </c>
      <c r="P203" s="20">
        <f>IF($X203="","",SUMIFS(상세표[18~22시],상세표[사번키],INDEX(합계표[사번키],$X203),상세표[반영월],대상월키,상세표[반영 기관],"서울병원"))</f>
        <v/>
      </c>
      <c r="Q203" s="20">
        <f>IF($X203="","",SUMIFS(상세표[22~06시],상세표[사번키],INDEX(합계표[사번키],$X203),상세표[반영월],대상월키,상세표[반영 기관],"서울병원"))</f>
        <v/>
      </c>
      <c r="R203" s="20">
        <f>IF($X203="","",SUM($N203:$Q203))</f>
        <v/>
      </c>
      <c r="S203">
        <f>IF($X203="","",COUNTIFS(상세표[사번키],INDEX(합계표[사번키],$X203),상세표[반영월],대상월키,상세표[야간당직],1,상세표[야간 구분],"평일"))</f>
        <v/>
      </c>
      <c r="T203">
        <f>IF($X203="","",COUNTIFS(상세표[사번키],INDEX(합계표[사번키],$X203),상세표[반영월],대상월키,상세표[야간당직],1,상세표[야간 구분],"휴일"))</f>
        <v/>
      </c>
      <c r="U203">
        <f>IF($X203="","",COUNTIFS(상세표[사번키],INDEX(합계표[사번키],$X203),상세표[반영월],대상월키,상세표[야간당직],1,상세표[야간 구분],"평일",상세표[반영 기관],"서울병원"))</f>
        <v/>
      </c>
      <c r="V203">
        <f>IF($X203="","",COUNTIFS(상세표[사번키],INDEX(합계표[사번키],$X203),상세표[반영월],대상월키,상세표[야간당직],1,상세표[야간 구분],"휴일",상세표[반영 기관],"서울병원"))</f>
        <v/>
      </c>
      <c r="W203">
        <f>IF($X203="","",IF(ISNUMBER(MATCH(INDEX(합계표[사번키],$X203)&amp;"|"&amp;대상월키,월별근무지표[키],0)),"직접 입력",IF($L203="—","—","기관명단")))</f>
        <v/>
      </c>
      <c r="X203" s="4">
        <f>IFERROR(MATCH(198,합계표[판정순번],0),"")</f>
        <v/>
      </c>
      <c r="Z203">
        <f>IF($AC203="","",INDEX(상세표[사번],$AC203)&amp;"")</f>
        <v/>
      </c>
      <c r="AA203">
        <f>IF($AC203="","",INDEX(상세표[성명],$AC203)&amp;"")</f>
        <v/>
      </c>
      <c r="AB203" s="20">
        <f>IF($AC203="","",SUMIFS(상세표[기록 시간외],상세표[사번키],INDEX(상세표[사번키],$AC203),상세표[반영월],대상월키))</f>
        <v/>
      </c>
      <c r="AC203" s="4">
        <f>IFERROR(MATCH(198,상세표[합계없음순번],0),"")</f>
        <v/>
      </c>
    </row>
    <row r="204">
      <c r="A204">
        <f>IF($X204="","",INDEX(합계표[사번],$X204)&amp;"")</f>
        <v/>
      </c>
      <c r="B204">
        <f>IF($X204="","",INDEX(합계표[성명],$X204)&amp;"")</f>
        <v/>
      </c>
      <c r="C204">
        <f>IF($X204="","",INDEX(합계표[부서],$X204)&amp;"")</f>
        <v/>
      </c>
      <c r="D204">
        <f>IF($X204="","",INDEX(합계표[직위(요약)],$X204)&amp;"")</f>
        <v/>
      </c>
      <c r="E204">
        <f>IF($X204="","",INDEX(합계표[직급 공존],$X204)&amp;"")</f>
        <v/>
      </c>
      <c r="F204" s="20">
        <f>IF($X204="","",SUMIFS(합계표[시스템 합계],합계표[사번키],INDEX(합계표[사번키],$X204)))</f>
        <v/>
      </c>
      <c r="G204" s="20">
        <f>IF($X204="","",SUMIFS(상세표[기록 시간외],상세표[사번키],INDEX(합계표[사번키],$X204),상세표[기록월],대상월키))</f>
        <v/>
      </c>
      <c r="H204">
        <f>IF($X204="","",IF(ABS($F204-$G204)&lt;0.01,"일치","불일치(차이 "&amp;TEXT($G204-$F204,"0.00")&amp;")"))</f>
        <v/>
      </c>
      <c r="I204" s="20">
        <f>IF($X204="","",SUMIFS(상세표[기록 시간외],상세표[사번키],INDEX(합계표[사번키],$X204),상세표[기록월],대상월키,상세표[반영월],"&lt;&gt;"&amp;대상월키))</f>
        <v/>
      </c>
      <c r="J204" s="20">
        <f>IF($X204="","",SUMIFS(상세표[기록 시간외],상세표[사번키],INDEX(합계표[사번키],$X204),상세표[기록월],"&lt;&gt;"&amp;대상월키,상세표[반영월],대상월키))</f>
        <v/>
      </c>
      <c r="K204" s="20">
        <f>IF($X204="","",SUMIFS(상세표[기록 시간외],상세표[사번키],INDEX(합계표[사번키],$X204),상세표[반영월],대상월키))</f>
        <v/>
      </c>
      <c r="L204">
        <f>IF($X204="","",IFERROR(INDEX(월별근무지표[적용 급여병원],MATCH(INDEX(합계표[사번키],$X204)&amp;"|"&amp;대상월키,월별근무지표[키],0))&amp;"",IF(COUNTIF(기관표[사번키],INDEX(합계표[사번키],$X204))+COUNTIF(월별근무지표[사번키],INDEX(합계표[사번키],$X204))&gt;0,IFERROR(INDEX(기관표[급여지급병원(기준월)],MATCH(INDEX(합계표[사번키],$X204)&amp;"|"&amp;대상월키,기관표[키],0))&amp;"","—"),"—")))</f>
        <v/>
      </c>
      <c r="M204">
        <f>IF($X204="","",IF(NOT(COUNTIF(기관표[사번키],INDEX(합계표[사번키],$X204))+COUNTIF(월별근무지표[사번키],INDEX(합계표[사번키],$X204))&gt;0),"기관명단에 없음(다른 병원으로 발송)",IF($L204="서울병원","해당",IF(N($R204)&gt;0,"해당(말일 근무)",IF($L204="—","대상월 기관명단 없음(추가 필요)","비해당")))))</f>
        <v/>
      </c>
      <c r="N204" s="20">
        <f>IF($X204="","",SUMIFS(상세표[06~07시],상세표[사번키],INDEX(합계표[사번키],$X204),상세표[반영월],대상월키,상세표[반영 기관],"서울병원"))</f>
        <v/>
      </c>
      <c r="O204" s="20">
        <f>IF($X204="","",SUMIFS(상세표[07~18시],상세표[사번키],INDEX(합계표[사번키],$X204),상세표[반영월],대상월키,상세표[반영 기관],"서울병원"))</f>
        <v/>
      </c>
      <c r="P204" s="20">
        <f>IF($X204="","",SUMIFS(상세표[18~22시],상세표[사번키],INDEX(합계표[사번키],$X204),상세표[반영월],대상월키,상세표[반영 기관],"서울병원"))</f>
        <v/>
      </c>
      <c r="Q204" s="20">
        <f>IF($X204="","",SUMIFS(상세표[22~06시],상세표[사번키],INDEX(합계표[사번키],$X204),상세표[반영월],대상월키,상세표[반영 기관],"서울병원"))</f>
        <v/>
      </c>
      <c r="R204" s="20">
        <f>IF($X204="","",SUM($N204:$Q204))</f>
        <v/>
      </c>
      <c r="S204">
        <f>IF($X204="","",COUNTIFS(상세표[사번키],INDEX(합계표[사번키],$X204),상세표[반영월],대상월키,상세표[야간당직],1,상세표[야간 구분],"평일"))</f>
        <v/>
      </c>
      <c r="T204">
        <f>IF($X204="","",COUNTIFS(상세표[사번키],INDEX(합계표[사번키],$X204),상세표[반영월],대상월키,상세표[야간당직],1,상세표[야간 구분],"휴일"))</f>
        <v/>
      </c>
      <c r="U204">
        <f>IF($X204="","",COUNTIFS(상세표[사번키],INDEX(합계표[사번키],$X204),상세표[반영월],대상월키,상세표[야간당직],1,상세표[야간 구분],"평일",상세표[반영 기관],"서울병원"))</f>
        <v/>
      </c>
      <c r="V204">
        <f>IF($X204="","",COUNTIFS(상세표[사번키],INDEX(합계표[사번키],$X204),상세표[반영월],대상월키,상세표[야간당직],1,상세표[야간 구분],"휴일",상세표[반영 기관],"서울병원"))</f>
        <v/>
      </c>
      <c r="W204">
        <f>IF($X204="","",IF(ISNUMBER(MATCH(INDEX(합계표[사번키],$X204)&amp;"|"&amp;대상월키,월별근무지표[키],0)),"직접 입력",IF($L204="—","—","기관명단")))</f>
        <v/>
      </c>
      <c r="X204" s="4">
        <f>IFERROR(MATCH(199,합계표[판정순번],0),"")</f>
        <v/>
      </c>
      <c r="Z204">
        <f>IF($AC204="","",INDEX(상세표[사번],$AC204)&amp;"")</f>
        <v/>
      </c>
      <c r="AA204">
        <f>IF($AC204="","",INDEX(상세표[성명],$AC204)&amp;"")</f>
        <v/>
      </c>
      <c r="AB204" s="20">
        <f>IF($AC204="","",SUMIFS(상세표[기록 시간외],상세표[사번키],INDEX(상세표[사번키],$AC204),상세표[반영월],대상월키))</f>
        <v/>
      </c>
      <c r="AC204" s="4">
        <f>IFERROR(MATCH(199,상세표[합계없음순번],0),"")</f>
        <v/>
      </c>
    </row>
    <row r="205">
      <c r="A205">
        <f>IF($X205="","",INDEX(합계표[사번],$X205)&amp;"")</f>
        <v/>
      </c>
      <c r="B205">
        <f>IF($X205="","",INDEX(합계표[성명],$X205)&amp;"")</f>
        <v/>
      </c>
      <c r="C205">
        <f>IF($X205="","",INDEX(합계표[부서],$X205)&amp;"")</f>
        <v/>
      </c>
      <c r="D205">
        <f>IF($X205="","",INDEX(합계표[직위(요약)],$X205)&amp;"")</f>
        <v/>
      </c>
      <c r="E205">
        <f>IF($X205="","",INDEX(합계표[직급 공존],$X205)&amp;"")</f>
        <v/>
      </c>
      <c r="F205" s="20">
        <f>IF($X205="","",SUMIFS(합계표[시스템 합계],합계표[사번키],INDEX(합계표[사번키],$X205)))</f>
        <v/>
      </c>
      <c r="G205" s="20">
        <f>IF($X205="","",SUMIFS(상세표[기록 시간외],상세표[사번키],INDEX(합계표[사번키],$X205),상세표[기록월],대상월키))</f>
        <v/>
      </c>
      <c r="H205">
        <f>IF($X205="","",IF(ABS($F205-$G205)&lt;0.01,"일치","불일치(차이 "&amp;TEXT($G205-$F205,"0.00")&amp;")"))</f>
        <v/>
      </c>
      <c r="I205" s="20">
        <f>IF($X205="","",SUMIFS(상세표[기록 시간외],상세표[사번키],INDEX(합계표[사번키],$X205),상세표[기록월],대상월키,상세표[반영월],"&lt;&gt;"&amp;대상월키))</f>
        <v/>
      </c>
      <c r="J205" s="20">
        <f>IF($X205="","",SUMIFS(상세표[기록 시간외],상세표[사번키],INDEX(합계표[사번키],$X205),상세표[기록월],"&lt;&gt;"&amp;대상월키,상세표[반영월],대상월키))</f>
        <v/>
      </c>
      <c r="K205" s="20">
        <f>IF($X205="","",SUMIFS(상세표[기록 시간외],상세표[사번키],INDEX(합계표[사번키],$X205),상세표[반영월],대상월키))</f>
        <v/>
      </c>
      <c r="L205">
        <f>IF($X205="","",IFERROR(INDEX(월별근무지표[적용 급여병원],MATCH(INDEX(합계표[사번키],$X205)&amp;"|"&amp;대상월키,월별근무지표[키],0))&amp;"",IF(COUNTIF(기관표[사번키],INDEX(합계표[사번키],$X205))+COUNTIF(월별근무지표[사번키],INDEX(합계표[사번키],$X205))&gt;0,IFERROR(INDEX(기관표[급여지급병원(기준월)],MATCH(INDEX(합계표[사번키],$X205)&amp;"|"&amp;대상월키,기관표[키],0))&amp;"","—"),"—")))</f>
        <v/>
      </c>
      <c r="M205">
        <f>IF($X205="","",IF(NOT(COUNTIF(기관표[사번키],INDEX(합계표[사번키],$X205))+COUNTIF(월별근무지표[사번키],INDEX(합계표[사번키],$X205))&gt;0),"기관명단에 없음(다른 병원으로 발송)",IF($L205="서울병원","해당",IF(N($R205)&gt;0,"해당(말일 근무)",IF($L205="—","대상월 기관명단 없음(추가 필요)","비해당")))))</f>
        <v/>
      </c>
      <c r="N205" s="20">
        <f>IF($X205="","",SUMIFS(상세표[06~07시],상세표[사번키],INDEX(합계표[사번키],$X205),상세표[반영월],대상월키,상세표[반영 기관],"서울병원"))</f>
        <v/>
      </c>
      <c r="O205" s="20">
        <f>IF($X205="","",SUMIFS(상세표[07~18시],상세표[사번키],INDEX(합계표[사번키],$X205),상세표[반영월],대상월키,상세표[반영 기관],"서울병원"))</f>
        <v/>
      </c>
      <c r="P205" s="20">
        <f>IF($X205="","",SUMIFS(상세표[18~22시],상세표[사번키],INDEX(합계표[사번키],$X205),상세표[반영월],대상월키,상세표[반영 기관],"서울병원"))</f>
        <v/>
      </c>
      <c r="Q205" s="20">
        <f>IF($X205="","",SUMIFS(상세표[22~06시],상세표[사번키],INDEX(합계표[사번키],$X205),상세표[반영월],대상월키,상세표[반영 기관],"서울병원"))</f>
        <v/>
      </c>
      <c r="R205" s="20">
        <f>IF($X205="","",SUM($N205:$Q205))</f>
        <v/>
      </c>
      <c r="S205">
        <f>IF($X205="","",COUNTIFS(상세표[사번키],INDEX(합계표[사번키],$X205),상세표[반영월],대상월키,상세표[야간당직],1,상세표[야간 구분],"평일"))</f>
        <v/>
      </c>
      <c r="T205">
        <f>IF($X205="","",COUNTIFS(상세표[사번키],INDEX(합계표[사번키],$X205),상세표[반영월],대상월키,상세표[야간당직],1,상세표[야간 구분],"휴일"))</f>
        <v/>
      </c>
      <c r="U205">
        <f>IF($X205="","",COUNTIFS(상세표[사번키],INDEX(합계표[사번키],$X205),상세표[반영월],대상월키,상세표[야간당직],1,상세표[야간 구분],"평일",상세표[반영 기관],"서울병원"))</f>
        <v/>
      </c>
      <c r="V205">
        <f>IF($X205="","",COUNTIFS(상세표[사번키],INDEX(합계표[사번키],$X205),상세표[반영월],대상월키,상세표[야간당직],1,상세표[야간 구분],"휴일",상세표[반영 기관],"서울병원"))</f>
        <v/>
      </c>
      <c r="W205">
        <f>IF($X205="","",IF(ISNUMBER(MATCH(INDEX(합계표[사번키],$X205)&amp;"|"&amp;대상월키,월별근무지표[키],0)),"직접 입력",IF($L205="—","—","기관명단")))</f>
        <v/>
      </c>
      <c r="X205" s="4">
        <f>IFERROR(MATCH(200,합계표[판정순번],0),"")</f>
        <v/>
      </c>
      <c r="Z205">
        <f>IF($AC205="","",INDEX(상세표[사번],$AC205)&amp;"")</f>
        <v/>
      </c>
      <c r="AA205">
        <f>IF($AC205="","",INDEX(상세표[성명],$AC205)&amp;"")</f>
        <v/>
      </c>
      <c r="AB205" s="20">
        <f>IF($AC205="","",SUMIFS(상세표[기록 시간외],상세표[사번키],INDEX(상세표[사번키],$AC205),상세표[반영월],대상월키))</f>
        <v/>
      </c>
      <c r="AC205" s="4">
        <f>IFERROR(MATCH(200,상세표[합계없음순번],0),"")</f>
        <v/>
      </c>
    </row>
    <row r="206">
      <c r="A206">
        <f>IF($X206="","",INDEX(합계표[사번],$X206)&amp;"")</f>
        <v/>
      </c>
      <c r="B206">
        <f>IF($X206="","",INDEX(합계표[성명],$X206)&amp;"")</f>
        <v/>
      </c>
      <c r="C206">
        <f>IF($X206="","",INDEX(합계표[부서],$X206)&amp;"")</f>
        <v/>
      </c>
      <c r="D206">
        <f>IF($X206="","",INDEX(합계표[직위(요약)],$X206)&amp;"")</f>
        <v/>
      </c>
      <c r="E206">
        <f>IF($X206="","",INDEX(합계표[직급 공존],$X206)&amp;"")</f>
        <v/>
      </c>
      <c r="F206" s="20">
        <f>IF($X206="","",SUMIFS(합계표[시스템 합계],합계표[사번키],INDEX(합계표[사번키],$X206)))</f>
        <v/>
      </c>
      <c r="G206" s="20">
        <f>IF($X206="","",SUMIFS(상세표[기록 시간외],상세표[사번키],INDEX(합계표[사번키],$X206),상세표[기록월],대상월키))</f>
        <v/>
      </c>
      <c r="H206">
        <f>IF($X206="","",IF(ABS($F206-$G206)&lt;0.01,"일치","불일치(차이 "&amp;TEXT($G206-$F206,"0.00")&amp;")"))</f>
        <v/>
      </c>
      <c r="I206" s="20">
        <f>IF($X206="","",SUMIFS(상세표[기록 시간외],상세표[사번키],INDEX(합계표[사번키],$X206),상세표[기록월],대상월키,상세표[반영월],"&lt;&gt;"&amp;대상월키))</f>
        <v/>
      </c>
      <c r="J206" s="20">
        <f>IF($X206="","",SUMIFS(상세표[기록 시간외],상세표[사번키],INDEX(합계표[사번키],$X206),상세표[기록월],"&lt;&gt;"&amp;대상월키,상세표[반영월],대상월키))</f>
        <v/>
      </c>
      <c r="K206" s="20">
        <f>IF($X206="","",SUMIFS(상세표[기록 시간외],상세표[사번키],INDEX(합계표[사번키],$X206),상세표[반영월],대상월키))</f>
        <v/>
      </c>
      <c r="L206">
        <f>IF($X206="","",IFERROR(INDEX(월별근무지표[적용 급여병원],MATCH(INDEX(합계표[사번키],$X206)&amp;"|"&amp;대상월키,월별근무지표[키],0))&amp;"",IF(COUNTIF(기관표[사번키],INDEX(합계표[사번키],$X206))+COUNTIF(월별근무지표[사번키],INDEX(합계표[사번키],$X206))&gt;0,IFERROR(INDEX(기관표[급여지급병원(기준월)],MATCH(INDEX(합계표[사번키],$X206)&amp;"|"&amp;대상월키,기관표[키],0))&amp;"","—"),"—")))</f>
        <v/>
      </c>
      <c r="M206">
        <f>IF($X206="","",IF(NOT(COUNTIF(기관표[사번키],INDEX(합계표[사번키],$X206))+COUNTIF(월별근무지표[사번키],INDEX(합계표[사번키],$X206))&gt;0),"기관명단에 없음(다른 병원으로 발송)",IF($L206="서울병원","해당",IF(N($R206)&gt;0,"해당(말일 근무)",IF($L206="—","대상월 기관명단 없음(추가 필요)","비해당")))))</f>
        <v/>
      </c>
      <c r="N206" s="20">
        <f>IF($X206="","",SUMIFS(상세표[06~07시],상세표[사번키],INDEX(합계표[사번키],$X206),상세표[반영월],대상월키,상세표[반영 기관],"서울병원"))</f>
        <v/>
      </c>
      <c r="O206" s="20">
        <f>IF($X206="","",SUMIFS(상세표[07~18시],상세표[사번키],INDEX(합계표[사번키],$X206),상세표[반영월],대상월키,상세표[반영 기관],"서울병원"))</f>
        <v/>
      </c>
      <c r="P206" s="20">
        <f>IF($X206="","",SUMIFS(상세표[18~22시],상세표[사번키],INDEX(합계표[사번키],$X206),상세표[반영월],대상월키,상세표[반영 기관],"서울병원"))</f>
        <v/>
      </c>
      <c r="Q206" s="20">
        <f>IF($X206="","",SUMIFS(상세표[22~06시],상세표[사번키],INDEX(합계표[사번키],$X206),상세표[반영월],대상월키,상세표[반영 기관],"서울병원"))</f>
        <v/>
      </c>
      <c r="R206" s="20">
        <f>IF($X206="","",SUM($N206:$Q206))</f>
        <v/>
      </c>
      <c r="S206">
        <f>IF($X206="","",COUNTIFS(상세표[사번키],INDEX(합계표[사번키],$X206),상세표[반영월],대상월키,상세표[야간당직],1,상세표[야간 구분],"평일"))</f>
        <v/>
      </c>
      <c r="T206">
        <f>IF($X206="","",COUNTIFS(상세표[사번키],INDEX(합계표[사번키],$X206),상세표[반영월],대상월키,상세표[야간당직],1,상세표[야간 구분],"휴일"))</f>
        <v/>
      </c>
      <c r="U206">
        <f>IF($X206="","",COUNTIFS(상세표[사번키],INDEX(합계표[사번키],$X206),상세표[반영월],대상월키,상세표[야간당직],1,상세표[야간 구분],"평일",상세표[반영 기관],"서울병원"))</f>
        <v/>
      </c>
      <c r="V206">
        <f>IF($X206="","",COUNTIFS(상세표[사번키],INDEX(합계표[사번키],$X206),상세표[반영월],대상월키,상세표[야간당직],1,상세표[야간 구분],"휴일",상세표[반영 기관],"서울병원"))</f>
        <v/>
      </c>
      <c r="W206">
        <f>IF($X206="","",IF(ISNUMBER(MATCH(INDEX(합계표[사번키],$X206)&amp;"|"&amp;대상월키,월별근무지표[키],0)),"직접 입력",IF($L206="—","—","기관명단")))</f>
        <v/>
      </c>
      <c r="X206" s="4">
        <f>IFERROR(MATCH(201,합계표[판정순번],0),"")</f>
        <v/>
      </c>
      <c r="Z206">
        <f>IF($AC206="","",INDEX(상세표[사번],$AC206)&amp;"")</f>
        <v/>
      </c>
      <c r="AA206">
        <f>IF($AC206="","",INDEX(상세표[성명],$AC206)&amp;"")</f>
        <v/>
      </c>
      <c r="AB206" s="20">
        <f>IF($AC206="","",SUMIFS(상세표[기록 시간외],상세표[사번키],INDEX(상세표[사번키],$AC206),상세표[반영월],대상월키))</f>
        <v/>
      </c>
      <c r="AC206" s="4">
        <f>IFERROR(MATCH(201,상세표[합계없음순번],0),"")</f>
        <v/>
      </c>
    </row>
    <row r="207">
      <c r="A207">
        <f>IF($X207="","",INDEX(합계표[사번],$X207)&amp;"")</f>
        <v/>
      </c>
      <c r="B207">
        <f>IF($X207="","",INDEX(합계표[성명],$X207)&amp;"")</f>
        <v/>
      </c>
      <c r="C207">
        <f>IF($X207="","",INDEX(합계표[부서],$X207)&amp;"")</f>
        <v/>
      </c>
      <c r="D207">
        <f>IF($X207="","",INDEX(합계표[직위(요약)],$X207)&amp;"")</f>
        <v/>
      </c>
      <c r="E207">
        <f>IF($X207="","",INDEX(합계표[직급 공존],$X207)&amp;"")</f>
        <v/>
      </c>
      <c r="F207" s="20">
        <f>IF($X207="","",SUMIFS(합계표[시스템 합계],합계표[사번키],INDEX(합계표[사번키],$X207)))</f>
        <v/>
      </c>
      <c r="G207" s="20">
        <f>IF($X207="","",SUMIFS(상세표[기록 시간외],상세표[사번키],INDEX(합계표[사번키],$X207),상세표[기록월],대상월키))</f>
        <v/>
      </c>
      <c r="H207">
        <f>IF($X207="","",IF(ABS($F207-$G207)&lt;0.01,"일치","불일치(차이 "&amp;TEXT($G207-$F207,"0.00")&amp;")"))</f>
        <v/>
      </c>
      <c r="I207" s="20">
        <f>IF($X207="","",SUMIFS(상세표[기록 시간외],상세표[사번키],INDEX(합계표[사번키],$X207),상세표[기록월],대상월키,상세표[반영월],"&lt;&gt;"&amp;대상월키))</f>
        <v/>
      </c>
      <c r="J207" s="20">
        <f>IF($X207="","",SUMIFS(상세표[기록 시간외],상세표[사번키],INDEX(합계표[사번키],$X207),상세표[기록월],"&lt;&gt;"&amp;대상월키,상세표[반영월],대상월키))</f>
        <v/>
      </c>
      <c r="K207" s="20">
        <f>IF($X207="","",SUMIFS(상세표[기록 시간외],상세표[사번키],INDEX(합계표[사번키],$X207),상세표[반영월],대상월키))</f>
        <v/>
      </c>
      <c r="L207">
        <f>IF($X207="","",IFERROR(INDEX(월별근무지표[적용 급여병원],MATCH(INDEX(합계표[사번키],$X207)&amp;"|"&amp;대상월키,월별근무지표[키],0))&amp;"",IF(COUNTIF(기관표[사번키],INDEX(합계표[사번키],$X207))+COUNTIF(월별근무지표[사번키],INDEX(합계표[사번키],$X207))&gt;0,IFERROR(INDEX(기관표[급여지급병원(기준월)],MATCH(INDEX(합계표[사번키],$X207)&amp;"|"&amp;대상월키,기관표[키],0))&amp;"","—"),"—")))</f>
        <v/>
      </c>
      <c r="M207">
        <f>IF($X207="","",IF(NOT(COUNTIF(기관표[사번키],INDEX(합계표[사번키],$X207))+COUNTIF(월별근무지표[사번키],INDEX(합계표[사번키],$X207))&gt;0),"기관명단에 없음(다른 병원으로 발송)",IF($L207="서울병원","해당",IF(N($R207)&gt;0,"해당(말일 근무)",IF($L207="—","대상월 기관명단 없음(추가 필요)","비해당")))))</f>
        <v/>
      </c>
      <c r="N207" s="20">
        <f>IF($X207="","",SUMIFS(상세표[06~07시],상세표[사번키],INDEX(합계표[사번키],$X207),상세표[반영월],대상월키,상세표[반영 기관],"서울병원"))</f>
        <v/>
      </c>
      <c r="O207" s="20">
        <f>IF($X207="","",SUMIFS(상세표[07~18시],상세표[사번키],INDEX(합계표[사번키],$X207),상세표[반영월],대상월키,상세표[반영 기관],"서울병원"))</f>
        <v/>
      </c>
      <c r="P207" s="20">
        <f>IF($X207="","",SUMIFS(상세표[18~22시],상세표[사번키],INDEX(합계표[사번키],$X207),상세표[반영월],대상월키,상세표[반영 기관],"서울병원"))</f>
        <v/>
      </c>
      <c r="Q207" s="20">
        <f>IF($X207="","",SUMIFS(상세표[22~06시],상세표[사번키],INDEX(합계표[사번키],$X207),상세표[반영월],대상월키,상세표[반영 기관],"서울병원"))</f>
        <v/>
      </c>
      <c r="R207" s="20">
        <f>IF($X207="","",SUM($N207:$Q207))</f>
        <v/>
      </c>
      <c r="S207">
        <f>IF($X207="","",COUNTIFS(상세표[사번키],INDEX(합계표[사번키],$X207),상세표[반영월],대상월키,상세표[야간당직],1,상세표[야간 구분],"평일"))</f>
        <v/>
      </c>
      <c r="T207">
        <f>IF($X207="","",COUNTIFS(상세표[사번키],INDEX(합계표[사번키],$X207),상세표[반영월],대상월키,상세표[야간당직],1,상세표[야간 구분],"휴일"))</f>
        <v/>
      </c>
      <c r="U207">
        <f>IF($X207="","",COUNTIFS(상세표[사번키],INDEX(합계표[사번키],$X207),상세표[반영월],대상월키,상세표[야간당직],1,상세표[야간 구분],"평일",상세표[반영 기관],"서울병원"))</f>
        <v/>
      </c>
      <c r="V207">
        <f>IF($X207="","",COUNTIFS(상세표[사번키],INDEX(합계표[사번키],$X207),상세표[반영월],대상월키,상세표[야간당직],1,상세표[야간 구분],"휴일",상세표[반영 기관],"서울병원"))</f>
        <v/>
      </c>
      <c r="W207">
        <f>IF($X207="","",IF(ISNUMBER(MATCH(INDEX(합계표[사번키],$X207)&amp;"|"&amp;대상월키,월별근무지표[키],0)),"직접 입력",IF($L207="—","—","기관명단")))</f>
        <v/>
      </c>
      <c r="X207" s="4">
        <f>IFERROR(MATCH(202,합계표[판정순번],0),"")</f>
        <v/>
      </c>
      <c r="Z207">
        <f>IF($AC207="","",INDEX(상세표[사번],$AC207)&amp;"")</f>
        <v/>
      </c>
      <c r="AA207">
        <f>IF($AC207="","",INDEX(상세표[성명],$AC207)&amp;"")</f>
        <v/>
      </c>
      <c r="AB207" s="20">
        <f>IF($AC207="","",SUMIFS(상세표[기록 시간외],상세표[사번키],INDEX(상세표[사번키],$AC207),상세표[반영월],대상월키))</f>
        <v/>
      </c>
      <c r="AC207" s="4">
        <f>IFERROR(MATCH(202,상세표[합계없음순번],0),"")</f>
        <v/>
      </c>
    </row>
    <row r="208">
      <c r="A208">
        <f>IF($X208="","",INDEX(합계표[사번],$X208)&amp;"")</f>
        <v/>
      </c>
      <c r="B208">
        <f>IF($X208="","",INDEX(합계표[성명],$X208)&amp;"")</f>
        <v/>
      </c>
      <c r="C208">
        <f>IF($X208="","",INDEX(합계표[부서],$X208)&amp;"")</f>
        <v/>
      </c>
      <c r="D208">
        <f>IF($X208="","",INDEX(합계표[직위(요약)],$X208)&amp;"")</f>
        <v/>
      </c>
      <c r="E208">
        <f>IF($X208="","",INDEX(합계표[직급 공존],$X208)&amp;"")</f>
        <v/>
      </c>
      <c r="F208" s="20">
        <f>IF($X208="","",SUMIFS(합계표[시스템 합계],합계표[사번키],INDEX(합계표[사번키],$X208)))</f>
        <v/>
      </c>
      <c r="G208" s="20">
        <f>IF($X208="","",SUMIFS(상세표[기록 시간외],상세표[사번키],INDEX(합계표[사번키],$X208),상세표[기록월],대상월키))</f>
        <v/>
      </c>
      <c r="H208">
        <f>IF($X208="","",IF(ABS($F208-$G208)&lt;0.01,"일치","불일치(차이 "&amp;TEXT($G208-$F208,"0.00")&amp;")"))</f>
        <v/>
      </c>
      <c r="I208" s="20">
        <f>IF($X208="","",SUMIFS(상세표[기록 시간외],상세표[사번키],INDEX(합계표[사번키],$X208),상세표[기록월],대상월키,상세표[반영월],"&lt;&gt;"&amp;대상월키))</f>
        <v/>
      </c>
      <c r="J208" s="20">
        <f>IF($X208="","",SUMIFS(상세표[기록 시간외],상세표[사번키],INDEX(합계표[사번키],$X208),상세표[기록월],"&lt;&gt;"&amp;대상월키,상세표[반영월],대상월키))</f>
        <v/>
      </c>
      <c r="K208" s="20">
        <f>IF($X208="","",SUMIFS(상세표[기록 시간외],상세표[사번키],INDEX(합계표[사번키],$X208),상세표[반영월],대상월키))</f>
        <v/>
      </c>
      <c r="L208">
        <f>IF($X208="","",IFERROR(INDEX(월별근무지표[적용 급여병원],MATCH(INDEX(합계표[사번키],$X208)&amp;"|"&amp;대상월키,월별근무지표[키],0))&amp;"",IF(COUNTIF(기관표[사번키],INDEX(합계표[사번키],$X208))+COUNTIF(월별근무지표[사번키],INDEX(합계표[사번키],$X208))&gt;0,IFERROR(INDEX(기관표[급여지급병원(기준월)],MATCH(INDEX(합계표[사번키],$X208)&amp;"|"&amp;대상월키,기관표[키],0))&amp;"","—"),"—")))</f>
        <v/>
      </c>
      <c r="M208">
        <f>IF($X208="","",IF(NOT(COUNTIF(기관표[사번키],INDEX(합계표[사번키],$X208))+COUNTIF(월별근무지표[사번키],INDEX(합계표[사번키],$X208))&gt;0),"기관명단에 없음(다른 병원으로 발송)",IF($L208="서울병원","해당",IF(N($R208)&gt;0,"해당(말일 근무)",IF($L208="—","대상월 기관명단 없음(추가 필요)","비해당")))))</f>
        <v/>
      </c>
      <c r="N208" s="20">
        <f>IF($X208="","",SUMIFS(상세표[06~07시],상세표[사번키],INDEX(합계표[사번키],$X208),상세표[반영월],대상월키,상세표[반영 기관],"서울병원"))</f>
        <v/>
      </c>
      <c r="O208" s="20">
        <f>IF($X208="","",SUMIFS(상세표[07~18시],상세표[사번키],INDEX(합계표[사번키],$X208),상세표[반영월],대상월키,상세표[반영 기관],"서울병원"))</f>
        <v/>
      </c>
      <c r="P208" s="20">
        <f>IF($X208="","",SUMIFS(상세표[18~22시],상세표[사번키],INDEX(합계표[사번키],$X208),상세표[반영월],대상월키,상세표[반영 기관],"서울병원"))</f>
        <v/>
      </c>
      <c r="Q208" s="20">
        <f>IF($X208="","",SUMIFS(상세표[22~06시],상세표[사번키],INDEX(합계표[사번키],$X208),상세표[반영월],대상월키,상세표[반영 기관],"서울병원"))</f>
        <v/>
      </c>
      <c r="R208" s="20">
        <f>IF($X208="","",SUM($N208:$Q208))</f>
        <v/>
      </c>
      <c r="S208">
        <f>IF($X208="","",COUNTIFS(상세표[사번키],INDEX(합계표[사번키],$X208),상세표[반영월],대상월키,상세표[야간당직],1,상세표[야간 구분],"평일"))</f>
        <v/>
      </c>
      <c r="T208">
        <f>IF($X208="","",COUNTIFS(상세표[사번키],INDEX(합계표[사번키],$X208),상세표[반영월],대상월키,상세표[야간당직],1,상세표[야간 구분],"휴일"))</f>
        <v/>
      </c>
      <c r="U208">
        <f>IF($X208="","",COUNTIFS(상세표[사번키],INDEX(합계표[사번키],$X208),상세표[반영월],대상월키,상세표[야간당직],1,상세표[야간 구분],"평일",상세표[반영 기관],"서울병원"))</f>
        <v/>
      </c>
      <c r="V208">
        <f>IF($X208="","",COUNTIFS(상세표[사번키],INDEX(합계표[사번키],$X208),상세표[반영월],대상월키,상세표[야간당직],1,상세표[야간 구분],"휴일",상세표[반영 기관],"서울병원"))</f>
        <v/>
      </c>
      <c r="W208">
        <f>IF($X208="","",IF(ISNUMBER(MATCH(INDEX(합계표[사번키],$X208)&amp;"|"&amp;대상월키,월별근무지표[키],0)),"직접 입력",IF($L208="—","—","기관명단")))</f>
        <v/>
      </c>
      <c r="X208" s="4">
        <f>IFERROR(MATCH(203,합계표[판정순번],0),"")</f>
        <v/>
      </c>
      <c r="Z208">
        <f>IF($AC208="","",INDEX(상세표[사번],$AC208)&amp;"")</f>
        <v/>
      </c>
      <c r="AA208">
        <f>IF($AC208="","",INDEX(상세표[성명],$AC208)&amp;"")</f>
        <v/>
      </c>
      <c r="AB208" s="20">
        <f>IF($AC208="","",SUMIFS(상세표[기록 시간외],상세표[사번키],INDEX(상세표[사번키],$AC208),상세표[반영월],대상월키))</f>
        <v/>
      </c>
      <c r="AC208" s="4">
        <f>IFERROR(MATCH(203,상세표[합계없음순번],0),"")</f>
        <v/>
      </c>
    </row>
    <row r="209">
      <c r="A209">
        <f>IF($X209="","",INDEX(합계표[사번],$X209)&amp;"")</f>
        <v/>
      </c>
      <c r="B209">
        <f>IF($X209="","",INDEX(합계표[성명],$X209)&amp;"")</f>
        <v/>
      </c>
      <c r="C209">
        <f>IF($X209="","",INDEX(합계표[부서],$X209)&amp;"")</f>
        <v/>
      </c>
      <c r="D209">
        <f>IF($X209="","",INDEX(합계표[직위(요약)],$X209)&amp;"")</f>
        <v/>
      </c>
      <c r="E209">
        <f>IF($X209="","",INDEX(합계표[직급 공존],$X209)&amp;"")</f>
        <v/>
      </c>
      <c r="F209" s="20">
        <f>IF($X209="","",SUMIFS(합계표[시스템 합계],합계표[사번키],INDEX(합계표[사번키],$X209)))</f>
        <v/>
      </c>
      <c r="G209" s="20">
        <f>IF($X209="","",SUMIFS(상세표[기록 시간외],상세표[사번키],INDEX(합계표[사번키],$X209),상세표[기록월],대상월키))</f>
        <v/>
      </c>
      <c r="H209">
        <f>IF($X209="","",IF(ABS($F209-$G209)&lt;0.01,"일치","불일치(차이 "&amp;TEXT($G209-$F209,"0.00")&amp;")"))</f>
        <v/>
      </c>
      <c r="I209" s="20">
        <f>IF($X209="","",SUMIFS(상세표[기록 시간외],상세표[사번키],INDEX(합계표[사번키],$X209),상세표[기록월],대상월키,상세표[반영월],"&lt;&gt;"&amp;대상월키))</f>
        <v/>
      </c>
      <c r="J209" s="20">
        <f>IF($X209="","",SUMIFS(상세표[기록 시간외],상세표[사번키],INDEX(합계표[사번키],$X209),상세표[기록월],"&lt;&gt;"&amp;대상월키,상세표[반영월],대상월키))</f>
        <v/>
      </c>
      <c r="K209" s="20">
        <f>IF($X209="","",SUMIFS(상세표[기록 시간외],상세표[사번키],INDEX(합계표[사번키],$X209),상세표[반영월],대상월키))</f>
        <v/>
      </c>
      <c r="L209">
        <f>IF($X209="","",IFERROR(INDEX(월별근무지표[적용 급여병원],MATCH(INDEX(합계표[사번키],$X209)&amp;"|"&amp;대상월키,월별근무지표[키],0))&amp;"",IF(COUNTIF(기관표[사번키],INDEX(합계표[사번키],$X209))+COUNTIF(월별근무지표[사번키],INDEX(합계표[사번키],$X209))&gt;0,IFERROR(INDEX(기관표[급여지급병원(기준월)],MATCH(INDEX(합계표[사번키],$X209)&amp;"|"&amp;대상월키,기관표[키],0))&amp;"","—"),"—")))</f>
        <v/>
      </c>
      <c r="M209">
        <f>IF($X209="","",IF(NOT(COUNTIF(기관표[사번키],INDEX(합계표[사번키],$X209))+COUNTIF(월별근무지표[사번키],INDEX(합계표[사번키],$X209))&gt;0),"기관명단에 없음(다른 병원으로 발송)",IF($L209="서울병원","해당",IF(N($R209)&gt;0,"해당(말일 근무)",IF($L209="—","대상월 기관명단 없음(추가 필요)","비해당")))))</f>
        <v/>
      </c>
      <c r="N209" s="20">
        <f>IF($X209="","",SUMIFS(상세표[06~07시],상세표[사번키],INDEX(합계표[사번키],$X209),상세표[반영월],대상월키,상세표[반영 기관],"서울병원"))</f>
        <v/>
      </c>
      <c r="O209" s="20">
        <f>IF($X209="","",SUMIFS(상세표[07~18시],상세표[사번키],INDEX(합계표[사번키],$X209),상세표[반영월],대상월키,상세표[반영 기관],"서울병원"))</f>
        <v/>
      </c>
      <c r="P209" s="20">
        <f>IF($X209="","",SUMIFS(상세표[18~22시],상세표[사번키],INDEX(합계표[사번키],$X209),상세표[반영월],대상월키,상세표[반영 기관],"서울병원"))</f>
        <v/>
      </c>
      <c r="Q209" s="20">
        <f>IF($X209="","",SUMIFS(상세표[22~06시],상세표[사번키],INDEX(합계표[사번키],$X209),상세표[반영월],대상월키,상세표[반영 기관],"서울병원"))</f>
        <v/>
      </c>
      <c r="R209" s="20">
        <f>IF($X209="","",SUM($N209:$Q209))</f>
        <v/>
      </c>
      <c r="S209">
        <f>IF($X209="","",COUNTIFS(상세표[사번키],INDEX(합계표[사번키],$X209),상세표[반영월],대상월키,상세표[야간당직],1,상세표[야간 구분],"평일"))</f>
        <v/>
      </c>
      <c r="T209">
        <f>IF($X209="","",COUNTIFS(상세표[사번키],INDEX(합계표[사번키],$X209),상세표[반영월],대상월키,상세표[야간당직],1,상세표[야간 구분],"휴일"))</f>
        <v/>
      </c>
      <c r="U209">
        <f>IF($X209="","",COUNTIFS(상세표[사번키],INDEX(합계표[사번키],$X209),상세표[반영월],대상월키,상세표[야간당직],1,상세표[야간 구분],"평일",상세표[반영 기관],"서울병원"))</f>
        <v/>
      </c>
      <c r="V209">
        <f>IF($X209="","",COUNTIFS(상세표[사번키],INDEX(합계표[사번키],$X209),상세표[반영월],대상월키,상세표[야간당직],1,상세표[야간 구분],"휴일",상세표[반영 기관],"서울병원"))</f>
        <v/>
      </c>
      <c r="W209">
        <f>IF($X209="","",IF(ISNUMBER(MATCH(INDEX(합계표[사번키],$X209)&amp;"|"&amp;대상월키,월별근무지표[키],0)),"직접 입력",IF($L209="—","—","기관명단")))</f>
        <v/>
      </c>
      <c r="X209" s="4">
        <f>IFERROR(MATCH(204,합계표[판정순번],0),"")</f>
        <v/>
      </c>
      <c r="Z209">
        <f>IF($AC209="","",INDEX(상세표[사번],$AC209)&amp;"")</f>
        <v/>
      </c>
      <c r="AA209">
        <f>IF($AC209="","",INDEX(상세표[성명],$AC209)&amp;"")</f>
        <v/>
      </c>
      <c r="AB209" s="20">
        <f>IF($AC209="","",SUMIFS(상세표[기록 시간외],상세표[사번키],INDEX(상세표[사번키],$AC209),상세표[반영월],대상월키))</f>
        <v/>
      </c>
      <c r="AC209" s="4">
        <f>IFERROR(MATCH(204,상세표[합계없음순번],0),"")</f>
        <v/>
      </c>
    </row>
    <row r="210">
      <c r="A210">
        <f>IF($X210="","",INDEX(합계표[사번],$X210)&amp;"")</f>
        <v/>
      </c>
      <c r="B210">
        <f>IF($X210="","",INDEX(합계표[성명],$X210)&amp;"")</f>
        <v/>
      </c>
      <c r="C210">
        <f>IF($X210="","",INDEX(합계표[부서],$X210)&amp;"")</f>
        <v/>
      </c>
      <c r="D210">
        <f>IF($X210="","",INDEX(합계표[직위(요약)],$X210)&amp;"")</f>
        <v/>
      </c>
      <c r="E210">
        <f>IF($X210="","",INDEX(합계표[직급 공존],$X210)&amp;"")</f>
        <v/>
      </c>
      <c r="F210" s="20">
        <f>IF($X210="","",SUMIFS(합계표[시스템 합계],합계표[사번키],INDEX(합계표[사번키],$X210)))</f>
        <v/>
      </c>
      <c r="G210" s="20">
        <f>IF($X210="","",SUMIFS(상세표[기록 시간외],상세표[사번키],INDEX(합계표[사번키],$X210),상세표[기록월],대상월키))</f>
        <v/>
      </c>
      <c r="H210">
        <f>IF($X210="","",IF(ABS($F210-$G210)&lt;0.01,"일치","불일치(차이 "&amp;TEXT($G210-$F210,"0.00")&amp;")"))</f>
        <v/>
      </c>
      <c r="I210" s="20">
        <f>IF($X210="","",SUMIFS(상세표[기록 시간외],상세표[사번키],INDEX(합계표[사번키],$X210),상세표[기록월],대상월키,상세표[반영월],"&lt;&gt;"&amp;대상월키))</f>
        <v/>
      </c>
      <c r="J210" s="20">
        <f>IF($X210="","",SUMIFS(상세표[기록 시간외],상세표[사번키],INDEX(합계표[사번키],$X210),상세표[기록월],"&lt;&gt;"&amp;대상월키,상세표[반영월],대상월키))</f>
        <v/>
      </c>
      <c r="K210" s="20">
        <f>IF($X210="","",SUMIFS(상세표[기록 시간외],상세표[사번키],INDEX(합계표[사번키],$X210),상세표[반영월],대상월키))</f>
        <v/>
      </c>
      <c r="L210">
        <f>IF($X210="","",IFERROR(INDEX(월별근무지표[적용 급여병원],MATCH(INDEX(합계표[사번키],$X210)&amp;"|"&amp;대상월키,월별근무지표[키],0))&amp;"",IF(COUNTIF(기관표[사번키],INDEX(합계표[사번키],$X210))+COUNTIF(월별근무지표[사번키],INDEX(합계표[사번키],$X210))&gt;0,IFERROR(INDEX(기관표[급여지급병원(기준월)],MATCH(INDEX(합계표[사번키],$X210)&amp;"|"&amp;대상월키,기관표[키],0))&amp;"","—"),"—")))</f>
        <v/>
      </c>
      <c r="M210">
        <f>IF($X210="","",IF(NOT(COUNTIF(기관표[사번키],INDEX(합계표[사번키],$X210))+COUNTIF(월별근무지표[사번키],INDEX(합계표[사번키],$X210))&gt;0),"기관명단에 없음(다른 병원으로 발송)",IF($L210="서울병원","해당",IF(N($R210)&gt;0,"해당(말일 근무)",IF($L210="—","대상월 기관명단 없음(추가 필요)","비해당")))))</f>
        <v/>
      </c>
      <c r="N210" s="20">
        <f>IF($X210="","",SUMIFS(상세표[06~07시],상세표[사번키],INDEX(합계표[사번키],$X210),상세표[반영월],대상월키,상세표[반영 기관],"서울병원"))</f>
        <v/>
      </c>
      <c r="O210" s="20">
        <f>IF($X210="","",SUMIFS(상세표[07~18시],상세표[사번키],INDEX(합계표[사번키],$X210),상세표[반영월],대상월키,상세표[반영 기관],"서울병원"))</f>
        <v/>
      </c>
      <c r="P210" s="20">
        <f>IF($X210="","",SUMIFS(상세표[18~22시],상세표[사번키],INDEX(합계표[사번키],$X210),상세표[반영월],대상월키,상세표[반영 기관],"서울병원"))</f>
        <v/>
      </c>
      <c r="Q210" s="20">
        <f>IF($X210="","",SUMIFS(상세표[22~06시],상세표[사번키],INDEX(합계표[사번키],$X210),상세표[반영월],대상월키,상세표[반영 기관],"서울병원"))</f>
        <v/>
      </c>
      <c r="R210" s="20">
        <f>IF($X210="","",SUM($N210:$Q210))</f>
        <v/>
      </c>
      <c r="S210">
        <f>IF($X210="","",COUNTIFS(상세표[사번키],INDEX(합계표[사번키],$X210),상세표[반영월],대상월키,상세표[야간당직],1,상세표[야간 구분],"평일"))</f>
        <v/>
      </c>
      <c r="T210">
        <f>IF($X210="","",COUNTIFS(상세표[사번키],INDEX(합계표[사번키],$X210),상세표[반영월],대상월키,상세표[야간당직],1,상세표[야간 구분],"휴일"))</f>
        <v/>
      </c>
      <c r="U210">
        <f>IF($X210="","",COUNTIFS(상세표[사번키],INDEX(합계표[사번키],$X210),상세표[반영월],대상월키,상세표[야간당직],1,상세표[야간 구분],"평일",상세표[반영 기관],"서울병원"))</f>
        <v/>
      </c>
      <c r="V210">
        <f>IF($X210="","",COUNTIFS(상세표[사번키],INDEX(합계표[사번키],$X210),상세표[반영월],대상월키,상세표[야간당직],1,상세표[야간 구분],"휴일",상세표[반영 기관],"서울병원"))</f>
        <v/>
      </c>
      <c r="W210">
        <f>IF($X210="","",IF(ISNUMBER(MATCH(INDEX(합계표[사번키],$X210)&amp;"|"&amp;대상월키,월별근무지표[키],0)),"직접 입력",IF($L210="—","—","기관명단")))</f>
        <v/>
      </c>
      <c r="X210" s="4">
        <f>IFERROR(MATCH(205,합계표[판정순번],0),"")</f>
        <v/>
      </c>
      <c r="Z210">
        <f>IF($AC210="","",INDEX(상세표[사번],$AC210)&amp;"")</f>
        <v/>
      </c>
      <c r="AA210">
        <f>IF($AC210="","",INDEX(상세표[성명],$AC210)&amp;"")</f>
        <v/>
      </c>
      <c r="AB210" s="20">
        <f>IF($AC210="","",SUMIFS(상세표[기록 시간외],상세표[사번키],INDEX(상세표[사번키],$AC210),상세표[반영월],대상월키))</f>
        <v/>
      </c>
      <c r="AC210" s="4">
        <f>IFERROR(MATCH(205,상세표[합계없음순번],0),"")</f>
        <v/>
      </c>
    </row>
    <row r="211">
      <c r="A211">
        <f>IF($X211="","",INDEX(합계표[사번],$X211)&amp;"")</f>
        <v/>
      </c>
      <c r="B211">
        <f>IF($X211="","",INDEX(합계표[성명],$X211)&amp;"")</f>
        <v/>
      </c>
      <c r="C211">
        <f>IF($X211="","",INDEX(합계표[부서],$X211)&amp;"")</f>
        <v/>
      </c>
      <c r="D211">
        <f>IF($X211="","",INDEX(합계표[직위(요약)],$X211)&amp;"")</f>
        <v/>
      </c>
      <c r="E211">
        <f>IF($X211="","",INDEX(합계표[직급 공존],$X211)&amp;"")</f>
        <v/>
      </c>
      <c r="F211" s="20">
        <f>IF($X211="","",SUMIFS(합계표[시스템 합계],합계표[사번키],INDEX(합계표[사번키],$X211)))</f>
        <v/>
      </c>
      <c r="G211" s="20">
        <f>IF($X211="","",SUMIFS(상세표[기록 시간외],상세표[사번키],INDEX(합계표[사번키],$X211),상세표[기록월],대상월키))</f>
        <v/>
      </c>
      <c r="H211">
        <f>IF($X211="","",IF(ABS($F211-$G211)&lt;0.01,"일치","불일치(차이 "&amp;TEXT($G211-$F211,"0.00")&amp;")"))</f>
        <v/>
      </c>
      <c r="I211" s="20">
        <f>IF($X211="","",SUMIFS(상세표[기록 시간외],상세표[사번키],INDEX(합계표[사번키],$X211),상세표[기록월],대상월키,상세표[반영월],"&lt;&gt;"&amp;대상월키))</f>
        <v/>
      </c>
      <c r="J211" s="20">
        <f>IF($X211="","",SUMIFS(상세표[기록 시간외],상세표[사번키],INDEX(합계표[사번키],$X211),상세표[기록월],"&lt;&gt;"&amp;대상월키,상세표[반영월],대상월키))</f>
        <v/>
      </c>
      <c r="K211" s="20">
        <f>IF($X211="","",SUMIFS(상세표[기록 시간외],상세표[사번키],INDEX(합계표[사번키],$X211),상세표[반영월],대상월키))</f>
        <v/>
      </c>
      <c r="L211">
        <f>IF($X211="","",IFERROR(INDEX(월별근무지표[적용 급여병원],MATCH(INDEX(합계표[사번키],$X211)&amp;"|"&amp;대상월키,월별근무지표[키],0))&amp;"",IF(COUNTIF(기관표[사번키],INDEX(합계표[사번키],$X211))+COUNTIF(월별근무지표[사번키],INDEX(합계표[사번키],$X211))&gt;0,IFERROR(INDEX(기관표[급여지급병원(기준월)],MATCH(INDEX(합계표[사번키],$X211)&amp;"|"&amp;대상월키,기관표[키],0))&amp;"","—"),"—")))</f>
        <v/>
      </c>
      <c r="M211">
        <f>IF($X211="","",IF(NOT(COUNTIF(기관표[사번키],INDEX(합계표[사번키],$X211))+COUNTIF(월별근무지표[사번키],INDEX(합계표[사번키],$X211))&gt;0),"기관명단에 없음(다른 병원으로 발송)",IF($L211="서울병원","해당",IF(N($R211)&gt;0,"해당(말일 근무)",IF($L211="—","대상월 기관명단 없음(추가 필요)","비해당")))))</f>
        <v/>
      </c>
      <c r="N211" s="20">
        <f>IF($X211="","",SUMIFS(상세표[06~07시],상세표[사번키],INDEX(합계표[사번키],$X211),상세표[반영월],대상월키,상세표[반영 기관],"서울병원"))</f>
        <v/>
      </c>
      <c r="O211" s="20">
        <f>IF($X211="","",SUMIFS(상세표[07~18시],상세표[사번키],INDEX(합계표[사번키],$X211),상세표[반영월],대상월키,상세표[반영 기관],"서울병원"))</f>
        <v/>
      </c>
      <c r="P211" s="20">
        <f>IF($X211="","",SUMIFS(상세표[18~22시],상세표[사번키],INDEX(합계표[사번키],$X211),상세표[반영월],대상월키,상세표[반영 기관],"서울병원"))</f>
        <v/>
      </c>
      <c r="Q211" s="20">
        <f>IF($X211="","",SUMIFS(상세표[22~06시],상세표[사번키],INDEX(합계표[사번키],$X211),상세표[반영월],대상월키,상세표[반영 기관],"서울병원"))</f>
        <v/>
      </c>
      <c r="R211" s="20">
        <f>IF($X211="","",SUM($N211:$Q211))</f>
        <v/>
      </c>
      <c r="S211">
        <f>IF($X211="","",COUNTIFS(상세표[사번키],INDEX(합계표[사번키],$X211),상세표[반영월],대상월키,상세표[야간당직],1,상세표[야간 구분],"평일"))</f>
        <v/>
      </c>
      <c r="T211">
        <f>IF($X211="","",COUNTIFS(상세표[사번키],INDEX(합계표[사번키],$X211),상세표[반영월],대상월키,상세표[야간당직],1,상세표[야간 구분],"휴일"))</f>
        <v/>
      </c>
      <c r="U211">
        <f>IF($X211="","",COUNTIFS(상세표[사번키],INDEX(합계표[사번키],$X211),상세표[반영월],대상월키,상세표[야간당직],1,상세표[야간 구분],"평일",상세표[반영 기관],"서울병원"))</f>
        <v/>
      </c>
      <c r="V211">
        <f>IF($X211="","",COUNTIFS(상세표[사번키],INDEX(합계표[사번키],$X211),상세표[반영월],대상월키,상세표[야간당직],1,상세표[야간 구분],"휴일",상세표[반영 기관],"서울병원"))</f>
        <v/>
      </c>
      <c r="W211">
        <f>IF($X211="","",IF(ISNUMBER(MATCH(INDEX(합계표[사번키],$X211)&amp;"|"&amp;대상월키,월별근무지표[키],0)),"직접 입력",IF($L211="—","—","기관명단")))</f>
        <v/>
      </c>
      <c r="X211" s="4">
        <f>IFERROR(MATCH(206,합계표[판정순번],0),"")</f>
        <v/>
      </c>
      <c r="Z211">
        <f>IF($AC211="","",INDEX(상세표[사번],$AC211)&amp;"")</f>
        <v/>
      </c>
      <c r="AA211">
        <f>IF($AC211="","",INDEX(상세표[성명],$AC211)&amp;"")</f>
        <v/>
      </c>
      <c r="AB211" s="20">
        <f>IF($AC211="","",SUMIFS(상세표[기록 시간외],상세표[사번키],INDEX(상세표[사번키],$AC211),상세표[반영월],대상월키))</f>
        <v/>
      </c>
      <c r="AC211" s="4">
        <f>IFERROR(MATCH(206,상세표[합계없음순번],0),"")</f>
        <v/>
      </c>
    </row>
    <row r="212">
      <c r="A212">
        <f>IF($X212="","",INDEX(합계표[사번],$X212)&amp;"")</f>
        <v/>
      </c>
      <c r="B212">
        <f>IF($X212="","",INDEX(합계표[성명],$X212)&amp;"")</f>
        <v/>
      </c>
      <c r="C212">
        <f>IF($X212="","",INDEX(합계표[부서],$X212)&amp;"")</f>
        <v/>
      </c>
      <c r="D212">
        <f>IF($X212="","",INDEX(합계표[직위(요약)],$X212)&amp;"")</f>
        <v/>
      </c>
      <c r="E212">
        <f>IF($X212="","",INDEX(합계표[직급 공존],$X212)&amp;"")</f>
        <v/>
      </c>
      <c r="F212" s="20">
        <f>IF($X212="","",SUMIFS(합계표[시스템 합계],합계표[사번키],INDEX(합계표[사번키],$X212)))</f>
        <v/>
      </c>
      <c r="G212" s="20">
        <f>IF($X212="","",SUMIFS(상세표[기록 시간외],상세표[사번키],INDEX(합계표[사번키],$X212),상세표[기록월],대상월키))</f>
        <v/>
      </c>
      <c r="H212">
        <f>IF($X212="","",IF(ABS($F212-$G212)&lt;0.01,"일치","불일치(차이 "&amp;TEXT($G212-$F212,"0.00")&amp;")"))</f>
        <v/>
      </c>
      <c r="I212" s="20">
        <f>IF($X212="","",SUMIFS(상세표[기록 시간외],상세표[사번키],INDEX(합계표[사번키],$X212),상세표[기록월],대상월키,상세표[반영월],"&lt;&gt;"&amp;대상월키))</f>
        <v/>
      </c>
      <c r="J212" s="20">
        <f>IF($X212="","",SUMIFS(상세표[기록 시간외],상세표[사번키],INDEX(합계표[사번키],$X212),상세표[기록월],"&lt;&gt;"&amp;대상월키,상세표[반영월],대상월키))</f>
        <v/>
      </c>
      <c r="K212" s="20">
        <f>IF($X212="","",SUMIFS(상세표[기록 시간외],상세표[사번키],INDEX(합계표[사번키],$X212),상세표[반영월],대상월키))</f>
        <v/>
      </c>
      <c r="L212">
        <f>IF($X212="","",IFERROR(INDEX(월별근무지표[적용 급여병원],MATCH(INDEX(합계표[사번키],$X212)&amp;"|"&amp;대상월키,월별근무지표[키],0))&amp;"",IF(COUNTIF(기관표[사번키],INDEX(합계표[사번키],$X212))+COUNTIF(월별근무지표[사번키],INDEX(합계표[사번키],$X212))&gt;0,IFERROR(INDEX(기관표[급여지급병원(기준월)],MATCH(INDEX(합계표[사번키],$X212)&amp;"|"&amp;대상월키,기관표[키],0))&amp;"","—"),"—")))</f>
        <v/>
      </c>
      <c r="M212">
        <f>IF($X212="","",IF(NOT(COUNTIF(기관표[사번키],INDEX(합계표[사번키],$X212))+COUNTIF(월별근무지표[사번키],INDEX(합계표[사번키],$X212))&gt;0),"기관명단에 없음(다른 병원으로 발송)",IF($L212="서울병원","해당",IF(N($R212)&gt;0,"해당(말일 근무)",IF($L212="—","대상월 기관명단 없음(추가 필요)","비해당")))))</f>
        <v/>
      </c>
      <c r="N212" s="20">
        <f>IF($X212="","",SUMIFS(상세표[06~07시],상세표[사번키],INDEX(합계표[사번키],$X212),상세표[반영월],대상월키,상세표[반영 기관],"서울병원"))</f>
        <v/>
      </c>
      <c r="O212" s="20">
        <f>IF($X212="","",SUMIFS(상세표[07~18시],상세표[사번키],INDEX(합계표[사번키],$X212),상세표[반영월],대상월키,상세표[반영 기관],"서울병원"))</f>
        <v/>
      </c>
      <c r="P212" s="20">
        <f>IF($X212="","",SUMIFS(상세표[18~22시],상세표[사번키],INDEX(합계표[사번키],$X212),상세표[반영월],대상월키,상세표[반영 기관],"서울병원"))</f>
        <v/>
      </c>
      <c r="Q212" s="20">
        <f>IF($X212="","",SUMIFS(상세표[22~06시],상세표[사번키],INDEX(합계표[사번키],$X212),상세표[반영월],대상월키,상세표[반영 기관],"서울병원"))</f>
        <v/>
      </c>
      <c r="R212" s="20">
        <f>IF($X212="","",SUM($N212:$Q212))</f>
        <v/>
      </c>
      <c r="S212">
        <f>IF($X212="","",COUNTIFS(상세표[사번키],INDEX(합계표[사번키],$X212),상세표[반영월],대상월키,상세표[야간당직],1,상세표[야간 구분],"평일"))</f>
        <v/>
      </c>
      <c r="T212">
        <f>IF($X212="","",COUNTIFS(상세표[사번키],INDEX(합계표[사번키],$X212),상세표[반영월],대상월키,상세표[야간당직],1,상세표[야간 구분],"휴일"))</f>
        <v/>
      </c>
      <c r="U212">
        <f>IF($X212="","",COUNTIFS(상세표[사번키],INDEX(합계표[사번키],$X212),상세표[반영월],대상월키,상세표[야간당직],1,상세표[야간 구분],"평일",상세표[반영 기관],"서울병원"))</f>
        <v/>
      </c>
      <c r="V212">
        <f>IF($X212="","",COUNTIFS(상세표[사번키],INDEX(합계표[사번키],$X212),상세표[반영월],대상월키,상세표[야간당직],1,상세표[야간 구분],"휴일",상세표[반영 기관],"서울병원"))</f>
        <v/>
      </c>
      <c r="W212">
        <f>IF($X212="","",IF(ISNUMBER(MATCH(INDEX(합계표[사번키],$X212)&amp;"|"&amp;대상월키,월별근무지표[키],0)),"직접 입력",IF($L212="—","—","기관명단")))</f>
        <v/>
      </c>
      <c r="X212" s="4">
        <f>IFERROR(MATCH(207,합계표[판정순번],0),"")</f>
        <v/>
      </c>
      <c r="Z212">
        <f>IF($AC212="","",INDEX(상세표[사번],$AC212)&amp;"")</f>
        <v/>
      </c>
      <c r="AA212">
        <f>IF($AC212="","",INDEX(상세표[성명],$AC212)&amp;"")</f>
        <v/>
      </c>
      <c r="AB212" s="20">
        <f>IF($AC212="","",SUMIFS(상세표[기록 시간외],상세표[사번키],INDEX(상세표[사번키],$AC212),상세표[반영월],대상월키))</f>
        <v/>
      </c>
      <c r="AC212" s="4">
        <f>IFERROR(MATCH(207,상세표[합계없음순번],0),"")</f>
        <v/>
      </c>
    </row>
    <row r="213">
      <c r="A213">
        <f>IF($X213="","",INDEX(합계표[사번],$X213)&amp;"")</f>
        <v/>
      </c>
      <c r="B213">
        <f>IF($X213="","",INDEX(합계표[성명],$X213)&amp;"")</f>
        <v/>
      </c>
      <c r="C213">
        <f>IF($X213="","",INDEX(합계표[부서],$X213)&amp;"")</f>
        <v/>
      </c>
      <c r="D213">
        <f>IF($X213="","",INDEX(합계표[직위(요약)],$X213)&amp;"")</f>
        <v/>
      </c>
      <c r="E213">
        <f>IF($X213="","",INDEX(합계표[직급 공존],$X213)&amp;"")</f>
        <v/>
      </c>
      <c r="F213" s="20">
        <f>IF($X213="","",SUMIFS(합계표[시스템 합계],합계표[사번키],INDEX(합계표[사번키],$X213)))</f>
        <v/>
      </c>
      <c r="G213" s="20">
        <f>IF($X213="","",SUMIFS(상세표[기록 시간외],상세표[사번키],INDEX(합계표[사번키],$X213),상세표[기록월],대상월키))</f>
        <v/>
      </c>
      <c r="H213">
        <f>IF($X213="","",IF(ABS($F213-$G213)&lt;0.01,"일치","불일치(차이 "&amp;TEXT($G213-$F213,"0.00")&amp;")"))</f>
        <v/>
      </c>
      <c r="I213" s="20">
        <f>IF($X213="","",SUMIFS(상세표[기록 시간외],상세표[사번키],INDEX(합계표[사번키],$X213),상세표[기록월],대상월키,상세표[반영월],"&lt;&gt;"&amp;대상월키))</f>
        <v/>
      </c>
      <c r="J213" s="20">
        <f>IF($X213="","",SUMIFS(상세표[기록 시간외],상세표[사번키],INDEX(합계표[사번키],$X213),상세표[기록월],"&lt;&gt;"&amp;대상월키,상세표[반영월],대상월키))</f>
        <v/>
      </c>
      <c r="K213" s="20">
        <f>IF($X213="","",SUMIFS(상세표[기록 시간외],상세표[사번키],INDEX(합계표[사번키],$X213),상세표[반영월],대상월키))</f>
        <v/>
      </c>
      <c r="L213">
        <f>IF($X213="","",IFERROR(INDEX(월별근무지표[적용 급여병원],MATCH(INDEX(합계표[사번키],$X213)&amp;"|"&amp;대상월키,월별근무지표[키],0))&amp;"",IF(COUNTIF(기관표[사번키],INDEX(합계표[사번키],$X213))+COUNTIF(월별근무지표[사번키],INDEX(합계표[사번키],$X213))&gt;0,IFERROR(INDEX(기관표[급여지급병원(기준월)],MATCH(INDEX(합계표[사번키],$X213)&amp;"|"&amp;대상월키,기관표[키],0))&amp;"","—"),"—")))</f>
        <v/>
      </c>
      <c r="M213">
        <f>IF($X213="","",IF(NOT(COUNTIF(기관표[사번키],INDEX(합계표[사번키],$X213))+COUNTIF(월별근무지표[사번키],INDEX(합계표[사번키],$X213))&gt;0),"기관명단에 없음(다른 병원으로 발송)",IF($L213="서울병원","해당",IF(N($R213)&gt;0,"해당(말일 근무)",IF($L213="—","대상월 기관명단 없음(추가 필요)","비해당")))))</f>
        <v/>
      </c>
      <c r="N213" s="20">
        <f>IF($X213="","",SUMIFS(상세표[06~07시],상세표[사번키],INDEX(합계표[사번키],$X213),상세표[반영월],대상월키,상세표[반영 기관],"서울병원"))</f>
        <v/>
      </c>
      <c r="O213" s="20">
        <f>IF($X213="","",SUMIFS(상세표[07~18시],상세표[사번키],INDEX(합계표[사번키],$X213),상세표[반영월],대상월키,상세표[반영 기관],"서울병원"))</f>
        <v/>
      </c>
      <c r="P213" s="20">
        <f>IF($X213="","",SUMIFS(상세표[18~22시],상세표[사번키],INDEX(합계표[사번키],$X213),상세표[반영월],대상월키,상세표[반영 기관],"서울병원"))</f>
        <v/>
      </c>
      <c r="Q213" s="20">
        <f>IF($X213="","",SUMIFS(상세표[22~06시],상세표[사번키],INDEX(합계표[사번키],$X213),상세표[반영월],대상월키,상세표[반영 기관],"서울병원"))</f>
        <v/>
      </c>
      <c r="R213" s="20">
        <f>IF($X213="","",SUM($N213:$Q213))</f>
        <v/>
      </c>
      <c r="S213">
        <f>IF($X213="","",COUNTIFS(상세표[사번키],INDEX(합계표[사번키],$X213),상세표[반영월],대상월키,상세표[야간당직],1,상세표[야간 구분],"평일"))</f>
        <v/>
      </c>
      <c r="T213">
        <f>IF($X213="","",COUNTIFS(상세표[사번키],INDEX(합계표[사번키],$X213),상세표[반영월],대상월키,상세표[야간당직],1,상세표[야간 구분],"휴일"))</f>
        <v/>
      </c>
      <c r="U213">
        <f>IF($X213="","",COUNTIFS(상세표[사번키],INDEX(합계표[사번키],$X213),상세표[반영월],대상월키,상세표[야간당직],1,상세표[야간 구분],"평일",상세표[반영 기관],"서울병원"))</f>
        <v/>
      </c>
      <c r="V213">
        <f>IF($X213="","",COUNTIFS(상세표[사번키],INDEX(합계표[사번키],$X213),상세표[반영월],대상월키,상세표[야간당직],1,상세표[야간 구분],"휴일",상세표[반영 기관],"서울병원"))</f>
        <v/>
      </c>
      <c r="W213">
        <f>IF($X213="","",IF(ISNUMBER(MATCH(INDEX(합계표[사번키],$X213)&amp;"|"&amp;대상월키,월별근무지표[키],0)),"직접 입력",IF($L213="—","—","기관명단")))</f>
        <v/>
      </c>
      <c r="X213" s="4">
        <f>IFERROR(MATCH(208,합계표[판정순번],0),"")</f>
        <v/>
      </c>
      <c r="Z213">
        <f>IF($AC213="","",INDEX(상세표[사번],$AC213)&amp;"")</f>
        <v/>
      </c>
      <c r="AA213">
        <f>IF($AC213="","",INDEX(상세표[성명],$AC213)&amp;"")</f>
        <v/>
      </c>
      <c r="AB213" s="20">
        <f>IF($AC213="","",SUMIFS(상세표[기록 시간외],상세표[사번키],INDEX(상세표[사번키],$AC213),상세표[반영월],대상월키))</f>
        <v/>
      </c>
      <c r="AC213" s="4">
        <f>IFERROR(MATCH(208,상세표[합계없음순번],0),"")</f>
        <v/>
      </c>
    </row>
    <row r="214">
      <c r="A214">
        <f>IF($X214="","",INDEX(합계표[사번],$X214)&amp;"")</f>
        <v/>
      </c>
      <c r="B214">
        <f>IF($X214="","",INDEX(합계표[성명],$X214)&amp;"")</f>
        <v/>
      </c>
      <c r="C214">
        <f>IF($X214="","",INDEX(합계표[부서],$X214)&amp;"")</f>
        <v/>
      </c>
      <c r="D214">
        <f>IF($X214="","",INDEX(합계표[직위(요약)],$X214)&amp;"")</f>
        <v/>
      </c>
      <c r="E214">
        <f>IF($X214="","",INDEX(합계표[직급 공존],$X214)&amp;"")</f>
        <v/>
      </c>
      <c r="F214" s="20">
        <f>IF($X214="","",SUMIFS(합계표[시스템 합계],합계표[사번키],INDEX(합계표[사번키],$X214)))</f>
        <v/>
      </c>
      <c r="G214" s="20">
        <f>IF($X214="","",SUMIFS(상세표[기록 시간외],상세표[사번키],INDEX(합계표[사번키],$X214),상세표[기록월],대상월키))</f>
        <v/>
      </c>
      <c r="H214">
        <f>IF($X214="","",IF(ABS($F214-$G214)&lt;0.01,"일치","불일치(차이 "&amp;TEXT($G214-$F214,"0.00")&amp;")"))</f>
        <v/>
      </c>
      <c r="I214" s="20">
        <f>IF($X214="","",SUMIFS(상세표[기록 시간외],상세표[사번키],INDEX(합계표[사번키],$X214),상세표[기록월],대상월키,상세표[반영월],"&lt;&gt;"&amp;대상월키))</f>
        <v/>
      </c>
      <c r="J214" s="20">
        <f>IF($X214="","",SUMIFS(상세표[기록 시간외],상세표[사번키],INDEX(합계표[사번키],$X214),상세표[기록월],"&lt;&gt;"&amp;대상월키,상세표[반영월],대상월키))</f>
        <v/>
      </c>
      <c r="K214" s="20">
        <f>IF($X214="","",SUMIFS(상세표[기록 시간외],상세표[사번키],INDEX(합계표[사번키],$X214),상세표[반영월],대상월키))</f>
        <v/>
      </c>
      <c r="L214">
        <f>IF($X214="","",IFERROR(INDEX(월별근무지표[적용 급여병원],MATCH(INDEX(합계표[사번키],$X214)&amp;"|"&amp;대상월키,월별근무지표[키],0))&amp;"",IF(COUNTIF(기관표[사번키],INDEX(합계표[사번키],$X214))+COUNTIF(월별근무지표[사번키],INDEX(합계표[사번키],$X214))&gt;0,IFERROR(INDEX(기관표[급여지급병원(기준월)],MATCH(INDEX(합계표[사번키],$X214)&amp;"|"&amp;대상월키,기관표[키],0))&amp;"","—"),"—")))</f>
        <v/>
      </c>
      <c r="M214">
        <f>IF($X214="","",IF(NOT(COUNTIF(기관표[사번키],INDEX(합계표[사번키],$X214))+COUNTIF(월별근무지표[사번키],INDEX(합계표[사번키],$X214))&gt;0),"기관명단에 없음(다른 병원으로 발송)",IF($L214="서울병원","해당",IF(N($R214)&gt;0,"해당(말일 근무)",IF($L214="—","대상월 기관명단 없음(추가 필요)","비해당")))))</f>
        <v/>
      </c>
      <c r="N214" s="20">
        <f>IF($X214="","",SUMIFS(상세표[06~07시],상세표[사번키],INDEX(합계표[사번키],$X214),상세표[반영월],대상월키,상세표[반영 기관],"서울병원"))</f>
        <v/>
      </c>
      <c r="O214" s="20">
        <f>IF($X214="","",SUMIFS(상세표[07~18시],상세표[사번키],INDEX(합계표[사번키],$X214),상세표[반영월],대상월키,상세표[반영 기관],"서울병원"))</f>
        <v/>
      </c>
      <c r="P214" s="20">
        <f>IF($X214="","",SUMIFS(상세표[18~22시],상세표[사번키],INDEX(합계표[사번키],$X214),상세표[반영월],대상월키,상세표[반영 기관],"서울병원"))</f>
        <v/>
      </c>
      <c r="Q214" s="20">
        <f>IF($X214="","",SUMIFS(상세표[22~06시],상세표[사번키],INDEX(합계표[사번키],$X214),상세표[반영월],대상월키,상세표[반영 기관],"서울병원"))</f>
        <v/>
      </c>
      <c r="R214" s="20">
        <f>IF($X214="","",SUM($N214:$Q214))</f>
        <v/>
      </c>
      <c r="S214">
        <f>IF($X214="","",COUNTIFS(상세표[사번키],INDEX(합계표[사번키],$X214),상세표[반영월],대상월키,상세표[야간당직],1,상세표[야간 구분],"평일"))</f>
        <v/>
      </c>
      <c r="T214">
        <f>IF($X214="","",COUNTIFS(상세표[사번키],INDEX(합계표[사번키],$X214),상세표[반영월],대상월키,상세표[야간당직],1,상세표[야간 구분],"휴일"))</f>
        <v/>
      </c>
      <c r="U214">
        <f>IF($X214="","",COUNTIFS(상세표[사번키],INDEX(합계표[사번키],$X214),상세표[반영월],대상월키,상세표[야간당직],1,상세표[야간 구분],"평일",상세표[반영 기관],"서울병원"))</f>
        <v/>
      </c>
      <c r="V214">
        <f>IF($X214="","",COUNTIFS(상세표[사번키],INDEX(합계표[사번키],$X214),상세표[반영월],대상월키,상세표[야간당직],1,상세표[야간 구분],"휴일",상세표[반영 기관],"서울병원"))</f>
        <v/>
      </c>
      <c r="W214">
        <f>IF($X214="","",IF(ISNUMBER(MATCH(INDEX(합계표[사번키],$X214)&amp;"|"&amp;대상월키,월별근무지표[키],0)),"직접 입력",IF($L214="—","—","기관명단")))</f>
        <v/>
      </c>
      <c r="X214" s="4">
        <f>IFERROR(MATCH(209,합계표[판정순번],0),"")</f>
        <v/>
      </c>
      <c r="Z214">
        <f>IF($AC214="","",INDEX(상세표[사번],$AC214)&amp;"")</f>
        <v/>
      </c>
      <c r="AA214">
        <f>IF($AC214="","",INDEX(상세표[성명],$AC214)&amp;"")</f>
        <v/>
      </c>
      <c r="AB214" s="20">
        <f>IF($AC214="","",SUMIFS(상세표[기록 시간외],상세표[사번키],INDEX(상세표[사번키],$AC214),상세표[반영월],대상월키))</f>
        <v/>
      </c>
      <c r="AC214" s="4">
        <f>IFERROR(MATCH(209,상세표[합계없음순번],0),"")</f>
        <v/>
      </c>
    </row>
    <row r="215">
      <c r="A215">
        <f>IF($X215="","",INDEX(합계표[사번],$X215)&amp;"")</f>
        <v/>
      </c>
      <c r="B215">
        <f>IF($X215="","",INDEX(합계표[성명],$X215)&amp;"")</f>
        <v/>
      </c>
      <c r="C215">
        <f>IF($X215="","",INDEX(합계표[부서],$X215)&amp;"")</f>
        <v/>
      </c>
      <c r="D215">
        <f>IF($X215="","",INDEX(합계표[직위(요약)],$X215)&amp;"")</f>
        <v/>
      </c>
      <c r="E215">
        <f>IF($X215="","",INDEX(합계표[직급 공존],$X215)&amp;"")</f>
        <v/>
      </c>
      <c r="F215" s="20">
        <f>IF($X215="","",SUMIFS(합계표[시스템 합계],합계표[사번키],INDEX(합계표[사번키],$X215)))</f>
        <v/>
      </c>
      <c r="G215" s="20">
        <f>IF($X215="","",SUMIFS(상세표[기록 시간외],상세표[사번키],INDEX(합계표[사번키],$X215),상세표[기록월],대상월키))</f>
        <v/>
      </c>
      <c r="H215">
        <f>IF($X215="","",IF(ABS($F215-$G215)&lt;0.01,"일치","불일치(차이 "&amp;TEXT($G215-$F215,"0.00")&amp;")"))</f>
        <v/>
      </c>
      <c r="I215" s="20">
        <f>IF($X215="","",SUMIFS(상세표[기록 시간외],상세표[사번키],INDEX(합계표[사번키],$X215),상세표[기록월],대상월키,상세표[반영월],"&lt;&gt;"&amp;대상월키))</f>
        <v/>
      </c>
      <c r="J215" s="20">
        <f>IF($X215="","",SUMIFS(상세표[기록 시간외],상세표[사번키],INDEX(합계표[사번키],$X215),상세표[기록월],"&lt;&gt;"&amp;대상월키,상세표[반영월],대상월키))</f>
        <v/>
      </c>
      <c r="K215" s="20">
        <f>IF($X215="","",SUMIFS(상세표[기록 시간외],상세표[사번키],INDEX(합계표[사번키],$X215),상세표[반영월],대상월키))</f>
        <v/>
      </c>
      <c r="L215">
        <f>IF($X215="","",IFERROR(INDEX(월별근무지표[적용 급여병원],MATCH(INDEX(합계표[사번키],$X215)&amp;"|"&amp;대상월키,월별근무지표[키],0))&amp;"",IF(COUNTIF(기관표[사번키],INDEX(합계표[사번키],$X215))+COUNTIF(월별근무지표[사번키],INDEX(합계표[사번키],$X215))&gt;0,IFERROR(INDEX(기관표[급여지급병원(기준월)],MATCH(INDEX(합계표[사번키],$X215)&amp;"|"&amp;대상월키,기관표[키],0))&amp;"","—"),"—")))</f>
        <v/>
      </c>
      <c r="M215">
        <f>IF($X215="","",IF(NOT(COUNTIF(기관표[사번키],INDEX(합계표[사번키],$X215))+COUNTIF(월별근무지표[사번키],INDEX(합계표[사번키],$X215))&gt;0),"기관명단에 없음(다른 병원으로 발송)",IF($L215="서울병원","해당",IF(N($R215)&gt;0,"해당(말일 근무)",IF($L215="—","대상월 기관명단 없음(추가 필요)","비해당")))))</f>
        <v/>
      </c>
      <c r="N215" s="20">
        <f>IF($X215="","",SUMIFS(상세표[06~07시],상세표[사번키],INDEX(합계표[사번키],$X215),상세표[반영월],대상월키,상세표[반영 기관],"서울병원"))</f>
        <v/>
      </c>
      <c r="O215" s="20">
        <f>IF($X215="","",SUMIFS(상세표[07~18시],상세표[사번키],INDEX(합계표[사번키],$X215),상세표[반영월],대상월키,상세표[반영 기관],"서울병원"))</f>
        <v/>
      </c>
      <c r="P215" s="20">
        <f>IF($X215="","",SUMIFS(상세표[18~22시],상세표[사번키],INDEX(합계표[사번키],$X215),상세표[반영월],대상월키,상세표[반영 기관],"서울병원"))</f>
        <v/>
      </c>
      <c r="Q215" s="20">
        <f>IF($X215="","",SUMIFS(상세표[22~06시],상세표[사번키],INDEX(합계표[사번키],$X215),상세표[반영월],대상월키,상세표[반영 기관],"서울병원"))</f>
        <v/>
      </c>
      <c r="R215" s="20">
        <f>IF($X215="","",SUM($N215:$Q215))</f>
        <v/>
      </c>
      <c r="S215">
        <f>IF($X215="","",COUNTIFS(상세표[사번키],INDEX(합계표[사번키],$X215),상세표[반영월],대상월키,상세표[야간당직],1,상세표[야간 구분],"평일"))</f>
        <v/>
      </c>
      <c r="T215">
        <f>IF($X215="","",COUNTIFS(상세표[사번키],INDEX(합계표[사번키],$X215),상세표[반영월],대상월키,상세표[야간당직],1,상세표[야간 구분],"휴일"))</f>
        <v/>
      </c>
      <c r="U215">
        <f>IF($X215="","",COUNTIFS(상세표[사번키],INDEX(합계표[사번키],$X215),상세표[반영월],대상월키,상세표[야간당직],1,상세표[야간 구분],"평일",상세표[반영 기관],"서울병원"))</f>
        <v/>
      </c>
      <c r="V215">
        <f>IF($X215="","",COUNTIFS(상세표[사번키],INDEX(합계표[사번키],$X215),상세표[반영월],대상월키,상세표[야간당직],1,상세표[야간 구분],"휴일",상세표[반영 기관],"서울병원"))</f>
        <v/>
      </c>
      <c r="W215">
        <f>IF($X215="","",IF(ISNUMBER(MATCH(INDEX(합계표[사번키],$X215)&amp;"|"&amp;대상월키,월별근무지표[키],0)),"직접 입력",IF($L215="—","—","기관명단")))</f>
        <v/>
      </c>
      <c r="X215" s="4">
        <f>IFERROR(MATCH(210,합계표[판정순번],0),"")</f>
        <v/>
      </c>
      <c r="Z215">
        <f>IF($AC215="","",INDEX(상세표[사번],$AC215)&amp;"")</f>
        <v/>
      </c>
      <c r="AA215">
        <f>IF($AC215="","",INDEX(상세표[성명],$AC215)&amp;"")</f>
        <v/>
      </c>
      <c r="AB215" s="20">
        <f>IF($AC215="","",SUMIFS(상세표[기록 시간외],상세표[사번키],INDEX(상세표[사번키],$AC215),상세표[반영월],대상월키))</f>
        <v/>
      </c>
      <c r="AC215" s="4">
        <f>IFERROR(MATCH(210,상세표[합계없음순번],0),"")</f>
        <v/>
      </c>
    </row>
    <row r="216">
      <c r="A216">
        <f>IF($X216="","",INDEX(합계표[사번],$X216)&amp;"")</f>
        <v/>
      </c>
      <c r="B216">
        <f>IF($X216="","",INDEX(합계표[성명],$X216)&amp;"")</f>
        <v/>
      </c>
      <c r="C216">
        <f>IF($X216="","",INDEX(합계표[부서],$X216)&amp;"")</f>
        <v/>
      </c>
      <c r="D216">
        <f>IF($X216="","",INDEX(합계표[직위(요약)],$X216)&amp;"")</f>
        <v/>
      </c>
      <c r="E216">
        <f>IF($X216="","",INDEX(합계표[직급 공존],$X216)&amp;"")</f>
        <v/>
      </c>
      <c r="F216" s="20">
        <f>IF($X216="","",SUMIFS(합계표[시스템 합계],합계표[사번키],INDEX(합계표[사번키],$X216)))</f>
        <v/>
      </c>
      <c r="G216" s="20">
        <f>IF($X216="","",SUMIFS(상세표[기록 시간외],상세표[사번키],INDEX(합계표[사번키],$X216),상세표[기록월],대상월키))</f>
        <v/>
      </c>
      <c r="H216">
        <f>IF($X216="","",IF(ABS($F216-$G216)&lt;0.01,"일치","불일치(차이 "&amp;TEXT($G216-$F216,"0.00")&amp;")"))</f>
        <v/>
      </c>
      <c r="I216" s="20">
        <f>IF($X216="","",SUMIFS(상세표[기록 시간외],상세표[사번키],INDEX(합계표[사번키],$X216),상세표[기록월],대상월키,상세표[반영월],"&lt;&gt;"&amp;대상월키))</f>
        <v/>
      </c>
      <c r="J216" s="20">
        <f>IF($X216="","",SUMIFS(상세표[기록 시간외],상세표[사번키],INDEX(합계표[사번키],$X216),상세표[기록월],"&lt;&gt;"&amp;대상월키,상세표[반영월],대상월키))</f>
        <v/>
      </c>
      <c r="K216" s="20">
        <f>IF($X216="","",SUMIFS(상세표[기록 시간외],상세표[사번키],INDEX(합계표[사번키],$X216),상세표[반영월],대상월키))</f>
        <v/>
      </c>
      <c r="L216">
        <f>IF($X216="","",IFERROR(INDEX(월별근무지표[적용 급여병원],MATCH(INDEX(합계표[사번키],$X216)&amp;"|"&amp;대상월키,월별근무지표[키],0))&amp;"",IF(COUNTIF(기관표[사번키],INDEX(합계표[사번키],$X216))+COUNTIF(월별근무지표[사번키],INDEX(합계표[사번키],$X216))&gt;0,IFERROR(INDEX(기관표[급여지급병원(기준월)],MATCH(INDEX(합계표[사번키],$X216)&amp;"|"&amp;대상월키,기관표[키],0))&amp;"","—"),"—")))</f>
        <v/>
      </c>
      <c r="M216">
        <f>IF($X216="","",IF(NOT(COUNTIF(기관표[사번키],INDEX(합계표[사번키],$X216))+COUNTIF(월별근무지표[사번키],INDEX(합계표[사번키],$X216))&gt;0),"기관명단에 없음(다른 병원으로 발송)",IF($L216="서울병원","해당",IF(N($R216)&gt;0,"해당(말일 근무)",IF($L216="—","대상월 기관명단 없음(추가 필요)","비해당")))))</f>
        <v/>
      </c>
      <c r="N216" s="20">
        <f>IF($X216="","",SUMIFS(상세표[06~07시],상세표[사번키],INDEX(합계표[사번키],$X216),상세표[반영월],대상월키,상세표[반영 기관],"서울병원"))</f>
        <v/>
      </c>
      <c r="O216" s="20">
        <f>IF($X216="","",SUMIFS(상세표[07~18시],상세표[사번키],INDEX(합계표[사번키],$X216),상세표[반영월],대상월키,상세표[반영 기관],"서울병원"))</f>
        <v/>
      </c>
      <c r="P216" s="20">
        <f>IF($X216="","",SUMIFS(상세표[18~22시],상세표[사번키],INDEX(합계표[사번키],$X216),상세표[반영월],대상월키,상세표[반영 기관],"서울병원"))</f>
        <v/>
      </c>
      <c r="Q216" s="20">
        <f>IF($X216="","",SUMIFS(상세표[22~06시],상세표[사번키],INDEX(합계표[사번키],$X216),상세표[반영월],대상월키,상세표[반영 기관],"서울병원"))</f>
        <v/>
      </c>
      <c r="R216" s="20">
        <f>IF($X216="","",SUM($N216:$Q216))</f>
        <v/>
      </c>
      <c r="S216">
        <f>IF($X216="","",COUNTIFS(상세표[사번키],INDEX(합계표[사번키],$X216),상세표[반영월],대상월키,상세표[야간당직],1,상세표[야간 구분],"평일"))</f>
        <v/>
      </c>
      <c r="T216">
        <f>IF($X216="","",COUNTIFS(상세표[사번키],INDEX(합계표[사번키],$X216),상세표[반영월],대상월키,상세표[야간당직],1,상세표[야간 구분],"휴일"))</f>
        <v/>
      </c>
      <c r="U216">
        <f>IF($X216="","",COUNTIFS(상세표[사번키],INDEX(합계표[사번키],$X216),상세표[반영월],대상월키,상세표[야간당직],1,상세표[야간 구분],"평일",상세표[반영 기관],"서울병원"))</f>
        <v/>
      </c>
      <c r="V216">
        <f>IF($X216="","",COUNTIFS(상세표[사번키],INDEX(합계표[사번키],$X216),상세표[반영월],대상월키,상세표[야간당직],1,상세표[야간 구분],"휴일",상세표[반영 기관],"서울병원"))</f>
        <v/>
      </c>
      <c r="W216">
        <f>IF($X216="","",IF(ISNUMBER(MATCH(INDEX(합계표[사번키],$X216)&amp;"|"&amp;대상월키,월별근무지표[키],0)),"직접 입력",IF($L216="—","—","기관명단")))</f>
        <v/>
      </c>
      <c r="X216" s="4">
        <f>IFERROR(MATCH(211,합계표[판정순번],0),"")</f>
        <v/>
      </c>
      <c r="Z216">
        <f>IF($AC216="","",INDEX(상세표[사번],$AC216)&amp;"")</f>
        <v/>
      </c>
      <c r="AA216">
        <f>IF($AC216="","",INDEX(상세표[성명],$AC216)&amp;"")</f>
        <v/>
      </c>
      <c r="AB216" s="20">
        <f>IF($AC216="","",SUMIFS(상세표[기록 시간외],상세표[사번키],INDEX(상세표[사번키],$AC216),상세표[반영월],대상월키))</f>
        <v/>
      </c>
      <c r="AC216" s="4">
        <f>IFERROR(MATCH(211,상세표[합계없음순번],0),"")</f>
        <v/>
      </c>
    </row>
    <row r="217">
      <c r="A217">
        <f>IF($X217="","",INDEX(합계표[사번],$X217)&amp;"")</f>
        <v/>
      </c>
      <c r="B217">
        <f>IF($X217="","",INDEX(합계표[성명],$X217)&amp;"")</f>
        <v/>
      </c>
      <c r="C217">
        <f>IF($X217="","",INDEX(합계표[부서],$X217)&amp;"")</f>
        <v/>
      </c>
      <c r="D217">
        <f>IF($X217="","",INDEX(합계표[직위(요약)],$X217)&amp;"")</f>
        <v/>
      </c>
      <c r="E217">
        <f>IF($X217="","",INDEX(합계표[직급 공존],$X217)&amp;"")</f>
        <v/>
      </c>
      <c r="F217" s="20">
        <f>IF($X217="","",SUMIFS(합계표[시스템 합계],합계표[사번키],INDEX(합계표[사번키],$X217)))</f>
        <v/>
      </c>
      <c r="G217" s="20">
        <f>IF($X217="","",SUMIFS(상세표[기록 시간외],상세표[사번키],INDEX(합계표[사번키],$X217),상세표[기록월],대상월키))</f>
        <v/>
      </c>
      <c r="H217">
        <f>IF($X217="","",IF(ABS($F217-$G217)&lt;0.01,"일치","불일치(차이 "&amp;TEXT($G217-$F217,"0.00")&amp;")"))</f>
        <v/>
      </c>
      <c r="I217" s="20">
        <f>IF($X217="","",SUMIFS(상세표[기록 시간외],상세표[사번키],INDEX(합계표[사번키],$X217),상세표[기록월],대상월키,상세표[반영월],"&lt;&gt;"&amp;대상월키))</f>
        <v/>
      </c>
      <c r="J217" s="20">
        <f>IF($X217="","",SUMIFS(상세표[기록 시간외],상세표[사번키],INDEX(합계표[사번키],$X217),상세표[기록월],"&lt;&gt;"&amp;대상월키,상세표[반영월],대상월키))</f>
        <v/>
      </c>
      <c r="K217" s="20">
        <f>IF($X217="","",SUMIFS(상세표[기록 시간외],상세표[사번키],INDEX(합계표[사번키],$X217),상세표[반영월],대상월키))</f>
        <v/>
      </c>
      <c r="L217">
        <f>IF($X217="","",IFERROR(INDEX(월별근무지표[적용 급여병원],MATCH(INDEX(합계표[사번키],$X217)&amp;"|"&amp;대상월키,월별근무지표[키],0))&amp;"",IF(COUNTIF(기관표[사번키],INDEX(합계표[사번키],$X217))+COUNTIF(월별근무지표[사번키],INDEX(합계표[사번키],$X217))&gt;0,IFERROR(INDEX(기관표[급여지급병원(기준월)],MATCH(INDEX(합계표[사번키],$X217)&amp;"|"&amp;대상월키,기관표[키],0))&amp;"","—"),"—")))</f>
        <v/>
      </c>
      <c r="M217">
        <f>IF($X217="","",IF(NOT(COUNTIF(기관표[사번키],INDEX(합계표[사번키],$X217))+COUNTIF(월별근무지표[사번키],INDEX(합계표[사번키],$X217))&gt;0),"기관명단에 없음(다른 병원으로 발송)",IF($L217="서울병원","해당",IF(N($R217)&gt;0,"해당(말일 근무)",IF($L217="—","대상월 기관명단 없음(추가 필요)","비해당")))))</f>
        <v/>
      </c>
      <c r="N217" s="20">
        <f>IF($X217="","",SUMIFS(상세표[06~07시],상세표[사번키],INDEX(합계표[사번키],$X217),상세표[반영월],대상월키,상세표[반영 기관],"서울병원"))</f>
        <v/>
      </c>
      <c r="O217" s="20">
        <f>IF($X217="","",SUMIFS(상세표[07~18시],상세표[사번키],INDEX(합계표[사번키],$X217),상세표[반영월],대상월키,상세표[반영 기관],"서울병원"))</f>
        <v/>
      </c>
      <c r="P217" s="20">
        <f>IF($X217="","",SUMIFS(상세표[18~22시],상세표[사번키],INDEX(합계표[사번키],$X217),상세표[반영월],대상월키,상세표[반영 기관],"서울병원"))</f>
        <v/>
      </c>
      <c r="Q217" s="20">
        <f>IF($X217="","",SUMIFS(상세표[22~06시],상세표[사번키],INDEX(합계표[사번키],$X217),상세표[반영월],대상월키,상세표[반영 기관],"서울병원"))</f>
        <v/>
      </c>
      <c r="R217" s="20">
        <f>IF($X217="","",SUM($N217:$Q217))</f>
        <v/>
      </c>
      <c r="S217">
        <f>IF($X217="","",COUNTIFS(상세표[사번키],INDEX(합계표[사번키],$X217),상세표[반영월],대상월키,상세표[야간당직],1,상세표[야간 구분],"평일"))</f>
        <v/>
      </c>
      <c r="T217">
        <f>IF($X217="","",COUNTIFS(상세표[사번키],INDEX(합계표[사번키],$X217),상세표[반영월],대상월키,상세표[야간당직],1,상세표[야간 구분],"휴일"))</f>
        <v/>
      </c>
      <c r="U217">
        <f>IF($X217="","",COUNTIFS(상세표[사번키],INDEX(합계표[사번키],$X217),상세표[반영월],대상월키,상세표[야간당직],1,상세표[야간 구분],"평일",상세표[반영 기관],"서울병원"))</f>
        <v/>
      </c>
      <c r="V217">
        <f>IF($X217="","",COUNTIFS(상세표[사번키],INDEX(합계표[사번키],$X217),상세표[반영월],대상월키,상세표[야간당직],1,상세표[야간 구분],"휴일",상세표[반영 기관],"서울병원"))</f>
        <v/>
      </c>
      <c r="W217">
        <f>IF($X217="","",IF(ISNUMBER(MATCH(INDEX(합계표[사번키],$X217)&amp;"|"&amp;대상월키,월별근무지표[키],0)),"직접 입력",IF($L217="—","—","기관명단")))</f>
        <v/>
      </c>
      <c r="X217" s="4">
        <f>IFERROR(MATCH(212,합계표[판정순번],0),"")</f>
        <v/>
      </c>
      <c r="Z217">
        <f>IF($AC217="","",INDEX(상세표[사번],$AC217)&amp;"")</f>
        <v/>
      </c>
      <c r="AA217">
        <f>IF($AC217="","",INDEX(상세표[성명],$AC217)&amp;"")</f>
        <v/>
      </c>
      <c r="AB217" s="20">
        <f>IF($AC217="","",SUMIFS(상세표[기록 시간외],상세표[사번키],INDEX(상세표[사번키],$AC217),상세표[반영월],대상월키))</f>
        <v/>
      </c>
      <c r="AC217" s="4">
        <f>IFERROR(MATCH(212,상세표[합계없음순번],0),"")</f>
        <v/>
      </c>
    </row>
    <row r="218">
      <c r="A218">
        <f>IF($X218="","",INDEX(합계표[사번],$X218)&amp;"")</f>
        <v/>
      </c>
      <c r="B218">
        <f>IF($X218="","",INDEX(합계표[성명],$X218)&amp;"")</f>
        <v/>
      </c>
      <c r="C218">
        <f>IF($X218="","",INDEX(합계표[부서],$X218)&amp;"")</f>
        <v/>
      </c>
      <c r="D218">
        <f>IF($X218="","",INDEX(합계표[직위(요약)],$X218)&amp;"")</f>
        <v/>
      </c>
      <c r="E218">
        <f>IF($X218="","",INDEX(합계표[직급 공존],$X218)&amp;"")</f>
        <v/>
      </c>
      <c r="F218" s="20">
        <f>IF($X218="","",SUMIFS(합계표[시스템 합계],합계표[사번키],INDEX(합계표[사번키],$X218)))</f>
        <v/>
      </c>
      <c r="G218" s="20">
        <f>IF($X218="","",SUMIFS(상세표[기록 시간외],상세표[사번키],INDEX(합계표[사번키],$X218),상세표[기록월],대상월키))</f>
        <v/>
      </c>
      <c r="H218">
        <f>IF($X218="","",IF(ABS($F218-$G218)&lt;0.01,"일치","불일치(차이 "&amp;TEXT($G218-$F218,"0.00")&amp;")"))</f>
        <v/>
      </c>
      <c r="I218" s="20">
        <f>IF($X218="","",SUMIFS(상세표[기록 시간외],상세표[사번키],INDEX(합계표[사번키],$X218),상세표[기록월],대상월키,상세표[반영월],"&lt;&gt;"&amp;대상월키))</f>
        <v/>
      </c>
      <c r="J218" s="20">
        <f>IF($X218="","",SUMIFS(상세표[기록 시간외],상세표[사번키],INDEX(합계표[사번키],$X218),상세표[기록월],"&lt;&gt;"&amp;대상월키,상세표[반영월],대상월키))</f>
        <v/>
      </c>
      <c r="K218" s="20">
        <f>IF($X218="","",SUMIFS(상세표[기록 시간외],상세표[사번키],INDEX(합계표[사번키],$X218),상세표[반영월],대상월키))</f>
        <v/>
      </c>
      <c r="L218">
        <f>IF($X218="","",IFERROR(INDEX(월별근무지표[적용 급여병원],MATCH(INDEX(합계표[사번키],$X218)&amp;"|"&amp;대상월키,월별근무지표[키],0))&amp;"",IF(COUNTIF(기관표[사번키],INDEX(합계표[사번키],$X218))+COUNTIF(월별근무지표[사번키],INDEX(합계표[사번키],$X218))&gt;0,IFERROR(INDEX(기관표[급여지급병원(기준월)],MATCH(INDEX(합계표[사번키],$X218)&amp;"|"&amp;대상월키,기관표[키],0))&amp;"","—"),"—")))</f>
        <v/>
      </c>
      <c r="M218">
        <f>IF($X218="","",IF(NOT(COUNTIF(기관표[사번키],INDEX(합계표[사번키],$X218))+COUNTIF(월별근무지표[사번키],INDEX(합계표[사번키],$X218))&gt;0),"기관명단에 없음(다른 병원으로 발송)",IF($L218="서울병원","해당",IF(N($R218)&gt;0,"해당(말일 근무)",IF($L218="—","대상월 기관명단 없음(추가 필요)","비해당")))))</f>
        <v/>
      </c>
      <c r="N218" s="20">
        <f>IF($X218="","",SUMIFS(상세표[06~07시],상세표[사번키],INDEX(합계표[사번키],$X218),상세표[반영월],대상월키,상세표[반영 기관],"서울병원"))</f>
        <v/>
      </c>
      <c r="O218" s="20">
        <f>IF($X218="","",SUMIFS(상세표[07~18시],상세표[사번키],INDEX(합계표[사번키],$X218),상세표[반영월],대상월키,상세표[반영 기관],"서울병원"))</f>
        <v/>
      </c>
      <c r="P218" s="20">
        <f>IF($X218="","",SUMIFS(상세표[18~22시],상세표[사번키],INDEX(합계표[사번키],$X218),상세표[반영월],대상월키,상세표[반영 기관],"서울병원"))</f>
        <v/>
      </c>
      <c r="Q218" s="20">
        <f>IF($X218="","",SUMIFS(상세표[22~06시],상세표[사번키],INDEX(합계표[사번키],$X218),상세표[반영월],대상월키,상세표[반영 기관],"서울병원"))</f>
        <v/>
      </c>
      <c r="R218" s="20">
        <f>IF($X218="","",SUM($N218:$Q218))</f>
        <v/>
      </c>
      <c r="S218">
        <f>IF($X218="","",COUNTIFS(상세표[사번키],INDEX(합계표[사번키],$X218),상세표[반영월],대상월키,상세표[야간당직],1,상세표[야간 구분],"평일"))</f>
        <v/>
      </c>
      <c r="T218">
        <f>IF($X218="","",COUNTIFS(상세표[사번키],INDEX(합계표[사번키],$X218),상세표[반영월],대상월키,상세표[야간당직],1,상세표[야간 구분],"휴일"))</f>
        <v/>
      </c>
      <c r="U218">
        <f>IF($X218="","",COUNTIFS(상세표[사번키],INDEX(합계표[사번키],$X218),상세표[반영월],대상월키,상세표[야간당직],1,상세표[야간 구분],"평일",상세표[반영 기관],"서울병원"))</f>
        <v/>
      </c>
      <c r="V218">
        <f>IF($X218="","",COUNTIFS(상세표[사번키],INDEX(합계표[사번키],$X218),상세표[반영월],대상월키,상세표[야간당직],1,상세표[야간 구분],"휴일",상세표[반영 기관],"서울병원"))</f>
        <v/>
      </c>
      <c r="W218">
        <f>IF($X218="","",IF(ISNUMBER(MATCH(INDEX(합계표[사번키],$X218)&amp;"|"&amp;대상월키,월별근무지표[키],0)),"직접 입력",IF($L218="—","—","기관명단")))</f>
        <v/>
      </c>
      <c r="X218" s="4">
        <f>IFERROR(MATCH(213,합계표[판정순번],0),"")</f>
        <v/>
      </c>
      <c r="Z218">
        <f>IF($AC218="","",INDEX(상세표[사번],$AC218)&amp;"")</f>
        <v/>
      </c>
      <c r="AA218">
        <f>IF($AC218="","",INDEX(상세표[성명],$AC218)&amp;"")</f>
        <v/>
      </c>
      <c r="AB218" s="20">
        <f>IF($AC218="","",SUMIFS(상세표[기록 시간외],상세표[사번키],INDEX(상세표[사번키],$AC218),상세표[반영월],대상월키))</f>
        <v/>
      </c>
      <c r="AC218" s="4">
        <f>IFERROR(MATCH(213,상세표[합계없음순번],0),"")</f>
        <v/>
      </c>
    </row>
    <row r="219">
      <c r="A219">
        <f>IF($X219="","",INDEX(합계표[사번],$X219)&amp;"")</f>
        <v/>
      </c>
      <c r="B219">
        <f>IF($X219="","",INDEX(합계표[성명],$X219)&amp;"")</f>
        <v/>
      </c>
      <c r="C219">
        <f>IF($X219="","",INDEX(합계표[부서],$X219)&amp;"")</f>
        <v/>
      </c>
      <c r="D219">
        <f>IF($X219="","",INDEX(합계표[직위(요약)],$X219)&amp;"")</f>
        <v/>
      </c>
      <c r="E219">
        <f>IF($X219="","",INDEX(합계표[직급 공존],$X219)&amp;"")</f>
        <v/>
      </c>
      <c r="F219" s="20">
        <f>IF($X219="","",SUMIFS(합계표[시스템 합계],합계표[사번키],INDEX(합계표[사번키],$X219)))</f>
        <v/>
      </c>
      <c r="G219" s="20">
        <f>IF($X219="","",SUMIFS(상세표[기록 시간외],상세표[사번키],INDEX(합계표[사번키],$X219),상세표[기록월],대상월키))</f>
        <v/>
      </c>
      <c r="H219">
        <f>IF($X219="","",IF(ABS($F219-$G219)&lt;0.01,"일치","불일치(차이 "&amp;TEXT($G219-$F219,"0.00")&amp;")"))</f>
        <v/>
      </c>
      <c r="I219" s="20">
        <f>IF($X219="","",SUMIFS(상세표[기록 시간외],상세표[사번키],INDEX(합계표[사번키],$X219),상세표[기록월],대상월키,상세표[반영월],"&lt;&gt;"&amp;대상월키))</f>
        <v/>
      </c>
      <c r="J219" s="20">
        <f>IF($X219="","",SUMIFS(상세표[기록 시간외],상세표[사번키],INDEX(합계표[사번키],$X219),상세표[기록월],"&lt;&gt;"&amp;대상월키,상세표[반영월],대상월키))</f>
        <v/>
      </c>
      <c r="K219" s="20">
        <f>IF($X219="","",SUMIFS(상세표[기록 시간외],상세표[사번키],INDEX(합계표[사번키],$X219),상세표[반영월],대상월키))</f>
        <v/>
      </c>
      <c r="L219">
        <f>IF($X219="","",IFERROR(INDEX(월별근무지표[적용 급여병원],MATCH(INDEX(합계표[사번키],$X219)&amp;"|"&amp;대상월키,월별근무지표[키],0))&amp;"",IF(COUNTIF(기관표[사번키],INDEX(합계표[사번키],$X219))+COUNTIF(월별근무지표[사번키],INDEX(합계표[사번키],$X219))&gt;0,IFERROR(INDEX(기관표[급여지급병원(기준월)],MATCH(INDEX(합계표[사번키],$X219)&amp;"|"&amp;대상월키,기관표[키],0))&amp;"","—"),"—")))</f>
        <v/>
      </c>
      <c r="M219">
        <f>IF($X219="","",IF(NOT(COUNTIF(기관표[사번키],INDEX(합계표[사번키],$X219))+COUNTIF(월별근무지표[사번키],INDEX(합계표[사번키],$X219))&gt;0),"기관명단에 없음(다른 병원으로 발송)",IF($L219="서울병원","해당",IF(N($R219)&gt;0,"해당(말일 근무)",IF($L219="—","대상월 기관명단 없음(추가 필요)","비해당")))))</f>
        <v/>
      </c>
      <c r="N219" s="20">
        <f>IF($X219="","",SUMIFS(상세표[06~07시],상세표[사번키],INDEX(합계표[사번키],$X219),상세표[반영월],대상월키,상세표[반영 기관],"서울병원"))</f>
        <v/>
      </c>
      <c r="O219" s="20">
        <f>IF($X219="","",SUMIFS(상세표[07~18시],상세표[사번키],INDEX(합계표[사번키],$X219),상세표[반영월],대상월키,상세표[반영 기관],"서울병원"))</f>
        <v/>
      </c>
      <c r="P219" s="20">
        <f>IF($X219="","",SUMIFS(상세표[18~22시],상세표[사번키],INDEX(합계표[사번키],$X219),상세표[반영월],대상월키,상세표[반영 기관],"서울병원"))</f>
        <v/>
      </c>
      <c r="Q219" s="20">
        <f>IF($X219="","",SUMIFS(상세표[22~06시],상세표[사번키],INDEX(합계표[사번키],$X219),상세표[반영월],대상월키,상세표[반영 기관],"서울병원"))</f>
        <v/>
      </c>
      <c r="R219" s="20">
        <f>IF($X219="","",SUM($N219:$Q219))</f>
        <v/>
      </c>
      <c r="S219">
        <f>IF($X219="","",COUNTIFS(상세표[사번키],INDEX(합계표[사번키],$X219),상세표[반영월],대상월키,상세표[야간당직],1,상세표[야간 구분],"평일"))</f>
        <v/>
      </c>
      <c r="T219">
        <f>IF($X219="","",COUNTIFS(상세표[사번키],INDEX(합계표[사번키],$X219),상세표[반영월],대상월키,상세표[야간당직],1,상세표[야간 구분],"휴일"))</f>
        <v/>
      </c>
      <c r="U219">
        <f>IF($X219="","",COUNTIFS(상세표[사번키],INDEX(합계표[사번키],$X219),상세표[반영월],대상월키,상세표[야간당직],1,상세표[야간 구분],"평일",상세표[반영 기관],"서울병원"))</f>
        <v/>
      </c>
      <c r="V219">
        <f>IF($X219="","",COUNTIFS(상세표[사번키],INDEX(합계표[사번키],$X219),상세표[반영월],대상월키,상세표[야간당직],1,상세표[야간 구분],"휴일",상세표[반영 기관],"서울병원"))</f>
        <v/>
      </c>
      <c r="W219">
        <f>IF($X219="","",IF(ISNUMBER(MATCH(INDEX(합계표[사번키],$X219)&amp;"|"&amp;대상월키,월별근무지표[키],0)),"직접 입력",IF($L219="—","—","기관명단")))</f>
        <v/>
      </c>
      <c r="X219" s="4">
        <f>IFERROR(MATCH(214,합계표[판정순번],0),"")</f>
        <v/>
      </c>
      <c r="Z219">
        <f>IF($AC219="","",INDEX(상세표[사번],$AC219)&amp;"")</f>
        <v/>
      </c>
      <c r="AA219">
        <f>IF($AC219="","",INDEX(상세표[성명],$AC219)&amp;"")</f>
        <v/>
      </c>
      <c r="AB219" s="20">
        <f>IF($AC219="","",SUMIFS(상세표[기록 시간외],상세표[사번키],INDEX(상세표[사번키],$AC219),상세표[반영월],대상월키))</f>
        <v/>
      </c>
      <c r="AC219" s="4">
        <f>IFERROR(MATCH(214,상세표[합계없음순번],0),"")</f>
        <v/>
      </c>
    </row>
    <row r="220">
      <c r="A220">
        <f>IF($X220="","",INDEX(합계표[사번],$X220)&amp;"")</f>
        <v/>
      </c>
      <c r="B220">
        <f>IF($X220="","",INDEX(합계표[성명],$X220)&amp;"")</f>
        <v/>
      </c>
      <c r="C220">
        <f>IF($X220="","",INDEX(합계표[부서],$X220)&amp;"")</f>
        <v/>
      </c>
      <c r="D220">
        <f>IF($X220="","",INDEX(합계표[직위(요약)],$X220)&amp;"")</f>
        <v/>
      </c>
      <c r="E220">
        <f>IF($X220="","",INDEX(합계표[직급 공존],$X220)&amp;"")</f>
        <v/>
      </c>
      <c r="F220" s="20">
        <f>IF($X220="","",SUMIFS(합계표[시스템 합계],합계표[사번키],INDEX(합계표[사번키],$X220)))</f>
        <v/>
      </c>
      <c r="G220" s="20">
        <f>IF($X220="","",SUMIFS(상세표[기록 시간외],상세표[사번키],INDEX(합계표[사번키],$X220),상세표[기록월],대상월키))</f>
        <v/>
      </c>
      <c r="H220">
        <f>IF($X220="","",IF(ABS($F220-$G220)&lt;0.01,"일치","불일치(차이 "&amp;TEXT($G220-$F220,"0.00")&amp;")"))</f>
        <v/>
      </c>
      <c r="I220" s="20">
        <f>IF($X220="","",SUMIFS(상세표[기록 시간외],상세표[사번키],INDEX(합계표[사번키],$X220),상세표[기록월],대상월키,상세표[반영월],"&lt;&gt;"&amp;대상월키))</f>
        <v/>
      </c>
      <c r="J220" s="20">
        <f>IF($X220="","",SUMIFS(상세표[기록 시간외],상세표[사번키],INDEX(합계표[사번키],$X220),상세표[기록월],"&lt;&gt;"&amp;대상월키,상세표[반영월],대상월키))</f>
        <v/>
      </c>
      <c r="K220" s="20">
        <f>IF($X220="","",SUMIFS(상세표[기록 시간외],상세표[사번키],INDEX(합계표[사번키],$X220),상세표[반영월],대상월키))</f>
        <v/>
      </c>
      <c r="L220">
        <f>IF($X220="","",IFERROR(INDEX(월별근무지표[적용 급여병원],MATCH(INDEX(합계표[사번키],$X220)&amp;"|"&amp;대상월키,월별근무지표[키],0))&amp;"",IF(COUNTIF(기관표[사번키],INDEX(합계표[사번키],$X220))+COUNTIF(월별근무지표[사번키],INDEX(합계표[사번키],$X220))&gt;0,IFERROR(INDEX(기관표[급여지급병원(기준월)],MATCH(INDEX(합계표[사번키],$X220)&amp;"|"&amp;대상월키,기관표[키],0))&amp;"","—"),"—")))</f>
        <v/>
      </c>
      <c r="M220">
        <f>IF($X220="","",IF(NOT(COUNTIF(기관표[사번키],INDEX(합계표[사번키],$X220))+COUNTIF(월별근무지표[사번키],INDEX(합계표[사번키],$X220))&gt;0),"기관명단에 없음(다른 병원으로 발송)",IF($L220="서울병원","해당",IF(N($R220)&gt;0,"해당(말일 근무)",IF($L220="—","대상월 기관명단 없음(추가 필요)","비해당")))))</f>
        <v/>
      </c>
      <c r="N220" s="20">
        <f>IF($X220="","",SUMIFS(상세표[06~07시],상세표[사번키],INDEX(합계표[사번키],$X220),상세표[반영월],대상월키,상세표[반영 기관],"서울병원"))</f>
        <v/>
      </c>
      <c r="O220" s="20">
        <f>IF($X220="","",SUMIFS(상세표[07~18시],상세표[사번키],INDEX(합계표[사번키],$X220),상세표[반영월],대상월키,상세표[반영 기관],"서울병원"))</f>
        <v/>
      </c>
      <c r="P220" s="20">
        <f>IF($X220="","",SUMIFS(상세표[18~22시],상세표[사번키],INDEX(합계표[사번키],$X220),상세표[반영월],대상월키,상세표[반영 기관],"서울병원"))</f>
        <v/>
      </c>
      <c r="Q220" s="20">
        <f>IF($X220="","",SUMIFS(상세표[22~06시],상세표[사번키],INDEX(합계표[사번키],$X220),상세표[반영월],대상월키,상세표[반영 기관],"서울병원"))</f>
        <v/>
      </c>
      <c r="R220" s="20">
        <f>IF($X220="","",SUM($N220:$Q220))</f>
        <v/>
      </c>
      <c r="S220">
        <f>IF($X220="","",COUNTIFS(상세표[사번키],INDEX(합계표[사번키],$X220),상세표[반영월],대상월키,상세표[야간당직],1,상세표[야간 구분],"평일"))</f>
        <v/>
      </c>
      <c r="T220">
        <f>IF($X220="","",COUNTIFS(상세표[사번키],INDEX(합계표[사번키],$X220),상세표[반영월],대상월키,상세표[야간당직],1,상세표[야간 구분],"휴일"))</f>
        <v/>
      </c>
      <c r="U220">
        <f>IF($X220="","",COUNTIFS(상세표[사번키],INDEX(합계표[사번키],$X220),상세표[반영월],대상월키,상세표[야간당직],1,상세표[야간 구분],"평일",상세표[반영 기관],"서울병원"))</f>
        <v/>
      </c>
      <c r="V220">
        <f>IF($X220="","",COUNTIFS(상세표[사번키],INDEX(합계표[사번키],$X220),상세표[반영월],대상월키,상세표[야간당직],1,상세표[야간 구분],"휴일",상세표[반영 기관],"서울병원"))</f>
        <v/>
      </c>
      <c r="W220">
        <f>IF($X220="","",IF(ISNUMBER(MATCH(INDEX(합계표[사번키],$X220)&amp;"|"&amp;대상월키,월별근무지표[키],0)),"직접 입력",IF($L220="—","—","기관명단")))</f>
        <v/>
      </c>
      <c r="X220" s="4">
        <f>IFERROR(MATCH(215,합계표[판정순번],0),"")</f>
        <v/>
      </c>
      <c r="Z220">
        <f>IF($AC220="","",INDEX(상세표[사번],$AC220)&amp;"")</f>
        <v/>
      </c>
      <c r="AA220">
        <f>IF($AC220="","",INDEX(상세표[성명],$AC220)&amp;"")</f>
        <v/>
      </c>
      <c r="AB220" s="20">
        <f>IF($AC220="","",SUMIFS(상세표[기록 시간외],상세표[사번키],INDEX(상세표[사번키],$AC220),상세표[반영월],대상월키))</f>
        <v/>
      </c>
      <c r="AC220" s="4">
        <f>IFERROR(MATCH(215,상세표[합계없음순번],0),"")</f>
        <v/>
      </c>
    </row>
    <row r="221">
      <c r="A221">
        <f>IF($X221="","",INDEX(합계표[사번],$X221)&amp;"")</f>
        <v/>
      </c>
      <c r="B221">
        <f>IF($X221="","",INDEX(합계표[성명],$X221)&amp;"")</f>
        <v/>
      </c>
      <c r="C221">
        <f>IF($X221="","",INDEX(합계표[부서],$X221)&amp;"")</f>
        <v/>
      </c>
      <c r="D221">
        <f>IF($X221="","",INDEX(합계표[직위(요약)],$X221)&amp;"")</f>
        <v/>
      </c>
      <c r="E221">
        <f>IF($X221="","",INDEX(합계표[직급 공존],$X221)&amp;"")</f>
        <v/>
      </c>
      <c r="F221" s="20">
        <f>IF($X221="","",SUMIFS(합계표[시스템 합계],합계표[사번키],INDEX(합계표[사번키],$X221)))</f>
        <v/>
      </c>
      <c r="G221" s="20">
        <f>IF($X221="","",SUMIFS(상세표[기록 시간외],상세표[사번키],INDEX(합계표[사번키],$X221),상세표[기록월],대상월키))</f>
        <v/>
      </c>
      <c r="H221">
        <f>IF($X221="","",IF(ABS($F221-$G221)&lt;0.01,"일치","불일치(차이 "&amp;TEXT($G221-$F221,"0.00")&amp;")"))</f>
        <v/>
      </c>
      <c r="I221" s="20">
        <f>IF($X221="","",SUMIFS(상세표[기록 시간외],상세표[사번키],INDEX(합계표[사번키],$X221),상세표[기록월],대상월키,상세표[반영월],"&lt;&gt;"&amp;대상월키))</f>
        <v/>
      </c>
      <c r="J221" s="20">
        <f>IF($X221="","",SUMIFS(상세표[기록 시간외],상세표[사번키],INDEX(합계표[사번키],$X221),상세표[기록월],"&lt;&gt;"&amp;대상월키,상세표[반영월],대상월키))</f>
        <v/>
      </c>
      <c r="K221" s="20">
        <f>IF($X221="","",SUMIFS(상세표[기록 시간외],상세표[사번키],INDEX(합계표[사번키],$X221),상세표[반영월],대상월키))</f>
        <v/>
      </c>
      <c r="L221">
        <f>IF($X221="","",IFERROR(INDEX(월별근무지표[적용 급여병원],MATCH(INDEX(합계표[사번키],$X221)&amp;"|"&amp;대상월키,월별근무지표[키],0))&amp;"",IF(COUNTIF(기관표[사번키],INDEX(합계표[사번키],$X221))+COUNTIF(월별근무지표[사번키],INDEX(합계표[사번키],$X221))&gt;0,IFERROR(INDEX(기관표[급여지급병원(기준월)],MATCH(INDEX(합계표[사번키],$X221)&amp;"|"&amp;대상월키,기관표[키],0))&amp;"","—"),"—")))</f>
        <v/>
      </c>
      <c r="M221">
        <f>IF($X221="","",IF(NOT(COUNTIF(기관표[사번키],INDEX(합계표[사번키],$X221))+COUNTIF(월별근무지표[사번키],INDEX(합계표[사번키],$X221))&gt;0),"기관명단에 없음(다른 병원으로 발송)",IF($L221="서울병원","해당",IF(N($R221)&gt;0,"해당(말일 근무)",IF($L221="—","대상월 기관명단 없음(추가 필요)","비해당")))))</f>
        <v/>
      </c>
      <c r="N221" s="20">
        <f>IF($X221="","",SUMIFS(상세표[06~07시],상세표[사번키],INDEX(합계표[사번키],$X221),상세표[반영월],대상월키,상세표[반영 기관],"서울병원"))</f>
        <v/>
      </c>
      <c r="O221" s="20">
        <f>IF($X221="","",SUMIFS(상세표[07~18시],상세표[사번키],INDEX(합계표[사번키],$X221),상세표[반영월],대상월키,상세표[반영 기관],"서울병원"))</f>
        <v/>
      </c>
      <c r="P221" s="20">
        <f>IF($X221="","",SUMIFS(상세표[18~22시],상세표[사번키],INDEX(합계표[사번키],$X221),상세표[반영월],대상월키,상세표[반영 기관],"서울병원"))</f>
        <v/>
      </c>
      <c r="Q221" s="20">
        <f>IF($X221="","",SUMIFS(상세표[22~06시],상세표[사번키],INDEX(합계표[사번키],$X221),상세표[반영월],대상월키,상세표[반영 기관],"서울병원"))</f>
        <v/>
      </c>
      <c r="R221" s="20">
        <f>IF($X221="","",SUM($N221:$Q221))</f>
        <v/>
      </c>
      <c r="S221">
        <f>IF($X221="","",COUNTIFS(상세표[사번키],INDEX(합계표[사번키],$X221),상세표[반영월],대상월키,상세표[야간당직],1,상세표[야간 구분],"평일"))</f>
        <v/>
      </c>
      <c r="T221">
        <f>IF($X221="","",COUNTIFS(상세표[사번키],INDEX(합계표[사번키],$X221),상세표[반영월],대상월키,상세표[야간당직],1,상세표[야간 구분],"휴일"))</f>
        <v/>
      </c>
      <c r="U221">
        <f>IF($X221="","",COUNTIFS(상세표[사번키],INDEX(합계표[사번키],$X221),상세표[반영월],대상월키,상세표[야간당직],1,상세표[야간 구분],"평일",상세표[반영 기관],"서울병원"))</f>
        <v/>
      </c>
      <c r="V221">
        <f>IF($X221="","",COUNTIFS(상세표[사번키],INDEX(합계표[사번키],$X221),상세표[반영월],대상월키,상세표[야간당직],1,상세표[야간 구분],"휴일",상세표[반영 기관],"서울병원"))</f>
        <v/>
      </c>
      <c r="W221">
        <f>IF($X221="","",IF(ISNUMBER(MATCH(INDEX(합계표[사번키],$X221)&amp;"|"&amp;대상월키,월별근무지표[키],0)),"직접 입력",IF($L221="—","—","기관명단")))</f>
        <v/>
      </c>
      <c r="X221" s="4">
        <f>IFERROR(MATCH(216,합계표[판정순번],0),"")</f>
        <v/>
      </c>
      <c r="Z221">
        <f>IF($AC221="","",INDEX(상세표[사번],$AC221)&amp;"")</f>
        <v/>
      </c>
      <c r="AA221">
        <f>IF($AC221="","",INDEX(상세표[성명],$AC221)&amp;"")</f>
        <v/>
      </c>
      <c r="AB221" s="20">
        <f>IF($AC221="","",SUMIFS(상세표[기록 시간외],상세표[사번키],INDEX(상세표[사번키],$AC221),상세표[반영월],대상월키))</f>
        <v/>
      </c>
      <c r="AC221" s="4">
        <f>IFERROR(MATCH(216,상세표[합계없음순번],0),"")</f>
        <v/>
      </c>
    </row>
    <row r="222">
      <c r="A222">
        <f>IF($X222="","",INDEX(합계표[사번],$X222)&amp;"")</f>
        <v/>
      </c>
      <c r="B222">
        <f>IF($X222="","",INDEX(합계표[성명],$X222)&amp;"")</f>
        <v/>
      </c>
      <c r="C222">
        <f>IF($X222="","",INDEX(합계표[부서],$X222)&amp;"")</f>
        <v/>
      </c>
      <c r="D222">
        <f>IF($X222="","",INDEX(합계표[직위(요약)],$X222)&amp;"")</f>
        <v/>
      </c>
      <c r="E222">
        <f>IF($X222="","",INDEX(합계표[직급 공존],$X222)&amp;"")</f>
        <v/>
      </c>
      <c r="F222" s="20">
        <f>IF($X222="","",SUMIFS(합계표[시스템 합계],합계표[사번키],INDEX(합계표[사번키],$X222)))</f>
        <v/>
      </c>
      <c r="G222" s="20">
        <f>IF($X222="","",SUMIFS(상세표[기록 시간외],상세표[사번키],INDEX(합계표[사번키],$X222),상세표[기록월],대상월키))</f>
        <v/>
      </c>
      <c r="H222">
        <f>IF($X222="","",IF(ABS($F222-$G222)&lt;0.01,"일치","불일치(차이 "&amp;TEXT($G222-$F222,"0.00")&amp;")"))</f>
        <v/>
      </c>
      <c r="I222" s="20">
        <f>IF($X222="","",SUMIFS(상세표[기록 시간외],상세표[사번키],INDEX(합계표[사번키],$X222),상세표[기록월],대상월키,상세표[반영월],"&lt;&gt;"&amp;대상월키))</f>
        <v/>
      </c>
      <c r="J222" s="20">
        <f>IF($X222="","",SUMIFS(상세표[기록 시간외],상세표[사번키],INDEX(합계표[사번키],$X222),상세표[기록월],"&lt;&gt;"&amp;대상월키,상세표[반영월],대상월키))</f>
        <v/>
      </c>
      <c r="K222" s="20">
        <f>IF($X222="","",SUMIFS(상세표[기록 시간외],상세표[사번키],INDEX(합계표[사번키],$X222),상세표[반영월],대상월키))</f>
        <v/>
      </c>
      <c r="L222">
        <f>IF($X222="","",IFERROR(INDEX(월별근무지표[적용 급여병원],MATCH(INDEX(합계표[사번키],$X222)&amp;"|"&amp;대상월키,월별근무지표[키],0))&amp;"",IF(COUNTIF(기관표[사번키],INDEX(합계표[사번키],$X222))+COUNTIF(월별근무지표[사번키],INDEX(합계표[사번키],$X222))&gt;0,IFERROR(INDEX(기관표[급여지급병원(기준월)],MATCH(INDEX(합계표[사번키],$X222)&amp;"|"&amp;대상월키,기관표[키],0))&amp;"","—"),"—")))</f>
        <v/>
      </c>
      <c r="M222">
        <f>IF($X222="","",IF(NOT(COUNTIF(기관표[사번키],INDEX(합계표[사번키],$X222))+COUNTIF(월별근무지표[사번키],INDEX(합계표[사번키],$X222))&gt;0),"기관명단에 없음(다른 병원으로 발송)",IF($L222="서울병원","해당",IF(N($R222)&gt;0,"해당(말일 근무)",IF($L222="—","대상월 기관명단 없음(추가 필요)","비해당")))))</f>
        <v/>
      </c>
      <c r="N222" s="20">
        <f>IF($X222="","",SUMIFS(상세표[06~07시],상세표[사번키],INDEX(합계표[사번키],$X222),상세표[반영월],대상월키,상세표[반영 기관],"서울병원"))</f>
        <v/>
      </c>
      <c r="O222" s="20">
        <f>IF($X222="","",SUMIFS(상세표[07~18시],상세표[사번키],INDEX(합계표[사번키],$X222),상세표[반영월],대상월키,상세표[반영 기관],"서울병원"))</f>
        <v/>
      </c>
      <c r="P222" s="20">
        <f>IF($X222="","",SUMIFS(상세표[18~22시],상세표[사번키],INDEX(합계표[사번키],$X222),상세표[반영월],대상월키,상세표[반영 기관],"서울병원"))</f>
        <v/>
      </c>
      <c r="Q222" s="20">
        <f>IF($X222="","",SUMIFS(상세표[22~06시],상세표[사번키],INDEX(합계표[사번키],$X222),상세표[반영월],대상월키,상세표[반영 기관],"서울병원"))</f>
        <v/>
      </c>
      <c r="R222" s="20">
        <f>IF($X222="","",SUM($N222:$Q222))</f>
        <v/>
      </c>
      <c r="S222">
        <f>IF($X222="","",COUNTIFS(상세표[사번키],INDEX(합계표[사번키],$X222),상세표[반영월],대상월키,상세표[야간당직],1,상세표[야간 구분],"평일"))</f>
        <v/>
      </c>
      <c r="T222">
        <f>IF($X222="","",COUNTIFS(상세표[사번키],INDEX(합계표[사번키],$X222),상세표[반영월],대상월키,상세표[야간당직],1,상세표[야간 구분],"휴일"))</f>
        <v/>
      </c>
      <c r="U222">
        <f>IF($X222="","",COUNTIFS(상세표[사번키],INDEX(합계표[사번키],$X222),상세표[반영월],대상월키,상세표[야간당직],1,상세표[야간 구분],"평일",상세표[반영 기관],"서울병원"))</f>
        <v/>
      </c>
      <c r="V222">
        <f>IF($X222="","",COUNTIFS(상세표[사번키],INDEX(합계표[사번키],$X222),상세표[반영월],대상월키,상세표[야간당직],1,상세표[야간 구분],"휴일",상세표[반영 기관],"서울병원"))</f>
        <v/>
      </c>
      <c r="W222">
        <f>IF($X222="","",IF(ISNUMBER(MATCH(INDEX(합계표[사번키],$X222)&amp;"|"&amp;대상월키,월별근무지표[키],0)),"직접 입력",IF($L222="—","—","기관명단")))</f>
        <v/>
      </c>
      <c r="X222" s="4">
        <f>IFERROR(MATCH(217,합계표[판정순번],0),"")</f>
        <v/>
      </c>
      <c r="Z222">
        <f>IF($AC222="","",INDEX(상세표[사번],$AC222)&amp;"")</f>
        <v/>
      </c>
      <c r="AA222">
        <f>IF($AC222="","",INDEX(상세표[성명],$AC222)&amp;"")</f>
        <v/>
      </c>
      <c r="AB222" s="20">
        <f>IF($AC222="","",SUMIFS(상세표[기록 시간외],상세표[사번키],INDEX(상세표[사번키],$AC222),상세표[반영월],대상월키))</f>
        <v/>
      </c>
      <c r="AC222" s="4">
        <f>IFERROR(MATCH(217,상세표[합계없음순번],0),"")</f>
        <v/>
      </c>
    </row>
    <row r="223">
      <c r="A223">
        <f>IF($X223="","",INDEX(합계표[사번],$X223)&amp;"")</f>
        <v/>
      </c>
      <c r="B223">
        <f>IF($X223="","",INDEX(합계표[성명],$X223)&amp;"")</f>
        <v/>
      </c>
      <c r="C223">
        <f>IF($X223="","",INDEX(합계표[부서],$X223)&amp;"")</f>
        <v/>
      </c>
      <c r="D223">
        <f>IF($X223="","",INDEX(합계표[직위(요약)],$X223)&amp;"")</f>
        <v/>
      </c>
      <c r="E223">
        <f>IF($X223="","",INDEX(합계표[직급 공존],$X223)&amp;"")</f>
        <v/>
      </c>
      <c r="F223" s="20">
        <f>IF($X223="","",SUMIFS(합계표[시스템 합계],합계표[사번키],INDEX(합계표[사번키],$X223)))</f>
        <v/>
      </c>
      <c r="G223" s="20">
        <f>IF($X223="","",SUMIFS(상세표[기록 시간외],상세표[사번키],INDEX(합계표[사번키],$X223),상세표[기록월],대상월키))</f>
        <v/>
      </c>
      <c r="H223">
        <f>IF($X223="","",IF(ABS($F223-$G223)&lt;0.01,"일치","불일치(차이 "&amp;TEXT($G223-$F223,"0.00")&amp;")"))</f>
        <v/>
      </c>
      <c r="I223" s="20">
        <f>IF($X223="","",SUMIFS(상세표[기록 시간외],상세표[사번키],INDEX(합계표[사번키],$X223),상세표[기록월],대상월키,상세표[반영월],"&lt;&gt;"&amp;대상월키))</f>
        <v/>
      </c>
      <c r="J223" s="20">
        <f>IF($X223="","",SUMIFS(상세표[기록 시간외],상세표[사번키],INDEX(합계표[사번키],$X223),상세표[기록월],"&lt;&gt;"&amp;대상월키,상세표[반영월],대상월키))</f>
        <v/>
      </c>
      <c r="K223" s="20">
        <f>IF($X223="","",SUMIFS(상세표[기록 시간외],상세표[사번키],INDEX(합계표[사번키],$X223),상세표[반영월],대상월키))</f>
        <v/>
      </c>
      <c r="L223">
        <f>IF($X223="","",IFERROR(INDEX(월별근무지표[적용 급여병원],MATCH(INDEX(합계표[사번키],$X223)&amp;"|"&amp;대상월키,월별근무지표[키],0))&amp;"",IF(COUNTIF(기관표[사번키],INDEX(합계표[사번키],$X223))+COUNTIF(월별근무지표[사번키],INDEX(합계표[사번키],$X223))&gt;0,IFERROR(INDEX(기관표[급여지급병원(기준월)],MATCH(INDEX(합계표[사번키],$X223)&amp;"|"&amp;대상월키,기관표[키],0))&amp;"","—"),"—")))</f>
        <v/>
      </c>
      <c r="M223">
        <f>IF($X223="","",IF(NOT(COUNTIF(기관표[사번키],INDEX(합계표[사번키],$X223))+COUNTIF(월별근무지표[사번키],INDEX(합계표[사번키],$X223))&gt;0),"기관명단에 없음(다른 병원으로 발송)",IF($L223="서울병원","해당",IF(N($R223)&gt;0,"해당(말일 근무)",IF($L223="—","대상월 기관명단 없음(추가 필요)","비해당")))))</f>
        <v/>
      </c>
      <c r="N223" s="20">
        <f>IF($X223="","",SUMIFS(상세표[06~07시],상세표[사번키],INDEX(합계표[사번키],$X223),상세표[반영월],대상월키,상세표[반영 기관],"서울병원"))</f>
        <v/>
      </c>
      <c r="O223" s="20">
        <f>IF($X223="","",SUMIFS(상세표[07~18시],상세표[사번키],INDEX(합계표[사번키],$X223),상세표[반영월],대상월키,상세표[반영 기관],"서울병원"))</f>
        <v/>
      </c>
      <c r="P223" s="20">
        <f>IF($X223="","",SUMIFS(상세표[18~22시],상세표[사번키],INDEX(합계표[사번키],$X223),상세표[반영월],대상월키,상세표[반영 기관],"서울병원"))</f>
        <v/>
      </c>
      <c r="Q223" s="20">
        <f>IF($X223="","",SUMIFS(상세표[22~06시],상세표[사번키],INDEX(합계표[사번키],$X223),상세표[반영월],대상월키,상세표[반영 기관],"서울병원"))</f>
        <v/>
      </c>
      <c r="R223" s="20">
        <f>IF($X223="","",SUM($N223:$Q223))</f>
        <v/>
      </c>
      <c r="S223">
        <f>IF($X223="","",COUNTIFS(상세표[사번키],INDEX(합계표[사번키],$X223),상세표[반영월],대상월키,상세표[야간당직],1,상세표[야간 구분],"평일"))</f>
        <v/>
      </c>
      <c r="T223">
        <f>IF($X223="","",COUNTIFS(상세표[사번키],INDEX(합계표[사번키],$X223),상세표[반영월],대상월키,상세표[야간당직],1,상세표[야간 구분],"휴일"))</f>
        <v/>
      </c>
      <c r="U223">
        <f>IF($X223="","",COUNTIFS(상세표[사번키],INDEX(합계표[사번키],$X223),상세표[반영월],대상월키,상세표[야간당직],1,상세표[야간 구분],"평일",상세표[반영 기관],"서울병원"))</f>
        <v/>
      </c>
      <c r="V223">
        <f>IF($X223="","",COUNTIFS(상세표[사번키],INDEX(합계표[사번키],$X223),상세표[반영월],대상월키,상세표[야간당직],1,상세표[야간 구분],"휴일",상세표[반영 기관],"서울병원"))</f>
        <v/>
      </c>
      <c r="W223">
        <f>IF($X223="","",IF(ISNUMBER(MATCH(INDEX(합계표[사번키],$X223)&amp;"|"&amp;대상월키,월별근무지표[키],0)),"직접 입력",IF($L223="—","—","기관명단")))</f>
        <v/>
      </c>
      <c r="X223" s="4">
        <f>IFERROR(MATCH(218,합계표[판정순번],0),"")</f>
        <v/>
      </c>
      <c r="Z223">
        <f>IF($AC223="","",INDEX(상세표[사번],$AC223)&amp;"")</f>
        <v/>
      </c>
      <c r="AA223">
        <f>IF($AC223="","",INDEX(상세표[성명],$AC223)&amp;"")</f>
        <v/>
      </c>
      <c r="AB223" s="20">
        <f>IF($AC223="","",SUMIFS(상세표[기록 시간외],상세표[사번키],INDEX(상세표[사번키],$AC223),상세표[반영월],대상월키))</f>
        <v/>
      </c>
      <c r="AC223" s="4">
        <f>IFERROR(MATCH(218,상세표[합계없음순번],0),"")</f>
        <v/>
      </c>
    </row>
    <row r="224">
      <c r="A224">
        <f>IF($X224="","",INDEX(합계표[사번],$X224)&amp;"")</f>
        <v/>
      </c>
      <c r="B224">
        <f>IF($X224="","",INDEX(합계표[성명],$X224)&amp;"")</f>
        <v/>
      </c>
      <c r="C224">
        <f>IF($X224="","",INDEX(합계표[부서],$X224)&amp;"")</f>
        <v/>
      </c>
      <c r="D224">
        <f>IF($X224="","",INDEX(합계표[직위(요약)],$X224)&amp;"")</f>
        <v/>
      </c>
      <c r="E224">
        <f>IF($X224="","",INDEX(합계표[직급 공존],$X224)&amp;"")</f>
        <v/>
      </c>
      <c r="F224" s="20">
        <f>IF($X224="","",SUMIFS(합계표[시스템 합계],합계표[사번키],INDEX(합계표[사번키],$X224)))</f>
        <v/>
      </c>
      <c r="G224" s="20">
        <f>IF($X224="","",SUMIFS(상세표[기록 시간외],상세표[사번키],INDEX(합계표[사번키],$X224),상세표[기록월],대상월키))</f>
        <v/>
      </c>
      <c r="H224">
        <f>IF($X224="","",IF(ABS($F224-$G224)&lt;0.01,"일치","불일치(차이 "&amp;TEXT($G224-$F224,"0.00")&amp;")"))</f>
        <v/>
      </c>
      <c r="I224" s="20">
        <f>IF($X224="","",SUMIFS(상세표[기록 시간외],상세표[사번키],INDEX(합계표[사번키],$X224),상세표[기록월],대상월키,상세표[반영월],"&lt;&gt;"&amp;대상월키))</f>
        <v/>
      </c>
      <c r="J224" s="20">
        <f>IF($X224="","",SUMIFS(상세표[기록 시간외],상세표[사번키],INDEX(합계표[사번키],$X224),상세표[기록월],"&lt;&gt;"&amp;대상월키,상세표[반영월],대상월키))</f>
        <v/>
      </c>
      <c r="K224" s="20">
        <f>IF($X224="","",SUMIFS(상세표[기록 시간외],상세표[사번키],INDEX(합계표[사번키],$X224),상세표[반영월],대상월키))</f>
        <v/>
      </c>
      <c r="L224">
        <f>IF($X224="","",IFERROR(INDEX(월별근무지표[적용 급여병원],MATCH(INDEX(합계표[사번키],$X224)&amp;"|"&amp;대상월키,월별근무지표[키],0))&amp;"",IF(COUNTIF(기관표[사번키],INDEX(합계표[사번키],$X224))+COUNTIF(월별근무지표[사번키],INDEX(합계표[사번키],$X224))&gt;0,IFERROR(INDEX(기관표[급여지급병원(기준월)],MATCH(INDEX(합계표[사번키],$X224)&amp;"|"&amp;대상월키,기관표[키],0))&amp;"","—"),"—")))</f>
        <v/>
      </c>
      <c r="M224">
        <f>IF($X224="","",IF(NOT(COUNTIF(기관표[사번키],INDEX(합계표[사번키],$X224))+COUNTIF(월별근무지표[사번키],INDEX(합계표[사번키],$X224))&gt;0),"기관명단에 없음(다른 병원으로 발송)",IF($L224="서울병원","해당",IF(N($R224)&gt;0,"해당(말일 근무)",IF($L224="—","대상월 기관명단 없음(추가 필요)","비해당")))))</f>
        <v/>
      </c>
      <c r="N224" s="20">
        <f>IF($X224="","",SUMIFS(상세표[06~07시],상세표[사번키],INDEX(합계표[사번키],$X224),상세표[반영월],대상월키,상세표[반영 기관],"서울병원"))</f>
        <v/>
      </c>
      <c r="O224" s="20">
        <f>IF($X224="","",SUMIFS(상세표[07~18시],상세표[사번키],INDEX(합계표[사번키],$X224),상세표[반영월],대상월키,상세표[반영 기관],"서울병원"))</f>
        <v/>
      </c>
      <c r="P224" s="20">
        <f>IF($X224="","",SUMIFS(상세표[18~22시],상세표[사번키],INDEX(합계표[사번키],$X224),상세표[반영월],대상월키,상세표[반영 기관],"서울병원"))</f>
        <v/>
      </c>
      <c r="Q224" s="20">
        <f>IF($X224="","",SUMIFS(상세표[22~06시],상세표[사번키],INDEX(합계표[사번키],$X224),상세표[반영월],대상월키,상세표[반영 기관],"서울병원"))</f>
        <v/>
      </c>
      <c r="R224" s="20">
        <f>IF($X224="","",SUM($N224:$Q224))</f>
        <v/>
      </c>
      <c r="S224">
        <f>IF($X224="","",COUNTIFS(상세표[사번키],INDEX(합계표[사번키],$X224),상세표[반영월],대상월키,상세표[야간당직],1,상세표[야간 구분],"평일"))</f>
        <v/>
      </c>
      <c r="T224">
        <f>IF($X224="","",COUNTIFS(상세표[사번키],INDEX(합계표[사번키],$X224),상세표[반영월],대상월키,상세표[야간당직],1,상세표[야간 구분],"휴일"))</f>
        <v/>
      </c>
      <c r="U224">
        <f>IF($X224="","",COUNTIFS(상세표[사번키],INDEX(합계표[사번키],$X224),상세표[반영월],대상월키,상세표[야간당직],1,상세표[야간 구분],"평일",상세표[반영 기관],"서울병원"))</f>
        <v/>
      </c>
      <c r="V224">
        <f>IF($X224="","",COUNTIFS(상세표[사번키],INDEX(합계표[사번키],$X224),상세표[반영월],대상월키,상세표[야간당직],1,상세표[야간 구분],"휴일",상세표[반영 기관],"서울병원"))</f>
        <v/>
      </c>
      <c r="W224">
        <f>IF($X224="","",IF(ISNUMBER(MATCH(INDEX(합계표[사번키],$X224)&amp;"|"&amp;대상월키,월별근무지표[키],0)),"직접 입력",IF($L224="—","—","기관명단")))</f>
        <v/>
      </c>
      <c r="X224" s="4">
        <f>IFERROR(MATCH(219,합계표[판정순번],0),"")</f>
        <v/>
      </c>
      <c r="Z224">
        <f>IF($AC224="","",INDEX(상세표[사번],$AC224)&amp;"")</f>
        <v/>
      </c>
      <c r="AA224">
        <f>IF($AC224="","",INDEX(상세표[성명],$AC224)&amp;"")</f>
        <v/>
      </c>
      <c r="AB224" s="20">
        <f>IF($AC224="","",SUMIFS(상세표[기록 시간외],상세표[사번키],INDEX(상세표[사번키],$AC224),상세표[반영월],대상월키))</f>
        <v/>
      </c>
      <c r="AC224" s="4">
        <f>IFERROR(MATCH(219,상세표[합계없음순번],0),"")</f>
        <v/>
      </c>
    </row>
    <row r="225">
      <c r="A225">
        <f>IF($X225="","",INDEX(합계표[사번],$X225)&amp;"")</f>
        <v/>
      </c>
      <c r="B225">
        <f>IF($X225="","",INDEX(합계표[성명],$X225)&amp;"")</f>
        <v/>
      </c>
      <c r="C225">
        <f>IF($X225="","",INDEX(합계표[부서],$X225)&amp;"")</f>
        <v/>
      </c>
      <c r="D225">
        <f>IF($X225="","",INDEX(합계표[직위(요약)],$X225)&amp;"")</f>
        <v/>
      </c>
      <c r="E225">
        <f>IF($X225="","",INDEX(합계표[직급 공존],$X225)&amp;"")</f>
        <v/>
      </c>
      <c r="F225" s="20">
        <f>IF($X225="","",SUMIFS(합계표[시스템 합계],합계표[사번키],INDEX(합계표[사번키],$X225)))</f>
        <v/>
      </c>
      <c r="G225" s="20">
        <f>IF($X225="","",SUMIFS(상세표[기록 시간외],상세표[사번키],INDEX(합계표[사번키],$X225),상세표[기록월],대상월키))</f>
        <v/>
      </c>
      <c r="H225">
        <f>IF($X225="","",IF(ABS($F225-$G225)&lt;0.01,"일치","불일치(차이 "&amp;TEXT($G225-$F225,"0.00")&amp;")"))</f>
        <v/>
      </c>
      <c r="I225" s="20">
        <f>IF($X225="","",SUMIFS(상세표[기록 시간외],상세표[사번키],INDEX(합계표[사번키],$X225),상세표[기록월],대상월키,상세표[반영월],"&lt;&gt;"&amp;대상월키))</f>
        <v/>
      </c>
      <c r="J225" s="20">
        <f>IF($X225="","",SUMIFS(상세표[기록 시간외],상세표[사번키],INDEX(합계표[사번키],$X225),상세표[기록월],"&lt;&gt;"&amp;대상월키,상세표[반영월],대상월키))</f>
        <v/>
      </c>
      <c r="K225" s="20">
        <f>IF($X225="","",SUMIFS(상세표[기록 시간외],상세표[사번키],INDEX(합계표[사번키],$X225),상세표[반영월],대상월키))</f>
        <v/>
      </c>
      <c r="L225">
        <f>IF($X225="","",IFERROR(INDEX(월별근무지표[적용 급여병원],MATCH(INDEX(합계표[사번키],$X225)&amp;"|"&amp;대상월키,월별근무지표[키],0))&amp;"",IF(COUNTIF(기관표[사번키],INDEX(합계표[사번키],$X225))+COUNTIF(월별근무지표[사번키],INDEX(합계표[사번키],$X225))&gt;0,IFERROR(INDEX(기관표[급여지급병원(기준월)],MATCH(INDEX(합계표[사번키],$X225)&amp;"|"&amp;대상월키,기관표[키],0))&amp;"","—"),"—")))</f>
        <v/>
      </c>
      <c r="M225">
        <f>IF($X225="","",IF(NOT(COUNTIF(기관표[사번키],INDEX(합계표[사번키],$X225))+COUNTIF(월별근무지표[사번키],INDEX(합계표[사번키],$X225))&gt;0),"기관명단에 없음(다른 병원으로 발송)",IF($L225="서울병원","해당",IF(N($R225)&gt;0,"해당(말일 근무)",IF($L225="—","대상월 기관명단 없음(추가 필요)","비해당")))))</f>
        <v/>
      </c>
      <c r="N225" s="20">
        <f>IF($X225="","",SUMIFS(상세표[06~07시],상세표[사번키],INDEX(합계표[사번키],$X225),상세표[반영월],대상월키,상세표[반영 기관],"서울병원"))</f>
        <v/>
      </c>
      <c r="O225" s="20">
        <f>IF($X225="","",SUMIFS(상세표[07~18시],상세표[사번키],INDEX(합계표[사번키],$X225),상세표[반영월],대상월키,상세표[반영 기관],"서울병원"))</f>
        <v/>
      </c>
      <c r="P225" s="20">
        <f>IF($X225="","",SUMIFS(상세표[18~22시],상세표[사번키],INDEX(합계표[사번키],$X225),상세표[반영월],대상월키,상세표[반영 기관],"서울병원"))</f>
        <v/>
      </c>
      <c r="Q225" s="20">
        <f>IF($X225="","",SUMIFS(상세표[22~06시],상세표[사번키],INDEX(합계표[사번키],$X225),상세표[반영월],대상월키,상세표[반영 기관],"서울병원"))</f>
        <v/>
      </c>
      <c r="R225" s="20">
        <f>IF($X225="","",SUM($N225:$Q225))</f>
        <v/>
      </c>
      <c r="S225">
        <f>IF($X225="","",COUNTIFS(상세표[사번키],INDEX(합계표[사번키],$X225),상세표[반영월],대상월키,상세표[야간당직],1,상세표[야간 구분],"평일"))</f>
        <v/>
      </c>
      <c r="T225">
        <f>IF($X225="","",COUNTIFS(상세표[사번키],INDEX(합계표[사번키],$X225),상세표[반영월],대상월키,상세표[야간당직],1,상세표[야간 구분],"휴일"))</f>
        <v/>
      </c>
      <c r="U225">
        <f>IF($X225="","",COUNTIFS(상세표[사번키],INDEX(합계표[사번키],$X225),상세표[반영월],대상월키,상세표[야간당직],1,상세표[야간 구분],"평일",상세표[반영 기관],"서울병원"))</f>
        <v/>
      </c>
      <c r="V225">
        <f>IF($X225="","",COUNTIFS(상세표[사번키],INDEX(합계표[사번키],$X225),상세표[반영월],대상월키,상세표[야간당직],1,상세표[야간 구분],"휴일",상세표[반영 기관],"서울병원"))</f>
        <v/>
      </c>
      <c r="W225">
        <f>IF($X225="","",IF(ISNUMBER(MATCH(INDEX(합계표[사번키],$X225)&amp;"|"&amp;대상월키,월별근무지표[키],0)),"직접 입력",IF($L225="—","—","기관명단")))</f>
        <v/>
      </c>
      <c r="X225" s="4">
        <f>IFERROR(MATCH(220,합계표[판정순번],0),"")</f>
        <v/>
      </c>
      <c r="Z225">
        <f>IF($AC225="","",INDEX(상세표[사번],$AC225)&amp;"")</f>
        <v/>
      </c>
      <c r="AA225">
        <f>IF($AC225="","",INDEX(상세표[성명],$AC225)&amp;"")</f>
        <v/>
      </c>
      <c r="AB225" s="20">
        <f>IF($AC225="","",SUMIFS(상세표[기록 시간외],상세표[사번키],INDEX(상세표[사번키],$AC225),상세표[반영월],대상월키))</f>
        <v/>
      </c>
      <c r="AC225" s="4">
        <f>IFERROR(MATCH(220,상세표[합계없음순번],0),"")</f>
        <v/>
      </c>
    </row>
    <row r="226">
      <c r="A226">
        <f>IF($X226="","",INDEX(합계표[사번],$X226)&amp;"")</f>
        <v/>
      </c>
      <c r="B226">
        <f>IF($X226="","",INDEX(합계표[성명],$X226)&amp;"")</f>
        <v/>
      </c>
      <c r="C226">
        <f>IF($X226="","",INDEX(합계표[부서],$X226)&amp;"")</f>
        <v/>
      </c>
      <c r="D226">
        <f>IF($X226="","",INDEX(합계표[직위(요약)],$X226)&amp;"")</f>
        <v/>
      </c>
      <c r="E226">
        <f>IF($X226="","",INDEX(합계표[직급 공존],$X226)&amp;"")</f>
        <v/>
      </c>
      <c r="F226" s="20">
        <f>IF($X226="","",SUMIFS(합계표[시스템 합계],합계표[사번키],INDEX(합계표[사번키],$X226)))</f>
        <v/>
      </c>
      <c r="G226" s="20">
        <f>IF($X226="","",SUMIFS(상세표[기록 시간외],상세표[사번키],INDEX(합계표[사번키],$X226),상세표[기록월],대상월키))</f>
        <v/>
      </c>
      <c r="H226">
        <f>IF($X226="","",IF(ABS($F226-$G226)&lt;0.01,"일치","불일치(차이 "&amp;TEXT($G226-$F226,"0.00")&amp;")"))</f>
        <v/>
      </c>
      <c r="I226" s="20">
        <f>IF($X226="","",SUMIFS(상세표[기록 시간외],상세표[사번키],INDEX(합계표[사번키],$X226),상세표[기록월],대상월키,상세표[반영월],"&lt;&gt;"&amp;대상월키))</f>
        <v/>
      </c>
      <c r="J226" s="20">
        <f>IF($X226="","",SUMIFS(상세표[기록 시간외],상세표[사번키],INDEX(합계표[사번키],$X226),상세표[기록월],"&lt;&gt;"&amp;대상월키,상세표[반영월],대상월키))</f>
        <v/>
      </c>
      <c r="K226" s="20">
        <f>IF($X226="","",SUMIFS(상세표[기록 시간외],상세표[사번키],INDEX(합계표[사번키],$X226),상세표[반영월],대상월키))</f>
        <v/>
      </c>
      <c r="L226">
        <f>IF($X226="","",IFERROR(INDEX(월별근무지표[적용 급여병원],MATCH(INDEX(합계표[사번키],$X226)&amp;"|"&amp;대상월키,월별근무지표[키],0))&amp;"",IF(COUNTIF(기관표[사번키],INDEX(합계표[사번키],$X226))+COUNTIF(월별근무지표[사번키],INDEX(합계표[사번키],$X226))&gt;0,IFERROR(INDEX(기관표[급여지급병원(기준월)],MATCH(INDEX(합계표[사번키],$X226)&amp;"|"&amp;대상월키,기관표[키],0))&amp;"","—"),"—")))</f>
        <v/>
      </c>
      <c r="M226">
        <f>IF($X226="","",IF(NOT(COUNTIF(기관표[사번키],INDEX(합계표[사번키],$X226))+COUNTIF(월별근무지표[사번키],INDEX(합계표[사번키],$X226))&gt;0),"기관명단에 없음(다른 병원으로 발송)",IF($L226="서울병원","해당",IF(N($R226)&gt;0,"해당(말일 근무)",IF($L226="—","대상월 기관명단 없음(추가 필요)","비해당")))))</f>
        <v/>
      </c>
      <c r="N226" s="20">
        <f>IF($X226="","",SUMIFS(상세표[06~07시],상세표[사번키],INDEX(합계표[사번키],$X226),상세표[반영월],대상월키,상세표[반영 기관],"서울병원"))</f>
        <v/>
      </c>
      <c r="O226" s="20">
        <f>IF($X226="","",SUMIFS(상세표[07~18시],상세표[사번키],INDEX(합계표[사번키],$X226),상세표[반영월],대상월키,상세표[반영 기관],"서울병원"))</f>
        <v/>
      </c>
      <c r="P226" s="20">
        <f>IF($X226="","",SUMIFS(상세표[18~22시],상세표[사번키],INDEX(합계표[사번키],$X226),상세표[반영월],대상월키,상세표[반영 기관],"서울병원"))</f>
        <v/>
      </c>
      <c r="Q226" s="20">
        <f>IF($X226="","",SUMIFS(상세표[22~06시],상세표[사번키],INDEX(합계표[사번키],$X226),상세표[반영월],대상월키,상세표[반영 기관],"서울병원"))</f>
        <v/>
      </c>
      <c r="R226" s="20">
        <f>IF($X226="","",SUM($N226:$Q226))</f>
        <v/>
      </c>
      <c r="S226">
        <f>IF($X226="","",COUNTIFS(상세표[사번키],INDEX(합계표[사번키],$X226),상세표[반영월],대상월키,상세표[야간당직],1,상세표[야간 구분],"평일"))</f>
        <v/>
      </c>
      <c r="T226">
        <f>IF($X226="","",COUNTIFS(상세표[사번키],INDEX(합계표[사번키],$X226),상세표[반영월],대상월키,상세표[야간당직],1,상세표[야간 구분],"휴일"))</f>
        <v/>
      </c>
      <c r="U226">
        <f>IF($X226="","",COUNTIFS(상세표[사번키],INDEX(합계표[사번키],$X226),상세표[반영월],대상월키,상세표[야간당직],1,상세표[야간 구분],"평일",상세표[반영 기관],"서울병원"))</f>
        <v/>
      </c>
      <c r="V226">
        <f>IF($X226="","",COUNTIFS(상세표[사번키],INDEX(합계표[사번키],$X226),상세표[반영월],대상월키,상세표[야간당직],1,상세표[야간 구분],"휴일",상세표[반영 기관],"서울병원"))</f>
        <v/>
      </c>
      <c r="W226">
        <f>IF($X226="","",IF(ISNUMBER(MATCH(INDEX(합계표[사번키],$X226)&amp;"|"&amp;대상월키,월별근무지표[키],0)),"직접 입력",IF($L226="—","—","기관명단")))</f>
        <v/>
      </c>
      <c r="X226" s="4">
        <f>IFERROR(MATCH(221,합계표[판정순번],0),"")</f>
        <v/>
      </c>
      <c r="Z226">
        <f>IF($AC226="","",INDEX(상세표[사번],$AC226)&amp;"")</f>
        <v/>
      </c>
      <c r="AA226">
        <f>IF($AC226="","",INDEX(상세표[성명],$AC226)&amp;"")</f>
        <v/>
      </c>
      <c r="AB226" s="20">
        <f>IF($AC226="","",SUMIFS(상세표[기록 시간외],상세표[사번키],INDEX(상세표[사번키],$AC226),상세표[반영월],대상월키))</f>
        <v/>
      </c>
      <c r="AC226" s="4">
        <f>IFERROR(MATCH(221,상세표[합계없음순번],0),"")</f>
        <v/>
      </c>
    </row>
    <row r="227">
      <c r="A227">
        <f>IF($X227="","",INDEX(합계표[사번],$X227)&amp;"")</f>
        <v/>
      </c>
      <c r="B227">
        <f>IF($X227="","",INDEX(합계표[성명],$X227)&amp;"")</f>
        <v/>
      </c>
      <c r="C227">
        <f>IF($X227="","",INDEX(합계표[부서],$X227)&amp;"")</f>
        <v/>
      </c>
      <c r="D227">
        <f>IF($X227="","",INDEX(합계표[직위(요약)],$X227)&amp;"")</f>
        <v/>
      </c>
      <c r="E227">
        <f>IF($X227="","",INDEX(합계표[직급 공존],$X227)&amp;"")</f>
        <v/>
      </c>
      <c r="F227" s="20">
        <f>IF($X227="","",SUMIFS(합계표[시스템 합계],합계표[사번키],INDEX(합계표[사번키],$X227)))</f>
        <v/>
      </c>
      <c r="G227" s="20">
        <f>IF($X227="","",SUMIFS(상세표[기록 시간외],상세표[사번키],INDEX(합계표[사번키],$X227),상세표[기록월],대상월키))</f>
        <v/>
      </c>
      <c r="H227">
        <f>IF($X227="","",IF(ABS($F227-$G227)&lt;0.01,"일치","불일치(차이 "&amp;TEXT($G227-$F227,"0.00")&amp;")"))</f>
        <v/>
      </c>
      <c r="I227" s="20">
        <f>IF($X227="","",SUMIFS(상세표[기록 시간외],상세표[사번키],INDEX(합계표[사번키],$X227),상세표[기록월],대상월키,상세표[반영월],"&lt;&gt;"&amp;대상월키))</f>
        <v/>
      </c>
      <c r="J227" s="20">
        <f>IF($X227="","",SUMIFS(상세표[기록 시간외],상세표[사번키],INDEX(합계표[사번키],$X227),상세표[기록월],"&lt;&gt;"&amp;대상월키,상세표[반영월],대상월키))</f>
        <v/>
      </c>
      <c r="K227" s="20">
        <f>IF($X227="","",SUMIFS(상세표[기록 시간외],상세표[사번키],INDEX(합계표[사번키],$X227),상세표[반영월],대상월키))</f>
        <v/>
      </c>
      <c r="L227">
        <f>IF($X227="","",IFERROR(INDEX(월별근무지표[적용 급여병원],MATCH(INDEX(합계표[사번키],$X227)&amp;"|"&amp;대상월키,월별근무지표[키],0))&amp;"",IF(COUNTIF(기관표[사번키],INDEX(합계표[사번키],$X227))+COUNTIF(월별근무지표[사번키],INDEX(합계표[사번키],$X227))&gt;0,IFERROR(INDEX(기관표[급여지급병원(기준월)],MATCH(INDEX(합계표[사번키],$X227)&amp;"|"&amp;대상월키,기관표[키],0))&amp;"","—"),"—")))</f>
        <v/>
      </c>
      <c r="M227">
        <f>IF($X227="","",IF(NOT(COUNTIF(기관표[사번키],INDEX(합계표[사번키],$X227))+COUNTIF(월별근무지표[사번키],INDEX(합계표[사번키],$X227))&gt;0),"기관명단에 없음(다른 병원으로 발송)",IF($L227="서울병원","해당",IF(N($R227)&gt;0,"해당(말일 근무)",IF($L227="—","대상월 기관명단 없음(추가 필요)","비해당")))))</f>
        <v/>
      </c>
      <c r="N227" s="20">
        <f>IF($X227="","",SUMIFS(상세표[06~07시],상세표[사번키],INDEX(합계표[사번키],$X227),상세표[반영월],대상월키,상세표[반영 기관],"서울병원"))</f>
        <v/>
      </c>
      <c r="O227" s="20">
        <f>IF($X227="","",SUMIFS(상세표[07~18시],상세표[사번키],INDEX(합계표[사번키],$X227),상세표[반영월],대상월키,상세표[반영 기관],"서울병원"))</f>
        <v/>
      </c>
      <c r="P227" s="20">
        <f>IF($X227="","",SUMIFS(상세표[18~22시],상세표[사번키],INDEX(합계표[사번키],$X227),상세표[반영월],대상월키,상세표[반영 기관],"서울병원"))</f>
        <v/>
      </c>
      <c r="Q227" s="20">
        <f>IF($X227="","",SUMIFS(상세표[22~06시],상세표[사번키],INDEX(합계표[사번키],$X227),상세표[반영월],대상월키,상세표[반영 기관],"서울병원"))</f>
        <v/>
      </c>
      <c r="R227" s="20">
        <f>IF($X227="","",SUM($N227:$Q227))</f>
        <v/>
      </c>
      <c r="S227">
        <f>IF($X227="","",COUNTIFS(상세표[사번키],INDEX(합계표[사번키],$X227),상세표[반영월],대상월키,상세표[야간당직],1,상세표[야간 구분],"평일"))</f>
        <v/>
      </c>
      <c r="T227">
        <f>IF($X227="","",COUNTIFS(상세표[사번키],INDEX(합계표[사번키],$X227),상세표[반영월],대상월키,상세표[야간당직],1,상세표[야간 구분],"휴일"))</f>
        <v/>
      </c>
      <c r="U227">
        <f>IF($X227="","",COUNTIFS(상세표[사번키],INDEX(합계표[사번키],$X227),상세표[반영월],대상월키,상세표[야간당직],1,상세표[야간 구분],"평일",상세표[반영 기관],"서울병원"))</f>
        <v/>
      </c>
      <c r="V227">
        <f>IF($X227="","",COUNTIFS(상세표[사번키],INDEX(합계표[사번키],$X227),상세표[반영월],대상월키,상세표[야간당직],1,상세표[야간 구분],"휴일",상세표[반영 기관],"서울병원"))</f>
        <v/>
      </c>
      <c r="W227">
        <f>IF($X227="","",IF(ISNUMBER(MATCH(INDEX(합계표[사번키],$X227)&amp;"|"&amp;대상월키,월별근무지표[키],0)),"직접 입력",IF($L227="—","—","기관명단")))</f>
        <v/>
      </c>
      <c r="X227" s="4">
        <f>IFERROR(MATCH(222,합계표[판정순번],0),"")</f>
        <v/>
      </c>
      <c r="Z227">
        <f>IF($AC227="","",INDEX(상세표[사번],$AC227)&amp;"")</f>
        <v/>
      </c>
      <c r="AA227">
        <f>IF($AC227="","",INDEX(상세표[성명],$AC227)&amp;"")</f>
        <v/>
      </c>
      <c r="AB227" s="20">
        <f>IF($AC227="","",SUMIFS(상세표[기록 시간외],상세표[사번키],INDEX(상세표[사번키],$AC227),상세표[반영월],대상월키))</f>
        <v/>
      </c>
      <c r="AC227" s="4">
        <f>IFERROR(MATCH(222,상세표[합계없음순번],0),"")</f>
        <v/>
      </c>
    </row>
    <row r="228">
      <c r="A228">
        <f>IF($X228="","",INDEX(합계표[사번],$X228)&amp;"")</f>
        <v/>
      </c>
      <c r="B228">
        <f>IF($X228="","",INDEX(합계표[성명],$X228)&amp;"")</f>
        <v/>
      </c>
      <c r="C228">
        <f>IF($X228="","",INDEX(합계표[부서],$X228)&amp;"")</f>
        <v/>
      </c>
      <c r="D228">
        <f>IF($X228="","",INDEX(합계표[직위(요약)],$X228)&amp;"")</f>
        <v/>
      </c>
      <c r="E228">
        <f>IF($X228="","",INDEX(합계표[직급 공존],$X228)&amp;"")</f>
        <v/>
      </c>
      <c r="F228" s="20">
        <f>IF($X228="","",SUMIFS(합계표[시스템 합계],합계표[사번키],INDEX(합계표[사번키],$X228)))</f>
        <v/>
      </c>
      <c r="G228" s="20">
        <f>IF($X228="","",SUMIFS(상세표[기록 시간외],상세표[사번키],INDEX(합계표[사번키],$X228),상세표[기록월],대상월키))</f>
        <v/>
      </c>
      <c r="H228">
        <f>IF($X228="","",IF(ABS($F228-$G228)&lt;0.01,"일치","불일치(차이 "&amp;TEXT($G228-$F228,"0.00")&amp;")"))</f>
        <v/>
      </c>
      <c r="I228" s="20">
        <f>IF($X228="","",SUMIFS(상세표[기록 시간외],상세표[사번키],INDEX(합계표[사번키],$X228),상세표[기록월],대상월키,상세표[반영월],"&lt;&gt;"&amp;대상월키))</f>
        <v/>
      </c>
      <c r="J228" s="20">
        <f>IF($X228="","",SUMIFS(상세표[기록 시간외],상세표[사번키],INDEX(합계표[사번키],$X228),상세표[기록월],"&lt;&gt;"&amp;대상월키,상세표[반영월],대상월키))</f>
        <v/>
      </c>
      <c r="K228" s="20">
        <f>IF($X228="","",SUMIFS(상세표[기록 시간외],상세표[사번키],INDEX(합계표[사번키],$X228),상세표[반영월],대상월키))</f>
        <v/>
      </c>
      <c r="L228">
        <f>IF($X228="","",IFERROR(INDEX(월별근무지표[적용 급여병원],MATCH(INDEX(합계표[사번키],$X228)&amp;"|"&amp;대상월키,월별근무지표[키],0))&amp;"",IF(COUNTIF(기관표[사번키],INDEX(합계표[사번키],$X228))+COUNTIF(월별근무지표[사번키],INDEX(합계표[사번키],$X228))&gt;0,IFERROR(INDEX(기관표[급여지급병원(기준월)],MATCH(INDEX(합계표[사번키],$X228)&amp;"|"&amp;대상월키,기관표[키],0))&amp;"","—"),"—")))</f>
        <v/>
      </c>
      <c r="M228">
        <f>IF($X228="","",IF(NOT(COUNTIF(기관표[사번키],INDEX(합계표[사번키],$X228))+COUNTIF(월별근무지표[사번키],INDEX(합계표[사번키],$X228))&gt;0),"기관명단에 없음(다른 병원으로 발송)",IF($L228="서울병원","해당",IF(N($R228)&gt;0,"해당(말일 근무)",IF($L228="—","대상월 기관명단 없음(추가 필요)","비해당")))))</f>
        <v/>
      </c>
      <c r="N228" s="20">
        <f>IF($X228="","",SUMIFS(상세표[06~07시],상세표[사번키],INDEX(합계표[사번키],$X228),상세표[반영월],대상월키,상세표[반영 기관],"서울병원"))</f>
        <v/>
      </c>
      <c r="O228" s="20">
        <f>IF($X228="","",SUMIFS(상세표[07~18시],상세표[사번키],INDEX(합계표[사번키],$X228),상세표[반영월],대상월키,상세표[반영 기관],"서울병원"))</f>
        <v/>
      </c>
      <c r="P228" s="20">
        <f>IF($X228="","",SUMIFS(상세표[18~22시],상세표[사번키],INDEX(합계표[사번키],$X228),상세표[반영월],대상월키,상세표[반영 기관],"서울병원"))</f>
        <v/>
      </c>
      <c r="Q228" s="20">
        <f>IF($X228="","",SUMIFS(상세표[22~06시],상세표[사번키],INDEX(합계표[사번키],$X228),상세표[반영월],대상월키,상세표[반영 기관],"서울병원"))</f>
        <v/>
      </c>
      <c r="R228" s="20">
        <f>IF($X228="","",SUM($N228:$Q228))</f>
        <v/>
      </c>
      <c r="S228">
        <f>IF($X228="","",COUNTIFS(상세표[사번키],INDEX(합계표[사번키],$X228),상세표[반영월],대상월키,상세표[야간당직],1,상세표[야간 구분],"평일"))</f>
        <v/>
      </c>
      <c r="T228">
        <f>IF($X228="","",COUNTIFS(상세표[사번키],INDEX(합계표[사번키],$X228),상세표[반영월],대상월키,상세표[야간당직],1,상세표[야간 구분],"휴일"))</f>
        <v/>
      </c>
      <c r="U228">
        <f>IF($X228="","",COUNTIFS(상세표[사번키],INDEX(합계표[사번키],$X228),상세표[반영월],대상월키,상세표[야간당직],1,상세표[야간 구분],"평일",상세표[반영 기관],"서울병원"))</f>
        <v/>
      </c>
      <c r="V228">
        <f>IF($X228="","",COUNTIFS(상세표[사번키],INDEX(합계표[사번키],$X228),상세표[반영월],대상월키,상세표[야간당직],1,상세표[야간 구분],"휴일",상세표[반영 기관],"서울병원"))</f>
        <v/>
      </c>
      <c r="W228">
        <f>IF($X228="","",IF(ISNUMBER(MATCH(INDEX(합계표[사번키],$X228)&amp;"|"&amp;대상월키,월별근무지표[키],0)),"직접 입력",IF($L228="—","—","기관명단")))</f>
        <v/>
      </c>
      <c r="X228" s="4">
        <f>IFERROR(MATCH(223,합계표[판정순번],0),"")</f>
        <v/>
      </c>
      <c r="Z228">
        <f>IF($AC228="","",INDEX(상세표[사번],$AC228)&amp;"")</f>
        <v/>
      </c>
      <c r="AA228">
        <f>IF($AC228="","",INDEX(상세표[성명],$AC228)&amp;"")</f>
        <v/>
      </c>
      <c r="AB228" s="20">
        <f>IF($AC228="","",SUMIFS(상세표[기록 시간외],상세표[사번키],INDEX(상세표[사번키],$AC228),상세표[반영월],대상월키))</f>
        <v/>
      </c>
      <c r="AC228" s="4">
        <f>IFERROR(MATCH(223,상세표[합계없음순번],0),"")</f>
        <v/>
      </c>
    </row>
    <row r="229">
      <c r="A229">
        <f>IF($X229="","",INDEX(합계표[사번],$X229)&amp;"")</f>
        <v/>
      </c>
      <c r="B229">
        <f>IF($X229="","",INDEX(합계표[성명],$X229)&amp;"")</f>
        <v/>
      </c>
      <c r="C229">
        <f>IF($X229="","",INDEX(합계표[부서],$X229)&amp;"")</f>
        <v/>
      </c>
      <c r="D229">
        <f>IF($X229="","",INDEX(합계표[직위(요약)],$X229)&amp;"")</f>
        <v/>
      </c>
      <c r="E229">
        <f>IF($X229="","",INDEX(합계표[직급 공존],$X229)&amp;"")</f>
        <v/>
      </c>
      <c r="F229" s="20">
        <f>IF($X229="","",SUMIFS(합계표[시스템 합계],합계표[사번키],INDEX(합계표[사번키],$X229)))</f>
        <v/>
      </c>
      <c r="G229" s="20">
        <f>IF($X229="","",SUMIFS(상세표[기록 시간외],상세표[사번키],INDEX(합계표[사번키],$X229),상세표[기록월],대상월키))</f>
        <v/>
      </c>
      <c r="H229">
        <f>IF($X229="","",IF(ABS($F229-$G229)&lt;0.01,"일치","불일치(차이 "&amp;TEXT($G229-$F229,"0.00")&amp;")"))</f>
        <v/>
      </c>
      <c r="I229" s="20">
        <f>IF($X229="","",SUMIFS(상세표[기록 시간외],상세표[사번키],INDEX(합계표[사번키],$X229),상세표[기록월],대상월키,상세표[반영월],"&lt;&gt;"&amp;대상월키))</f>
        <v/>
      </c>
      <c r="J229" s="20">
        <f>IF($X229="","",SUMIFS(상세표[기록 시간외],상세표[사번키],INDEX(합계표[사번키],$X229),상세표[기록월],"&lt;&gt;"&amp;대상월키,상세표[반영월],대상월키))</f>
        <v/>
      </c>
      <c r="K229" s="20">
        <f>IF($X229="","",SUMIFS(상세표[기록 시간외],상세표[사번키],INDEX(합계표[사번키],$X229),상세표[반영월],대상월키))</f>
        <v/>
      </c>
      <c r="L229">
        <f>IF($X229="","",IFERROR(INDEX(월별근무지표[적용 급여병원],MATCH(INDEX(합계표[사번키],$X229)&amp;"|"&amp;대상월키,월별근무지표[키],0))&amp;"",IF(COUNTIF(기관표[사번키],INDEX(합계표[사번키],$X229))+COUNTIF(월별근무지표[사번키],INDEX(합계표[사번키],$X229))&gt;0,IFERROR(INDEX(기관표[급여지급병원(기준월)],MATCH(INDEX(합계표[사번키],$X229)&amp;"|"&amp;대상월키,기관표[키],0))&amp;"","—"),"—")))</f>
        <v/>
      </c>
      <c r="M229">
        <f>IF($X229="","",IF(NOT(COUNTIF(기관표[사번키],INDEX(합계표[사번키],$X229))+COUNTIF(월별근무지표[사번키],INDEX(합계표[사번키],$X229))&gt;0),"기관명단에 없음(다른 병원으로 발송)",IF($L229="서울병원","해당",IF(N($R229)&gt;0,"해당(말일 근무)",IF($L229="—","대상월 기관명단 없음(추가 필요)","비해당")))))</f>
        <v/>
      </c>
      <c r="N229" s="20">
        <f>IF($X229="","",SUMIFS(상세표[06~07시],상세표[사번키],INDEX(합계표[사번키],$X229),상세표[반영월],대상월키,상세표[반영 기관],"서울병원"))</f>
        <v/>
      </c>
      <c r="O229" s="20">
        <f>IF($X229="","",SUMIFS(상세표[07~18시],상세표[사번키],INDEX(합계표[사번키],$X229),상세표[반영월],대상월키,상세표[반영 기관],"서울병원"))</f>
        <v/>
      </c>
      <c r="P229" s="20">
        <f>IF($X229="","",SUMIFS(상세표[18~22시],상세표[사번키],INDEX(합계표[사번키],$X229),상세표[반영월],대상월키,상세표[반영 기관],"서울병원"))</f>
        <v/>
      </c>
      <c r="Q229" s="20">
        <f>IF($X229="","",SUMIFS(상세표[22~06시],상세표[사번키],INDEX(합계표[사번키],$X229),상세표[반영월],대상월키,상세표[반영 기관],"서울병원"))</f>
        <v/>
      </c>
      <c r="R229" s="20">
        <f>IF($X229="","",SUM($N229:$Q229))</f>
        <v/>
      </c>
      <c r="S229">
        <f>IF($X229="","",COUNTIFS(상세표[사번키],INDEX(합계표[사번키],$X229),상세표[반영월],대상월키,상세표[야간당직],1,상세표[야간 구분],"평일"))</f>
        <v/>
      </c>
      <c r="T229">
        <f>IF($X229="","",COUNTIFS(상세표[사번키],INDEX(합계표[사번키],$X229),상세표[반영월],대상월키,상세표[야간당직],1,상세표[야간 구분],"휴일"))</f>
        <v/>
      </c>
      <c r="U229">
        <f>IF($X229="","",COUNTIFS(상세표[사번키],INDEX(합계표[사번키],$X229),상세표[반영월],대상월키,상세표[야간당직],1,상세표[야간 구분],"평일",상세표[반영 기관],"서울병원"))</f>
        <v/>
      </c>
      <c r="V229">
        <f>IF($X229="","",COUNTIFS(상세표[사번키],INDEX(합계표[사번키],$X229),상세표[반영월],대상월키,상세표[야간당직],1,상세표[야간 구분],"휴일",상세표[반영 기관],"서울병원"))</f>
        <v/>
      </c>
      <c r="W229">
        <f>IF($X229="","",IF(ISNUMBER(MATCH(INDEX(합계표[사번키],$X229)&amp;"|"&amp;대상월키,월별근무지표[키],0)),"직접 입력",IF($L229="—","—","기관명단")))</f>
        <v/>
      </c>
      <c r="X229" s="4">
        <f>IFERROR(MATCH(224,합계표[판정순번],0),"")</f>
        <v/>
      </c>
      <c r="Z229">
        <f>IF($AC229="","",INDEX(상세표[사번],$AC229)&amp;"")</f>
        <v/>
      </c>
      <c r="AA229">
        <f>IF($AC229="","",INDEX(상세표[성명],$AC229)&amp;"")</f>
        <v/>
      </c>
      <c r="AB229" s="20">
        <f>IF($AC229="","",SUMIFS(상세표[기록 시간외],상세표[사번키],INDEX(상세표[사번키],$AC229),상세표[반영월],대상월키))</f>
        <v/>
      </c>
      <c r="AC229" s="4">
        <f>IFERROR(MATCH(224,상세표[합계없음순번],0),"")</f>
        <v/>
      </c>
    </row>
    <row r="230">
      <c r="A230">
        <f>IF($X230="","",INDEX(합계표[사번],$X230)&amp;"")</f>
        <v/>
      </c>
      <c r="B230">
        <f>IF($X230="","",INDEX(합계표[성명],$X230)&amp;"")</f>
        <v/>
      </c>
      <c r="C230">
        <f>IF($X230="","",INDEX(합계표[부서],$X230)&amp;"")</f>
        <v/>
      </c>
      <c r="D230">
        <f>IF($X230="","",INDEX(합계표[직위(요약)],$X230)&amp;"")</f>
        <v/>
      </c>
      <c r="E230">
        <f>IF($X230="","",INDEX(합계표[직급 공존],$X230)&amp;"")</f>
        <v/>
      </c>
      <c r="F230" s="20">
        <f>IF($X230="","",SUMIFS(합계표[시스템 합계],합계표[사번키],INDEX(합계표[사번키],$X230)))</f>
        <v/>
      </c>
      <c r="G230" s="20">
        <f>IF($X230="","",SUMIFS(상세표[기록 시간외],상세표[사번키],INDEX(합계표[사번키],$X230),상세표[기록월],대상월키))</f>
        <v/>
      </c>
      <c r="H230">
        <f>IF($X230="","",IF(ABS($F230-$G230)&lt;0.01,"일치","불일치(차이 "&amp;TEXT($G230-$F230,"0.00")&amp;")"))</f>
        <v/>
      </c>
      <c r="I230" s="20">
        <f>IF($X230="","",SUMIFS(상세표[기록 시간외],상세표[사번키],INDEX(합계표[사번키],$X230),상세표[기록월],대상월키,상세표[반영월],"&lt;&gt;"&amp;대상월키))</f>
        <v/>
      </c>
      <c r="J230" s="20">
        <f>IF($X230="","",SUMIFS(상세표[기록 시간외],상세표[사번키],INDEX(합계표[사번키],$X230),상세표[기록월],"&lt;&gt;"&amp;대상월키,상세표[반영월],대상월키))</f>
        <v/>
      </c>
      <c r="K230" s="20">
        <f>IF($X230="","",SUMIFS(상세표[기록 시간외],상세표[사번키],INDEX(합계표[사번키],$X230),상세표[반영월],대상월키))</f>
        <v/>
      </c>
      <c r="L230">
        <f>IF($X230="","",IFERROR(INDEX(월별근무지표[적용 급여병원],MATCH(INDEX(합계표[사번키],$X230)&amp;"|"&amp;대상월키,월별근무지표[키],0))&amp;"",IF(COUNTIF(기관표[사번키],INDEX(합계표[사번키],$X230))+COUNTIF(월별근무지표[사번키],INDEX(합계표[사번키],$X230))&gt;0,IFERROR(INDEX(기관표[급여지급병원(기준월)],MATCH(INDEX(합계표[사번키],$X230)&amp;"|"&amp;대상월키,기관표[키],0))&amp;"","—"),"—")))</f>
        <v/>
      </c>
      <c r="M230">
        <f>IF($X230="","",IF(NOT(COUNTIF(기관표[사번키],INDEX(합계표[사번키],$X230))+COUNTIF(월별근무지표[사번키],INDEX(합계표[사번키],$X230))&gt;0),"기관명단에 없음(다른 병원으로 발송)",IF($L230="서울병원","해당",IF(N($R230)&gt;0,"해당(말일 근무)",IF($L230="—","대상월 기관명단 없음(추가 필요)","비해당")))))</f>
        <v/>
      </c>
      <c r="N230" s="20">
        <f>IF($X230="","",SUMIFS(상세표[06~07시],상세표[사번키],INDEX(합계표[사번키],$X230),상세표[반영월],대상월키,상세표[반영 기관],"서울병원"))</f>
        <v/>
      </c>
      <c r="O230" s="20">
        <f>IF($X230="","",SUMIFS(상세표[07~18시],상세표[사번키],INDEX(합계표[사번키],$X230),상세표[반영월],대상월키,상세표[반영 기관],"서울병원"))</f>
        <v/>
      </c>
      <c r="P230" s="20">
        <f>IF($X230="","",SUMIFS(상세표[18~22시],상세표[사번키],INDEX(합계표[사번키],$X230),상세표[반영월],대상월키,상세표[반영 기관],"서울병원"))</f>
        <v/>
      </c>
      <c r="Q230" s="20">
        <f>IF($X230="","",SUMIFS(상세표[22~06시],상세표[사번키],INDEX(합계표[사번키],$X230),상세표[반영월],대상월키,상세표[반영 기관],"서울병원"))</f>
        <v/>
      </c>
      <c r="R230" s="20">
        <f>IF($X230="","",SUM($N230:$Q230))</f>
        <v/>
      </c>
      <c r="S230">
        <f>IF($X230="","",COUNTIFS(상세표[사번키],INDEX(합계표[사번키],$X230),상세표[반영월],대상월키,상세표[야간당직],1,상세표[야간 구분],"평일"))</f>
        <v/>
      </c>
      <c r="T230">
        <f>IF($X230="","",COUNTIFS(상세표[사번키],INDEX(합계표[사번키],$X230),상세표[반영월],대상월키,상세표[야간당직],1,상세표[야간 구분],"휴일"))</f>
        <v/>
      </c>
      <c r="U230">
        <f>IF($X230="","",COUNTIFS(상세표[사번키],INDEX(합계표[사번키],$X230),상세표[반영월],대상월키,상세표[야간당직],1,상세표[야간 구분],"평일",상세표[반영 기관],"서울병원"))</f>
        <v/>
      </c>
      <c r="V230">
        <f>IF($X230="","",COUNTIFS(상세표[사번키],INDEX(합계표[사번키],$X230),상세표[반영월],대상월키,상세표[야간당직],1,상세표[야간 구분],"휴일",상세표[반영 기관],"서울병원"))</f>
        <v/>
      </c>
      <c r="W230">
        <f>IF($X230="","",IF(ISNUMBER(MATCH(INDEX(합계표[사번키],$X230)&amp;"|"&amp;대상월키,월별근무지표[키],0)),"직접 입력",IF($L230="—","—","기관명단")))</f>
        <v/>
      </c>
      <c r="X230" s="4">
        <f>IFERROR(MATCH(225,합계표[판정순번],0),"")</f>
        <v/>
      </c>
      <c r="Z230">
        <f>IF($AC230="","",INDEX(상세표[사번],$AC230)&amp;"")</f>
        <v/>
      </c>
      <c r="AA230">
        <f>IF($AC230="","",INDEX(상세표[성명],$AC230)&amp;"")</f>
        <v/>
      </c>
      <c r="AB230" s="20">
        <f>IF($AC230="","",SUMIFS(상세표[기록 시간외],상세표[사번키],INDEX(상세표[사번키],$AC230),상세표[반영월],대상월키))</f>
        <v/>
      </c>
      <c r="AC230" s="4">
        <f>IFERROR(MATCH(225,상세표[합계없음순번],0),"")</f>
        <v/>
      </c>
    </row>
    <row r="231">
      <c r="A231">
        <f>IF($X231="","",INDEX(합계표[사번],$X231)&amp;"")</f>
        <v/>
      </c>
      <c r="B231">
        <f>IF($X231="","",INDEX(합계표[성명],$X231)&amp;"")</f>
        <v/>
      </c>
      <c r="C231">
        <f>IF($X231="","",INDEX(합계표[부서],$X231)&amp;"")</f>
        <v/>
      </c>
      <c r="D231">
        <f>IF($X231="","",INDEX(합계표[직위(요약)],$X231)&amp;"")</f>
        <v/>
      </c>
      <c r="E231">
        <f>IF($X231="","",INDEX(합계표[직급 공존],$X231)&amp;"")</f>
        <v/>
      </c>
      <c r="F231" s="20">
        <f>IF($X231="","",SUMIFS(합계표[시스템 합계],합계표[사번키],INDEX(합계표[사번키],$X231)))</f>
        <v/>
      </c>
      <c r="G231" s="20">
        <f>IF($X231="","",SUMIFS(상세표[기록 시간외],상세표[사번키],INDEX(합계표[사번키],$X231),상세표[기록월],대상월키))</f>
        <v/>
      </c>
      <c r="H231">
        <f>IF($X231="","",IF(ABS($F231-$G231)&lt;0.01,"일치","불일치(차이 "&amp;TEXT($G231-$F231,"0.00")&amp;")"))</f>
        <v/>
      </c>
      <c r="I231" s="20">
        <f>IF($X231="","",SUMIFS(상세표[기록 시간외],상세표[사번키],INDEX(합계표[사번키],$X231),상세표[기록월],대상월키,상세표[반영월],"&lt;&gt;"&amp;대상월키))</f>
        <v/>
      </c>
      <c r="J231" s="20">
        <f>IF($X231="","",SUMIFS(상세표[기록 시간외],상세표[사번키],INDEX(합계표[사번키],$X231),상세표[기록월],"&lt;&gt;"&amp;대상월키,상세표[반영월],대상월키))</f>
        <v/>
      </c>
      <c r="K231" s="20">
        <f>IF($X231="","",SUMIFS(상세표[기록 시간외],상세표[사번키],INDEX(합계표[사번키],$X231),상세표[반영월],대상월키))</f>
        <v/>
      </c>
      <c r="L231">
        <f>IF($X231="","",IFERROR(INDEX(월별근무지표[적용 급여병원],MATCH(INDEX(합계표[사번키],$X231)&amp;"|"&amp;대상월키,월별근무지표[키],0))&amp;"",IF(COUNTIF(기관표[사번키],INDEX(합계표[사번키],$X231))+COUNTIF(월별근무지표[사번키],INDEX(합계표[사번키],$X231))&gt;0,IFERROR(INDEX(기관표[급여지급병원(기준월)],MATCH(INDEX(합계표[사번키],$X231)&amp;"|"&amp;대상월키,기관표[키],0))&amp;"","—"),"—")))</f>
        <v/>
      </c>
      <c r="M231">
        <f>IF($X231="","",IF(NOT(COUNTIF(기관표[사번키],INDEX(합계표[사번키],$X231))+COUNTIF(월별근무지표[사번키],INDEX(합계표[사번키],$X231))&gt;0),"기관명단에 없음(다른 병원으로 발송)",IF($L231="서울병원","해당",IF(N($R231)&gt;0,"해당(말일 근무)",IF($L231="—","대상월 기관명단 없음(추가 필요)","비해당")))))</f>
        <v/>
      </c>
      <c r="N231" s="20">
        <f>IF($X231="","",SUMIFS(상세표[06~07시],상세표[사번키],INDEX(합계표[사번키],$X231),상세표[반영월],대상월키,상세표[반영 기관],"서울병원"))</f>
        <v/>
      </c>
      <c r="O231" s="20">
        <f>IF($X231="","",SUMIFS(상세표[07~18시],상세표[사번키],INDEX(합계표[사번키],$X231),상세표[반영월],대상월키,상세표[반영 기관],"서울병원"))</f>
        <v/>
      </c>
      <c r="P231" s="20">
        <f>IF($X231="","",SUMIFS(상세표[18~22시],상세표[사번키],INDEX(합계표[사번키],$X231),상세표[반영월],대상월키,상세표[반영 기관],"서울병원"))</f>
        <v/>
      </c>
      <c r="Q231" s="20">
        <f>IF($X231="","",SUMIFS(상세표[22~06시],상세표[사번키],INDEX(합계표[사번키],$X231),상세표[반영월],대상월키,상세표[반영 기관],"서울병원"))</f>
        <v/>
      </c>
      <c r="R231" s="20">
        <f>IF($X231="","",SUM($N231:$Q231))</f>
        <v/>
      </c>
      <c r="S231">
        <f>IF($X231="","",COUNTIFS(상세표[사번키],INDEX(합계표[사번키],$X231),상세표[반영월],대상월키,상세표[야간당직],1,상세표[야간 구분],"평일"))</f>
        <v/>
      </c>
      <c r="T231">
        <f>IF($X231="","",COUNTIFS(상세표[사번키],INDEX(합계표[사번키],$X231),상세표[반영월],대상월키,상세표[야간당직],1,상세표[야간 구분],"휴일"))</f>
        <v/>
      </c>
      <c r="U231">
        <f>IF($X231="","",COUNTIFS(상세표[사번키],INDEX(합계표[사번키],$X231),상세표[반영월],대상월키,상세표[야간당직],1,상세표[야간 구분],"평일",상세표[반영 기관],"서울병원"))</f>
        <v/>
      </c>
      <c r="V231">
        <f>IF($X231="","",COUNTIFS(상세표[사번키],INDEX(합계표[사번키],$X231),상세표[반영월],대상월키,상세표[야간당직],1,상세표[야간 구분],"휴일",상세표[반영 기관],"서울병원"))</f>
        <v/>
      </c>
      <c r="W231">
        <f>IF($X231="","",IF(ISNUMBER(MATCH(INDEX(합계표[사번키],$X231)&amp;"|"&amp;대상월키,월별근무지표[키],0)),"직접 입력",IF($L231="—","—","기관명단")))</f>
        <v/>
      </c>
      <c r="X231" s="4">
        <f>IFERROR(MATCH(226,합계표[판정순번],0),"")</f>
        <v/>
      </c>
      <c r="Z231">
        <f>IF($AC231="","",INDEX(상세표[사번],$AC231)&amp;"")</f>
        <v/>
      </c>
      <c r="AA231">
        <f>IF($AC231="","",INDEX(상세표[성명],$AC231)&amp;"")</f>
        <v/>
      </c>
      <c r="AB231" s="20">
        <f>IF($AC231="","",SUMIFS(상세표[기록 시간외],상세표[사번키],INDEX(상세표[사번키],$AC231),상세표[반영월],대상월키))</f>
        <v/>
      </c>
      <c r="AC231" s="4">
        <f>IFERROR(MATCH(226,상세표[합계없음순번],0),"")</f>
        <v/>
      </c>
    </row>
    <row r="232">
      <c r="A232">
        <f>IF($X232="","",INDEX(합계표[사번],$X232)&amp;"")</f>
        <v/>
      </c>
      <c r="B232">
        <f>IF($X232="","",INDEX(합계표[성명],$X232)&amp;"")</f>
        <v/>
      </c>
      <c r="C232">
        <f>IF($X232="","",INDEX(합계표[부서],$X232)&amp;"")</f>
        <v/>
      </c>
      <c r="D232">
        <f>IF($X232="","",INDEX(합계표[직위(요약)],$X232)&amp;"")</f>
        <v/>
      </c>
      <c r="E232">
        <f>IF($X232="","",INDEX(합계표[직급 공존],$X232)&amp;"")</f>
        <v/>
      </c>
      <c r="F232" s="20">
        <f>IF($X232="","",SUMIFS(합계표[시스템 합계],합계표[사번키],INDEX(합계표[사번키],$X232)))</f>
        <v/>
      </c>
      <c r="G232" s="20">
        <f>IF($X232="","",SUMIFS(상세표[기록 시간외],상세표[사번키],INDEX(합계표[사번키],$X232),상세표[기록월],대상월키))</f>
        <v/>
      </c>
      <c r="H232">
        <f>IF($X232="","",IF(ABS($F232-$G232)&lt;0.01,"일치","불일치(차이 "&amp;TEXT($G232-$F232,"0.00")&amp;")"))</f>
        <v/>
      </c>
      <c r="I232" s="20">
        <f>IF($X232="","",SUMIFS(상세표[기록 시간외],상세표[사번키],INDEX(합계표[사번키],$X232),상세표[기록월],대상월키,상세표[반영월],"&lt;&gt;"&amp;대상월키))</f>
        <v/>
      </c>
      <c r="J232" s="20">
        <f>IF($X232="","",SUMIFS(상세표[기록 시간외],상세표[사번키],INDEX(합계표[사번키],$X232),상세표[기록월],"&lt;&gt;"&amp;대상월키,상세표[반영월],대상월키))</f>
        <v/>
      </c>
      <c r="K232" s="20">
        <f>IF($X232="","",SUMIFS(상세표[기록 시간외],상세표[사번키],INDEX(합계표[사번키],$X232),상세표[반영월],대상월키))</f>
        <v/>
      </c>
      <c r="L232">
        <f>IF($X232="","",IFERROR(INDEX(월별근무지표[적용 급여병원],MATCH(INDEX(합계표[사번키],$X232)&amp;"|"&amp;대상월키,월별근무지표[키],0))&amp;"",IF(COUNTIF(기관표[사번키],INDEX(합계표[사번키],$X232))+COUNTIF(월별근무지표[사번키],INDEX(합계표[사번키],$X232))&gt;0,IFERROR(INDEX(기관표[급여지급병원(기준월)],MATCH(INDEX(합계표[사번키],$X232)&amp;"|"&amp;대상월키,기관표[키],0))&amp;"","—"),"—")))</f>
        <v/>
      </c>
      <c r="M232">
        <f>IF($X232="","",IF(NOT(COUNTIF(기관표[사번키],INDEX(합계표[사번키],$X232))+COUNTIF(월별근무지표[사번키],INDEX(합계표[사번키],$X232))&gt;0),"기관명단에 없음(다른 병원으로 발송)",IF($L232="서울병원","해당",IF(N($R232)&gt;0,"해당(말일 근무)",IF($L232="—","대상월 기관명단 없음(추가 필요)","비해당")))))</f>
        <v/>
      </c>
      <c r="N232" s="20">
        <f>IF($X232="","",SUMIFS(상세표[06~07시],상세표[사번키],INDEX(합계표[사번키],$X232),상세표[반영월],대상월키,상세표[반영 기관],"서울병원"))</f>
        <v/>
      </c>
      <c r="O232" s="20">
        <f>IF($X232="","",SUMIFS(상세표[07~18시],상세표[사번키],INDEX(합계표[사번키],$X232),상세표[반영월],대상월키,상세표[반영 기관],"서울병원"))</f>
        <v/>
      </c>
      <c r="P232" s="20">
        <f>IF($X232="","",SUMIFS(상세표[18~22시],상세표[사번키],INDEX(합계표[사번키],$X232),상세표[반영월],대상월키,상세표[반영 기관],"서울병원"))</f>
        <v/>
      </c>
      <c r="Q232" s="20">
        <f>IF($X232="","",SUMIFS(상세표[22~06시],상세표[사번키],INDEX(합계표[사번키],$X232),상세표[반영월],대상월키,상세표[반영 기관],"서울병원"))</f>
        <v/>
      </c>
      <c r="R232" s="20">
        <f>IF($X232="","",SUM($N232:$Q232))</f>
        <v/>
      </c>
      <c r="S232">
        <f>IF($X232="","",COUNTIFS(상세표[사번키],INDEX(합계표[사번키],$X232),상세표[반영월],대상월키,상세표[야간당직],1,상세표[야간 구분],"평일"))</f>
        <v/>
      </c>
      <c r="T232">
        <f>IF($X232="","",COUNTIFS(상세표[사번키],INDEX(합계표[사번키],$X232),상세표[반영월],대상월키,상세표[야간당직],1,상세표[야간 구분],"휴일"))</f>
        <v/>
      </c>
      <c r="U232">
        <f>IF($X232="","",COUNTIFS(상세표[사번키],INDEX(합계표[사번키],$X232),상세표[반영월],대상월키,상세표[야간당직],1,상세표[야간 구분],"평일",상세표[반영 기관],"서울병원"))</f>
        <v/>
      </c>
      <c r="V232">
        <f>IF($X232="","",COUNTIFS(상세표[사번키],INDEX(합계표[사번키],$X232),상세표[반영월],대상월키,상세표[야간당직],1,상세표[야간 구분],"휴일",상세표[반영 기관],"서울병원"))</f>
        <v/>
      </c>
      <c r="W232">
        <f>IF($X232="","",IF(ISNUMBER(MATCH(INDEX(합계표[사번키],$X232)&amp;"|"&amp;대상월키,월별근무지표[키],0)),"직접 입력",IF($L232="—","—","기관명단")))</f>
        <v/>
      </c>
      <c r="X232" s="4">
        <f>IFERROR(MATCH(227,합계표[판정순번],0),"")</f>
        <v/>
      </c>
      <c r="Z232">
        <f>IF($AC232="","",INDEX(상세표[사번],$AC232)&amp;"")</f>
        <v/>
      </c>
      <c r="AA232">
        <f>IF($AC232="","",INDEX(상세표[성명],$AC232)&amp;"")</f>
        <v/>
      </c>
      <c r="AB232" s="20">
        <f>IF($AC232="","",SUMIFS(상세표[기록 시간외],상세표[사번키],INDEX(상세표[사번키],$AC232),상세표[반영월],대상월키))</f>
        <v/>
      </c>
      <c r="AC232" s="4">
        <f>IFERROR(MATCH(227,상세표[합계없음순번],0),"")</f>
        <v/>
      </c>
    </row>
    <row r="233">
      <c r="A233">
        <f>IF($X233="","",INDEX(합계표[사번],$X233)&amp;"")</f>
        <v/>
      </c>
      <c r="B233">
        <f>IF($X233="","",INDEX(합계표[성명],$X233)&amp;"")</f>
        <v/>
      </c>
      <c r="C233">
        <f>IF($X233="","",INDEX(합계표[부서],$X233)&amp;"")</f>
        <v/>
      </c>
      <c r="D233">
        <f>IF($X233="","",INDEX(합계표[직위(요약)],$X233)&amp;"")</f>
        <v/>
      </c>
      <c r="E233">
        <f>IF($X233="","",INDEX(합계표[직급 공존],$X233)&amp;"")</f>
        <v/>
      </c>
      <c r="F233" s="20">
        <f>IF($X233="","",SUMIFS(합계표[시스템 합계],합계표[사번키],INDEX(합계표[사번키],$X233)))</f>
        <v/>
      </c>
      <c r="G233" s="20">
        <f>IF($X233="","",SUMIFS(상세표[기록 시간외],상세표[사번키],INDEX(합계표[사번키],$X233),상세표[기록월],대상월키))</f>
        <v/>
      </c>
      <c r="H233">
        <f>IF($X233="","",IF(ABS($F233-$G233)&lt;0.01,"일치","불일치(차이 "&amp;TEXT($G233-$F233,"0.00")&amp;")"))</f>
        <v/>
      </c>
      <c r="I233" s="20">
        <f>IF($X233="","",SUMIFS(상세표[기록 시간외],상세표[사번키],INDEX(합계표[사번키],$X233),상세표[기록월],대상월키,상세표[반영월],"&lt;&gt;"&amp;대상월키))</f>
        <v/>
      </c>
      <c r="J233" s="20">
        <f>IF($X233="","",SUMIFS(상세표[기록 시간외],상세표[사번키],INDEX(합계표[사번키],$X233),상세표[기록월],"&lt;&gt;"&amp;대상월키,상세표[반영월],대상월키))</f>
        <v/>
      </c>
      <c r="K233" s="20">
        <f>IF($X233="","",SUMIFS(상세표[기록 시간외],상세표[사번키],INDEX(합계표[사번키],$X233),상세표[반영월],대상월키))</f>
        <v/>
      </c>
      <c r="L233">
        <f>IF($X233="","",IFERROR(INDEX(월별근무지표[적용 급여병원],MATCH(INDEX(합계표[사번키],$X233)&amp;"|"&amp;대상월키,월별근무지표[키],0))&amp;"",IF(COUNTIF(기관표[사번키],INDEX(합계표[사번키],$X233))+COUNTIF(월별근무지표[사번키],INDEX(합계표[사번키],$X233))&gt;0,IFERROR(INDEX(기관표[급여지급병원(기준월)],MATCH(INDEX(합계표[사번키],$X233)&amp;"|"&amp;대상월키,기관표[키],0))&amp;"","—"),"—")))</f>
        <v/>
      </c>
      <c r="M233">
        <f>IF($X233="","",IF(NOT(COUNTIF(기관표[사번키],INDEX(합계표[사번키],$X233))+COUNTIF(월별근무지표[사번키],INDEX(합계표[사번키],$X233))&gt;0),"기관명단에 없음(다른 병원으로 발송)",IF($L233="서울병원","해당",IF(N($R233)&gt;0,"해당(말일 근무)",IF($L233="—","대상월 기관명단 없음(추가 필요)","비해당")))))</f>
        <v/>
      </c>
      <c r="N233" s="20">
        <f>IF($X233="","",SUMIFS(상세표[06~07시],상세표[사번키],INDEX(합계표[사번키],$X233),상세표[반영월],대상월키,상세표[반영 기관],"서울병원"))</f>
        <v/>
      </c>
      <c r="O233" s="20">
        <f>IF($X233="","",SUMIFS(상세표[07~18시],상세표[사번키],INDEX(합계표[사번키],$X233),상세표[반영월],대상월키,상세표[반영 기관],"서울병원"))</f>
        <v/>
      </c>
      <c r="P233" s="20">
        <f>IF($X233="","",SUMIFS(상세표[18~22시],상세표[사번키],INDEX(합계표[사번키],$X233),상세표[반영월],대상월키,상세표[반영 기관],"서울병원"))</f>
        <v/>
      </c>
      <c r="Q233" s="20">
        <f>IF($X233="","",SUMIFS(상세표[22~06시],상세표[사번키],INDEX(합계표[사번키],$X233),상세표[반영월],대상월키,상세표[반영 기관],"서울병원"))</f>
        <v/>
      </c>
      <c r="R233" s="20">
        <f>IF($X233="","",SUM($N233:$Q233))</f>
        <v/>
      </c>
      <c r="S233">
        <f>IF($X233="","",COUNTIFS(상세표[사번키],INDEX(합계표[사번키],$X233),상세표[반영월],대상월키,상세표[야간당직],1,상세표[야간 구분],"평일"))</f>
        <v/>
      </c>
      <c r="T233">
        <f>IF($X233="","",COUNTIFS(상세표[사번키],INDEX(합계표[사번키],$X233),상세표[반영월],대상월키,상세표[야간당직],1,상세표[야간 구분],"휴일"))</f>
        <v/>
      </c>
      <c r="U233">
        <f>IF($X233="","",COUNTIFS(상세표[사번키],INDEX(합계표[사번키],$X233),상세표[반영월],대상월키,상세표[야간당직],1,상세표[야간 구분],"평일",상세표[반영 기관],"서울병원"))</f>
        <v/>
      </c>
      <c r="V233">
        <f>IF($X233="","",COUNTIFS(상세표[사번키],INDEX(합계표[사번키],$X233),상세표[반영월],대상월키,상세표[야간당직],1,상세표[야간 구분],"휴일",상세표[반영 기관],"서울병원"))</f>
        <v/>
      </c>
      <c r="W233">
        <f>IF($X233="","",IF(ISNUMBER(MATCH(INDEX(합계표[사번키],$X233)&amp;"|"&amp;대상월키,월별근무지표[키],0)),"직접 입력",IF($L233="—","—","기관명단")))</f>
        <v/>
      </c>
      <c r="X233" s="4">
        <f>IFERROR(MATCH(228,합계표[판정순번],0),"")</f>
        <v/>
      </c>
      <c r="Z233">
        <f>IF($AC233="","",INDEX(상세표[사번],$AC233)&amp;"")</f>
        <v/>
      </c>
      <c r="AA233">
        <f>IF($AC233="","",INDEX(상세표[성명],$AC233)&amp;"")</f>
        <v/>
      </c>
      <c r="AB233" s="20">
        <f>IF($AC233="","",SUMIFS(상세표[기록 시간외],상세표[사번키],INDEX(상세표[사번키],$AC233),상세표[반영월],대상월키))</f>
        <v/>
      </c>
      <c r="AC233" s="4">
        <f>IFERROR(MATCH(228,상세표[합계없음순번],0),"")</f>
        <v/>
      </c>
    </row>
    <row r="234">
      <c r="A234">
        <f>IF($X234="","",INDEX(합계표[사번],$X234)&amp;"")</f>
        <v/>
      </c>
      <c r="B234">
        <f>IF($X234="","",INDEX(합계표[성명],$X234)&amp;"")</f>
        <v/>
      </c>
      <c r="C234">
        <f>IF($X234="","",INDEX(합계표[부서],$X234)&amp;"")</f>
        <v/>
      </c>
      <c r="D234">
        <f>IF($X234="","",INDEX(합계표[직위(요약)],$X234)&amp;"")</f>
        <v/>
      </c>
      <c r="E234">
        <f>IF($X234="","",INDEX(합계표[직급 공존],$X234)&amp;"")</f>
        <v/>
      </c>
      <c r="F234" s="20">
        <f>IF($X234="","",SUMIFS(합계표[시스템 합계],합계표[사번키],INDEX(합계표[사번키],$X234)))</f>
        <v/>
      </c>
      <c r="G234" s="20">
        <f>IF($X234="","",SUMIFS(상세표[기록 시간외],상세표[사번키],INDEX(합계표[사번키],$X234),상세표[기록월],대상월키))</f>
        <v/>
      </c>
      <c r="H234">
        <f>IF($X234="","",IF(ABS($F234-$G234)&lt;0.01,"일치","불일치(차이 "&amp;TEXT($G234-$F234,"0.00")&amp;")"))</f>
        <v/>
      </c>
      <c r="I234" s="20">
        <f>IF($X234="","",SUMIFS(상세표[기록 시간외],상세표[사번키],INDEX(합계표[사번키],$X234),상세표[기록월],대상월키,상세표[반영월],"&lt;&gt;"&amp;대상월키))</f>
        <v/>
      </c>
      <c r="J234" s="20">
        <f>IF($X234="","",SUMIFS(상세표[기록 시간외],상세표[사번키],INDEX(합계표[사번키],$X234),상세표[기록월],"&lt;&gt;"&amp;대상월키,상세표[반영월],대상월키))</f>
        <v/>
      </c>
      <c r="K234" s="20">
        <f>IF($X234="","",SUMIFS(상세표[기록 시간외],상세표[사번키],INDEX(합계표[사번키],$X234),상세표[반영월],대상월키))</f>
        <v/>
      </c>
      <c r="L234">
        <f>IF($X234="","",IFERROR(INDEX(월별근무지표[적용 급여병원],MATCH(INDEX(합계표[사번키],$X234)&amp;"|"&amp;대상월키,월별근무지표[키],0))&amp;"",IF(COUNTIF(기관표[사번키],INDEX(합계표[사번키],$X234))+COUNTIF(월별근무지표[사번키],INDEX(합계표[사번키],$X234))&gt;0,IFERROR(INDEX(기관표[급여지급병원(기준월)],MATCH(INDEX(합계표[사번키],$X234)&amp;"|"&amp;대상월키,기관표[키],0))&amp;"","—"),"—")))</f>
        <v/>
      </c>
      <c r="M234">
        <f>IF($X234="","",IF(NOT(COUNTIF(기관표[사번키],INDEX(합계표[사번키],$X234))+COUNTIF(월별근무지표[사번키],INDEX(합계표[사번키],$X234))&gt;0),"기관명단에 없음(다른 병원으로 발송)",IF($L234="서울병원","해당",IF(N($R234)&gt;0,"해당(말일 근무)",IF($L234="—","대상월 기관명단 없음(추가 필요)","비해당")))))</f>
        <v/>
      </c>
      <c r="N234" s="20">
        <f>IF($X234="","",SUMIFS(상세표[06~07시],상세표[사번키],INDEX(합계표[사번키],$X234),상세표[반영월],대상월키,상세표[반영 기관],"서울병원"))</f>
        <v/>
      </c>
      <c r="O234" s="20">
        <f>IF($X234="","",SUMIFS(상세표[07~18시],상세표[사번키],INDEX(합계표[사번키],$X234),상세표[반영월],대상월키,상세표[반영 기관],"서울병원"))</f>
        <v/>
      </c>
      <c r="P234" s="20">
        <f>IF($X234="","",SUMIFS(상세표[18~22시],상세표[사번키],INDEX(합계표[사번키],$X234),상세표[반영월],대상월키,상세표[반영 기관],"서울병원"))</f>
        <v/>
      </c>
      <c r="Q234" s="20">
        <f>IF($X234="","",SUMIFS(상세표[22~06시],상세표[사번키],INDEX(합계표[사번키],$X234),상세표[반영월],대상월키,상세표[반영 기관],"서울병원"))</f>
        <v/>
      </c>
      <c r="R234" s="20">
        <f>IF($X234="","",SUM($N234:$Q234))</f>
        <v/>
      </c>
      <c r="S234">
        <f>IF($X234="","",COUNTIFS(상세표[사번키],INDEX(합계표[사번키],$X234),상세표[반영월],대상월키,상세표[야간당직],1,상세표[야간 구분],"평일"))</f>
        <v/>
      </c>
      <c r="T234">
        <f>IF($X234="","",COUNTIFS(상세표[사번키],INDEX(합계표[사번키],$X234),상세표[반영월],대상월키,상세표[야간당직],1,상세표[야간 구분],"휴일"))</f>
        <v/>
      </c>
      <c r="U234">
        <f>IF($X234="","",COUNTIFS(상세표[사번키],INDEX(합계표[사번키],$X234),상세표[반영월],대상월키,상세표[야간당직],1,상세표[야간 구분],"평일",상세표[반영 기관],"서울병원"))</f>
        <v/>
      </c>
      <c r="V234">
        <f>IF($X234="","",COUNTIFS(상세표[사번키],INDEX(합계표[사번키],$X234),상세표[반영월],대상월키,상세표[야간당직],1,상세표[야간 구분],"휴일",상세표[반영 기관],"서울병원"))</f>
        <v/>
      </c>
      <c r="W234">
        <f>IF($X234="","",IF(ISNUMBER(MATCH(INDEX(합계표[사번키],$X234)&amp;"|"&amp;대상월키,월별근무지표[키],0)),"직접 입력",IF($L234="—","—","기관명단")))</f>
        <v/>
      </c>
      <c r="X234" s="4">
        <f>IFERROR(MATCH(229,합계표[판정순번],0),"")</f>
        <v/>
      </c>
      <c r="Z234">
        <f>IF($AC234="","",INDEX(상세표[사번],$AC234)&amp;"")</f>
        <v/>
      </c>
      <c r="AA234">
        <f>IF($AC234="","",INDEX(상세표[성명],$AC234)&amp;"")</f>
        <v/>
      </c>
      <c r="AB234" s="20">
        <f>IF($AC234="","",SUMIFS(상세표[기록 시간외],상세표[사번키],INDEX(상세표[사번키],$AC234),상세표[반영월],대상월키))</f>
        <v/>
      </c>
      <c r="AC234" s="4">
        <f>IFERROR(MATCH(229,상세표[합계없음순번],0),"")</f>
        <v/>
      </c>
    </row>
    <row r="235">
      <c r="A235">
        <f>IF($X235="","",INDEX(합계표[사번],$X235)&amp;"")</f>
        <v/>
      </c>
      <c r="B235">
        <f>IF($X235="","",INDEX(합계표[성명],$X235)&amp;"")</f>
        <v/>
      </c>
      <c r="C235">
        <f>IF($X235="","",INDEX(합계표[부서],$X235)&amp;"")</f>
        <v/>
      </c>
      <c r="D235">
        <f>IF($X235="","",INDEX(합계표[직위(요약)],$X235)&amp;"")</f>
        <v/>
      </c>
      <c r="E235">
        <f>IF($X235="","",INDEX(합계표[직급 공존],$X235)&amp;"")</f>
        <v/>
      </c>
      <c r="F235" s="20">
        <f>IF($X235="","",SUMIFS(합계표[시스템 합계],합계표[사번키],INDEX(합계표[사번키],$X235)))</f>
        <v/>
      </c>
      <c r="G235" s="20">
        <f>IF($X235="","",SUMIFS(상세표[기록 시간외],상세표[사번키],INDEX(합계표[사번키],$X235),상세표[기록월],대상월키))</f>
        <v/>
      </c>
      <c r="H235">
        <f>IF($X235="","",IF(ABS($F235-$G235)&lt;0.01,"일치","불일치(차이 "&amp;TEXT($G235-$F235,"0.00")&amp;")"))</f>
        <v/>
      </c>
      <c r="I235" s="20">
        <f>IF($X235="","",SUMIFS(상세표[기록 시간외],상세표[사번키],INDEX(합계표[사번키],$X235),상세표[기록월],대상월키,상세표[반영월],"&lt;&gt;"&amp;대상월키))</f>
        <v/>
      </c>
      <c r="J235" s="20">
        <f>IF($X235="","",SUMIFS(상세표[기록 시간외],상세표[사번키],INDEX(합계표[사번키],$X235),상세표[기록월],"&lt;&gt;"&amp;대상월키,상세표[반영월],대상월키))</f>
        <v/>
      </c>
      <c r="K235" s="20">
        <f>IF($X235="","",SUMIFS(상세표[기록 시간외],상세표[사번키],INDEX(합계표[사번키],$X235),상세표[반영월],대상월키))</f>
        <v/>
      </c>
      <c r="L235">
        <f>IF($X235="","",IFERROR(INDEX(월별근무지표[적용 급여병원],MATCH(INDEX(합계표[사번키],$X235)&amp;"|"&amp;대상월키,월별근무지표[키],0))&amp;"",IF(COUNTIF(기관표[사번키],INDEX(합계표[사번키],$X235))+COUNTIF(월별근무지표[사번키],INDEX(합계표[사번키],$X235))&gt;0,IFERROR(INDEX(기관표[급여지급병원(기준월)],MATCH(INDEX(합계표[사번키],$X235)&amp;"|"&amp;대상월키,기관표[키],0))&amp;"","—"),"—")))</f>
        <v/>
      </c>
      <c r="M235">
        <f>IF($X235="","",IF(NOT(COUNTIF(기관표[사번키],INDEX(합계표[사번키],$X235))+COUNTIF(월별근무지표[사번키],INDEX(합계표[사번키],$X235))&gt;0),"기관명단에 없음(다른 병원으로 발송)",IF($L235="서울병원","해당",IF(N($R235)&gt;0,"해당(말일 근무)",IF($L235="—","대상월 기관명단 없음(추가 필요)","비해당")))))</f>
        <v/>
      </c>
      <c r="N235" s="20">
        <f>IF($X235="","",SUMIFS(상세표[06~07시],상세표[사번키],INDEX(합계표[사번키],$X235),상세표[반영월],대상월키,상세표[반영 기관],"서울병원"))</f>
        <v/>
      </c>
      <c r="O235" s="20">
        <f>IF($X235="","",SUMIFS(상세표[07~18시],상세표[사번키],INDEX(합계표[사번키],$X235),상세표[반영월],대상월키,상세표[반영 기관],"서울병원"))</f>
        <v/>
      </c>
      <c r="P235" s="20">
        <f>IF($X235="","",SUMIFS(상세표[18~22시],상세표[사번키],INDEX(합계표[사번키],$X235),상세표[반영월],대상월키,상세표[반영 기관],"서울병원"))</f>
        <v/>
      </c>
      <c r="Q235" s="20">
        <f>IF($X235="","",SUMIFS(상세표[22~06시],상세표[사번키],INDEX(합계표[사번키],$X235),상세표[반영월],대상월키,상세표[반영 기관],"서울병원"))</f>
        <v/>
      </c>
      <c r="R235" s="20">
        <f>IF($X235="","",SUM($N235:$Q235))</f>
        <v/>
      </c>
      <c r="S235">
        <f>IF($X235="","",COUNTIFS(상세표[사번키],INDEX(합계표[사번키],$X235),상세표[반영월],대상월키,상세표[야간당직],1,상세표[야간 구분],"평일"))</f>
        <v/>
      </c>
      <c r="T235">
        <f>IF($X235="","",COUNTIFS(상세표[사번키],INDEX(합계표[사번키],$X235),상세표[반영월],대상월키,상세표[야간당직],1,상세표[야간 구분],"휴일"))</f>
        <v/>
      </c>
      <c r="U235">
        <f>IF($X235="","",COUNTIFS(상세표[사번키],INDEX(합계표[사번키],$X235),상세표[반영월],대상월키,상세표[야간당직],1,상세표[야간 구분],"평일",상세표[반영 기관],"서울병원"))</f>
        <v/>
      </c>
      <c r="V235">
        <f>IF($X235="","",COUNTIFS(상세표[사번키],INDEX(합계표[사번키],$X235),상세표[반영월],대상월키,상세표[야간당직],1,상세표[야간 구분],"휴일",상세표[반영 기관],"서울병원"))</f>
        <v/>
      </c>
      <c r="W235">
        <f>IF($X235="","",IF(ISNUMBER(MATCH(INDEX(합계표[사번키],$X235)&amp;"|"&amp;대상월키,월별근무지표[키],0)),"직접 입력",IF($L235="—","—","기관명단")))</f>
        <v/>
      </c>
      <c r="X235" s="4">
        <f>IFERROR(MATCH(230,합계표[판정순번],0),"")</f>
        <v/>
      </c>
      <c r="Z235">
        <f>IF($AC235="","",INDEX(상세표[사번],$AC235)&amp;"")</f>
        <v/>
      </c>
      <c r="AA235">
        <f>IF($AC235="","",INDEX(상세표[성명],$AC235)&amp;"")</f>
        <v/>
      </c>
      <c r="AB235" s="20">
        <f>IF($AC235="","",SUMIFS(상세표[기록 시간외],상세표[사번키],INDEX(상세표[사번키],$AC235),상세표[반영월],대상월키))</f>
        <v/>
      </c>
      <c r="AC235" s="4">
        <f>IFERROR(MATCH(230,상세표[합계없음순번],0),"")</f>
        <v/>
      </c>
    </row>
    <row r="236">
      <c r="A236">
        <f>IF($X236="","",INDEX(합계표[사번],$X236)&amp;"")</f>
        <v/>
      </c>
      <c r="B236">
        <f>IF($X236="","",INDEX(합계표[성명],$X236)&amp;"")</f>
        <v/>
      </c>
      <c r="C236">
        <f>IF($X236="","",INDEX(합계표[부서],$X236)&amp;"")</f>
        <v/>
      </c>
      <c r="D236">
        <f>IF($X236="","",INDEX(합계표[직위(요약)],$X236)&amp;"")</f>
        <v/>
      </c>
      <c r="E236">
        <f>IF($X236="","",INDEX(합계표[직급 공존],$X236)&amp;"")</f>
        <v/>
      </c>
      <c r="F236" s="20">
        <f>IF($X236="","",SUMIFS(합계표[시스템 합계],합계표[사번키],INDEX(합계표[사번키],$X236)))</f>
        <v/>
      </c>
      <c r="G236" s="20">
        <f>IF($X236="","",SUMIFS(상세표[기록 시간외],상세표[사번키],INDEX(합계표[사번키],$X236),상세표[기록월],대상월키))</f>
        <v/>
      </c>
      <c r="H236">
        <f>IF($X236="","",IF(ABS($F236-$G236)&lt;0.01,"일치","불일치(차이 "&amp;TEXT($G236-$F236,"0.00")&amp;")"))</f>
        <v/>
      </c>
      <c r="I236" s="20">
        <f>IF($X236="","",SUMIFS(상세표[기록 시간외],상세표[사번키],INDEX(합계표[사번키],$X236),상세표[기록월],대상월키,상세표[반영월],"&lt;&gt;"&amp;대상월키))</f>
        <v/>
      </c>
      <c r="J236" s="20">
        <f>IF($X236="","",SUMIFS(상세표[기록 시간외],상세표[사번키],INDEX(합계표[사번키],$X236),상세표[기록월],"&lt;&gt;"&amp;대상월키,상세표[반영월],대상월키))</f>
        <v/>
      </c>
      <c r="K236" s="20">
        <f>IF($X236="","",SUMIFS(상세표[기록 시간외],상세표[사번키],INDEX(합계표[사번키],$X236),상세표[반영월],대상월키))</f>
        <v/>
      </c>
      <c r="L236">
        <f>IF($X236="","",IFERROR(INDEX(월별근무지표[적용 급여병원],MATCH(INDEX(합계표[사번키],$X236)&amp;"|"&amp;대상월키,월별근무지표[키],0))&amp;"",IF(COUNTIF(기관표[사번키],INDEX(합계표[사번키],$X236))+COUNTIF(월별근무지표[사번키],INDEX(합계표[사번키],$X236))&gt;0,IFERROR(INDEX(기관표[급여지급병원(기준월)],MATCH(INDEX(합계표[사번키],$X236)&amp;"|"&amp;대상월키,기관표[키],0))&amp;"","—"),"—")))</f>
        <v/>
      </c>
      <c r="M236">
        <f>IF($X236="","",IF(NOT(COUNTIF(기관표[사번키],INDEX(합계표[사번키],$X236))+COUNTIF(월별근무지표[사번키],INDEX(합계표[사번키],$X236))&gt;0),"기관명단에 없음(다른 병원으로 발송)",IF($L236="서울병원","해당",IF(N($R236)&gt;0,"해당(말일 근무)",IF($L236="—","대상월 기관명단 없음(추가 필요)","비해당")))))</f>
        <v/>
      </c>
      <c r="N236" s="20">
        <f>IF($X236="","",SUMIFS(상세표[06~07시],상세표[사번키],INDEX(합계표[사번키],$X236),상세표[반영월],대상월키,상세표[반영 기관],"서울병원"))</f>
        <v/>
      </c>
      <c r="O236" s="20">
        <f>IF($X236="","",SUMIFS(상세표[07~18시],상세표[사번키],INDEX(합계표[사번키],$X236),상세표[반영월],대상월키,상세표[반영 기관],"서울병원"))</f>
        <v/>
      </c>
      <c r="P236" s="20">
        <f>IF($X236="","",SUMIFS(상세표[18~22시],상세표[사번키],INDEX(합계표[사번키],$X236),상세표[반영월],대상월키,상세표[반영 기관],"서울병원"))</f>
        <v/>
      </c>
      <c r="Q236" s="20">
        <f>IF($X236="","",SUMIFS(상세표[22~06시],상세표[사번키],INDEX(합계표[사번키],$X236),상세표[반영월],대상월키,상세표[반영 기관],"서울병원"))</f>
        <v/>
      </c>
      <c r="R236" s="20">
        <f>IF($X236="","",SUM($N236:$Q236))</f>
        <v/>
      </c>
      <c r="S236">
        <f>IF($X236="","",COUNTIFS(상세표[사번키],INDEX(합계표[사번키],$X236),상세표[반영월],대상월키,상세표[야간당직],1,상세표[야간 구분],"평일"))</f>
        <v/>
      </c>
      <c r="T236">
        <f>IF($X236="","",COUNTIFS(상세표[사번키],INDEX(합계표[사번키],$X236),상세표[반영월],대상월키,상세표[야간당직],1,상세표[야간 구분],"휴일"))</f>
        <v/>
      </c>
      <c r="U236">
        <f>IF($X236="","",COUNTIFS(상세표[사번키],INDEX(합계표[사번키],$X236),상세표[반영월],대상월키,상세표[야간당직],1,상세표[야간 구분],"평일",상세표[반영 기관],"서울병원"))</f>
        <v/>
      </c>
      <c r="V236">
        <f>IF($X236="","",COUNTIFS(상세표[사번키],INDEX(합계표[사번키],$X236),상세표[반영월],대상월키,상세표[야간당직],1,상세표[야간 구분],"휴일",상세표[반영 기관],"서울병원"))</f>
        <v/>
      </c>
      <c r="W236">
        <f>IF($X236="","",IF(ISNUMBER(MATCH(INDEX(합계표[사번키],$X236)&amp;"|"&amp;대상월키,월별근무지표[키],0)),"직접 입력",IF($L236="—","—","기관명단")))</f>
        <v/>
      </c>
      <c r="X236" s="4">
        <f>IFERROR(MATCH(231,합계표[판정순번],0),"")</f>
        <v/>
      </c>
      <c r="Z236">
        <f>IF($AC236="","",INDEX(상세표[사번],$AC236)&amp;"")</f>
        <v/>
      </c>
      <c r="AA236">
        <f>IF($AC236="","",INDEX(상세표[성명],$AC236)&amp;"")</f>
        <v/>
      </c>
      <c r="AB236" s="20">
        <f>IF($AC236="","",SUMIFS(상세표[기록 시간외],상세표[사번키],INDEX(상세표[사번키],$AC236),상세표[반영월],대상월키))</f>
        <v/>
      </c>
      <c r="AC236" s="4">
        <f>IFERROR(MATCH(231,상세표[합계없음순번],0),"")</f>
        <v/>
      </c>
    </row>
    <row r="237">
      <c r="A237">
        <f>IF($X237="","",INDEX(합계표[사번],$X237)&amp;"")</f>
        <v/>
      </c>
      <c r="B237">
        <f>IF($X237="","",INDEX(합계표[성명],$X237)&amp;"")</f>
        <v/>
      </c>
      <c r="C237">
        <f>IF($X237="","",INDEX(합계표[부서],$X237)&amp;"")</f>
        <v/>
      </c>
      <c r="D237">
        <f>IF($X237="","",INDEX(합계표[직위(요약)],$X237)&amp;"")</f>
        <v/>
      </c>
      <c r="E237">
        <f>IF($X237="","",INDEX(합계표[직급 공존],$X237)&amp;"")</f>
        <v/>
      </c>
      <c r="F237" s="20">
        <f>IF($X237="","",SUMIFS(합계표[시스템 합계],합계표[사번키],INDEX(합계표[사번키],$X237)))</f>
        <v/>
      </c>
      <c r="G237" s="20">
        <f>IF($X237="","",SUMIFS(상세표[기록 시간외],상세표[사번키],INDEX(합계표[사번키],$X237),상세표[기록월],대상월키))</f>
        <v/>
      </c>
      <c r="H237">
        <f>IF($X237="","",IF(ABS($F237-$G237)&lt;0.01,"일치","불일치(차이 "&amp;TEXT($G237-$F237,"0.00")&amp;")"))</f>
        <v/>
      </c>
      <c r="I237" s="20">
        <f>IF($X237="","",SUMIFS(상세표[기록 시간외],상세표[사번키],INDEX(합계표[사번키],$X237),상세표[기록월],대상월키,상세표[반영월],"&lt;&gt;"&amp;대상월키))</f>
        <v/>
      </c>
      <c r="J237" s="20">
        <f>IF($X237="","",SUMIFS(상세표[기록 시간외],상세표[사번키],INDEX(합계표[사번키],$X237),상세표[기록월],"&lt;&gt;"&amp;대상월키,상세표[반영월],대상월키))</f>
        <v/>
      </c>
      <c r="K237" s="20">
        <f>IF($X237="","",SUMIFS(상세표[기록 시간외],상세표[사번키],INDEX(합계표[사번키],$X237),상세표[반영월],대상월키))</f>
        <v/>
      </c>
      <c r="L237">
        <f>IF($X237="","",IFERROR(INDEX(월별근무지표[적용 급여병원],MATCH(INDEX(합계표[사번키],$X237)&amp;"|"&amp;대상월키,월별근무지표[키],0))&amp;"",IF(COUNTIF(기관표[사번키],INDEX(합계표[사번키],$X237))+COUNTIF(월별근무지표[사번키],INDEX(합계표[사번키],$X237))&gt;0,IFERROR(INDEX(기관표[급여지급병원(기준월)],MATCH(INDEX(합계표[사번키],$X237)&amp;"|"&amp;대상월키,기관표[키],0))&amp;"","—"),"—")))</f>
        <v/>
      </c>
      <c r="M237">
        <f>IF($X237="","",IF(NOT(COUNTIF(기관표[사번키],INDEX(합계표[사번키],$X237))+COUNTIF(월별근무지표[사번키],INDEX(합계표[사번키],$X237))&gt;0),"기관명단에 없음(다른 병원으로 발송)",IF($L237="서울병원","해당",IF(N($R237)&gt;0,"해당(말일 근무)",IF($L237="—","대상월 기관명단 없음(추가 필요)","비해당")))))</f>
        <v/>
      </c>
      <c r="N237" s="20">
        <f>IF($X237="","",SUMIFS(상세표[06~07시],상세표[사번키],INDEX(합계표[사번키],$X237),상세표[반영월],대상월키,상세표[반영 기관],"서울병원"))</f>
        <v/>
      </c>
      <c r="O237" s="20">
        <f>IF($X237="","",SUMIFS(상세표[07~18시],상세표[사번키],INDEX(합계표[사번키],$X237),상세표[반영월],대상월키,상세표[반영 기관],"서울병원"))</f>
        <v/>
      </c>
      <c r="P237" s="20">
        <f>IF($X237="","",SUMIFS(상세표[18~22시],상세표[사번키],INDEX(합계표[사번키],$X237),상세표[반영월],대상월키,상세표[반영 기관],"서울병원"))</f>
        <v/>
      </c>
      <c r="Q237" s="20">
        <f>IF($X237="","",SUMIFS(상세표[22~06시],상세표[사번키],INDEX(합계표[사번키],$X237),상세표[반영월],대상월키,상세표[반영 기관],"서울병원"))</f>
        <v/>
      </c>
      <c r="R237" s="20">
        <f>IF($X237="","",SUM($N237:$Q237))</f>
        <v/>
      </c>
      <c r="S237">
        <f>IF($X237="","",COUNTIFS(상세표[사번키],INDEX(합계표[사번키],$X237),상세표[반영월],대상월키,상세표[야간당직],1,상세표[야간 구분],"평일"))</f>
        <v/>
      </c>
      <c r="T237">
        <f>IF($X237="","",COUNTIFS(상세표[사번키],INDEX(합계표[사번키],$X237),상세표[반영월],대상월키,상세표[야간당직],1,상세표[야간 구분],"휴일"))</f>
        <v/>
      </c>
      <c r="U237">
        <f>IF($X237="","",COUNTIFS(상세표[사번키],INDEX(합계표[사번키],$X237),상세표[반영월],대상월키,상세표[야간당직],1,상세표[야간 구분],"평일",상세표[반영 기관],"서울병원"))</f>
        <v/>
      </c>
      <c r="V237">
        <f>IF($X237="","",COUNTIFS(상세표[사번키],INDEX(합계표[사번키],$X237),상세표[반영월],대상월키,상세표[야간당직],1,상세표[야간 구분],"휴일",상세표[반영 기관],"서울병원"))</f>
        <v/>
      </c>
      <c r="W237">
        <f>IF($X237="","",IF(ISNUMBER(MATCH(INDEX(합계표[사번키],$X237)&amp;"|"&amp;대상월키,월별근무지표[키],0)),"직접 입력",IF($L237="—","—","기관명단")))</f>
        <v/>
      </c>
      <c r="X237" s="4">
        <f>IFERROR(MATCH(232,합계표[판정순번],0),"")</f>
        <v/>
      </c>
      <c r="Z237">
        <f>IF($AC237="","",INDEX(상세표[사번],$AC237)&amp;"")</f>
        <v/>
      </c>
      <c r="AA237">
        <f>IF($AC237="","",INDEX(상세표[성명],$AC237)&amp;"")</f>
        <v/>
      </c>
      <c r="AB237" s="20">
        <f>IF($AC237="","",SUMIFS(상세표[기록 시간외],상세표[사번키],INDEX(상세표[사번키],$AC237),상세표[반영월],대상월키))</f>
        <v/>
      </c>
      <c r="AC237" s="4">
        <f>IFERROR(MATCH(232,상세표[합계없음순번],0),"")</f>
        <v/>
      </c>
    </row>
    <row r="238">
      <c r="A238">
        <f>IF($X238="","",INDEX(합계표[사번],$X238)&amp;"")</f>
        <v/>
      </c>
      <c r="B238">
        <f>IF($X238="","",INDEX(합계표[성명],$X238)&amp;"")</f>
        <v/>
      </c>
      <c r="C238">
        <f>IF($X238="","",INDEX(합계표[부서],$X238)&amp;"")</f>
        <v/>
      </c>
      <c r="D238">
        <f>IF($X238="","",INDEX(합계표[직위(요약)],$X238)&amp;"")</f>
        <v/>
      </c>
      <c r="E238">
        <f>IF($X238="","",INDEX(합계표[직급 공존],$X238)&amp;"")</f>
        <v/>
      </c>
      <c r="F238" s="20">
        <f>IF($X238="","",SUMIFS(합계표[시스템 합계],합계표[사번키],INDEX(합계표[사번키],$X238)))</f>
        <v/>
      </c>
      <c r="G238" s="20">
        <f>IF($X238="","",SUMIFS(상세표[기록 시간외],상세표[사번키],INDEX(합계표[사번키],$X238),상세표[기록월],대상월키))</f>
        <v/>
      </c>
      <c r="H238">
        <f>IF($X238="","",IF(ABS($F238-$G238)&lt;0.01,"일치","불일치(차이 "&amp;TEXT($G238-$F238,"0.00")&amp;")"))</f>
        <v/>
      </c>
      <c r="I238" s="20">
        <f>IF($X238="","",SUMIFS(상세표[기록 시간외],상세표[사번키],INDEX(합계표[사번키],$X238),상세표[기록월],대상월키,상세표[반영월],"&lt;&gt;"&amp;대상월키))</f>
        <v/>
      </c>
      <c r="J238" s="20">
        <f>IF($X238="","",SUMIFS(상세표[기록 시간외],상세표[사번키],INDEX(합계표[사번키],$X238),상세표[기록월],"&lt;&gt;"&amp;대상월키,상세표[반영월],대상월키))</f>
        <v/>
      </c>
      <c r="K238" s="20">
        <f>IF($X238="","",SUMIFS(상세표[기록 시간외],상세표[사번키],INDEX(합계표[사번키],$X238),상세표[반영월],대상월키))</f>
        <v/>
      </c>
      <c r="L238">
        <f>IF($X238="","",IFERROR(INDEX(월별근무지표[적용 급여병원],MATCH(INDEX(합계표[사번키],$X238)&amp;"|"&amp;대상월키,월별근무지표[키],0))&amp;"",IF(COUNTIF(기관표[사번키],INDEX(합계표[사번키],$X238))+COUNTIF(월별근무지표[사번키],INDEX(합계표[사번키],$X238))&gt;0,IFERROR(INDEX(기관표[급여지급병원(기준월)],MATCH(INDEX(합계표[사번키],$X238)&amp;"|"&amp;대상월키,기관표[키],0))&amp;"","—"),"—")))</f>
        <v/>
      </c>
      <c r="M238">
        <f>IF($X238="","",IF(NOT(COUNTIF(기관표[사번키],INDEX(합계표[사번키],$X238))+COUNTIF(월별근무지표[사번키],INDEX(합계표[사번키],$X238))&gt;0),"기관명단에 없음(다른 병원으로 발송)",IF($L238="서울병원","해당",IF(N($R238)&gt;0,"해당(말일 근무)",IF($L238="—","대상월 기관명단 없음(추가 필요)","비해당")))))</f>
        <v/>
      </c>
      <c r="N238" s="20">
        <f>IF($X238="","",SUMIFS(상세표[06~07시],상세표[사번키],INDEX(합계표[사번키],$X238),상세표[반영월],대상월키,상세표[반영 기관],"서울병원"))</f>
        <v/>
      </c>
      <c r="O238" s="20">
        <f>IF($X238="","",SUMIFS(상세표[07~18시],상세표[사번키],INDEX(합계표[사번키],$X238),상세표[반영월],대상월키,상세표[반영 기관],"서울병원"))</f>
        <v/>
      </c>
      <c r="P238" s="20">
        <f>IF($X238="","",SUMIFS(상세표[18~22시],상세표[사번키],INDEX(합계표[사번키],$X238),상세표[반영월],대상월키,상세표[반영 기관],"서울병원"))</f>
        <v/>
      </c>
      <c r="Q238" s="20">
        <f>IF($X238="","",SUMIFS(상세표[22~06시],상세표[사번키],INDEX(합계표[사번키],$X238),상세표[반영월],대상월키,상세표[반영 기관],"서울병원"))</f>
        <v/>
      </c>
      <c r="R238" s="20">
        <f>IF($X238="","",SUM($N238:$Q238))</f>
        <v/>
      </c>
      <c r="S238">
        <f>IF($X238="","",COUNTIFS(상세표[사번키],INDEX(합계표[사번키],$X238),상세표[반영월],대상월키,상세표[야간당직],1,상세표[야간 구분],"평일"))</f>
        <v/>
      </c>
      <c r="T238">
        <f>IF($X238="","",COUNTIFS(상세표[사번키],INDEX(합계표[사번키],$X238),상세표[반영월],대상월키,상세표[야간당직],1,상세표[야간 구분],"휴일"))</f>
        <v/>
      </c>
      <c r="U238">
        <f>IF($X238="","",COUNTIFS(상세표[사번키],INDEX(합계표[사번키],$X238),상세표[반영월],대상월키,상세표[야간당직],1,상세표[야간 구분],"평일",상세표[반영 기관],"서울병원"))</f>
        <v/>
      </c>
      <c r="V238">
        <f>IF($X238="","",COUNTIFS(상세표[사번키],INDEX(합계표[사번키],$X238),상세표[반영월],대상월키,상세표[야간당직],1,상세표[야간 구분],"휴일",상세표[반영 기관],"서울병원"))</f>
        <v/>
      </c>
      <c r="W238">
        <f>IF($X238="","",IF(ISNUMBER(MATCH(INDEX(합계표[사번키],$X238)&amp;"|"&amp;대상월키,월별근무지표[키],0)),"직접 입력",IF($L238="—","—","기관명단")))</f>
        <v/>
      </c>
      <c r="X238" s="4">
        <f>IFERROR(MATCH(233,합계표[판정순번],0),"")</f>
        <v/>
      </c>
      <c r="Z238">
        <f>IF($AC238="","",INDEX(상세표[사번],$AC238)&amp;"")</f>
        <v/>
      </c>
      <c r="AA238">
        <f>IF($AC238="","",INDEX(상세표[성명],$AC238)&amp;"")</f>
        <v/>
      </c>
      <c r="AB238" s="20">
        <f>IF($AC238="","",SUMIFS(상세표[기록 시간외],상세표[사번키],INDEX(상세표[사번키],$AC238),상세표[반영월],대상월키))</f>
        <v/>
      </c>
      <c r="AC238" s="4">
        <f>IFERROR(MATCH(233,상세표[합계없음순번],0),"")</f>
        <v/>
      </c>
    </row>
    <row r="239">
      <c r="A239">
        <f>IF($X239="","",INDEX(합계표[사번],$X239)&amp;"")</f>
        <v/>
      </c>
      <c r="B239">
        <f>IF($X239="","",INDEX(합계표[성명],$X239)&amp;"")</f>
        <v/>
      </c>
      <c r="C239">
        <f>IF($X239="","",INDEX(합계표[부서],$X239)&amp;"")</f>
        <v/>
      </c>
      <c r="D239">
        <f>IF($X239="","",INDEX(합계표[직위(요약)],$X239)&amp;"")</f>
        <v/>
      </c>
      <c r="E239">
        <f>IF($X239="","",INDEX(합계표[직급 공존],$X239)&amp;"")</f>
        <v/>
      </c>
      <c r="F239" s="20">
        <f>IF($X239="","",SUMIFS(합계표[시스템 합계],합계표[사번키],INDEX(합계표[사번키],$X239)))</f>
        <v/>
      </c>
      <c r="G239" s="20">
        <f>IF($X239="","",SUMIFS(상세표[기록 시간외],상세표[사번키],INDEX(합계표[사번키],$X239),상세표[기록월],대상월키))</f>
        <v/>
      </c>
      <c r="H239">
        <f>IF($X239="","",IF(ABS($F239-$G239)&lt;0.01,"일치","불일치(차이 "&amp;TEXT($G239-$F239,"0.00")&amp;")"))</f>
        <v/>
      </c>
      <c r="I239" s="20">
        <f>IF($X239="","",SUMIFS(상세표[기록 시간외],상세표[사번키],INDEX(합계표[사번키],$X239),상세표[기록월],대상월키,상세표[반영월],"&lt;&gt;"&amp;대상월키))</f>
        <v/>
      </c>
      <c r="J239" s="20">
        <f>IF($X239="","",SUMIFS(상세표[기록 시간외],상세표[사번키],INDEX(합계표[사번키],$X239),상세표[기록월],"&lt;&gt;"&amp;대상월키,상세표[반영월],대상월키))</f>
        <v/>
      </c>
      <c r="K239" s="20">
        <f>IF($X239="","",SUMIFS(상세표[기록 시간외],상세표[사번키],INDEX(합계표[사번키],$X239),상세표[반영월],대상월키))</f>
        <v/>
      </c>
      <c r="L239">
        <f>IF($X239="","",IFERROR(INDEX(월별근무지표[적용 급여병원],MATCH(INDEX(합계표[사번키],$X239)&amp;"|"&amp;대상월키,월별근무지표[키],0))&amp;"",IF(COUNTIF(기관표[사번키],INDEX(합계표[사번키],$X239))+COUNTIF(월별근무지표[사번키],INDEX(합계표[사번키],$X239))&gt;0,IFERROR(INDEX(기관표[급여지급병원(기준월)],MATCH(INDEX(합계표[사번키],$X239)&amp;"|"&amp;대상월키,기관표[키],0))&amp;"","—"),"—")))</f>
        <v/>
      </c>
      <c r="M239">
        <f>IF($X239="","",IF(NOT(COUNTIF(기관표[사번키],INDEX(합계표[사번키],$X239))+COUNTIF(월별근무지표[사번키],INDEX(합계표[사번키],$X239))&gt;0),"기관명단에 없음(다른 병원으로 발송)",IF($L239="서울병원","해당",IF(N($R239)&gt;0,"해당(말일 근무)",IF($L239="—","대상월 기관명단 없음(추가 필요)","비해당")))))</f>
        <v/>
      </c>
      <c r="N239" s="20">
        <f>IF($X239="","",SUMIFS(상세표[06~07시],상세표[사번키],INDEX(합계표[사번키],$X239),상세표[반영월],대상월키,상세표[반영 기관],"서울병원"))</f>
        <v/>
      </c>
      <c r="O239" s="20">
        <f>IF($X239="","",SUMIFS(상세표[07~18시],상세표[사번키],INDEX(합계표[사번키],$X239),상세표[반영월],대상월키,상세표[반영 기관],"서울병원"))</f>
        <v/>
      </c>
      <c r="P239" s="20">
        <f>IF($X239="","",SUMIFS(상세표[18~22시],상세표[사번키],INDEX(합계표[사번키],$X239),상세표[반영월],대상월키,상세표[반영 기관],"서울병원"))</f>
        <v/>
      </c>
      <c r="Q239" s="20">
        <f>IF($X239="","",SUMIFS(상세표[22~06시],상세표[사번키],INDEX(합계표[사번키],$X239),상세표[반영월],대상월키,상세표[반영 기관],"서울병원"))</f>
        <v/>
      </c>
      <c r="R239" s="20">
        <f>IF($X239="","",SUM($N239:$Q239))</f>
        <v/>
      </c>
      <c r="S239">
        <f>IF($X239="","",COUNTIFS(상세표[사번키],INDEX(합계표[사번키],$X239),상세표[반영월],대상월키,상세표[야간당직],1,상세표[야간 구분],"평일"))</f>
        <v/>
      </c>
      <c r="T239">
        <f>IF($X239="","",COUNTIFS(상세표[사번키],INDEX(합계표[사번키],$X239),상세표[반영월],대상월키,상세표[야간당직],1,상세표[야간 구분],"휴일"))</f>
        <v/>
      </c>
      <c r="U239">
        <f>IF($X239="","",COUNTIFS(상세표[사번키],INDEX(합계표[사번키],$X239),상세표[반영월],대상월키,상세표[야간당직],1,상세표[야간 구분],"평일",상세표[반영 기관],"서울병원"))</f>
        <v/>
      </c>
      <c r="V239">
        <f>IF($X239="","",COUNTIFS(상세표[사번키],INDEX(합계표[사번키],$X239),상세표[반영월],대상월키,상세표[야간당직],1,상세표[야간 구분],"휴일",상세표[반영 기관],"서울병원"))</f>
        <v/>
      </c>
      <c r="W239">
        <f>IF($X239="","",IF(ISNUMBER(MATCH(INDEX(합계표[사번키],$X239)&amp;"|"&amp;대상월키,월별근무지표[키],0)),"직접 입력",IF($L239="—","—","기관명단")))</f>
        <v/>
      </c>
      <c r="X239" s="4">
        <f>IFERROR(MATCH(234,합계표[판정순번],0),"")</f>
        <v/>
      </c>
      <c r="Z239">
        <f>IF($AC239="","",INDEX(상세표[사번],$AC239)&amp;"")</f>
        <v/>
      </c>
      <c r="AA239">
        <f>IF($AC239="","",INDEX(상세표[성명],$AC239)&amp;"")</f>
        <v/>
      </c>
      <c r="AB239" s="20">
        <f>IF($AC239="","",SUMIFS(상세표[기록 시간외],상세표[사번키],INDEX(상세표[사번키],$AC239),상세표[반영월],대상월키))</f>
        <v/>
      </c>
      <c r="AC239" s="4">
        <f>IFERROR(MATCH(234,상세표[합계없음순번],0),"")</f>
        <v/>
      </c>
    </row>
    <row r="240">
      <c r="A240">
        <f>IF($X240="","",INDEX(합계표[사번],$X240)&amp;"")</f>
        <v/>
      </c>
      <c r="B240">
        <f>IF($X240="","",INDEX(합계표[성명],$X240)&amp;"")</f>
        <v/>
      </c>
      <c r="C240">
        <f>IF($X240="","",INDEX(합계표[부서],$X240)&amp;"")</f>
        <v/>
      </c>
      <c r="D240">
        <f>IF($X240="","",INDEX(합계표[직위(요약)],$X240)&amp;"")</f>
        <v/>
      </c>
      <c r="E240">
        <f>IF($X240="","",INDEX(합계표[직급 공존],$X240)&amp;"")</f>
        <v/>
      </c>
      <c r="F240" s="20">
        <f>IF($X240="","",SUMIFS(합계표[시스템 합계],합계표[사번키],INDEX(합계표[사번키],$X240)))</f>
        <v/>
      </c>
      <c r="G240" s="20">
        <f>IF($X240="","",SUMIFS(상세표[기록 시간외],상세표[사번키],INDEX(합계표[사번키],$X240),상세표[기록월],대상월키))</f>
        <v/>
      </c>
      <c r="H240">
        <f>IF($X240="","",IF(ABS($F240-$G240)&lt;0.01,"일치","불일치(차이 "&amp;TEXT($G240-$F240,"0.00")&amp;")"))</f>
        <v/>
      </c>
      <c r="I240" s="20">
        <f>IF($X240="","",SUMIFS(상세표[기록 시간외],상세표[사번키],INDEX(합계표[사번키],$X240),상세표[기록월],대상월키,상세표[반영월],"&lt;&gt;"&amp;대상월키))</f>
        <v/>
      </c>
      <c r="J240" s="20">
        <f>IF($X240="","",SUMIFS(상세표[기록 시간외],상세표[사번키],INDEX(합계표[사번키],$X240),상세표[기록월],"&lt;&gt;"&amp;대상월키,상세표[반영월],대상월키))</f>
        <v/>
      </c>
      <c r="K240" s="20">
        <f>IF($X240="","",SUMIFS(상세표[기록 시간외],상세표[사번키],INDEX(합계표[사번키],$X240),상세표[반영월],대상월키))</f>
        <v/>
      </c>
      <c r="L240">
        <f>IF($X240="","",IFERROR(INDEX(월별근무지표[적용 급여병원],MATCH(INDEX(합계표[사번키],$X240)&amp;"|"&amp;대상월키,월별근무지표[키],0))&amp;"",IF(COUNTIF(기관표[사번키],INDEX(합계표[사번키],$X240))+COUNTIF(월별근무지표[사번키],INDEX(합계표[사번키],$X240))&gt;0,IFERROR(INDEX(기관표[급여지급병원(기준월)],MATCH(INDEX(합계표[사번키],$X240)&amp;"|"&amp;대상월키,기관표[키],0))&amp;"","—"),"—")))</f>
        <v/>
      </c>
      <c r="M240">
        <f>IF($X240="","",IF(NOT(COUNTIF(기관표[사번키],INDEX(합계표[사번키],$X240))+COUNTIF(월별근무지표[사번키],INDEX(합계표[사번키],$X240))&gt;0),"기관명단에 없음(다른 병원으로 발송)",IF($L240="서울병원","해당",IF(N($R240)&gt;0,"해당(말일 근무)",IF($L240="—","대상월 기관명단 없음(추가 필요)","비해당")))))</f>
        <v/>
      </c>
      <c r="N240" s="20">
        <f>IF($X240="","",SUMIFS(상세표[06~07시],상세표[사번키],INDEX(합계표[사번키],$X240),상세표[반영월],대상월키,상세표[반영 기관],"서울병원"))</f>
        <v/>
      </c>
      <c r="O240" s="20">
        <f>IF($X240="","",SUMIFS(상세표[07~18시],상세표[사번키],INDEX(합계표[사번키],$X240),상세표[반영월],대상월키,상세표[반영 기관],"서울병원"))</f>
        <v/>
      </c>
      <c r="P240" s="20">
        <f>IF($X240="","",SUMIFS(상세표[18~22시],상세표[사번키],INDEX(합계표[사번키],$X240),상세표[반영월],대상월키,상세표[반영 기관],"서울병원"))</f>
        <v/>
      </c>
      <c r="Q240" s="20">
        <f>IF($X240="","",SUMIFS(상세표[22~06시],상세표[사번키],INDEX(합계표[사번키],$X240),상세표[반영월],대상월키,상세표[반영 기관],"서울병원"))</f>
        <v/>
      </c>
      <c r="R240" s="20">
        <f>IF($X240="","",SUM($N240:$Q240))</f>
        <v/>
      </c>
      <c r="S240">
        <f>IF($X240="","",COUNTIFS(상세표[사번키],INDEX(합계표[사번키],$X240),상세표[반영월],대상월키,상세표[야간당직],1,상세표[야간 구분],"평일"))</f>
        <v/>
      </c>
      <c r="T240">
        <f>IF($X240="","",COUNTIFS(상세표[사번키],INDEX(합계표[사번키],$X240),상세표[반영월],대상월키,상세표[야간당직],1,상세표[야간 구분],"휴일"))</f>
        <v/>
      </c>
      <c r="U240">
        <f>IF($X240="","",COUNTIFS(상세표[사번키],INDEX(합계표[사번키],$X240),상세표[반영월],대상월키,상세표[야간당직],1,상세표[야간 구분],"평일",상세표[반영 기관],"서울병원"))</f>
        <v/>
      </c>
      <c r="V240">
        <f>IF($X240="","",COUNTIFS(상세표[사번키],INDEX(합계표[사번키],$X240),상세표[반영월],대상월키,상세표[야간당직],1,상세표[야간 구분],"휴일",상세표[반영 기관],"서울병원"))</f>
        <v/>
      </c>
      <c r="W240">
        <f>IF($X240="","",IF(ISNUMBER(MATCH(INDEX(합계표[사번키],$X240)&amp;"|"&amp;대상월키,월별근무지표[키],0)),"직접 입력",IF($L240="—","—","기관명단")))</f>
        <v/>
      </c>
      <c r="X240" s="4">
        <f>IFERROR(MATCH(235,합계표[판정순번],0),"")</f>
        <v/>
      </c>
      <c r="Z240">
        <f>IF($AC240="","",INDEX(상세표[사번],$AC240)&amp;"")</f>
        <v/>
      </c>
      <c r="AA240">
        <f>IF($AC240="","",INDEX(상세표[성명],$AC240)&amp;"")</f>
        <v/>
      </c>
      <c r="AB240" s="20">
        <f>IF($AC240="","",SUMIFS(상세표[기록 시간외],상세표[사번키],INDEX(상세표[사번키],$AC240),상세표[반영월],대상월키))</f>
        <v/>
      </c>
      <c r="AC240" s="4">
        <f>IFERROR(MATCH(235,상세표[합계없음순번],0),"")</f>
        <v/>
      </c>
    </row>
    <row r="241">
      <c r="A241">
        <f>IF($X241="","",INDEX(합계표[사번],$X241)&amp;"")</f>
        <v/>
      </c>
      <c r="B241">
        <f>IF($X241="","",INDEX(합계표[성명],$X241)&amp;"")</f>
        <v/>
      </c>
      <c r="C241">
        <f>IF($X241="","",INDEX(합계표[부서],$X241)&amp;"")</f>
        <v/>
      </c>
      <c r="D241">
        <f>IF($X241="","",INDEX(합계표[직위(요약)],$X241)&amp;"")</f>
        <v/>
      </c>
      <c r="E241">
        <f>IF($X241="","",INDEX(합계표[직급 공존],$X241)&amp;"")</f>
        <v/>
      </c>
      <c r="F241" s="20">
        <f>IF($X241="","",SUMIFS(합계표[시스템 합계],합계표[사번키],INDEX(합계표[사번키],$X241)))</f>
        <v/>
      </c>
      <c r="G241" s="20">
        <f>IF($X241="","",SUMIFS(상세표[기록 시간외],상세표[사번키],INDEX(합계표[사번키],$X241),상세표[기록월],대상월키))</f>
        <v/>
      </c>
      <c r="H241">
        <f>IF($X241="","",IF(ABS($F241-$G241)&lt;0.01,"일치","불일치(차이 "&amp;TEXT($G241-$F241,"0.00")&amp;")"))</f>
        <v/>
      </c>
      <c r="I241" s="20">
        <f>IF($X241="","",SUMIFS(상세표[기록 시간외],상세표[사번키],INDEX(합계표[사번키],$X241),상세표[기록월],대상월키,상세표[반영월],"&lt;&gt;"&amp;대상월키))</f>
        <v/>
      </c>
      <c r="J241" s="20">
        <f>IF($X241="","",SUMIFS(상세표[기록 시간외],상세표[사번키],INDEX(합계표[사번키],$X241),상세표[기록월],"&lt;&gt;"&amp;대상월키,상세표[반영월],대상월키))</f>
        <v/>
      </c>
      <c r="K241" s="20">
        <f>IF($X241="","",SUMIFS(상세표[기록 시간외],상세표[사번키],INDEX(합계표[사번키],$X241),상세표[반영월],대상월키))</f>
        <v/>
      </c>
      <c r="L241">
        <f>IF($X241="","",IFERROR(INDEX(월별근무지표[적용 급여병원],MATCH(INDEX(합계표[사번키],$X241)&amp;"|"&amp;대상월키,월별근무지표[키],0))&amp;"",IF(COUNTIF(기관표[사번키],INDEX(합계표[사번키],$X241))+COUNTIF(월별근무지표[사번키],INDEX(합계표[사번키],$X241))&gt;0,IFERROR(INDEX(기관표[급여지급병원(기준월)],MATCH(INDEX(합계표[사번키],$X241)&amp;"|"&amp;대상월키,기관표[키],0))&amp;"","—"),"—")))</f>
        <v/>
      </c>
      <c r="M241">
        <f>IF($X241="","",IF(NOT(COUNTIF(기관표[사번키],INDEX(합계표[사번키],$X241))+COUNTIF(월별근무지표[사번키],INDEX(합계표[사번키],$X241))&gt;0),"기관명단에 없음(다른 병원으로 발송)",IF($L241="서울병원","해당",IF(N($R241)&gt;0,"해당(말일 근무)",IF($L241="—","대상월 기관명단 없음(추가 필요)","비해당")))))</f>
        <v/>
      </c>
      <c r="N241" s="20">
        <f>IF($X241="","",SUMIFS(상세표[06~07시],상세표[사번키],INDEX(합계표[사번키],$X241),상세표[반영월],대상월키,상세표[반영 기관],"서울병원"))</f>
        <v/>
      </c>
      <c r="O241" s="20">
        <f>IF($X241="","",SUMIFS(상세표[07~18시],상세표[사번키],INDEX(합계표[사번키],$X241),상세표[반영월],대상월키,상세표[반영 기관],"서울병원"))</f>
        <v/>
      </c>
      <c r="P241" s="20">
        <f>IF($X241="","",SUMIFS(상세표[18~22시],상세표[사번키],INDEX(합계표[사번키],$X241),상세표[반영월],대상월키,상세표[반영 기관],"서울병원"))</f>
        <v/>
      </c>
      <c r="Q241" s="20">
        <f>IF($X241="","",SUMIFS(상세표[22~06시],상세표[사번키],INDEX(합계표[사번키],$X241),상세표[반영월],대상월키,상세표[반영 기관],"서울병원"))</f>
        <v/>
      </c>
      <c r="R241" s="20">
        <f>IF($X241="","",SUM($N241:$Q241))</f>
        <v/>
      </c>
      <c r="S241">
        <f>IF($X241="","",COUNTIFS(상세표[사번키],INDEX(합계표[사번키],$X241),상세표[반영월],대상월키,상세표[야간당직],1,상세표[야간 구분],"평일"))</f>
        <v/>
      </c>
      <c r="T241">
        <f>IF($X241="","",COUNTIFS(상세표[사번키],INDEX(합계표[사번키],$X241),상세표[반영월],대상월키,상세표[야간당직],1,상세표[야간 구분],"휴일"))</f>
        <v/>
      </c>
      <c r="U241">
        <f>IF($X241="","",COUNTIFS(상세표[사번키],INDEX(합계표[사번키],$X241),상세표[반영월],대상월키,상세표[야간당직],1,상세표[야간 구분],"평일",상세표[반영 기관],"서울병원"))</f>
        <v/>
      </c>
      <c r="V241">
        <f>IF($X241="","",COUNTIFS(상세표[사번키],INDEX(합계표[사번키],$X241),상세표[반영월],대상월키,상세표[야간당직],1,상세표[야간 구분],"휴일",상세표[반영 기관],"서울병원"))</f>
        <v/>
      </c>
      <c r="W241">
        <f>IF($X241="","",IF(ISNUMBER(MATCH(INDEX(합계표[사번키],$X241)&amp;"|"&amp;대상월키,월별근무지표[키],0)),"직접 입력",IF($L241="—","—","기관명단")))</f>
        <v/>
      </c>
      <c r="X241" s="4">
        <f>IFERROR(MATCH(236,합계표[판정순번],0),"")</f>
        <v/>
      </c>
      <c r="Z241">
        <f>IF($AC241="","",INDEX(상세표[사번],$AC241)&amp;"")</f>
        <v/>
      </c>
      <c r="AA241">
        <f>IF($AC241="","",INDEX(상세표[성명],$AC241)&amp;"")</f>
        <v/>
      </c>
      <c r="AB241" s="20">
        <f>IF($AC241="","",SUMIFS(상세표[기록 시간외],상세표[사번키],INDEX(상세표[사번키],$AC241),상세표[반영월],대상월키))</f>
        <v/>
      </c>
      <c r="AC241" s="4">
        <f>IFERROR(MATCH(236,상세표[합계없음순번],0),"")</f>
        <v/>
      </c>
    </row>
    <row r="242">
      <c r="A242">
        <f>IF($X242="","",INDEX(합계표[사번],$X242)&amp;"")</f>
        <v/>
      </c>
      <c r="B242">
        <f>IF($X242="","",INDEX(합계표[성명],$X242)&amp;"")</f>
        <v/>
      </c>
      <c r="C242">
        <f>IF($X242="","",INDEX(합계표[부서],$X242)&amp;"")</f>
        <v/>
      </c>
      <c r="D242">
        <f>IF($X242="","",INDEX(합계표[직위(요약)],$X242)&amp;"")</f>
        <v/>
      </c>
      <c r="E242">
        <f>IF($X242="","",INDEX(합계표[직급 공존],$X242)&amp;"")</f>
        <v/>
      </c>
      <c r="F242" s="20">
        <f>IF($X242="","",SUMIFS(합계표[시스템 합계],합계표[사번키],INDEX(합계표[사번키],$X242)))</f>
        <v/>
      </c>
      <c r="G242" s="20">
        <f>IF($X242="","",SUMIFS(상세표[기록 시간외],상세표[사번키],INDEX(합계표[사번키],$X242),상세표[기록월],대상월키))</f>
        <v/>
      </c>
      <c r="H242">
        <f>IF($X242="","",IF(ABS($F242-$G242)&lt;0.01,"일치","불일치(차이 "&amp;TEXT($G242-$F242,"0.00")&amp;")"))</f>
        <v/>
      </c>
      <c r="I242" s="20">
        <f>IF($X242="","",SUMIFS(상세표[기록 시간외],상세표[사번키],INDEX(합계표[사번키],$X242),상세표[기록월],대상월키,상세표[반영월],"&lt;&gt;"&amp;대상월키))</f>
        <v/>
      </c>
      <c r="J242" s="20">
        <f>IF($X242="","",SUMIFS(상세표[기록 시간외],상세표[사번키],INDEX(합계표[사번키],$X242),상세표[기록월],"&lt;&gt;"&amp;대상월키,상세표[반영월],대상월키))</f>
        <v/>
      </c>
      <c r="K242" s="20">
        <f>IF($X242="","",SUMIFS(상세표[기록 시간외],상세표[사번키],INDEX(합계표[사번키],$X242),상세표[반영월],대상월키))</f>
        <v/>
      </c>
      <c r="L242">
        <f>IF($X242="","",IFERROR(INDEX(월별근무지표[적용 급여병원],MATCH(INDEX(합계표[사번키],$X242)&amp;"|"&amp;대상월키,월별근무지표[키],0))&amp;"",IF(COUNTIF(기관표[사번키],INDEX(합계표[사번키],$X242))+COUNTIF(월별근무지표[사번키],INDEX(합계표[사번키],$X242))&gt;0,IFERROR(INDEX(기관표[급여지급병원(기준월)],MATCH(INDEX(합계표[사번키],$X242)&amp;"|"&amp;대상월키,기관표[키],0))&amp;"","—"),"—")))</f>
        <v/>
      </c>
      <c r="M242">
        <f>IF($X242="","",IF(NOT(COUNTIF(기관표[사번키],INDEX(합계표[사번키],$X242))+COUNTIF(월별근무지표[사번키],INDEX(합계표[사번키],$X242))&gt;0),"기관명단에 없음(다른 병원으로 발송)",IF($L242="서울병원","해당",IF(N($R242)&gt;0,"해당(말일 근무)",IF($L242="—","대상월 기관명단 없음(추가 필요)","비해당")))))</f>
        <v/>
      </c>
      <c r="N242" s="20">
        <f>IF($X242="","",SUMIFS(상세표[06~07시],상세표[사번키],INDEX(합계표[사번키],$X242),상세표[반영월],대상월키,상세표[반영 기관],"서울병원"))</f>
        <v/>
      </c>
      <c r="O242" s="20">
        <f>IF($X242="","",SUMIFS(상세표[07~18시],상세표[사번키],INDEX(합계표[사번키],$X242),상세표[반영월],대상월키,상세표[반영 기관],"서울병원"))</f>
        <v/>
      </c>
      <c r="P242" s="20">
        <f>IF($X242="","",SUMIFS(상세표[18~22시],상세표[사번키],INDEX(합계표[사번키],$X242),상세표[반영월],대상월키,상세표[반영 기관],"서울병원"))</f>
        <v/>
      </c>
      <c r="Q242" s="20">
        <f>IF($X242="","",SUMIFS(상세표[22~06시],상세표[사번키],INDEX(합계표[사번키],$X242),상세표[반영월],대상월키,상세표[반영 기관],"서울병원"))</f>
        <v/>
      </c>
      <c r="R242" s="20">
        <f>IF($X242="","",SUM($N242:$Q242))</f>
        <v/>
      </c>
      <c r="S242">
        <f>IF($X242="","",COUNTIFS(상세표[사번키],INDEX(합계표[사번키],$X242),상세표[반영월],대상월키,상세표[야간당직],1,상세표[야간 구분],"평일"))</f>
        <v/>
      </c>
      <c r="T242">
        <f>IF($X242="","",COUNTIFS(상세표[사번키],INDEX(합계표[사번키],$X242),상세표[반영월],대상월키,상세표[야간당직],1,상세표[야간 구분],"휴일"))</f>
        <v/>
      </c>
      <c r="U242">
        <f>IF($X242="","",COUNTIFS(상세표[사번키],INDEX(합계표[사번키],$X242),상세표[반영월],대상월키,상세표[야간당직],1,상세표[야간 구분],"평일",상세표[반영 기관],"서울병원"))</f>
        <v/>
      </c>
      <c r="V242">
        <f>IF($X242="","",COUNTIFS(상세표[사번키],INDEX(합계표[사번키],$X242),상세표[반영월],대상월키,상세표[야간당직],1,상세표[야간 구분],"휴일",상세표[반영 기관],"서울병원"))</f>
        <v/>
      </c>
      <c r="W242">
        <f>IF($X242="","",IF(ISNUMBER(MATCH(INDEX(합계표[사번키],$X242)&amp;"|"&amp;대상월키,월별근무지표[키],0)),"직접 입력",IF($L242="—","—","기관명단")))</f>
        <v/>
      </c>
      <c r="X242" s="4">
        <f>IFERROR(MATCH(237,합계표[판정순번],0),"")</f>
        <v/>
      </c>
      <c r="Z242">
        <f>IF($AC242="","",INDEX(상세표[사번],$AC242)&amp;"")</f>
        <v/>
      </c>
      <c r="AA242">
        <f>IF($AC242="","",INDEX(상세표[성명],$AC242)&amp;"")</f>
        <v/>
      </c>
      <c r="AB242" s="20">
        <f>IF($AC242="","",SUMIFS(상세표[기록 시간외],상세표[사번키],INDEX(상세표[사번키],$AC242),상세표[반영월],대상월키))</f>
        <v/>
      </c>
      <c r="AC242" s="4">
        <f>IFERROR(MATCH(237,상세표[합계없음순번],0),"")</f>
        <v/>
      </c>
    </row>
    <row r="243">
      <c r="A243">
        <f>IF($X243="","",INDEX(합계표[사번],$X243)&amp;"")</f>
        <v/>
      </c>
      <c r="B243">
        <f>IF($X243="","",INDEX(합계표[성명],$X243)&amp;"")</f>
        <v/>
      </c>
      <c r="C243">
        <f>IF($X243="","",INDEX(합계표[부서],$X243)&amp;"")</f>
        <v/>
      </c>
      <c r="D243">
        <f>IF($X243="","",INDEX(합계표[직위(요약)],$X243)&amp;"")</f>
        <v/>
      </c>
      <c r="E243">
        <f>IF($X243="","",INDEX(합계표[직급 공존],$X243)&amp;"")</f>
        <v/>
      </c>
      <c r="F243" s="20">
        <f>IF($X243="","",SUMIFS(합계표[시스템 합계],합계표[사번키],INDEX(합계표[사번키],$X243)))</f>
        <v/>
      </c>
      <c r="G243" s="20">
        <f>IF($X243="","",SUMIFS(상세표[기록 시간외],상세표[사번키],INDEX(합계표[사번키],$X243),상세표[기록월],대상월키))</f>
        <v/>
      </c>
      <c r="H243">
        <f>IF($X243="","",IF(ABS($F243-$G243)&lt;0.01,"일치","불일치(차이 "&amp;TEXT($G243-$F243,"0.00")&amp;")"))</f>
        <v/>
      </c>
      <c r="I243" s="20">
        <f>IF($X243="","",SUMIFS(상세표[기록 시간외],상세표[사번키],INDEX(합계표[사번키],$X243),상세표[기록월],대상월키,상세표[반영월],"&lt;&gt;"&amp;대상월키))</f>
        <v/>
      </c>
      <c r="J243" s="20">
        <f>IF($X243="","",SUMIFS(상세표[기록 시간외],상세표[사번키],INDEX(합계표[사번키],$X243),상세표[기록월],"&lt;&gt;"&amp;대상월키,상세표[반영월],대상월키))</f>
        <v/>
      </c>
      <c r="K243" s="20">
        <f>IF($X243="","",SUMIFS(상세표[기록 시간외],상세표[사번키],INDEX(합계표[사번키],$X243),상세표[반영월],대상월키))</f>
        <v/>
      </c>
      <c r="L243">
        <f>IF($X243="","",IFERROR(INDEX(월별근무지표[적용 급여병원],MATCH(INDEX(합계표[사번키],$X243)&amp;"|"&amp;대상월키,월별근무지표[키],0))&amp;"",IF(COUNTIF(기관표[사번키],INDEX(합계표[사번키],$X243))+COUNTIF(월별근무지표[사번키],INDEX(합계표[사번키],$X243))&gt;0,IFERROR(INDEX(기관표[급여지급병원(기준월)],MATCH(INDEX(합계표[사번키],$X243)&amp;"|"&amp;대상월키,기관표[키],0))&amp;"","—"),"—")))</f>
        <v/>
      </c>
      <c r="M243">
        <f>IF($X243="","",IF(NOT(COUNTIF(기관표[사번키],INDEX(합계표[사번키],$X243))+COUNTIF(월별근무지표[사번키],INDEX(합계표[사번키],$X243))&gt;0),"기관명단에 없음(다른 병원으로 발송)",IF($L243="서울병원","해당",IF(N($R243)&gt;0,"해당(말일 근무)",IF($L243="—","대상월 기관명단 없음(추가 필요)","비해당")))))</f>
        <v/>
      </c>
      <c r="N243" s="20">
        <f>IF($X243="","",SUMIFS(상세표[06~07시],상세표[사번키],INDEX(합계표[사번키],$X243),상세표[반영월],대상월키,상세표[반영 기관],"서울병원"))</f>
        <v/>
      </c>
      <c r="O243" s="20">
        <f>IF($X243="","",SUMIFS(상세표[07~18시],상세표[사번키],INDEX(합계표[사번키],$X243),상세표[반영월],대상월키,상세표[반영 기관],"서울병원"))</f>
        <v/>
      </c>
      <c r="P243" s="20">
        <f>IF($X243="","",SUMIFS(상세표[18~22시],상세표[사번키],INDEX(합계표[사번키],$X243),상세표[반영월],대상월키,상세표[반영 기관],"서울병원"))</f>
        <v/>
      </c>
      <c r="Q243" s="20">
        <f>IF($X243="","",SUMIFS(상세표[22~06시],상세표[사번키],INDEX(합계표[사번키],$X243),상세표[반영월],대상월키,상세표[반영 기관],"서울병원"))</f>
        <v/>
      </c>
      <c r="R243" s="20">
        <f>IF($X243="","",SUM($N243:$Q243))</f>
        <v/>
      </c>
      <c r="S243">
        <f>IF($X243="","",COUNTIFS(상세표[사번키],INDEX(합계표[사번키],$X243),상세표[반영월],대상월키,상세표[야간당직],1,상세표[야간 구분],"평일"))</f>
        <v/>
      </c>
      <c r="T243">
        <f>IF($X243="","",COUNTIFS(상세표[사번키],INDEX(합계표[사번키],$X243),상세표[반영월],대상월키,상세표[야간당직],1,상세표[야간 구분],"휴일"))</f>
        <v/>
      </c>
      <c r="U243">
        <f>IF($X243="","",COUNTIFS(상세표[사번키],INDEX(합계표[사번키],$X243),상세표[반영월],대상월키,상세표[야간당직],1,상세표[야간 구분],"평일",상세표[반영 기관],"서울병원"))</f>
        <v/>
      </c>
      <c r="V243">
        <f>IF($X243="","",COUNTIFS(상세표[사번키],INDEX(합계표[사번키],$X243),상세표[반영월],대상월키,상세표[야간당직],1,상세표[야간 구분],"휴일",상세표[반영 기관],"서울병원"))</f>
        <v/>
      </c>
      <c r="W243">
        <f>IF($X243="","",IF(ISNUMBER(MATCH(INDEX(합계표[사번키],$X243)&amp;"|"&amp;대상월키,월별근무지표[키],0)),"직접 입력",IF($L243="—","—","기관명단")))</f>
        <v/>
      </c>
      <c r="X243" s="4">
        <f>IFERROR(MATCH(238,합계표[판정순번],0),"")</f>
        <v/>
      </c>
      <c r="Z243">
        <f>IF($AC243="","",INDEX(상세표[사번],$AC243)&amp;"")</f>
        <v/>
      </c>
      <c r="AA243">
        <f>IF($AC243="","",INDEX(상세표[성명],$AC243)&amp;"")</f>
        <v/>
      </c>
      <c r="AB243" s="20">
        <f>IF($AC243="","",SUMIFS(상세표[기록 시간외],상세표[사번키],INDEX(상세표[사번키],$AC243),상세표[반영월],대상월키))</f>
        <v/>
      </c>
      <c r="AC243" s="4">
        <f>IFERROR(MATCH(238,상세표[합계없음순번],0),"")</f>
        <v/>
      </c>
    </row>
    <row r="244">
      <c r="A244">
        <f>IF($X244="","",INDEX(합계표[사번],$X244)&amp;"")</f>
        <v/>
      </c>
      <c r="B244">
        <f>IF($X244="","",INDEX(합계표[성명],$X244)&amp;"")</f>
        <v/>
      </c>
      <c r="C244">
        <f>IF($X244="","",INDEX(합계표[부서],$X244)&amp;"")</f>
        <v/>
      </c>
      <c r="D244">
        <f>IF($X244="","",INDEX(합계표[직위(요약)],$X244)&amp;"")</f>
        <v/>
      </c>
      <c r="E244">
        <f>IF($X244="","",INDEX(합계표[직급 공존],$X244)&amp;"")</f>
        <v/>
      </c>
      <c r="F244" s="20">
        <f>IF($X244="","",SUMIFS(합계표[시스템 합계],합계표[사번키],INDEX(합계표[사번키],$X244)))</f>
        <v/>
      </c>
      <c r="G244" s="20">
        <f>IF($X244="","",SUMIFS(상세표[기록 시간외],상세표[사번키],INDEX(합계표[사번키],$X244),상세표[기록월],대상월키))</f>
        <v/>
      </c>
      <c r="H244">
        <f>IF($X244="","",IF(ABS($F244-$G244)&lt;0.01,"일치","불일치(차이 "&amp;TEXT($G244-$F244,"0.00")&amp;")"))</f>
        <v/>
      </c>
      <c r="I244" s="20">
        <f>IF($X244="","",SUMIFS(상세표[기록 시간외],상세표[사번키],INDEX(합계표[사번키],$X244),상세표[기록월],대상월키,상세표[반영월],"&lt;&gt;"&amp;대상월키))</f>
        <v/>
      </c>
      <c r="J244" s="20">
        <f>IF($X244="","",SUMIFS(상세표[기록 시간외],상세표[사번키],INDEX(합계표[사번키],$X244),상세표[기록월],"&lt;&gt;"&amp;대상월키,상세표[반영월],대상월키))</f>
        <v/>
      </c>
      <c r="K244" s="20">
        <f>IF($X244="","",SUMIFS(상세표[기록 시간외],상세표[사번키],INDEX(합계표[사번키],$X244),상세표[반영월],대상월키))</f>
        <v/>
      </c>
      <c r="L244">
        <f>IF($X244="","",IFERROR(INDEX(월별근무지표[적용 급여병원],MATCH(INDEX(합계표[사번키],$X244)&amp;"|"&amp;대상월키,월별근무지표[키],0))&amp;"",IF(COUNTIF(기관표[사번키],INDEX(합계표[사번키],$X244))+COUNTIF(월별근무지표[사번키],INDEX(합계표[사번키],$X244))&gt;0,IFERROR(INDEX(기관표[급여지급병원(기준월)],MATCH(INDEX(합계표[사번키],$X244)&amp;"|"&amp;대상월키,기관표[키],0))&amp;"","—"),"—")))</f>
        <v/>
      </c>
      <c r="M244">
        <f>IF($X244="","",IF(NOT(COUNTIF(기관표[사번키],INDEX(합계표[사번키],$X244))+COUNTIF(월별근무지표[사번키],INDEX(합계표[사번키],$X244))&gt;0),"기관명단에 없음(다른 병원으로 발송)",IF($L244="서울병원","해당",IF(N($R244)&gt;0,"해당(말일 근무)",IF($L244="—","대상월 기관명단 없음(추가 필요)","비해당")))))</f>
        <v/>
      </c>
      <c r="N244" s="20">
        <f>IF($X244="","",SUMIFS(상세표[06~07시],상세표[사번키],INDEX(합계표[사번키],$X244),상세표[반영월],대상월키,상세표[반영 기관],"서울병원"))</f>
        <v/>
      </c>
      <c r="O244" s="20">
        <f>IF($X244="","",SUMIFS(상세표[07~18시],상세표[사번키],INDEX(합계표[사번키],$X244),상세표[반영월],대상월키,상세표[반영 기관],"서울병원"))</f>
        <v/>
      </c>
      <c r="P244" s="20">
        <f>IF($X244="","",SUMIFS(상세표[18~22시],상세표[사번키],INDEX(합계표[사번키],$X244),상세표[반영월],대상월키,상세표[반영 기관],"서울병원"))</f>
        <v/>
      </c>
      <c r="Q244" s="20">
        <f>IF($X244="","",SUMIFS(상세표[22~06시],상세표[사번키],INDEX(합계표[사번키],$X244),상세표[반영월],대상월키,상세표[반영 기관],"서울병원"))</f>
        <v/>
      </c>
      <c r="R244" s="20">
        <f>IF($X244="","",SUM($N244:$Q244))</f>
        <v/>
      </c>
      <c r="S244">
        <f>IF($X244="","",COUNTIFS(상세표[사번키],INDEX(합계표[사번키],$X244),상세표[반영월],대상월키,상세표[야간당직],1,상세표[야간 구분],"평일"))</f>
        <v/>
      </c>
      <c r="T244">
        <f>IF($X244="","",COUNTIFS(상세표[사번키],INDEX(합계표[사번키],$X244),상세표[반영월],대상월키,상세표[야간당직],1,상세표[야간 구분],"휴일"))</f>
        <v/>
      </c>
      <c r="U244">
        <f>IF($X244="","",COUNTIFS(상세표[사번키],INDEX(합계표[사번키],$X244),상세표[반영월],대상월키,상세표[야간당직],1,상세표[야간 구분],"평일",상세표[반영 기관],"서울병원"))</f>
        <v/>
      </c>
      <c r="V244">
        <f>IF($X244="","",COUNTIFS(상세표[사번키],INDEX(합계표[사번키],$X244),상세표[반영월],대상월키,상세표[야간당직],1,상세표[야간 구분],"휴일",상세표[반영 기관],"서울병원"))</f>
        <v/>
      </c>
      <c r="W244">
        <f>IF($X244="","",IF(ISNUMBER(MATCH(INDEX(합계표[사번키],$X244)&amp;"|"&amp;대상월키,월별근무지표[키],0)),"직접 입력",IF($L244="—","—","기관명단")))</f>
        <v/>
      </c>
      <c r="X244" s="4">
        <f>IFERROR(MATCH(239,합계표[판정순번],0),"")</f>
        <v/>
      </c>
      <c r="Z244">
        <f>IF($AC244="","",INDEX(상세표[사번],$AC244)&amp;"")</f>
        <v/>
      </c>
      <c r="AA244">
        <f>IF($AC244="","",INDEX(상세표[성명],$AC244)&amp;"")</f>
        <v/>
      </c>
      <c r="AB244" s="20">
        <f>IF($AC244="","",SUMIFS(상세표[기록 시간외],상세표[사번키],INDEX(상세표[사번키],$AC244),상세표[반영월],대상월키))</f>
        <v/>
      </c>
      <c r="AC244" s="4">
        <f>IFERROR(MATCH(239,상세표[합계없음순번],0),"")</f>
        <v/>
      </c>
    </row>
    <row r="245">
      <c r="A245">
        <f>IF($X245="","",INDEX(합계표[사번],$X245)&amp;"")</f>
        <v/>
      </c>
      <c r="B245">
        <f>IF($X245="","",INDEX(합계표[성명],$X245)&amp;"")</f>
        <v/>
      </c>
      <c r="C245">
        <f>IF($X245="","",INDEX(합계표[부서],$X245)&amp;"")</f>
        <v/>
      </c>
      <c r="D245">
        <f>IF($X245="","",INDEX(합계표[직위(요약)],$X245)&amp;"")</f>
        <v/>
      </c>
      <c r="E245">
        <f>IF($X245="","",INDEX(합계표[직급 공존],$X245)&amp;"")</f>
        <v/>
      </c>
      <c r="F245" s="20">
        <f>IF($X245="","",SUMIFS(합계표[시스템 합계],합계표[사번키],INDEX(합계표[사번키],$X245)))</f>
        <v/>
      </c>
      <c r="G245" s="20">
        <f>IF($X245="","",SUMIFS(상세표[기록 시간외],상세표[사번키],INDEX(합계표[사번키],$X245),상세표[기록월],대상월키))</f>
        <v/>
      </c>
      <c r="H245">
        <f>IF($X245="","",IF(ABS($F245-$G245)&lt;0.01,"일치","불일치(차이 "&amp;TEXT($G245-$F245,"0.00")&amp;")"))</f>
        <v/>
      </c>
      <c r="I245" s="20">
        <f>IF($X245="","",SUMIFS(상세표[기록 시간외],상세표[사번키],INDEX(합계표[사번키],$X245),상세표[기록월],대상월키,상세표[반영월],"&lt;&gt;"&amp;대상월키))</f>
        <v/>
      </c>
      <c r="J245" s="20">
        <f>IF($X245="","",SUMIFS(상세표[기록 시간외],상세표[사번키],INDEX(합계표[사번키],$X245),상세표[기록월],"&lt;&gt;"&amp;대상월키,상세표[반영월],대상월키))</f>
        <v/>
      </c>
      <c r="K245" s="20">
        <f>IF($X245="","",SUMIFS(상세표[기록 시간외],상세표[사번키],INDEX(합계표[사번키],$X245),상세표[반영월],대상월키))</f>
        <v/>
      </c>
      <c r="L245">
        <f>IF($X245="","",IFERROR(INDEX(월별근무지표[적용 급여병원],MATCH(INDEX(합계표[사번키],$X245)&amp;"|"&amp;대상월키,월별근무지표[키],0))&amp;"",IF(COUNTIF(기관표[사번키],INDEX(합계표[사번키],$X245))+COUNTIF(월별근무지표[사번키],INDEX(합계표[사번키],$X245))&gt;0,IFERROR(INDEX(기관표[급여지급병원(기준월)],MATCH(INDEX(합계표[사번키],$X245)&amp;"|"&amp;대상월키,기관표[키],0))&amp;"","—"),"—")))</f>
        <v/>
      </c>
      <c r="M245">
        <f>IF($X245="","",IF(NOT(COUNTIF(기관표[사번키],INDEX(합계표[사번키],$X245))+COUNTIF(월별근무지표[사번키],INDEX(합계표[사번키],$X245))&gt;0),"기관명단에 없음(다른 병원으로 발송)",IF($L245="서울병원","해당",IF(N($R245)&gt;0,"해당(말일 근무)",IF($L245="—","대상월 기관명단 없음(추가 필요)","비해당")))))</f>
        <v/>
      </c>
      <c r="N245" s="20">
        <f>IF($X245="","",SUMIFS(상세표[06~07시],상세표[사번키],INDEX(합계표[사번키],$X245),상세표[반영월],대상월키,상세표[반영 기관],"서울병원"))</f>
        <v/>
      </c>
      <c r="O245" s="20">
        <f>IF($X245="","",SUMIFS(상세표[07~18시],상세표[사번키],INDEX(합계표[사번키],$X245),상세표[반영월],대상월키,상세표[반영 기관],"서울병원"))</f>
        <v/>
      </c>
      <c r="P245" s="20">
        <f>IF($X245="","",SUMIFS(상세표[18~22시],상세표[사번키],INDEX(합계표[사번키],$X245),상세표[반영월],대상월키,상세표[반영 기관],"서울병원"))</f>
        <v/>
      </c>
      <c r="Q245" s="20">
        <f>IF($X245="","",SUMIFS(상세표[22~06시],상세표[사번키],INDEX(합계표[사번키],$X245),상세표[반영월],대상월키,상세표[반영 기관],"서울병원"))</f>
        <v/>
      </c>
      <c r="R245" s="20">
        <f>IF($X245="","",SUM($N245:$Q245))</f>
        <v/>
      </c>
      <c r="S245">
        <f>IF($X245="","",COUNTIFS(상세표[사번키],INDEX(합계표[사번키],$X245),상세표[반영월],대상월키,상세표[야간당직],1,상세표[야간 구분],"평일"))</f>
        <v/>
      </c>
      <c r="T245">
        <f>IF($X245="","",COUNTIFS(상세표[사번키],INDEX(합계표[사번키],$X245),상세표[반영월],대상월키,상세표[야간당직],1,상세표[야간 구분],"휴일"))</f>
        <v/>
      </c>
      <c r="U245">
        <f>IF($X245="","",COUNTIFS(상세표[사번키],INDEX(합계표[사번키],$X245),상세표[반영월],대상월키,상세표[야간당직],1,상세표[야간 구분],"평일",상세표[반영 기관],"서울병원"))</f>
        <v/>
      </c>
      <c r="V245">
        <f>IF($X245="","",COUNTIFS(상세표[사번키],INDEX(합계표[사번키],$X245),상세표[반영월],대상월키,상세표[야간당직],1,상세표[야간 구분],"휴일",상세표[반영 기관],"서울병원"))</f>
        <v/>
      </c>
      <c r="W245">
        <f>IF($X245="","",IF(ISNUMBER(MATCH(INDEX(합계표[사번키],$X245)&amp;"|"&amp;대상월키,월별근무지표[키],0)),"직접 입력",IF($L245="—","—","기관명단")))</f>
        <v/>
      </c>
      <c r="X245" s="4">
        <f>IFERROR(MATCH(240,합계표[판정순번],0),"")</f>
        <v/>
      </c>
      <c r="Z245">
        <f>IF($AC245="","",INDEX(상세표[사번],$AC245)&amp;"")</f>
        <v/>
      </c>
      <c r="AA245">
        <f>IF($AC245="","",INDEX(상세표[성명],$AC245)&amp;"")</f>
        <v/>
      </c>
      <c r="AB245" s="20">
        <f>IF($AC245="","",SUMIFS(상세표[기록 시간외],상세표[사번키],INDEX(상세표[사번키],$AC245),상세표[반영월],대상월키))</f>
        <v/>
      </c>
      <c r="AC245" s="4">
        <f>IFERROR(MATCH(240,상세표[합계없음순번],0),"")</f>
        <v/>
      </c>
    </row>
    <row r="246">
      <c r="A246">
        <f>IF($X246="","",INDEX(합계표[사번],$X246)&amp;"")</f>
        <v/>
      </c>
      <c r="B246">
        <f>IF($X246="","",INDEX(합계표[성명],$X246)&amp;"")</f>
        <v/>
      </c>
      <c r="C246">
        <f>IF($X246="","",INDEX(합계표[부서],$X246)&amp;"")</f>
        <v/>
      </c>
      <c r="D246">
        <f>IF($X246="","",INDEX(합계표[직위(요약)],$X246)&amp;"")</f>
        <v/>
      </c>
      <c r="E246">
        <f>IF($X246="","",INDEX(합계표[직급 공존],$X246)&amp;"")</f>
        <v/>
      </c>
      <c r="F246" s="20">
        <f>IF($X246="","",SUMIFS(합계표[시스템 합계],합계표[사번키],INDEX(합계표[사번키],$X246)))</f>
        <v/>
      </c>
      <c r="G246" s="20">
        <f>IF($X246="","",SUMIFS(상세표[기록 시간외],상세표[사번키],INDEX(합계표[사번키],$X246),상세표[기록월],대상월키))</f>
        <v/>
      </c>
      <c r="H246">
        <f>IF($X246="","",IF(ABS($F246-$G246)&lt;0.01,"일치","불일치(차이 "&amp;TEXT($G246-$F246,"0.00")&amp;")"))</f>
        <v/>
      </c>
      <c r="I246" s="20">
        <f>IF($X246="","",SUMIFS(상세표[기록 시간외],상세표[사번키],INDEX(합계표[사번키],$X246),상세표[기록월],대상월키,상세표[반영월],"&lt;&gt;"&amp;대상월키))</f>
        <v/>
      </c>
      <c r="J246" s="20">
        <f>IF($X246="","",SUMIFS(상세표[기록 시간외],상세표[사번키],INDEX(합계표[사번키],$X246),상세표[기록월],"&lt;&gt;"&amp;대상월키,상세표[반영월],대상월키))</f>
        <v/>
      </c>
      <c r="K246" s="20">
        <f>IF($X246="","",SUMIFS(상세표[기록 시간외],상세표[사번키],INDEX(합계표[사번키],$X246),상세표[반영월],대상월키))</f>
        <v/>
      </c>
      <c r="L246">
        <f>IF($X246="","",IFERROR(INDEX(월별근무지표[적용 급여병원],MATCH(INDEX(합계표[사번키],$X246)&amp;"|"&amp;대상월키,월별근무지표[키],0))&amp;"",IF(COUNTIF(기관표[사번키],INDEX(합계표[사번키],$X246))+COUNTIF(월별근무지표[사번키],INDEX(합계표[사번키],$X246))&gt;0,IFERROR(INDEX(기관표[급여지급병원(기준월)],MATCH(INDEX(합계표[사번키],$X246)&amp;"|"&amp;대상월키,기관표[키],0))&amp;"","—"),"—")))</f>
        <v/>
      </c>
      <c r="M246">
        <f>IF($X246="","",IF(NOT(COUNTIF(기관표[사번키],INDEX(합계표[사번키],$X246))+COUNTIF(월별근무지표[사번키],INDEX(합계표[사번키],$X246))&gt;0),"기관명단에 없음(다른 병원으로 발송)",IF($L246="서울병원","해당",IF(N($R246)&gt;0,"해당(말일 근무)",IF($L246="—","대상월 기관명단 없음(추가 필요)","비해당")))))</f>
        <v/>
      </c>
      <c r="N246" s="20">
        <f>IF($X246="","",SUMIFS(상세표[06~07시],상세표[사번키],INDEX(합계표[사번키],$X246),상세표[반영월],대상월키,상세표[반영 기관],"서울병원"))</f>
        <v/>
      </c>
      <c r="O246" s="20">
        <f>IF($X246="","",SUMIFS(상세표[07~18시],상세표[사번키],INDEX(합계표[사번키],$X246),상세표[반영월],대상월키,상세표[반영 기관],"서울병원"))</f>
        <v/>
      </c>
      <c r="P246" s="20">
        <f>IF($X246="","",SUMIFS(상세표[18~22시],상세표[사번키],INDEX(합계표[사번키],$X246),상세표[반영월],대상월키,상세표[반영 기관],"서울병원"))</f>
        <v/>
      </c>
      <c r="Q246" s="20">
        <f>IF($X246="","",SUMIFS(상세표[22~06시],상세표[사번키],INDEX(합계표[사번키],$X246),상세표[반영월],대상월키,상세표[반영 기관],"서울병원"))</f>
        <v/>
      </c>
      <c r="R246" s="20">
        <f>IF($X246="","",SUM($N246:$Q246))</f>
        <v/>
      </c>
      <c r="S246">
        <f>IF($X246="","",COUNTIFS(상세표[사번키],INDEX(합계표[사번키],$X246),상세표[반영월],대상월키,상세표[야간당직],1,상세표[야간 구분],"평일"))</f>
        <v/>
      </c>
      <c r="T246">
        <f>IF($X246="","",COUNTIFS(상세표[사번키],INDEX(합계표[사번키],$X246),상세표[반영월],대상월키,상세표[야간당직],1,상세표[야간 구분],"휴일"))</f>
        <v/>
      </c>
      <c r="U246">
        <f>IF($X246="","",COUNTIFS(상세표[사번키],INDEX(합계표[사번키],$X246),상세표[반영월],대상월키,상세표[야간당직],1,상세표[야간 구분],"평일",상세표[반영 기관],"서울병원"))</f>
        <v/>
      </c>
      <c r="V246">
        <f>IF($X246="","",COUNTIFS(상세표[사번키],INDEX(합계표[사번키],$X246),상세표[반영월],대상월키,상세표[야간당직],1,상세표[야간 구분],"휴일",상세표[반영 기관],"서울병원"))</f>
        <v/>
      </c>
      <c r="W246">
        <f>IF($X246="","",IF(ISNUMBER(MATCH(INDEX(합계표[사번키],$X246)&amp;"|"&amp;대상월키,월별근무지표[키],0)),"직접 입력",IF($L246="—","—","기관명단")))</f>
        <v/>
      </c>
      <c r="X246" s="4">
        <f>IFERROR(MATCH(241,합계표[판정순번],0),"")</f>
        <v/>
      </c>
      <c r="Z246">
        <f>IF($AC246="","",INDEX(상세표[사번],$AC246)&amp;"")</f>
        <v/>
      </c>
      <c r="AA246">
        <f>IF($AC246="","",INDEX(상세표[성명],$AC246)&amp;"")</f>
        <v/>
      </c>
      <c r="AB246" s="20">
        <f>IF($AC246="","",SUMIFS(상세표[기록 시간외],상세표[사번키],INDEX(상세표[사번키],$AC246),상세표[반영월],대상월키))</f>
        <v/>
      </c>
      <c r="AC246" s="4">
        <f>IFERROR(MATCH(241,상세표[합계없음순번],0),"")</f>
        <v/>
      </c>
    </row>
    <row r="247">
      <c r="A247">
        <f>IF($X247="","",INDEX(합계표[사번],$X247)&amp;"")</f>
        <v/>
      </c>
      <c r="B247">
        <f>IF($X247="","",INDEX(합계표[성명],$X247)&amp;"")</f>
        <v/>
      </c>
      <c r="C247">
        <f>IF($X247="","",INDEX(합계표[부서],$X247)&amp;"")</f>
        <v/>
      </c>
      <c r="D247">
        <f>IF($X247="","",INDEX(합계표[직위(요약)],$X247)&amp;"")</f>
        <v/>
      </c>
      <c r="E247">
        <f>IF($X247="","",INDEX(합계표[직급 공존],$X247)&amp;"")</f>
        <v/>
      </c>
      <c r="F247" s="20">
        <f>IF($X247="","",SUMIFS(합계표[시스템 합계],합계표[사번키],INDEX(합계표[사번키],$X247)))</f>
        <v/>
      </c>
      <c r="G247" s="20">
        <f>IF($X247="","",SUMIFS(상세표[기록 시간외],상세표[사번키],INDEX(합계표[사번키],$X247),상세표[기록월],대상월키))</f>
        <v/>
      </c>
      <c r="H247">
        <f>IF($X247="","",IF(ABS($F247-$G247)&lt;0.01,"일치","불일치(차이 "&amp;TEXT($G247-$F247,"0.00")&amp;")"))</f>
        <v/>
      </c>
      <c r="I247" s="20">
        <f>IF($X247="","",SUMIFS(상세표[기록 시간외],상세표[사번키],INDEX(합계표[사번키],$X247),상세표[기록월],대상월키,상세표[반영월],"&lt;&gt;"&amp;대상월키))</f>
        <v/>
      </c>
      <c r="J247" s="20">
        <f>IF($X247="","",SUMIFS(상세표[기록 시간외],상세표[사번키],INDEX(합계표[사번키],$X247),상세표[기록월],"&lt;&gt;"&amp;대상월키,상세표[반영월],대상월키))</f>
        <v/>
      </c>
      <c r="K247" s="20">
        <f>IF($X247="","",SUMIFS(상세표[기록 시간외],상세표[사번키],INDEX(합계표[사번키],$X247),상세표[반영월],대상월키))</f>
        <v/>
      </c>
      <c r="L247">
        <f>IF($X247="","",IFERROR(INDEX(월별근무지표[적용 급여병원],MATCH(INDEX(합계표[사번키],$X247)&amp;"|"&amp;대상월키,월별근무지표[키],0))&amp;"",IF(COUNTIF(기관표[사번키],INDEX(합계표[사번키],$X247))+COUNTIF(월별근무지표[사번키],INDEX(합계표[사번키],$X247))&gt;0,IFERROR(INDEX(기관표[급여지급병원(기준월)],MATCH(INDEX(합계표[사번키],$X247)&amp;"|"&amp;대상월키,기관표[키],0))&amp;"","—"),"—")))</f>
        <v/>
      </c>
      <c r="M247">
        <f>IF($X247="","",IF(NOT(COUNTIF(기관표[사번키],INDEX(합계표[사번키],$X247))+COUNTIF(월별근무지표[사번키],INDEX(합계표[사번키],$X247))&gt;0),"기관명단에 없음(다른 병원으로 발송)",IF($L247="서울병원","해당",IF(N($R247)&gt;0,"해당(말일 근무)",IF($L247="—","대상월 기관명단 없음(추가 필요)","비해당")))))</f>
        <v/>
      </c>
      <c r="N247" s="20">
        <f>IF($X247="","",SUMIFS(상세표[06~07시],상세표[사번키],INDEX(합계표[사번키],$X247),상세표[반영월],대상월키,상세표[반영 기관],"서울병원"))</f>
        <v/>
      </c>
      <c r="O247" s="20">
        <f>IF($X247="","",SUMIFS(상세표[07~18시],상세표[사번키],INDEX(합계표[사번키],$X247),상세표[반영월],대상월키,상세표[반영 기관],"서울병원"))</f>
        <v/>
      </c>
      <c r="P247" s="20">
        <f>IF($X247="","",SUMIFS(상세표[18~22시],상세표[사번키],INDEX(합계표[사번키],$X247),상세표[반영월],대상월키,상세표[반영 기관],"서울병원"))</f>
        <v/>
      </c>
      <c r="Q247" s="20">
        <f>IF($X247="","",SUMIFS(상세표[22~06시],상세표[사번키],INDEX(합계표[사번키],$X247),상세표[반영월],대상월키,상세표[반영 기관],"서울병원"))</f>
        <v/>
      </c>
      <c r="R247" s="20">
        <f>IF($X247="","",SUM($N247:$Q247))</f>
        <v/>
      </c>
      <c r="S247">
        <f>IF($X247="","",COUNTIFS(상세표[사번키],INDEX(합계표[사번키],$X247),상세표[반영월],대상월키,상세표[야간당직],1,상세표[야간 구분],"평일"))</f>
        <v/>
      </c>
      <c r="T247">
        <f>IF($X247="","",COUNTIFS(상세표[사번키],INDEX(합계표[사번키],$X247),상세표[반영월],대상월키,상세표[야간당직],1,상세표[야간 구분],"휴일"))</f>
        <v/>
      </c>
      <c r="U247">
        <f>IF($X247="","",COUNTIFS(상세표[사번키],INDEX(합계표[사번키],$X247),상세표[반영월],대상월키,상세표[야간당직],1,상세표[야간 구분],"평일",상세표[반영 기관],"서울병원"))</f>
        <v/>
      </c>
      <c r="V247">
        <f>IF($X247="","",COUNTIFS(상세표[사번키],INDEX(합계표[사번키],$X247),상세표[반영월],대상월키,상세표[야간당직],1,상세표[야간 구분],"휴일",상세표[반영 기관],"서울병원"))</f>
        <v/>
      </c>
      <c r="W247">
        <f>IF($X247="","",IF(ISNUMBER(MATCH(INDEX(합계표[사번키],$X247)&amp;"|"&amp;대상월키,월별근무지표[키],0)),"직접 입력",IF($L247="—","—","기관명단")))</f>
        <v/>
      </c>
      <c r="X247" s="4">
        <f>IFERROR(MATCH(242,합계표[판정순번],0),"")</f>
        <v/>
      </c>
      <c r="Z247">
        <f>IF($AC247="","",INDEX(상세표[사번],$AC247)&amp;"")</f>
        <v/>
      </c>
      <c r="AA247">
        <f>IF($AC247="","",INDEX(상세표[성명],$AC247)&amp;"")</f>
        <v/>
      </c>
      <c r="AB247" s="20">
        <f>IF($AC247="","",SUMIFS(상세표[기록 시간외],상세표[사번키],INDEX(상세표[사번키],$AC247),상세표[반영월],대상월키))</f>
        <v/>
      </c>
      <c r="AC247" s="4">
        <f>IFERROR(MATCH(242,상세표[합계없음순번],0),"")</f>
        <v/>
      </c>
    </row>
    <row r="248">
      <c r="A248">
        <f>IF($X248="","",INDEX(합계표[사번],$X248)&amp;"")</f>
        <v/>
      </c>
      <c r="B248">
        <f>IF($X248="","",INDEX(합계표[성명],$X248)&amp;"")</f>
        <v/>
      </c>
      <c r="C248">
        <f>IF($X248="","",INDEX(합계표[부서],$X248)&amp;"")</f>
        <v/>
      </c>
      <c r="D248">
        <f>IF($X248="","",INDEX(합계표[직위(요약)],$X248)&amp;"")</f>
        <v/>
      </c>
      <c r="E248">
        <f>IF($X248="","",INDEX(합계표[직급 공존],$X248)&amp;"")</f>
        <v/>
      </c>
      <c r="F248" s="20">
        <f>IF($X248="","",SUMIFS(합계표[시스템 합계],합계표[사번키],INDEX(합계표[사번키],$X248)))</f>
        <v/>
      </c>
      <c r="G248" s="20">
        <f>IF($X248="","",SUMIFS(상세표[기록 시간외],상세표[사번키],INDEX(합계표[사번키],$X248),상세표[기록월],대상월키))</f>
        <v/>
      </c>
      <c r="H248">
        <f>IF($X248="","",IF(ABS($F248-$G248)&lt;0.01,"일치","불일치(차이 "&amp;TEXT($G248-$F248,"0.00")&amp;")"))</f>
        <v/>
      </c>
      <c r="I248" s="20">
        <f>IF($X248="","",SUMIFS(상세표[기록 시간외],상세표[사번키],INDEX(합계표[사번키],$X248),상세표[기록월],대상월키,상세표[반영월],"&lt;&gt;"&amp;대상월키))</f>
        <v/>
      </c>
      <c r="J248" s="20">
        <f>IF($X248="","",SUMIFS(상세표[기록 시간외],상세표[사번키],INDEX(합계표[사번키],$X248),상세표[기록월],"&lt;&gt;"&amp;대상월키,상세표[반영월],대상월키))</f>
        <v/>
      </c>
      <c r="K248" s="20">
        <f>IF($X248="","",SUMIFS(상세표[기록 시간외],상세표[사번키],INDEX(합계표[사번키],$X248),상세표[반영월],대상월키))</f>
        <v/>
      </c>
      <c r="L248">
        <f>IF($X248="","",IFERROR(INDEX(월별근무지표[적용 급여병원],MATCH(INDEX(합계표[사번키],$X248)&amp;"|"&amp;대상월키,월별근무지표[키],0))&amp;"",IF(COUNTIF(기관표[사번키],INDEX(합계표[사번키],$X248))+COUNTIF(월별근무지표[사번키],INDEX(합계표[사번키],$X248))&gt;0,IFERROR(INDEX(기관표[급여지급병원(기준월)],MATCH(INDEX(합계표[사번키],$X248)&amp;"|"&amp;대상월키,기관표[키],0))&amp;"","—"),"—")))</f>
        <v/>
      </c>
      <c r="M248">
        <f>IF($X248="","",IF(NOT(COUNTIF(기관표[사번키],INDEX(합계표[사번키],$X248))+COUNTIF(월별근무지표[사번키],INDEX(합계표[사번키],$X248))&gt;0),"기관명단에 없음(다른 병원으로 발송)",IF($L248="서울병원","해당",IF(N($R248)&gt;0,"해당(말일 근무)",IF($L248="—","대상월 기관명단 없음(추가 필요)","비해당")))))</f>
        <v/>
      </c>
      <c r="N248" s="20">
        <f>IF($X248="","",SUMIFS(상세표[06~07시],상세표[사번키],INDEX(합계표[사번키],$X248),상세표[반영월],대상월키,상세표[반영 기관],"서울병원"))</f>
        <v/>
      </c>
      <c r="O248" s="20">
        <f>IF($X248="","",SUMIFS(상세표[07~18시],상세표[사번키],INDEX(합계표[사번키],$X248),상세표[반영월],대상월키,상세표[반영 기관],"서울병원"))</f>
        <v/>
      </c>
      <c r="P248" s="20">
        <f>IF($X248="","",SUMIFS(상세표[18~22시],상세표[사번키],INDEX(합계표[사번키],$X248),상세표[반영월],대상월키,상세표[반영 기관],"서울병원"))</f>
        <v/>
      </c>
      <c r="Q248" s="20">
        <f>IF($X248="","",SUMIFS(상세표[22~06시],상세표[사번키],INDEX(합계표[사번키],$X248),상세표[반영월],대상월키,상세표[반영 기관],"서울병원"))</f>
        <v/>
      </c>
      <c r="R248" s="20">
        <f>IF($X248="","",SUM($N248:$Q248))</f>
        <v/>
      </c>
      <c r="S248">
        <f>IF($X248="","",COUNTIFS(상세표[사번키],INDEX(합계표[사번키],$X248),상세표[반영월],대상월키,상세표[야간당직],1,상세표[야간 구분],"평일"))</f>
        <v/>
      </c>
      <c r="T248">
        <f>IF($X248="","",COUNTIFS(상세표[사번키],INDEX(합계표[사번키],$X248),상세표[반영월],대상월키,상세표[야간당직],1,상세표[야간 구분],"휴일"))</f>
        <v/>
      </c>
      <c r="U248">
        <f>IF($X248="","",COUNTIFS(상세표[사번키],INDEX(합계표[사번키],$X248),상세표[반영월],대상월키,상세표[야간당직],1,상세표[야간 구분],"평일",상세표[반영 기관],"서울병원"))</f>
        <v/>
      </c>
      <c r="V248">
        <f>IF($X248="","",COUNTIFS(상세표[사번키],INDEX(합계표[사번키],$X248),상세표[반영월],대상월키,상세표[야간당직],1,상세표[야간 구분],"휴일",상세표[반영 기관],"서울병원"))</f>
        <v/>
      </c>
      <c r="W248">
        <f>IF($X248="","",IF(ISNUMBER(MATCH(INDEX(합계표[사번키],$X248)&amp;"|"&amp;대상월키,월별근무지표[키],0)),"직접 입력",IF($L248="—","—","기관명단")))</f>
        <v/>
      </c>
      <c r="X248" s="4">
        <f>IFERROR(MATCH(243,합계표[판정순번],0),"")</f>
        <v/>
      </c>
      <c r="Z248">
        <f>IF($AC248="","",INDEX(상세표[사번],$AC248)&amp;"")</f>
        <v/>
      </c>
      <c r="AA248">
        <f>IF($AC248="","",INDEX(상세표[성명],$AC248)&amp;"")</f>
        <v/>
      </c>
      <c r="AB248" s="20">
        <f>IF($AC248="","",SUMIFS(상세표[기록 시간외],상세표[사번키],INDEX(상세표[사번키],$AC248),상세표[반영월],대상월키))</f>
        <v/>
      </c>
      <c r="AC248" s="4">
        <f>IFERROR(MATCH(243,상세표[합계없음순번],0),"")</f>
        <v/>
      </c>
    </row>
    <row r="249">
      <c r="A249">
        <f>IF($X249="","",INDEX(합계표[사번],$X249)&amp;"")</f>
        <v/>
      </c>
      <c r="B249">
        <f>IF($X249="","",INDEX(합계표[성명],$X249)&amp;"")</f>
        <v/>
      </c>
      <c r="C249">
        <f>IF($X249="","",INDEX(합계표[부서],$X249)&amp;"")</f>
        <v/>
      </c>
      <c r="D249">
        <f>IF($X249="","",INDEX(합계표[직위(요약)],$X249)&amp;"")</f>
        <v/>
      </c>
      <c r="E249">
        <f>IF($X249="","",INDEX(합계표[직급 공존],$X249)&amp;"")</f>
        <v/>
      </c>
      <c r="F249" s="20">
        <f>IF($X249="","",SUMIFS(합계표[시스템 합계],합계표[사번키],INDEX(합계표[사번키],$X249)))</f>
        <v/>
      </c>
      <c r="G249" s="20">
        <f>IF($X249="","",SUMIFS(상세표[기록 시간외],상세표[사번키],INDEX(합계표[사번키],$X249),상세표[기록월],대상월키))</f>
        <v/>
      </c>
      <c r="H249">
        <f>IF($X249="","",IF(ABS($F249-$G249)&lt;0.01,"일치","불일치(차이 "&amp;TEXT($G249-$F249,"0.00")&amp;")"))</f>
        <v/>
      </c>
      <c r="I249" s="20">
        <f>IF($X249="","",SUMIFS(상세표[기록 시간외],상세표[사번키],INDEX(합계표[사번키],$X249),상세표[기록월],대상월키,상세표[반영월],"&lt;&gt;"&amp;대상월키))</f>
        <v/>
      </c>
      <c r="J249" s="20">
        <f>IF($X249="","",SUMIFS(상세표[기록 시간외],상세표[사번키],INDEX(합계표[사번키],$X249),상세표[기록월],"&lt;&gt;"&amp;대상월키,상세표[반영월],대상월키))</f>
        <v/>
      </c>
      <c r="K249" s="20">
        <f>IF($X249="","",SUMIFS(상세표[기록 시간외],상세표[사번키],INDEX(합계표[사번키],$X249),상세표[반영월],대상월키))</f>
        <v/>
      </c>
      <c r="L249">
        <f>IF($X249="","",IFERROR(INDEX(월별근무지표[적용 급여병원],MATCH(INDEX(합계표[사번키],$X249)&amp;"|"&amp;대상월키,월별근무지표[키],0))&amp;"",IF(COUNTIF(기관표[사번키],INDEX(합계표[사번키],$X249))+COUNTIF(월별근무지표[사번키],INDEX(합계표[사번키],$X249))&gt;0,IFERROR(INDEX(기관표[급여지급병원(기준월)],MATCH(INDEX(합계표[사번키],$X249)&amp;"|"&amp;대상월키,기관표[키],0))&amp;"","—"),"—")))</f>
        <v/>
      </c>
      <c r="M249">
        <f>IF($X249="","",IF(NOT(COUNTIF(기관표[사번키],INDEX(합계표[사번키],$X249))+COUNTIF(월별근무지표[사번키],INDEX(합계표[사번키],$X249))&gt;0),"기관명단에 없음(다른 병원으로 발송)",IF($L249="서울병원","해당",IF(N($R249)&gt;0,"해당(말일 근무)",IF($L249="—","대상월 기관명단 없음(추가 필요)","비해당")))))</f>
        <v/>
      </c>
      <c r="N249" s="20">
        <f>IF($X249="","",SUMIFS(상세표[06~07시],상세표[사번키],INDEX(합계표[사번키],$X249),상세표[반영월],대상월키,상세표[반영 기관],"서울병원"))</f>
        <v/>
      </c>
      <c r="O249" s="20">
        <f>IF($X249="","",SUMIFS(상세표[07~18시],상세표[사번키],INDEX(합계표[사번키],$X249),상세표[반영월],대상월키,상세표[반영 기관],"서울병원"))</f>
        <v/>
      </c>
      <c r="P249" s="20">
        <f>IF($X249="","",SUMIFS(상세표[18~22시],상세표[사번키],INDEX(합계표[사번키],$X249),상세표[반영월],대상월키,상세표[반영 기관],"서울병원"))</f>
        <v/>
      </c>
      <c r="Q249" s="20">
        <f>IF($X249="","",SUMIFS(상세표[22~06시],상세표[사번키],INDEX(합계표[사번키],$X249),상세표[반영월],대상월키,상세표[반영 기관],"서울병원"))</f>
        <v/>
      </c>
      <c r="R249" s="20">
        <f>IF($X249="","",SUM($N249:$Q249))</f>
        <v/>
      </c>
      <c r="S249">
        <f>IF($X249="","",COUNTIFS(상세표[사번키],INDEX(합계표[사번키],$X249),상세표[반영월],대상월키,상세표[야간당직],1,상세표[야간 구분],"평일"))</f>
        <v/>
      </c>
      <c r="T249">
        <f>IF($X249="","",COUNTIFS(상세표[사번키],INDEX(합계표[사번키],$X249),상세표[반영월],대상월키,상세표[야간당직],1,상세표[야간 구분],"휴일"))</f>
        <v/>
      </c>
      <c r="U249">
        <f>IF($X249="","",COUNTIFS(상세표[사번키],INDEX(합계표[사번키],$X249),상세표[반영월],대상월키,상세표[야간당직],1,상세표[야간 구분],"평일",상세표[반영 기관],"서울병원"))</f>
        <v/>
      </c>
      <c r="V249">
        <f>IF($X249="","",COUNTIFS(상세표[사번키],INDEX(합계표[사번키],$X249),상세표[반영월],대상월키,상세표[야간당직],1,상세표[야간 구분],"휴일",상세표[반영 기관],"서울병원"))</f>
        <v/>
      </c>
      <c r="W249">
        <f>IF($X249="","",IF(ISNUMBER(MATCH(INDEX(합계표[사번키],$X249)&amp;"|"&amp;대상월키,월별근무지표[키],0)),"직접 입력",IF($L249="—","—","기관명단")))</f>
        <v/>
      </c>
      <c r="X249" s="4">
        <f>IFERROR(MATCH(244,합계표[판정순번],0),"")</f>
        <v/>
      </c>
      <c r="Z249">
        <f>IF($AC249="","",INDEX(상세표[사번],$AC249)&amp;"")</f>
        <v/>
      </c>
      <c r="AA249">
        <f>IF($AC249="","",INDEX(상세표[성명],$AC249)&amp;"")</f>
        <v/>
      </c>
      <c r="AB249" s="20">
        <f>IF($AC249="","",SUMIFS(상세표[기록 시간외],상세표[사번키],INDEX(상세표[사번키],$AC249),상세표[반영월],대상월키))</f>
        <v/>
      </c>
      <c r="AC249" s="4">
        <f>IFERROR(MATCH(244,상세표[합계없음순번],0),"")</f>
        <v/>
      </c>
    </row>
    <row r="250">
      <c r="A250">
        <f>IF($X250="","",INDEX(합계표[사번],$X250)&amp;"")</f>
        <v/>
      </c>
      <c r="B250">
        <f>IF($X250="","",INDEX(합계표[성명],$X250)&amp;"")</f>
        <v/>
      </c>
      <c r="C250">
        <f>IF($X250="","",INDEX(합계표[부서],$X250)&amp;"")</f>
        <v/>
      </c>
      <c r="D250">
        <f>IF($X250="","",INDEX(합계표[직위(요약)],$X250)&amp;"")</f>
        <v/>
      </c>
      <c r="E250">
        <f>IF($X250="","",INDEX(합계표[직급 공존],$X250)&amp;"")</f>
        <v/>
      </c>
      <c r="F250" s="20">
        <f>IF($X250="","",SUMIFS(합계표[시스템 합계],합계표[사번키],INDEX(합계표[사번키],$X250)))</f>
        <v/>
      </c>
      <c r="G250" s="20">
        <f>IF($X250="","",SUMIFS(상세표[기록 시간외],상세표[사번키],INDEX(합계표[사번키],$X250),상세표[기록월],대상월키))</f>
        <v/>
      </c>
      <c r="H250">
        <f>IF($X250="","",IF(ABS($F250-$G250)&lt;0.01,"일치","불일치(차이 "&amp;TEXT($G250-$F250,"0.00")&amp;")"))</f>
        <v/>
      </c>
      <c r="I250" s="20">
        <f>IF($X250="","",SUMIFS(상세표[기록 시간외],상세표[사번키],INDEX(합계표[사번키],$X250),상세표[기록월],대상월키,상세표[반영월],"&lt;&gt;"&amp;대상월키))</f>
        <v/>
      </c>
      <c r="J250" s="20">
        <f>IF($X250="","",SUMIFS(상세표[기록 시간외],상세표[사번키],INDEX(합계표[사번키],$X250),상세표[기록월],"&lt;&gt;"&amp;대상월키,상세표[반영월],대상월키))</f>
        <v/>
      </c>
      <c r="K250" s="20">
        <f>IF($X250="","",SUMIFS(상세표[기록 시간외],상세표[사번키],INDEX(합계표[사번키],$X250),상세표[반영월],대상월키))</f>
        <v/>
      </c>
      <c r="L250">
        <f>IF($X250="","",IFERROR(INDEX(월별근무지표[적용 급여병원],MATCH(INDEX(합계표[사번키],$X250)&amp;"|"&amp;대상월키,월별근무지표[키],0))&amp;"",IF(COUNTIF(기관표[사번키],INDEX(합계표[사번키],$X250))+COUNTIF(월별근무지표[사번키],INDEX(합계표[사번키],$X250))&gt;0,IFERROR(INDEX(기관표[급여지급병원(기준월)],MATCH(INDEX(합계표[사번키],$X250)&amp;"|"&amp;대상월키,기관표[키],0))&amp;"","—"),"—")))</f>
        <v/>
      </c>
      <c r="M250">
        <f>IF($X250="","",IF(NOT(COUNTIF(기관표[사번키],INDEX(합계표[사번키],$X250))+COUNTIF(월별근무지표[사번키],INDEX(합계표[사번키],$X250))&gt;0),"기관명단에 없음(다른 병원으로 발송)",IF($L250="서울병원","해당",IF(N($R250)&gt;0,"해당(말일 근무)",IF($L250="—","대상월 기관명단 없음(추가 필요)","비해당")))))</f>
        <v/>
      </c>
      <c r="N250" s="20">
        <f>IF($X250="","",SUMIFS(상세표[06~07시],상세표[사번키],INDEX(합계표[사번키],$X250),상세표[반영월],대상월키,상세표[반영 기관],"서울병원"))</f>
        <v/>
      </c>
      <c r="O250" s="20">
        <f>IF($X250="","",SUMIFS(상세표[07~18시],상세표[사번키],INDEX(합계표[사번키],$X250),상세표[반영월],대상월키,상세표[반영 기관],"서울병원"))</f>
        <v/>
      </c>
      <c r="P250" s="20">
        <f>IF($X250="","",SUMIFS(상세표[18~22시],상세표[사번키],INDEX(합계표[사번키],$X250),상세표[반영월],대상월키,상세표[반영 기관],"서울병원"))</f>
        <v/>
      </c>
      <c r="Q250" s="20">
        <f>IF($X250="","",SUMIFS(상세표[22~06시],상세표[사번키],INDEX(합계표[사번키],$X250),상세표[반영월],대상월키,상세표[반영 기관],"서울병원"))</f>
        <v/>
      </c>
      <c r="R250" s="20">
        <f>IF($X250="","",SUM($N250:$Q250))</f>
        <v/>
      </c>
      <c r="S250">
        <f>IF($X250="","",COUNTIFS(상세표[사번키],INDEX(합계표[사번키],$X250),상세표[반영월],대상월키,상세표[야간당직],1,상세표[야간 구분],"평일"))</f>
        <v/>
      </c>
      <c r="T250">
        <f>IF($X250="","",COUNTIFS(상세표[사번키],INDEX(합계표[사번키],$X250),상세표[반영월],대상월키,상세표[야간당직],1,상세표[야간 구분],"휴일"))</f>
        <v/>
      </c>
      <c r="U250">
        <f>IF($X250="","",COUNTIFS(상세표[사번키],INDEX(합계표[사번키],$X250),상세표[반영월],대상월키,상세표[야간당직],1,상세표[야간 구분],"평일",상세표[반영 기관],"서울병원"))</f>
        <v/>
      </c>
      <c r="V250">
        <f>IF($X250="","",COUNTIFS(상세표[사번키],INDEX(합계표[사번키],$X250),상세표[반영월],대상월키,상세표[야간당직],1,상세표[야간 구분],"휴일",상세표[반영 기관],"서울병원"))</f>
        <v/>
      </c>
      <c r="W250">
        <f>IF($X250="","",IF(ISNUMBER(MATCH(INDEX(합계표[사번키],$X250)&amp;"|"&amp;대상월키,월별근무지표[키],0)),"직접 입력",IF($L250="—","—","기관명단")))</f>
        <v/>
      </c>
      <c r="X250" s="4">
        <f>IFERROR(MATCH(245,합계표[판정순번],0),"")</f>
        <v/>
      </c>
      <c r="Z250">
        <f>IF($AC250="","",INDEX(상세표[사번],$AC250)&amp;"")</f>
        <v/>
      </c>
      <c r="AA250">
        <f>IF($AC250="","",INDEX(상세표[성명],$AC250)&amp;"")</f>
        <v/>
      </c>
      <c r="AB250" s="20">
        <f>IF($AC250="","",SUMIFS(상세표[기록 시간외],상세표[사번키],INDEX(상세표[사번키],$AC250),상세표[반영월],대상월키))</f>
        <v/>
      </c>
      <c r="AC250" s="4">
        <f>IFERROR(MATCH(245,상세표[합계없음순번],0),"")</f>
        <v/>
      </c>
    </row>
    <row r="251">
      <c r="A251">
        <f>IF($X251="","",INDEX(합계표[사번],$X251)&amp;"")</f>
        <v/>
      </c>
      <c r="B251">
        <f>IF($X251="","",INDEX(합계표[성명],$X251)&amp;"")</f>
        <v/>
      </c>
      <c r="C251">
        <f>IF($X251="","",INDEX(합계표[부서],$X251)&amp;"")</f>
        <v/>
      </c>
      <c r="D251">
        <f>IF($X251="","",INDEX(합계표[직위(요약)],$X251)&amp;"")</f>
        <v/>
      </c>
      <c r="E251">
        <f>IF($X251="","",INDEX(합계표[직급 공존],$X251)&amp;"")</f>
        <v/>
      </c>
      <c r="F251" s="20">
        <f>IF($X251="","",SUMIFS(합계표[시스템 합계],합계표[사번키],INDEX(합계표[사번키],$X251)))</f>
        <v/>
      </c>
      <c r="G251" s="20">
        <f>IF($X251="","",SUMIFS(상세표[기록 시간외],상세표[사번키],INDEX(합계표[사번키],$X251),상세표[기록월],대상월키))</f>
        <v/>
      </c>
      <c r="H251">
        <f>IF($X251="","",IF(ABS($F251-$G251)&lt;0.01,"일치","불일치(차이 "&amp;TEXT($G251-$F251,"0.00")&amp;")"))</f>
        <v/>
      </c>
      <c r="I251" s="20">
        <f>IF($X251="","",SUMIFS(상세표[기록 시간외],상세표[사번키],INDEX(합계표[사번키],$X251),상세표[기록월],대상월키,상세표[반영월],"&lt;&gt;"&amp;대상월키))</f>
        <v/>
      </c>
      <c r="J251" s="20">
        <f>IF($X251="","",SUMIFS(상세표[기록 시간외],상세표[사번키],INDEX(합계표[사번키],$X251),상세표[기록월],"&lt;&gt;"&amp;대상월키,상세표[반영월],대상월키))</f>
        <v/>
      </c>
      <c r="K251" s="20">
        <f>IF($X251="","",SUMIFS(상세표[기록 시간외],상세표[사번키],INDEX(합계표[사번키],$X251),상세표[반영월],대상월키))</f>
        <v/>
      </c>
      <c r="L251">
        <f>IF($X251="","",IFERROR(INDEX(월별근무지표[적용 급여병원],MATCH(INDEX(합계표[사번키],$X251)&amp;"|"&amp;대상월키,월별근무지표[키],0))&amp;"",IF(COUNTIF(기관표[사번키],INDEX(합계표[사번키],$X251))+COUNTIF(월별근무지표[사번키],INDEX(합계표[사번키],$X251))&gt;0,IFERROR(INDEX(기관표[급여지급병원(기준월)],MATCH(INDEX(합계표[사번키],$X251)&amp;"|"&amp;대상월키,기관표[키],0))&amp;"","—"),"—")))</f>
        <v/>
      </c>
      <c r="M251">
        <f>IF($X251="","",IF(NOT(COUNTIF(기관표[사번키],INDEX(합계표[사번키],$X251))+COUNTIF(월별근무지표[사번키],INDEX(합계표[사번키],$X251))&gt;0),"기관명단에 없음(다른 병원으로 발송)",IF($L251="서울병원","해당",IF(N($R251)&gt;0,"해당(말일 근무)",IF($L251="—","대상월 기관명단 없음(추가 필요)","비해당")))))</f>
        <v/>
      </c>
      <c r="N251" s="20">
        <f>IF($X251="","",SUMIFS(상세표[06~07시],상세표[사번키],INDEX(합계표[사번키],$X251),상세표[반영월],대상월키,상세표[반영 기관],"서울병원"))</f>
        <v/>
      </c>
      <c r="O251" s="20">
        <f>IF($X251="","",SUMIFS(상세표[07~18시],상세표[사번키],INDEX(합계표[사번키],$X251),상세표[반영월],대상월키,상세표[반영 기관],"서울병원"))</f>
        <v/>
      </c>
      <c r="P251" s="20">
        <f>IF($X251="","",SUMIFS(상세표[18~22시],상세표[사번키],INDEX(합계표[사번키],$X251),상세표[반영월],대상월키,상세표[반영 기관],"서울병원"))</f>
        <v/>
      </c>
      <c r="Q251" s="20">
        <f>IF($X251="","",SUMIFS(상세표[22~06시],상세표[사번키],INDEX(합계표[사번키],$X251),상세표[반영월],대상월키,상세표[반영 기관],"서울병원"))</f>
        <v/>
      </c>
      <c r="R251" s="20">
        <f>IF($X251="","",SUM($N251:$Q251))</f>
        <v/>
      </c>
      <c r="S251">
        <f>IF($X251="","",COUNTIFS(상세표[사번키],INDEX(합계표[사번키],$X251),상세표[반영월],대상월키,상세표[야간당직],1,상세표[야간 구분],"평일"))</f>
        <v/>
      </c>
      <c r="T251">
        <f>IF($X251="","",COUNTIFS(상세표[사번키],INDEX(합계표[사번키],$X251),상세표[반영월],대상월키,상세표[야간당직],1,상세표[야간 구분],"휴일"))</f>
        <v/>
      </c>
      <c r="U251">
        <f>IF($X251="","",COUNTIFS(상세표[사번키],INDEX(합계표[사번키],$X251),상세표[반영월],대상월키,상세표[야간당직],1,상세표[야간 구분],"평일",상세표[반영 기관],"서울병원"))</f>
        <v/>
      </c>
      <c r="V251">
        <f>IF($X251="","",COUNTIFS(상세표[사번키],INDEX(합계표[사번키],$X251),상세표[반영월],대상월키,상세표[야간당직],1,상세표[야간 구분],"휴일",상세표[반영 기관],"서울병원"))</f>
        <v/>
      </c>
      <c r="W251">
        <f>IF($X251="","",IF(ISNUMBER(MATCH(INDEX(합계표[사번키],$X251)&amp;"|"&amp;대상월키,월별근무지표[키],0)),"직접 입력",IF($L251="—","—","기관명단")))</f>
        <v/>
      </c>
      <c r="X251" s="4">
        <f>IFERROR(MATCH(246,합계표[판정순번],0),"")</f>
        <v/>
      </c>
      <c r="Z251">
        <f>IF($AC251="","",INDEX(상세표[사번],$AC251)&amp;"")</f>
        <v/>
      </c>
      <c r="AA251">
        <f>IF($AC251="","",INDEX(상세표[성명],$AC251)&amp;"")</f>
        <v/>
      </c>
      <c r="AB251" s="20">
        <f>IF($AC251="","",SUMIFS(상세표[기록 시간외],상세표[사번키],INDEX(상세표[사번키],$AC251),상세표[반영월],대상월키))</f>
        <v/>
      </c>
      <c r="AC251" s="4">
        <f>IFERROR(MATCH(246,상세표[합계없음순번],0),"")</f>
        <v/>
      </c>
    </row>
    <row r="252">
      <c r="A252">
        <f>IF($X252="","",INDEX(합계표[사번],$X252)&amp;"")</f>
        <v/>
      </c>
      <c r="B252">
        <f>IF($X252="","",INDEX(합계표[성명],$X252)&amp;"")</f>
        <v/>
      </c>
      <c r="C252">
        <f>IF($X252="","",INDEX(합계표[부서],$X252)&amp;"")</f>
        <v/>
      </c>
      <c r="D252">
        <f>IF($X252="","",INDEX(합계표[직위(요약)],$X252)&amp;"")</f>
        <v/>
      </c>
      <c r="E252">
        <f>IF($X252="","",INDEX(합계표[직급 공존],$X252)&amp;"")</f>
        <v/>
      </c>
      <c r="F252" s="20">
        <f>IF($X252="","",SUMIFS(합계표[시스템 합계],합계표[사번키],INDEX(합계표[사번키],$X252)))</f>
        <v/>
      </c>
      <c r="G252" s="20">
        <f>IF($X252="","",SUMIFS(상세표[기록 시간외],상세표[사번키],INDEX(합계표[사번키],$X252),상세표[기록월],대상월키))</f>
        <v/>
      </c>
      <c r="H252">
        <f>IF($X252="","",IF(ABS($F252-$G252)&lt;0.01,"일치","불일치(차이 "&amp;TEXT($G252-$F252,"0.00")&amp;")"))</f>
        <v/>
      </c>
      <c r="I252" s="20">
        <f>IF($X252="","",SUMIFS(상세표[기록 시간외],상세표[사번키],INDEX(합계표[사번키],$X252),상세표[기록월],대상월키,상세표[반영월],"&lt;&gt;"&amp;대상월키))</f>
        <v/>
      </c>
      <c r="J252" s="20">
        <f>IF($X252="","",SUMIFS(상세표[기록 시간외],상세표[사번키],INDEX(합계표[사번키],$X252),상세표[기록월],"&lt;&gt;"&amp;대상월키,상세표[반영월],대상월키))</f>
        <v/>
      </c>
      <c r="K252" s="20">
        <f>IF($X252="","",SUMIFS(상세표[기록 시간외],상세표[사번키],INDEX(합계표[사번키],$X252),상세표[반영월],대상월키))</f>
        <v/>
      </c>
      <c r="L252">
        <f>IF($X252="","",IFERROR(INDEX(월별근무지표[적용 급여병원],MATCH(INDEX(합계표[사번키],$X252)&amp;"|"&amp;대상월키,월별근무지표[키],0))&amp;"",IF(COUNTIF(기관표[사번키],INDEX(합계표[사번키],$X252))+COUNTIF(월별근무지표[사번키],INDEX(합계표[사번키],$X252))&gt;0,IFERROR(INDEX(기관표[급여지급병원(기준월)],MATCH(INDEX(합계표[사번키],$X252)&amp;"|"&amp;대상월키,기관표[키],0))&amp;"","—"),"—")))</f>
        <v/>
      </c>
      <c r="M252">
        <f>IF($X252="","",IF(NOT(COUNTIF(기관표[사번키],INDEX(합계표[사번키],$X252))+COUNTIF(월별근무지표[사번키],INDEX(합계표[사번키],$X252))&gt;0),"기관명단에 없음(다른 병원으로 발송)",IF($L252="서울병원","해당",IF(N($R252)&gt;0,"해당(말일 근무)",IF($L252="—","대상월 기관명단 없음(추가 필요)","비해당")))))</f>
        <v/>
      </c>
      <c r="N252" s="20">
        <f>IF($X252="","",SUMIFS(상세표[06~07시],상세표[사번키],INDEX(합계표[사번키],$X252),상세표[반영월],대상월키,상세표[반영 기관],"서울병원"))</f>
        <v/>
      </c>
      <c r="O252" s="20">
        <f>IF($X252="","",SUMIFS(상세표[07~18시],상세표[사번키],INDEX(합계표[사번키],$X252),상세표[반영월],대상월키,상세표[반영 기관],"서울병원"))</f>
        <v/>
      </c>
      <c r="P252" s="20">
        <f>IF($X252="","",SUMIFS(상세표[18~22시],상세표[사번키],INDEX(합계표[사번키],$X252),상세표[반영월],대상월키,상세표[반영 기관],"서울병원"))</f>
        <v/>
      </c>
      <c r="Q252" s="20">
        <f>IF($X252="","",SUMIFS(상세표[22~06시],상세표[사번키],INDEX(합계표[사번키],$X252),상세표[반영월],대상월키,상세표[반영 기관],"서울병원"))</f>
        <v/>
      </c>
      <c r="R252" s="20">
        <f>IF($X252="","",SUM($N252:$Q252))</f>
        <v/>
      </c>
      <c r="S252">
        <f>IF($X252="","",COUNTIFS(상세표[사번키],INDEX(합계표[사번키],$X252),상세표[반영월],대상월키,상세표[야간당직],1,상세표[야간 구분],"평일"))</f>
        <v/>
      </c>
      <c r="T252">
        <f>IF($X252="","",COUNTIFS(상세표[사번키],INDEX(합계표[사번키],$X252),상세표[반영월],대상월키,상세표[야간당직],1,상세표[야간 구분],"휴일"))</f>
        <v/>
      </c>
      <c r="U252">
        <f>IF($X252="","",COUNTIFS(상세표[사번키],INDEX(합계표[사번키],$X252),상세표[반영월],대상월키,상세표[야간당직],1,상세표[야간 구분],"평일",상세표[반영 기관],"서울병원"))</f>
        <v/>
      </c>
      <c r="V252">
        <f>IF($X252="","",COUNTIFS(상세표[사번키],INDEX(합계표[사번키],$X252),상세표[반영월],대상월키,상세표[야간당직],1,상세표[야간 구분],"휴일",상세표[반영 기관],"서울병원"))</f>
        <v/>
      </c>
      <c r="W252">
        <f>IF($X252="","",IF(ISNUMBER(MATCH(INDEX(합계표[사번키],$X252)&amp;"|"&amp;대상월키,월별근무지표[키],0)),"직접 입력",IF($L252="—","—","기관명단")))</f>
        <v/>
      </c>
      <c r="X252" s="4">
        <f>IFERROR(MATCH(247,합계표[판정순번],0),"")</f>
        <v/>
      </c>
      <c r="Z252">
        <f>IF($AC252="","",INDEX(상세표[사번],$AC252)&amp;"")</f>
        <v/>
      </c>
      <c r="AA252">
        <f>IF($AC252="","",INDEX(상세표[성명],$AC252)&amp;"")</f>
        <v/>
      </c>
      <c r="AB252" s="20">
        <f>IF($AC252="","",SUMIFS(상세표[기록 시간외],상세표[사번키],INDEX(상세표[사번키],$AC252),상세표[반영월],대상월키))</f>
        <v/>
      </c>
      <c r="AC252" s="4">
        <f>IFERROR(MATCH(247,상세표[합계없음순번],0),"")</f>
        <v/>
      </c>
    </row>
    <row r="253">
      <c r="A253">
        <f>IF($X253="","",INDEX(합계표[사번],$X253)&amp;"")</f>
        <v/>
      </c>
      <c r="B253">
        <f>IF($X253="","",INDEX(합계표[성명],$X253)&amp;"")</f>
        <v/>
      </c>
      <c r="C253">
        <f>IF($X253="","",INDEX(합계표[부서],$X253)&amp;"")</f>
        <v/>
      </c>
      <c r="D253">
        <f>IF($X253="","",INDEX(합계표[직위(요약)],$X253)&amp;"")</f>
        <v/>
      </c>
      <c r="E253">
        <f>IF($X253="","",INDEX(합계표[직급 공존],$X253)&amp;"")</f>
        <v/>
      </c>
      <c r="F253" s="20">
        <f>IF($X253="","",SUMIFS(합계표[시스템 합계],합계표[사번키],INDEX(합계표[사번키],$X253)))</f>
        <v/>
      </c>
      <c r="G253" s="20">
        <f>IF($X253="","",SUMIFS(상세표[기록 시간외],상세표[사번키],INDEX(합계표[사번키],$X253),상세표[기록월],대상월키))</f>
        <v/>
      </c>
      <c r="H253">
        <f>IF($X253="","",IF(ABS($F253-$G253)&lt;0.01,"일치","불일치(차이 "&amp;TEXT($G253-$F253,"0.00")&amp;")"))</f>
        <v/>
      </c>
      <c r="I253" s="20">
        <f>IF($X253="","",SUMIFS(상세표[기록 시간외],상세표[사번키],INDEX(합계표[사번키],$X253),상세표[기록월],대상월키,상세표[반영월],"&lt;&gt;"&amp;대상월키))</f>
        <v/>
      </c>
      <c r="J253" s="20">
        <f>IF($X253="","",SUMIFS(상세표[기록 시간외],상세표[사번키],INDEX(합계표[사번키],$X253),상세표[기록월],"&lt;&gt;"&amp;대상월키,상세표[반영월],대상월키))</f>
        <v/>
      </c>
      <c r="K253" s="20">
        <f>IF($X253="","",SUMIFS(상세표[기록 시간외],상세표[사번키],INDEX(합계표[사번키],$X253),상세표[반영월],대상월키))</f>
        <v/>
      </c>
      <c r="L253">
        <f>IF($X253="","",IFERROR(INDEX(월별근무지표[적용 급여병원],MATCH(INDEX(합계표[사번키],$X253)&amp;"|"&amp;대상월키,월별근무지표[키],0))&amp;"",IF(COUNTIF(기관표[사번키],INDEX(합계표[사번키],$X253))+COUNTIF(월별근무지표[사번키],INDEX(합계표[사번키],$X253))&gt;0,IFERROR(INDEX(기관표[급여지급병원(기준월)],MATCH(INDEX(합계표[사번키],$X253)&amp;"|"&amp;대상월키,기관표[키],0))&amp;"","—"),"—")))</f>
        <v/>
      </c>
      <c r="M253">
        <f>IF($X253="","",IF(NOT(COUNTIF(기관표[사번키],INDEX(합계표[사번키],$X253))+COUNTIF(월별근무지표[사번키],INDEX(합계표[사번키],$X253))&gt;0),"기관명단에 없음(다른 병원으로 발송)",IF($L253="서울병원","해당",IF(N($R253)&gt;0,"해당(말일 근무)",IF($L253="—","대상월 기관명단 없음(추가 필요)","비해당")))))</f>
        <v/>
      </c>
      <c r="N253" s="20">
        <f>IF($X253="","",SUMIFS(상세표[06~07시],상세표[사번키],INDEX(합계표[사번키],$X253),상세표[반영월],대상월키,상세표[반영 기관],"서울병원"))</f>
        <v/>
      </c>
      <c r="O253" s="20">
        <f>IF($X253="","",SUMIFS(상세표[07~18시],상세표[사번키],INDEX(합계표[사번키],$X253),상세표[반영월],대상월키,상세표[반영 기관],"서울병원"))</f>
        <v/>
      </c>
      <c r="P253" s="20">
        <f>IF($X253="","",SUMIFS(상세표[18~22시],상세표[사번키],INDEX(합계표[사번키],$X253),상세표[반영월],대상월키,상세표[반영 기관],"서울병원"))</f>
        <v/>
      </c>
      <c r="Q253" s="20">
        <f>IF($X253="","",SUMIFS(상세표[22~06시],상세표[사번키],INDEX(합계표[사번키],$X253),상세표[반영월],대상월키,상세표[반영 기관],"서울병원"))</f>
        <v/>
      </c>
      <c r="R253" s="20">
        <f>IF($X253="","",SUM($N253:$Q253))</f>
        <v/>
      </c>
      <c r="S253">
        <f>IF($X253="","",COUNTIFS(상세표[사번키],INDEX(합계표[사번키],$X253),상세표[반영월],대상월키,상세표[야간당직],1,상세표[야간 구분],"평일"))</f>
        <v/>
      </c>
      <c r="T253">
        <f>IF($X253="","",COUNTIFS(상세표[사번키],INDEX(합계표[사번키],$X253),상세표[반영월],대상월키,상세표[야간당직],1,상세표[야간 구분],"휴일"))</f>
        <v/>
      </c>
      <c r="U253">
        <f>IF($X253="","",COUNTIFS(상세표[사번키],INDEX(합계표[사번키],$X253),상세표[반영월],대상월키,상세표[야간당직],1,상세표[야간 구분],"평일",상세표[반영 기관],"서울병원"))</f>
        <v/>
      </c>
      <c r="V253">
        <f>IF($X253="","",COUNTIFS(상세표[사번키],INDEX(합계표[사번키],$X253),상세표[반영월],대상월키,상세표[야간당직],1,상세표[야간 구분],"휴일",상세표[반영 기관],"서울병원"))</f>
        <v/>
      </c>
      <c r="W253">
        <f>IF($X253="","",IF(ISNUMBER(MATCH(INDEX(합계표[사번키],$X253)&amp;"|"&amp;대상월키,월별근무지표[키],0)),"직접 입력",IF($L253="—","—","기관명단")))</f>
        <v/>
      </c>
      <c r="X253" s="4">
        <f>IFERROR(MATCH(248,합계표[판정순번],0),"")</f>
        <v/>
      </c>
      <c r="Z253">
        <f>IF($AC253="","",INDEX(상세표[사번],$AC253)&amp;"")</f>
        <v/>
      </c>
      <c r="AA253">
        <f>IF($AC253="","",INDEX(상세표[성명],$AC253)&amp;"")</f>
        <v/>
      </c>
      <c r="AB253" s="20">
        <f>IF($AC253="","",SUMIFS(상세표[기록 시간외],상세표[사번키],INDEX(상세표[사번키],$AC253),상세표[반영월],대상월키))</f>
        <v/>
      </c>
      <c r="AC253" s="4">
        <f>IFERROR(MATCH(248,상세표[합계없음순번],0),"")</f>
        <v/>
      </c>
    </row>
    <row r="254">
      <c r="A254">
        <f>IF($X254="","",INDEX(합계표[사번],$X254)&amp;"")</f>
        <v/>
      </c>
      <c r="B254">
        <f>IF($X254="","",INDEX(합계표[성명],$X254)&amp;"")</f>
        <v/>
      </c>
      <c r="C254">
        <f>IF($X254="","",INDEX(합계표[부서],$X254)&amp;"")</f>
        <v/>
      </c>
      <c r="D254">
        <f>IF($X254="","",INDEX(합계표[직위(요약)],$X254)&amp;"")</f>
        <v/>
      </c>
      <c r="E254">
        <f>IF($X254="","",INDEX(합계표[직급 공존],$X254)&amp;"")</f>
        <v/>
      </c>
      <c r="F254" s="20">
        <f>IF($X254="","",SUMIFS(합계표[시스템 합계],합계표[사번키],INDEX(합계표[사번키],$X254)))</f>
        <v/>
      </c>
      <c r="G254" s="20">
        <f>IF($X254="","",SUMIFS(상세표[기록 시간외],상세표[사번키],INDEX(합계표[사번키],$X254),상세표[기록월],대상월키))</f>
        <v/>
      </c>
      <c r="H254">
        <f>IF($X254="","",IF(ABS($F254-$G254)&lt;0.01,"일치","불일치(차이 "&amp;TEXT($G254-$F254,"0.00")&amp;")"))</f>
        <v/>
      </c>
      <c r="I254" s="20">
        <f>IF($X254="","",SUMIFS(상세표[기록 시간외],상세표[사번키],INDEX(합계표[사번키],$X254),상세표[기록월],대상월키,상세표[반영월],"&lt;&gt;"&amp;대상월키))</f>
        <v/>
      </c>
      <c r="J254" s="20">
        <f>IF($X254="","",SUMIFS(상세표[기록 시간외],상세표[사번키],INDEX(합계표[사번키],$X254),상세표[기록월],"&lt;&gt;"&amp;대상월키,상세표[반영월],대상월키))</f>
        <v/>
      </c>
      <c r="K254" s="20">
        <f>IF($X254="","",SUMIFS(상세표[기록 시간외],상세표[사번키],INDEX(합계표[사번키],$X254),상세표[반영월],대상월키))</f>
        <v/>
      </c>
      <c r="L254">
        <f>IF($X254="","",IFERROR(INDEX(월별근무지표[적용 급여병원],MATCH(INDEX(합계표[사번키],$X254)&amp;"|"&amp;대상월키,월별근무지표[키],0))&amp;"",IF(COUNTIF(기관표[사번키],INDEX(합계표[사번키],$X254))+COUNTIF(월별근무지표[사번키],INDEX(합계표[사번키],$X254))&gt;0,IFERROR(INDEX(기관표[급여지급병원(기준월)],MATCH(INDEX(합계표[사번키],$X254)&amp;"|"&amp;대상월키,기관표[키],0))&amp;"","—"),"—")))</f>
        <v/>
      </c>
      <c r="M254">
        <f>IF($X254="","",IF(NOT(COUNTIF(기관표[사번키],INDEX(합계표[사번키],$X254))+COUNTIF(월별근무지표[사번키],INDEX(합계표[사번키],$X254))&gt;0),"기관명단에 없음(다른 병원으로 발송)",IF($L254="서울병원","해당",IF(N($R254)&gt;0,"해당(말일 근무)",IF($L254="—","대상월 기관명단 없음(추가 필요)","비해당")))))</f>
        <v/>
      </c>
      <c r="N254" s="20">
        <f>IF($X254="","",SUMIFS(상세표[06~07시],상세표[사번키],INDEX(합계표[사번키],$X254),상세표[반영월],대상월키,상세표[반영 기관],"서울병원"))</f>
        <v/>
      </c>
      <c r="O254" s="20">
        <f>IF($X254="","",SUMIFS(상세표[07~18시],상세표[사번키],INDEX(합계표[사번키],$X254),상세표[반영월],대상월키,상세표[반영 기관],"서울병원"))</f>
        <v/>
      </c>
      <c r="P254" s="20">
        <f>IF($X254="","",SUMIFS(상세표[18~22시],상세표[사번키],INDEX(합계표[사번키],$X254),상세표[반영월],대상월키,상세표[반영 기관],"서울병원"))</f>
        <v/>
      </c>
      <c r="Q254" s="20">
        <f>IF($X254="","",SUMIFS(상세표[22~06시],상세표[사번키],INDEX(합계표[사번키],$X254),상세표[반영월],대상월키,상세표[반영 기관],"서울병원"))</f>
        <v/>
      </c>
      <c r="R254" s="20">
        <f>IF($X254="","",SUM($N254:$Q254))</f>
        <v/>
      </c>
      <c r="S254">
        <f>IF($X254="","",COUNTIFS(상세표[사번키],INDEX(합계표[사번키],$X254),상세표[반영월],대상월키,상세표[야간당직],1,상세표[야간 구분],"평일"))</f>
        <v/>
      </c>
      <c r="T254">
        <f>IF($X254="","",COUNTIFS(상세표[사번키],INDEX(합계표[사번키],$X254),상세표[반영월],대상월키,상세표[야간당직],1,상세표[야간 구분],"휴일"))</f>
        <v/>
      </c>
      <c r="U254">
        <f>IF($X254="","",COUNTIFS(상세표[사번키],INDEX(합계표[사번키],$X254),상세표[반영월],대상월키,상세표[야간당직],1,상세표[야간 구분],"평일",상세표[반영 기관],"서울병원"))</f>
        <v/>
      </c>
      <c r="V254">
        <f>IF($X254="","",COUNTIFS(상세표[사번키],INDEX(합계표[사번키],$X254),상세표[반영월],대상월키,상세표[야간당직],1,상세표[야간 구분],"휴일",상세표[반영 기관],"서울병원"))</f>
        <v/>
      </c>
      <c r="W254">
        <f>IF($X254="","",IF(ISNUMBER(MATCH(INDEX(합계표[사번키],$X254)&amp;"|"&amp;대상월키,월별근무지표[키],0)),"직접 입력",IF($L254="—","—","기관명단")))</f>
        <v/>
      </c>
      <c r="X254" s="4">
        <f>IFERROR(MATCH(249,합계표[판정순번],0),"")</f>
        <v/>
      </c>
      <c r="Z254">
        <f>IF($AC254="","",INDEX(상세표[사번],$AC254)&amp;"")</f>
        <v/>
      </c>
      <c r="AA254">
        <f>IF($AC254="","",INDEX(상세표[성명],$AC254)&amp;"")</f>
        <v/>
      </c>
      <c r="AB254" s="20">
        <f>IF($AC254="","",SUMIFS(상세표[기록 시간외],상세표[사번키],INDEX(상세표[사번키],$AC254),상세표[반영월],대상월키))</f>
        <v/>
      </c>
      <c r="AC254" s="4">
        <f>IFERROR(MATCH(249,상세표[합계없음순번],0),"")</f>
        <v/>
      </c>
    </row>
    <row r="255">
      <c r="A255">
        <f>IF($X255="","",INDEX(합계표[사번],$X255)&amp;"")</f>
        <v/>
      </c>
      <c r="B255">
        <f>IF($X255="","",INDEX(합계표[성명],$X255)&amp;"")</f>
        <v/>
      </c>
      <c r="C255">
        <f>IF($X255="","",INDEX(합계표[부서],$X255)&amp;"")</f>
        <v/>
      </c>
      <c r="D255">
        <f>IF($X255="","",INDEX(합계표[직위(요약)],$X255)&amp;"")</f>
        <v/>
      </c>
      <c r="E255">
        <f>IF($X255="","",INDEX(합계표[직급 공존],$X255)&amp;"")</f>
        <v/>
      </c>
      <c r="F255" s="20">
        <f>IF($X255="","",SUMIFS(합계표[시스템 합계],합계표[사번키],INDEX(합계표[사번키],$X255)))</f>
        <v/>
      </c>
      <c r="G255" s="20">
        <f>IF($X255="","",SUMIFS(상세표[기록 시간외],상세표[사번키],INDEX(합계표[사번키],$X255),상세표[기록월],대상월키))</f>
        <v/>
      </c>
      <c r="H255">
        <f>IF($X255="","",IF(ABS($F255-$G255)&lt;0.01,"일치","불일치(차이 "&amp;TEXT($G255-$F255,"0.00")&amp;")"))</f>
        <v/>
      </c>
      <c r="I255" s="20">
        <f>IF($X255="","",SUMIFS(상세표[기록 시간외],상세표[사번키],INDEX(합계표[사번키],$X255),상세표[기록월],대상월키,상세표[반영월],"&lt;&gt;"&amp;대상월키))</f>
        <v/>
      </c>
      <c r="J255" s="20">
        <f>IF($X255="","",SUMIFS(상세표[기록 시간외],상세표[사번키],INDEX(합계표[사번키],$X255),상세표[기록월],"&lt;&gt;"&amp;대상월키,상세표[반영월],대상월키))</f>
        <v/>
      </c>
      <c r="K255" s="20">
        <f>IF($X255="","",SUMIFS(상세표[기록 시간외],상세표[사번키],INDEX(합계표[사번키],$X255),상세표[반영월],대상월키))</f>
        <v/>
      </c>
      <c r="L255">
        <f>IF($X255="","",IFERROR(INDEX(월별근무지표[적용 급여병원],MATCH(INDEX(합계표[사번키],$X255)&amp;"|"&amp;대상월키,월별근무지표[키],0))&amp;"",IF(COUNTIF(기관표[사번키],INDEX(합계표[사번키],$X255))+COUNTIF(월별근무지표[사번키],INDEX(합계표[사번키],$X255))&gt;0,IFERROR(INDEX(기관표[급여지급병원(기준월)],MATCH(INDEX(합계표[사번키],$X255)&amp;"|"&amp;대상월키,기관표[키],0))&amp;"","—"),"—")))</f>
        <v/>
      </c>
      <c r="M255">
        <f>IF($X255="","",IF(NOT(COUNTIF(기관표[사번키],INDEX(합계표[사번키],$X255))+COUNTIF(월별근무지표[사번키],INDEX(합계표[사번키],$X255))&gt;0),"기관명단에 없음(다른 병원으로 발송)",IF($L255="서울병원","해당",IF(N($R255)&gt;0,"해당(말일 근무)",IF($L255="—","대상월 기관명단 없음(추가 필요)","비해당")))))</f>
        <v/>
      </c>
      <c r="N255" s="20">
        <f>IF($X255="","",SUMIFS(상세표[06~07시],상세표[사번키],INDEX(합계표[사번키],$X255),상세표[반영월],대상월키,상세표[반영 기관],"서울병원"))</f>
        <v/>
      </c>
      <c r="O255" s="20">
        <f>IF($X255="","",SUMIFS(상세표[07~18시],상세표[사번키],INDEX(합계표[사번키],$X255),상세표[반영월],대상월키,상세표[반영 기관],"서울병원"))</f>
        <v/>
      </c>
      <c r="P255" s="20">
        <f>IF($X255="","",SUMIFS(상세표[18~22시],상세표[사번키],INDEX(합계표[사번키],$X255),상세표[반영월],대상월키,상세표[반영 기관],"서울병원"))</f>
        <v/>
      </c>
      <c r="Q255" s="20">
        <f>IF($X255="","",SUMIFS(상세표[22~06시],상세표[사번키],INDEX(합계표[사번키],$X255),상세표[반영월],대상월키,상세표[반영 기관],"서울병원"))</f>
        <v/>
      </c>
      <c r="R255" s="20">
        <f>IF($X255="","",SUM($N255:$Q255))</f>
        <v/>
      </c>
      <c r="S255">
        <f>IF($X255="","",COUNTIFS(상세표[사번키],INDEX(합계표[사번키],$X255),상세표[반영월],대상월키,상세표[야간당직],1,상세표[야간 구분],"평일"))</f>
        <v/>
      </c>
      <c r="T255">
        <f>IF($X255="","",COUNTIFS(상세표[사번키],INDEX(합계표[사번키],$X255),상세표[반영월],대상월키,상세표[야간당직],1,상세표[야간 구분],"휴일"))</f>
        <v/>
      </c>
      <c r="U255">
        <f>IF($X255="","",COUNTIFS(상세표[사번키],INDEX(합계표[사번키],$X255),상세표[반영월],대상월키,상세표[야간당직],1,상세표[야간 구분],"평일",상세표[반영 기관],"서울병원"))</f>
        <v/>
      </c>
      <c r="V255">
        <f>IF($X255="","",COUNTIFS(상세표[사번키],INDEX(합계표[사번키],$X255),상세표[반영월],대상월키,상세표[야간당직],1,상세표[야간 구분],"휴일",상세표[반영 기관],"서울병원"))</f>
        <v/>
      </c>
      <c r="W255">
        <f>IF($X255="","",IF(ISNUMBER(MATCH(INDEX(합계표[사번키],$X255)&amp;"|"&amp;대상월키,월별근무지표[키],0)),"직접 입력",IF($L255="—","—","기관명단")))</f>
        <v/>
      </c>
      <c r="X255" s="4">
        <f>IFERROR(MATCH(250,합계표[판정순번],0),"")</f>
        <v/>
      </c>
      <c r="Z255">
        <f>IF($AC255="","",INDEX(상세표[사번],$AC255)&amp;"")</f>
        <v/>
      </c>
      <c r="AA255">
        <f>IF($AC255="","",INDEX(상세표[성명],$AC255)&amp;"")</f>
        <v/>
      </c>
      <c r="AB255" s="20">
        <f>IF($AC255="","",SUMIFS(상세표[기록 시간외],상세표[사번키],INDEX(상세표[사번키],$AC255),상세표[반영월],대상월키))</f>
        <v/>
      </c>
      <c r="AC255" s="4">
        <f>IFERROR(MATCH(250,상세표[합계없음순번],0),"")</f>
        <v/>
      </c>
    </row>
    <row r="256">
      <c r="A256">
        <f>IF($X256="","",INDEX(합계표[사번],$X256)&amp;"")</f>
        <v/>
      </c>
      <c r="B256">
        <f>IF($X256="","",INDEX(합계표[성명],$X256)&amp;"")</f>
        <v/>
      </c>
      <c r="C256">
        <f>IF($X256="","",INDEX(합계표[부서],$X256)&amp;"")</f>
        <v/>
      </c>
      <c r="D256">
        <f>IF($X256="","",INDEX(합계표[직위(요약)],$X256)&amp;"")</f>
        <v/>
      </c>
      <c r="E256">
        <f>IF($X256="","",INDEX(합계표[직급 공존],$X256)&amp;"")</f>
        <v/>
      </c>
      <c r="F256" s="20">
        <f>IF($X256="","",SUMIFS(합계표[시스템 합계],합계표[사번키],INDEX(합계표[사번키],$X256)))</f>
        <v/>
      </c>
      <c r="G256" s="20">
        <f>IF($X256="","",SUMIFS(상세표[기록 시간외],상세표[사번키],INDEX(합계표[사번키],$X256),상세표[기록월],대상월키))</f>
        <v/>
      </c>
      <c r="H256">
        <f>IF($X256="","",IF(ABS($F256-$G256)&lt;0.01,"일치","불일치(차이 "&amp;TEXT($G256-$F256,"0.00")&amp;")"))</f>
        <v/>
      </c>
      <c r="I256" s="20">
        <f>IF($X256="","",SUMIFS(상세표[기록 시간외],상세표[사번키],INDEX(합계표[사번키],$X256),상세표[기록월],대상월키,상세표[반영월],"&lt;&gt;"&amp;대상월키))</f>
        <v/>
      </c>
      <c r="J256" s="20">
        <f>IF($X256="","",SUMIFS(상세표[기록 시간외],상세표[사번키],INDEX(합계표[사번키],$X256),상세표[기록월],"&lt;&gt;"&amp;대상월키,상세표[반영월],대상월키))</f>
        <v/>
      </c>
      <c r="K256" s="20">
        <f>IF($X256="","",SUMIFS(상세표[기록 시간외],상세표[사번키],INDEX(합계표[사번키],$X256),상세표[반영월],대상월키))</f>
        <v/>
      </c>
      <c r="L256">
        <f>IF($X256="","",IFERROR(INDEX(월별근무지표[적용 급여병원],MATCH(INDEX(합계표[사번키],$X256)&amp;"|"&amp;대상월키,월별근무지표[키],0))&amp;"",IF(COUNTIF(기관표[사번키],INDEX(합계표[사번키],$X256))+COUNTIF(월별근무지표[사번키],INDEX(합계표[사번키],$X256))&gt;0,IFERROR(INDEX(기관표[급여지급병원(기준월)],MATCH(INDEX(합계표[사번키],$X256)&amp;"|"&amp;대상월키,기관표[키],0))&amp;"","—"),"—")))</f>
        <v/>
      </c>
      <c r="M256">
        <f>IF($X256="","",IF(NOT(COUNTIF(기관표[사번키],INDEX(합계표[사번키],$X256))+COUNTIF(월별근무지표[사번키],INDEX(합계표[사번키],$X256))&gt;0),"기관명단에 없음(다른 병원으로 발송)",IF($L256="서울병원","해당",IF(N($R256)&gt;0,"해당(말일 근무)",IF($L256="—","대상월 기관명단 없음(추가 필요)","비해당")))))</f>
        <v/>
      </c>
      <c r="N256" s="20">
        <f>IF($X256="","",SUMIFS(상세표[06~07시],상세표[사번키],INDEX(합계표[사번키],$X256),상세표[반영월],대상월키,상세표[반영 기관],"서울병원"))</f>
        <v/>
      </c>
      <c r="O256" s="20">
        <f>IF($X256="","",SUMIFS(상세표[07~18시],상세표[사번키],INDEX(합계표[사번키],$X256),상세표[반영월],대상월키,상세표[반영 기관],"서울병원"))</f>
        <v/>
      </c>
      <c r="P256" s="20">
        <f>IF($X256="","",SUMIFS(상세표[18~22시],상세표[사번키],INDEX(합계표[사번키],$X256),상세표[반영월],대상월키,상세표[반영 기관],"서울병원"))</f>
        <v/>
      </c>
      <c r="Q256" s="20">
        <f>IF($X256="","",SUMIFS(상세표[22~06시],상세표[사번키],INDEX(합계표[사번키],$X256),상세표[반영월],대상월키,상세표[반영 기관],"서울병원"))</f>
        <v/>
      </c>
      <c r="R256" s="20">
        <f>IF($X256="","",SUM($N256:$Q256))</f>
        <v/>
      </c>
      <c r="S256">
        <f>IF($X256="","",COUNTIFS(상세표[사번키],INDEX(합계표[사번키],$X256),상세표[반영월],대상월키,상세표[야간당직],1,상세표[야간 구분],"평일"))</f>
        <v/>
      </c>
      <c r="T256">
        <f>IF($X256="","",COUNTIFS(상세표[사번키],INDEX(합계표[사번키],$X256),상세표[반영월],대상월키,상세표[야간당직],1,상세표[야간 구분],"휴일"))</f>
        <v/>
      </c>
      <c r="U256">
        <f>IF($X256="","",COUNTIFS(상세표[사번키],INDEX(합계표[사번키],$X256),상세표[반영월],대상월키,상세표[야간당직],1,상세표[야간 구분],"평일",상세표[반영 기관],"서울병원"))</f>
        <v/>
      </c>
      <c r="V256">
        <f>IF($X256="","",COUNTIFS(상세표[사번키],INDEX(합계표[사번키],$X256),상세표[반영월],대상월키,상세표[야간당직],1,상세표[야간 구분],"휴일",상세표[반영 기관],"서울병원"))</f>
        <v/>
      </c>
      <c r="W256">
        <f>IF($X256="","",IF(ISNUMBER(MATCH(INDEX(합계표[사번키],$X256)&amp;"|"&amp;대상월키,월별근무지표[키],0)),"직접 입력",IF($L256="—","—","기관명단")))</f>
        <v/>
      </c>
      <c r="X256" s="4">
        <f>IFERROR(MATCH(251,합계표[판정순번],0),"")</f>
        <v/>
      </c>
      <c r="Z256">
        <f>IF($AC256="","",INDEX(상세표[사번],$AC256)&amp;"")</f>
        <v/>
      </c>
      <c r="AA256">
        <f>IF($AC256="","",INDEX(상세표[성명],$AC256)&amp;"")</f>
        <v/>
      </c>
      <c r="AB256" s="20">
        <f>IF($AC256="","",SUMIFS(상세표[기록 시간외],상세표[사번키],INDEX(상세표[사번키],$AC256),상세표[반영월],대상월키))</f>
        <v/>
      </c>
      <c r="AC256" s="4">
        <f>IFERROR(MATCH(251,상세표[합계없음순번],0),"")</f>
        <v/>
      </c>
    </row>
    <row r="257">
      <c r="A257">
        <f>IF($X257="","",INDEX(합계표[사번],$X257)&amp;"")</f>
        <v/>
      </c>
      <c r="B257">
        <f>IF($X257="","",INDEX(합계표[성명],$X257)&amp;"")</f>
        <v/>
      </c>
      <c r="C257">
        <f>IF($X257="","",INDEX(합계표[부서],$X257)&amp;"")</f>
        <v/>
      </c>
      <c r="D257">
        <f>IF($X257="","",INDEX(합계표[직위(요약)],$X257)&amp;"")</f>
        <v/>
      </c>
      <c r="E257">
        <f>IF($X257="","",INDEX(합계표[직급 공존],$X257)&amp;"")</f>
        <v/>
      </c>
      <c r="F257" s="20">
        <f>IF($X257="","",SUMIFS(합계표[시스템 합계],합계표[사번키],INDEX(합계표[사번키],$X257)))</f>
        <v/>
      </c>
      <c r="G257" s="20">
        <f>IF($X257="","",SUMIFS(상세표[기록 시간외],상세표[사번키],INDEX(합계표[사번키],$X257),상세표[기록월],대상월키))</f>
        <v/>
      </c>
      <c r="H257">
        <f>IF($X257="","",IF(ABS($F257-$G257)&lt;0.01,"일치","불일치(차이 "&amp;TEXT($G257-$F257,"0.00")&amp;")"))</f>
        <v/>
      </c>
      <c r="I257" s="20">
        <f>IF($X257="","",SUMIFS(상세표[기록 시간외],상세표[사번키],INDEX(합계표[사번키],$X257),상세표[기록월],대상월키,상세표[반영월],"&lt;&gt;"&amp;대상월키))</f>
        <v/>
      </c>
      <c r="J257" s="20">
        <f>IF($X257="","",SUMIFS(상세표[기록 시간외],상세표[사번키],INDEX(합계표[사번키],$X257),상세표[기록월],"&lt;&gt;"&amp;대상월키,상세표[반영월],대상월키))</f>
        <v/>
      </c>
      <c r="K257" s="20">
        <f>IF($X257="","",SUMIFS(상세표[기록 시간외],상세표[사번키],INDEX(합계표[사번키],$X257),상세표[반영월],대상월키))</f>
        <v/>
      </c>
      <c r="L257">
        <f>IF($X257="","",IFERROR(INDEX(월별근무지표[적용 급여병원],MATCH(INDEX(합계표[사번키],$X257)&amp;"|"&amp;대상월키,월별근무지표[키],0))&amp;"",IF(COUNTIF(기관표[사번키],INDEX(합계표[사번키],$X257))+COUNTIF(월별근무지표[사번키],INDEX(합계표[사번키],$X257))&gt;0,IFERROR(INDEX(기관표[급여지급병원(기준월)],MATCH(INDEX(합계표[사번키],$X257)&amp;"|"&amp;대상월키,기관표[키],0))&amp;"","—"),"—")))</f>
        <v/>
      </c>
      <c r="M257">
        <f>IF($X257="","",IF(NOT(COUNTIF(기관표[사번키],INDEX(합계표[사번키],$X257))+COUNTIF(월별근무지표[사번키],INDEX(합계표[사번키],$X257))&gt;0),"기관명단에 없음(다른 병원으로 발송)",IF($L257="서울병원","해당",IF(N($R257)&gt;0,"해당(말일 근무)",IF($L257="—","대상월 기관명단 없음(추가 필요)","비해당")))))</f>
        <v/>
      </c>
      <c r="N257" s="20">
        <f>IF($X257="","",SUMIFS(상세표[06~07시],상세표[사번키],INDEX(합계표[사번키],$X257),상세표[반영월],대상월키,상세표[반영 기관],"서울병원"))</f>
        <v/>
      </c>
      <c r="O257" s="20">
        <f>IF($X257="","",SUMIFS(상세표[07~18시],상세표[사번키],INDEX(합계표[사번키],$X257),상세표[반영월],대상월키,상세표[반영 기관],"서울병원"))</f>
        <v/>
      </c>
      <c r="P257" s="20">
        <f>IF($X257="","",SUMIFS(상세표[18~22시],상세표[사번키],INDEX(합계표[사번키],$X257),상세표[반영월],대상월키,상세표[반영 기관],"서울병원"))</f>
        <v/>
      </c>
      <c r="Q257" s="20">
        <f>IF($X257="","",SUMIFS(상세표[22~06시],상세표[사번키],INDEX(합계표[사번키],$X257),상세표[반영월],대상월키,상세표[반영 기관],"서울병원"))</f>
        <v/>
      </c>
      <c r="R257" s="20">
        <f>IF($X257="","",SUM($N257:$Q257))</f>
        <v/>
      </c>
      <c r="S257">
        <f>IF($X257="","",COUNTIFS(상세표[사번키],INDEX(합계표[사번키],$X257),상세표[반영월],대상월키,상세표[야간당직],1,상세표[야간 구분],"평일"))</f>
        <v/>
      </c>
      <c r="T257">
        <f>IF($X257="","",COUNTIFS(상세표[사번키],INDEX(합계표[사번키],$X257),상세표[반영월],대상월키,상세표[야간당직],1,상세표[야간 구분],"휴일"))</f>
        <v/>
      </c>
      <c r="U257">
        <f>IF($X257="","",COUNTIFS(상세표[사번키],INDEX(합계표[사번키],$X257),상세표[반영월],대상월키,상세표[야간당직],1,상세표[야간 구분],"평일",상세표[반영 기관],"서울병원"))</f>
        <v/>
      </c>
      <c r="V257">
        <f>IF($X257="","",COUNTIFS(상세표[사번키],INDEX(합계표[사번키],$X257),상세표[반영월],대상월키,상세표[야간당직],1,상세표[야간 구분],"휴일",상세표[반영 기관],"서울병원"))</f>
        <v/>
      </c>
      <c r="W257">
        <f>IF($X257="","",IF(ISNUMBER(MATCH(INDEX(합계표[사번키],$X257)&amp;"|"&amp;대상월키,월별근무지표[키],0)),"직접 입력",IF($L257="—","—","기관명단")))</f>
        <v/>
      </c>
      <c r="X257" s="4">
        <f>IFERROR(MATCH(252,합계표[판정순번],0),"")</f>
        <v/>
      </c>
      <c r="Z257">
        <f>IF($AC257="","",INDEX(상세표[사번],$AC257)&amp;"")</f>
        <v/>
      </c>
      <c r="AA257">
        <f>IF($AC257="","",INDEX(상세표[성명],$AC257)&amp;"")</f>
        <v/>
      </c>
      <c r="AB257" s="20">
        <f>IF($AC257="","",SUMIFS(상세표[기록 시간외],상세표[사번키],INDEX(상세표[사번키],$AC257),상세표[반영월],대상월키))</f>
        <v/>
      </c>
      <c r="AC257" s="4">
        <f>IFERROR(MATCH(252,상세표[합계없음순번],0),"")</f>
        <v/>
      </c>
    </row>
    <row r="258">
      <c r="A258">
        <f>IF($X258="","",INDEX(합계표[사번],$X258)&amp;"")</f>
        <v/>
      </c>
      <c r="B258">
        <f>IF($X258="","",INDEX(합계표[성명],$X258)&amp;"")</f>
        <v/>
      </c>
      <c r="C258">
        <f>IF($X258="","",INDEX(합계표[부서],$X258)&amp;"")</f>
        <v/>
      </c>
      <c r="D258">
        <f>IF($X258="","",INDEX(합계표[직위(요약)],$X258)&amp;"")</f>
        <v/>
      </c>
      <c r="E258">
        <f>IF($X258="","",INDEX(합계표[직급 공존],$X258)&amp;"")</f>
        <v/>
      </c>
      <c r="F258" s="20">
        <f>IF($X258="","",SUMIFS(합계표[시스템 합계],합계표[사번키],INDEX(합계표[사번키],$X258)))</f>
        <v/>
      </c>
      <c r="G258" s="20">
        <f>IF($X258="","",SUMIFS(상세표[기록 시간외],상세표[사번키],INDEX(합계표[사번키],$X258),상세표[기록월],대상월키))</f>
        <v/>
      </c>
      <c r="H258">
        <f>IF($X258="","",IF(ABS($F258-$G258)&lt;0.01,"일치","불일치(차이 "&amp;TEXT($G258-$F258,"0.00")&amp;")"))</f>
        <v/>
      </c>
      <c r="I258" s="20">
        <f>IF($X258="","",SUMIFS(상세표[기록 시간외],상세표[사번키],INDEX(합계표[사번키],$X258),상세표[기록월],대상월키,상세표[반영월],"&lt;&gt;"&amp;대상월키))</f>
        <v/>
      </c>
      <c r="J258" s="20">
        <f>IF($X258="","",SUMIFS(상세표[기록 시간외],상세표[사번키],INDEX(합계표[사번키],$X258),상세표[기록월],"&lt;&gt;"&amp;대상월키,상세표[반영월],대상월키))</f>
        <v/>
      </c>
      <c r="K258" s="20">
        <f>IF($X258="","",SUMIFS(상세표[기록 시간외],상세표[사번키],INDEX(합계표[사번키],$X258),상세표[반영월],대상월키))</f>
        <v/>
      </c>
      <c r="L258">
        <f>IF($X258="","",IFERROR(INDEX(월별근무지표[적용 급여병원],MATCH(INDEX(합계표[사번키],$X258)&amp;"|"&amp;대상월키,월별근무지표[키],0))&amp;"",IF(COUNTIF(기관표[사번키],INDEX(합계표[사번키],$X258))+COUNTIF(월별근무지표[사번키],INDEX(합계표[사번키],$X258))&gt;0,IFERROR(INDEX(기관표[급여지급병원(기준월)],MATCH(INDEX(합계표[사번키],$X258)&amp;"|"&amp;대상월키,기관표[키],0))&amp;"","—"),"—")))</f>
        <v/>
      </c>
      <c r="M258">
        <f>IF($X258="","",IF(NOT(COUNTIF(기관표[사번키],INDEX(합계표[사번키],$X258))+COUNTIF(월별근무지표[사번키],INDEX(합계표[사번키],$X258))&gt;0),"기관명단에 없음(다른 병원으로 발송)",IF($L258="서울병원","해당",IF(N($R258)&gt;0,"해당(말일 근무)",IF($L258="—","대상월 기관명단 없음(추가 필요)","비해당")))))</f>
        <v/>
      </c>
      <c r="N258" s="20">
        <f>IF($X258="","",SUMIFS(상세표[06~07시],상세표[사번키],INDEX(합계표[사번키],$X258),상세표[반영월],대상월키,상세표[반영 기관],"서울병원"))</f>
        <v/>
      </c>
      <c r="O258" s="20">
        <f>IF($X258="","",SUMIFS(상세표[07~18시],상세표[사번키],INDEX(합계표[사번키],$X258),상세표[반영월],대상월키,상세표[반영 기관],"서울병원"))</f>
        <v/>
      </c>
      <c r="P258" s="20">
        <f>IF($X258="","",SUMIFS(상세표[18~22시],상세표[사번키],INDEX(합계표[사번키],$X258),상세표[반영월],대상월키,상세표[반영 기관],"서울병원"))</f>
        <v/>
      </c>
      <c r="Q258" s="20">
        <f>IF($X258="","",SUMIFS(상세표[22~06시],상세표[사번키],INDEX(합계표[사번키],$X258),상세표[반영월],대상월키,상세표[반영 기관],"서울병원"))</f>
        <v/>
      </c>
      <c r="R258" s="20">
        <f>IF($X258="","",SUM($N258:$Q258))</f>
        <v/>
      </c>
      <c r="S258">
        <f>IF($X258="","",COUNTIFS(상세표[사번키],INDEX(합계표[사번키],$X258),상세표[반영월],대상월키,상세표[야간당직],1,상세표[야간 구분],"평일"))</f>
        <v/>
      </c>
      <c r="T258">
        <f>IF($X258="","",COUNTIFS(상세표[사번키],INDEX(합계표[사번키],$X258),상세표[반영월],대상월키,상세표[야간당직],1,상세표[야간 구분],"휴일"))</f>
        <v/>
      </c>
      <c r="U258">
        <f>IF($X258="","",COUNTIFS(상세표[사번키],INDEX(합계표[사번키],$X258),상세표[반영월],대상월키,상세표[야간당직],1,상세표[야간 구분],"평일",상세표[반영 기관],"서울병원"))</f>
        <v/>
      </c>
      <c r="V258">
        <f>IF($X258="","",COUNTIFS(상세표[사번키],INDEX(합계표[사번키],$X258),상세표[반영월],대상월키,상세표[야간당직],1,상세표[야간 구분],"휴일",상세표[반영 기관],"서울병원"))</f>
        <v/>
      </c>
      <c r="W258">
        <f>IF($X258="","",IF(ISNUMBER(MATCH(INDEX(합계표[사번키],$X258)&amp;"|"&amp;대상월키,월별근무지표[키],0)),"직접 입력",IF($L258="—","—","기관명단")))</f>
        <v/>
      </c>
      <c r="X258" s="4">
        <f>IFERROR(MATCH(253,합계표[판정순번],0),"")</f>
        <v/>
      </c>
      <c r="Z258">
        <f>IF($AC258="","",INDEX(상세표[사번],$AC258)&amp;"")</f>
        <v/>
      </c>
      <c r="AA258">
        <f>IF($AC258="","",INDEX(상세표[성명],$AC258)&amp;"")</f>
        <v/>
      </c>
      <c r="AB258" s="20">
        <f>IF($AC258="","",SUMIFS(상세표[기록 시간외],상세표[사번키],INDEX(상세표[사번키],$AC258),상세표[반영월],대상월키))</f>
        <v/>
      </c>
      <c r="AC258" s="4">
        <f>IFERROR(MATCH(253,상세표[합계없음순번],0),"")</f>
        <v/>
      </c>
    </row>
    <row r="259">
      <c r="A259">
        <f>IF($X259="","",INDEX(합계표[사번],$X259)&amp;"")</f>
        <v/>
      </c>
      <c r="B259">
        <f>IF($X259="","",INDEX(합계표[성명],$X259)&amp;"")</f>
        <v/>
      </c>
      <c r="C259">
        <f>IF($X259="","",INDEX(합계표[부서],$X259)&amp;"")</f>
        <v/>
      </c>
      <c r="D259">
        <f>IF($X259="","",INDEX(합계표[직위(요약)],$X259)&amp;"")</f>
        <v/>
      </c>
      <c r="E259">
        <f>IF($X259="","",INDEX(합계표[직급 공존],$X259)&amp;"")</f>
        <v/>
      </c>
      <c r="F259" s="20">
        <f>IF($X259="","",SUMIFS(합계표[시스템 합계],합계표[사번키],INDEX(합계표[사번키],$X259)))</f>
        <v/>
      </c>
      <c r="G259" s="20">
        <f>IF($X259="","",SUMIFS(상세표[기록 시간외],상세표[사번키],INDEX(합계표[사번키],$X259),상세표[기록월],대상월키))</f>
        <v/>
      </c>
      <c r="H259">
        <f>IF($X259="","",IF(ABS($F259-$G259)&lt;0.01,"일치","불일치(차이 "&amp;TEXT($G259-$F259,"0.00")&amp;")"))</f>
        <v/>
      </c>
      <c r="I259" s="20">
        <f>IF($X259="","",SUMIFS(상세표[기록 시간외],상세표[사번키],INDEX(합계표[사번키],$X259),상세표[기록월],대상월키,상세표[반영월],"&lt;&gt;"&amp;대상월키))</f>
        <v/>
      </c>
      <c r="J259" s="20">
        <f>IF($X259="","",SUMIFS(상세표[기록 시간외],상세표[사번키],INDEX(합계표[사번키],$X259),상세표[기록월],"&lt;&gt;"&amp;대상월키,상세표[반영월],대상월키))</f>
        <v/>
      </c>
      <c r="K259" s="20">
        <f>IF($X259="","",SUMIFS(상세표[기록 시간외],상세표[사번키],INDEX(합계표[사번키],$X259),상세표[반영월],대상월키))</f>
        <v/>
      </c>
      <c r="L259">
        <f>IF($X259="","",IFERROR(INDEX(월별근무지표[적용 급여병원],MATCH(INDEX(합계표[사번키],$X259)&amp;"|"&amp;대상월키,월별근무지표[키],0))&amp;"",IF(COUNTIF(기관표[사번키],INDEX(합계표[사번키],$X259))+COUNTIF(월별근무지표[사번키],INDEX(합계표[사번키],$X259))&gt;0,IFERROR(INDEX(기관표[급여지급병원(기준월)],MATCH(INDEX(합계표[사번키],$X259)&amp;"|"&amp;대상월키,기관표[키],0))&amp;"","—"),"—")))</f>
        <v/>
      </c>
      <c r="M259">
        <f>IF($X259="","",IF(NOT(COUNTIF(기관표[사번키],INDEX(합계표[사번키],$X259))+COUNTIF(월별근무지표[사번키],INDEX(합계표[사번키],$X259))&gt;0),"기관명단에 없음(다른 병원으로 발송)",IF($L259="서울병원","해당",IF(N($R259)&gt;0,"해당(말일 근무)",IF($L259="—","대상월 기관명단 없음(추가 필요)","비해당")))))</f>
        <v/>
      </c>
      <c r="N259" s="20">
        <f>IF($X259="","",SUMIFS(상세표[06~07시],상세표[사번키],INDEX(합계표[사번키],$X259),상세표[반영월],대상월키,상세표[반영 기관],"서울병원"))</f>
        <v/>
      </c>
      <c r="O259" s="20">
        <f>IF($X259="","",SUMIFS(상세표[07~18시],상세표[사번키],INDEX(합계표[사번키],$X259),상세표[반영월],대상월키,상세표[반영 기관],"서울병원"))</f>
        <v/>
      </c>
      <c r="P259" s="20">
        <f>IF($X259="","",SUMIFS(상세표[18~22시],상세표[사번키],INDEX(합계표[사번키],$X259),상세표[반영월],대상월키,상세표[반영 기관],"서울병원"))</f>
        <v/>
      </c>
      <c r="Q259" s="20">
        <f>IF($X259="","",SUMIFS(상세표[22~06시],상세표[사번키],INDEX(합계표[사번키],$X259),상세표[반영월],대상월키,상세표[반영 기관],"서울병원"))</f>
        <v/>
      </c>
      <c r="R259" s="20">
        <f>IF($X259="","",SUM($N259:$Q259))</f>
        <v/>
      </c>
      <c r="S259">
        <f>IF($X259="","",COUNTIFS(상세표[사번키],INDEX(합계표[사번키],$X259),상세표[반영월],대상월키,상세표[야간당직],1,상세표[야간 구분],"평일"))</f>
        <v/>
      </c>
      <c r="T259">
        <f>IF($X259="","",COUNTIFS(상세표[사번키],INDEX(합계표[사번키],$X259),상세표[반영월],대상월키,상세표[야간당직],1,상세표[야간 구분],"휴일"))</f>
        <v/>
      </c>
      <c r="U259">
        <f>IF($X259="","",COUNTIFS(상세표[사번키],INDEX(합계표[사번키],$X259),상세표[반영월],대상월키,상세표[야간당직],1,상세표[야간 구분],"평일",상세표[반영 기관],"서울병원"))</f>
        <v/>
      </c>
      <c r="V259">
        <f>IF($X259="","",COUNTIFS(상세표[사번키],INDEX(합계표[사번키],$X259),상세표[반영월],대상월키,상세표[야간당직],1,상세표[야간 구분],"휴일",상세표[반영 기관],"서울병원"))</f>
        <v/>
      </c>
      <c r="W259">
        <f>IF($X259="","",IF(ISNUMBER(MATCH(INDEX(합계표[사번키],$X259)&amp;"|"&amp;대상월키,월별근무지표[키],0)),"직접 입력",IF($L259="—","—","기관명단")))</f>
        <v/>
      </c>
      <c r="X259" s="4">
        <f>IFERROR(MATCH(254,합계표[판정순번],0),"")</f>
        <v/>
      </c>
      <c r="Z259">
        <f>IF($AC259="","",INDEX(상세표[사번],$AC259)&amp;"")</f>
        <v/>
      </c>
      <c r="AA259">
        <f>IF($AC259="","",INDEX(상세표[성명],$AC259)&amp;"")</f>
        <v/>
      </c>
      <c r="AB259" s="20">
        <f>IF($AC259="","",SUMIFS(상세표[기록 시간외],상세표[사번키],INDEX(상세표[사번키],$AC259),상세표[반영월],대상월키))</f>
        <v/>
      </c>
      <c r="AC259" s="4">
        <f>IFERROR(MATCH(254,상세표[합계없음순번],0),"")</f>
        <v/>
      </c>
    </row>
    <row r="260">
      <c r="A260">
        <f>IF($X260="","",INDEX(합계표[사번],$X260)&amp;"")</f>
        <v/>
      </c>
      <c r="B260">
        <f>IF($X260="","",INDEX(합계표[성명],$X260)&amp;"")</f>
        <v/>
      </c>
      <c r="C260">
        <f>IF($X260="","",INDEX(합계표[부서],$X260)&amp;"")</f>
        <v/>
      </c>
      <c r="D260">
        <f>IF($X260="","",INDEX(합계표[직위(요약)],$X260)&amp;"")</f>
        <v/>
      </c>
      <c r="E260">
        <f>IF($X260="","",INDEX(합계표[직급 공존],$X260)&amp;"")</f>
        <v/>
      </c>
      <c r="F260" s="20">
        <f>IF($X260="","",SUMIFS(합계표[시스템 합계],합계표[사번키],INDEX(합계표[사번키],$X260)))</f>
        <v/>
      </c>
      <c r="G260" s="20">
        <f>IF($X260="","",SUMIFS(상세표[기록 시간외],상세표[사번키],INDEX(합계표[사번키],$X260),상세표[기록월],대상월키))</f>
        <v/>
      </c>
      <c r="H260">
        <f>IF($X260="","",IF(ABS($F260-$G260)&lt;0.01,"일치","불일치(차이 "&amp;TEXT($G260-$F260,"0.00")&amp;")"))</f>
        <v/>
      </c>
      <c r="I260" s="20">
        <f>IF($X260="","",SUMIFS(상세표[기록 시간외],상세표[사번키],INDEX(합계표[사번키],$X260),상세표[기록월],대상월키,상세표[반영월],"&lt;&gt;"&amp;대상월키))</f>
        <v/>
      </c>
      <c r="J260" s="20">
        <f>IF($X260="","",SUMIFS(상세표[기록 시간외],상세표[사번키],INDEX(합계표[사번키],$X260),상세표[기록월],"&lt;&gt;"&amp;대상월키,상세표[반영월],대상월키))</f>
        <v/>
      </c>
      <c r="K260" s="20">
        <f>IF($X260="","",SUMIFS(상세표[기록 시간외],상세표[사번키],INDEX(합계표[사번키],$X260),상세표[반영월],대상월키))</f>
        <v/>
      </c>
      <c r="L260">
        <f>IF($X260="","",IFERROR(INDEX(월별근무지표[적용 급여병원],MATCH(INDEX(합계표[사번키],$X260)&amp;"|"&amp;대상월키,월별근무지표[키],0))&amp;"",IF(COUNTIF(기관표[사번키],INDEX(합계표[사번키],$X260))+COUNTIF(월별근무지표[사번키],INDEX(합계표[사번키],$X260))&gt;0,IFERROR(INDEX(기관표[급여지급병원(기준월)],MATCH(INDEX(합계표[사번키],$X260)&amp;"|"&amp;대상월키,기관표[키],0))&amp;"","—"),"—")))</f>
        <v/>
      </c>
      <c r="M260">
        <f>IF($X260="","",IF(NOT(COUNTIF(기관표[사번키],INDEX(합계표[사번키],$X260))+COUNTIF(월별근무지표[사번키],INDEX(합계표[사번키],$X260))&gt;0),"기관명단에 없음(다른 병원으로 발송)",IF($L260="서울병원","해당",IF(N($R260)&gt;0,"해당(말일 근무)",IF($L260="—","대상월 기관명단 없음(추가 필요)","비해당")))))</f>
        <v/>
      </c>
      <c r="N260" s="20">
        <f>IF($X260="","",SUMIFS(상세표[06~07시],상세표[사번키],INDEX(합계표[사번키],$X260),상세표[반영월],대상월키,상세표[반영 기관],"서울병원"))</f>
        <v/>
      </c>
      <c r="O260" s="20">
        <f>IF($X260="","",SUMIFS(상세표[07~18시],상세표[사번키],INDEX(합계표[사번키],$X260),상세표[반영월],대상월키,상세표[반영 기관],"서울병원"))</f>
        <v/>
      </c>
      <c r="P260" s="20">
        <f>IF($X260="","",SUMIFS(상세표[18~22시],상세표[사번키],INDEX(합계표[사번키],$X260),상세표[반영월],대상월키,상세표[반영 기관],"서울병원"))</f>
        <v/>
      </c>
      <c r="Q260" s="20">
        <f>IF($X260="","",SUMIFS(상세표[22~06시],상세표[사번키],INDEX(합계표[사번키],$X260),상세표[반영월],대상월키,상세표[반영 기관],"서울병원"))</f>
        <v/>
      </c>
      <c r="R260" s="20">
        <f>IF($X260="","",SUM($N260:$Q260))</f>
        <v/>
      </c>
      <c r="S260">
        <f>IF($X260="","",COUNTIFS(상세표[사번키],INDEX(합계표[사번키],$X260),상세표[반영월],대상월키,상세표[야간당직],1,상세표[야간 구분],"평일"))</f>
        <v/>
      </c>
      <c r="T260">
        <f>IF($X260="","",COUNTIFS(상세표[사번키],INDEX(합계표[사번키],$X260),상세표[반영월],대상월키,상세표[야간당직],1,상세표[야간 구분],"휴일"))</f>
        <v/>
      </c>
      <c r="U260">
        <f>IF($X260="","",COUNTIFS(상세표[사번키],INDEX(합계표[사번키],$X260),상세표[반영월],대상월키,상세표[야간당직],1,상세표[야간 구분],"평일",상세표[반영 기관],"서울병원"))</f>
        <v/>
      </c>
      <c r="V260">
        <f>IF($X260="","",COUNTIFS(상세표[사번키],INDEX(합계표[사번키],$X260),상세표[반영월],대상월키,상세표[야간당직],1,상세표[야간 구분],"휴일",상세표[반영 기관],"서울병원"))</f>
        <v/>
      </c>
      <c r="W260">
        <f>IF($X260="","",IF(ISNUMBER(MATCH(INDEX(합계표[사번키],$X260)&amp;"|"&amp;대상월키,월별근무지표[키],0)),"직접 입력",IF($L260="—","—","기관명단")))</f>
        <v/>
      </c>
      <c r="X260" s="4">
        <f>IFERROR(MATCH(255,합계표[판정순번],0),"")</f>
        <v/>
      </c>
      <c r="Z260">
        <f>IF($AC260="","",INDEX(상세표[사번],$AC260)&amp;"")</f>
        <v/>
      </c>
      <c r="AA260">
        <f>IF($AC260="","",INDEX(상세표[성명],$AC260)&amp;"")</f>
        <v/>
      </c>
      <c r="AB260" s="20">
        <f>IF($AC260="","",SUMIFS(상세표[기록 시간외],상세표[사번키],INDEX(상세표[사번키],$AC260),상세표[반영월],대상월키))</f>
        <v/>
      </c>
      <c r="AC260" s="4">
        <f>IFERROR(MATCH(255,상세표[합계없음순번],0),"")</f>
        <v/>
      </c>
    </row>
    <row r="261">
      <c r="A261">
        <f>IF($X261="","",INDEX(합계표[사번],$X261)&amp;"")</f>
        <v/>
      </c>
      <c r="B261">
        <f>IF($X261="","",INDEX(합계표[성명],$X261)&amp;"")</f>
        <v/>
      </c>
      <c r="C261">
        <f>IF($X261="","",INDEX(합계표[부서],$X261)&amp;"")</f>
        <v/>
      </c>
      <c r="D261">
        <f>IF($X261="","",INDEX(합계표[직위(요약)],$X261)&amp;"")</f>
        <v/>
      </c>
      <c r="E261">
        <f>IF($X261="","",INDEX(합계표[직급 공존],$X261)&amp;"")</f>
        <v/>
      </c>
      <c r="F261" s="20">
        <f>IF($X261="","",SUMIFS(합계표[시스템 합계],합계표[사번키],INDEX(합계표[사번키],$X261)))</f>
        <v/>
      </c>
      <c r="G261" s="20">
        <f>IF($X261="","",SUMIFS(상세표[기록 시간외],상세표[사번키],INDEX(합계표[사번키],$X261),상세표[기록월],대상월키))</f>
        <v/>
      </c>
      <c r="H261">
        <f>IF($X261="","",IF(ABS($F261-$G261)&lt;0.01,"일치","불일치(차이 "&amp;TEXT($G261-$F261,"0.00")&amp;")"))</f>
        <v/>
      </c>
      <c r="I261" s="20">
        <f>IF($X261="","",SUMIFS(상세표[기록 시간외],상세표[사번키],INDEX(합계표[사번키],$X261),상세표[기록월],대상월키,상세표[반영월],"&lt;&gt;"&amp;대상월키))</f>
        <v/>
      </c>
      <c r="J261" s="20">
        <f>IF($X261="","",SUMIFS(상세표[기록 시간외],상세표[사번키],INDEX(합계표[사번키],$X261),상세표[기록월],"&lt;&gt;"&amp;대상월키,상세표[반영월],대상월키))</f>
        <v/>
      </c>
      <c r="K261" s="20">
        <f>IF($X261="","",SUMIFS(상세표[기록 시간외],상세표[사번키],INDEX(합계표[사번키],$X261),상세표[반영월],대상월키))</f>
        <v/>
      </c>
      <c r="L261">
        <f>IF($X261="","",IFERROR(INDEX(월별근무지표[적용 급여병원],MATCH(INDEX(합계표[사번키],$X261)&amp;"|"&amp;대상월키,월별근무지표[키],0))&amp;"",IF(COUNTIF(기관표[사번키],INDEX(합계표[사번키],$X261))+COUNTIF(월별근무지표[사번키],INDEX(합계표[사번키],$X261))&gt;0,IFERROR(INDEX(기관표[급여지급병원(기준월)],MATCH(INDEX(합계표[사번키],$X261)&amp;"|"&amp;대상월키,기관표[키],0))&amp;"","—"),"—")))</f>
        <v/>
      </c>
      <c r="M261">
        <f>IF($X261="","",IF(NOT(COUNTIF(기관표[사번키],INDEX(합계표[사번키],$X261))+COUNTIF(월별근무지표[사번키],INDEX(합계표[사번키],$X261))&gt;0),"기관명단에 없음(다른 병원으로 발송)",IF($L261="서울병원","해당",IF(N($R261)&gt;0,"해당(말일 근무)",IF($L261="—","대상월 기관명단 없음(추가 필요)","비해당")))))</f>
        <v/>
      </c>
      <c r="N261" s="20">
        <f>IF($X261="","",SUMIFS(상세표[06~07시],상세표[사번키],INDEX(합계표[사번키],$X261),상세표[반영월],대상월키,상세표[반영 기관],"서울병원"))</f>
        <v/>
      </c>
      <c r="O261" s="20">
        <f>IF($X261="","",SUMIFS(상세표[07~18시],상세표[사번키],INDEX(합계표[사번키],$X261),상세표[반영월],대상월키,상세표[반영 기관],"서울병원"))</f>
        <v/>
      </c>
      <c r="P261" s="20">
        <f>IF($X261="","",SUMIFS(상세표[18~22시],상세표[사번키],INDEX(합계표[사번키],$X261),상세표[반영월],대상월키,상세표[반영 기관],"서울병원"))</f>
        <v/>
      </c>
      <c r="Q261" s="20">
        <f>IF($X261="","",SUMIFS(상세표[22~06시],상세표[사번키],INDEX(합계표[사번키],$X261),상세표[반영월],대상월키,상세표[반영 기관],"서울병원"))</f>
        <v/>
      </c>
      <c r="R261" s="20">
        <f>IF($X261="","",SUM($N261:$Q261))</f>
        <v/>
      </c>
      <c r="S261">
        <f>IF($X261="","",COUNTIFS(상세표[사번키],INDEX(합계표[사번키],$X261),상세표[반영월],대상월키,상세표[야간당직],1,상세표[야간 구분],"평일"))</f>
        <v/>
      </c>
      <c r="T261">
        <f>IF($X261="","",COUNTIFS(상세표[사번키],INDEX(합계표[사번키],$X261),상세표[반영월],대상월키,상세표[야간당직],1,상세표[야간 구분],"휴일"))</f>
        <v/>
      </c>
      <c r="U261">
        <f>IF($X261="","",COUNTIFS(상세표[사번키],INDEX(합계표[사번키],$X261),상세표[반영월],대상월키,상세표[야간당직],1,상세표[야간 구분],"평일",상세표[반영 기관],"서울병원"))</f>
        <v/>
      </c>
      <c r="V261">
        <f>IF($X261="","",COUNTIFS(상세표[사번키],INDEX(합계표[사번키],$X261),상세표[반영월],대상월키,상세표[야간당직],1,상세표[야간 구분],"휴일",상세표[반영 기관],"서울병원"))</f>
        <v/>
      </c>
      <c r="W261">
        <f>IF($X261="","",IF(ISNUMBER(MATCH(INDEX(합계표[사번키],$X261)&amp;"|"&amp;대상월키,월별근무지표[키],0)),"직접 입력",IF($L261="—","—","기관명단")))</f>
        <v/>
      </c>
      <c r="X261" s="4">
        <f>IFERROR(MATCH(256,합계표[판정순번],0),"")</f>
        <v/>
      </c>
      <c r="Z261">
        <f>IF($AC261="","",INDEX(상세표[사번],$AC261)&amp;"")</f>
        <v/>
      </c>
      <c r="AA261">
        <f>IF($AC261="","",INDEX(상세표[성명],$AC261)&amp;"")</f>
        <v/>
      </c>
      <c r="AB261" s="20">
        <f>IF($AC261="","",SUMIFS(상세표[기록 시간외],상세표[사번키],INDEX(상세표[사번키],$AC261),상세표[반영월],대상월키))</f>
        <v/>
      </c>
      <c r="AC261" s="4">
        <f>IFERROR(MATCH(256,상세표[합계없음순번],0),"")</f>
        <v/>
      </c>
    </row>
    <row r="262">
      <c r="A262">
        <f>IF($X262="","",INDEX(합계표[사번],$X262)&amp;"")</f>
        <v/>
      </c>
      <c r="B262">
        <f>IF($X262="","",INDEX(합계표[성명],$X262)&amp;"")</f>
        <v/>
      </c>
      <c r="C262">
        <f>IF($X262="","",INDEX(합계표[부서],$X262)&amp;"")</f>
        <v/>
      </c>
      <c r="D262">
        <f>IF($X262="","",INDEX(합계표[직위(요약)],$X262)&amp;"")</f>
        <v/>
      </c>
      <c r="E262">
        <f>IF($X262="","",INDEX(합계표[직급 공존],$X262)&amp;"")</f>
        <v/>
      </c>
      <c r="F262" s="20">
        <f>IF($X262="","",SUMIFS(합계표[시스템 합계],합계표[사번키],INDEX(합계표[사번키],$X262)))</f>
        <v/>
      </c>
      <c r="G262" s="20">
        <f>IF($X262="","",SUMIFS(상세표[기록 시간외],상세표[사번키],INDEX(합계표[사번키],$X262),상세표[기록월],대상월키))</f>
        <v/>
      </c>
      <c r="H262">
        <f>IF($X262="","",IF(ABS($F262-$G262)&lt;0.01,"일치","불일치(차이 "&amp;TEXT($G262-$F262,"0.00")&amp;")"))</f>
        <v/>
      </c>
      <c r="I262" s="20">
        <f>IF($X262="","",SUMIFS(상세표[기록 시간외],상세표[사번키],INDEX(합계표[사번키],$X262),상세표[기록월],대상월키,상세표[반영월],"&lt;&gt;"&amp;대상월키))</f>
        <v/>
      </c>
      <c r="J262" s="20">
        <f>IF($X262="","",SUMIFS(상세표[기록 시간외],상세표[사번키],INDEX(합계표[사번키],$X262),상세표[기록월],"&lt;&gt;"&amp;대상월키,상세표[반영월],대상월키))</f>
        <v/>
      </c>
      <c r="K262" s="20">
        <f>IF($X262="","",SUMIFS(상세표[기록 시간외],상세표[사번키],INDEX(합계표[사번키],$X262),상세표[반영월],대상월키))</f>
        <v/>
      </c>
      <c r="L262">
        <f>IF($X262="","",IFERROR(INDEX(월별근무지표[적용 급여병원],MATCH(INDEX(합계표[사번키],$X262)&amp;"|"&amp;대상월키,월별근무지표[키],0))&amp;"",IF(COUNTIF(기관표[사번키],INDEX(합계표[사번키],$X262))+COUNTIF(월별근무지표[사번키],INDEX(합계표[사번키],$X262))&gt;0,IFERROR(INDEX(기관표[급여지급병원(기준월)],MATCH(INDEX(합계표[사번키],$X262)&amp;"|"&amp;대상월키,기관표[키],0))&amp;"","—"),"—")))</f>
        <v/>
      </c>
      <c r="M262">
        <f>IF($X262="","",IF(NOT(COUNTIF(기관표[사번키],INDEX(합계표[사번키],$X262))+COUNTIF(월별근무지표[사번키],INDEX(합계표[사번키],$X262))&gt;0),"기관명단에 없음(다른 병원으로 발송)",IF($L262="서울병원","해당",IF(N($R262)&gt;0,"해당(말일 근무)",IF($L262="—","대상월 기관명단 없음(추가 필요)","비해당")))))</f>
        <v/>
      </c>
      <c r="N262" s="20">
        <f>IF($X262="","",SUMIFS(상세표[06~07시],상세표[사번키],INDEX(합계표[사번키],$X262),상세표[반영월],대상월키,상세표[반영 기관],"서울병원"))</f>
        <v/>
      </c>
      <c r="O262" s="20">
        <f>IF($X262="","",SUMIFS(상세표[07~18시],상세표[사번키],INDEX(합계표[사번키],$X262),상세표[반영월],대상월키,상세표[반영 기관],"서울병원"))</f>
        <v/>
      </c>
      <c r="P262" s="20">
        <f>IF($X262="","",SUMIFS(상세표[18~22시],상세표[사번키],INDEX(합계표[사번키],$X262),상세표[반영월],대상월키,상세표[반영 기관],"서울병원"))</f>
        <v/>
      </c>
      <c r="Q262" s="20">
        <f>IF($X262="","",SUMIFS(상세표[22~06시],상세표[사번키],INDEX(합계표[사번키],$X262),상세표[반영월],대상월키,상세표[반영 기관],"서울병원"))</f>
        <v/>
      </c>
      <c r="R262" s="20">
        <f>IF($X262="","",SUM($N262:$Q262))</f>
        <v/>
      </c>
      <c r="S262">
        <f>IF($X262="","",COUNTIFS(상세표[사번키],INDEX(합계표[사번키],$X262),상세표[반영월],대상월키,상세표[야간당직],1,상세표[야간 구분],"평일"))</f>
        <v/>
      </c>
      <c r="T262">
        <f>IF($X262="","",COUNTIFS(상세표[사번키],INDEX(합계표[사번키],$X262),상세표[반영월],대상월키,상세표[야간당직],1,상세표[야간 구분],"휴일"))</f>
        <v/>
      </c>
      <c r="U262">
        <f>IF($X262="","",COUNTIFS(상세표[사번키],INDEX(합계표[사번키],$X262),상세표[반영월],대상월키,상세표[야간당직],1,상세표[야간 구분],"평일",상세표[반영 기관],"서울병원"))</f>
        <v/>
      </c>
      <c r="V262">
        <f>IF($X262="","",COUNTIFS(상세표[사번키],INDEX(합계표[사번키],$X262),상세표[반영월],대상월키,상세표[야간당직],1,상세표[야간 구분],"휴일",상세표[반영 기관],"서울병원"))</f>
        <v/>
      </c>
      <c r="W262">
        <f>IF($X262="","",IF(ISNUMBER(MATCH(INDEX(합계표[사번키],$X262)&amp;"|"&amp;대상월키,월별근무지표[키],0)),"직접 입력",IF($L262="—","—","기관명단")))</f>
        <v/>
      </c>
      <c r="X262" s="4">
        <f>IFERROR(MATCH(257,합계표[판정순번],0),"")</f>
        <v/>
      </c>
      <c r="Z262">
        <f>IF($AC262="","",INDEX(상세표[사번],$AC262)&amp;"")</f>
        <v/>
      </c>
      <c r="AA262">
        <f>IF($AC262="","",INDEX(상세표[성명],$AC262)&amp;"")</f>
        <v/>
      </c>
      <c r="AB262" s="20">
        <f>IF($AC262="","",SUMIFS(상세표[기록 시간외],상세표[사번키],INDEX(상세표[사번키],$AC262),상세표[반영월],대상월키))</f>
        <v/>
      </c>
      <c r="AC262" s="4">
        <f>IFERROR(MATCH(257,상세표[합계없음순번],0),"")</f>
        <v/>
      </c>
    </row>
    <row r="263">
      <c r="A263">
        <f>IF($X263="","",INDEX(합계표[사번],$X263)&amp;"")</f>
        <v/>
      </c>
      <c r="B263">
        <f>IF($X263="","",INDEX(합계표[성명],$X263)&amp;"")</f>
        <v/>
      </c>
      <c r="C263">
        <f>IF($X263="","",INDEX(합계표[부서],$X263)&amp;"")</f>
        <v/>
      </c>
      <c r="D263">
        <f>IF($X263="","",INDEX(합계표[직위(요약)],$X263)&amp;"")</f>
        <v/>
      </c>
      <c r="E263">
        <f>IF($X263="","",INDEX(합계표[직급 공존],$X263)&amp;"")</f>
        <v/>
      </c>
      <c r="F263" s="20">
        <f>IF($X263="","",SUMIFS(합계표[시스템 합계],합계표[사번키],INDEX(합계표[사번키],$X263)))</f>
        <v/>
      </c>
      <c r="G263" s="20">
        <f>IF($X263="","",SUMIFS(상세표[기록 시간외],상세표[사번키],INDEX(합계표[사번키],$X263),상세표[기록월],대상월키))</f>
        <v/>
      </c>
      <c r="H263">
        <f>IF($X263="","",IF(ABS($F263-$G263)&lt;0.01,"일치","불일치(차이 "&amp;TEXT($G263-$F263,"0.00")&amp;")"))</f>
        <v/>
      </c>
      <c r="I263" s="20">
        <f>IF($X263="","",SUMIFS(상세표[기록 시간외],상세표[사번키],INDEX(합계표[사번키],$X263),상세표[기록월],대상월키,상세표[반영월],"&lt;&gt;"&amp;대상월키))</f>
        <v/>
      </c>
      <c r="J263" s="20">
        <f>IF($X263="","",SUMIFS(상세표[기록 시간외],상세표[사번키],INDEX(합계표[사번키],$X263),상세표[기록월],"&lt;&gt;"&amp;대상월키,상세표[반영월],대상월키))</f>
        <v/>
      </c>
      <c r="K263" s="20">
        <f>IF($X263="","",SUMIFS(상세표[기록 시간외],상세표[사번키],INDEX(합계표[사번키],$X263),상세표[반영월],대상월키))</f>
        <v/>
      </c>
      <c r="L263">
        <f>IF($X263="","",IFERROR(INDEX(월별근무지표[적용 급여병원],MATCH(INDEX(합계표[사번키],$X263)&amp;"|"&amp;대상월키,월별근무지표[키],0))&amp;"",IF(COUNTIF(기관표[사번키],INDEX(합계표[사번키],$X263))+COUNTIF(월별근무지표[사번키],INDEX(합계표[사번키],$X263))&gt;0,IFERROR(INDEX(기관표[급여지급병원(기준월)],MATCH(INDEX(합계표[사번키],$X263)&amp;"|"&amp;대상월키,기관표[키],0))&amp;"","—"),"—")))</f>
        <v/>
      </c>
      <c r="M263">
        <f>IF($X263="","",IF(NOT(COUNTIF(기관표[사번키],INDEX(합계표[사번키],$X263))+COUNTIF(월별근무지표[사번키],INDEX(합계표[사번키],$X263))&gt;0),"기관명단에 없음(다른 병원으로 발송)",IF($L263="서울병원","해당",IF(N($R263)&gt;0,"해당(말일 근무)",IF($L263="—","대상월 기관명단 없음(추가 필요)","비해당")))))</f>
        <v/>
      </c>
      <c r="N263" s="20">
        <f>IF($X263="","",SUMIFS(상세표[06~07시],상세표[사번키],INDEX(합계표[사번키],$X263),상세표[반영월],대상월키,상세표[반영 기관],"서울병원"))</f>
        <v/>
      </c>
      <c r="O263" s="20">
        <f>IF($X263="","",SUMIFS(상세표[07~18시],상세표[사번키],INDEX(합계표[사번키],$X263),상세표[반영월],대상월키,상세표[반영 기관],"서울병원"))</f>
        <v/>
      </c>
      <c r="P263" s="20">
        <f>IF($X263="","",SUMIFS(상세표[18~22시],상세표[사번키],INDEX(합계표[사번키],$X263),상세표[반영월],대상월키,상세표[반영 기관],"서울병원"))</f>
        <v/>
      </c>
      <c r="Q263" s="20">
        <f>IF($X263="","",SUMIFS(상세표[22~06시],상세표[사번키],INDEX(합계표[사번키],$X263),상세표[반영월],대상월키,상세표[반영 기관],"서울병원"))</f>
        <v/>
      </c>
      <c r="R263" s="20">
        <f>IF($X263="","",SUM($N263:$Q263))</f>
        <v/>
      </c>
      <c r="S263">
        <f>IF($X263="","",COUNTIFS(상세표[사번키],INDEX(합계표[사번키],$X263),상세표[반영월],대상월키,상세표[야간당직],1,상세표[야간 구분],"평일"))</f>
        <v/>
      </c>
      <c r="T263">
        <f>IF($X263="","",COUNTIFS(상세표[사번키],INDEX(합계표[사번키],$X263),상세표[반영월],대상월키,상세표[야간당직],1,상세표[야간 구분],"휴일"))</f>
        <v/>
      </c>
      <c r="U263">
        <f>IF($X263="","",COUNTIFS(상세표[사번키],INDEX(합계표[사번키],$X263),상세표[반영월],대상월키,상세표[야간당직],1,상세표[야간 구분],"평일",상세표[반영 기관],"서울병원"))</f>
        <v/>
      </c>
      <c r="V263">
        <f>IF($X263="","",COUNTIFS(상세표[사번키],INDEX(합계표[사번키],$X263),상세표[반영월],대상월키,상세표[야간당직],1,상세표[야간 구분],"휴일",상세표[반영 기관],"서울병원"))</f>
        <v/>
      </c>
      <c r="W263">
        <f>IF($X263="","",IF(ISNUMBER(MATCH(INDEX(합계표[사번키],$X263)&amp;"|"&amp;대상월키,월별근무지표[키],0)),"직접 입력",IF($L263="—","—","기관명단")))</f>
        <v/>
      </c>
      <c r="X263" s="4">
        <f>IFERROR(MATCH(258,합계표[판정순번],0),"")</f>
        <v/>
      </c>
      <c r="Z263">
        <f>IF($AC263="","",INDEX(상세표[사번],$AC263)&amp;"")</f>
        <v/>
      </c>
      <c r="AA263">
        <f>IF($AC263="","",INDEX(상세표[성명],$AC263)&amp;"")</f>
        <v/>
      </c>
      <c r="AB263" s="20">
        <f>IF($AC263="","",SUMIFS(상세표[기록 시간외],상세표[사번키],INDEX(상세표[사번키],$AC263),상세표[반영월],대상월키))</f>
        <v/>
      </c>
      <c r="AC263" s="4">
        <f>IFERROR(MATCH(258,상세표[합계없음순번],0),"")</f>
        <v/>
      </c>
    </row>
    <row r="264">
      <c r="A264">
        <f>IF($X264="","",INDEX(합계표[사번],$X264)&amp;"")</f>
        <v/>
      </c>
      <c r="B264">
        <f>IF($X264="","",INDEX(합계표[성명],$X264)&amp;"")</f>
        <v/>
      </c>
      <c r="C264">
        <f>IF($X264="","",INDEX(합계표[부서],$X264)&amp;"")</f>
        <v/>
      </c>
      <c r="D264">
        <f>IF($X264="","",INDEX(합계표[직위(요약)],$X264)&amp;"")</f>
        <v/>
      </c>
      <c r="E264">
        <f>IF($X264="","",INDEX(합계표[직급 공존],$X264)&amp;"")</f>
        <v/>
      </c>
      <c r="F264" s="20">
        <f>IF($X264="","",SUMIFS(합계표[시스템 합계],합계표[사번키],INDEX(합계표[사번키],$X264)))</f>
        <v/>
      </c>
      <c r="G264" s="20">
        <f>IF($X264="","",SUMIFS(상세표[기록 시간외],상세표[사번키],INDEX(합계표[사번키],$X264),상세표[기록월],대상월키))</f>
        <v/>
      </c>
      <c r="H264">
        <f>IF($X264="","",IF(ABS($F264-$G264)&lt;0.01,"일치","불일치(차이 "&amp;TEXT($G264-$F264,"0.00")&amp;")"))</f>
        <v/>
      </c>
      <c r="I264" s="20">
        <f>IF($X264="","",SUMIFS(상세표[기록 시간외],상세표[사번키],INDEX(합계표[사번키],$X264),상세표[기록월],대상월키,상세표[반영월],"&lt;&gt;"&amp;대상월키))</f>
        <v/>
      </c>
      <c r="J264" s="20">
        <f>IF($X264="","",SUMIFS(상세표[기록 시간외],상세표[사번키],INDEX(합계표[사번키],$X264),상세표[기록월],"&lt;&gt;"&amp;대상월키,상세표[반영월],대상월키))</f>
        <v/>
      </c>
      <c r="K264" s="20">
        <f>IF($X264="","",SUMIFS(상세표[기록 시간외],상세표[사번키],INDEX(합계표[사번키],$X264),상세표[반영월],대상월키))</f>
        <v/>
      </c>
      <c r="L264">
        <f>IF($X264="","",IFERROR(INDEX(월별근무지표[적용 급여병원],MATCH(INDEX(합계표[사번키],$X264)&amp;"|"&amp;대상월키,월별근무지표[키],0))&amp;"",IF(COUNTIF(기관표[사번키],INDEX(합계표[사번키],$X264))+COUNTIF(월별근무지표[사번키],INDEX(합계표[사번키],$X264))&gt;0,IFERROR(INDEX(기관표[급여지급병원(기준월)],MATCH(INDEX(합계표[사번키],$X264)&amp;"|"&amp;대상월키,기관표[키],0))&amp;"","—"),"—")))</f>
        <v/>
      </c>
      <c r="M264">
        <f>IF($X264="","",IF(NOT(COUNTIF(기관표[사번키],INDEX(합계표[사번키],$X264))+COUNTIF(월별근무지표[사번키],INDEX(합계표[사번키],$X264))&gt;0),"기관명단에 없음(다른 병원으로 발송)",IF($L264="서울병원","해당",IF(N($R264)&gt;0,"해당(말일 근무)",IF($L264="—","대상월 기관명단 없음(추가 필요)","비해당")))))</f>
        <v/>
      </c>
      <c r="N264" s="20">
        <f>IF($X264="","",SUMIFS(상세표[06~07시],상세표[사번키],INDEX(합계표[사번키],$X264),상세표[반영월],대상월키,상세표[반영 기관],"서울병원"))</f>
        <v/>
      </c>
      <c r="O264" s="20">
        <f>IF($X264="","",SUMIFS(상세표[07~18시],상세표[사번키],INDEX(합계표[사번키],$X264),상세표[반영월],대상월키,상세표[반영 기관],"서울병원"))</f>
        <v/>
      </c>
      <c r="P264" s="20">
        <f>IF($X264="","",SUMIFS(상세표[18~22시],상세표[사번키],INDEX(합계표[사번키],$X264),상세표[반영월],대상월키,상세표[반영 기관],"서울병원"))</f>
        <v/>
      </c>
      <c r="Q264" s="20">
        <f>IF($X264="","",SUMIFS(상세표[22~06시],상세표[사번키],INDEX(합계표[사번키],$X264),상세표[반영월],대상월키,상세표[반영 기관],"서울병원"))</f>
        <v/>
      </c>
      <c r="R264" s="20">
        <f>IF($X264="","",SUM($N264:$Q264))</f>
        <v/>
      </c>
      <c r="S264">
        <f>IF($X264="","",COUNTIFS(상세표[사번키],INDEX(합계표[사번키],$X264),상세표[반영월],대상월키,상세표[야간당직],1,상세표[야간 구분],"평일"))</f>
        <v/>
      </c>
      <c r="T264">
        <f>IF($X264="","",COUNTIFS(상세표[사번키],INDEX(합계표[사번키],$X264),상세표[반영월],대상월키,상세표[야간당직],1,상세표[야간 구분],"휴일"))</f>
        <v/>
      </c>
      <c r="U264">
        <f>IF($X264="","",COUNTIFS(상세표[사번키],INDEX(합계표[사번키],$X264),상세표[반영월],대상월키,상세표[야간당직],1,상세표[야간 구분],"평일",상세표[반영 기관],"서울병원"))</f>
        <v/>
      </c>
      <c r="V264">
        <f>IF($X264="","",COUNTIFS(상세표[사번키],INDEX(합계표[사번키],$X264),상세표[반영월],대상월키,상세표[야간당직],1,상세표[야간 구분],"휴일",상세표[반영 기관],"서울병원"))</f>
        <v/>
      </c>
      <c r="W264">
        <f>IF($X264="","",IF(ISNUMBER(MATCH(INDEX(합계표[사번키],$X264)&amp;"|"&amp;대상월키,월별근무지표[키],0)),"직접 입력",IF($L264="—","—","기관명단")))</f>
        <v/>
      </c>
      <c r="X264" s="4">
        <f>IFERROR(MATCH(259,합계표[판정순번],0),"")</f>
        <v/>
      </c>
      <c r="Z264">
        <f>IF($AC264="","",INDEX(상세표[사번],$AC264)&amp;"")</f>
        <v/>
      </c>
      <c r="AA264">
        <f>IF($AC264="","",INDEX(상세표[성명],$AC264)&amp;"")</f>
        <v/>
      </c>
      <c r="AB264" s="20">
        <f>IF($AC264="","",SUMIFS(상세표[기록 시간외],상세표[사번키],INDEX(상세표[사번키],$AC264),상세표[반영월],대상월키))</f>
        <v/>
      </c>
      <c r="AC264" s="4">
        <f>IFERROR(MATCH(259,상세표[합계없음순번],0),"")</f>
        <v/>
      </c>
    </row>
    <row r="265">
      <c r="A265">
        <f>IF($X265="","",INDEX(합계표[사번],$X265)&amp;"")</f>
        <v/>
      </c>
      <c r="B265">
        <f>IF($X265="","",INDEX(합계표[성명],$X265)&amp;"")</f>
        <v/>
      </c>
      <c r="C265">
        <f>IF($X265="","",INDEX(합계표[부서],$X265)&amp;"")</f>
        <v/>
      </c>
      <c r="D265">
        <f>IF($X265="","",INDEX(합계표[직위(요약)],$X265)&amp;"")</f>
        <v/>
      </c>
      <c r="E265">
        <f>IF($X265="","",INDEX(합계표[직급 공존],$X265)&amp;"")</f>
        <v/>
      </c>
      <c r="F265" s="20">
        <f>IF($X265="","",SUMIFS(합계표[시스템 합계],합계표[사번키],INDEX(합계표[사번키],$X265)))</f>
        <v/>
      </c>
      <c r="G265" s="20">
        <f>IF($X265="","",SUMIFS(상세표[기록 시간외],상세표[사번키],INDEX(합계표[사번키],$X265),상세표[기록월],대상월키))</f>
        <v/>
      </c>
      <c r="H265">
        <f>IF($X265="","",IF(ABS($F265-$G265)&lt;0.01,"일치","불일치(차이 "&amp;TEXT($G265-$F265,"0.00")&amp;")"))</f>
        <v/>
      </c>
      <c r="I265" s="20">
        <f>IF($X265="","",SUMIFS(상세표[기록 시간외],상세표[사번키],INDEX(합계표[사번키],$X265),상세표[기록월],대상월키,상세표[반영월],"&lt;&gt;"&amp;대상월키))</f>
        <v/>
      </c>
      <c r="J265" s="20">
        <f>IF($X265="","",SUMIFS(상세표[기록 시간외],상세표[사번키],INDEX(합계표[사번키],$X265),상세표[기록월],"&lt;&gt;"&amp;대상월키,상세표[반영월],대상월키))</f>
        <v/>
      </c>
      <c r="K265" s="20">
        <f>IF($X265="","",SUMIFS(상세표[기록 시간외],상세표[사번키],INDEX(합계표[사번키],$X265),상세표[반영월],대상월키))</f>
        <v/>
      </c>
      <c r="L265">
        <f>IF($X265="","",IFERROR(INDEX(월별근무지표[적용 급여병원],MATCH(INDEX(합계표[사번키],$X265)&amp;"|"&amp;대상월키,월별근무지표[키],0))&amp;"",IF(COUNTIF(기관표[사번키],INDEX(합계표[사번키],$X265))+COUNTIF(월별근무지표[사번키],INDEX(합계표[사번키],$X265))&gt;0,IFERROR(INDEX(기관표[급여지급병원(기준월)],MATCH(INDEX(합계표[사번키],$X265)&amp;"|"&amp;대상월키,기관표[키],0))&amp;"","—"),"—")))</f>
        <v/>
      </c>
      <c r="M265">
        <f>IF($X265="","",IF(NOT(COUNTIF(기관표[사번키],INDEX(합계표[사번키],$X265))+COUNTIF(월별근무지표[사번키],INDEX(합계표[사번키],$X265))&gt;0),"기관명단에 없음(다른 병원으로 발송)",IF($L265="서울병원","해당",IF(N($R265)&gt;0,"해당(말일 근무)",IF($L265="—","대상월 기관명단 없음(추가 필요)","비해당")))))</f>
        <v/>
      </c>
      <c r="N265" s="20">
        <f>IF($X265="","",SUMIFS(상세표[06~07시],상세표[사번키],INDEX(합계표[사번키],$X265),상세표[반영월],대상월키,상세표[반영 기관],"서울병원"))</f>
        <v/>
      </c>
      <c r="O265" s="20">
        <f>IF($X265="","",SUMIFS(상세표[07~18시],상세표[사번키],INDEX(합계표[사번키],$X265),상세표[반영월],대상월키,상세표[반영 기관],"서울병원"))</f>
        <v/>
      </c>
      <c r="P265" s="20">
        <f>IF($X265="","",SUMIFS(상세표[18~22시],상세표[사번키],INDEX(합계표[사번키],$X265),상세표[반영월],대상월키,상세표[반영 기관],"서울병원"))</f>
        <v/>
      </c>
      <c r="Q265" s="20">
        <f>IF($X265="","",SUMIFS(상세표[22~06시],상세표[사번키],INDEX(합계표[사번키],$X265),상세표[반영월],대상월키,상세표[반영 기관],"서울병원"))</f>
        <v/>
      </c>
      <c r="R265" s="20">
        <f>IF($X265="","",SUM($N265:$Q265))</f>
        <v/>
      </c>
      <c r="S265">
        <f>IF($X265="","",COUNTIFS(상세표[사번키],INDEX(합계표[사번키],$X265),상세표[반영월],대상월키,상세표[야간당직],1,상세표[야간 구분],"평일"))</f>
        <v/>
      </c>
      <c r="T265">
        <f>IF($X265="","",COUNTIFS(상세표[사번키],INDEX(합계표[사번키],$X265),상세표[반영월],대상월키,상세표[야간당직],1,상세표[야간 구분],"휴일"))</f>
        <v/>
      </c>
      <c r="U265">
        <f>IF($X265="","",COUNTIFS(상세표[사번키],INDEX(합계표[사번키],$X265),상세표[반영월],대상월키,상세표[야간당직],1,상세표[야간 구분],"평일",상세표[반영 기관],"서울병원"))</f>
        <v/>
      </c>
      <c r="V265">
        <f>IF($X265="","",COUNTIFS(상세표[사번키],INDEX(합계표[사번키],$X265),상세표[반영월],대상월키,상세표[야간당직],1,상세표[야간 구분],"휴일",상세표[반영 기관],"서울병원"))</f>
        <v/>
      </c>
      <c r="W265">
        <f>IF($X265="","",IF(ISNUMBER(MATCH(INDEX(합계표[사번키],$X265)&amp;"|"&amp;대상월키,월별근무지표[키],0)),"직접 입력",IF($L265="—","—","기관명단")))</f>
        <v/>
      </c>
      <c r="X265" s="4">
        <f>IFERROR(MATCH(260,합계표[판정순번],0),"")</f>
        <v/>
      </c>
      <c r="Z265">
        <f>IF($AC265="","",INDEX(상세표[사번],$AC265)&amp;"")</f>
        <v/>
      </c>
      <c r="AA265">
        <f>IF($AC265="","",INDEX(상세표[성명],$AC265)&amp;"")</f>
        <v/>
      </c>
      <c r="AB265" s="20">
        <f>IF($AC265="","",SUMIFS(상세표[기록 시간외],상세표[사번키],INDEX(상세표[사번키],$AC265),상세표[반영월],대상월키))</f>
        <v/>
      </c>
      <c r="AC265" s="4">
        <f>IFERROR(MATCH(260,상세표[합계없음순번],0),"")</f>
        <v/>
      </c>
    </row>
    <row r="266">
      <c r="A266">
        <f>IF($X266="","",INDEX(합계표[사번],$X266)&amp;"")</f>
        <v/>
      </c>
      <c r="B266">
        <f>IF($X266="","",INDEX(합계표[성명],$X266)&amp;"")</f>
        <v/>
      </c>
      <c r="C266">
        <f>IF($X266="","",INDEX(합계표[부서],$X266)&amp;"")</f>
        <v/>
      </c>
      <c r="D266">
        <f>IF($X266="","",INDEX(합계표[직위(요약)],$X266)&amp;"")</f>
        <v/>
      </c>
      <c r="E266">
        <f>IF($X266="","",INDEX(합계표[직급 공존],$X266)&amp;"")</f>
        <v/>
      </c>
      <c r="F266" s="20">
        <f>IF($X266="","",SUMIFS(합계표[시스템 합계],합계표[사번키],INDEX(합계표[사번키],$X266)))</f>
        <v/>
      </c>
      <c r="G266" s="20">
        <f>IF($X266="","",SUMIFS(상세표[기록 시간외],상세표[사번키],INDEX(합계표[사번키],$X266),상세표[기록월],대상월키))</f>
        <v/>
      </c>
      <c r="H266">
        <f>IF($X266="","",IF(ABS($F266-$G266)&lt;0.01,"일치","불일치(차이 "&amp;TEXT($G266-$F266,"0.00")&amp;")"))</f>
        <v/>
      </c>
      <c r="I266" s="20">
        <f>IF($X266="","",SUMIFS(상세표[기록 시간외],상세표[사번키],INDEX(합계표[사번키],$X266),상세표[기록월],대상월키,상세표[반영월],"&lt;&gt;"&amp;대상월키))</f>
        <v/>
      </c>
      <c r="J266" s="20">
        <f>IF($X266="","",SUMIFS(상세표[기록 시간외],상세표[사번키],INDEX(합계표[사번키],$X266),상세표[기록월],"&lt;&gt;"&amp;대상월키,상세표[반영월],대상월키))</f>
        <v/>
      </c>
      <c r="K266" s="20">
        <f>IF($X266="","",SUMIFS(상세표[기록 시간외],상세표[사번키],INDEX(합계표[사번키],$X266),상세표[반영월],대상월키))</f>
        <v/>
      </c>
      <c r="L266">
        <f>IF($X266="","",IFERROR(INDEX(월별근무지표[적용 급여병원],MATCH(INDEX(합계표[사번키],$X266)&amp;"|"&amp;대상월키,월별근무지표[키],0))&amp;"",IF(COUNTIF(기관표[사번키],INDEX(합계표[사번키],$X266))+COUNTIF(월별근무지표[사번키],INDEX(합계표[사번키],$X266))&gt;0,IFERROR(INDEX(기관표[급여지급병원(기준월)],MATCH(INDEX(합계표[사번키],$X266)&amp;"|"&amp;대상월키,기관표[키],0))&amp;"","—"),"—")))</f>
        <v/>
      </c>
      <c r="M266">
        <f>IF($X266="","",IF(NOT(COUNTIF(기관표[사번키],INDEX(합계표[사번키],$X266))+COUNTIF(월별근무지표[사번키],INDEX(합계표[사번키],$X266))&gt;0),"기관명단에 없음(다른 병원으로 발송)",IF($L266="서울병원","해당",IF(N($R266)&gt;0,"해당(말일 근무)",IF($L266="—","대상월 기관명단 없음(추가 필요)","비해당")))))</f>
        <v/>
      </c>
      <c r="N266" s="20">
        <f>IF($X266="","",SUMIFS(상세표[06~07시],상세표[사번키],INDEX(합계표[사번키],$X266),상세표[반영월],대상월키,상세표[반영 기관],"서울병원"))</f>
        <v/>
      </c>
      <c r="O266" s="20">
        <f>IF($X266="","",SUMIFS(상세표[07~18시],상세표[사번키],INDEX(합계표[사번키],$X266),상세표[반영월],대상월키,상세표[반영 기관],"서울병원"))</f>
        <v/>
      </c>
      <c r="P266" s="20">
        <f>IF($X266="","",SUMIFS(상세표[18~22시],상세표[사번키],INDEX(합계표[사번키],$X266),상세표[반영월],대상월키,상세표[반영 기관],"서울병원"))</f>
        <v/>
      </c>
      <c r="Q266" s="20">
        <f>IF($X266="","",SUMIFS(상세표[22~06시],상세표[사번키],INDEX(합계표[사번키],$X266),상세표[반영월],대상월키,상세표[반영 기관],"서울병원"))</f>
        <v/>
      </c>
      <c r="R266" s="20">
        <f>IF($X266="","",SUM($N266:$Q266))</f>
        <v/>
      </c>
      <c r="S266">
        <f>IF($X266="","",COUNTIFS(상세표[사번키],INDEX(합계표[사번키],$X266),상세표[반영월],대상월키,상세표[야간당직],1,상세표[야간 구분],"평일"))</f>
        <v/>
      </c>
      <c r="T266">
        <f>IF($X266="","",COUNTIFS(상세표[사번키],INDEX(합계표[사번키],$X266),상세표[반영월],대상월키,상세표[야간당직],1,상세표[야간 구분],"휴일"))</f>
        <v/>
      </c>
      <c r="U266">
        <f>IF($X266="","",COUNTIFS(상세표[사번키],INDEX(합계표[사번키],$X266),상세표[반영월],대상월키,상세표[야간당직],1,상세표[야간 구분],"평일",상세표[반영 기관],"서울병원"))</f>
        <v/>
      </c>
      <c r="V266">
        <f>IF($X266="","",COUNTIFS(상세표[사번키],INDEX(합계표[사번키],$X266),상세표[반영월],대상월키,상세표[야간당직],1,상세표[야간 구분],"휴일",상세표[반영 기관],"서울병원"))</f>
        <v/>
      </c>
      <c r="W266">
        <f>IF($X266="","",IF(ISNUMBER(MATCH(INDEX(합계표[사번키],$X266)&amp;"|"&amp;대상월키,월별근무지표[키],0)),"직접 입력",IF($L266="—","—","기관명단")))</f>
        <v/>
      </c>
      <c r="X266" s="4">
        <f>IFERROR(MATCH(261,합계표[판정순번],0),"")</f>
        <v/>
      </c>
      <c r="Z266">
        <f>IF($AC266="","",INDEX(상세표[사번],$AC266)&amp;"")</f>
        <v/>
      </c>
      <c r="AA266">
        <f>IF($AC266="","",INDEX(상세표[성명],$AC266)&amp;"")</f>
        <v/>
      </c>
      <c r="AB266" s="20">
        <f>IF($AC266="","",SUMIFS(상세표[기록 시간외],상세표[사번키],INDEX(상세표[사번키],$AC266),상세표[반영월],대상월키))</f>
        <v/>
      </c>
      <c r="AC266" s="4">
        <f>IFERROR(MATCH(261,상세표[합계없음순번],0),"")</f>
        <v/>
      </c>
    </row>
    <row r="267">
      <c r="A267">
        <f>IF($X267="","",INDEX(합계표[사번],$X267)&amp;"")</f>
        <v/>
      </c>
      <c r="B267">
        <f>IF($X267="","",INDEX(합계표[성명],$X267)&amp;"")</f>
        <v/>
      </c>
      <c r="C267">
        <f>IF($X267="","",INDEX(합계표[부서],$X267)&amp;"")</f>
        <v/>
      </c>
      <c r="D267">
        <f>IF($X267="","",INDEX(합계표[직위(요약)],$X267)&amp;"")</f>
        <v/>
      </c>
      <c r="E267">
        <f>IF($X267="","",INDEX(합계표[직급 공존],$X267)&amp;"")</f>
        <v/>
      </c>
      <c r="F267" s="20">
        <f>IF($X267="","",SUMIFS(합계표[시스템 합계],합계표[사번키],INDEX(합계표[사번키],$X267)))</f>
        <v/>
      </c>
      <c r="G267" s="20">
        <f>IF($X267="","",SUMIFS(상세표[기록 시간외],상세표[사번키],INDEX(합계표[사번키],$X267),상세표[기록월],대상월키))</f>
        <v/>
      </c>
      <c r="H267">
        <f>IF($X267="","",IF(ABS($F267-$G267)&lt;0.01,"일치","불일치(차이 "&amp;TEXT($G267-$F267,"0.00")&amp;")"))</f>
        <v/>
      </c>
      <c r="I267" s="20">
        <f>IF($X267="","",SUMIFS(상세표[기록 시간외],상세표[사번키],INDEX(합계표[사번키],$X267),상세표[기록월],대상월키,상세표[반영월],"&lt;&gt;"&amp;대상월키))</f>
        <v/>
      </c>
      <c r="J267" s="20">
        <f>IF($X267="","",SUMIFS(상세표[기록 시간외],상세표[사번키],INDEX(합계표[사번키],$X267),상세표[기록월],"&lt;&gt;"&amp;대상월키,상세표[반영월],대상월키))</f>
        <v/>
      </c>
      <c r="K267" s="20">
        <f>IF($X267="","",SUMIFS(상세표[기록 시간외],상세표[사번키],INDEX(합계표[사번키],$X267),상세표[반영월],대상월키))</f>
        <v/>
      </c>
      <c r="L267">
        <f>IF($X267="","",IFERROR(INDEX(월별근무지표[적용 급여병원],MATCH(INDEX(합계표[사번키],$X267)&amp;"|"&amp;대상월키,월별근무지표[키],0))&amp;"",IF(COUNTIF(기관표[사번키],INDEX(합계표[사번키],$X267))+COUNTIF(월별근무지표[사번키],INDEX(합계표[사번키],$X267))&gt;0,IFERROR(INDEX(기관표[급여지급병원(기준월)],MATCH(INDEX(합계표[사번키],$X267)&amp;"|"&amp;대상월키,기관표[키],0))&amp;"","—"),"—")))</f>
        <v/>
      </c>
      <c r="M267">
        <f>IF($X267="","",IF(NOT(COUNTIF(기관표[사번키],INDEX(합계표[사번키],$X267))+COUNTIF(월별근무지표[사번키],INDEX(합계표[사번키],$X267))&gt;0),"기관명단에 없음(다른 병원으로 발송)",IF($L267="서울병원","해당",IF(N($R267)&gt;0,"해당(말일 근무)",IF($L267="—","대상월 기관명단 없음(추가 필요)","비해당")))))</f>
        <v/>
      </c>
      <c r="N267" s="20">
        <f>IF($X267="","",SUMIFS(상세표[06~07시],상세표[사번키],INDEX(합계표[사번키],$X267),상세표[반영월],대상월키,상세표[반영 기관],"서울병원"))</f>
        <v/>
      </c>
      <c r="O267" s="20">
        <f>IF($X267="","",SUMIFS(상세표[07~18시],상세표[사번키],INDEX(합계표[사번키],$X267),상세표[반영월],대상월키,상세표[반영 기관],"서울병원"))</f>
        <v/>
      </c>
      <c r="P267" s="20">
        <f>IF($X267="","",SUMIFS(상세표[18~22시],상세표[사번키],INDEX(합계표[사번키],$X267),상세표[반영월],대상월키,상세표[반영 기관],"서울병원"))</f>
        <v/>
      </c>
      <c r="Q267" s="20">
        <f>IF($X267="","",SUMIFS(상세표[22~06시],상세표[사번키],INDEX(합계표[사번키],$X267),상세표[반영월],대상월키,상세표[반영 기관],"서울병원"))</f>
        <v/>
      </c>
      <c r="R267" s="20">
        <f>IF($X267="","",SUM($N267:$Q267))</f>
        <v/>
      </c>
      <c r="S267">
        <f>IF($X267="","",COUNTIFS(상세표[사번키],INDEX(합계표[사번키],$X267),상세표[반영월],대상월키,상세표[야간당직],1,상세표[야간 구분],"평일"))</f>
        <v/>
      </c>
      <c r="T267">
        <f>IF($X267="","",COUNTIFS(상세표[사번키],INDEX(합계표[사번키],$X267),상세표[반영월],대상월키,상세표[야간당직],1,상세표[야간 구분],"휴일"))</f>
        <v/>
      </c>
      <c r="U267">
        <f>IF($X267="","",COUNTIFS(상세표[사번키],INDEX(합계표[사번키],$X267),상세표[반영월],대상월키,상세표[야간당직],1,상세표[야간 구분],"평일",상세표[반영 기관],"서울병원"))</f>
        <v/>
      </c>
      <c r="V267">
        <f>IF($X267="","",COUNTIFS(상세표[사번키],INDEX(합계표[사번키],$X267),상세표[반영월],대상월키,상세표[야간당직],1,상세표[야간 구분],"휴일",상세표[반영 기관],"서울병원"))</f>
        <v/>
      </c>
      <c r="W267">
        <f>IF($X267="","",IF(ISNUMBER(MATCH(INDEX(합계표[사번키],$X267)&amp;"|"&amp;대상월키,월별근무지표[키],0)),"직접 입력",IF($L267="—","—","기관명단")))</f>
        <v/>
      </c>
      <c r="X267" s="4">
        <f>IFERROR(MATCH(262,합계표[판정순번],0),"")</f>
        <v/>
      </c>
      <c r="Z267">
        <f>IF($AC267="","",INDEX(상세표[사번],$AC267)&amp;"")</f>
        <v/>
      </c>
      <c r="AA267">
        <f>IF($AC267="","",INDEX(상세표[성명],$AC267)&amp;"")</f>
        <v/>
      </c>
      <c r="AB267" s="20">
        <f>IF($AC267="","",SUMIFS(상세표[기록 시간외],상세표[사번키],INDEX(상세표[사번키],$AC267),상세표[반영월],대상월키))</f>
        <v/>
      </c>
      <c r="AC267" s="4">
        <f>IFERROR(MATCH(262,상세표[합계없음순번],0),"")</f>
        <v/>
      </c>
    </row>
    <row r="268">
      <c r="A268">
        <f>IF($X268="","",INDEX(합계표[사번],$X268)&amp;"")</f>
        <v/>
      </c>
      <c r="B268">
        <f>IF($X268="","",INDEX(합계표[성명],$X268)&amp;"")</f>
        <v/>
      </c>
      <c r="C268">
        <f>IF($X268="","",INDEX(합계표[부서],$X268)&amp;"")</f>
        <v/>
      </c>
      <c r="D268">
        <f>IF($X268="","",INDEX(합계표[직위(요약)],$X268)&amp;"")</f>
        <v/>
      </c>
      <c r="E268">
        <f>IF($X268="","",INDEX(합계표[직급 공존],$X268)&amp;"")</f>
        <v/>
      </c>
      <c r="F268" s="20">
        <f>IF($X268="","",SUMIFS(합계표[시스템 합계],합계표[사번키],INDEX(합계표[사번키],$X268)))</f>
        <v/>
      </c>
      <c r="G268" s="20">
        <f>IF($X268="","",SUMIFS(상세표[기록 시간외],상세표[사번키],INDEX(합계표[사번키],$X268),상세표[기록월],대상월키))</f>
        <v/>
      </c>
      <c r="H268">
        <f>IF($X268="","",IF(ABS($F268-$G268)&lt;0.01,"일치","불일치(차이 "&amp;TEXT($G268-$F268,"0.00")&amp;")"))</f>
        <v/>
      </c>
      <c r="I268" s="20">
        <f>IF($X268="","",SUMIFS(상세표[기록 시간외],상세표[사번키],INDEX(합계표[사번키],$X268),상세표[기록월],대상월키,상세표[반영월],"&lt;&gt;"&amp;대상월키))</f>
        <v/>
      </c>
      <c r="J268" s="20">
        <f>IF($X268="","",SUMIFS(상세표[기록 시간외],상세표[사번키],INDEX(합계표[사번키],$X268),상세표[기록월],"&lt;&gt;"&amp;대상월키,상세표[반영월],대상월키))</f>
        <v/>
      </c>
      <c r="K268" s="20">
        <f>IF($X268="","",SUMIFS(상세표[기록 시간외],상세표[사번키],INDEX(합계표[사번키],$X268),상세표[반영월],대상월키))</f>
        <v/>
      </c>
      <c r="L268">
        <f>IF($X268="","",IFERROR(INDEX(월별근무지표[적용 급여병원],MATCH(INDEX(합계표[사번키],$X268)&amp;"|"&amp;대상월키,월별근무지표[키],0))&amp;"",IF(COUNTIF(기관표[사번키],INDEX(합계표[사번키],$X268))+COUNTIF(월별근무지표[사번키],INDEX(합계표[사번키],$X268))&gt;0,IFERROR(INDEX(기관표[급여지급병원(기준월)],MATCH(INDEX(합계표[사번키],$X268)&amp;"|"&amp;대상월키,기관표[키],0))&amp;"","—"),"—")))</f>
        <v/>
      </c>
      <c r="M268">
        <f>IF($X268="","",IF(NOT(COUNTIF(기관표[사번키],INDEX(합계표[사번키],$X268))+COUNTIF(월별근무지표[사번키],INDEX(합계표[사번키],$X268))&gt;0),"기관명단에 없음(다른 병원으로 발송)",IF($L268="서울병원","해당",IF(N($R268)&gt;0,"해당(말일 근무)",IF($L268="—","대상월 기관명단 없음(추가 필요)","비해당")))))</f>
        <v/>
      </c>
      <c r="N268" s="20">
        <f>IF($X268="","",SUMIFS(상세표[06~07시],상세표[사번키],INDEX(합계표[사번키],$X268),상세표[반영월],대상월키,상세표[반영 기관],"서울병원"))</f>
        <v/>
      </c>
      <c r="O268" s="20">
        <f>IF($X268="","",SUMIFS(상세표[07~18시],상세표[사번키],INDEX(합계표[사번키],$X268),상세표[반영월],대상월키,상세표[반영 기관],"서울병원"))</f>
        <v/>
      </c>
      <c r="P268" s="20">
        <f>IF($X268="","",SUMIFS(상세표[18~22시],상세표[사번키],INDEX(합계표[사번키],$X268),상세표[반영월],대상월키,상세표[반영 기관],"서울병원"))</f>
        <v/>
      </c>
      <c r="Q268" s="20">
        <f>IF($X268="","",SUMIFS(상세표[22~06시],상세표[사번키],INDEX(합계표[사번키],$X268),상세표[반영월],대상월키,상세표[반영 기관],"서울병원"))</f>
        <v/>
      </c>
      <c r="R268" s="20">
        <f>IF($X268="","",SUM($N268:$Q268))</f>
        <v/>
      </c>
      <c r="S268">
        <f>IF($X268="","",COUNTIFS(상세표[사번키],INDEX(합계표[사번키],$X268),상세표[반영월],대상월키,상세표[야간당직],1,상세표[야간 구분],"평일"))</f>
        <v/>
      </c>
      <c r="T268">
        <f>IF($X268="","",COUNTIFS(상세표[사번키],INDEX(합계표[사번키],$X268),상세표[반영월],대상월키,상세표[야간당직],1,상세표[야간 구분],"휴일"))</f>
        <v/>
      </c>
      <c r="U268">
        <f>IF($X268="","",COUNTIFS(상세표[사번키],INDEX(합계표[사번키],$X268),상세표[반영월],대상월키,상세표[야간당직],1,상세표[야간 구분],"평일",상세표[반영 기관],"서울병원"))</f>
        <v/>
      </c>
      <c r="V268">
        <f>IF($X268="","",COUNTIFS(상세표[사번키],INDEX(합계표[사번키],$X268),상세표[반영월],대상월키,상세표[야간당직],1,상세표[야간 구분],"휴일",상세표[반영 기관],"서울병원"))</f>
        <v/>
      </c>
      <c r="W268">
        <f>IF($X268="","",IF(ISNUMBER(MATCH(INDEX(합계표[사번키],$X268)&amp;"|"&amp;대상월키,월별근무지표[키],0)),"직접 입력",IF($L268="—","—","기관명단")))</f>
        <v/>
      </c>
      <c r="X268" s="4">
        <f>IFERROR(MATCH(263,합계표[판정순번],0),"")</f>
        <v/>
      </c>
      <c r="Z268">
        <f>IF($AC268="","",INDEX(상세표[사번],$AC268)&amp;"")</f>
        <v/>
      </c>
      <c r="AA268">
        <f>IF($AC268="","",INDEX(상세표[성명],$AC268)&amp;"")</f>
        <v/>
      </c>
      <c r="AB268" s="20">
        <f>IF($AC268="","",SUMIFS(상세표[기록 시간외],상세표[사번키],INDEX(상세표[사번키],$AC268),상세표[반영월],대상월키))</f>
        <v/>
      </c>
      <c r="AC268" s="4">
        <f>IFERROR(MATCH(263,상세표[합계없음순번],0),"")</f>
        <v/>
      </c>
    </row>
    <row r="269">
      <c r="A269">
        <f>IF($X269="","",INDEX(합계표[사번],$X269)&amp;"")</f>
        <v/>
      </c>
      <c r="B269">
        <f>IF($X269="","",INDEX(합계표[성명],$X269)&amp;"")</f>
        <v/>
      </c>
      <c r="C269">
        <f>IF($X269="","",INDEX(합계표[부서],$X269)&amp;"")</f>
        <v/>
      </c>
      <c r="D269">
        <f>IF($X269="","",INDEX(합계표[직위(요약)],$X269)&amp;"")</f>
        <v/>
      </c>
      <c r="E269">
        <f>IF($X269="","",INDEX(합계표[직급 공존],$X269)&amp;"")</f>
        <v/>
      </c>
      <c r="F269" s="20">
        <f>IF($X269="","",SUMIFS(합계표[시스템 합계],합계표[사번키],INDEX(합계표[사번키],$X269)))</f>
        <v/>
      </c>
      <c r="G269" s="20">
        <f>IF($X269="","",SUMIFS(상세표[기록 시간외],상세표[사번키],INDEX(합계표[사번키],$X269),상세표[기록월],대상월키))</f>
        <v/>
      </c>
      <c r="H269">
        <f>IF($X269="","",IF(ABS($F269-$G269)&lt;0.01,"일치","불일치(차이 "&amp;TEXT($G269-$F269,"0.00")&amp;")"))</f>
        <v/>
      </c>
      <c r="I269" s="20">
        <f>IF($X269="","",SUMIFS(상세표[기록 시간외],상세표[사번키],INDEX(합계표[사번키],$X269),상세표[기록월],대상월키,상세표[반영월],"&lt;&gt;"&amp;대상월키))</f>
        <v/>
      </c>
      <c r="J269" s="20">
        <f>IF($X269="","",SUMIFS(상세표[기록 시간외],상세표[사번키],INDEX(합계표[사번키],$X269),상세표[기록월],"&lt;&gt;"&amp;대상월키,상세표[반영월],대상월키))</f>
        <v/>
      </c>
      <c r="K269" s="20">
        <f>IF($X269="","",SUMIFS(상세표[기록 시간외],상세표[사번키],INDEX(합계표[사번키],$X269),상세표[반영월],대상월키))</f>
        <v/>
      </c>
      <c r="L269">
        <f>IF($X269="","",IFERROR(INDEX(월별근무지표[적용 급여병원],MATCH(INDEX(합계표[사번키],$X269)&amp;"|"&amp;대상월키,월별근무지표[키],0))&amp;"",IF(COUNTIF(기관표[사번키],INDEX(합계표[사번키],$X269))+COUNTIF(월별근무지표[사번키],INDEX(합계표[사번키],$X269))&gt;0,IFERROR(INDEX(기관표[급여지급병원(기준월)],MATCH(INDEX(합계표[사번키],$X269)&amp;"|"&amp;대상월키,기관표[키],0))&amp;"","—"),"—")))</f>
        <v/>
      </c>
      <c r="M269">
        <f>IF($X269="","",IF(NOT(COUNTIF(기관표[사번키],INDEX(합계표[사번키],$X269))+COUNTIF(월별근무지표[사번키],INDEX(합계표[사번키],$X269))&gt;0),"기관명단에 없음(다른 병원으로 발송)",IF($L269="서울병원","해당",IF(N($R269)&gt;0,"해당(말일 근무)",IF($L269="—","대상월 기관명단 없음(추가 필요)","비해당")))))</f>
        <v/>
      </c>
      <c r="N269" s="20">
        <f>IF($X269="","",SUMIFS(상세표[06~07시],상세표[사번키],INDEX(합계표[사번키],$X269),상세표[반영월],대상월키,상세표[반영 기관],"서울병원"))</f>
        <v/>
      </c>
      <c r="O269" s="20">
        <f>IF($X269="","",SUMIFS(상세표[07~18시],상세표[사번키],INDEX(합계표[사번키],$X269),상세표[반영월],대상월키,상세표[반영 기관],"서울병원"))</f>
        <v/>
      </c>
      <c r="P269" s="20">
        <f>IF($X269="","",SUMIFS(상세표[18~22시],상세표[사번키],INDEX(합계표[사번키],$X269),상세표[반영월],대상월키,상세표[반영 기관],"서울병원"))</f>
        <v/>
      </c>
      <c r="Q269" s="20">
        <f>IF($X269="","",SUMIFS(상세표[22~06시],상세표[사번키],INDEX(합계표[사번키],$X269),상세표[반영월],대상월키,상세표[반영 기관],"서울병원"))</f>
        <v/>
      </c>
      <c r="R269" s="20">
        <f>IF($X269="","",SUM($N269:$Q269))</f>
        <v/>
      </c>
      <c r="S269">
        <f>IF($X269="","",COUNTIFS(상세표[사번키],INDEX(합계표[사번키],$X269),상세표[반영월],대상월키,상세표[야간당직],1,상세표[야간 구분],"평일"))</f>
        <v/>
      </c>
      <c r="T269">
        <f>IF($X269="","",COUNTIFS(상세표[사번키],INDEX(합계표[사번키],$X269),상세표[반영월],대상월키,상세표[야간당직],1,상세표[야간 구분],"휴일"))</f>
        <v/>
      </c>
      <c r="U269">
        <f>IF($X269="","",COUNTIFS(상세표[사번키],INDEX(합계표[사번키],$X269),상세표[반영월],대상월키,상세표[야간당직],1,상세표[야간 구분],"평일",상세표[반영 기관],"서울병원"))</f>
        <v/>
      </c>
      <c r="V269">
        <f>IF($X269="","",COUNTIFS(상세표[사번키],INDEX(합계표[사번키],$X269),상세표[반영월],대상월키,상세표[야간당직],1,상세표[야간 구분],"휴일",상세표[반영 기관],"서울병원"))</f>
        <v/>
      </c>
      <c r="W269">
        <f>IF($X269="","",IF(ISNUMBER(MATCH(INDEX(합계표[사번키],$X269)&amp;"|"&amp;대상월키,월별근무지표[키],0)),"직접 입력",IF($L269="—","—","기관명단")))</f>
        <v/>
      </c>
      <c r="X269" s="4">
        <f>IFERROR(MATCH(264,합계표[판정순번],0),"")</f>
        <v/>
      </c>
      <c r="Z269">
        <f>IF($AC269="","",INDEX(상세표[사번],$AC269)&amp;"")</f>
        <v/>
      </c>
      <c r="AA269">
        <f>IF($AC269="","",INDEX(상세표[성명],$AC269)&amp;"")</f>
        <v/>
      </c>
      <c r="AB269" s="20">
        <f>IF($AC269="","",SUMIFS(상세표[기록 시간외],상세표[사번키],INDEX(상세표[사번키],$AC269),상세표[반영월],대상월키))</f>
        <v/>
      </c>
      <c r="AC269" s="4">
        <f>IFERROR(MATCH(264,상세표[합계없음순번],0),"")</f>
        <v/>
      </c>
    </row>
    <row r="270">
      <c r="A270">
        <f>IF($X270="","",INDEX(합계표[사번],$X270)&amp;"")</f>
        <v/>
      </c>
      <c r="B270">
        <f>IF($X270="","",INDEX(합계표[성명],$X270)&amp;"")</f>
        <v/>
      </c>
      <c r="C270">
        <f>IF($X270="","",INDEX(합계표[부서],$X270)&amp;"")</f>
        <v/>
      </c>
      <c r="D270">
        <f>IF($X270="","",INDEX(합계표[직위(요약)],$X270)&amp;"")</f>
        <v/>
      </c>
      <c r="E270">
        <f>IF($X270="","",INDEX(합계표[직급 공존],$X270)&amp;"")</f>
        <v/>
      </c>
      <c r="F270" s="20">
        <f>IF($X270="","",SUMIFS(합계표[시스템 합계],합계표[사번키],INDEX(합계표[사번키],$X270)))</f>
        <v/>
      </c>
      <c r="G270" s="20">
        <f>IF($X270="","",SUMIFS(상세표[기록 시간외],상세표[사번키],INDEX(합계표[사번키],$X270),상세표[기록월],대상월키))</f>
        <v/>
      </c>
      <c r="H270">
        <f>IF($X270="","",IF(ABS($F270-$G270)&lt;0.01,"일치","불일치(차이 "&amp;TEXT($G270-$F270,"0.00")&amp;")"))</f>
        <v/>
      </c>
      <c r="I270" s="20">
        <f>IF($X270="","",SUMIFS(상세표[기록 시간외],상세표[사번키],INDEX(합계표[사번키],$X270),상세표[기록월],대상월키,상세표[반영월],"&lt;&gt;"&amp;대상월키))</f>
        <v/>
      </c>
      <c r="J270" s="20">
        <f>IF($X270="","",SUMIFS(상세표[기록 시간외],상세표[사번키],INDEX(합계표[사번키],$X270),상세표[기록월],"&lt;&gt;"&amp;대상월키,상세표[반영월],대상월키))</f>
        <v/>
      </c>
      <c r="K270" s="20">
        <f>IF($X270="","",SUMIFS(상세표[기록 시간외],상세표[사번키],INDEX(합계표[사번키],$X270),상세표[반영월],대상월키))</f>
        <v/>
      </c>
      <c r="L270">
        <f>IF($X270="","",IFERROR(INDEX(월별근무지표[적용 급여병원],MATCH(INDEX(합계표[사번키],$X270)&amp;"|"&amp;대상월키,월별근무지표[키],0))&amp;"",IF(COUNTIF(기관표[사번키],INDEX(합계표[사번키],$X270))+COUNTIF(월별근무지표[사번키],INDEX(합계표[사번키],$X270))&gt;0,IFERROR(INDEX(기관표[급여지급병원(기준월)],MATCH(INDEX(합계표[사번키],$X270)&amp;"|"&amp;대상월키,기관표[키],0))&amp;"","—"),"—")))</f>
        <v/>
      </c>
      <c r="M270">
        <f>IF($X270="","",IF(NOT(COUNTIF(기관표[사번키],INDEX(합계표[사번키],$X270))+COUNTIF(월별근무지표[사번키],INDEX(합계표[사번키],$X270))&gt;0),"기관명단에 없음(다른 병원으로 발송)",IF($L270="서울병원","해당",IF(N($R270)&gt;0,"해당(말일 근무)",IF($L270="—","대상월 기관명단 없음(추가 필요)","비해당")))))</f>
        <v/>
      </c>
      <c r="N270" s="20">
        <f>IF($X270="","",SUMIFS(상세표[06~07시],상세표[사번키],INDEX(합계표[사번키],$X270),상세표[반영월],대상월키,상세표[반영 기관],"서울병원"))</f>
        <v/>
      </c>
      <c r="O270" s="20">
        <f>IF($X270="","",SUMIFS(상세표[07~18시],상세표[사번키],INDEX(합계표[사번키],$X270),상세표[반영월],대상월키,상세표[반영 기관],"서울병원"))</f>
        <v/>
      </c>
      <c r="P270" s="20">
        <f>IF($X270="","",SUMIFS(상세표[18~22시],상세표[사번키],INDEX(합계표[사번키],$X270),상세표[반영월],대상월키,상세표[반영 기관],"서울병원"))</f>
        <v/>
      </c>
      <c r="Q270" s="20">
        <f>IF($X270="","",SUMIFS(상세표[22~06시],상세표[사번키],INDEX(합계표[사번키],$X270),상세표[반영월],대상월키,상세표[반영 기관],"서울병원"))</f>
        <v/>
      </c>
      <c r="R270" s="20">
        <f>IF($X270="","",SUM($N270:$Q270))</f>
        <v/>
      </c>
      <c r="S270">
        <f>IF($X270="","",COUNTIFS(상세표[사번키],INDEX(합계표[사번키],$X270),상세표[반영월],대상월키,상세표[야간당직],1,상세표[야간 구분],"평일"))</f>
        <v/>
      </c>
      <c r="T270">
        <f>IF($X270="","",COUNTIFS(상세표[사번키],INDEX(합계표[사번키],$X270),상세표[반영월],대상월키,상세표[야간당직],1,상세표[야간 구분],"휴일"))</f>
        <v/>
      </c>
      <c r="U270">
        <f>IF($X270="","",COUNTIFS(상세표[사번키],INDEX(합계표[사번키],$X270),상세표[반영월],대상월키,상세표[야간당직],1,상세표[야간 구분],"평일",상세표[반영 기관],"서울병원"))</f>
        <v/>
      </c>
      <c r="V270">
        <f>IF($X270="","",COUNTIFS(상세표[사번키],INDEX(합계표[사번키],$X270),상세표[반영월],대상월키,상세표[야간당직],1,상세표[야간 구분],"휴일",상세표[반영 기관],"서울병원"))</f>
        <v/>
      </c>
      <c r="W270">
        <f>IF($X270="","",IF(ISNUMBER(MATCH(INDEX(합계표[사번키],$X270)&amp;"|"&amp;대상월키,월별근무지표[키],0)),"직접 입력",IF($L270="—","—","기관명단")))</f>
        <v/>
      </c>
      <c r="X270" s="4">
        <f>IFERROR(MATCH(265,합계표[판정순번],0),"")</f>
        <v/>
      </c>
      <c r="Z270">
        <f>IF($AC270="","",INDEX(상세표[사번],$AC270)&amp;"")</f>
        <v/>
      </c>
      <c r="AA270">
        <f>IF($AC270="","",INDEX(상세표[성명],$AC270)&amp;"")</f>
        <v/>
      </c>
      <c r="AB270" s="20">
        <f>IF($AC270="","",SUMIFS(상세표[기록 시간외],상세표[사번키],INDEX(상세표[사번키],$AC270),상세표[반영월],대상월키))</f>
        <v/>
      </c>
      <c r="AC270" s="4">
        <f>IFERROR(MATCH(265,상세표[합계없음순번],0),"")</f>
        <v/>
      </c>
    </row>
    <row r="271">
      <c r="A271">
        <f>IF($X271="","",INDEX(합계표[사번],$X271)&amp;"")</f>
        <v/>
      </c>
      <c r="B271">
        <f>IF($X271="","",INDEX(합계표[성명],$X271)&amp;"")</f>
        <v/>
      </c>
      <c r="C271">
        <f>IF($X271="","",INDEX(합계표[부서],$X271)&amp;"")</f>
        <v/>
      </c>
      <c r="D271">
        <f>IF($X271="","",INDEX(합계표[직위(요약)],$X271)&amp;"")</f>
        <v/>
      </c>
      <c r="E271">
        <f>IF($X271="","",INDEX(합계표[직급 공존],$X271)&amp;"")</f>
        <v/>
      </c>
      <c r="F271" s="20">
        <f>IF($X271="","",SUMIFS(합계표[시스템 합계],합계표[사번키],INDEX(합계표[사번키],$X271)))</f>
        <v/>
      </c>
      <c r="G271" s="20">
        <f>IF($X271="","",SUMIFS(상세표[기록 시간외],상세표[사번키],INDEX(합계표[사번키],$X271),상세표[기록월],대상월키))</f>
        <v/>
      </c>
      <c r="H271">
        <f>IF($X271="","",IF(ABS($F271-$G271)&lt;0.01,"일치","불일치(차이 "&amp;TEXT($G271-$F271,"0.00")&amp;")"))</f>
        <v/>
      </c>
      <c r="I271" s="20">
        <f>IF($X271="","",SUMIFS(상세표[기록 시간외],상세표[사번키],INDEX(합계표[사번키],$X271),상세표[기록월],대상월키,상세표[반영월],"&lt;&gt;"&amp;대상월키))</f>
        <v/>
      </c>
      <c r="J271" s="20">
        <f>IF($X271="","",SUMIFS(상세표[기록 시간외],상세표[사번키],INDEX(합계표[사번키],$X271),상세표[기록월],"&lt;&gt;"&amp;대상월키,상세표[반영월],대상월키))</f>
        <v/>
      </c>
      <c r="K271" s="20">
        <f>IF($X271="","",SUMIFS(상세표[기록 시간외],상세표[사번키],INDEX(합계표[사번키],$X271),상세표[반영월],대상월키))</f>
        <v/>
      </c>
      <c r="L271">
        <f>IF($X271="","",IFERROR(INDEX(월별근무지표[적용 급여병원],MATCH(INDEX(합계표[사번키],$X271)&amp;"|"&amp;대상월키,월별근무지표[키],0))&amp;"",IF(COUNTIF(기관표[사번키],INDEX(합계표[사번키],$X271))+COUNTIF(월별근무지표[사번키],INDEX(합계표[사번키],$X271))&gt;0,IFERROR(INDEX(기관표[급여지급병원(기준월)],MATCH(INDEX(합계표[사번키],$X271)&amp;"|"&amp;대상월키,기관표[키],0))&amp;"","—"),"—")))</f>
        <v/>
      </c>
      <c r="M271">
        <f>IF($X271="","",IF(NOT(COUNTIF(기관표[사번키],INDEX(합계표[사번키],$X271))+COUNTIF(월별근무지표[사번키],INDEX(합계표[사번키],$X271))&gt;0),"기관명단에 없음(다른 병원으로 발송)",IF($L271="서울병원","해당",IF(N($R271)&gt;0,"해당(말일 근무)",IF($L271="—","대상월 기관명단 없음(추가 필요)","비해당")))))</f>
        <v/>
      </c>
      <c r="N271" s="20">
        <f>IF($X271="","",SUMIFS(상세표[06~07시],상세표[사번키],INDEX(합계표[사번키],$X271),상세표[반영월],대상월키,상세표[반영 기관],"서울병원"))</f>
        <v/>
      </c>
      <c r="O271" s="20">
        <f>IF($X271="","",SUMIFS(상세표[07~18시],상세표[사번키],INDEX(합계표[사번키],$X271),상세표[반영월],대상월키,상세표[반영 기관],"서울병원"))</f>
        <v/>
      </c>
      <c r="P271" s="20">
        <f>IF($X271="","",SUMIFS(상세표[18~22시],상세표[사번키],INDEX(합계표[사번키],$X271),상세표[반영월],대상월키,상세표[반영 기관],"서울병원"))</f>
        <v/>
      </c>
      <c r="Q271" s="20">
        <f>IF($X271="","",SUMIFS(상세표[22~06시],상세표[사번키],INDEX(합계표[사번키],$X271),상세표[반영월],대상월키,상세표[반영 기관],"서울병원"))</f>
        <v/>
      </c>
      <c r="R271" s="20">
        <f>IF($X271="","",SUM($N271:$Q271))</f>
        <v/>
      </c>
      <c r="S271">
        <f>IF($X271="","",COUNTIFS(상세표[사번키],INDEX(합계표[사번키],$X271),상세표[반영월],대상월키,상세표[야간당직],1,상세표[야간 구분],"평일"))</f>
        <v/>
      </c>
      <c r="T271">
        <f>IF($X271="","",COUNTIFS(상세표[사번키],INDEX(합계표[사번키],$X271),상세표[반영월],대상월키,상세표[야간당직],1,상세표[야간 구분],"휴일"))</f>
        <v/>
      </c>
      <c r="U271">
        <f>IF($X271="","",COUNTIFS(상세표[사번키],INDEX(합계표[사번키],$X271),상세표[반영월],대상월키,상세표[야간당직],1,상세표[야간 구분],"평일",상세표[반영 기관],"서울병원"))</f>
        <v/>
      </c>
      <c r="V271">
        <f>IF($X271="","",COUNTIFS(상세표[사번키],INDEX(합계표[사번키],$X271),상세표[반영월],대상월키,상세표[야간당직],1,상세표[야간 구분],"휴일",상세표[반영 기관],"서울병원"))</f>
        <v/>
      </c>
      <c r="W271">
        <f>IF($X271="","",IF(ISNUMBER(MATCH(INDEX(합계표[사번키],$X271)&amp;"|"&amp;대상월키,월별근무지표[키],0)),"직접 입력",IF($L271="—","—","기관명단")))</f>
        <v/>
      </c>
      <c r="X271" s="4">
        <f>IFERROR(MATCH(266,합계표[판정순번],0),"")</f>
        <v/>
      </c>
      <c r="Z271">
        <f>IF($AC271="","",INDEX(상세표[사번],$AC271)&amp;"")</f>
        <v/>
      </c>
      <c r="AA271">
        <f>IF($AC271="","",INDEX(상세표[성명],$AC271)&amp;"")</f>
        <v/>
      </c>
      <c r="AB271" s="20">
        <f>IF($AC271="","",SUMIFS(상세표[기록 시간외],상세표[사번키],INDEX(상세표[사번키],$AC271),상세표[반영월],대상월키))</f>
        <v/>
      </c>
      <c r="AC271" s="4">
        <f>IFERROR(MATCH(266,상세표[합계없음순번],0),"")</f>
        <v/>
      </c>
    </row>
    <row r="272">
      <c r="A272">
        <f>IF($X272="","",INDEX(합계표[사번],$X272)&amp;"")</f>
        <v/>
      </c>
      <c r="B272">
        <f>IF($X272="","",INDEX(합계표[성명],$X272)&amp;"")</f>
        <v/>
      </c>
      <c r="C272">
        <f>IF($X272="","",INDEX(합계표[부서],$X272)&amp;"")</f>
        <v/>
      </c>
      <c r="D272">
        <f>IF($X272="","",INDEX(합계표[직위(요약)],$X272)&amp;"")</f>
        <v/>
      </c>
      <c r="E272">
        <f>IF($X272="","",INDEX(합계표[직급 공존],$X272)&amp;"")</f>
        <v/>
      </c>
      <c r="F272" s="20">
        <f>IF($X272="","",SUMIFS(합계표[시스템 합계],합계표[사번키],INDEX(합계표[사번키],$X272)))</f>
        <v/>
      </c>
      <c r="G272" s="20">
        <f>IF($X272="","",SUMIFS(상세표[기록 시간외],상세표[사번키],INDEX(합계표[사번키],$X272),상세표[기록월],대상월키))</f>
        <v/>
      </c>
      <c r="H272">
        <f>IF($X272="","",IF(ABS($F272-$G272)&lt;0.01,"일치","불일치(차이 "&amp;TEXT($G272-$F272,"0.00")&amp;")"))</f>
        <v/>
      </c>
      <c r="I272" s="20">
        <f>IF($X272="","",SUMIFS(상세표[기록 시간외],상세표[사번키],INDEX(합계표[사번키],$X272),상세표[기록월],대상월키,상세표[반영월],"&lt;&gt;"&amp;대상월키))</f>
        <v/>
      </c>
      <c r="J272" s="20">
        <f>IF($X272="","",SUMIFS(상세표[기록 시간외],상세표[사번키],INDEX(합계표[사번키],$X272),상세표[기록월],"&lt;&gt;"&amp;대상월키,상세표[반영월],대상월키))</f>
        <v/>
      </c>
      <c r="K272" s="20">
        <f>IF($X272="","",SUMIFS(상세표[기록 시간외],상세표[사번키],INDEX(합계표[사번키],$X272),상세표[반영월],대상월키))</f>
        <v/>
      </c>
      <c r="L272">
        <f>IF($X272="","",IFERROR(INDEX(월별근무지표[적용 급여병원],MATCH(INDEX(합계표[사번키],$X272)&amp;"|"&amp;대상월키,월별근무지표[키],0))&amp;"",IF(COUNTIF(기관표[사번키],INDEX(합계표[사번키],$X272))+COUNTIF(월별근무지표[사번키],INDEX(합계표[사번키],$X272))&gt;0,IFERROR(INDEX(기관표[급여지급병원(기준월)],MATCH(INDEX(합계표[사번키],$X272)&amp;"|"&amp;대상월키,기관표[키],0))&amp;"","—"),"—")))</f>
        <v/>
      </c>
      <c r="M272">
        <f>IF($X272="","",IF(NOT(COUNTIF(기관표[사번키],INDEX(합계표[사번키],$X272))+COUNTIF(월별근무지표[사번키],INDEX(합계표[사번키],$X272))&gt;0),"기관명단에 없음(다른 병원으로 발송)",IF($L272="서울병원","해당",IF(N($R272)&gt;0,"해당(말일 근무)",IF($L272="—","대상월 기관명단 없음(추가 필요)","비해당")))))</f>
        <v/>
      </c>
      <c r="N272" s="20">
        <f>IF($X272="","",SUMIFS(상세표[06~07시],상세표[사번키],INDEX(합계표[사번키],$X272),상세표[반영월],대상월키,상세표[반영 기관],"서울병원"))</f>
        <v/>
      </c>
      <c r="O272" s="20">
        <f>IF($X272="","",SUMIFS(상세표[07~18시],상세표[사번키],INDEX(합계표[사번키],$X272),상세표[반영월],대상월키,상세표[반영 기관],"서울병원"))</f>
        <v/>
      </c>
      <c r="P272" s="20">
        <f>IF($X272="","",SUMIFS(상세표[18~22시],상세표[사번키],INDEX(합계표[사번키],$X272),상세표[반영월],대상월키,상세표[반영 기관],"서울병원"))</f>
        <v/>
      </c>
      <c r="Q272" s="20">
        <f>IF($X272="","",SUMIFS(상세표[22~06시],상세표[사번키],INDEX(합계표[사번키],$X272),상세표[반영월],대상월키,상세표[반영 기관],"서울병원"))</f>
        <v/>
      </c>
      <c r="R272" s="20">
        <f>IF($X272="","",SUM($N272:$Q272))</f>
        <v/>
      </c>
      <c r="S272">
        <f>IF($X272="","",COUNTIFS(상세표[사번키],INDEX(합계표[사번키],$X272),상세표[반영월],대상월키,상세표[야간당직],1,상세표[야간 구분],"평일"))</f>
        <v/>
      </c>
      <c r="T272">
        <f>IF($X272="","",COUNTIFS(상세표[사번키],INDEX(합계표[사번키],$X272),상세표[반영월],대상월키,상세표[야간당직],1,상세표[야간 구분],"휴일"))</f>
        <v/>
      </c>
      <c r="U272">
        <f>IF($X272="","",COUNTIFS(상세표[사번키],INDEX(합계표[사번키],$X272),상세표[반영월],대상월키,상세표[야간당직],1,상세표[야간 구분],"평일",상세표[반영 기관],"서울병원"))</f>
        <v/>
      </c>
      <c r="V272">
        <f>IF($X272="","",COUNTIFS(상세표[사번키],INDEX(합계표[사번키],$X272),상세표[반영월],대상월키,상세표[야간당직],1,상세표[야간 구분],"휴일",상세표[반영 기관],"서울병원"))</f>
        <v/>
      </c>
      <c r="W272">
        <f>IF($X272="","",IF(ISNUMBER(MATCH(INDEX(합계표[사번키],$X272)&amp;"|"&amp;대상월키,월별근무지표[키],0)),"직접 입력",IF($L272="—","—","기관명단")))</f>
        <v/>
      </c>
      <c r="X272" s="4">
        <f>IFERROR(MATCH(267,합계표[판정순번],0),"")</f>
        <v/>
      </c>
      <c r="Z272">
        <f>IF($AC272="","",INDEX(상세표[사번],$AC272)&amp;"")</f>
        <v/>
      </c>
      <c r="AA272">
        <f>IF($AC272="","",INDEX(상세표[성명],$AC272)&amp;"")</f>
        <v/>
      </c>
      <c r="AB272" s="20">
        <f>IF($AC272="","",SUMIFS(상세표[기록 시간외],상세표[사번키],INDEX(상세표[사번키],$AC272),상세표[반영월],대상월키))</f>
        <v/>
      </c>
      <c r="AC272" s="4">
        <f>IFERROR(MATCH(267,상세표[합계없음순번],0),"")</f>
        <v/>
      </c>
    </row>
    <row r="273">
      <c r="A273">
        <f>IF($X273="","",INDEX(합계표[사번],$X273)&amp;"")</f>
        <v/>
      </c>
      <c r="B273">
        <f>IF($X273="","",INDEX(합계표[성명],$X273)&amp;"")</f>
        <v/>
      </c>
      <c r="C273">
        <f>IF($X273="","",INDEX(합계표[부서],$X273)&amp;"")</f>
        <v/>
      </c>
      <c r="D273">
        <f>IF($X273="","",INDEX(합계표[직위(요약)],$X273)&amp;"")</f>
        <v/>
      </c>
      <c r="E273">
        <f>IF($X273="","",INDEX(합계표[직급 공존],$X273)&amp;"")</f>
        <v/>
      </c>
      <c r="F273" s="20">
        <f>IF($X273="","",SUMIFS(합계표[시스템 합계],합계표[사번키],INDEX(합계표[사번키],$X273)))</f>
        <v/>
      </c>
      <c r="G273" s="20">
        <f>IF($X273="","",SUMIFS(상세표[기록 시간외],상세표[사번키],INDEX(합계표[사번키],$X273),상세표[기록월],대상월키))</f>
        <v/>
      </c>
      <c r="H273">
        <f>IF($X273="","",IF(ABS($F273-$G273)&lt;0.01,"일치","불일치(차이 "&amp;TEXT($G273-$F273,"0.00")&amp;")"))</f>
        <v/>
      </c>
      <c r="I273" s="20">
        <f>IF($X273="","",SUMIFS(상세표[기록 시간외],상세표[사번키],INDEX(합계표[사번키],$X273),상세표[기록월],대상월키,상세표[반영월],"&lt;&gt;"&amp;대상월키))</f>
        <v/>
      </c>
      <c r="J273" s="20">
        <f>IF($X273="","",SUMIFS(상세표[기록 시간외],상세표[사번키],INDEX(합계표[사번키],$X273),상세표[기록월],"&lt;&gt;"&amp;대상월키,상세표[반영월],대상월키))</f>
        <v/>
      </c>
      <c r="K273" s="20">
        <f>IF($X273="","",SUMIFS(상세표[기록 시간외],상세표[사번키],INDEX(합계표[사번키],$X273),상세표[반영월],대상월키))</f>
        <v/>
      </c>
      <c r="L273">
        <f>IF($X273="","",IFERROR(INDEX(월별근무지표[적용 급여병원],MATCH(INDEX(합계표[사번키],$X273)&amp;"|"&amp;대상월키,월별근무지표[키],0))&amp;"",IF(COUNTIF(기관표[사번키],INDEX(합계표[사번키],$X273))+COUNTIF(월별근무지표[사번키],INDEX(합계표[사번키],$X273))&gt;0,IFERROR(INDEX(기관표[급여지급병원(기준월)],MATCH(INDEX(합계표[사번키],$X273)&amp;"|"&amp;대상월키,기관표[키],0))&amp;"","—"),"—")))</f>
        <v/>
      </c>
      <c r="M273">
        <f>IF($X273="","",IF(NOT(COUNTIF(기관표[사번키],INDEX(합계표[사번키],$X273))+COUNTIF(월별근무지표[사번키],INDEX(합계표[사번키],$X273))&gt;0),"기관명단에 없음(다른 병원으로 발송)",IF($L273="서울병원","해당",IF(N($R273)&gt;0,"해당(말일 근무)",IF($L273="—","대상월 기관명단 없음(추가 필요)","비해당")))))</f>
        <v/>
      </c>
      <c r="N273" s="20">
        <f>IF($X273="","",SUMIFS(상세표[06~07시],상세표[사번키],INDEX(합계표[사번키],$X273),상세표[반영월],대상월키,상세표[반영 기관],"서울병원"))</f>
        <v/>
      </c>
      <c r="O273" s="20">
        <f>IF($X273="","",SUMIFS(상세표[07~18시],상세표[사번키],INDEX(합계표[사번키],$X273),상세표[반영월],대상월키,상세표[반영 기관],"서울병원"))</f>
        <v/>
      </c>
      <c r="P273" s="20">
        <f>IF($X273="","",SUMIFS(상세표[18~22시],상세표[사번키],INDEX(합계표[사번키],$X273),상세표[반영월],대상월키,상세표[반영 기관],"서울병원"))</f>
        <v/>
      </c>
      <c r="Q273" s="20">
        <f>IF($X273="","",SUMIFS(상세표[22~06시],상세표[사번키],INDEX(합계표[사번키],$X273),상세표[반영월],대상월키,상세표[반영 기관],"서울병원"))</f>
        <v/>
      </c>
      <c r="R273" s="20">
        <f>IF($X273="","",SUM($N273:$Q273))</f>
        <v/>
      </c>
      <c r="S273">
        <f>IF($X273="","",COUNTIFS(상세표[사번키],INDEX(합계표[사번키],$X273),상세표[반영월],대상월키,상세표[야간당직],1,상세표[야간 구분],"평일"))</f>
        <v/>
      </c>
      <c r="T273">
        <f>IF($X273="","",COUNTIFS(상세표[사번키],INDEX(합계표[사번키],$X273),상세표[반영월],대상월키,상세표[야간당직],1,상세표[야간 구분],"휴일"))</f>
        <v/>
      </c>
      <c r="U273">
        <f>IF($X273="","",COUNTIFS(상세표[사번키],INDEX(합계표[사번키],$X273),상세표[반영월],대상월키,상세표[야간당직],1,상세표[야간 구분],"평일",상세표[반영 기관],"서울병원"))</f>
        <v/>
      </c>
      <c r="V273">
        <f>IF($X273="","",COUNTIFS(상세표[사번키],INDEX(합계표[사번키],$X273),상세표[반영월],대상월키,상세표[야간당직],1,상세표[야간 구분],"휴일",상세표[반영 기관],"서울병원"))</f>
        <v/>
      </c>
      <c r="W273">
        <f>IF($X273="","",IF(ISNUMBER(MATCH(INDEX(합계표[사번키],$X273)&amp;"|"&amp;대상월키,월별근무지표[키],0)),"직접 입력",IF($L273="—","—","기관명단")))</f>
        <v/>
      </c>
      <c r="X273" s="4">
        <f>IFERROR(MATCH(268,합계표[판정순번],0),"")</f>
        <v/>
      </c>
      <c r="Z273">
        <f>IF($AC273="","",INDEX(상세표[사번],$AC273)&amp;"")</f>
        <v/>
      </c>
      <c r="AA273">
        <f>IF($AC273="","",INDEX(상세표[성명],$AC273)&amp;"")</f>
        <v/>
      </c>
      <c r="AB273" s="20">
        <f>IF($AC273="","",SUMIFS(상세표[기록 시간외],상세표[사번키],INDEX(상세표[사번키],$AC273),상세표[반영월],대상월키))</f>
        <v/>
      </c>
      <c r="AC273" s="4">
        <f>IFERROR(MATCH(268,상세표[합계없음순번],0),"")</f>
        <v/>
      </c>
    </row>
    <row r="274">
      <c r="A274">
        <f>IF($X274="","",INDEX(합계표[사번],$X274)&amp;"")</f>
        <v/>
      </c>
      <c r="B274">
        <f>IF($X274="","",INDEX(합계표[성명],$X274)&amp;"")</f>
        <v/>
      </c>
      <c r="C274">
        <f>IF($X274="","",INDEX(합계표[부서],$X274)&amp;"")</f>
        <v/>
      </c>
      <c r="D274">
        <f>IF($X274="","",INDEX(합계표[직위(요약)],$X274)&amp;"")</f>
        <v/>
      </c>
      <c r="E274">
        <f>IF($X274="","",INDEX(합계표[직급 공존],$X274)&amp;"")</f>
        <v/>
      </c>
      <c r="F274" s="20">
        <f>IF($X274="","",SUMIFS(합계표[시스템 합계],합계표[사번키],INDEX(합계표[사번키],$X274)))</f>
        <v/>
      </c>
      <c r="G274" s="20">
        <f>IF($X274="","",SUMIFS(상세표[기록 시간외],상세표[사번키],INDEX(합계표[사번키],$X274),상세표[기록월],대상월키))</f>
        <v/>
      </c>
      <c r="H274">
        <f>IF($X274="","",IF(ABS($F274-$G274)&lt;0.01,"일치","불일치(차이 "&amp;TEXT($G274-$F274,"0.00")&amp;")"))</f>
        <v/>
      </c>
      <c r="I274" s="20">
        <f>IF($X274="","",SUMIFS(상세표[기록 시간외],상세표[사번키],INDEX(합계표[사번키],$X274),상세표[기록월],대상월키,상세표[반영월],"&lt;&gt;"&amp;대상월키))</f>
        <v/>
      </c>
      <c r="J274" s="20">
        <f>IF($X274="","",SUMIFS(상세표[기록 시간외],상세표[사번키],INDEX(합계표[사번키],$X274),상세표[기록월],"&lt;&gt;"&amp;대상월키,상세표[반영월],대상월키))</f>
        <v/>
      </c>
      <c r="K274" s="20">
        <f>IF($X274="","",SUMIFS(상세표[기록 시간외],상세표[사번키],INDEX(합계표[사번키],$X274),상세표[반영월],대상월키))</f>
        <v/>
      </c>
      <c r="L274">
        <f>IF($X274="","",IFERROR(INDEX(월별근무지표[적용 급여병원],MATCH(INDEX(합계표[사번키],$X274)&amp;"|"&amp;대상월키,월별근무지표[키],0))&amp;"",IF(COUNTIF(기관표[사번키],INDEX(합계표[사번키],$X274))+COUNTIF(월별근무지표[사번키],INDEX(합계표[사번키],$X274))&gt;0,IFERROR(INDEX(기관표[급여지급병원(기준월)],MATCH(INDEX(합계표[사번키],$X274)&amp;"|"&amp;대상월키,기관표[키],0))&amp;"","—"),"—")))</f>
        <v/>
      </c>
      <c r="M274">
        <f>IF($X274="","",IF(NOT(COUNTIF(기관표[사번키],INDEX(합계표[사번키],$X274))+COUNTIF(월별근무지표[사번키],INDEX(합계표[사번키],$X274))&gt;0),"기관명단에 없음(다른 병원으로 발송)",IF($L274="서울병원","해당",IF(N($R274)&gt;0,"해당(말일 근무)",IF($L274="—","대상월 기관명단 없음(추가 필요)","비해당")))))</f>
        <v/>
      </c>
      <c r="N274" s="20">
        <f>IF($X274="","",SUMIFS(상세표[06~07시],상세표[사번키],INDEX(합계표[사번키],$X274),상세표[반영월],대상월키,상세표[반영 기관],"서울병원"))</f>
        <v/>
      </c>
      <c r="O274" s="20">
        <f>IF($X274="","",SUMIFS(상세표[07~18시],상세표[사번키],INDEX(합계표[사번키],$X274),상세표[반영월],대상월키,상세표[반영 기관],"서울병원"))</f>
        <v/>
      </c>
      <c r="P274" s="20">
        <f>IF($X274="","",SUMIFS(상세표[18~22시],상세표[사번키],INDEX(합계표[사번키],$X274),상세표[반영월],대상월키,상세표[반영 기관],"서울병원"))</f>
        <v/>
      </c>
      <c r="Q274" s="20">
        <f>IF($X274="","",SUMIFS(상세표[22~06시],상세표[사번키],INDEX(합계표[사번키],$X274),상세표[반영월],대상월키,상세표[반영 기관],"서울병원"))</f>
        <v/>
      </c>
      <c r="R274" s="20">
        <f>IF($X274="","",SUM($N274:$Q274))</f>
        <v/>
      </c>
      <c r="S274">
        <f>IF($X274="","",COUNTIFS(상세표[사번키],INDEX(합계표[사번키],$X274),상세표[반영월],대상월키,상세표[야간당직],1,상세표[야간 구분],"평일"))</f>
        <v/>
      </c>
      <c r="T274">
        <f>IF($X274="","",COUNTIFS(상세표[사번키],INDEX(합계표[사번키],$X274),상세표[반영월],대상월키,상세표[야간당직],1,상세표[야간 구분],"휴일"))</f>
        <v/>
      </c>
      <c r="U274">
        <f>IF($X274="","",COUNTIFS(상세표[사번키],INDEX(합계표[사번키],$X274),상세표[반영월],대상월키,상세표[야간당직],1,상세표[야간 구분],"평일",상세표[반영 기관],"서울병원"))</f>
        <v/>
      </c>
      <c r="V274">
        <f>IF($X274="","",COUNTIFS(상세표[사번키],INDEX(합계표[사번키],$X274),상세표[반영월],대상월키,상세표[야간당직],1,상세표[야간 구분],"휴일",상세표[반영 기관],"서울병원"))</f>
        <v/>
      </c>
      <c r="W274">
        <f>IF($X274="","",IF(ISNUMBER(MATCH(INDEX(합계표[사번키],$X274)&amp;"|"&amp;대상월키,월별근무지표[키],0)),"직접 입력",IF($L274="—","—","기관명단")))</f>
        <v/>
      </c>
      <c r="X274" s="4">
        <f>IFERROR(MATCH(269,합계표[판정순번],0),"")</f>
        <v/>
      </c>
      <c r="Z274">
        <f>IF($AC274="","",INDEX(상세표[사번],$AC274)&amp;"")</f>
        <v/>
      </c>
      <c r="AA274">
        <f>IF($AC274="","",INDEX(상세표[성명],$AC274)&amp;"")</f>
        <v/>
      </c>
      <c r="AB274" s="20">
        <f>IF($AC274="","",SUMIFS(상세표[기록 시간외],상세표[사번키],INDEX(상세표[사번키],$AC274),상세표[반영월],대상월키))</f>
        <v/>
      </c>
      <c r="AC274" s="4">
        <f>IFERROR(MATCH(269,상세표[합계없음순번],0),"")</f>
        <v/>
      </c>
    </row>
    <row r="275">
      <c r="A275">
        <f>IF($X275="","",INDEX(합계표[사번],$X275)&amp;"")</f>
        <v/>
      </c>
      <c r="B275">
        <f>IF($X275="","",INDEX(합계표[성명],$X275)&amp;"")</f>
        <v/>
      </c>
      <c r="C275">
        <f>IF($X275="","",INDEX(합계표[부서],$X275)&amp;"")</f>
        <v/>
      </c>
      <c r="D275">
        <f>IF($X275="","",INDEX(합계표[직위(요약)],$X275)&amp;"")</f>
        <v/>
      </c>
      <c r="E275">
        <f>IF($X275="","",INDEX(합계표[직급 공존],$X275)&amp;"")</f>
        <v/>
      </c>
      <c r="F275" s="20">
        <f>IF($X275="","",SUMIFS(합계표[시스템 합계],합계표[사번키],INDEX(합계표[사번키],$X275)))</f>
        <v/>
      </c>
      <c r="G275" s="20">
        <f>IF($X275="","",SUMIFS(상세표[기록 시간외],상세표[사번키],INDEX(합계표[사번키],$X275),상세표[기록월],대상월키))</f>
        <v/>
      </c>
      <c r="H275">
        <f>IF($X275="","",IF(ABS($F275-$G275)&lt;0.01,"일치","불일치(차이 "&amp;TEXT($G275-$F275,"0.00")&amp;")"))</f>
        <v/>
      </c>
      <c r="I275" s="20">
        <f>IF($X275="","",SUMIFS(상세표[기록 시간외],상세표[사번키],INDEX(합계표[사번키],$X275),상세표[기록월],대상월키,상세표[반영월],"&lt;&gt;"&amp;대상월키))</f>
        <v/>
      </c>
      <c r="J275" s="20">
        <f>IF($X275="","",SUMIFS(상세표[기록 시간외],상세표[사번키],INDEX(합계표[사번키],$X275),상세표[기록월],"&lt;&gt;"&amp;대상월키,상세표[반영월],대상월키))</f>
        <v/>
      </c>
      <c r="K275" s="20">
        <f>IF($X275="","",SUMIFS(상세표[기록 시간외],상세표[사번키],INDEX(합계표[사번키],$X275),상세표[반영월],대상월키))</f>
        <v/>
      </c>
      <c r="L275">
        <f>IF($X275="","",IFERROR(INDEX(월별근무지표[적용 급여병원],MATCH(INDEX(합계표[사번키],$X275)&amp;"|"&amp;대상월키,월별근무지표[키],0))&amp;"",IF(COUNTIF(기관표[사번키],INDEX(합계표[사번키],$X275))+COUNTIF(월별근무지표[사번키],INDEX(합계표[사번키],$X275))&gt;0,IFERROR(INDEX(기관표[급여지급병원(기준월)],MATCH(INDEX(합계표[사번키],$X275)&amp;"|"&amp;대상월키,기관표[키],0))&amp;"","—"),"—")))</f>
        <v/>
      </c>
      <c r="M275">
        <f>IF($X275="","",IF(NOT(COUNTIF(기관표[사번키],INDEX(합계표[사번키],$X275))+COUNTIF(월별근무지표[사번키],INDEX(합계표[사번키],$X275))&gt;0),"기관명단에 없음(다른 병원으로 발송)",IF($L275="서울병원","해당",IF(N($R275)&gt;0,"해당(말일 근무)",IF($L275="—","대상월 기관명단 없음(추가 필요)","비해당")))))</f>
        <v/>
      </c>
      <c r="N275" s="20">
        <f>IF($X275="","",SUMIFS(상세표[06~07시],상세표[사번키],INDEX(합계표[사번키],$X275),상세표[반영월],대상월키,상세표[반영 기관],"서울병원"))</f>
        <v/>
      </c>
      <c r="O275" s="20">
        <f>IF($X275="","",SUMIFS(상세표[07~18시],상세표[사번키],INDEX(합계표[사번키],$X275),상세표[반영월],대상월키,상세표[반영 기관],"서울병원"))</f>
        <v/>
      </c>
      <c r="P275" s="20">
        <f>IF($X275="","",SUMIFS(상세표[18~22시],상세표[사번키],INDEX(합계표[사번키],$X275),상세표[반영월],대상월키,상세표[반영 기관],"서울병원"))</f>
        <v/>
      </c>
      <c r="Q275" s="20">
        <f>IF($X275="","",SUMIFS(상세표[22~06시],상세표[사번키],INDEX(합계표[사번키],$X275),상세표[반영월],대상월키,상세표[반영 기관],"서울병원"))</f>
        <v/>
      </c>
      <c r="R275" s="20">
        <f>IF($X275="","",SUM($N275:$Q275))</f>
        <v/>
      </c>
      <c r="S275">
        <f>IF($X275="","",COUNTIFS(상세표[사번키],INDEX(합계표[사번키],$X275),상세표[반영월],대상월키,상세표[야간당직],1,상세표[야간 구분],"평일"))</f>
        <v/>
      </c>
      <c r="T275">
        <f>IF($X275="","",COUNTIFS(상세표[사번키],INDEX(합계표[사번키],$X275),상세표[반영월],대상월키,상세표[야간당직],1,상세표[야간 구분],"휴일"))</f>
        <v/>
      </c>
      <c r="U275">
        <f>IF($X275="","",COUNTIFS(상세표[사번키],INDEX(합계표[사번키],$X275),상세표[반영월],대상월키,상세표[야간당직],1,상세표[야간 구분],"평일",상세표[반영 기관],"서울병원"))</f>
        <v/>
      </c>
      <c r="V275">
        <f>IF($X275="","",COUNTIFS(상세표[사번키],INDEX(합계표[사번키],$X275),상세표[반영월],대상월키,상세표[야간당직],1,상세표[야간 구분],"휴일",상세표[반영 기관],"서울병원"))</f>
        <v/>
      </c>
      <c r="W275">
        <f>IF($X275="","",IF(ISNUMBER(MATCH(INDEX(합계표[사번키],$X275)&amp;"|"&amp;대상월키,월별근무지표[키],0)),"직접 입력",IF($L275="—","—","기관명단")))</f>
        <v/>
      </c>
      <c r="X275" s="4">
        <f>IFERROR(MATCH(270,합계표[판정순번],0),"")</f>
        <v/>
      </c>
      <c r="Z275">
        <f>IF($AC275="","",INDEX(상세표[사번],$AC275)&amp;"")</f>
        <v/>
      </c>
      <c r="AA275">
        <f>IF($AC275="","",INDEX(상세표[성명],$AC275)&amp;"")</f>
        <v/>
      </c>
      <c r="AB275" s="20">
        <f>IF($AC275="","",SUMIFS(상세표[기록 시간외],상세표[사번키],INDEX(상세표[사번키],$AC275),상세표[반영월],대상월키))</f>
        <v/>
      </c>
      <c r="AC275" s="4">
        <f>IFERROR(MATCH(270,상세표[합계없음순번],0),"")</f>
        <v/>
      </c>
    </row>
    <row r="276">
      <c r="A276">
        <f>IF($X276="","",INDEX(합계표[사번],$X276)&amp;"")</f>
        <v/>
      </c>
      <c r="B276">
        <f>IF($X276="","",INDEX(합계표[성명],$X276)&amp;"")</f>
        <v/>
      </c>
      <c r="C276">
        <f>IF($X276="","",INDEX(합계표[부서],$X276)&amp;"")</f>
        <v/>
      </c>
      <c r="D276">
        <f>IF($X276="","",INDEX(합계표[직위(요약)],$X276)&amp;"")</f>
        <v/>
      </c>
      <c r="E276">
        <f>IF($X276="","",INDEX(합계표[직급 공존],$X276)&amp;"")</f>
        <v/>
      </c>
      <c r="F276" s="20">
        <f>IF($X276="","",SUMIFS(합계표[시스템 합계],합계표[사번키],INDEX(합계표[사번키],$X276)))</f>
        <v/>
      </c>
      <c r="G276" s="20">
        <f>IF($X276="","",SUMIFS(상세표[기록 시간외],상세표[사번키],INDEX(합계표[사번키],$X276),상세표[기록월],대상월키))</f>
        <v/>
      </c>
      <c r="H276">
        <f>IF($X276="","",IF(ABS($F276-$G276)&lt;0.01,"일치","불일치(차이 "&amp;TEXT($G276-$F276,"0.00")&amp;")"))</f>
        <v/>
      </c>
      <c r="I276" s="20">
        <f>IF($X276="","",SUMIFS(상세표[기록 시간외],상세표[사번키],INDEX(합계표[사번키],$X276),상세표[기록월],대상월키,상세표[반영월],"&lt;&gt;"&amp;대상월키))</f>
        <v/>
      </c>
      <c r="J276" s="20">
        <f>IF($X276="","",SUMIFS(상세표[기록 시간외],상세표[사번키],INDEX(합계표[사번키],$X276),상세표[기록월],"&lt;&gt;"&amp;대상월키,상세표[반영월],대상월키))</f>
        <v/>
      </c>
      <c r="K276" s="20">
        <f>IF($X276="","",SUMIFS(상세표[기록 시간외],상세표[사번키],INDEX(합계표[사번키],$X276),상세표[반영월],대상월키))</f>
        <v/>
      </c>
      <c r="L276">
        <f>IF($X276="","",IFERROR(INDEX(월별근무지표[적용 급여병원],MATCH(INDEX(합계표[사번키],$X276)&amp;"|"&amp;대상월키,월별근무지표[키],0))&amp;"",IF(COUNTIF(기관표[사번키],INDEX(합계표[사번키],$X276))+COUNTIF(월별근무지표[사번키],INDEX(합계표[사번키],$X276))&gt;0,IFERROR(INDEX(기관표[급여지급병원(기준월)],MATCH(INDEX(합계표[사번키],$X276)&amp;"|"&amp;대상월키,기관표[키],0))&amp;"","—"),"—")))</f>
        <v/>
      </c>
      <c r="M276">
        <f>IF($X276="","",IF(NOT(COUNTIF(기관표[사번키],INDEX(합계표[사번키],$X276))+COUNTIF(월별근무지표[사번키],INDEX(합계표[사번키],$X276))&gt;0),"기관명단에 없음(다른 병원으로 발송)",IF($L276="서울병원","해당",IF(N($R276)&gt;0,"해당(말일 근무)",IF($L276="—","대상월 기관명단 없음(추가 필요)","비해당")))))</f>
        <v/>
      </c>
      <c r="N276" s="20">
        <f>IF($X276="","",SUMIFS(상세표[06~07시],상세표[사번키],INDEX(합계표[사번키],$X276),상세표[반영월],대상월키,상세표[반영 기관],"서울병원"))</f>
        <v/>
      </c>
      <c r="O276" s="20">
        <f>IF($X276="","",SUMIFS(상세표[07~18시],상세표[사번키],INDEX(합계표[사번키],$X276),상세표[반영월],대상월키,상세표[반영 기관],"서울병원"))</f>
        <v/>
      </c>
      <c r="P276" s="20">
        <f>IF($X276="","",SUMIFS(상세표[18~22시],상세표[사번키],INDEX(합계표[사번키],$X276),상세표[반영월],대상월키,상세표[반영 기관],"서울병원"))</f>
        <v/>
      </c>
      <c r="Q276" s="20">
        <f>IF($X276="","",SUMIFS(상세표[22~06시],상세표[사번키],INDEX(합계표[사번키],$X276),상세표[반영월],대상월키,상세표[반영 기관],"서울병원"))</f>
        <v/>
      </c>
      <c r="R276" s="20">
        <f>IF($X276="","",SUM($N276:$Q276))</f>
        <v/>
      </c>
      <c r="S276">
        <f>IF($X276="","",COUNTIFS(상세표[사번키],INDEX(합계표[사번키],$X276),상세표[반영월],대상월키,상세표[야간당직],1,상세표[야간 구분],"평일"))</f>
        <v/>
      </c>
      <c r="T276">
        <f>IF($X276="","",COUNTIFS(상세표[사번키],INDEX(합계표[사번키],$X276),상세표[반영월],대상월키,상세표[야간당직],1,상세표[야간 구분],"휴일"))</f>
        <v/>
      </c>
      <c r="U276">
        <f>IF($X276="","",COUNTIFS(상세표[사번키],INDEX(합계표[사번키],$X276),상세표[반영월],대상월키,상세표[야간당직],1,상세표[야간 구분],"평일",상세표[반영 기관],"서울병원"))</f>
        <v/>
      </c>
      <c r="V276">
        <f>IF($X276="","",COUNTIFS(상세표[사번키],INDEX(합계표[사번키],$X276),상세표[반영월],대상월키,상세표[야간당직],1,상세표[야간 구분],"휴일",상세표[반영 기관],"서울병원"))</f>
        <v/>
      </c>
      <c r="W276">
        <f>IF($X276="","",IF(ISNUMBER(MATCH(INDEX(합계표[사번키],$X276)&amp;"|"&amp;대상월키,월별근무지표[키],0)),"직접 입력",IF($L276="—","—","기관명단")))</f>
        <v/>
      </c>
      <c r="X276" s="4">
        <f>IFERROR(MATCH(271,합계표[판정순번],0),"")</f>
        <v/>
      </c>
      <c r="Z276">
        <f>IF($AC276="","",INDEX(상세표[사번],$AC276)&amp;"")</f>
        <v/>
      </c>
      <c r="AA276">
        <f>IF($AC276="","",INDEX(상세표[성명],$AC276)&amp;"")</f>
        <v/>
      </c>
      <c r="AB276" s="20">
        <f>IF($AC276="","",SUMIFS(상세표[기록 시간외],상세표[사번키],INDEX(상세표[사번키],$AC276),상세표[반영월],대상월키))</f>
        <v/>
      </c>
      <c r="AC276" s="4">
        <f>IFERROR(MATCH(271,상세표[합계없음순번],0),"")</f>
        <v/>
      </c>
    </row>
    <row r="277">
      <c r="A277">
        <f>IF($X277="","",INDEX(합계표[사번],$X277)&amp;"")</f>
        <v/>
      </c>
      <c r="B277">
        <f>IF($X277="","",INDEX(합계표[성명],$X277)&amp;"")</f>
        <v/>
      </c>
      <c r="C277">
        <f>IF($X277="","",INDEX(합계표[부서],$X277)&amp;"")</f>
        <v/>
      </c>
      <c r="D277">
        <f>IF($X277="","",INDEX(합계표[직위(요약)],$X277)&amp;"")</f>
        <v/>
      </c>
      <c r="E277">
        <f>IF($X277="","",INDEX(합계표[직급 공존],$X277)&amp;"")</f>
        <v/>
      </c>
      <c r="F277" s="20">
        <f>IF($X277="","",SUMIFS(합계표[시스템 합계],합계표[사번키],INDEX(합계표[사번키],$X277)))</f>
        <v/>
      </c>
      <c r="G277" s="20">
        <f>IF($X277="","",SUMIFS(상세표[기록 시간외],상세표[사번키],INDEX(합계표[사번키],$X277),상세표[기록월],대상월키))</f>
        <v/>
      </c>
      <c r="H277">
        <f>IF($X277="","",IF(ABS($F277-$G277)&lt;0.01,"일치","불일치(차이 "&amp;TEXT($G277-$F277,"0.00")&amp;")"))</f>
        <v/>
      </c>
      <c r="I277" s="20">
        <f>IF($X277="","",SUMIFS(상세표[기록 시간외],상세표[사번키],INDEX(합계표[사번키],$X277),상세표[기록월],대상월키,상세표[반영월],"&lt;&gt;"&amp;대상월키))</f>
        <v/>
      </c>
      <c r="J277" s="20">
        <f>IF($X277="","",SUMIFS(상세표[기록 시간외],상세표[사번키],INDEX(합계표[사번키],$X277),상세표[기록월],"&lt;&gt;"&amp;대상월키,상세표[반영월],대상월키))</f>
        <v/>
      </c>
      <c r="K277" s="20">
        <f>IF($X277="","",SUMIFS(상세표[기록 시간외],상세표[사번키],INDEX(합계표[사번키],$X277),상세표[반영월],대상월키))</f>
        <v/>
      </c>
      <c r="L277">
        <f>IF($X277="","",IFERROR(INDEX(월별근무지표[적용 급여병원],MATCH(INDEX(합계표[사번키],$X277)&amp;"|"&amp;대상월키,월별근무지표[키],0))&amp;"",IF(COUNTIF(기관표[사번키],INDEX(합계표[사번키],$X277))+COUNTIF(월별근무지표[사번키],INDEX(합계표[사번키],$X277))&gt;0,IFERROR(INDEX(기관표[급여지급병원(기준월)],MATCH(INDEX(합계표[사번키],$X277)&amp;"|"&amp;대상월키,기관표[키],0))&amp;"","—"),"—")))</f>
        <v/>
      </c>
      <c r="M277">
        <f>IF($X277="","",IF(NOT(COUNTIF(기관표[사번키],INDEX(합계표[사번키],$X277))+COUNTIF(월별근무지표[사번키],INDEX(합계표[사번키],$X277))&gt;0),"기관명단에 없음(다른 병원으로 발송)",IF($L277="서울병원","해당",IF(N($R277)&gt;0,"해당(말일 근무)",IF($L277="—","대상월 기관명단 없음(추가 필요)","비해당")))))</f>
        <v/>
      </c>
      <c r="N277" s="20">
        <f>IF($X277="","",SUMIFS(상세표[06~07시],상세표[사번키],INDEX(합계표[사번키],$X277),상세표[반영월],대상월키,상세표[반영 기관],"서울병원"))</f>
        <v/>
      </c>
      <c r="O277" s="20">
        <f>IF($X277="","",SUMIFS(상세표[07~18시],상세표[사번키],INDEX(합계표[사번키],$X277),상세표[반영월],대상월키,상세표[반영 기관],"서울병원"))</f>
        <v/>
      </c>
      <c r="P277" s="20">
        <f>IF($X277="","",SUMIFS(상세표[18~22시],상세표[사번키],INDEX(합계표[사번키],$X277),상세표[반영월],대상월키,상세표[반영 기관],"서울병원"))</f>
        <v/>
      </c>
      <c r="Q277" s="20">
        <f>IF($X277="","",SUMIFS(상세표[22~06시],상세표[사번키],INDEX(합계표[사번키],$X277),상세표[반영월],대상월키,상세표[반영 기관],"서울병원"))</f>
        <v/>
      </c>
      <c r="R277" s="20">
        <f>IF($X277="","",SUM($N277:$Q277))</f>
        <v/>
      </c>
      <c r="S277">
        <f>IF($X277="","",COUNTIFS(상세표[사번키],INDEX(합계표[사번키],$X277),상세표[반영월],대상월키,상세표[야간당직],1,상세표[야간 구분],"평일"))</f>
        <v/>
      </c>
      <c r="T277">
        <f>IF($X277="","",COUNTIFS(상세표[사번키],INDEX(합계표[사번키],$X277),상세표[반영월],대상월키,상세표[야간당직],1,상세표[야간 구분],"휴일"))</f>
        <v/>
      </c>
      <c r="U277">
        <f>IF($X277="","",COUNTIFS(상세표[사번키],INDEX(합계표[사번키],$X277),상세표[반영월],대상월키,상세표[야간당직],1,상세표[야간 구분],"평일",상세표[반영 기관],"서울병원"))</f>
        <v/>
      </c>
      <c r="V277">
        <f>IF($X277="","",COUNTIFS(상세표[사번키],INDEX(합계표[사번키],$X277),상세표[반영월],대상월키,상세표[야간당직],1,상세표[야간 구분],"휴일",상세표[반영 기관],"서울병원"))</f>
        <v/>
      </c>
      <c r="W277">
        <f>IF($X277="","",IF(ISNUMBER(MATCH(INDEX(합계표[사번키],$X277)&amp;"|"&amp;대상월키,월별근무지표[키],0)),"직접 입력",IF($L277="—","—","기관명단")))</f>
        <v/>
      </c>
      <c r="X277" s="4">
        <f>IFERROR(MATCH(272,합계표[판정순번],0),"")</f>
        <v/>
      </c>
      <c r="Z277">
        <f>IF($AC277="","",INDEX(상세표[사번],$AC277)&amp;"")</f>
        <v/>
      </c>
      <c r="AA277">
        <f>IF($AC277="","",INDEX(상세표[성명],$AC277)&amp;"")</f>
        <v/>
      </c>
      <c r="AB277" s="20">
        <f>IF($AC277="","",SUMIFS(상세표[기록 시간외],상세표[사번키],INDEX(상세표[사번키],$AC277),상세표[반영월],대상월키))</f>
        <v/>
      </c>
      <c r="AC277" s="4">
        <f>IFERROR(MATCH(272,상세표[합계없음순번],0),"")</f>
        <v/>
      </c>
    </row>
    <row r="278">
      <c r="A278">
        <f>IF($X278="","",INDEX(합계표[사번],$X278)&amp;"")</f>
        <v/>
      </c>
      <c r="B278">
        <f>IF($X278="","",INDEX(합계표[성명],$X278)&amp;"")</f>
        <v/>
      </c>
      <c r="C278">
        <f>IF($X278="","",INDEX(합계표[부서],$X278)&amp;"")</f>
        <v/>
      </c>
      <c r="D278">
        <f>IF($X278="","",INDEX(합계표[직위(요약)],$X278)&amp;"")</f>
        <v/>
      </c>
      <c r="E278">
        <f>IF($X278="","",INDEX(합계표[직급 공존],$X278)&amp;"")</f>
        <v/>
      </c>
      <c r="F278" s="20">
        <f>IF($X278="","",SUMIFS(합계표[시스템 합계],합계표[사번키],INDEX(합계표[사번키],$X278)))</f>
        <v/>
      </c>
      <c r="G278" s="20">
        <f>IF($X278="","",SUMIFS(상세표[기록 시간외],상세표[사번키],INDEX(합계표[사번키],$X278),상세표[기록월],대상월키))</f>
        <v/>
      </c>
      <c r="H278">
        <f>IF($X278="","",IF(ABS($F278-$G278)&lt;0.01,"일치","불일치(차이 "&amp;TEXT($G278-$F278,"0.00")&amp;")"))</f>
        <v/>
      </c>
      <c r="I278" s="20">
        <f>IF($X278="","",SUMIFS(상세표[기록 시간외],상세표[사번키],INDEX(합계표[사번키],$X278),상세표[기록월],대상월키,상세표[반영월],"&lt;&gt;"&amp;대상월키))</f>
        <v/>
      </c>
      <c r="J278" s="20">
        <f>IF($X278="","",SUMIFS(상세표[기록 시간외],상세표[사번키],INDEX(합계표[사번키],$X278),상세표[기록월],"&lt;&gt;"&amp;대상월키,상세표[반영월],대상월키))</f>
        <v/>
      </c>
      <c r="K278" s="20">
        <f>IF($X278="","",SUMIFS(상세표[기록 시간외],상세표[사번키],INDEX(합계표[사번키],$X278),상세표[반영월],대상월키))</f>
        <v/>
      </c>
      <c r="L278">
        <f>IF($X278="","",IFERROR(INDEX(월별근무지표[적용 급여병원],MATCH(INDEX(합계표[사번키],$X278)&amp;"|"&amp;대상월키,월별근무지표[키],0))&amp;"",IF(COUNTIF(기관표[사번키],INDEX(합계표[사번키],$X278))+COUNTIF(월별근무지표[사번키],INDEX(합계표[사번키],$X278))&gt;0,IFERROR(INDEX(기관표[급여지급병원(기준월)],MATCH(INDEX(합계표[사번키],$X278)&amp;"|"&amp;대상월키,기관표[키],0))&amp;"","—"),"—")))</f>
        <v/>
      </c>
      <c r="M278">
        <f>IF($X278="","",IF(NOT(COUNTIF(기관표[사번키],INDEX(합계표[사번키],$X278))+COUNTIF(월별근무지표[사번키],INDEX(합계표[사번키],$X278))&gt;0),"기관명단에 없음(다른 병원으로 발송)",IF($L278="서울병원","해당",IF(N($R278)&gt;0,"해당(말일 근무)",IF($L278="—","대상월 기관명단 없음(추가 필요)","비해당")))))</f>
        <v/>
      </c>
      <c r="N278" s="20">
        <f>IF($X278="","",SUMIFS(상세표[06~07시],상세표[사번키],INDEX(합계표[사번키],$X278),상세표[반영월],대상월키,상세표[반영 기관],"서울병원"))</f>
        <v/>
      </c>
      <c r="O278" s="20">
        <f>IF($X278="","",SUMIFS(상세표[07~18시],상세표[사번키],INDEX(합계표[사번키],$X278),상세표[반영월],대상월키,상세표[반영 기관],"서울병원"))</f>
        <v/>
      </c>
      <c r="P278" s="20">
        <f>IF($X278="","",SUMIFS(상세표[18~22시],상세표[사번키],INDEX(합계표[사번키],$X278),상세표[반영월],대상월키,상세표[반영 기관],"서울병원"))</f>
        <v/>
      </c>
      <c r="Q278" s="20">
        <f>IF($X278="","",SUMIFS(상세표[22~06시],상세표[사번키],INDEX(합계표[사번키],$X278),상세표[반영월],대상월키,상세표[반영 기관],"서울병원"))</f>
        <v/>
      </c>
      <c r="R278" s="20">
        <f>IF($X278="","",SUM($N278:$Q278))</f>
        <v/>
      </c>
      <c r="S278">
        <f>IF($X278="","",COUNTIFS(상세표[사번키],INDEX(합계표[사번키],$X278),상세표[반영월],대상월키,상세표[야간당직],1,상세표[야간 구분],"평일"))</f>
        <v/>
      </c>
      <c r="T278">
        <f>IF($X278="","",COUNTIFS(상세표[사번키],INDEX(합계표[사번키],$X278),상세표[반영월],대상월키,상세표[야간당직],1,상세표[야간 구분],"휴일"))</f>
        <v/>
      </c>
      <c r="U278">
        <f>IF($X278="","",COUNTIFS(상세표[사번키],INDEX(합계표[사번키],$X278),상세표[반영월],대상월키,상세표[야간당직],1,상세표[야간 구분],"평일",상세표[반영 기관],"서울병원"))</f>
        <v/>
      </c>
      <c r="V278">
        <f>IF($X278="","",COUNTIFS(상세표[사번키],INDEX(합계표[사번키],$X278),상세표[반영월],대상월키,상세표[야간당직],1,상세표[야간 구분],"휴일",상세표[반영 기관],"서울병원"))</f>
        <v/>
      </c>
      <c r="W278">
        <f>IF($X278="","",IF(ISNUMBER(MATCH(INDEX(합계표[사번키],$X278)&amp;"|"&amp;대상월키,월별근무지표[키],0)),"직접 입력",IF($L278="—","—","기관명단")))</f>
        <v/>
      </c>
      <c r="X278" s="4">
        <f>IFERROR(MATCH(273,합계표[판정순번],0),"")</f>
        <v/>
      </c>
      <c r="Z278">
        <f>IF($AC278="","",INDEX(상세표[사번],$AC278)&amp;"")</f>
        <v/>
      </c>
      <c r="AA278">
        <f>IF($AC278="","",INDEX(상세표[성명],$AC278)&amp;"")</f>
        <v/>
      </c>
      <c r="AB278" s="20">
        <f>IF($AC278="","",SUMIFS(상세표[기록 시간외],상세표[사번키],INDEX(상세표[사번키],$AC278),상세표[반영월],대상월키))</f>
        <v/>
      </c>
      <c r="AC278" s="4">
        <f>IFERROR(MATCH(273,상세표[합계없음순번],0),"")</f>
        <v/>
      </c>
    </row>
    <row r="279">
      <c r="A279">
        <f>IF($X279="","",INDEX(합계표[사번],$X279)&amp;"")</f>
        <v/>
      </c>
      <c r="B279">
        <f>IF($X279="","",INDEX(합계표[성명],$X279)&amp;"")</f>
        <v/>
      </c>
      <c r="C279">
        <f>IF($X279="","",INDEX(합계표[부서],$X279)&amp;"")</f>
        <v/>
      </c>
      <c r="D279">
        <f>IF($X279="","",INDEX(합계표[직위(요약)],$X279)&amp;"")</f>
        <v/>
      </c>
      <c r="E279">
        <f>IF($X279="","",INDEX(합계표[직급 공존],$X279)&amp;"")</f>
        <v/>
      </c>
      <c r="F279" s="20">
        <f>IF($X279="","",SUMIFS(합계표[시스템 합계],합계표[사번키],INDEX(합계표[사번키],$X279)))</f>
        <v/>
      </c>
      <c r="G279" s="20">
        <f>IF($X279="","",SUMIFS(상세표[기록 시간외],상세표[사번키],INDEX(합계표[사번키],$X279),상세표[기록월],대상월키))</f>
        <v/>
      </c>
      <c r="H279">
        <f>IF($X279="","",IF(ABS($F279-$G279)&lt;0.01,"일치","불일치(차이 "&amp;TEXT($G279-$F279,"0.00")&amp;")"))</f>
        <v/>
      </c>
      <c r="I279" s="20">
        <f>IF($X279="","",SUMIFS(상세표[기록 시간외],상세표[사번키],INDEX(합계표[사번키],$X279),상세표[기록월],대상월키,상세표[반영월],"&lt;&gt;"&amp;대상월키))</f>
        <v/>
      </c>
      <c r="J279" s="20">
        <f>IF($X279="","",SUMIFS(상세표[기록 시간외],상세표[사번키],INDEX(합계표[사번키],$X279),상세표[기록월],"&lt;&gt;"&amp;대상월키,상세표[반영월],대상월키))</f>
        <v/>
      </c>
      <c r="K279" s="20">
        <f>IF($X279="","",SUMIFS(상세표[기록 시간외],상세표[사번키],INDEX(합계표[사번키],$X279),상세표[반영월],대상월키))</f>
        <v/>
      </c>
      <c r="L279">
        <f>IF($X279="","",IFERROR(INDEX(월별근무지표[적용 급여병원],MATCH(INDEX(합계표[사번키],$X279)&amp;"|"&amp;대상월키,월별근무지표[키],0))&amp;"",IF(COUNTIF(기관표[사번키],INDEX(합계표[사번키],$X279))+COUNTIF(월별근무지표[사번키],INDEX(합계표[사번키],$X279))&gt;0,IFERROR(INDEX(기관표[급여지급병원(기준월)],MATCH(INDEX(합계표[사번키],$X279)&amp;"|"&amp;대상월키,기관표[키],0))&amp;"","—"),"—")))</f>
        <v/>
      </c>
      <c r="M279">
        <f>IF($X279="","",IF(NOT(COUNTIF(기관표[사번키],INDEX(합계표[사번키],$X279))+COUNTIF(월별근무지표[사번키],INDEX(합계표[사번키],$X279))&gt;0),"기관명단에 없음(다른 병원으로 발송)",IF($L279="서울병원","해당",IF(N($R279)&gt;0,"해당(말일 근무)",IF($L279="—","대상월 기관명단 없음(추가 필요)","비해당")))))</f>
        <v/>
      </c>
      <c r="N279" s="20">
        <f>IF($X279="","",SUMIFS(상세표[06~07시],상세표[사번키],INDEX(합계표[사번키],$X279),상세표[반영월],대상월키,상세표[반영 기관],"서울병원"))</f>
        <v/>
      </c>
      <c r="O279" s="20">
        <f>IF($X279="","",SUMIFS(상세표[07~18시],상세표[사번키],INDEX(합계표[사번키],$X279),상세표[반영월],대상월키,상세표[반영 기관],"서울병원"))</f>
        <v/>
      </c>
      <c r="P279" s="20">
        <f>IF($X279="","",SUMIFS(상세표[18~22시],상세표[사번키],INDEX(합계표[사번키],$X279),상세표[반영월],대상월키,상세표[반영 기관],"서울병원"))</f>
        <v/>
      </c>
      <c r="Q279" s="20">
        <f>IF($X279="","",SUMIFS(상세표[22~06시],상세표[사번키],INDEX(합계표[사번키],$X279),상세표[반영월],대상월키,상세표[반영 기관],"서울병원"))</f>
        <v/>
      </c>
      <c r="R279" s="20">
        <f>IF($X279="","",SUM($N279:$Q279))</f>
        <v/>
      </c>
      <c r="S279">
        <f>IF($X279="","",COUNTIFS(상세표[사번키],INDEX(합계표[사번키],$X279),상세표[반영월],대상월키,상세표[야간당직],1,상세표[야간 구분],"평일"))</f>
        <v/>
      </c>
      <c r="T279">
        <f>IF($X279="","",COUNTIFS(상세표[사번키],INDEX(합계표[사번키],$X279),상세표[반영월],대상월키,상세표[야간당직],1,상세표[야간 구분],"휴일"))</f>
        <v/>
      </c>
      <c r="U279">
        <f>IF($X279="","",COUNTIFS(상세표[사번키],INDEX(합계표[사번키],$X279),상세표[반영월],대상월키,상세표[야간당직],1,상세표[야간 구분],"평일",상세표[반영 기관],"서울병원"))</f>
        <v/>
      </c>
      <c r="V279">
        <f>IF($X279="","",COUNTIFS(상세표[사번키],INDEX(합계표[사번키],$X279),상세표[반영월],대상월키,상세표[야간당직],1,상세표[야간 구분],"휴일",상세표[반영 기관],"서울병원"))</f>
        <v/>
      </c>
      <c r="W279">
        <f>IF($X279="","",IF(ISNUMBER(MATCH(INDEX(합계표[사번키],$X279)&amp;"|"&amp;대상월키,월별근무지표[키],0)),"직접 입력",IF($L279="—","—","기관명단")))</f>
        <v/>
      </c>
      <c r="X279" s="4">
        <f>IFERROR(MATCH(274,합계표[판정순번],0),"")</f>
        <v/>
      </c>
      <c r="Z279">
        <f>IF($AC279="","",INDEX(상세표[사번],$AC279)&amp;"")</f>
        <v/>
      </c>
      <c r="AA279">
        <f>IF($AC279="","",INDEX(상세표[성명],$AC279)&amp;"")</f>
        <v/>
      </c>
      <c r="AB279" s="20">
        <f>IF($AC279="","",SUMIFS(상세표[기록 시간외],상세표[사번키],INDEX(상세표[사번키],$AC279),상세표[반영월],대상월키))</f>
        <v/>
      </c>
      <c r="AC279" s="4">
        <f>IFERROR(MATCH(274,상세표[합계없음순번],0),"")</f>
        <v/>
      </c>
    </row>
    <row r="280">
      <c r="A280">
        <f>IF($X280="","",INDEX(합계표[사번],$X280)&amp;"")</f>
        <v/>
      </c>
      <c r="B280">
        <f>IF($X280="","",INDEX(합계표[성명],$X280)&amp;"")</f>
        <v/>
      </c>
      <c r="C280">
        <f>IF($X280="","",INDEX(합계표[부서],$X280)&amp;"")</f>
        <v/>
      </c>
      <c r="D280">
        <f>IF($X280="","",INDEX(합계표[직위(요약)],$X280)&amp;"")</f>
        <v/>
      </c>
      <c r="E280">
        <f>IF($X280="","",INDEX(합계표[직급 공존],$X280)&amp;"")</f>
        <v/>
      </c>
      <c r="F280" s="20">
        <f>IF($X280="","",SUMIFS(합계표[시스템 합계],합계표[사번키],INDEX(합계표[사번키],$X280)))</f>
        <v/>
      </c>
      <c r="G280" s="20">
        <f>IF($X280="","",SUMIFS(상세표[기록 시간외],상세표[사번키],INDEX(합계표[사번키],$X280),상세표[기록월],대상월키))</f>
        <v/>
      </c>
      <c r="H280">
        <f>IF($X280="","",IF(ABS($F280-$G280)&lt;0.01,"일치","불일치(차이 "&amp;TEXT($G280-$F280,"0.00")&amp;")"))</f>
        <v/>
      </c>
      <c r="I280" s="20">
        <f>IF($X280="","",SUMIFS(상세표[기록 시간외],상세표[사번키],INDEX(합계표[사번키],$X280),상세표[기록월],대상월키,상세표[반영월],"&lt;&gt;"&amp;대상월키))</f>
        <v/>
      </c>
      <c r="J280" s="20">
        <f>IF($X280="","",SUMIFS(상세표[기록 시간외],상세표[사번키],INDEX(합계표[사번키],$X280),상세표[기록월],"&lt;&gt;"&amp;대상월키,상세표[반영월],대상월키))</f>
        <v/>
      </c>
      <c r="K280" s="20">
        <f>IF($X280="","",SUMIFS(상세표[기록 시간외],상세표[사번키],INDEX(합계표[사번키],$X280),상세표[반영월],대상월키))</f>
        <v/>
      </c>
      <c r="L280">
        <f>IF($X280="","",IFERROR(INDEX(월별근무지표[적용 급여병원],MATCH(INDEX(합계표[사번키],$X280)&amp;"|"&amp;대상월키,월별근무지표[키],0))&amp;"",IF(COUNTIF(기관표[사번키],INDEX(합계표[사번키],$X280))+COUNTIF(월별근무지표[사번키],INDEX(합계표[사번키],$X280))&gt;0,IFERROR(INDEX(기관표[급여지급병원(기준월)],MATCH(INDEX(합계표[사번키],$X280)&amp;"|"&amp;대상월키,기관표[키],0))&amp;"","—"),"—")))</f>
        <v/>
      </c>
      <c r="M280">
        <f>IF($X280="","",IF(NOT(COUNTIF(기관표[사번키],INDEX(합계표[사번키],$X280))+COUNTIF(월별근무지표[사번키],INDEX(합계표[사번키],$X280))&gt;0),"기관명단에 없음(다른 병원으로 발송)",IF($L280="서울병원","해당",IF(N($R280)&gt;0,"해당(말일 근무)",IF($L280="—","대상월 기관명단 없음(추가 필요)","비해당")))))</f>
        <v/>
      </c>
      <c r="N280" s="20">
        <f>IF($X280="","",SUMIFS(상세표[06~07시],상세표[사번키],INDEX(합계표[사번키],$X280),상세표[반영월],대상월키,상세표[반영 기관],"서울병원"))</f>
        <v/>
      </c>
      <c r="O280" s="20">
        <f>IF($X280="","",SUMIFS(상세표[07~18시],상세표[사번키],INDEX(합계표[사번키],$X280),상세표[반영월],대상월키,상세표[반영 기관],"서울병원"))</f>
        <v/>
      </c>
      <c r="P280" s="20">
        <f>IF($X280="","",SUMIFS(상세표[18~22시],상세표[사번키],INDEX(합계표[사번키],$X280),상세표[반영월],대상월키,상세표[반영 기관],"서울병원"))</f>
        <v/>
      </c>
      <c r="Q280" s="20">
        <f>IF($X280="","",SUMIFS(상세표[22~06시],상세표[사번키],INDEX(합계표[사번키],$X280),상세표[반영월],대상월키,상세표[반영 기관],"서울병원"))</f>
        <v/>
      </c>
      <c r="R280" s="20">
        <f>IF($X280="","",SUM($N280:$Q280))</f>
        <v/>
      </c>
      <c r="S280">
        <f>IF($X280="","",COUNTIFS(상세표[사번키],INDEX(합계표[사번키],$X280),상세표[반영월],대상월키,상세표[야간당직],1,상세표[야간 구분],"평일"))</f>
        <v/>
      </c>
      <c r="T280">
        <f>IF($X280="","",COUNTIFS(상세표[사번키],INDEX(합계표[사번키],$X280),상세표[반영월],대상월키,상세표[야간당직],1,상세표[야간 구분],"휴일"))</f>
        <v/>
      </c>
      <c r="U280">
        <f>IF($X280="","",COUNTIFS(상세표[사번키],INDEX(합계표[사번키],$X280),상세표[반영월],대상월키,상세표[야간당직],1,상세표[야간 구분],"평일",상세표[반영 기관],"서울병원"))</f>
        <v/>
      </c>
      <c r="V280">
        <f>IF($X280="","",COUNTIFS(상세표[사번키],INDEX(합계표[사번키],$X280),상세표[반영월],대상월키,상세표[야간당직],1,상세표[야간 구분],"휴일",상세표[반영 기관],"서울병원"))</f>
        <v/>
      </c>
      <c r="W280">
        <f>IF($X280="","",IF(ISNUMBER(MATCH(INDEX(합계표[사번키],$X280)&amp;"|"&amp;대상월키,월별근무지표[키],0)),"직접 입력",IF($L280="—","—","기관명단")))</f>
        <v/>
      </c>
      <c r="X280" s="4">
        <f>IFERROR(MATCH(275,합계표[판정순번],0),"")</f>
        <v/>
      </c>
      <c r="Z280">
        <f>IF($AC280="","",INDEX(상세표[사번],$AC280)&amp;"")</f>
        <v/>
      </c>
      <c r="AA280">
        <f>IF($AC280="","",INDEX(상세표[성명],$AC280)&amp;"")</f>
        <v/>
      </c>
      <c r="AB280" s="20">
        <f>IF($AC280="","",SUMIFS(상세표[기록 시간외],상세표[사번키],INDEX(상세표[사번키],$AC280),상세표[반영월],대상월키))</f>
        <v/>
      </c>
      <c r="AC280" s="4">
        <f>IFERROR(MATCH(275,상세표[합계없음순번],0),"")</f>
        <v/>
      </c>
    </row>
    <row r="281">
      <c r="A281">
        <f>IF($X281="","",INDEX(합계표[사번],$X281)&amp;"")</f>
        <v/>
      </c>
      <c r="B281">
        <f>IF($X281="","",INDEX(합계표[성명],$X281)&amp;"")</f>
        <v/>
      </c>
      <c r="C281">
        <f>IF($X281="","",INDEX(합계표[부서],$X281)&amp;"")</f>
        <v/>
      </c>
      <c r="D281">
        <f>IF($X281="","",INDEX(합계표[직위(요약)],$X281)&amp;"")</f>
        <v/>
      </c>
      <c r="E281">
        <f>IF($X281="","",INDEX(합계표[직급 공존],$X281)&amp;"")</f>
        <v/>
      </c>
      <c r="F281" s="20">
        <f>IF($X281="","",SUMIFS(합계표[시스템 합계],합계표[사번키],INDEX(합계표[사번키],$X281)))</f>
        <v/>
      </c>
      <c r="G281" s="20">
        <f>IF($X281="","",SUMIFS(상세표[기록 시간외],상세표[사번키],INDEX(합계표[사번키],$X281),상세표[기록월],대상월키))</f>
        <v/>
      </c>
      <c r="H281">
        <f>IF($X281="","",IF(ABS($F281-$G281)&lt;0.01,"일치","불일치(차이 "&amp;TEXT($G281-$F281,"0.00")&amp;")"))</f>
        <v/>
      </c>
      <c r="I281" s="20">
        <f>IF($X281="","",SUMIFS(상세표[기록 시간외],상세표[사번키],INDEX(합계표[사번키],$X281),상세표[기록월],대상월키,상세표[반영월],"&lt;&gt;"&amp;대상월키))</f>
        <v/>
      </c>
      <c r="J281" s="20">
        <f>IF($X281="","",SUMIFS(상세표[기록 시간외],상세표[사번키],INDEX(합계표[사번키],$X281),상세표[기록월],"&lt;&gt;"&amp;대상월키,상세표[반영월],대상월키))</f>
        <v/>
      </c>
      <c r="K281" s="20">
        <f>IF($X281="","",SUMIFS(상세표[기록 시간외],상세표[사번키],INDEX(합계표[사번키],$X281),상세표[반영월],대상월키))</f>
        <v/>
      </c>
      <c r="L281">
        <f>IF($X281="","",IFERROR(INDEX(월별근무지표[적용 급여병원],MATCH(INDEX(합계표[사번키],$X281)&amp;"|"&amp;대상월키,월별근무지표[키],0))&amp;"",IF(COUNTIF(기관표[사번키],INDEX(합계표[사번키],$X281))+COUNTIF(월별근무지표[사번키],INDEX(합계표[사번키],$X281))&gt;0,IFERROR(INDEX(기관표[급여지급병원(기준월)],MATCH(INDEX(합계표[사번키],$X281)&amp;"|"&amp;대상월키,기관표[키],0))&amp;"","—"),"—")))</f>
        <v/>
      </c>
      <c r="M281">
        <f>IF($X281="","",IF(NOT(COUNTIF(기관표[사번키],INDEX(합계표[사번키],$X281))+COUNTIF(월별근무지표[사번키],INDEX(합계표[사번키],$X281))&gt;0),"기관명단에 없음(다른 병원으로 발송)",IF($L281="서울병원","해당",IF(N($R281)&gt;0,"해당(말일 근무)",IF($L281="—","대상월 기관명단 없음(추가 필요)","비해당")))))</f>
        <v/>
      </c>
      <c r="N281" s="20">
        <f>IF($X281="","",SUMIFS(상세표[06~07시],상세표[사번키],INDEX(합계표[사번키],$X281),상세표[반영월],대상월키,상세표[반영 기관],"서울병원"))</f>
        <v/>
      </c>
      <c r="O281" s="20">
        <f>IF($X281="","",SUMIFS(상세표[07~18시],상세표[사번키],INDEX(합계표[사번키],$X281),상세표[반영월],대상월키,상세표[반영 기관],"서울병원"))</f>
        <v/>
      </c>
      <c r="P281" s="20">
        <f>IF($X281="","",SUMIFS(상세표[18~22시],상세표[사번키],INDEX(합계표[사번키],$X281),상세표[반영월],대상월키,상세표[반영 기관],"서울병원"))</f>
        <v/>
      </c>
      <c r="Q281" s="20">
        <f>IF($X281="","",SUMIFS(상세표[22~06시],상세표[사번키],INDEX(합계표[사번키],$X281),상세표[반영월],대상월키,상세표[반영 기관],"서울병원"))</f>
        <v/>
      </c>
      <c r="R281" s="20">
        <f>IF($X281="","",SUM($N281:$Q281))</f>
        <v/>
      </c>
      <c r="S281">
        <f>IF($X281="","",COUNTIFS(상세표[사번키],INDEX(합계표[사번키],$X281),상세표[반영월],대상월키,상세표[야간당직],1,상세표[야간 구분],"평일"))</f>
        <v/>
      </c>
      <c r="T281">
        <f>IF($X281="","",COUNTIFS(상세표[사번키],INDEX(합계표[사번키],$X281),상세표[반영월],대상월키,상세표[야간당직],1,상세표[야간 구분],"휴일"))</f>
        <v/>
      </c>
      <c r="U281">
        <f>IF($X281="","",COUNTIFS(상세표[사번키],INDEX(합계표[사번키],$X281),상세표[반영월],대상월키,상세표[야간당직],1,상세표[야간 구분],"평일",상세표[반영 기관],"서울병원"))</f>
        <v/>
      </c>
      <c r="V281">
        <f>IF($X281="","",COUNTIFS(상세표[사번키],INDEX(합계표[사번키],$X281),상세표[반영월],대상월키,상세표[야간당직],1,상세표[야간 구분],"휴일",상세표[반영 기관],"서울병원"))</f>
        <v/>
      </c>
      <c r="W281">
        <f>IF($X281="","",IF(ISNUMBER(MATCH(INDEX(합계표[사번키],$X281)&amp;"|"&amp;대상월키,월별근무지표[키],0)),"직접 입력",IF($L281="—","—","기관명단")))</f>
        <v/>
      </c>
      <c r="X281" s="4">
        <f>IFERROR(MATCH(276,합계표[판정순번],0),"")</f>
        <v/>
      </c>
      <c r="Z281">
        <f>IF($AC281="","",INDEX(상세표[사번],$AC281)&amp;"")</f>
        <v/>
      </c>
      <c r="AA281">
        <f>IF($AC281="","",INDEX(상세표[성명],$AC281)&amp;"")</f>
        <v/>
      </c>
      <c r="AB281" s="20">
        <f>IF($AC281="","",SUMIFS(상세표[기록 시간외],상세표[사번키],INDEX(상세표[사번키],$AC281),상세표[반영월],대상월키))</f>
        <v/>
      </c>
      <c r="AC281" s="4">
        <f>IFERROR(MATCH(276,상세표[합계없음순번],0),"")</f>
        <v/>
      </c>
    </row>
    <row r="282">
      <c r="A282">
        <f>IF($X282="","",INDEX(합계표[사번],$X282)&amp;"")</f>
        <v/>
      </c>
      <c r="B282">
        <f>IF($X282="","",INDEX(합계표[성명],$X282)&amp;"")</f>
        <v/>
      </c>
      <c r="C282">
        <f>IF($X282="","",INDEX(합계표[부서],$X282)&amp;"")</f>
        <v/>
      </c>
      <c r="D282">
        <f>IF($X282="","",INDEX(합계표[직위(요약)],$X282)&amp;"")</f>
        <v/>
      </c>
      <c r="E282">
        <f>IF($X282="","",INDEX(합계표[직급 공존],$X282)&amp;"")</f>
        <v/>
      </c>
      <c r="F282" s="20">
        <f>IF($X282="","",SUMIFS(합계표[시스템 합계],합계표[사번키],INDEX(합계표[사번키],$X282)))</f>
        <v/>
      </c>
      <c r="G282" s="20">
        <f>IF($X282="","",SUMIFS(상세표[기록 시간외],상세표[사번키],INDEX(합계표[사번키],$X282),상세표[기록월],대상월키))</f>
        <v/>
      </c>
      <c r="H282">
        <f>IF($X282="","",IF(ABS($F282-$G282)&lt;0.01,"일치","불일치(차이 "&amp;TEXT($G282-$F282,"0.00")&amp;")"))</f>
        <v/>
      </c>
      <c r="I282" s="20">
        <f>IF($X282="","",SUMIFS(상세표[기록 시간외],상세표[사번키],INDEX(합계표[사번키],$X282),상세표[기록월],대상월키,상세표[반영월],"&lt;&gt;"&amp;대상월키))</f>
        <v/>
      </c>
      <c r="J282" s="20">
        <f>IF($X282="","",SUMIFS(상세표[기록 시간외],상세표[사번키],INDEX(합계표[사번키],$X282),상세표[기록월],"&lt;&gt;"&amp;대상월키,상세표[반영월],대상월키))</f>
        <v/>
      </c>
      <c r="K282" s="20">
        <f>IF($X282="","",SUMIFS(상세표[기록 시간외],상세표[사번키],INDEX(합계표[사번키],$X282),상세표[반영월],대상월키))</f>
        <v/>
      </c>
      <c r="L282">
        <f>IF($X282="","",IFERROR(INDEX(월별근무지표[적용 급여병원],MATCH(INDEX(합계표[사번키],$X282)&amp;"|"&amp;대상월키,월별근무지표[키],0))&amp;"",IF(COUNTIF(기관표[사번키],INDEX(합계표[사번키],$X282))+COUNTIF(월별근무지표[사번키],INDEX(합계표[사번키],$X282))&gt;0,IFERROR(INDEX(기관표[급여지급병원(기준월)],MATCH(INDEX(합계표[사번키],$X282)&amp;"|"&amp;대상월키,기관표[키],0))&amp;"","—"),"—")))</f>
        <v/>
      </c>
      <c r="M282">
        <f>IF($X282="","",IF(NOT(COUNTIF(기관표[사번키],INDEX(합계표[사번키],$X282))+COUNTIF(월별근무지표[사번키],INDEX(합계표[사번키],$X282))&gt;0),"기관명단에 없음(다른 병원으로 발송)",IF($L282="서울병원","해당",IF(N($R282)&gt;0,"해당(말일 근무)",IF($L282="—","대상월 기관명단 없음(추가 필요)","비해당")))))</f>
        <v/>
      </c>
      <c r="N282" s="20">
        <f>IF($X282="","",SUMIFS(상세표[06~07시],상세표[사번키],INDEX(합계표[사번키],$X282),상세표[반영월],대상월키,상세표[반영 기관],"서울병원"))</f>
        <v/>
      </c>
      <c r="O282" s="20">
        <f>IF($X282="","",SUMIFS(상세표[07~18시],상세표[사번키],INDEX(합계표[사번키],$X282),상세표[반영월],대상월키,상세표[반영 기관],"서울병원"))</f>
        <v/>
      </c>
      <c r="P282" s="20">
        <f>IF($X282="","",SUMIFS(상세표[18~22시],상세표[사번키],INDEX(합계표[사번키],$X282),상세표[반영월],대상월키,상세표[반영 기관],"서울병원"))</f>
        <v/>
      </c>
      <c r="Q282" s="20">
        <f>IF($X282="","",SUMIFS(상세표[22~06시],상세표[사번키],INDEX(합계표[사번키],$X282),상세표[반영월],대상월키,상세표[반영 기관],"서울병원"))</f>
        <v/>
      </c>
      <c r="R282" s="20">
        <f>IF($X282="","",SUM($N282:$Q282))</f>
        <v/>
      </c>
      <c r="S282">
        <f>IF($X282="","",COUNTIFS(상세표[사번키],INDEX(합계표[사번키],$X282),상세표[반영월],대상월키,상세표[야간당직],1,상세표[야간 구분],"평일"))</f>
        <v/>
      </c>
      <c r="T282">
        <f>IF($X282="","",COUNTIFS(상세표[사번키],INDEX(합계표[사번키],$X282),상세표[반영월],대상월키,상세표[야간당직],1,상세표[야간 구분],"휴일"))</f>
        <v/>
      </c>
      <c r="U282">
        <f>IF($X282="","",COUNTIFS(상세표[사번키],INDEX(합계표[사번키],$X282),상세표[반영월],대상월키,상세표[야간당직],1,상세표[야간 구분],"평일",상세표[반영 기관],"서울병원"))</f>
        <v/>
      </c>
      <c r="V282">
        <f>IF($X282="","",COUNTIFS(상세표[사번키],INDEX(합계표[사번키],$X282),상세표[반영월],대상월키,상세표[야간당직],1,상세표[야간 구분],"휴일",상세표[반영 기관],"서울병원"))</f>
        <v/>
      </c>
      <c r="W282">
        <f>IF($X282="","",IF(ISNUMBER(MATCH(INDEX(합계표[사번키],$X282)&amp;"|"&amp;대상월키,월별근무지표[키],0)),"직접 입력",IF($L282="—","—","기관명단")))</f>
        <v/>
      </c>
      <c r="X282" s="4">
        <f>IFERROR(MATCH(277,합계표[판정순번],0),"")</f>
        <v/>
      </c>
      <c r="Z282">
        <f>IF($AC282="","",INDEX(상세표[사번],$AC282)&amp;"")</f>
        <v/>
      </c>
      <c r="AA282">
        <f>IF($AC282="","",INDEX(상세표[성명],$AC282)&amp;"")</f>
        <v/>
      </c>
      <c r="AB282" s="20">
        <f>IF($AC282="","",SUMIFS(상세표[기록 시간외],상세표[사번키],INDEX(상세표[사번키],$AC282),상세표[반영월],대상월키))</f>
        <v/>
      </c>
      <c r="AC282" s="4">
        <f>IFERROR(MATCH(277,상세표[합계없음순번],0),"")</f>
        <v/>
      </c>
    </row>
    <row r="283">
      <c r="A283">
        <f>IF($X283="","",INDEX(합계표[사번],$X283)&amp;"")</f>
        <v/>
      </c>
      <c r="B283">
        <f>IF($X283="","",INDEX(합계표[성명],$X283)&amp;"")</f>
        <v/>
      </c>
      <c r="C283">
        <f>IF($X283="","",INDEX(합계표[부서],$X283)&amp;"")</f>
        <v/>
      </c>
      <c r="D283">
        <f>IF($X283="","",INDEX(합계표[직위(요약)],$X283)&amp;"")</f>
        <v/>
      </c>
      <c r="E283">
        <f>IF($X283="","",INDEX(합계표[직급 공존],$X283)&amp;"")</f>
        <v/>
      </c>
      <c r="F283" s="20">
        <f>IF($X283="","",SUMIFS(합계표[시스템 합계],합계표[사번키],INDEX(합계표[사번키],$X283)))</f>
        <v/>
      </c>
      <c r="G283" s="20">
        <f>IF($X283="","",SUMIFS(상세표[기록 시간외],상세표[사번키],INDEX(합계표[사번키],$X283),상세표[기록월],대상월키))</f>
        <v/>
      </c>
      <c r="H283">
        <f>IF($X283="","",IF(ABS($F283-$G283)&lt;0.01,"일치","불일치(차이 "&amp;TEXT($G283-$F283,"0.00")&amp;")"))</f>
        <v/>
      </c>
      <c r="I283" s="20">
        <f>IF($X283="","",SUMIFS(상세표[기록 시간외],상세표[사번키],INDEX(합계표[사번키],$X283),상세표[기록월],대상월키,상세표[반영월],"&lt;&gt;"&amp;대상월키))</f>
        <v/>
      </c>
      <c r="J283" s="20">
        <f>IF($X283="","",SUMIFS(상세표[기록 시간외],상세표[사번키],INDEX(합계표[사번키],$X283),상세표[기록월],"&lt;&gt;"&amp;대상월키,상세표[반영월],대상월키))</f>
        <v/>
      </c>
      <c r="K283" s="20">
        <f>IF($X283="","",SUMIFS(상세표[기록 시간외],상세표[사번키],INDEX(합계표[사번키],$X283),상세표[반영월],대상월키))</f>
        <v/>
      </c>
      <c r="L283">
        <f>IF($X283="","",IFERROR(INDEX(월별근무지표[적용 급여병원],MATCH(INDEX(합계표[사번키],$X283)&amp;"|"&amp;대상월키,월별근무지표[키],0))&amp;"",IF(COUNTIF(기관표[사번키],INDEX(합계표[사번키],$X283))+COUNTIF(월별근무지표[사번키],INDEX(합계표[사번키],$X283))&gt;0,IFERROR(INDEX(기관표[급여지급병원(기준월)],MATCH(INDEX(합계표[사번키],$X283)&amp;"|"&amp;대상월키,기관표[키],0))&amp;"","—"),"—")))</f>
        <v/>
      </c>
      <c r="M283">
        <f>IF($X283="","",IF(NOT(COUNTIF(기관표[사번키],INDEX(합계표[사번키],$X283))+COUNTIF(월별근무지표[사번키],INDEX(합계표[사번키],$X283))&gt;0),"기관명단에 없음(다른 병원으로 발송)",IF($L283="서울병원","해당",IF(N($R283)&gt;0,"해당(말일 근무)",IF($L283="—","대상월 기관명단 없음(추가 필요)","비해당")))))</f>
        <v/>
      </c>
      <c r="N283" s="20">
        <f>IF($X283="","",SUMIFS(상세표[06~07시],상세표[사번키],INDEX(합계표[사번키],$X283),상세표[반영월],대상월키,상세표[반영 기관],"서울병원"))</f>
        <v/>
      </c>
      <c r="O283" s="20">
        <f>IF($X283="","",SUMIFS(상세표[07~18시],상세표[사번키],INDEX(합계표[사번키],$X283),상세표[반영월],대상월키,상세표[반영 기관],"서울병원"))</f>
        <v/>
      </c>
      <c r="P283" s="20">
        <f>IF($X283="","",SUMIFS(상세표[18~22시],상세표[사번키],INDEX(합계표[사번키],$X283),상세표[반영월],대상월키,상세표[반영 기관],"서울병원"))</f>
        <v/>
      </c>
      <c r="Q283" s="20">
        <f>IF($X283="","",SUMIFS(상세표[22~06시],상세표[사번키],INDEX(합계표[사번키],$X283),상세표[반영월],대상월키,상세표[반영 기관],"서울병원"))</f>
        <v/>
      </c>
      <c r="R283" s="20">
        <f>IF($X283="","",SUM($N283:$Q283))</f>
        <v/>
      </c>
      <c r="S283">
        <f>IF($X283="","",COUNTIFS(상세표[사번키],INDEX(합계표[사번키],$X283),상세표[반영월],대상월키,상세표[야간당직],1,상세표[야간 구분],"평일"))</f>
        <v/>
      </c>
      <c r="T283">
        <f>IF($X283="","",COUNTIFS(상세표[사번키],INDEX(합계표[사번키],$X283),상세표[반영월],대상월키,상세표[야간당직],1,상세표[야간 구분],"휴일"))</f>
        <v/>
      </c>
      <c r="U283">
        <f>IF($X283="","",COUNTIFS(상세표[사번키],INDEX(합계표[사번키],$X283),상세표[반영월],대상월키,상세표[야간당직],1,상세표[야간 구분],"평일",상세표[반영 기관],"서울병원"))</f>
        <v/>
      </c>
      <c r="V283">
        <f>IF($X283="","",COUNTIFS(상세표[사번키],INDEX(합계표[사번키],$X283),상세표[반영월],대상월키,상세표[야간당직],1,상세표[야간 구분],"휴일",상세표[반영 기관],"서울병원"))</f>
        <v/>
      </c>
      <c r="W283">
        <f>IF($X283="","",IF(ISNUMBER(MATCH(INDEX(합계표[사번키],$X283)&amp;"|"&amp;대상월키,월별근무지표[키],0)),"직접 입력",IF($L283="—","—","기관명단")))</f>
        <v/>
      </c>
      <c r="X283" s="4">
        <f>IFERROR(MATCH(278,합계표[판정순번],0),"")</f>
        <v/>
      </c>
      <c r="Z283">
        <f>IF($AC283="","",INDEX(상세표[사번],$AC283)&amp;"")</f>
        <v/>
      </c>
      <c r="AA283">
        <f>IF($AC283="","",INDEX(상세표[성명],$AC283)&amp;"")</f>
        <v/>
      </c>
      <c r="AB283" s="20">
        <f>IF($AC283="","",SUMIFS(상세표[기록 시간외],상세표[사번키],INDEX(상세표[사번키],$AC283),상세표[반영월],대상월키))</f>
        <v/>
      </c>
      <c r="AC283" s="4">
        <f>IFERROR(MATCH(278,상세표[합계없음순번],0),"")</f>
        <v/>
      </c>
    </row>
    <row r="284">
      <c r="A284">
        <f>IF($X284="","",INDEX(합계표[사번],$X284)&amp;"")</f>
        <v/>
      </c>
      <c r="B284">
        <f>IF($X284="","",INDEX(합계표[성명],$X284)&amp;"")</f>
        <v/>
      </c>
      <c r="C284">
        <f>IF($X284="","",INDEX(합계표[부서],$X284)&amp;"")</f>
        <v/>
      </c>
      <c r="D284">
        <f>IF($X284="","",INDEX(합계표[직위(요약)],$X284)&amp;"")</f>
        <v/>
      </c>
      <c r="E284">
        <f>IF($X284="","",INDEX(합계표[직급 공존],$X284)&amp;"")</f>
        <v/>
      </c>
      <c r="F284" s="20">
        <f>IF($X284="","",SUMIFS(합계표[시스템 합계],합계표[사번키],INDEX(합계표[사번키],$X284)))</f>
        <v/>
      </c>
      <c r="G284" s="20">
        <f>IF($X284="","",SUMIFS(상세표[기록 시간외],상세표[사번키],INDEX(합계표[사번키],$X284),상세표[기록월],대상월키))</f>
        <v/>
      </c>
      <c r="H284">
        <f>IF($X284="","",IF(ABS($F284-$G284)&lt;0.01,"일치","불일치(차이 "&amp;TEXT($G284-$F284,"0.00")&amp;")"))</f>
        <v/>
      </c>
      <c r="I284" s="20">
        <f>IF($X284="","",SUMIFS(상세표[기록 시간외],상세표[사번키],INDEX(합계표[사번키],$X284),상세표[기록월],대상월키,상세표[반영월],"&lt;&gt;"&amp;대상월키))</f>
        <v/>
      </c>
      <c r="J284" s="20">
        <f>IF($X284="","",SUMIFS(상세표[기록 시간외],상세표[사번키],INDEX(합계표[사번키],$X284),상세표[기록월],"&lt;&gt;"&amp;대상월키,상세표[반영월],대상월키))</f>
        <v/>
      </c>
      <c r="K284" s="20">
        <f>IF($X284="","",SUMIFS(상세표[기록 시간외],상세표[사번키],INDEX(합계표[사번키],$X284),상세표[반영월],대상월키))</f>
        <v/>
      </c>
      <c r="L284">
        <f>IF($X284="","",IFERROR(INDEX(월별근무지표[적용 급여병원],MATCH(INDEX(합계표[사번키],$X284)&amp;"|"&amp;대상월키,월별근무지표[키],0))&amp;"",IF(COUNTIF(기관표[사번키],INDEX(합계표[사번키],$X284))+COUNTIF(월별근무지표[사번키],INDEX(합계표[사번키],$X284))&gt;0,IFERROR(INDEX(기관표[급여지급병원(기준월)],MATCH(INDEX(합계표[사번키],$X284)&amp;"|"&amp;대상월키,기관표[키],0))&amp;"","—"),"—")))</f>
        <v/>
      </c>
      <c r="M284">
        <f>IF($X284="","",IF(NOT(COUNTIF(기관표[사번키],INDEX(합계표[사번키],$X284))+COUNTIF(월별근무지표[사번키],INDEX(합계표[사번키],$X284))&gt;0),"기관명단에 없음(다른 병원으로 발송)",IF($L284="서울병원","해당",IF(N($R284)&gt;0,"해당(말일 근무)",IF($L284="—","대상월 기관명단 없음(추가 필요)","비해당")))))</f>
        <v/>
      </c>
      <c r="N284" s="20">
        <f>IF($X284="","",SUMIFS(상세표[06~07시],상세표[사번키],INDEX(합계표[사번키],$X284),상세표[반영월],대상월키,상세표[반영 기관],"서울병원"))</f>
        <v/>
      </c>
      <c r="O284" s="20">
        <f>IF($X284="","",SUMIFS(상세표[07~18시],상세표[사번키],INDEX(합계표[사번키],$X284),상세표[반영월],대상월키,상세표[반영 기관],"서울병원"))</f>
        <v/>
      </c>
      <c r="P284" s="20">
        <f>IF($X284="","",SUMIFS(상세표[18~22시],상세표[사번키],INDEX(합계표[사번키],$X284),상세표[반영월],대상월키,상세표[반영 기관],"서울병원"))</f>
        <v/>
      </c>
      <c r="Q284" s="20">
        <f>IF($X284="","",SUMIFS(상세표[22~06시],상세표[사번키],INDEX(합계표[사번키],$X284),상세표[반영월],대상월키,상세표[반영 기관],"서울병원"))</f>
        <v/>
      </c>
      <c r="R284" s="20">
        <f>IF($X284="","",SUM($N284:$Q284))</f>
        <v/>
      </c>
      <c r="S284">
        <f>IF($X284="","",COUNTIFS(상세표[사번키],INDEX(합계표[사번키],$X284),상세표[반영월],대상월키,상세표[야간당직],1,상세표[야간 구분],"평일"))</f>
        <v/>
      </c>
      <c r="T284">
        <f>IF($X284="","",COUNTIFS(상세표[사번키],INDEX(합계표[사번키],$X284),상세표[반영월],대상월키,상세표[야간당직],1,상세표[야간 구분],"휴일"))</f>
        <v/>
      </c>
      <c r="U284">
        <f>IF($X284="","",COUNTIFS(상세표[사번키],INDEX(합계표[사번키],$X284),상세표[반영월],대상월키,상세표[야간당직],1,상세표[야간 구분],"평일",상세표[반영 기관],"서울병원"))</f>
        <v/>
      </c>
      <c r="V284">
        <f>IF($X284="","",COUNTIFS(상세표[사번키],INDEX(합계표[사번키],$X284),상세표[반영월],대상월키,상세표[야간당직],1,상세표[야간 구분],"휴일",상세표[반영 기관],"서울병원"))</f>
        <v/>
      </c>
      <c r="W284">
        <f>IF($X284="","",IF(ISNUMBER(MATCH(INDEX(합계표[사번키],$X284)&amp;"|"&amp;대상월키,월별근무지표[키],0)),"직접 입력",IF($L284="—","—","기관명단")))</f>
        <v/>
      </c>
      <c r="X284" s="4">
        <f>IFERROR(MATCH(279,합계표[판정순번],0),"")</f>
        <v/>
      </c>
      <c r="Z284">
        <f>IF($AC284="","",INDEX(상세표[사번],$AC284)&amp;"")</f>
        <v/>
      </c>
      <c r="AA284">
        <f>IF($AC284="","",INDEX(상세표[성명],$AC284)&amp;"")</f>
        <v/>
      </c>
      <c r="AB284" s="20">
        <f>IF($AC284="","",SUMIFS(상세표[기록 시간외],상세표[사번키],INDEX(상세표[사번키],$AC284),상세표[반영월],대상월키))</f>
        <v/>
      </c>
      <c r="AC284" s="4">
        <f>IFERROR(MATCH(279,상세표[합계없음순번],0),"")</f>
        <v/>
      </c>
    </row>
    <row r="285">
      <c r="A285">
        <f>IF($X285="","",INDEX(합계표[사번],$X285)&amp;"")</f>
        <v/>
      </c>
      <c r="B285">
        <f>IF($X285="","",INDEX(합계표[성명],$X285)&amp;"")</f>
        <v/>
      </c>
      <c r="C285">
        <f>IF($X285="","",INDEX(합계표[부서],$X285)&amp;"")</f>
        <v/>
      </c>
      <c r="D285">
        <f>IF($X285="","",INDEX(합계표[직위(요약)],$X285)&amp;"")</f>
        <v/>
      </c>
      <c r="E285">
        <f>IF($X285="","",INDEX(합계표[직급 공존],$X285)&amp;"")</f>
        <v/>
      </c>
      <c r="F285" s="20">
        <f>IF($X285="","",SUMIFS(합계표[시스템 합계],합계표[사번키],INDEX(합계표[사번키],$X285)))</f>
        <v/>
      </c>
      <c r="G285" s="20">
        <f>IF($X285="","",SUMIFS(상세표[기록 시간외],상세표[사번키],INDEX(합계표[사번키],$X285),상세표[기록월],대상월키))</f>
        <v/>
      </c>
      <c r="H285">
        <f>IF($X285="","",IF(ABS($F285-$G285)&lt;0.01,"일치","불일치(차이 "&amp;TEXT($G285-$F285,"0.00")&amp;")"))</f>
        <v/>
      </c>
      <c r="I285" s="20">
        <f>IF($X285="","",SUMIFS(상세표[기록 시간외],상세표[사번키],INDEX(합계표[사번키],$X285),상세표[기록월],대상월키,상세표[반영월],"&lt;&gt;"&amp;대상월키))</f>
        <v/>
      </c>
      <c r="J285" s="20">
        <f>IF($X285="","",SUMIFS(상세표[기록 시간외],상세표[사번키],INDEX(합계표[사번키],$X285),상세표[기록월],"&lt;&gt;"&amp;대상월키,상세표[반영월],대상월키))</f>
        <v/>
      </c>
      <c r="K285" s="20">
        <f>IF($X285="","",SUMIFS(상세표[기록 시간외],상세표[사번키],INDEX(합계표[사번키],$X285),상세표[반영월],대상월키))</f>
        <v/>
      </c>
      <c r="L285">
        <f>IF($X285="","",IFERROR(INDEX(월별근무지표[적용 급여병원],MATCH(INDEX(합계표[사번키],$X285)&amp;"|"&amp;대상월키,월별근무지표[키],0))&amp;"",IF(COUNTIF(기관표[사번키],INDEX(합계표[사번키],$X285))+COUNTIF(월별근무지표[사번키],INDEX(합계표[사번키],$X285))&gt;0,IFERROR(INDEX(기관표[급여지급병원(기준월)],MATCH(INDEX(합계표[사번키],$X285)&amp;"|"&amp;대상월키,기관표[키],0))&amp;"","—"),"—")))</f>
        <v/>
      </c>
      <c r="M285">
        <f>IF($X285="","",IF(NOT(COUNTIF(기관표[사번키],INDEX(합계표[사번키],$X285))+COUNTIF(월별근무지표[사번키],INDEX(합계표[사번키],$X285))&gt;0),"기관명단에 없음(다른 병원으로 발송)",IF($L285="서울병원","해당",IF(N($R285)&gt;0,"해당(말일 근무)",IF($L285="—","대상월 기관명단 없음(추가 필요)","비해당")))))</f>
        <v/>
      </c>
      <c r="N285" s="20">
        <f>IF($X285="","",SUMIFS(상세표[06~07시],상세표[사번키],INDEX(합계표[사번키],$X285),상세표[반영월],대상월키,상세표[반영 기관],"서울병원"))</f>
        <v/>
      </c>
      <c r="O285" s="20">
        <f>IF($X285="","",SUMIFS(상세표[07~18시],상세표[사번키],INDEX(합계표[사번키],$X285),상세표[반영월],대상월키,상세표[반영 기관],"서울병원"))</f>
        <v/>
      </c>
      <c r="P285" s="20">
        <f>IF($X285="","",SUMIFS(상세표[18~22시],상세표[사번키],INDEX(합계표[사번키],$X285),상세표[반영월],대상월키,상세표[반영 기관],"서울병원"))</f>
        <v/>
      </c>
      <c r="Q285" s="20">
        <f>IF($X285="","",SUMIFS(상세표[22~06시],상세표[사번키],INDEX(합계표[사번키],$X285),상세표[반영월],대상월키,상세표[반영 기관],"서울병원"))</f>
        <v/>
      </c>
      <c r="R285" s="20">
        <f>IF($X285="","",SUM($N285:$Q285))</f>
        <v/>
      </c>
      <c r="S285">
        <f>IF($X285="","",COUNTIFS(상세표[사번키],INDEX(합계표[사번키],$X285),상세표[반영월],대상월키,상세표[야간당직],1,상세표[야간 구분],"평일"))</f>
        <v/>
      </c>
      <c r="T285">
        <f>IF($X285="","",COUNTIFS(상세표[사번키],INDEX(합계표[사번키],$X285),상세표[반영월],대상월키,상세표[야간당직],1,상세표[야간 구분],"휴일"))</f>
        <v/>
      </c>
      <c r="U285">
        <f>IF($X285="","",COUNTIFS(상세표[사번키],INDEX(합계표[사번키],$X285),상세표[반영월],대상월키,상세표[야간당직],1,상세표[야간 구분],"평일",상세표[반영 기관],"서울병원"))</f>
        <v/>
      </c>
      <c r="V285">
        <f>IF($X285="","",COUNTIFS(상세표[사번키],INDEX(합계표[사번키],$X285),상세표[반영월],대상월키,상세표[야간당직],1,상세표[야간 구분],"휴일",상세표[반영 기관],"서울병원"))</f>
        <v/>
      </c>
      <c r="W285">
        <f>IF($X285="","",IF(ISNUMBER(MATCH(INDEX(합계표[사번키],$X285)&amp;"|"&amp;대상월키,월별근무지표[키],0)),"직접 입력",IF($L285="—","—","기관명단")))</f>
        <v/>
      </c>
      <c r="X285" s="4">
        <f>IFERROR(MATCH(280,합계표[판정순번],0),"")</f>
        <v/>
      </c>
      <c r="Z285">
        <f>IF($AC285="","",INDEX(상세표[사번],$AC285)&amp;"")</f>
        <v/>
      </c>
      <c r="AA285">
        <f>IF($AC285="","",INDEX(상세표[성명],$AC285)&amp;"")</f>
        <v/>
      </c>
      <c r="AB285" s="20">
        <f>IF($AC285="","",SUMIFS(상세표[기록 시간외],상세표[사번키],INDEX(상세표[사번키],$AC285),상세표[반영월],대상월키))</f>
        <v/>
      </c>
      <c r="AC285" s="4">
        <f>IFERROR(MATCH(280,상세표[합계없음순번],0),"")</f>
        <v/>
      </c>
    </row>
    <row r="286">
      <c r="A286">
        <f>IF($X286="","",INDEX(합계표[사번],$X286)&amp;"")</f>
        <v/>
      </c>
      <c r="B286">
        <f>IF($X286="","",INDEX(합계표[성명],$X286)&amp;"")</f>
        <v/>
      </c>
      <c r="C286">
        <f>IF($X286="","",INDEX(합계표[부서],$X286)&amp;"")</f>
        <v/>
      </c>
      <c r="D286">
        <f>IF($X286="","",INDEX(합계표[직위(요약)],$X286)&amp;"")</f>
        <v/>
      </c>
      <c r="E286">
        <f>IF($X286="","",INDEX(합계표[직급 공존],$X286)&amp;"")</f>
        <v/>
      </c>
      <c r="F286" s="20">
        <f>IF($X286="","",SUMIFS(합계표[시스템 합계],합계표[사번키],INDEX(합계표[사번키],$X286)))</f>
        <v/>
      </c>
      <c r="G286" s="20">
        <f>IF($X286="","",SUMIFS(상세표[기록 시간외],상세표[사번키],INDEX(합계표[사번키],$X286),상세표[기록월],대상월키))</f>
        <v/>
      </c>
      <c r="H286">
        <f>IF($X286="","",IF(ABS($F286-$G286)&lt;0.01,"일치","불일치(차이 "&amp;TEXT($G286-$F286,"0.00")&amp;")"))</f>
        <v/>
      </c>
      <c r="I286" s="20">
        <f>IF($X286="","",SUMIFS(상세표[기록 시간외],상세표[사번키],INDEX(합계표[사번키],$X286),상세표[기록월],대상월키,상세표[반영월],"&lt;&gt;"&amp;대상월키))</f>
        <v/>
      </c>
      <c r="J286" s="20">
        <f>IF($X286="","",SUMIFS(상세표[기록 시간외],상세표[사번키],INDEX(합계표[사번키],$X286),상세표[기록월],"&lt;&gt;"&amp;대상월키,상세표[반영월],대상월키))</f>
        <v/>
      </c>
      <c r="K286" s="20">
        <f>IF($X286="","",SUMIFS(상세표[기록 시간외],상세표[사번키],INDEX(합계표[사번키],$X286),상세표[반영월],대상월키))</f>
        <v/>
      </c>
      <c r="L286">
        <f>IF($X286="","",IFERROR(INDEX(월별근무지표[적용 급여병원],MATCH(INDEX(합계표[사번키],$X286)&amp;"|"&amp;대상월키,월별근무지표[키],0))&amp;"",IF(COUNTIF(기관표[사번키],INDEX(합계표[사번키],$X286))+COUNTIF(월별근무지표[사번키],INDEX(합계표[사번키],$X286))&gt;0,IFERROR(INDEX(기관표[급여지급병원(기준월)],MATCH(INDEX(합계표[사번키],$X286)&amp;"|"&amp;대상월키,기관표[키],0))&amp;"","—"),"—")))</f>
        <v/>
      </c>
      <c r="M286">
        <f>IF($X286="","",IF(NOT(COUNTIF(기관표[사번키],INDEX(합계표[사번키],$X286))+COUNTIF(월별근무지표[사번키],INDEX(합계표[사번키],$X286))&gt;0),"기관명단에 없음(다른 병원으로 발송)",IF($L286="서울병원","해당",IF(N($R286)&gt;0,"해당(말일 근무)",IF($L286="—","대상월 기관명단 없음(추가 필요)","비해당")))))</f>
        <v/>
      </c>
      <c r="N286" s="20">
        <f>IF($X286="","",SUMIFS(상세표[06~07시],상세표[사번키],INDEX(합계표[사번키],$X286),상세표[반영월],대상월키,상세표[반영 기관],"서울병원"))</f>
        <v/>
      </c>
      <c r="O286" s="20">
        <f>IF($X286="","",SUMIFS(상세표[07~18시],상세표[사번키],INDEX(합계표[사번키],$X286),상세표[반영월],대상월키,상세표[반영 기관],"서울병원"))</f>
        <v/>
      </c>
      <c r="P286" s="20">
        <f>IF($X286="","",SUMIFS(상세표[18~22시],상세표[사번키],INDEX(합계표[사번키],$X286),상세표[반영월],대상월키,상세표[반영 기관],"서울병원"))</f>
        <v/>
      </c>
      <c r="Q286" s="20">
        <f>IF($X286="","",SUMIFS(상세표[22~06시],상세표[사번키],INDEX(합계표[사번키],$X286),상세표[반영월],대상월키,상세표[반영 기관],"서울병원"))</f>
        <v/>
      </c>
      <c r="R286" s="20">
        <f>IF($X286="","",SUM($N286:$Q286))</f>
        <v/>
      </c>
      <c r="S286">
        <f>IF($X286="","",COUNTIFS(상세표[사번키],INDEX(합계표[사번키],$X286),상세표[반영월],대상월키,상세표[야간당직],1,상세표[야간 구분],"평일"))</f>
        <v/>
      </c>
      <c r="T286">
        <f>IF($X286="","",COUNTIFS(상세표[사번키],INDEX(합계표[사번키],$X286),상세표[반영월],대상월키,상세표[야간당직],1,상세표[야간 구분],"휴일"))</f>
        <v/>
      </c>
      <c r="U286">
        <f>IF($X286="","",COUNTIFS(상세표[사번키],INDEX(합계표[사번키],$X286),상세표[반영월],대상월키,상세표[야간당직],1,상세표[야간 구분],"평일",상세표[반영 기관],"서울병원"))</f>
        <v/>
      </c>
      <c r="V286">
        <f>IF($X286="","",COUNTIFS(상세표[사번키],INDEX(합계표[사번키],$X286),상세표[반영월],대상월키,상세표[야간당직],1,상세표[야간 구분],"휴일",상세표[반영 기관],"서울병원"))</f>
        <v/>
      </c>
      <c r="W286">
        <f>IF($X286="","",IF(ISNUMBER(MATCH(INDEX(합계표[사번키],$X286)&amp;"|"&amp;대상월키,월별근무지표[키],0)),"직접 입력",IF($L286="—","—","기관명단")))</f>
        <v/>
      </c>
      <c r="X286" s="4">
        <f>IFERROR(MATCH(281,합계표[판정순번],0),"")</f>
        <v/>
      </c>
      <c r="Z286">
        <f>IF($AC286="","",INDEX(상세표[사번],$AC286)&amp;"")</f>
        <v/>
      </c>
      <c r="AA286">
        <f>IF($AC286="","",INDEX(상세표[성명],$AC286)&amp;"")</f>
        <v/>
      </c>
      <c r="AB286" s="20">
        <f>IF($AC286="","",SUMIFS(상세표[기록 시간외],상세표[사번키],INDEX(상세표[사번키],$AC286),상세표[반영월],대상월키))</f>
        <v/>
      </c>
      <c r="AC286" s="4">
        <f>IFERROR(MATCH(281,상세표[합계없음순번],0),"")</f>
        <v/>
      </c>
    </row>
    <row r="287">
      <c r="A287">
        <f>IF($X287="","",INDEX(합계표[사번],$X287)&amp;"")</f>
        <v/>
      </c>
      <c r="B287">
        <f>IF($X287="","",INDEX(합계표[성명],$X287)&amp;"")</f>
        <v/>
      </c>
      <c r="C287">
        <f>IF($X287="","",INDEX(합계표[부서],$X287)&amp;"")</f>
        <v/>
      </c>
      <c r="D287">
        <f>IF($X287="","",INDEX(합계표[직위(요약)],$X287)&amp;"")</f>
        <v/>
      </c>
      <c r="E287">
        <f>IF($X287="","",INDEX(합계표[직급 공존],$X287)&amp;"")</f>
        <v/>
      </c>
      <c r="F287" s="20">
        <f>IF($X287="","",SUMIFS(합계표[시스템 합계],합계표[사번키],INDEX(합계표[사번키],$X287)))</f>
        <v/>
      </c>
      <c r="G287" s="20">
        <f>IF($X287="","",SUMIFS(상세표[기록 시간외],상세표[사번키],INDEX(합계표[사번키],$X287),상세표[기록월],대상월키))</f>
        <v/>
      </c>
      <c r="H287">
        <f>IF($X287="","",IF(ABS($F287-$G287)&lt;0.01,"일치","불일치(차이 "&amp;TEXT($G287-$F287,"0.00")&amp;")"))</f>
        <v/>
      </c>
      <c r="I287" s="20">
        <f>IF($X287="","",SUMIFS(상세표[기록 시간외],상세표[사번키],INDEX(합계표[사번키],$X287),상세표[기록월],대상월키,상세표[반영월],"&lt;&gt;"&amp;대상월키))</f>
        <v/>
      </c>
      <c r="J287" s="20">
        <f>IF($X287="","",SUMIFS(상세표[기록 시간외],상세표[사번키],INDEX(합계표[사번키],$X287),상세표[기록월],"&lt;&gt;"&amp;대상월키,상세표[반영월],대상월키))</f>
        <v/>
      </c>
      <c r="K287" s="20">
        <f>IF($X287="","",SUMIFS(상세표[기록 시간외],상세표[사번키],INDEX(합계표[사번키],$X287),상세표[반영월],대상월키))</f>
        <v/>
      </c>
      <c r="L287">
        <f>IF($X287="","",IFERROR(INDEX(월별근무지표[적용 급여병원],MATCH(INDEX(합계표[사번키],$X287)&amp;"|"&amp;대상월키,월별근무지표[키],0))&amp;"",IF(COUNTIF(기관표[사번키],INDEX(합계표[사번키],$X287))+COUNTIF(월별근무지표[사번키],INDEX(합계표[사번키],$X287))&gt;0,IFERROR(INDEX(기관표[급여지급병원(기준월)],MATCH(INDEX(합계표[사번키],$X287)&amp;"|"&amp;대상월키,기관표[키],0))&amp;"","—"),"—")))</f>
        <v/>
      </c>
      <c r="M287">
        <f>IF($X287="","",IF(NOT(COUNTIF(기관표[사번키],INDEX(합계표[사번키],$X287))+COUNTIF(월별근무지표[사번키],INDEX(합계표[사번키],$X287))&gt;0),"기관명단에 없음(다른 병원으로 발송)",IF($L287="서울병원","해당",IF(N($R287)&gt;0,"해당(말일 근무)",IF($L287="—","대상월 기관명단 없음(추가 필요)","비해당")))))</f>
        <v/>
      </c>
      <c r="N287" s="20">
        <f>IF($X287="","",SUMIFS(상세표[06~07시],상세표[사번키],INDEX(합계표[사번키],$X287),상세표[반영월],대상월키,상세표[반영 기관],"서울병원"))</f>
        <v/>
      </c>
      <c r="O287" s="20">
        <f>IF($X287="","",SUMIFS(상세표[07~18시],상세표[사번키],INDEX(합계표[사번키],$X287),상세표[반영월],대상월키,상세표[반영 기관],"서울병원"))</f>
        <v/>
      </c>
      <c r="P287" s="20">
        <f>IF($X287="","",SUMIFS(상세표[18~22시],상세표[사번키],INDEX(합계표[사번키],$X287),상세표[반영월],대상월키,상세표[반영 기관],"서울병원"))</f>
        <v/>
      </c>
      <c r="Q287" s="20">
        <f>IF($X287="","",SUMIFS(상세표[22~06시],상세표[사번키],INDEX(합계표[사번키],$X287),상세표[반영월],대상월키,상세표[반영 기관],"서울병원"))</f>
        <v/>
      </c>
      <c r="R287" s="20">
        <f>IF($X287="","",SUM($N287:$Q287))</f>
        <v/>
      </c>
      <c r="S287">
        <f>IF($X287="","",COUNTIFS(상세표[사번키],INDEX(합계표[사번키],$X287),상세표[반영월],대상월키,상세표[야간당직],1,상세표[야간 구분],"평일"))</f>
        <v/>
      </c>
      <c r="T287">
        <f>IF($X287="","",COUNTIFS(상세표[사번키],INDEX(합계표[사번키],$X287),상세표[반영월],대상월키,상세표[야간당직],1,상세표[야간 구분],"휴일"))</f>
        <v/>
      </c>
      <c r="U287">
        <f>IF($X287="","",COUNTIFS(상세표[사번키],INDEX(합계표[사번키],$X287),상세표[반영월],대상월키,상세표[야간당직],1,상세표[야간 구분],"평일",상세표[반영 기관],"서울병원"))</f>
        <v/>
      </c>
      <c r="V287">
        <f>IF($X287="","",COUNTIFS(상세표[사번키],INDEX(합계표[사번키],$X287),상세표[반영월],대상월키,상세표[야간당직],1,상세표[야간 구분],"휴일",상세표[반영 기관],"서울병원"))</f>
        <v/>
      </c>
      <c r="W287">
        <f>IF($X287="","",IF(ISNUMBER(MATCH(INDEX(합계표[사번키],$X287)&amp;"|"&amp;대상월키,월별근무지표[키],0)),"직접 입력",IF($L287="—","—","기관명단")))</f>
        <v/>
      </c>
      <c r="X287" s="4">
        <f>IFERROR(MATCH(282,합계표[판정순번],0),"")</f>
        <v/>
      </c>
      <c r="Z287">
        <f>IF($AC287="","",INDEX(상세표[사번],$AC287)&amp;"")</f>
        <v/>
      </c>
      <c r="AA287">
        <f>IF($AC287="","",INDEX(상세표[성명],$AC287)&amp;"")</f>
        <v/>
      </c>
      <c r="AB287" s="20">
        <f>IF($AC287="","",SUMIFS(상세표[기록 시간외],상세표[사번키],INDEX(상세표[사번키],$AC287),상세표[반영월],대상월키))</f>
        <v/>
      </c>
      <c r="AC287" s="4">
        <f>IFERROR(MATCH(282,상세표[합계없음순번],0),"")</f>
        <v/>
      </c>
    </row>
    <row r="288">
      <c r="A288">
        <f>IF($X288="","",INDEX(합계표[사번],$X288)&amp;"")</f>
        <v/>
      </c>
      <c r="B288">
        <f>IF($X288="","",INDEX(합계표[성명],$X288)&amp;"")</f>
        <v/>
      </c>
      <c r="C288">
        <f>IF($X288="","",INDEX(합계표[부서],$X288)&amp;"")</f>
        <v/>
      </c>
      <c r="D288">
        <f>IF($X288="","",INDEX(합계표[직위(요약)],$X288)&amp;"")</f>
        <v/>
      </c>
      <c r="E288">
        <f>IF($X288="","",INDEX(합계표[직급 공존],$X288)&amp;"")</f>
        <v/>
      </c>
      <c r="F288" s="20">
        <f>IF($X288="","",SUMIFS(합계표[시스템 합계],합계표[사번키],INDEX(합계표[사번키],$X288)))</f>
        <v/>
      </c>
      <c r="G288" s="20">
        <f>IF($X288="","",SUMIFS(상세표[기록 시간외],상세표[사번키],INDEX(합계표[사번키],$X288),상세표[기록월],대상월키))</f>
        <v/>
      </c>
      <c r="H288">
        <f>IF($X288="","",IF(ABS($F288-$G288)&lt;0.01,"일치","불일치(차이 "&amp;TEXT($G288-$F288,"0.00")&amp;")"))</f>
        <v/>
      </c>
      <c r="I288" s="20">
        <f>IF($X288="","",SUMIFS(상세표[기록 시간외],상세표[사번키],INDEX(합계표[사번키],$X288),상세표[기록월],대상월키,상세표[반영월],"&lt;&gt;"&amp;대상월키))</f>
        <v/>
      </c>
      <c r="J288" s="20">
        <f>IF($X288="","",SUMIFS(상세표[기록 시간외],상세표[사번키],INDEX(합계표[사번키],$X288),상세표[기록월],"&lt;&gt;"&amp;대상월키,상세표[반영월],대상월키))</f>
        <v/>
      </c>
      <c r="K288" s="20">
        <f>IF($X288="","",SUMIFS(상세표[기록 시간외],상세표[사번키],INDEX(합계표[사번키],$X288),상세표[반영월],대상월키))</f>
        <v/>
      </c>
      <c r="L288">
        <f>IF($X288="","",IFERROR(INDEX(월별근무지표[적용 급여병원],MATCH(INDEX(합계표[사번키],$X288)&amp;"|"&amp;대상월키,월별근무지표[키],0))&amp;"",IF(COUNTIF(기관표[사번키],INDEX(합계표[사번키],$X288))+COUNTIF(월별근무지표[사번키],INDEX(합계표[사번키],$X288))&gt;0,IFERROR(INDEX(기관표[급여지급병원(기준월)],MATCH(INDEX(합계표[사번키],$X288)&amp;"|"&amp;대상월키,기관표[키],0))&amp;"","—"),"—")))</f>
        <v/>
      </c>
      <c r="M288">
        <f>IF($X288="","",IF(NOT(COUNTIF(기관표[사번키],INDEX(합계표[사번키],$X288))+COUNTIF(월별근무지표[사번키],INDEX(합계표[사번키],$X288))&gt;0),"기관명단에 없음(다른 병원으로 발송)",IF($L288="서울병원","해당",IF(N($R288)&gt;0,"해당(말일 근무)",IF($L288="—","대상월 기관명단 없음(추가 필요)","비해당")))))</f>
        <v/>
      </c>
      <c r="N288" s="20">
        <f>IF($X288="","",SUMIFS(상세표[06~07시],상세표[사번키],INDEX(합계표[사번키],$X288),상세표[반영월],대상월키,상세표[반영 기관],"서울병원"))</f>
        <v/>
      </c>
      <c r="O288" s="20">
        <f>IF($X288="","",SUMIFS(상세표[07~18시],상세표[사번키],INDEX(합계표[사번키],$X288),상세표[반영월],대상월키,상세표[반영 기관],"서울병원"))</f>
        <v/>
      </c>
      <c r="P288" s="20">
        <f>IF($X288="","",SUMIFS(상세표[18~22시],상세표[사번키],INDEX(합계표[사번키],$X288),상세표[반영월],대상월키,상세표[반영 기관],"서울병원"))</f>
        <v/>
      </c>
      <c r="Q288" s="20">
        <f>IF($X288="","",SUMIFS(상세표[22~06시],상세표[사번키],INDEX(합계표[사번키],$X288),상세표[반영월],대상월키,상세표[반영 기관],"서울병원"))</f>
        <v/>
      </c>
      <c r="R288" s="20">
        <f>IF($X288="","",SUM($N288:$Q288))</f>
        <v/>
      </c>
      <c r="S288">
        <f>IF($X288="","",COUNTIFS(상세표[사번키],INDEX(합계표[사번키],$X288),상세표[반영월],대상월키,상세표[야간당직],1,상세표[야간 구분],"평일"))</f>
        <v/>
      </c>
      <c r="T288">
        <f>IF($X288="","",COUNTIFS(상세표[사번키],INDEX(합계표[사번키],$X288),상세표[반영월],대상월키,상세표[야간당직],1,상세표[야간 구분],"휴일"))</f>
        <v/>
      </c>
      <c r="U288">
        <f>IF($X288="","",COUNTIFS(상세표[사번키],INDEX(합계표[사번키],$X288),상세표[반영월],대상월키,상세표[야간당직],1,상세표[야간 구분],"평일",상세표[반영 기관],"서울병원"))</f>
        <v/>
      </c>
      <c r="V288">
        <f>IF($X288="","",COUNTIFS(상세표[사번키],INDEX(합계표[사번키],$X288),상세표[반영월],대상월키,상세표[야간당직],1,상세표[야간 구분],"휴일",상세표[반영 기관],"서울병원"))</f>
        <v/>
      </c>
      <c r="W288">
        <f>IF($X288="","",IF(ISNUMBER(MATCH(INDEX(합계표[사번키],$X288)&amp;"|"&amp;대상월키,월별근무지표[키],0)),"직접 입력",IF($L288="—","—","기관명단")))</f>
        <v/>
      </c>
      <c r="X288" s="4">
        <f>IFERROR(MATCH(283,합계표[판정순번],0),"")</f>
        <v/>
      </c>
      <c r="Z288">
        <f>IF($AC288="","",INDEX(상세표[사번],$AC288)&amp;"")</f>
        <v/>
      </c>
      <c r="AA288">
        <f>IF($AC288="","",INDEX(상세표[성명],$AC288)&amp;"")</f>
        <v/>
      </c>
      <c r="AB288" s="20">
        <f>IF($AC288="","",SUMIFS(상세표[기록 시간외],상세표[사번키],INDEX(상세표[사번키],$AC288),상세표[반영월],대상월키))</f>
        <v/>
      </c>
      <c r="AC288" s="4">
        <f>IFERROR(MATCH(283,상세표[합계없음순번],0),"")</f>
        <v/>
      </c>
    </row>
    <row r="289">
      <c r="A289">
        <f>IF($X289="","",INDEX(합계표[사번],$X289)&amp;"")</f>
        <v/>
      </c>
      <c r="B289">
        <f>IF($X289="","",INDEX(합계표[성명],$X289)&amp;"")</f>
        <v/>
      </c>
      <c r="C289">
        <f>IF($X289="","",INDEX(합계표[부서],$X289)&amp;"")</f>
        <v/>
      </c>
      <c r="D289">
        <f>IF($X289="","",INDEX(합계표[직위(요약)],$X289)&amp;"")</f>
        <v/>
      </c>
      <c r="E289">
        <f>IF($X289="","",INDEX(합계표[직급 공존],$X289)&amp;"")</f>
        <v/>
      </c>
      <c r="F289" s="20">
        <f>IF($X289="","",SUMIFS(합계표[시스템 합계],합계표[사번키],INDEX(합계표[사번키],$X289)))</f>
        <v/>
      </c>
      <c r="G289" s="20">
        <f>IF($X289="","",SUMIFS(상세표[기록 시간외],상세표[사번키],INDEX(합계표[사번키],$X289),상세표[기록월],대상월키))</f>
        <v/>
      </c>
      <c r="H289">
        <f>IF($X289="","",IF(ABS($F289-$G289)&lt;0.01,"일치","불일치(차이 "&amp;TEXT($G289-$F289,"0.00")&amp;")"))</f>
        <v/>
      </c>
      <c r="I289" s="20">
        <f>IF($X289="","",SUMIFS(상세표[기록 시간외],상세표[사번키],INDEX(합계표[사번키],$X289),상세표[기록월],대상월키,상세표[반영월],"&lt;&gt;"&amp;대상월키))</f>
        <v/>
      </c>
      <c r="J289" s="20">
        <f>IF($X289="","",SUMIFS(상세표[기록 시간외],상세표[사번키],INDEX(합계표[사번키],$X289),상세표[기록월],"&lt;&gt;"&amp;대상월키,상세표[반영월],대상월키))</f>
        <v/>
      </c>
      <c r="K289" s="20">
        <f>IF($X289="","",SUMIFS(상세표[기록 시간외],상세표[사번키],INDEX(합계표[사번키],$X289),상세표[반영월],대상월키))</f>
        <v/>
      </c>
      <c r="L289">
        <f>IF($X289="","",IFERROR(INDEX(월별근무지표[적용 급여병원],MATCH(INDEX(합계표[사번키],$X289)&amp;"|"&amp;대상월키,월별근무지표[키],0))&amp;"",IF(COUNTIF(기관표[사번키],INDEX(합계표[사번키],$X289))+COUNTIF(월별근무지표[사번키],INDEX(합계표[사번키],$X289))&gt;0,IFERROR(INDEX(기관표[급여지급병원(기준월)],MATCH(INDEX(합계표[사번키],$X289)&amp;"|"&amp;대상월키,기관표[키],0))&amp;"","—"),"—")))</f>
        <v/>
      </c>
      <c r="M289">
        <f>IF($X289="","",IF(NOT(COUNTIF(기관표[사번키],INDEX(합계표[사번키],$X289))+COUNTIF(월별근무지표[사번키],INDEX(합계표[사번키],$X289))&gt;0),"기관명단에 없음(다른 병원으로 발송)",IF($L289="서울병원","해당",IF(N($R289)&gt;0,"해당(말일 근무)",IF($L289="—","대상월 기관명단 없음(추가 필요)","비해당")))))</f>
        <v/>
      </c>
      <c r="N289" s="20">
        <f>IF($X289="","",SUMIFS(상세표[06~07시],상세표[사번키],INDEX(합계표[사번키],$X289),상세표[반영월],대상월키,상세표[반영 기관],"서울병원"))</f>
        <v/>
      </c>
      <c r="O289" s="20">
        <f>IF($X289="","",SUMIFS(상세표[07~18시],상세표[사번키],INDEX(합계표[사번키],$X289),상세표[반영월],대상월키,상세표[반영 기관],"서울병원"))</f>
        <v/>
      </c>
      <c r="P289" s="20">
        <f>IF($X289="","",SUMIFS(상세표[18~22시],상세표[사번키],INDEX(합계표[사번키],$X289),상세표[반영월],대상월키,상세표[반영 기관],"서울병원"))</f>
        <v/>
      </c>
      <c r="Q289" s="20">
        <f>IF($X289="","",SUMIFS(상세표[22~06시],상세표[사번키],INDEX(합계표[사번키],$X289),상세표[반영월],대상월키,상세표[반영 기관],"서울병원"))</f>
        <v/>
      </c>
      <c r="R289" s="20">
        <f>IF($X289="","",SUM($N289:$Q289))</f>
        <v/>
      </c>
      <c r="S289">
        <f>IF($X289="","",COUNTIFS(상세표[사번키],INDEX(합계표[사번키],$X289),상세표[반영월],대상월키,상세표[야간당직],1,상세표[야간 구분],"평일"))</f>
        <v/>
      </c>
      <c r="T289">
        <f>IF($X289="","",COUNTIFS(상세표[사번키],INDEX(합계표[사번키],$X289),상세표[반영월],대상월키,상세표[야간당직],1,상세표[야간 구분],"휴일"))</f>
        <v/>
      </c>
      <c r="U289">
        <f>IF($X289="","",COUNTIFS(상세표[사번키],INDEX(합계표[사번키],$X289),상세표[반영월],대상월키,상세표[야간당직],1,상세표[야간 구분],"평일",상세표[반영 기관],"서울병원"))</f>
        <v/>
      </c>
      <c r="V289">
        <f>IF($X289="","",COUNTIFS(상세표[사번키],INDEX(합계표[사번키],$X289),상세표[반영월],대상월키,상세표[야간당직],1,상세표[야간 구분],"휴일",상세표[반영 기관],"서울병원"))</f>
        <v/>
      </c>
      <c r="W289">
        <f>IF($X289="","",IF(ISNUMBER(MATCH(INDEX(합계표[사번키],$X289)&amp;"|"&amp;대상월키,월별근무지표[키],0)),"직접 입력",IF($L289="—","—","기관명단")))</f>
        <v/>
      </c>
      <c r="X289" s="4">
        <f>IFERROR(MATCH(284,합계표[판정순번],0),"")</f>
        <v/>
      </c>
      <c r="Z289">
        <f>IF($AC289="","",INDEX(상세표[사번],$AC289)&amp;"")</f>
        <v/>
      </c>
      <c r="AA289">
        <f>IF($AC289="","",INDEX(상세표[성명],$AC289)&amp;"")</f>
        <v/>
      </c>
      <c r="AB289" s="20">
        <f>IF($AC289="","",SUMIFS(상세표[기록 시간외],상세표[사번키],INDEX(상세표[사번키],$AC289),상세표[반영월],대상월키))</f>
        <v/>
      </c>
      <c r="AC289" s="4">
        <f>IFERROR(MATCH(284,상세표[합계없음순번],0),"")</f>
        <v/>
      </c>
    </row>
    <row r="290">
      <c r="A290">
        <f>IF($X290="","",INDEX(합계표[사번],$X290)&amp;"")</f>
        <v/>
      </c>
      <c r="B290">
        <f>IF($X290="","",INDEX(합계표[성명],$X290)&amp;"")</f>
        <v/>
      </c>
      <c r="C290">
        <f>IF($X290="","",INDEX(합계표[부서],$X290)&amp;"")</f>
        <v/>
      </c>
      <c r="D290">
        <f>IF($X290="","",INDEX(합계표[직위(요약)],$X290)&amp;"")</f>
        <v/>
      </c>
      <c r="E290">
        <f>IF($X290="","",INDEX(합계표[직급 공존],$X290)&amp;"")</f>
        <v/>
      </c>
      <c r="F290" s="20">
        <f>IF($X290="","",SUMIFS(합계표[시스템 합계],합계표[사번키],INDEX(합계표[사번키],$X290)))</f>
        <v/>
      </c>
      <c r="G290" s="20">
        <f>IF($X290="","",SUMIFS(상세표[기록 시간외],상세표[사번키],INDEX(합계표[사번키],$X290),상세표[기록월],대상월키))</f>
        <v/>
      </c>
      <c r="H290">
        <f>IF($X290="","",IF(ABS($F290-$G290)&lt;0.01,"일치","불일치(차이 "&amp;TEXT($G290-$F290,"0.00")&amp;")"))</f>
        <v/>
      </c>
      <c r="I290" s="20">
        <f>IF($X290="","",SUMIFS(상세표[기록 시간외],상세표[사번키],INDEX(합계표[사번키],$X290),상세표[기록월],대상월키,상세표[반영월],"&lt;&gt;"&amp;대상월키))</f>
        <v/>
      </c>
      <c r="J290" s="20">
        <f>IF($X290="","",SUMIFS(상세표[기록 시간외],상세표[사번키],INDEX(합계표[사번키],$X290),상세표[기록월],"&lt;&gt;"&amp;대상월키,상세표[반영월],대상월키))</f>
        <v/>
      </c>
      <c r="K290" s="20">
        <f>IF($X290="","",SUMIFS(상세표[기록 시간외],상세표[사번키],INDEX(합계표[사번키],$X290),상세표[반영월],대상월키))</f>
        <v/>
      </c>
      <c r="L290">
        <f>IF($X290="","",IFERROR(INDEX(월별근무지표[적용 급여병원],MATCH(INDEX(합계표[사번키],$X290)&amp;"|"&amp;대상월키,월별근무지표[키],0))&amp;"",IF(COUNTIF(기관표[사번키],INDEX(합계표[사번키],$X290))+COUNTIF(월별근무지표[사번키],INDEX(합계표[사번키],$X290))&gt;0,IFERROR(INDEX(기관표[급여지급병원(기준월)],MATCH(INDEX(합계표[사번키],$X290)&amp;"|"&amp;대상월키,기관표[키],0))&amp;"","—"),"—")))</f>
        <v/>
      </c>
      <c r="M290">
        <f>IF($X290="","",IF(NOT(COUNTIF(기관표[사번키],INDEX(합계표[사번키],$X290))+COUNTIF(월별근무지표[사번키],INDEX(합계표[사번키],$X290))&gt;0),"기관명단에 없음(다른 병원으로 발송)",IF($L290="서울병원","해당",IF(N($R290)&gt;0,"해당(말일 근무)",IF($L290="—","대상월 기관명단 없음(추가 필요)","비해당")))))</f>
        <v/>
      </c>
      <c r="N290" s="20">
        <f>IF($X290="","",SUMIFS(상세표[06~07시],상세표[사번키],INDEX(합계표[사번키],$X290),상세표[반영월],대상월키,상세표[반영 기관],"서울병원"))</f>
        <v/>
      </c>
      <c r="O290" s="20">
        <f>IF($X290="","",SUMIFS(상세표[07~18시],상세표[사번키],INDEX(합계표[사번키],$X290),상세표[반영월],대상월키,상세표[반영 기관],"서울병원"))</f>
        <v/>
      </c>
      <c r="P290" s="20">
        <f>IF($X290="","",SUMIFS(상세표[18~22시],상세표[사번키],INDEX(합계표[사번키],$X290),상세표[반영월],대상월키,상세표[반영 기관],"서울병원"))</f>
        <v/>
      </c>
      <c r="Q290" s="20">
        <f>IF($X290="","",SUMIFS(상세표[22~06시],상세표[사번키],INDEX(합계표[사번키],$X290),상세표[반영월],대상월키,상세표[반영 기관],"서울병원"))</f>
        <v/>
      </c>
      <c r="R290" s="20">
        <f>IF($X290="","",SUM($N290:$Q290))</f>
        <v/>
      </c>
      <c r="S290">
        <f>IF($X290="","",COUNTIFS(상세표[사번키],INDEX(합계표[사번키],$X290),상세표[반영월],대상월키,상세표[야간당직],1,상세표[야간 구분],"평일"))</f>
        <v/>
      </c>
      <c r="T290">
        <f>IF($X290="","",COUNTIFS(상세표[사번키],INDEX(합계표[사번키],$X290),상세표[반영월],대상월키,상세표[야간당직],1,상세표[야간 구분],"휴일"))</f>
        <v/>
      </c>
      <c r="U290">
        <f>IF($X290="","",COUNTIFS(상세표[사번키],INDEX(합계표[사번키],$X290),상세표[반영월],대상월키,상세표[야간당직],1,상세표[야간 구분],"평일",상세표[반영 기관],"서울병원"))</f>
        <v/>
      </c>
      <c r="V290">
        <f>IF($X290="","",COUNTIFS(상세표[사번키],INDEX(합계표[사번키],$X290),상세표[반영월],대상월키,상세표[야간당직],1,상세표[야간 구분],"휴일",상세표[반영 기관],"서울병원"))</f>
        <v/>
      </c>
      <c r="W290">
        <f>IF($X290="","",IF(ISNUMBER(MATCH(INDEX(합계표[사번키],$X290)&amp;"|"&amp;대상월키,월별근무지표[키],0)),"직접 입력",IF($L290="—","—","기관명단")))</f>
        <v/>
      </c>
      <c r="X290" s="4">
        <f>IFERROR(MATCH(285,합계표[판정순번],0),"")</f>
        <v/>
      </c>
      <c r="Z290">
        <f>IF($AC290="","",INDEX(상세표[사번],$AC290)&amp;"")</f>
        <v/>
      </c>
      <c r="AA290">
        <f>IF($AC290="","",INDEX(상세표[성명],$AC290)&amp;"")</f>
        <v/>
      </c>
      <c r="AB290" s="20">
        <f>IF($AC290="","",SUMIFS(상세표[기록 시간외],상세표[사번키],INDEX(상세표[사번키],$AC290),상세표[반영월],대상월키))</f>
        <v/>
      </c>
      <c r="AC290" s="4">
        <f>IFERROR(MATCH(285,상세표[합계없음순번],0),"")</f>
        <v/>
      </c>
    </row>
    <row r="291">
      <c r="A291">
        <f>IF($X291="","",INDEX(합계표[사번],$X291)&amp;"")</f>
        <v/>
      </c>
      <c r="B291">
        <f>IF($X291="","",INDEX(합계표[성명],$X291)&amp;"")</f>
        <v/>
      </c>
      <c r="C291">
        <f>IF($X291="","",INDEX(합계표[부서],$X291)&amp;"")</f>
        <v/>
      </c>
      <c r="D291">
        <f>IF($X291="","",INDEX(합계표[직위(요약)],$X291)&amp;"")</f>
        <v/>
      </c>
      <c r="E291">
        <f>IF($X291="","",INDEX(합계표[직급 공존],$X291)&amp;"")</f>
        <v/>
      </c>
      <c r="F291" s="20">
        <f>IF($X291="","",SUMIFS(합계표[시스템 합계],합계표[사번키],INDEX(합계표[사번키],$X291)))</f>
        <v/>
      </c>
      <c r="G291" s="20">
        <f>IF($X291="","",SUMIFS(상세표[기록 시간외],상세표[사번키],INDEX(합계표[사번키],$X291),상세표[기록월],대상월키))</f>
        <v/>
      </c>
      <c r="H291">
        <f>IF($X291="","",IF(ABS($F291-$G291)&lt;0.01,"일치","불일치(차이 "&amp;TEXT($G291-$F291,"0.00")&amp;")"))</f>
        <v/>
      </c>
      <c r="I291" s="20">
        <f>IF($X291="","",SUMIFS(상세표[기록 시간외],상세표[사번키],INDEX(합계표[사번키],$X291),상세표[기록월],대상월키,상세표[반영월],"&lt;&gt;"&amp;대상월키))</f>
        <v/>
      </c>
      <c r="J291" s="20">
        <f>IF($X291="","",SUMIFS(상세표[기록 시간외],상세표[사번키],INDEX(합계표[사번키],$X291),상세표[기록월],"&lt;&gt;"&amp;대상월키,상세표[반영월],대상월키))</f>
        <v/>
      </c>
      <c r="K291" s="20">
        <f>IF($X291="","",SUMIFS(상세표[기록 시간외],상세표[사번키],INDEX(합계표[사번키],$X291),상세표[반영월],대상월키))</f>
        <v/>
      </c>
      <c r="L291">
        <f>IF($X291="","",IFERROR(INDEX(월별근무지표[적용 급여병원],MATCH(INDEX(합계표[사번키],$X291)&amp;"|"&amp;대상월키,월별근무지표[키],0))&amp;"",IF(COUNTIF(기관표[사번키],INDEX(합계표[사번키],$X291))+COUNTIF(월별근무지표[사번키],INDEX(합계표[사번키],$X291))&gt;0,IFERROR(INDEX(기관표[급여지급병원(기준월)],MATCH(INDEX(합계표[사번키],$X291)&amp;"|"&amp;대상월키,기관표[키],0))&amp;"","—"),"—")))</f>
        <v/>
      </c>
      <c r="M291">
        <f>IF($X291="","",IF(NOT(COUNTIF(기관표[사번키],INDEX(합계표[사번키],$X291))+COUNTIF(월별근무지표[사번키],INDEX(합계표[사번키],$X291))&gt;0),"기관명단에 없음(다른 병원으로 발송)",IF($L291="서울병원","해당",IF(N($R291)&gt;0,"해당(말일 근무)",IF($L291="—","대상월 기관명단 없음(추가 필요)","비해당")))))</f>
        <v/>
      </c>
      <c r="N291" s="20">
        <f>IF($X291="","",SUMIFS(상세표[06~07시],상세표[사번키],INDEX(합계표[사번키],$X291),상세표[반영월],대상월키,상세표[반영 기관],"서울병원"))</f>
        <v/>
      </c>
      <c r="O291" s="20">
        <f>IF($X291="","",SUMIFS(상세표[07~18시],상세표[사번키],INDEX(합계표[사번키],$X291),상세표[반영월],대상월키,상세표[반영 기관],"서울병원"))</f>
        <v/>
      </c>
      <c r="P291" s="20">
        <f>IF($X291="","",SUMIFS(상세표[18~22시],상세표[사번키],INDEX(합계표[사번키],$X291),상세표[반영월],대상월키,상세표[반영 기관],"서울병원"))</f>
        <v/>
      </c>
      <c r="Q291" s="20">
        <f>IF($X291="","",SUMIFS(상세표[22~06시],상세표[사번키],INDEX(합계표[사번키],$X291),상세표[반영월],대상월키,상세표[반영 기관],"서울병원"))</f>
        <v/>
      </c>
      <c r="R291" s="20">
        <f>IF($X291="","",SUM($N291:$Q291))</f>
        <v/>
      </c>
      <c r="S291">
        <f>IF($X291="","",COUNTIFS(상세표[사번키],INDEX(합계표[사번키],$X291),상세표[반영월],대상월키,상세표[야간당직],1,상세표[야간 구분],"평일"))</f>
        <v/>
      </c>
      <c r="T291">
        <f>IF($X291="","",COUNTIFS(상세표[사번키],INDEX(합계표[사번키],$X291),상세표[반영월],대상월키,상세표[야간당직],1,상세표[야간 구분],"휴일"))</f>
        <v/>
      </c>
      <c r="U291">
        <f>IF($X291="","",COUNTIFS(상세표[사번키],INDEX(합계표[사번키],$X291),상세표[반영월],대상월키,상세표[야간당직],1,상세표[야간 구분],"평일",상세표[반영 기관],"서울병원"))</f>
        <v/>
      </c>
      <c r="V291">
        <f>IF($X291="","",COUNTIFS(상세표[사번키],INDEX(합계표[사번키],$X291),상세표[반영월],대상월키,상세표[야간당직],1,상세표[야간 구분],"휴일",상세표[반영 기관],"서울병원"))</f>
        <v/>
      </c>
      <c r="W291">
        <f>IF($X291="","",IF(ISNUMBER(MATCH(INDEX(합계표[사번키],$X291)&amp;"|"&amp;대상월키,월별근무지표[키],0)),"직접 입력",IF($L291="—","—","기관명단")))</f>
        <v/>
      </c>
      <c r="X291" s="4">
        <f>IFERROR(MATCH(286,합계표[판정순번],0),"")</f>
        <v/>
      </c>
      <c r="Z291">
        <f>IF($AC291="","",INDEX(상세표[사번],$AC291)&amp;"")</f>
        <v/>
      </c>
      <c r="AA291">
        <f>IF($AC291="","",INDEX(상세표[성명],$AC291)&amp;"")</f>
        <v/>
      </c>
      <c r="AB291" s="20">
        <f>IF($AC291="","",SUMIFS(상세표[기록 시간외],상세표[사번키],INDEX(상세표[사번키],$AC291),상세표[반영월],대상월키))</f>
        <v/>
      </c>
      <c r="AC291" s="4">
        <f>IFERROR(MATCH(286,상세표[합계없음순번],0),"")</f>
        <v/>
      </c>
    </row>
    <row r="292">
      <c r="A292">
        <f>IF($X292="","",INDEX(합계표[사번],$X292)&amp;"")</f>
        <v/>
      </c>
      <c r="B292">
        <f>IF($X292="","",INDEX(합계표[성명],$X292)&amp;"")</f>
        <v/>
      </c>
      <c r="C292">
        <f>IF($X292="","",INDEX(합계표[부서],$X292)&amp;"")</f>
        <v/>
      </c>
      <c r="D292">
        <f>IF($X292="","",INDEX(합계표[직위(요약)],$X292)&amp;"")</f>
        <v/>
      </c>
      <c r="E292">
        <f>IF($X292="","",INDEX(합계표[직급 공존],$X292)&amp;"")</f>
        <v/>
      </c>
      <c r="F292" s="20">
        <f>IF($X292="","",SUMIFS(합계표[시스템 합계],합계표[사번키],INDEX(합계표[사번키],$X292)))</f>
        <v/>
      </c>
      <c r="G292" s="20">
        <f>IF($X292="","",SUMIFS(상세표[기록 시간외],상세표[사번키],INDEX(합계표[사번키],$X292),상세표[기록월],대상월키))</f>
        <v/>
      </c>
      <c r="H292">
        <f>IF($X292="","",IF(ABS($F292-$G292)&lt;0.01,"일치","불일치(차이 "&amp;TEXT($G292-$F292,"0.00")&amp;")"))</f>
        <v/>
      </c>
      <c r="I292" s="20">
        <f>IF($X292="","",SUMIFS(상세표[기록 시간외],상세표[사번키],INDEX(합계표[사번키],$X292),상세표[기록월],대상월키,상세표[반영월],"&lt;&gt;"&amp;대상월키))</f>
        <v/>
      </c>
      <c r="J292" s="20">
        <f>IF($X292="","",SUMIFS(상세표[기록 시간외],상세표[사번키],INDEX(합계표[사번키],$X292),상세표[기록월],"&lt;&gt;"&amp;대상월키,상세표[반영월],대상월키))</f>
        <v/>
      </c>
      <c r="K292" s="20">
        <f>IF($X292="","",SUMIFS(상세표[기록 시간외],상세표[사번키],INDEX(합계표[사번키],$X292),상세표[반영월],대상월키))</f>
        <v/>
      </c>
      <c r="L292">
        <f>IF($X292="","",IFERROR(INDEX(월별근무지표[적용 급여병원],MATCH(INDEX(합계표[사번키],$X292)&amp;"|"&amp;대상월키,월별근무지표[키],0))&amp;"",IF(COUNTIF(기관표[사번키],INDEX(합계표[사번키],$X292))+COUNTIF(월별근무지표[사번키],INDEX(합계표[사번키],$X292))&gt;0,IFERROR(INDEX(기관표[급여지급병원(기준월)],MATCH(INDEX(합계표[사번키],$X292)&amp;"|"&amp;대상월키,기관표[키],0))&amp;"","—"),"—")))</f>
        <v/>
      </c>
      <c r="M292">
        <f>IF($X292="","",IF(NOT(COUNTIF(기관표[사번키],INDEX(합계표[사번키],$X292))+COUNTIF(월별근무지표[사번키],INDEX(합계표[사번키],$X292))&gt;0),"기관명단에 없음(다른 병원으로 발송)",IF($L292="서울병원","해당",IF(N($R292)&gt;0,"해당(말일 근무)",IF($L292="—","대상월 기관명단 없음(추가 필요)","비해당")))))</f>
        <v/>
      </c>
      <c r="N292" s="20">
        <f>IF($X292="","",SUMIFS(상세표[06~07시],상세표[사번키],INDEX(합계표[사번키],$X292),상세표[반영월],대상월키,상세표[반영 기관],"서울병원"))</f>
        <v/>
      </c>
      <c r="O292" s="20">
        <f>IF($X292="","",SUMIFS(상세표[07~18시],상세표[사번키],INDEX(합계표[사번키],$X292),상세표[반영월],대상월키,상세표[반영 기관],"서울병원"))</f>
        <v/>
      </c>
      <c r="P292" s="20">
        <f>IF($X292="","",SUMIFS(상세표[18~22시],상세표[사번키],INDEX(합계표[사번키],$X292),상세표[반영월],대상월키,상세표[반영 기관],"서울병원"))</f>
        <v/>
      </c>
      <c r="Q292" s="20">
        <f>IF($X292="","",SUMIFS(상세표[22~06시],상세표[사번키],INDEX(합계표[사번키],$X292),상세표[반영월],대상월키,상세표[반영 기관],"서울병원"))</f>
        <v/>
      </c>
      <c r="R292" s="20">
        <f>IF($X292="","",SUM($N292:$Q292))</f>
        <v/>
      </c>
      <c r="S292">
        <f>IF($X292="","",COUNTIFS(상세표[사번키],INDEX(합계표[사번키],$X292),상세표[반영월],대상월키,상세표[야간당직],1,상세표[야간 구분],"평일"))</f>
        <v/>
      </c>
      <c r="T292">
        <f>IF($X292="","",COUNTIFS(상세표[사번키],INDEX(합계표[사번키],$X292),상세표[반영월],대상월키,상세표[야간당직],1,상세표[야간 구분],"휴일"))</f>
        <v/>
      </c>
      <c r="U292">
        <f>IF($X292="","",COUNTIFS(상세표[사번키],INDEX(합계표[사번키],$X292),상세표[반영월],대상월키,상세표[야간당직],1,상세표[야간 구분],"평일",상세표[반영 기관],"서울병원"))</f>
        <v/>
      </c>
      <c r="V292">
        <f>IF($X292="","",COUNTIFS(상세표[사번키],INDEX(합계표[사번키],$X292),상세표[반영월],대상월키,상세표[야간당직],1,상세표[야간 구분],"휴일",상세표[반영 기관],"서울병원"))</f>
        <v/>
      </c>
      <c r="W292">
        <f>IF($X292="","",IF(ISNUMBER(MATCH(INDEX(합계표[사번키],$X292)&amp;"|"&amp;대상월키,월별근무지표[키],0)),"직접 입력",IF($L292="—","—","기관명단")))</f>
        <v/>
      </c>
      <c r="X292" s="4">
        <f>IFERROR(MATCH(287,합계표[판정순번],0),"")</f>
        <v/>
      </c>
      <c r="Z292">
        <f>IF($AC292="","",INDEX(상세표[사번],$AC292)&amp;"")</f>
        <v/>
      </c>
      <c r="AA292">
        <f>IF($AC292="","",INDEX(상세표[성명],$AC292)&amp;"")</f>
        <v/>
      </c>
      <c r="AB292" s="20">
        <f>IF($AC292="","",SUMIFS(상세표[기록 시간외],상세표[사번키],INDEX(상세표[사번키],$AC292),상세표[반영월],대상월키))</f>
        <v/>
      </c>
      <c r="AC292" s="4">
        <f>IFERROR(MATCH(287,상세표[합계없음순번],0),"")</f>
        <v/>
      </c>
    </row>
    <row r="293">
      <c r="A293">
        <f>IF($X293="","",INDEX(합계표[사번],$X293)&amp;"")</f>
        <v/>
      </c>
      <c r="B293">
        <f>IF($X293="","",INDEX(합계표[성명],$X293)&amp;"")</f>
        <v/>
      </c>
      <c r="C293">
        <f>IF($X293="","",INDEX(합계표[부서],$X293)&amp;"")</f>
        <v/>
      </c>
      <c r="D293">
        <f>IF($X293="","",INDEX(합계표[직위(요약)],$X293)&amp;"")</f>
        <v/>
      </c>
      <c r="E293">
        <f>IF($X293="","",INDEX(합계표[직급 공존],$X293)&amp;"")</f>
        <v/>
      </c>
      <c r="F293" s="20">
        <f>IF($X293="","",SUMIFS(합계표[시스템 합계],합계표[사번키],INDEX(합계표[사번키],$X293)))</f>
        <v/>
      </c>
      <c r="G293" s="20">
        <f>IF($X293="","",SUMIFS(상세표[기록 시간외],상세표[사번키],INDEX(합계표[사번키],$X293),상세표[기록월],대상월키))</f>
        <v/>
      </c>
      <c r="H293">
        <f>IF($X293="","",IF(ABS($F293-$G293)&lt;0.01,"일치","불일치(차이 "&amp;TEXT($G293-$F293,"0.00")&amp;")"))</f>
        <v/>
      </c>
      <c r="I293" s="20">
        <f>IF($X293="","",SUMIFS(상세표[기록 시간외],상세표[사번키],INDEX(합계표[사번키],$X293),상세표[기록월],대상월키,상세표[반영월],"&lt;&gt;"&amp;대상월키))</f>
        <v/>
      </c>
      <c r="J293" s="20">
        <f>IF($X293="","",SUMIFS(상세표[기록 시간외],상세표[사번키],INDEX(합계표[사번키],$X293),상세표[기록월],"&lt;&gt;"&amp;대상월키,상세표[반영월],대상월키))</f>
        <v/>
      </c>
      <c r="K293" s="20">
        <f>IF($X293="","",SUMIFS(상세표[기록 시간외],상세표[사번키],INDEX(합계표[사번키],$X293),상세표[반영월],대상월키))</f>
        <v/>
      </c>
      <c r="L293">
        <f>IF($X293="","",IFERROR(INDEX(월별근무지표[적용 급여병원],MATCH(INDEX(합계표[사번키],$X293)&amp;"|"&amp;대상월키,월별근무지표[키],0))&amp;"",IF(COUNTIF(기관표[사번키],INDEX(합계표[사번키],$X293))+COUNTIF(월별근무지표[사번키],INDEX(합계표[사번키],$X293))&gt;0,IFERROR(INDEX(기관표[급여지급병원(기준월)],MATCH(INDEX(합계표[사번키],$X293)&amp;"|"&amp;대상월키,기관표[키],0))&amp;"","—"),"—")))</f>
        <v/>
      </c>
      <c r="M293">
        <f>IF($X293="","",IF(NOT(COUNTIF(기관표[사번키],INDEX(합계표[사번키],$X293))+COUNTIF(월별근무지표[사번키],INDEX(합계표[사번키],$X293))&gt;0),"기관명단에 없음(다른 병원으로 발송)",IF($L293="서울병원","해당",IF(N($R293)&gt;0,"해당(말일 근무)",IF($L293="—","대상월 기관명단 없음(추가 필요)","비해당")))))</f>
        <v/>
      </c>
      <c r="N293" s="20">
        <f>IF($X293="","",SUMIFS(상세표[06~07시],상세표[사번키],INDEX(합계표[사번키],$X293),상세표[반영월],대상월키,상세표[반영 기관],"서울병원"))</f>
        <v/>
      </c>
      <c r="O293" s="20">
        <f>IF($X293="","",SUMIFS(상세표[07~18시],상세표[사번키],INDEX(합계표[사번키],$X293),상세표[반영월],대상월키,상세표[반영 기관],"서울병원"))</f>
        <v/>
      </c>
      <c r="P293" s="20">
        <f>IF($X293="","",SUMIFS(상세표[18~22시],상세표[사번키],INDEX(합계표[사번키],$X293),상세표[반영월],대상월키,상세표[반영 기관],"서울병원"))</f>
        <v/>
      </c>
      <c r="Q293" s="20">
        <f>IF($X293="","",SUMIFS(상세표[22~06시],상세표[사번키],INDEX(합계표[사번키],$X293),상세표[반영월],대상월키,상세표[반영 기관],"서울병원"))</f>
        <v/>
      </c>
      <c r="R293" s="20">
        <f>IF($X293="","",SUM($N293:$Q293))</f>
        <v/>
      </c>
      <c r="S293">
        <f>IF($X293="","",COUNTIFS(상세표[사번키],INDEX(합계표[사번키],$X293),상세표[반영월],대상월키,상세표[야간당직],1,상세표[야간 구분],"평일"))</f>
        <v/>
      </c>
      <c r="T293">
        <f>IF($X293="","",COUNTIFS(상세표[사번키],INDEX(합계표[사번키],$X293),상세표[반영월],대상월키,상세표[야간당직],1,상세표[야간 구분],"휴일"))</f>
        <v/>
      </c>
      <c r="U293">
        <f>IF($X293="","",COUNTIFS(상세표[사번키],INDEX(합계표[사번키],$X293),상세표[반영월],대상월키,상세표[야간당직],1,상세표[야간 구분],"평일",상세표[반영 기관],"서울병원"))</f>
        <v/>
      </c>
      <c r="V293">
        <f>IF($X293="","",COUNTIFS(상세표[사번키],INDEX(합계표[사번키],$X293),상세표[반영월],대상월키,상세표[야간당직],1,상세표[야간 구분],"휴일",상세표[반영 기관],"서울병원"))</f>
        <v/>
      </c>
      <c r="W293">
        <f>IF($X293="","",IF(ISNUMBER(MATCH(INDEX(합계표[사번키],$X293)&amp;"|"&amp;대상월키,월별근무지표[키],0)),"직접 입력",IF($L293="—","—","기관명단")))</f>
        <v/>
      </c>
      <c r="X293" s="4">
        <f>IFERROR(MATCH(288,합계표[판정순번],0),"")</f>
        <v/>
      </c>
      <c r="Z293">
        <f>IF($AC293="","",INDEX(상세표[사번],$AC293)&amp;"")</f>
        <v/>
      </c>
      <c r="AA293">
        <f>IF($AC293="","",INDEX(상세표[성명],$AC293)&amp;"")</f>
        <v/>
      </c>
      <c r="AB293" s="20">
        <f>IF($AC293="","",SUMIFS(상세표[기록 시간외],상세표[사번키],INDEX(상세표[사번키],$AC293),상세표[반영월],대상월키))</f>
        <v/>
      </c>
      <c r="AC293" s="4">
        <f>IFERROR(MATCH(288,상세표[합계없음순번],0),"")</f>
        <v/>
      </c>
    </row>
    <row r="294">
      <c r="A294">
        <f>IF($X294="","",INDEX(합계표[사번],$X294)&amp;"")</f>
        <v/>
      </c>
      <c r="B294">
        <f>IF($X294="","",INDEX(합계표[성명],$X294)&amp;"")</f>
        <v/>
      </c>
      <c r="C294">
        <f>IF($X294="","",INDEX(합계표[부서],$X294)&amp;"")</f>
        <v/>
      </c>
      <c r="D294">
        <f>IF($X294="","",INDEX(합계표[직위(요약)],$X294)&amp;"")</f>
        <v/>
      </c>
      <c r="E294">
        <f>IF($X294="","",INDEX(합계표[직급 공존],$X294)&amp;"")</f>
        <v/>
      </c>
      <c r="F294" s="20">
        <f>IF($X294="","",SUMIFS(합계표[시스템 합계],합계표[사번키],INDEX(합계표[사번키],$X294)))</f>
        <v/>
      </c>
      <c r="G294" s="20">
        <f>IF($X294="","",SUMIFS(상세표[기록 시간외],상세표[사번키],INDEX(합계표[사번키],$X294),상세표[기록월],대상월키))</f>
        <v/>
      </c>
      <c r="H294">
        <f>IF($X294="","",IF(ABS($F294-$G294)&lt;0.01,"일치","불일치(차이 "&amp;TEXT($G294-$F294,"0.00")&amp;")"))</f>
        <v/>
      </c>
      <c r="I294" s="20">
        <f>IF($X294="","",SUMIFS(상세표[기록 시간외],상세표[사번키],INDEX(합계표[사번키],$X294),상세표[기록월],대상월키,상세표[반영월],"&lt;&gt;"&amp;대상월키))</f>
        <v/>
      </c>
      <c r="J294" s="20">
        <f>IF($X294="","",SUMIFS(상세표[기록 시간외],상세표[사번키],INDEX(합계표[사번키],$X294),상세표[기록월],"&lt;&gt;"&amp;대상월키,상세표[반영월],대상월키))</f>
        <v/>
      </c>
      <c r="K294" s="20">
        <f>IF($X294="","",SUMIFS(상세표[기록 시간외],상세표[사번키],INDEX(합계표[사번키],$X294),상세표[반영월],대상월키))</f>
        <v/>
      </c>
      <c r="L294">
        <f>IF($X294="","",IFERROR(INDEX(월별근무지표[적용 급여병원],MATCH(INDEX(합계표[사번키],$X294)&amp;"|"&amp;대상월키,월별근무지표[키],0))&amp;"",IF(COUNTIF(기관표[사번키],INDEX(합계표[사번키],$X294))+COUNTIF(월별근무지표[사번키],INDEX(합계표[사번키],$X294))&gt;0,IFERROR(INDEX(기관표[급여지급병원(기준월)],MATCH(INDEX(합계표[사번키],$X294)&amp;"|"&amp;대상월키,기관표[키],0))&amp;"","—"),"—")))</f>
        <v/>
      </c>
      <c r="M294">
        <f>IF($X294="","",IF(NOT(COUNTIF(기관표[사번키],INDEX(합계표[사번키],$X294))+COUNTIF(월별근무지표[사번키],INDEX(합계표[사번키],$X294))&gt;0),"기관명단에 없음(다른 병원으로 발송)",IF($L294="서울병원","해당",IF(N($R294)&gt;0,"해당(말일 근무)",IF($L294="—","대상월 기관명단 없음(추가 필요)","비해당")))))</f>
        <v/>
      </c>
      <c r="N294" s="20">
        <f>IF($X294="","",SUMIFS(상세표[06~07시],상세표[사번키],INDEX(합계표[사번키],$X294),상세표[반영월],대상월키,상세표[반영 기관],"서울병원"))</f>
        <v/>
      </c>
      <c r="O294" s="20">
        <f>IF($X294="","",SUMIFS(상세표[07~18시],상세표[사번키],INDEX(합계표[사번키],$X294),상세표[반영월],대상월키,상세표[반영 기관],"서울병원"))</f>
        <v/>
      </c>
      <c r="P294" s="20">
        <f>IF($X294="","",SUMIFS(상세표[18~22시],상세표[사번키],INDEX(합계표[사번키],$X294),상세표[반영월],대상월키,상세표[반영 기관],"서울병원"))</f>
        <v/>
      </c>
      <c r="Q294" s="20">
        <f>IF($X294="","",SUMIFS(상세표[22~06시],상세표[사번키],INDEX(합계표[사번키],$X294),상세표[반영월],대상월키,상세표[반영 기관],"서울병원"))</f>
        <v/>
      </c>
      <c r="R294" s="20">
        <f>IF($X294="","",SUM($N294:$Q294))</f>
        <v/>
      </c>
      <c r="S294">
        <f>IF($X294="","",COUNTIFS(상세표[사번키],INDEX(합계표[사번키],$X294),상세표[반영월],대상월키,상세표[야간당직],1,상세표[야간 구분],"평일"))</f>
        <v/>
      </c>
      <c r="T294">
        <f>IF($X294="","",COUNTIFS(상세표[사번키],INDEX(합계표[사번키],$X294),상세표[반영월],대상월키,상세표[야간당직],1,상세표[야간 구분],"휴일"))</f>
        <v/>
      </c>
      <c r="U294">
        <f>IF($X294="","",COUNTIFS(상세표[사번키],INDEX(합계표[사번키],$X294),상세표[반영월],대상월키,상세표[야간당직],1,상세표[야간 구분],"평일",상세표[반영 기관],"서울병원"))</f>
        <v/>
      </c>
      <c r="V294">
        <f>IF($X294="","",COUNTIFS(상세표[사번키],INDEX(합계표[사번키],$X294),상세표[반영월],대상월키,상세표[야간당직],1,상세표[야간 구분],"휴일",상세표[반영 기관],"서울병원"))</f>
        <v/>
      </c>
      <c r="W294">
        <f>IF($X294="","",IF(ISNUMBER(MATCH(INDEX(합계표[사번키],$X294)&amp;"|"&amp;대상월키,월별근무지표[키],0)),"직접 입력",IF($L294="—","—","기관명단")))</f>
        <v/>
      </c>
      <c r="X294" s="4">
        <f>IFERROR(MATCH(289,합계표[판정순번],0),"")</f>
        <v/>
      </c>
      <c r="Z294">
        <f>IF($AC294="","",INDEX(상세표[사번],$AC294)&amp;"")</f>
        <v/>
      </c>
      <c r="AA294">
        <f>IF($AC294="","",INDEX(상세표[성명],$AC294)&amp;"")</f>
        <v/>
      </c>
      <c r="AB294" s="20">
        <f>IF($AC294="","",SUMIFS(상세표[기록 시간외],상세표[사번키],INDEX(상세표[사번키],$AC294),상세표[반영월],대상월키))</f>
        <v/>
      </c>
      <c r="AC294" s="4">
        <f>IFERROR(MATCH(289,상세표[합계없음순번],0),"")</f>
        <v/>
      </c>
    </row>
    <row r="295">
      <c r="A295">
        <f>IF($X295="","",INDEX(합계표[사번],$X295)&amp;"")</f>
        <v/>
      </c>
      <c r="B295">
        <f>IF($X295="","",INDEX(합계표[성명],$X295)&amp;"")</f>
        <v/>
      </c>
      <c r="C295">
        <f>IF($X295="","",INDEX(합계표[부서],$X295)&amp;"")</f>
        <v/>
      </c>
      <c r="D295">
        <f>IF($X295="","",INDEX(합계표[직위(요약)],$X295)&amp;"")</f>
        <v/>
      </c>
      <c r="E295">
        <f>IF($X295="","",INDEX(합계표[직급 공존],$X295)&amp;"")</f>
        <v/>
      </c>
      <c r="F295" s="20">
        <f>IF($X295="","",SUMIFS(합계표[시스템 합계],합계표[사번키],INDEX(합계표[사번키],$X295)))</f>
        <v/>
      </c>
      <c r="G295" s="20">
        <f>IF($X295="","",SUMIFS(상세표[기록 시간외],상세표[사번키],INDEX(합계표[사번키],$X295),상세표[기록월],대상월키))</f>
        <v/>
      </c>
      <c r="H295">
        <f>IF($X295="","",IF(ABS($F295-$G295)&lt;0.01,"일치","불일치(차이 "&amp;TEXT($G295-$F295,"0.00")&amp;")"))</f>
        <v/>
      </c>
      <c r="I295" s="20">
        <f>IF($X295="","",SUMIFS(상세표[기록 시간외],상세표[사번키],INDEX(합계표[사번키],$X295),상세표[기록월],대상월키,상세표[반영월],"&lt;&gt;"&amp;대상월키))</f>
        <v/>
      </c>
      <c r="J295" s="20">
        <f>IF($X295="","",SUMIFS(상세표[기록 시간외],상세표[사번키],INDEX(합계표[사번키],$X295),상세표[기록월],"&lt;&gt;"&amp;대상월키,상세표[반영월],대상월키))</f>
        <v/>
      </c>
      <c r="K295" s="20">
        <f>IF($X295="","",SUMIFS(상세표[기록 시간외],상세표[사번키],INDEX(합계표[사번키],$X295),상세표[반영월],대상월키))</f>
        <v/>
      </c>
      <c r="L295">
        <f>IF($X295="","",IFERROR(INDEX(월별근무지표[적용 급여병원],MATCH(INDEX(합계표[사번키],$X295)&amp;"|"&amp;대상월키,월별근무지표[키],0))&amp;"",IF(COUNTIF(기관표[사번키],INDEX(합계표[사번키],$X295))+COUNTIF(월별근무지표[사번키],INDEX(합계표[사번키],$X295))&gt;0,IFERROR(INDEX(기관표[급여지급병원(기준월)],MATCH(INDEX(합계표[사번키],$X295)&amp;"|"&amp;대상월키,기관표[키],0))&amp;"","—"),"—")))</f>
        <v/>
      </c>
      <c r="M295">
        <f>IF($X295="","",IF(NOT(COUNTIF(기관표[사번키],INDEX(합계표[사번키],$X295))+COUNTIF(월별근무지표[사번키],INDEX(합계표[사번키],$X295))&gt;0),"기관명단에 없음(다른 병원으로 발송)",IF($L295="서울병원","해당",IF(N($R295)&gt;0,"해당(말일 근무)",IF($L295="—","대상월 기관명단 없음(추가 필요)","비해당")))))</f>
        <v/>
      </c>
      <c r="N295" s="20">
        <f>IF($X295="","",SUMIFS(상세표[06~07시],상세표[사번키],INDEX(합계표[사번키],$X295),상세표[반영월],대상월키,상세표[반영 기관],"서울병원"))</f>
        <v/>
      </c>
      <c r="O295" s="20">
        <f>IF($X295="","",SUMIFS(상세표[07~18시],상세표[사번키],INDEX(합계표[사번키],$X295),상세표[반영월],대상월키,상세표[반영 기관],"서울병원"))</f>
        <v/>
      </c>
      <c r="P295" s="20">
        <f>IF($X295="","",SUMIFS(상세표[18~22시],상세표[사번키],INDEX(합계표[사번키],$X295),상세표[반영월],대상월키,상세표[반영 기관],"서울병원"))</f>
        <v/>
      </c>
      <c r="Q295" s="20">
        <f>IF($X295="","",SUMIFS(상세표[22~06시],상세표[사번키],INDEX(합계표[사번키],$X295),상세표[반영월],대상월키,상세표[반영 기관],"서울병원"))</f>
        <v/>
      </c>
      <c r="R295" s="20">
        <f>IF($X295="","",SUM($N295:$Q295))</f>
        <v/>
      </c>
      <c r="S295">
        <f>IF($X295="","",COUNTIFS(상세표[사번키],INDEX(합계표[사번키],$X295),상세표[반영월],대상월키,상세표[야간당직],1,상세표[야간 구분],"평일"))</f>
        <v/>
      </c>
      <c r="T295">
        <f>IF($X295="","",COUNTIFS(상세표[사번키],INDEX(합계표[사번키],$X295),상세표[반영월],대상월키,상세표[야간당직],1,상세표[야간 구분],"휴일"))</f>
        <v/>
      </c>
      <c r="U295">
        <f>IF($X295="","",COUNTIFS(상세표[사번키],INDEX(합계표[사번키],$X295),상세표[반영월],대상월키,상세표[야간당직],1,상세표[야간 구분],"평일",상세표[반영 기관],"서울병원"))</f>
        <v/>
      </c>
      <c r="V295">
        <f>IF($X295="","",COUNTIFS(상세표[사번키],INDEX(합계표[사번키],$X295),상세표[반영월],대상월키,상세표[야간당직],1,상세표[야간 구분],"휴일",상세표[반영 기관],"서울병원"))</f>
        <v/>
      </c>
      <c r="W295">
        <f>IF($X295="","",IF(ISNUMBER(MATCH(INDEX(합계표[사번키],$X295)&amp;"|"&amp;대상월키,월별근무지표[키],0)),"직접 입력",IF($L295="—","—","기관명단")))</f>
        <v/>
      </c>
      <c r="X295" s="4">
        <f>IFERROR(MATCH(290,합계표[판정순번],0),"")</f>
        <v/>
      </c>
      <c r="Z295">
        <f>IF($AC295="","",INDEX(상세표[사번],$AC295)&amp;"")</f>
        <v/>
      </c>
      <c r="AA295">
        <f>IF($AC295="","",INDEX(상세표[성명],$AC295)&amp;"")</f>
        <v/>
      </c>
      <c r="AB295" s="20">
        <f>IF($AC295="","",SUMIFS(상세표[기록 시간외],상세표[사번키],INDEX(상세표[사번키],$AC295),상세표[반영월],대상월키))</f>
        <v/>
      </c>
      <c r="AC295" s="4">
        <f>IFERROR(MATCH(290,상세표[합계없음순번],0),"")</f>
        <v/>
      </c>
    </row>
    <row r="296">
      <c r="A296">
        <f>IF($X296="","",INDEX(합계표[사번],$X296)&amp;"")</f>
        <v/>
      </c>
      <c r="B296">
        <f>IF($X296="","",INDEX(합계표[성명],$X296)&amp;"")</f>
        <v/>
      </c>
      <c r="C296">
        <f>IF($X296="","",INDEX(합계표[부서],$X296)&amp;"")</f>
        <v/>
      </c>
      <c r="D296">
        <f>IF($X296="","",INDEX(합계표[직위(요약)],$X296)&amp;"")</f>
        <v/>
      </c>
      <c r="E296">
        <f>IF($X296="","",INDEX(합계표[직급 공존],$X296)&amp;"")</f>
        <v/>
      </c>
      <c r="F296" s="20">
        <f>IF($X296="","",SUMIFS(합계표[시스템 합계],합계표[사번키],INDEX(합계표[사번키],$X296)))</f>
        <v/>
      </c>
      <c r="G296" s="20">
        <f>IF($X296="","",SUMIFS(상세표[기록 시간외],상세표[사번키],INDEX(합계표[사번키],$X296),상세표[기록월],대상월키))</f>
        <v/>
      </c>
      <c r="H296">
        <f>IF($X296="","",IF(ABS($F296-$G296)&lt;0.01,"일치","불일치(차이 "&amp;TEXT($G296-$F296,"0.00")&amp;")"))</f>
        <v/>
      </c>
      <c r="I296" s="20">
        <f>IF($X296="","",SUMIFS(상세표[기록 시간외],상세표[사번키],INDEX(합계표[사번키],$X296),상세표[기록월],대상월키,상세표[반영월],"&lt;&gt;"&amp;대상월키))</f>
        <v/>
      </c>
      <c r="J296" s="20">
        <f>IF($X296="","",SUMIFS(상세표[기록 시간외],상세표[사번키],INDEX(합계표[사번키],$X296),상세표[기록월],"&lt;&gt;"&amp;대상월키,상세표[반영월],대상월키))</f>
        <v/>
      </c>
      <c r="K296" s="20">
        <f>IF($X296="","",SUMIFS(상세표[기록 시간외],상세표[사번키],INDEX(합계표[사번키],$X296),상세표[반영월],대상월키))</f>
        <v/>
      </c>
      <c r="L296">
        <f>IF($X296="","",IFERROR(INDEX(월별근무지표[적용 급여병원],MATCH(INDEX(합계표[사번키],$X296)&amp;"|"&amp;대상월키,월별근무지표[키],0))&amp;"",IF(COUNTIF(기관표[사번키],INDEX(합계표[사번키],$X296))+COUNTIF(월별근무지표[사번키],INDEX(합계표[사번키],$X296))&gt;0,IFERROR(INDEX(기관표[급여지급병원(기준월)],MATCH(INDEX(합계표[사번키],$X296)&amp;"|"&amp;대상월키,기관표[키],0))&amp;"","—"),"—")))</f>
        <v/>
      </c>
      <c r="M296">
        <f>IF($X296="","",IF(NOT(COUNTIF(기관표[사번키],INDEX(합계표[사번키],$X296))+COUNTIF(월별근무지표[사번키],INDEX(합계표[사번키],$X296))&gt;0),"기관명단에 없음(다른 병원으로 발송)",IF($L296="서울병원","해당",IF(N($R296)&gt;0,"해당(말일 근무)",IF($L296="—","대상월 기관명단 없음(추가 필요)","비해당")))))</f>
        <v/>
      </c>
      <c r="N296" s="20">
        <f>IF($X296="","",SUMIFS(상세표[06~07시],상세표[사번키],INDEX(합계표[사번키],$X296),상세표[반영월],대상월키,상세표[반영 기관],"서울병원"))</f>
        <v/>
      </c>
      <c r="O296" s="20">
        <f>IF($X296="","",SUMIFS(상세표[07~18시],상세표[사번키],INDEX(합계표[사번키],$X296),상세표[반영월],대상월키,상세표[반영 기관],"서울병원"))</f>
        <v/>
      </c>
      <c r="P296" s="20">
        <f>IF($X296="","",SUMIFS(상세표[18~22시],상세표[사번키],INDEX(합계표[사번키],$X296),상세표[반영월],대상월키,상세표[반영 기관],"서울병원"))</f>
        <v/>
      </c>
      <c r="Q296" s="20">
        <f>IF($X296="","",SUMIFS(상세표[22~06시],상세표[사번키],INDEX(합계표[사번키],$X296),상세표[반영월],대상월키,상세표[반영 기관],"서울병원"))</f>
        <v/>
      </c>
      <c r="R296" s="20">
        <f>IF($X296="","",SUM($N296:$Q296))</f>
        <v/>
      </c>
      <c r="S296">
        <f>IF($X296="","",COUNTIFS(상세표[사번키],INDEX(합계표[사번키],$X296),상세표[반영월],대상월키,상세표[야간당직],1,상세표[야간 구분],"평일"))</f>
        <v/>
      </c>
      <c r="T296">
        <f>IF($X296="","",COUNTIFS(상세표[사번키],INDEX(합계표[사번키],$X296),상세표[반영월],대상월키,상세표[야간당직],1,상세표[야간 구분],"휴일"))</f>
        <v/>
      </c>
      <c r="U296">
        <f>IF($X296="","",COUNTIFS(상세표[사번키],INDEX(합계표[사번키],$X296),상세표[반영월],대상월키,상세표[야간당직],1,상세표[야간 구분],"평일",상세표[반영 기관],"서울병원"))</f>
        <v/>
      </c>
      <c r="V296">
        <f>IF($X296="","",COUNTIFS(상세표[사번키],INDEX(합계표[사번키],$X296),상세표[반영월],대상월키,상세표[야간당직],1,상세표[야간 구분],"휴일",상세표[반영 기관],"서울병원"))</f>
        <v/>
      </c>
      <c r="W296">
        <f>IF($X296="","",IF(ISNUMBER(MATCH(INDEX(합계표[사번키],$X296)&amp;"|"&amp;대상월키,월별근무지표[키],0)),"직접 입력",IF($L296="—","—","기관명단")))</f>
        <v/>
      </c>
      <c r="X296" s="4">
        <f>IFERROR(MATCH(291,합계표[판정순번],0),"")</f>
        <v/>
      </c>
      <c r="Z296">
        <f>IF($AC296="","",INDEX(상세표[사번],$AC296)&amp;"")</f>
        <v/>
      </c>
      <c r="AA296">
        <f>IF($AC296="","",INDEX(상세표[성명],$AC296)&amp;"")</f>
        <v/>
      </c>
      <c r="AB296" s="20">
        <f>IF($AC296="","",SUMIFS(상세표[기록 시간외],상세표[사번키],INDEX(상세표[사번키],$AC296),상세표[반영월],대상월키))</f>
        <v/>
      </c>
      <c r="AC296" s="4">
        <f>IFERROR(MATCH(291,상세표[합계없음순번],0),"")</f>
        <v/>
      </c>
    </row>
    <row r="297">
      <c r="A297">
        <f>IF($X297="","",INDEX(합계표[사번],$X297)&amp;"")</f>
        <v/>
      </c>
      <c r="B297">
        <f>IF($X297="","",INDEX(합계표[성명],$X297)&amp;"")</f>
        <v/>
      </c>
      <c r="C297">
        <f>IF($X297="","",INDEX(합계표[부서],$X297)&amp;"")</f>
        <v/>
      </c>
      <c r="D297">
        <f>IF($X297="","",INDEX(합계표[직위(요약)],$X297)&amp;"")</f>
        <v/>
      </c>
      <c r="E297">
        <f>IF($X297="","",INDEX(합계표[직급 공존],$X297)&amp;"")</f>
        <v/>
      </c>
      <c r="F297" s="20">
        <f>IF($X297="","",SUMIFS(합계표[시스템 합계],합계표[사번키],INDEX(합계표[사번키],$X297)))</f>
        <v/>
      </c>
      <c r="G297" s="20">
        <f>IF($X297="","",SUMIFS(상세표[기록 시간외],상세표[사번키],INDEX(합계표[사번키],$X297),상세표[기록월],대상월키))</f>
        <v/>
      </c>
      <c r="H297">
        <f>IF($X297="","",IF(ABS($F297-$G297)&lt;0.01,"일치","불일치(차이 "&amp;TEXT($G297-$F297,"0.00")&amp;")"))</f>
        <v/>
      </c>
      <c r="I297" s="20">
        <f>IF($X297="","",SUMIFS(상세표[기록 시간외],상세표[사번키],INDEX(합계표[사번키],$X297),상세표[기록월],대상월키,상세표[반영월],"&lt;&gt;"&amp;대상월키))</f>
        <v/>
      </c>
      <c r="J297" s="20">
        <f>IF($X297="","",SUMIFS(상세표[기록 시간외],상세표[사번키],INDEX(합계표[사번키],$X297),상세표[기록월],"&lt;&gt;"&amp;대상월키,상세표[반영월],대상월키))</f>
        <v/>
      </c>
      <c r="K297" s="20">
        <f>IF($X297="","",SUMIFS(상세표[기록 시간외],상세표[사번키],INDEX(합계표[사번키],$X297),상세표[반영월],대상월키))</f>
        <v/>
      </c>
      <c r="L297">
        <f>IF($X297="","",IFERROR(INDEX(월별근무지표[적용 급여병원],MATCH(INDEX(합계표[사번키],$X297)&amp;"|"&amp;대상월키,월별근무지표[키],0))&amp;"",IF(COUNTIF(기관표[사번키],INDEX(합계표[사번키],$X297))+COUNTIF(월별근무지표[사번키],INDEX(합계표[사번키],$X297))&gt;0,IFERROR(INDEX(기관표[급여지급병원(기준월)],MATCH(INDEX(합계표[사번키],$X297)&amp;"|"&amp;대상월키,기관표[키],0))&amp;"","—"),"—")))</f>
        <v/>
      </c>
      <c r="M297">
        <f>IF($X297="","",IF(NOT(COUNTIF(기관표[사번키],INDEX(합계표[사번키],$X297))+COUNTIF(월별근무지표[사번키],INDEX(합계표[사번키],$X297))&gt;0),"기관명단에 없음(다른 병원으로 발송)",IF($L297="서울병원","해당",IF(N($R297)&gt;0,"해당(말일 근무)",IF($L297="—","대상월 기관명단 없음(추가 필요)","비해당")))))</f>
        <v/>
      </c>
      <c r="N297" s="20">
        <f>IF($X297="","",SUMIFS(상세표[06~07시],상세표[사번키],INDEX(합계표[사번키],$X297),상세표[반영월],대상월키,상세표[반영 기관],"서울병원"))</f>
        <v/>
      </c>
      <c r="O297" s="20">
        <f>IF($X297="","",SUMIFS(상세표[07~18시],상세표[사번키],INDEX(합계표[사번키],$X297),상세표[반영월],대상월키,상세표[반영 기관],"서울병원"))</f>
        <v/>
      </c>
      <c r="P297" s="20">
        <f>IF($X297="","",SUMIFS(상세표[18~22시],상세표[사번키],INDEX(합계표[사번키],$X297),상세표[반영월],대상월키,상세표[반영 기관],"서울병원"))</f>
        <v/>
      </c>
      <c r="Q297" s="20">
        <f>IF($X297="","",SUMIFS(상세표[22~06시],상세표[사번키],INDEX(합계표[사번키],$X297),상세표[반영월],대상월키,상세표[반영 기관],"서울병원"))</f>
        <v/>
      </c>
      <c r="R297" s="20">
        <f>IF($X297="","",SUM($N297:$Q297))</f>
        <v/>
      </c>
      <c r="S297">
        <f>IF($X297="","",COUNTIFS(상세표[사번키],INDEX(합계표[사번키],$X297),상세표[반영월],대상월키,상세표[야간당직],1,상세표[야간 구분],"평일"))</f>
        <v/>
      </c>
      <c r="T297">
        <f>IF($X297="","",COUNTIFS(상세표[사번키],INDEX(합계표[사번키],$X297),상세표[반영월],대상월키,상세표[야간당직],1,상세표[야간 구분],"휴일"))</f>
        <v/>
      </c>
      <c r="U297">
        <f>IF($X297="","",COUNTIFS(상세표[사번키],INDEX(합계표[사번키],$X297),상세표[반영월],대상월키,상세표[야간당직],1,상세표[야간 구분],"평일",상세표[반영 기관],"서울병원"))</f>
        <v/>
      </c>
      <c r="V297">
        <f>IF($X297="","",COUNTIFS(상세표[사번키],INDEX(합계표[사번키],$X297),상세표[반영월],대상월키,상세표[야간당직],1,상세표[야간 구분],"휴일",상세표[반영 기관],"서울병원"))</f>
        <v/>
      </c>
      <c r="W297">
        <f>IF($X297="","",IF(ISNUMBER(MATCH(INDEX(합계표[사번키],$X297)&amp;"|"&amp;대상월키,월별근무지표[키],0)),"직접 입력",IF($L297="—","—","기관명단")))</f>
        <v/>
      </c>
      <c r="X297" s="4">
        <f>IFERROR(MATCH(292,합계표[판정순번],0),"")</f>
        <v/>
      </c>
      <c r="Z297">
        <f>IF($AC297="","",INDEX(상세표[사번],$AC297)&amp;"")</f>
        <v/>
      </c>
      <c r="AA297">
        <f>IF($AC297="","",INDEX(상세표[성명],$AC297)&amp;"")</f>
        <v/>
      </c>
      <c r="AB297" s="20">
        <f>IF($AC297="","",SUMIFS(상세표[기록 시간외],상세표[사번키],INDEX(상세표[사번키],$AC297),상세표[반영월],대상월키))</f>
        <v/>
      </c>
      <c r="AC297" s="4">
        <f>IFERROR(MATCH(292,상세표[합계없음순번],0),"")</f>
        <v/>
      </c>
    </row>
    <row r="298">
      <c r="A298">
        <f>IF($X298="","",INDEX(합계표[사번],$X298)&amp;"")</f>
        <v/>
      </c>
      <c r="B298">
        <f>IF($X298="","",INDEX(합계표[성명],$X298)&amp;"")</f>
        <v/>
      </c>
      <c r="C298">
        <f>IF($X298="","",INDEX(합계표[부서],$X298)&amp;"")</f>
        <v/>
      </c>
      <c r="D298">
        <f>IF($X298="","",INDEX(합계표[직위(요약)],$X298)&amp;"")</f>
        <v/>
      </c>
      <c r="E298">
        <f>IF($X298="","",INDEX(합계표[직급 공존],$X298)&amp;"")</f>
        <v/>
      </c>
      <c r="F298" s="20">
        <f>IF($X298="","",SUMIFS(합계표[시스템 합계],합계표[사번키],INDEX(합계표[사번키],$X298)))</f>
        <v/>
      </c>
      <c r="G298" s="20">
        <f>IF($X298="","",SUMIFS(상세표[기록 시간외],상세표[사번키],INDEX(합계표[사번키],$X298),상세표[기록월],대상월키))</f>
        <v/>
      </c>
      <c r="H298">
        <f>IF($X298="","",IF(ABS($F298-$G298)&lt;0.01,"일치","불일치(차이 "&amp;TEXT($G298-$F298,"0.00")&amp;")"))</f>
        <v/>
      </c>
      <c r="I298" s="20">
        <f>IF($X298="","",SUMIFS(상세표[기록 시간외],상세표[사번키],INDEX(합계표[사번키],$X298),상세표[기록월],대상월키,상세표[반영월],"&lt;&gt;"&amp;대상월키))</f>
        <v/>
      </c>
      <c r="J298" s="20">
        <f>IF($X298="","",SUMIFS(상세표[기록 시간외],상세표[사번키],INDEX(합계표[사번키],$X298),상세표[기록월],"&lt;&gt;"&amp;대상월키,상세표[반영월],대상월키))</f>
        <v/>
      </c>
      <c r="K298" s="20">
        <f>IF($X298="","",SUMIFS(상세표[기록 시간외],상세표[사번키],INDEX(합계표[사번키],$X298),상세표[반영월],대상월키))</f>
        <v/>
      </c>
      <c r="L298">
        <f>IF($X298="","",IFERROR(INDEX(월별근무지표[적용 급여병원],MATCH(INDEX(합계표[사번키],$X298)&amp;"|"&amp;대상월키,월별근무지표[키],0))&amp;"",IF(COUNTIF(기관표[사번키],INDEX(합계표[사번키],$X298))+COUNTIF(월별근무지표[사번키],INDEX(합계표[사번키],$X298))&gt;0,IFERROR(INDEX(기관표[급여지급병원(기준월)],MATCH(INDEX(합계표[사번키],$X298)&amp;"|"&amp;대상월키,기관표[키],0))&amp;"","—"),"—")))</f>
        <v/>
      </c>
      <c r="M298">
        <f>IF($X298="","",IF(NOT(COUNTIF(기관표[사번키],INDEX(합계표[사번키],$X298))+COUNTIF(월별근무지표[사번키],INDEX(합계표[사번키],$X298))&gt;0),"기관명단에 없음(다른 병원으로 발송)",IF($L298="서울병원","해당",IF(N($R298)&gt;0,"해당(말일 근무)",IF($L298="—","대상월 기관명단 없음(추가 필요)","비해당")))))</f>
        <v/>
      </c>
      <c r="N298" s="20">
        <f>IF($X298="","",SUMIFS(상세표[06~07시],상세표[사번키],INDEX(합계표[사번키],$X298),상세표[반영월],대상월키,상세표[반영 기관],"서울병원"))</f>
        <v/>
      </c>
      <c r="O298" s="20">
        <f>IF($X298="","",SUMIFS(상세표[07~18시],상세표[사번키],INDEX(합계표[사번키],$X298),상세표[반영월],대상월키,상세표[반영 기관],"서울병원"))</f>
        <v/>
      </c>
      <c r="P298" s="20">
        <f>IF($X298="","",SUMIFS(상세표[18~22시],상세표[사번키],INDEX(합계표[사번키],$X298),상세표[반영월],대상월키,상세표[반영 기관],"서울병원"))</f>
        <v/>
      </c>
      <c r="Q298" s="20">
        <f>IF($X298="","",SUMIFS(상세표[22~06시],상세표[사번키],INDEX(합계표[사번키],$X298),상세표[반영월],대상월키,상세표[반영 기관],"서울병원"))</f>
        <v/>
      </c>
      <c r="R298" s="20">
        <f>IF($X298="","",SUM($N298:$Q298))</f>
        <v/>
      </c>
      <c r="S298">
        <f>IF($X298="","",COUNTIFS(상세표[사번키],INDEX(합계표[사번키],$X298),상세표[반영월],대상월키,상세표[야간당직],1,상세표[야간 구분],"평일"))</f>
        <v/>
      </c>
      <c r="T298">
        <f>IF($X298="","",COUNTIFS(상세표[사번키],INDEX(합계표[사번키],$X298),상세표[반영월],대상월키,상세표[야간당직],1,상세표[야간 구분],"휴일"))</f>
        <v/>
      </c>
      <c r="U298">
        <f>IF($X298="","",COUNTIFS(상세표[사번키],INDEX(합계표[사번키],$X298),상세표[반영월],대상월키,상세표[야간당직],1,상세표[야간 구분],"평일",상세표[반영 기관],"서울병원"))</f>
        <v/>
      </c>
      <c r="V298">
        <f>IF($X298="","",COUNTIFS(상세표[사번키],INDEX(합계표[사번키],$X298),상세표[반영월],대상월키,상세표[야간당직],1,상세표[야간 구분],"휴일",상세표[반영 기관],"서울병원"))</f>
        <v/>
      </c>
      <c r="W298">
        <f>IF($X298="","",IF(ISNUMBER(MATCH(INDEX(합계표[사번키],$X298)&amp;"|"&amp;대상월키,월별근무지표[키],0)),"직접 입력",IF($L298="—","—","기관명단")))</f>
        <v/>
      </c>
      <c r="X298" s="4">
        <f>IFERROR(MATCH(293,합계표[판정순번],0),"")</f>
        <v/>
      </c>
      <c r="Z298">
        <f>IF($AC298="","",INDEX(상세표[사번],$AC298)&amp;"")</f>
        <v/>
      </c>
      <c r="AA298">
        <f>IF($AC298="","",INDEX(상세표[성명],$AC298)&amp;"")</f>
        <v/>
      </c>
      <c r="AB298" s="20">
        <f>IF($AC298="","",SUMIFS(상세표[기록 시간외],상세표[사번키],INDEX(상세표[사번키],$AC298),상세표[반영월],대상월키))</f>
        <v/>
      </c>
      <c r="AC298" s="4">
        <f>IFERROR(MATCH(293,상세표[합계없음순번],0),"")</f>
        <v/>
      </c>
    </row>
    <row r="299">
      <c r="A299">
        <f>IF($X299="","",INDEX(합계표[사번],$X299)&amp;"")</f>
        <v/>
      </c>
      <c r="B299">
        <f>IF($X299="","",INDEX(합계표[성명],$X299)&amp;"")</f>
        <v/>
      </c>
      <c r="C299">
        <f>IF($X299="","",INDEX(합계표[부서],$X299)&amp;"")</f>
        <v/>
      </c>
      <c r="D299">
        <f>IF($X299="","",INDEX(합계표[직위(요약)],$X299)&amp;"")</f>
        <v/>
      </c>
      <c r="E299">
        <f>IF($X299="","",INDEX(합계표[직급 공존],$X299)&amp;"")</f>
        <v/>
      </c>
      <c r="F299" s="20">
        <f>IF($X299="","",SUMIFS(합계표[시스템 합계],합계표[사번키],INDEX(합계표[사번키],$X299)))</f>
        <v/>
      </c>
      <c r="G299" s="20">
        <f>IF($X299="","",SUMIFS(상세표[기록 시간외],상세표[사번키],INDEX(합계표[사번키],$X299),상세표[기록월],대상월키))</f>
        <v/>
      </c>
      <c r="H299">
        <f>IF($X299="","",IF(ABS($F299-$G299)&lt;0.01,"일치","불일치(차이 "&amp;TEXT($G299-$F299,"0.00")&amp;")"))</f>
        <v/>
      </c>
      <c r="I299" s="20">
        <f>IF($X299="","",SUMIFS(상세표[기록 시간외],상세표[사번키],INDEX(합계표[사번키],$X299),상세표[기록월],대상월키,상세표[반영월],"&lt;&gt;"&amp;대상월키))</f>
        <v/>
      </c>
      <c r="J299" s="20">
        <f>IF($X299="","",SUMIFS(상세표[기록 시간외],상세표[사번키],INDEX(합계표[사번키],$X299),상세표[기록월],"&lt;&gt;"&amp;대상월키,상세표[반영월],대상월키))</f>
        <v/>
      </c>
      <c r="K299" s="20">
        <f>IF($X299="","",SUMIFS(상세표[기록 시간외],상세표[사번키],INDEX(합계표[사번키],$X299),상세표[반영월],대상월키))</f>
        <v/>
      </c>
      <c r="L299">
        <f>IF($X299="","",IFERROR(INDEX(월별근무지표[적용 급여병원],MATCH(INDEX(합계표[사번키],$X299)&amp;"|"&amp;대상월키,월별근무지표[키],0))&amp;"",IF(COUNTIF(기관표[사번키],INDEX(합계표[사번키],$X299))+COUNTIF(월별근무지표[사번키],INDEX(합계표[사번키],$X299))&gt;0,IFERROR(INDEX(기관표[급여지급병원(기준월)],MATCH(INDEX(합계표[사번키],$X299)&amp;"|"&amp;대상월키,기관표[키],0))&amp;"","—"),"—")))</f>
        <v/>
      </c>
      <c r="M299">
        <f>IF($X299="","",IF(NOT(COUNTIF(기관표[사번키],INDEX(합계표[사번키],$X299))+COUNTIF(월별근무지표[사번키],INDEX(합계표[사번키],$X299))&gt;0),"기관명단에 없음(다른 병원으로 발송)",IF($L299="서울병원","해당",IF(N($R299)&gt;0,"해당(말일 근무)",IF($L299="—","대상월 기관명단 없음(추가 필요)","비해당")))))</f>
        <v/>
      </c>
      <c r="N299" s="20">
        <f>IF($X299="","",SUMIFS(상세표[06~07시],상세표[사번키],INDEX(합계표[사번키],$X299),상세표[반영월],대상월키,상세표[반영 기관],"서울병원"))</f>
        <v/>
      </c>
      <c r="O299" s="20">
        <f>IF($X299="","",SUMIFS(상세표[07~18시],상세표[사번키],INDEX(합계표[사번키],$X299),상세표[반영월],대상월키,상세표[반영 기관],"서울병원"))</f>
        <v/>
      </c>
      <c r="P299" s="20">
        <f>IF($X299="","",SUMIFS(상세표[18~22시],상세표[사번키],INDEX(합계표[사번키],$X299),상세표[반영월],대상월키,상세표[반영 기관],"서울병원"))</f>
        <v/>
      </c>
      <c r="Q299" s="20">
        <f>IF($X299="","",SUMIFS(상세표[22~06시],상세표[사번키],INDEX(합계표[사번키],$X299),상세표[반영월],대상월키,상세표[반영 기관],"서울병원"))</f>
        <v/>
      </c>
      <c r="R299" s="20">
        <f>IF($X299="","",SUM($N299:$Q299))</f>
        <v/>
      </c>
      <c r="S299">
        <f>IF($X299="","",COUNTIFS(상세표[사번키],INDEX(합계표[사번키],$X299),상세표[반영월],대상월키,상세표[야간당직],1,상세표[야간 구분],"평일"))</f>
        <v/>
      </c>
      <c r="T299">
        <f>IF($X299="","",COUNTIFS(상세표[사번키],INDEX(합계표[사번키],$X299),상세표[반영월],대상월키,상세표[야간당직],1,상세표[야간 구분],"휴일"))</f>
        <v/>
      </c>
      <c r="U299">
        <f>IF($X299="","",COUNTIFS(상세표[사번키],INDEX(합계표[사번키],$X299),상세표[반영월],대상월키,상세표[야간당직],1,상세표[야간 구분],"평일",상세표[반영 기관],"서울병원"))</f>
        <v/>
      </c>
      <c r="V299">
        <f>IF($X299="","",COUNTIFS(상세표[사번키],INDEX(합계표[사번키],$X299),상세표[반영월],대상월키,상세표[야간당직],1,상세표[야간 구분],"휴일",상세표[반영 기관],"서울병원"))</f>
        <v/>
      </c>
      <c r="W299">
        <f>IF($X299="","",IF(ISNUMBER(MATCH(INDEX(합계표[사번키],$X299)&amp;"|"&amp;대상월키,월별근무지표[키],0)),"직접 입력",IF($L299="—","—","기관명단")))</f>
        <v/>
      </c>
      <c r="X299" s="4">
        <f>IFERROR(MATCH(294,합계표[판정순번],0),"")</f>
        <v/>
      </c>
      <c r="Z299">
        <f>IF($AC299="","",INDEX(상세표[사번],$AC299)&amp;"")</f>
        <v/>
      </c>
      <c r="AA299">
        <f>IF($AC299="","",INDEX(상세표[성명],$AC299)&amp;"")</f>
        <v/>
      </c>
      <c r="AB299" s="20">
        <f>IF($AC299="","",SUMIFS(상세표[기록 시간외],상세표[사번키],INDEX(상세표[사번키],$AC299),상세표[반영월],대상월키))</f>
        <v/>
      </c>
      <c r="AC299" s="4">
        <f>IFERROR(MATCH(294,상세표[합계없음순번],0),"")</f>
        <v/>
      </c>
    </row>
    <row r="300">
      <c r="A300">
        <f>IF($X300="","",INDEX(합계표[사번],$X300)&amp;"")</f>
        <v/>
      </c>
      <c r="B300">
        <f>IF($X300="","",INDEX(합계표[성명],$X300)&amp;"")</f>
        <v/>
      </c>
      <c r="C300">
        <f>IF($X300="","",INDEX(합계표[부서],$X300)&amp;"")</f>
        <v/>
      </c>
      <c r="D300">
        <f>IF($X300="","",INDEX(합계표[직위(요약)],$X300)&amp;"")</f>
        <v/>
      </c>
      <c r="E300">
        <f>IF($X300="","",INDEX(합계표[직급 공존],$X300)&amp;"")</f>
        <v/>
      </c>
      <c r="F300" s="20">
        <f>IF($X300="","",SUMIFS(합계표[시스템 합계],합계표[사번키],INDEX(합계표[사번키],$X300)))</f>
        <v/>
      </c>
      <c r="G300" s="20">
        <f>IF($X300="","",SUMIFS(상세표[기록 시간외],상세표[사번키],INDEX(합계표[사번키],$X300),상세표[기록월],대상월키))</f>
        <v/>
      </c>
      <c r="H300">
        <f>IF($X300="","",IF(ABS($F300-$G300)&lt;0.01,"일치","불일치(차이 "&amp;TEXT($G300-$F300,"0.00")&amp;")"))</f>
        <v/>
      </c>
      <c r="I300" s="20">
        <f>IF($X300="","",SUMIFS(상세표[기록 시간외],상세표[사번키],INDEX(합계표[사번키],$X300),상세표[기록월],대상월키,상세표[반영월],"&lt;&gt;"&amp;대상월키))</f>
        <v/>
      </c>
      <c r="J300" s="20">
        <f>IF($X300="","",SUMIFS(상세표[기록 시간외],상세표[사번키],INDEX(합계표[사번키],$X300),상세표[기록월],"&lt;&gt;"&amp;대상월키,상세표[반영월],대상월키))</f>
        <v/>
      </c>
      <c r="K300" s="20">
        <f>IF($X300="","",SUMIFS(상세표[기록 시간외],상세표[사번키],INDEX(합계표[사번키],$X300),상세표[반영월],대상월키))</f>
        <v/>
      </c>
      <c r="L300">
        <f>IF($X300="","",IFERROR(INDEX(월별근무지표[적용 급여병원],MATCH(INDEX(합계표[사번키],$X300)&amp;"|"&amp;대상월키,월별근무지표[키],0))&amp;"",IF(COUNTIF(기관표[사번키],INDEX(합계표[사번키],$X300))+COUNTIF(월별근무지표[사번키],INDEX(합계표[사번키],$X300))&gt;0,IFERROR(INDEX(기관표[급여지급병원(기준월)],MATCH(INDEX(합계표[사번키],$X300)&amp;"|"&amp;대상월키,기관표[키],0))&amp;"","—"),"—")))</f>
        <v/>
      </c>
      <c r="M300">
        <f>IF($X300="","",IF(NOT(COUNTIF(기관표[사번키],INDEX(합계표[사번키],$X300))+COUNTIF(월별근무지표[사번키],INDEX(합계표[사번키],$X300))&gt;0),"기관명단에 없음(다른 병원으로 발송)",IF($L300="서울병원","해당",IF(N($R300)&gt;0,"해당(말일 근무)",IF($L300="—","대상월 기관명단 없음(추가 필요)","비해당")))))</f>
        <v/>
      </c>
      <c r="N300" s="20">
        <f>IF($X300="","",SUMIFS(상세표[06~07시],상세표[사번키],INDEX(합계표[사번키],$X300),상세표[반영월],대상월키,상세표[반영 기관],"서울병원"))</f>
        <v/>
      </c>
      <c r="O300" s="20">
        <f>IF($X300="","",SUMIFS(상세표[07~18시],상세표[사번키],INDEX(합계표[사번키],$X300),상세표[반영월],대상월키,상세표[반영 기관],"서울병원"))</f>
        <v/>
      </c>
      <c r="P300" s="20">
        <f>IF($X300="","",SUMIFS(상세표[18~22시],상세표[사번키],INDEX(합계표[사번키],$X300),상세표[반영월],대상월키,상세표[반영 기관],"서울병원"))</f>
        <v/>
      </c>
      <c r="Q300" s="20">
        <f>IF($X300="","",SUMIFS(상세표[22~06시],상세표[사번키],INDEX(합계표[사번키],$X300),상세표[반영월],대상월키,상세표[반영 기관],"서울병원"))</f>
        <v/>
      </c>
      <c r="R300" s="20">
        <f>IF($X300="","",SUM($N300:$Q300))</f>
        <v/>
      </c>
      <c r="S300">
        <f>IF($X300="","",COUNTIFS(상세표[사번키],INDEX(합계표[사번키],$X300),상세표[반영월],대상월키,상세표[야간당직],1,상세표[야간 구분],"평일"))</f>
        <v/>
      </c>
      <c r="T300">
        <f>IF($X300="","",COUNTIFS(상세표[사번키],INDEX(합계표[사번키],$X300),상세표[반영월],대상월키,상세표[야간당직],1,상세표[야간 구분],"휴일"))</f>
        <v/>
      </c>
      <c r="U300">
        <f>IF($X300="","",COUNTIFS(상세표[사번키],INDEX(합계표[사번키],$X300),상세표[반영월],대상월키,상세표[야간당직],1,상세표[야간 구분],"평일",상세표[반영 기관],"서울병원"))</f>
        <v/>
      </c>
      <c r="V300">
        <f>IF($X300="","",COUNTIFS(상세표[사번키],INDEX(합계표[사번키],$X300),상세표[반영월],대상월키,상세표[야간당직],1,상세표[야간 구분],"휴일",상세표[반영 기관],"서울병원"))</f>
        <v/>
      </c>
      <c r="W300">
        <f>IF($X300="","",IF(ISNUMBER(MATCH(INDEX(합계표[사번키],$X300)&amp;"|"&amp;대상월키,월별근무지표[키],0)),"직접 입력",IF($L300="—","—","기관명단")))</f>
        <v/>
      </c>
      <c r="X300" s="4">
        <f>IFERROR(MATCH(295,합계표[판정순번],0),"")</f>
        <v/>
      </c>
      <c r="Z300">
        <f>IF($AC300="","",INDEX(상세표[사번],$AC300)&amp;"")</f>
        <v/>
      </c>
      <c r="AA300">
        <f>IF($AC300="","",INDEX(상세표[성명],$AC300)&amp;"")</f>
        <v/>
      </c>
      <c r="AB300" s="20">
        <f>IF($AC300="","",SUMIFS(상세표[기록 시간외],상세표[사번키],INDEX(상세표[사번키],$AC300),상세표[반영월],대상월키))</f>
        <v/>
      </c>
      <c r="AC300" s="4">
        <f>IFERROR(MATCH(295,상세표[합계없음순번],0),"")</f>
        <v/>
      </c>
    </row>
    <row r="301">
      <c r="A301">
        <f>IF($X301="","",INDEX(합계표[사번],$X301)&amp;"")</f>
        <v/>
      </c>
      <c r="B301">
        <f>IF($X301="","",INDEX(합계표[성명],$X301)&amp;"")</f>
        <v/>
      </c>
      <c r="C301">
        <f>IF($X301="","",INDEX(합계표[부서],$X301)&amp;"")</f>
        <v/>
      </c>
      <c r="D301">
        <f>IF($X301="","",INDEX(합계표[직위(요약)],$X301)&amp;"")</f>
        <v/>
      </c>
      <c r="E301">
        <f>IF($X301="","",INDEX(합계표[직급 공존],$X301)&amp;"")</f>
        <v/>
      </c>
      <c r="F301" s="20">
        <f>IF($X301="","",SUMIFS(합계표[시스템 합계],합계표[사번키],INDEX(합계표[사번키],$X301)))</f>
        <v/>
      </c>
      <c r="G301" s="20">
        <f>IF($X301="","",SUMIFS(상세표[기록 시간외],상세표[사번키],INDEX(합계표[사번키],$X301),상세표[기록월],대상월키))</f>
        <v/>
      </c>
      <c r="H301">
        <f>IF($X301="","",IF(ABS($F301-$G301)&lt;0.01,"일치","불일치(차이 "&amp;TEXT($G301-$F301,"0.00")&amp;")"))</f>
        <v/>
      </c>
      <c r="I301" s="20">
        <f>IF($X301="","",SUMIFS(상세표[기록 시간외],상세표[사번키],INDEX(합계표[사번키],$X301),상세표[기록월],대상월키,상세표[반영월],"&lt;&gt;"&amp;대상월키))</f>
        <v/>
      </c>
      <c r="J301" s="20">
        <f>IF($X301="","",SUMIFS(상세표[기록 시간외],상세표[사번키],INDEX(합계표[사번키],$X301),상세표[기록월],"&lt;&gt;"&amp;대상월키,상세표[반영월],대상월키))</f>
        <v/>
      </c>
      <c r="K301" s="20">
        <f>IF($X301="","",SUMIFS(상세표[기록 시간외],상세표[사번키],INDEX(합계표[사번키],$X301),상세표[반영월],대상월키))</f>
        <v/>
      </c>
      <c r="L301">
        <f>IF($X301="","",IFERROR(INDEX(월별근무지표[적용 급여병원],MATCH(INDEX(합계표[사번키],$X301)&amp;"|"&amp;대상월키,월별근무지표[키],0))&amp;"",IF(COUNTIF(기관표[사번키],INDEX(합계표[사번키],$X301))+COUNTIF(월별근무지표[사번키],INDEX(합계표[사번키],$X301))&gt;0,IFERROR(INDEX(기관표[급여지급병원(기준월)],MATCH(INDEX(합계표[사번키],$X301)&amp;"|"&amp;대상월키,기관표[키],0))&amp;"","—"),"—")))</f>
        <v/>
      </c>
      <c r="M301">
        <f>IF($X301="","",IF(NOT(COUNTIF(기관표[사번키],INDEX(합계표[사번키],$X301))+COUNTIF(월별근무지표[사번키],INDEX(합계표[사번키],$X301))&gt;0),"기관명단에 없음(다른 병원으로 발송)",IF($L301="서울병원","해당",IF(N($R301)&gt;0,"해당(말일 근무)",IF($L301="—","대상월 기관명단 없음(추가 필요)","비해당")))))</f>
        <v/>
      </c>
      <c r="N301" s="20">
        <f>IF($X301="","",SUMIFS(상세표[06~07시],상세표[사번키],INDEX(합계표[사번키],$X301),상세표[반영월],대상월키,상세표[반영 기관],"서울병원"))</f>
        <v/>
      </c>
      <c r="O301" s="20">
        <f>IF($X301="","",SUMIFS(상세표[07~18시],상세표[사번키],INDEX(합계표[사번키],$X301),상세표[반영월],대상월키,상세표[반영 기관],"서울병원"))</f>
        <v/>
      </c>
      <c r="P301" s="20">
        <f>IF($X301="","",SUMIFS(상세표[18~22시],상세표[사번키],INDEX(합계표[사번키],$X301),상세표[반영월],대상월키,상세표[반영 기관],"서울병원"))</f>
        <v/>
      </c>
      <c r="Q301" s="20">
        <f>IF($X301="","",SUMIFS(상세표[22~06시],상세표[사번키],INDEX(합계표[사번키],$X301),상세표[반영월],대상월키,상세표[반영 기관],"서울병원"))</f>
        <v/>
      </c>
      <c r="R301" s="20">
        <f>IF($X301="","",SUM($N301:$Q301))</f>
        <v/>
      </c>
      <c r="S301">
        <f>IF($X301="","",COUNTIFS(상세표[사번키],INDEX(합계표[사번키],$X301),상세표[반영월],대상월키,상세표[야간당직],1,상세표[야간 구분],"평일"))</f>
        <v/>
      </c>
      <c r="T301">
        <f>IF($X301="","",COUNTIFS(상세표[사번키],INDEX(합계표[사번키],$X301),상세표[반영월],대상월키,상세표[야간당직],1,상세표[야간 구분],"휴일"))</f>
        <v/>
      </c>
      <c r="U301">
        <f>IF($X301="","",COUNTIFS(상세표[사번키],INDEX(합계표[사번키],$X301),상세표[반영월],대상월키,상세표[야간당직],1,상세표[야간 구분],"평일",상세표[반영 기관],"서울병원"))</f>
        <v/>
      </c>
      <c r="V301">
        <f>IF($X301="","",COUNTIFS(상세표[사번키],INDEX(합계표[사번키],$X301),상세표[반영월],대상월키,상세표[야간당직],1,상세표[야간 구분],"휴일",상세표[반영 기관],"서울병원"))</f>
        <v/>
      </c>
      <c r="W301">
        <f>IF($X301="","",IF(ISNUMBER(MATCH(INDEX(합계표[사번키],$X301)&amp;"|"&amp;대상월키,월별근무지표[키],0)),"직접 입력",IF($L301="—","—","기관명단")))</f>
        <v/>
      </c>
      <c r="X301" s="4">
        <f>IFERROR(MATCH(296,합계표[판정순번],0),"")</f>
        <v/>
      </c>
      <c r="Z301">
        <f>IF($AC301="","",INDEX(상세표[사번],$AC301)&amp;"")</f>
        <v/>
      </c>
      <c r="AA301">
        <f>IF($AC301="","",INDEX(상세표[성명],$AC301)&amp;"")</f>
        <v/>
      </c>
      <c r="AB301" s="20">
        <f>IF($AC301="","",SUMIFS(상세표[기록 시간외],상세표[사번키],INDEX(상세표[사번키],$AC301),상세표[반영월],대상월키))</f>
        <v/>
      </c>
      <c r="AC301" s="4">
        <f>IFERROR(MATCH(296,상세표[합계없음순번],0),"")</f>
        <v/>
      </c>
    </row>
    <row r="302">
      <c r="A302">
        <f>IF($X302="","",INDEX(합계표[사번],$X302)&amp;"")</f>
        <v/>
      </c>
      <c r="B302">
        <f>IF($X302="","",INDEX(합계표[성명],$X302)&amp;"")</f>
        <v/>
      </c>
      <c r="C302">
        <f>IF($X302="","",INDEX(합계표[부서],$X302)&amp;"")</f>
        <v/>
      </c>
      <c r="D302">
        <f>IF($X302="","",INDEX(합계표[직위(요약)],$X302)&amp;"")</f>
        <v/>
      </c>
      <c r="E302">
        <f>IF($X302="","",INDEX(합계표[직급 공존],$X302)&amp;"")</f>
        <v/>
      </c>
      <c r="F302" s="20">
        <f>IF($X302="","",SUMIFS(합계표[시스템 합계],합계표[사번키],INDEX(합계표[사번키],$X302)))</f>
        <v/>
      </c>
      <c r="G302" s="20">
        <f>IF($X302="","",SUMIFS(상세표[기록 시간외],상세표[사번키],INDEX(합계표[사번키],$X302),상세표[기록월],대상월키))</f>
        <v/>
      </c>
      <c r="H302">
        <f>IF($X302="","",IF(ABS($F302-$G302)&lt;0.01,"일치","불일치(차이 "&amp;TEXT($G302-$F302,"0.00")&amp;")"))</f>
        <v/>
      </c>
      <c r="I302" s="20">
        <f>IF($X302="","",SUMIFS(상세표[기록 시간외],상세표[사번키],INDEX(합계표[사번키],$X302),상세표[기록월],대상월키,상세표[반영월],"&lt;&gt;"&amp;대상월키))</f>
        <v/>
      </c>
      <c r="J302" s="20">
        <f>IF($X302="","",SUMIFS(상세표[기록 시간외],상세표[사번키],INDEX(합계표[사번키],$X302),상세표[기록월],"&lt;&gt;"&amp;대상월키,상세표[반영월],대상월키))</f>
        <v/>
      </c>
      <c r="K302" s="20">
        <f>IF($X302="","",SUMIFS(상세표[기록 시간외],상세표[사번키],INDEX(합계표[사번키],$X302),상세표[반영월],대상월키))</f>
        <v/>
      </c>
      <c r="L302">
        <f>IF($X302="","",IFERROR(INDEX(월별근무지표[적용 급여병원],MATCH(INDEX(합계표[사번키],$X302)&amp;"|"&amp;대상월키,월별근무지표[키],0))&amp;"",IF(COUNTIF(기관표[사번키],INDEX(합계표[사번키],$X302))+COUNTIF(월별근무지표[사번키],INDEX(합계표[사번키],$X302))&gt;0,IFERROR(INDEX(기관표[급여지급병원(기준월)],MATCH(INDEX(합계표[사번키],$X302)&amp;"|"&amp;대상월키,기관표[키],0))&amp;"","—"),"—")))</f>
        <v/>
      </c>
      <c r="M302">
        <f>IF($X302="","",IF(NOT(COUNTIF(기관표[사번키],INDEX(합계표[사번키],$X302))+COUNTIF(월별근무지표[사번키],INDEX(합계표[사번키],$X302))&gt;0),"기관명단에 없음(다른 병원으로 발송)",IF($L302="서울병원","해당",IF(N($R302)&gt;0,"해당(말일 근무)",IF($L302="—","대상월 기관명단 없음(추가 필요)","비해당")))))</f>
        <v/>
      </c>
      <c r="N302" s="20">
        <f>IF($X302="","",SUMIFS(상세표[06~07시],상세표[사번키],INDEX(합계표[사번키],$X302),상세표[반영월],대상월키,상세표[반영 기관],"서울병원"))</f>
        <v/>
      </c>
      <c r="O302" s="20">
        <f>IF($X302="","",SUMIFS(상세표[07~18시],상세표[사번키],INDEX(합계표[사번키],$X302),상세표[반영월],대상월키,상세표[반영 기관],"서울병원"))</f>
        <v/>
      </c>
      <c r="P302" s="20">
        <f>IF($X302="","",SUMIFS(상세표[18~22시],상세표[사번키],INDEX(합계표[사번키],$X302),상세표[반영월],대상월키,상세표[반영 기관],"서울병원"))</f>
        <v/>
      </c>
      <c r="Q302" s="20">
        <f>IF($X302="","",SUMIFS(상세표[22~06시],상세표[사번키],INDEX(합계표[사번키],$X302),상세표[반영월],대상월키,상세표[반영 기관],"서울병원"))</f>
        <v/>
      </c>
      <c r="R302" s="20">
        <f>IF($X302="","",SUM($N302:$Q302))</f>
        <v/>
      </c>
      <c r="S302">
        <f>IF($X302="","",COUNTIFS(상세표[사번키],INDEX(합계표[사번키],$X302),상세표[반영월],대상월키,상세표[야간당직],1,상세표[야간 구분],"평일"))</f>
        <v/>
      </c>
      <c r="T302">
        <f>IF($X302="","",COUNTIFS(상세표[사번키],INDEX(합계표[사번키],$X302),상세표[반영월],대상월키,상세표[야간당직],1,상세표[야간 구분],"휴일"))</f>
        <v/>
      </c>
      <c r="U302">
        <f>IF($X302="","",COUNTIFS(상세표[사번키],INDEX(합계표[사번키],$X302),상세표[반영월],대상월키,상세표[야간당직],1,상세표[야간 구분],"평일",상세표[반영 기관],"서울병원"))</f>
        <v/>
      </c>
      <c r="V302">
        <f>IF($X302="","",COUNTIFS(상세표[사번키],INDEX(합계표[사번키],$X302),상세표[반영월],대상월키,상세표[야간당직],1,상세표[야간 구분],"휴일",상세표[반영 기관],"서울병원"))</f>
        <v/>
      </c>
      <c r="W302">
        <f>IF($X302="","",IF(ISNUMBER(MATCH(INDEX(합계표[사번키],$X302)&amp;"|"&amp;대상월키,월별근무지표[키],0)),"직접 입력",IF($L302="—","—","기관명단")))</f>
        <v/>
      </c>
      <c r="X302" s="4">
        <f>IFERROR(MATCH(297,합계표[판정순번],0),"")</f>
        <v/>
      </c>
      <c r="Z302">
        <f>IF($AC302="","",INDEX(상세표[사번],$AC302)&amp;"")</f>
        <v/>
      </c>
      <c r="AA302">
        <f>IF($AC302="","",INDEX(상세표[성명],$AC302)&amp;"")</f>
        <v/>
      </c>
      <c r="AB302" s="20">
        <f>IF($AC302="","",SUMIFS(상세표[기록 시간외],상세표[사번키],INDEX(상세표[사번키],$AC302),상세표[반영월],대상월키))</f>
        <v/>
      </c>
      <c r="AC302" s="4">
        <f>IFERROR(MATCH(297,상세표[합계없음순번],0),"")</f>
        <v/>
      </c>
    </row>
    <row r="303">
      <c r="A303">
        <f>IF($X303="","",INDEX(합계표[사번],$X303)&amp;"")</f>
        <v/>
      </c>
      <c r="B303">
        <f>IF($X303="","",INDEX(합계표[성명],$X303)&amp;"")</f>
        <v/>
      </c>
      <c r="C303">
        <f>IF($X303="","",INDEX(합계표[부서],$X303)&amp;"")</f>
        <v/>
      </c>
      <c r="D303">
        <f>IF($X303="","",INDEX(합계표[직위(요약)],$X303)&amp;"")</f>
        <v/>
      </c>
      <c r="E303">
        <f>IF($X303="","",INDEX(합계표[직급 공존],$X303)&amp;"")</f>
        <v/>
      </c>
      <c r="F303" s="20">
        <f>IF($X303="","",SUMIFS(합계표[시스템 합계],합계표[사번키],INDEX(합계표[사번키],$X303)))</f>
        <v/>
      </c>
      <c r="G303" s="20">
        <f>IF($X303="","",SUMIFS(상세표[기록 시간외],상세표[사번키],INDEX(합계표[사번키],$X303),상세표[기록월],대상월키))</f>
        <v/>
      </c>
      <c r="H303">
        <f>IF($X303="","",IF(ABS($F303-$G303)&lt;0.01,"일치","불일치(차이 "&amp;TEXT($G303-$F303,"0.00")&amp;")"))</f>
        <v/>
      </c>
      <c r="I303" s="20">
        <f>IF($X303="","",SUMIFS(상세표[기록 시간외],상세표[사번키],INDEX(합계표[사번키],$X303),상세표[기록월],대상월키,상세표[반영월],"&lt;&gt;"&amp;대상월키))</f>
        <v/>
      </c>
      <c r="J303" s="20">
        <f>IF($X303="","",SUMIFS(상세표[기록 시간외],상세표[사번키],INDEX(합계표[사번키],$X303),상세표[기록월],"&lt;&gt;"&amp;대상월키,상세표[반영월],대상월키))</f>
        <v/>
      </c>
      <c r="K303" s="20">
        <f>IF($X303="","",SUMIFS(상세표[기록 시간외],상세표[사번키],INDEX(합계표[사번키],$X303),상세표[반영월],대상월키))</f>
        <v/>
      </c>
      <c r="L303">
        <f>IF($X303="","",IFERROR(INDEX(월별근무지표[적용 급여병원],MATCH(INDEX(합계표[사번키],$X303)&amp;"|"&amp;대상월키,월별근무지표[키],0))&amp;"",IF(COUNTIF(기관표[사번키],INDEX(합계표[사번키],$X303))+COUNTIF(월별근무지표[사번키],INDEX(합계표[사번키],$X303))&gt;0,IFERROR(INDEX(기관표[급여지급병원(기준월)],MATCH(INDEX(합계표[사번키],$X303)&amp;"|"&amp;대상월키,기관표[키],0))&amp;"","—"),"—")))</f>
        <v/>
      </c>
      <c r="M303">
        <f>IF($X303="","",IF(NOT(COUNTIF(기관표[사번키],INDEX(합계표[사번키],$X303))+COUNTIF(월별근무지표[사번키],INDEX(합계표[사번키],$X303))&gt;0),"기관명단에 없음(다른 병원으로 발송)",IF($L303="서울병원","해당",IF(N($R303)&gt;0,"해당(말일 근무)",IF($L303="—","대상월 기관명단 없음(추가 필요)","비해당")))))</f>
        <v/>
      </c>
      <c r="N303" s="20">
        <f>IF($X303="","",SUMIFS(상세표[06~07시],상세표[사번키],INDEX(합계표[사번키],$X303),상세표[반영월],대상월키,상세표[반영 기관],"서울병원"))</f>
        <v/>
      </c>
      <c r="O303" s="20">
        <f>IF($X303="","",SUMIFS(상세표[07~18시],상세표[사번키],INDEX(합계표[사번키],$X303),상세표[반영월],대상월키,상세표[반영 기관],"서울병원"))</f>
        <v/>
      </c>
      <c r="P303" s="20">
        <f>IF($X303="","",SUMIFS(상세표[18~22시],상세표[사번키],INDEX(합계표[사번키],$X303),상세표[반영월],대상월키,상세표[반영 기관],"서울병원"))</f>
        <v/>
      </c>
      <c r="Q303" s="20">
        <f>IF($X303="","",SUMIFS(상세표[22~06시],상세표[사번키],INDEX(합계표[사번키],$X303),상세표[반영월],대상월키,상세표[반영 기관],"서울병원"))</f>
        <v/>
      </c>
      <c r="R303" s="20">
        <f>IF($X303="","",SUM($N303:$Q303))</f>
        <v/>
      </c>
      <c r="S303">
        <f>IF($X303="","",COUNTIFS(상세표[사번키],INDEX(합계표[사번키],$X303),상세표[반영월],대상월키,상세표[야간당직],1,상세표[야간 구분],"평일"))</f>
        <v/>
      </c>
      <c r="T303">
        <f>IF($X303="","",COUNTIFS(상세표[사번키],INDEX(합계표[사번키],$X303),상세표[반영월],대상월키,상세표[야간당직],1,상세표[야간 구분],"휴일"))</f>
        <v/>
      </c>
      <c r="U303">
        <f>IF($X303="","",COUNTIFS(상세표[사번키],INDEX(합계표[사번키],$X303),상세표[반영월],대상월키,상세표[야간당직],1,상세표[야간 구분],"평일",상세표[반영 기관],"서울병원"))</f>
        <v/>
      </c>
      <c r="V303">
        <f>IF($X303="","",COUNTIFS(상세표[사번키],INDEX(합계표[사번키],$X303),상세표[반영월],대상월키,상세표[야간당직],1,상세표[야간 구분],"휴일",상세표[반영 기관],"서울병원"))</f>
        <v/>
      </c>
      <c r="W303">
        <f>IF($X303="","",IF(ISNUMBER(MATCH(INDEX(합계표[사번키],$X303)&amp;"|"&amp;대상월키,월별근무지표[키],0)),"직접 입력",IF($L303="—","—","기관명단")))</f>
        <v/>
      </c>
      <c r="X303" s="4">
        <f>IFERROR(MATCH(298,합계표[판정순번],0),"")</f>
        <v/>
      </c>
      <c r="Z303">
        <f>IF($AC303="","",INDEX(상세표[사번],$AC303)&amp;"")</f>
        <v/>
      </c>
      <c r="AA303">
        <f>IF($AC303="","",INDEX(상세표[성명],$AC303)&amp;"")</f>
        <v/>
      </c>
      <c r="AB303" s="20">
        <f>IF($AC303="","",SUMIFS(상세표[기록 시간외],상세표[사번키],INDEX(상세표[사번키],$AC303),상세표[반영월],대상월키))</f>
        <v/>
      </c>
      <c r="AC303" s="4">
        <f>IFERROR(MATCH(298,상세표[합계없음순번],0),"")</f>
        <v/>
      </c>
    </row>
    <row r="304">
      <c r="A304">
        <f>IF($X304="","",INDEX(합계표[사번],$X304)&amp;"")</f>
        <v/>
      </c>
      <c r="B304">
        <f>IF($X304="","",INDEX(합계표[성명],$X304)&amp;"")</f>
        <v/>
      </c>
      <c r="C304">
        <f>IF($X304="","",INDEX(합계표[부서],$X304)&amp;"")</f>
        <v/>
      </c>
      <c r="D304">
        <f>IF($X304="","",INDEX(합계표[직위(요약)],$X304)&amp;"")</f>
        <v/>
      </c>
      <c r="E304">
        <f>IF($X304="","",INDEX(합계표[직급 공존],$X304)&amp;"")</f>
        <v/>
      </c>
      <c r="F304" s="20">
        <f>IF($X304="","",SUMIFS(합계표[시스템 합계],합계표[사번키],INDEX(합계표[사번키],$X304)))</f>
        <v/>
      </c>
      <c r="G304" s="20">
        <f>IF($X304="","",SUMIFS(상세표[기록 시간외],상세표[사번키],INDEX(합계표[사번키],$X304),상세표[기록월],대상월키))</f>
        <v/>
      </c>
      <c r="H304">
        <f>IF($X304="","",IF(ABS($F304-$G304)&lt;0.01,"일치","불일치(차이 "&amp;TEXT($G304-$F304,"0.00")&amp;")"))</f>
        <v/>
      </c>
      <c r="I304" s="20">
        <f>IF($X304="","",SUMIFS(상세표[기록 시간외],상세표[사번키],INDEX(합계표[사번키],$X304),상세표[기록월],대상월키,상세표[반영월],"&lt;&gt;"&amp;대상월키))</f>
        <v/>
      </c>
      <c r="J304" s="20">
        <f>IF($X304="","",SUMIFS(상세표[기록 시간외],상세표[사번키],INDEX(합계표[사번키],$X304),상세표[기록월],"&lt;&gt;"&amp;대상월키,상세표[반영월],대상월키))</f>
        <v/>
      </c>
      <c r="K304" s="20">
        <f>IF($X304="","",SUMIFS(상세표[기록 시간외],상세표[사번키],INDEX(합계표[사번키],$X304),상세표[반영월],대상월키))</f>
        <v/>
      </c>
      <c r="L304">
        <f>IF($X304="","",IFERROR(INDEX(월별근무지표[적용 급여병원],MATCH(INDEX(합계표[사번키],$X304)&amp;"|"&amp;대상월키,월별근무지표[키],0))&amp;"",IF(COUNTIF(기관표[사번키],INDEX(합계표[사번키],$X304))+COUNTIF(월별근무지표[사번키],INDEX(합계표[사번키],$X304))&gt;0,IFERROR(INDEX(기관표[급여지급병원(기준월)],MATCH(INDEX(합계표[사번키],$X304)&amp;"|"&amp;대상월키,기관표[키],0))&amp;"","—"),"—")))</f>
        <v/>
      </c>
      <c r="M304">
        <f>IF($X304="","",IF(NOT(COUNTIF(기관표[사번키],INDEX(합계표[사번키],$X304))+COUNTIF(월별근무지표[사번키],INDEX(합계표[사번키],$X304))&gt;0),"기관명단에 없음(다른 병원으로 발송)",IF($L304="서울병원","해당",IF(N($R304)&gt;0,"해당(말일 근무)",IF($L304="—","대상월 기관명단 없음(추가 필요)","비해당")))))</f>
        <v/>
      </c>
      <c r="N304" s="20">
        <f>IF($X304="","",SUMIFS(상세표[06~07시],상세표[사번키],INDEX(합계표[사번키],$X304),상세표[반영월],대상월키,상세표[반영 기관],"서울병원"))</f>
        <v/>
      </c>
      <c r="O304" s="20">
        <f>IF($X304="","",SUMIFS(상세표[07~18시],상세표[사번키],INDEX(합계표[사번키],$X304),상세표[반영월],대상월키,상세표[반영 기관],"서울병원"))</f>
        <v/>
      </c>
      <c r="P304" s="20">
        <f>IF($X304="","",SUMIFS(상세표[18~22시],상세표[사번키],INDEX(합계표[사번키],$X304),상세표[반영월],대상월키,상세표[반영 기관],"서울병원"))</f>
        <v/>
      </c>
      <c r="Q304" s="20">
        <f>IF($X304="","",SUMIFS(상세표[22~06시],상세표[사번키],INDEX(합계표[사번키],$X304),상세표[반영월],대상월키,상세표[반영 기관],"서울병원"))</f>
        <v/>
      </c>
      <c r="R304" s="20">
        <f>IF($X304="","",SUM($N304:$Q304))</f>
        <v/>
      </c>
      <c r="S304">
        <f>IF($X304="","",COUNTIFS(상세표[사번키],INDEX(합계표[사번키],$X304),상세표[반영월],대상월키,상세표[야간당직],1,상세표[야간 구분],"평일"))</f>
        <v/>
      </c>
      <c r="T304">
        <f>IF($X304="","",COUNTIFS(상세표[사번키],INDEX(합계표[사번키],$X304),상세표[반영월],대상월키,상세표[야간당직],1,상세표[야간 구분],"휴일"))</f>
        <v/>
      </c>
      <c r="U304">
        <f>IF($X304="","",COUNTIFS(상세표[사번키],INDEX(합계표[사번키],$X304),상세표[반영월],대상월키,상세표[야간당직],1,상세표[야간 구분],"평일",상세표[반영 기관],"서울병원"))</f>
        <v/>
      </c>
      <c r="V304">
        <f>IF($X304="","",COUNTIFS(상세표[사번키],INDEX(합계표[사번키],$X304),상세표[반영월],대상월키,상세표[야간당직],1,상세표[야간 구분],"휴일",상세표[반영 기관],"서울병원"))</f>
        <v/>
      </c>
      <c r="W304">
        <f>IF($X304="","",IF(ISNUMBER(MATCH(INDEX(합계표[사번키],$X304)&amp;"|"&amp;대상월키,월별근무지표[키],0)),"직접 입력",IF($L304="—","—","기관명단")))</f>
        <v/>
      </c>
      <c r="X304" s="4">
        <f>IFERROR(MATCH(299,합계표[판정순번],0),"")</f>
        <v/>
      </c>
      <c r="Z304">
        <f>IF($AC304="","",INDEX(상세표[사번],$AC304)&amp;"")</f>
        <v/>
      </c>
      <c r="AA304">
        <f>IF($AC304="","",INDEX(상세표[성명],$AC304)&amp;"")</f>
        <v/>
      </c>
      <c r="AB304" s="20">
        <f>IF($AC304="","",SUMIFS(상세표[기록 시간외],상세표[사번키],INDEX(상세표[사번키],$AC304),상세표[반영월],대상월키))</f>
        <v/>
      </c>
      <c r="AC304" s="4">
        <f>IFERROR(MATCH(299,상세표[합계없음순번],0),"")</f>
        <v/>
      </c>
    </row>
    <row r="305">
      <c r="A305">
        <f>IF($X305="","",INDEX(합계표[사번],$X305)&amp;"")</f>
        <v/>
      </c>
      <c r="B305">
        <f>IF($X305="","",INDEX(합계표[성명],$X305)&amp;"")</f>
        <v/>
      </c>
      <c r="C305">
        <f>IF($X305="","",INDEX(합계표[부서],$X305)&amp;"")</f>
        <v/>
      </c>
      <c r="D305">
        <f>IF($X305="","",INDEX(합계표[직위(요약)],$X305)&amp;"")</f>
        <v/>
      </c>
      <c r="E305">
        <f>IF($X305="","",INDEX(합계표[직급 공존],$X305)&amp;"")</f>
        <v/>
      </c>
      <c r="F305" s="20">
        <f>IF($X305="","",SUMIFS(합계표[시스템 합계],합계표[사번키],INDEX(합계표[사번키],$X305)))</f>
        <v/>
      </c>
      <c r="G305" s="20">
        <f>IF($X305="","",SUMIFS(상세표[기록 시간외],상세표[사번키],INDEX(합계표[사번키],$X305),상세표[기록월],대상월키))</f>
        <v/>
      </c>
      <c r="H305">
        <f>IF($X305="","",IF(ABS($F305-$G305)&lt;0.01,"일치","불일치(차이 "&amp;TEXT($G305-$F305,"0.00")&amp;")"))</f>
        <v/>
      </c>
      <c r="I305" s="20">
        <f>IF($X305="","",SUMIFS(상세표[기록 시간외],상세표[사번키],INDEX(합계표[사번키],$X305),상세표[기록월],대상월키,상세표[반영월],"&lt;&gt;"&amp;대상월키))</f>
        <v/>
      </c>
      <c r="J305" s="20">
        <f>IF($X305="","",SUMIFS(상세표[기록 시간외],상세표[사번키],INDEX(합계표[사번키],$X305),상세표[기록월],"&lt;&gt;"&amp;대상월키,상세표[반영월],대상월키))</f>
        <v/>
      </c>
      <c r="K305" s="20">
        <f>IF($X305="","",SUMIFS(상세표[기록 시간외],상세표[사번키],INDEX(합계표[사번키],$X305),상세표[반영월],대상월키))</f>
        <v/>
      </c>
      <c r="L305">
        <f>IF($X305="","",IFERROR(INDEX(월별근무지표[적용 급여병원],MATCH(INDEX(합계표[사번키],$X305)&amp;"|"&amp;대상월키,월별근무지표[키],0))&amp;"",IF(COUNTIF(기관표[사번키],INDEX(합계표[사번키],$X305))+COUNTIF(월별근무지표[사번키],INDEX(합계표[사번키],$X305))&gt;0,IFERROR(INDEX(기관표[급여지급병원(기준월)],MATCH(INDEX(합계표[사번키],$X305)&amp;"|"&amp;대상월키,기관표[키],0))&amp;"","—"),"—")))</f>
        <v/>
      </c>
      <c r="M305">
        <f>IF($X305="","",IF(NOT(COUNTIF(기관표[사번키],INDEX(합계표[사번키],$X305))+COUNTIF(월별근무지표[사번키],INDEX(합계표[사번키],$X305))&gt;0),"기관명단에 없음(다른 병원으로 발송)",IF($L305="서울병원","해당",IF(N($R305)&gt;0,"해당(말일 근무)",IF($L305="—","대상월 기관명단 없음(추가 필요)","비해당")))))</f>
        <v/>
      </c>
      <c r="N305" s="20">
        <f>IF($X305="","",SUMIFS(상세표[06~07시],상세표[사번키],INDEX(합계표[사번키],$X305),상세표[반영월],대상월키,상세표[반영 기관],"서울병원"))</f>
        <v/>
      </c>
      <c r="O305" s="20">
        <f>IF($X305="","",SUMIFS(상세표[07~18시],상세표[사번키],INDEX(합계표[사번키],$X305),상세표[반영월],대상월키,상세표[반영 기관],"서울병원"))</f>
        <v/>
      </c>
      <c r="P305" s="20">
        <f>IF($X305="","",SUMIFS(상세표[18~22시],상세표[사번키],INDEX(합계표[사번키],$X305),상세표[반영월],대상월키,상세표[반영 기관],"서울병원"))</f>
        <v/>
      </c>
      <c r="Q305" s="20">
        <f>IF($X305="","",SUMIFS(상세표[22~06시],상세표[사번키],INDEX(합계표[사번키],$X305),상세표[반영월],대상월키,상세표[반영 기관],"서울병원"))</f>
        <v/>
      </c>
      <c r="R305" s="20">
        <f>IF($X305="","",SUM($N305:$Q305))</f>
        <v/>
      </c>
      <c r="S305">
        <f>IF($X305="","",COUNTIFS(상세표[사번키],INDEX(합계표[사번키],$X305),상세표[반영월],대상월키,상세표[야간당직],1,상세표[야간 구분],"평일"))</f>
        <v/>
      </c>
      <c r="T305">
        <f>IF($X305="","",COUNTIFS(상세표[사번키],INDEX(합계표[사번키],$X305),상세표[반영월],대상월키,상세표[야간당직],1,상세표[야간 구분],"휴일"))</f>
        <v/>
      </c>
      <c r="U305">
        <f>IF($X305="","",COUNTIFS(상세표[사번키],INDEX(합계표[사번키],$X305),상세표[반영월],대상월키,상세표[야간당직],1,상세표[야간 구분],"평일",상세표[반영 기관],"서울병원"))</f>
        <v/>
      </c>
      <c r="V305">
        <f>IF($X305="","",COUNTIFS(상세표[사번키],INDEX(합계표[사번키],$X305),상세표[반영월],대상월키,상세표[야간당직],1,상세표[야간 구분],"휴일",상세표[반영 기관],"서울병원"))</f>
        <v/>
      </c>
      <c r="W305">
        <f>IF($X305="","",IF(ISNUMBER(MATCH(INDEX(합계표[사번키],$X305)&amp;"|"&amp;대상월키,월별근무지표[키],0)),"직접 입력",IF($L305="—","—","기관명단")))</f>
        <v/>
      </c>
      <c r="X305" s="4">
        <f>IFERROR(MATCH(300,합계표[판정순번],0),"")</f>
        <v/>
      </c>
      <c r="Z305">
        <f>IF($AC305="","",INDEX(상세표[사번],$AC305)&amp;"")</f>
        <v/>
      </c>
      <c r="AA305">
        <f>IF($AC305="","",INDEX(상세표[성명],$AC305)&amp;"")</f>
        <v/>
      </c>
      <c r="AB305" s="20">
        <f>IF($AC305="","",SUMIFS(상세표[기록 시간외],상세표[사번키],INDEX(상세표[사번키],$AC305),상세표[반영월],대상월키))</f>
        <v/>
      </c>
      <c r="AC305" s="4">
        <f>IFERROR(MATCH(300,상세표[합계없음순번],0),"")</f>
        <v/>
      </c>
    </row>
    <row r="306">
      <c r="A306">
        <f>IF($X306="","",INDEX(합계표[사번],$X306)&amp;"")</f>
        <v/>
      </c>
      <c r="B306">
        <f>IF($X306="","",INDEX(합계표[성명],$X306)&amp;"")</f>
        <v/>
      </c>
      <c r="C306">
        <f>IF($X306="","",INDEX(합계표[부서],$X306)&amp;"")</f>
        <v/>
      </c>
      <c r="D306">
        <f>IF($X306="","",INDEX(합계표[직위(요약)],$X306)&amp;"")</f>
        <v/>
      </c>
      <c r="E306">
        <f>IF($X306="","",INDEX(합계표[직급 공존],$X306)&amp;"")</f>
        <v/>
      </c>
      <c r="F306" s="20">
        <f>IF($X306="","",SUMIFS(합계표[시스템 합계],합계표[사번키],INDEX(합계표[사번키],$X306)))</f>
        <v/>
      </c>
      <c r="G306" s="20">
        <f>IF($X306="","",SUMIFS(상세표[기록 시간외],상세표[사번키],INDEX(합계표[사번키],$X306),상세표[기록월],대상월키))</f>
        <v/>
      </c>
      <c r="H306">
        <f>IF($X306="","",IF(ABS($F306-$G306)&lt;0.01,"일치","불일치(차이 "&amp;TEXT($G306-$F306,"0.00")&amp;")"))</f>
        <v/>
      </c>
      <c r="I306" s="20">
        <f>IF($X306="","",SUMIFS(상세표[기록 시간외],상세표[사번키],INDEX(합계표[사번키],$X306),상세표[기록월],대상월키,상세표[반영월],"&lt;&gt;"&amp;대상월키))</f>
        <v/>
      </c>
      <c r="J306" s="20">
        <f>IF($X306="","",SUMIFS(상세표[기록 시간외],상세표[사번키],INDEX(합계표[사번키],$X306),상세표[기록월],"&lt;&gt;"&amp;대상월키,상세표[반영월],대상월키))</f>
        <v/>
      </c>
      <c r="K306" s="20">
        <f>IF($X306="","",SUMIFS(상세표[기록 시간외],상세표[사번키],INDEX(합계표[사번키],$X306),상세표[반영월],대상월키))</f>
        <v/>
      </c>
      <c r="L306">
        <f>IF($X306="","",IFERROR(INDEX(월별근무지표[적용 급여병원],MATCH(INDEX(합계표[사번키],$X306)&amp;"|"&amp;대상월키,월별근무지표[키],0))&amp;"",IF(COUNTIF(기관표[사번키],INDEX(합계표[사번키],$X306))+COUNTIF(월별근무지표[사번키],INDEX(합계표[사번키],$X306))&gt;0,IFERROR(INDEX(기관표[급여지급병원(기준월)],MATCH(INDEX(합계표[사번키],$X306)&amp;"|"&amp;대상월키,기관표[키],0))&amp;"","—"),"—")))</f>
        <v/>
      </c>
      <c r="M306">
        <f>IF($X306="","",IF(NOT(COUNTIF(기관표[사번키],INDEX(합계표[사번키],$X306))+COUNTIF(월별근무지표[사번키],INDEX(합계표[사번키],$X306))&gt;0),"기관명단에 없음(다른 병원으로 발송)",IF($L306="서울병원","해당",IF(N($R306)&gt;0,"해당(말일 근무)",IF($L306="—","대상월 기관명단 없음(추가 필요)","비해당")))))</f>
        <v/>
      </c>
      <c r="N306" s="20">
        <f>IF($X306="","",SUMIFS(상세표[06~07시],상세표[사번키],INDEX(합계표[사번키],$X306),상세표[반영월],대상월키,상세표[반영 기관],"서울병원"))</f>
        <v/>
      </c>
      <c r="O306" s="20">
        <f>IF($X306="","",SUMIFS(상세표[07~18시],상세표[사번키],INDEX(합계표[사번키],$X306),상세표[반영월],대상월키,상세표[반영 기관],"서울병원"))</f>
        <v/>
      </c>
      <c r="P306" s="20">
        <f>IF($X306="","",SUMIFS(상세표[18~22시],상세표[사번키],INDEX(합계표[사번키],$X306),상세표[반영월],대상월키,상세표[반영 기관],"서울병원"))</f>
        <v/>
      </c>
      <c r="Q306" s="20">
        <f>IF($X306="","",SUMIFS(상세표[22~06시],상세표[사번키],INDEX(합계표[사번키],$X306),상세표[반영월],대상월키,상세표[반영 기관],"서울병원"))</f>
        <v/>
      </c>
      <c r="R306" s="20">
        <f>IF($X306="","",SUM($N306:$Q306))</f>
        <v/>
      </c>
      <c r="S306">
        <f>IF($X306="","",COUNTIFS(상세표[사번키],INDEX(합계표[사번키],$X306),상세표[반영월],대상월키,상세표[야간당직],1,상세표[야간 구분],"평일"))</f>
        <v/>
      </c>
      <c r="T306">
        <f>IF($X306="","",COUNTIFS(상세표[사번키],INDEX(합계표[사번키],$X306),상세표[반영월],대상월키,상세표[야간당직],1,상세표[야간 구분],"휴일"))</f>
        <v/>
      </c>
      <c r="U306">
        <f>IF($X306="","",COUNTIFS(상세표[사번키],INDEX(합계표[사번키],$X306),상세표[반영월],대상월키,상세표[야간당직],1,상세표[야간 구분],"평일",상세표[반영 기관],"서울병원"))</f>
        <v/>
      </c>
      <c r="V306">
        <f>IF($X306="","",COUNTIFS(상세표[사번키],INDEX(합계표[사번키],$X306),상세표[반영월],대상월키,상세표[야간당직],1,상세표[야간 구분],"휴일",상세표[반영 기관],"서울병원"))</f>
        <v/>
      </c>
      <c r="W306">
        <f>IF($X306="","",IF(ISNUMBER(MATCH(INDEX(합계표[사번키],$X306)&amp;"|"&amp;대상월키,월별근무지표[키],0)),"직접 입력",IF($L306="—","—","기관명단")))</f>
        <v/>
      </c>
      <c r="X306" s="4">
        <f>IFERROR(MATCH(301,합계표[판정순번],0),"")</f>
        <v/>
      </c>
    </row>
    <row r="307">
      <c r="A307">
        <f>IF($X307="","",INDEX(합계표[사번],$X307)&amp;"")</f>
        <v/>
      </c>
      <c r="B307">
        <f>IF($X307="","",INDEX(합계표[성명],$X307)&amp;"")</f>
        <v/>
      </c>
      <c r="C307">
        <f>IF($X307="","",INDEX(합계표[부서],$X307)&amp;"")</f>
        <v/>
      </c>
      <c r="D307">
        <f>IF($X307="","",INDEX(합계표[직위(요약)],$X307)&amp;"")</f>
        <v/>
      </c>
      <c r="E307">
        <f>IF($X307="","",INDEX(합계표[직급 공존],$X307)&amp;"")</f>
        <v/>
      </c>
      <c r="F307" s="20">
        <f>IF($X307="","",SUMIFS(합계표[시스템 합계],합계표[사번키],INDEX(합계표[사번키],$X307)))</f>
        <v/>
      </c>
      <c r="G307" s="20">
        <f>IF($X307="","",SUMIFS(상세표[기록 시간외],상세표[사번키],INDEX(합계표[사번키],$X307),상세표[기록월],대상월키))</f>
        <v/>
      </c>
      <c r="H307">
        <f>IF($X307="","",IF(ABS($F307-$G307)&lt;0.01,"일치","불일치(차이 "&amp;TEXT($G307-$F307,"0.00")&amp;")"))</f>
        <v/>
      </c>
      <c r="I307" s="20">
        <f>IF($X307="","",SUMIFS(상세표[기록 시간외],상세표[사번키],INDEX(합계표[사번키],$X307),상세표[기록월],대상월키,상세표[반영월],"&lt;&gt;"&amp;대상월키))</f>
        <v/>
      </c>
      <c r="J307" s="20">
        <f>IF($X307="","",SUMIFS(상세표[기록 시간외],상세표[사번키],INDEX(합계표[사번키],$X307),상세표[기록월],"&lt;&gt;"&amp;대상월키,상세표[반영월],대상월키))</f>
        <v/>
      </c>
      <c r="K307" s="20">
        <f>IF($X307="","",SUMIFS(상세표[기록 시간외],상세표[사번키],INDEX(합계표[사번키],$X307),상세표[반영월],대상월키))</f>
        <v/>
      </c>
      <c r="L307">
        <f>IF($X307="","",IFERROR(INDEX(월별근무지표[적용 급여병원],MATCH(INDEX(합계표[사번키],$X307)&amp;"|"&amp;대상월키,월별근무지표[키],0))&amp;"",IF(COUNTIF(기관표[사번키],INDEX(합계표[사번키],$X307))+COUNTIF(월별근무지표[사번키],INDEX(합계표[사번키],$X307))&gt;0,IFERROR(INDEX(기관표[급여지급병원(기준월)],MATCH(INDEX(합계표[사번키],$X307)&amp;"|"&amp;대상월키,기관표[키],0))&amp;"","—"),"—")))</f>
        <v/>
      </c>
      <c r="M307">
        <f>IF($X307="","",IF(NOT(COUNTIF(기관표[사번키],INDEX(합계표[사번키],$X307))+COUNTIF(월별근무지표[사번키],INDEX(합계표[사번키],$X307))&gt;0),"기관명단에 없음(다른 병원으로 발송)",IF($L307="서울병원","해당",IF(N($R307)&gt;0,"해당(말일 근무)",IF($L307="—","대상월 기관명단 없음(추가 필요)","비해당")))))</f>
        <v/>
      </c>
      <c r="N307" s="20">
        <f>IF($X307="","",SUMIFS(상세표[06~07시],상세표[사번키],INDEX(합계표[사번키],$X307),상세표[반영월],대상월키,상세표[반영 기관],"서울병원"))</f>
        <v/>
      </c>
      <c r="O307" s="20">
        <f>IF($X307="","",SUMIFS(상세표[07~18시],상세표[사번키],INDEX(합계표[사번키],$X307),상세표[반영월],대상월키,상세표[반영 기관],"서울병원"))</f>
        <v/>
      </c>
      <c r="P307" s="20">
        <f>IF($X307="","",SUMIFS(상세표[18~22시],상세표[사번키],INDEX(합계표[사번키],$X307),상세표[반영월],대상월키,상세표[반영 기관],"서울병원"))</f>
        <v/>
      </c>
      <c r="Q307" s="20">
        <f>IF($X307="","",SUMIFS(상세표[22~06시],상세표[사번키],INDEX(합계표[사번키],$X307),상세표[반영월],대상월키,상세표[반영 기관],"서울병원"))</f>
        <v/>
      </c>
      <c r="R307" s="20">
        <f>IF($X307="","",SUM($N307:$Q307))</f>
        <v/>
      </c>
      <c r="S307">
        <f>IF($X307="","",COUNTIFS(상세표[사번키],INDEX(합계표[사번키],$X307),상세표[반영월],대상월키,상세표[야간당직],1,상세표[야간 구분],"평일"))</f>
        <v/>
      </c>
      <c r="T307">
        <f>IF($X307="","",COUNTIFS(상세표[사번키],INDEX(합계표[사번키],$X307),상세표[반영월],대상월키,상세표[야간당직],1,상세표[야간 구분],"휴일"))</f>
        <v/>
      </c>
      <c r="U307">
        <f>IF($X307="","",COUNTIFS(상세표[사번키],INDEX(합계표[사번키],$X307),상세표[반영월],대상월키,상세표[야간당직],1,상세표[야간 구분],"평일",상세표[반영 기관],"서울병원"))</f>
        <v/>
      </c>
      <c r="V307">
        <f>IF($X307="","",COUNTIFS(상세표[사번키],INDEX(합계표[사번키],$X307),상세표[반영월],대상월키,상세표[야간당직],1,상세표[야간 구분],"휴일",상세표[반영 기관],"서울병원"))</f>
        <v/>
      </c>
      <c r="W307">
        <f>IF($X307="","",IF(ISNUMBER(MATCH(INDEX(합계표[사번키],$X307)&amp;"|"&amp;대상월키,월별근무지표[키],0)),"직접 입력",IF($L307="—","—","기관명단")))</f>
        <v/>
      </c>
      <c r="X307" s="4">
        <f>IFERROR(MATCH(302,합계표[판정순번],0),"")</f>
        <v/>
      </c>
    </row>
    <row r="308">
      <c r="A308">
        <f>IF($X308="","",INDEX(합계표[사번],$X308)&amp;"")</f>
        <v/>
      </c>
      <c r="B308">
        <f>IF($X308="","",INDEX(합계표[성명],$X308)&amp;"")</f>
        <v/>
      </c>
      <c r="C308">
        <f>IF($X308="","",INDEX(합계표[부서],$X308)&amp;"")</f>
        <v/>
      </c>
      <c r="D308">
        <f>IF($X308="","",INDEX(합계표[직위(요약)],$X308)&amp;"")</f>
        <v/>
      </c>
      <c r="E308">
        <f>IF($X308="","",INDEX(합계표[직급 공존],$X308)&amp;"")</f>
        <v/>
      </c>
      <c r="F308" s="20">
        <f>IF($X308="","",SUMIFS(합계표[시스템 합계],합계표[사번키],INDEX(합계표[사번키],$X308)))</f>
        <v/>
      </c>
      <c r="G308" s="20">
        <f>IF($X308="","",SUMIFS(상세표[기록 시간외],상세표[사번키],INDEX(합계표[사번키],$X308),상세표[기록월],대상월키))</f>
        <v/>
      </c>
      <c r="H308">
        <f>IF($X308="","",IF(ABS($F308-$G308)&lt;0.01,"일치","불일치(차이 "&amp;TEXT($G308-$F308,"0.00")&amp;")"))</f>
        <v/>
      </c>
      <c r="I308" s="20">
        <f>IF($X308="","",SUMIFS(상세표[기록 시간외],상세표[사번키],INDEX(합계표[사번키],$X308),상세표[기록월],대상월키,상세표[반영월],"&lt;&gt;"&amp;대상월키))</f>
        <v/>
      </c>
      <c r="J308" s="20">
        <f>IF($X308="","",SUMIFS(상세표[기록 시간외],상세표[사번키],INDEX(합계표[사번키],$X308),상세표[기록월],"&lt;&gt;"&amp;대상월키,상세표[반영월],대상월키))</f>
        <v/>
      </c>
      <c r="K308" s="20">
        <f>IF($X308="","",SUMIFS(상세표[기록 시간외],상세표[사번키],INDEX(합계표[사번키],$X308),상세표[반영월],대상월키))</f>
        <v/>
      </c>
      <c r="L308">
        <f>IF($X308="","",IFERROR(INDEX(월별근무지표[적용 급여병원],MATCH(INDEX(합계표[사번키],$X308)&amp;"|"&amp;대상월키,월별근무지표[키],0))&amp;"",IF(COUNTIF(기관표[사번키],INDEX(합계표[사번키],$X308))+COUNTIF(월별근무지표[사번키],INDEX(합계표[사번키],$X308))&gt;0,IFERROR(INDEX(기관표[급여지급병원(기준월)],MATCH(INDEX(합계표[사번키],$X308)&amp;"|"&amp;대상월키,기관표[키],0))&amp;"","—"),"—")))</f>
        <v/>
      </c>
      <c r="M308">
        <f>IF($X308="","",IF(NOT(COUNTIF(기관표[사번키],INDEX(합계표[사번키],$X308))+COUNTIF(월별근무지표[사번키],INDEX(합계표[사번키],$X308))&gt;0),"기관명단에 없음(다른 병원으로 발송)",IF($L308="서울병원","해당",IF(N($R308)&gt;0,"해당(말일 근무)",IF($L308="—","대상월 기관명단 없음(추가 필요)","비해당")))))</f>
        <v/>
      </c>
      <c r="N308" s="20">
        <f>IF($X308="","",SUMIFS(상세표[06~07시],상세표[사번키],INDEX(합계표[사번키],$X308),상세표[반영월],대상월키,상세표[반영 기관],"서울병원"))</f>
        <v/>
      </c>
      <c r="O308" s="20">
        <f>IF($X308="","",SUMIFS(상세표[07~18시],상세표[사번키],INDEX(합계표[사번키],$X308),상세표[반영월],대상월키,상세표[반영 기관],"서울병원"))</f>
        <v/>
      </c>
      <c r="P308" s="20">
        <f>IF($X308="","",SUMIFS(상세표[18~22시],상세표[사번키],INDEX(합계표[사번키],$X308),상세표[반영월],대상월키,상세표[반영 기관],"서울병원"))</f>
        <v/>
      </c>
      <c r="Q308" s="20">
        <f>IF($X308="","",SUMIFS(상세표[22~06시],상세표[사번키],INDEX(합계표[사번키],$X308),상세표[반영월],대상월키,상세표[반영 기관],"서울병원"))</f>
        <v/>
      </c>
      <c r="R308" s="20">
        <f>IF($X308="","",SUM($N308:$Q308))</f>
        <v/>
      </c>
      <c r="S308">
        <f>IF($X308="","",COUNTIFS(상세표[사번키],INDEX(합계표[사번키],$X308),상세표[반영월],대상월키,상세표[야간당직],1,상세표[야간 구분],"평일"))</f>
        <v/>
      </c>
      <c r="T308">
        <f>IF($X308="","",COUNTIFS(상세표[사번키],INDEX(합계표[사번키],$X308),상세표[반영월],대상월키,상세표[야간당직],1,상세표[야간 구분],"휴일"))</f>
        <v/>
      </c>
      <c r="U308">
        <f>IF($X308="","",COUNTIFS(상세표[사번키],INDEX(합계표[사번키],$X308),상세표[반영월],대상월키,상세표[야간당직],1,상세표[야간 구분],"평일",상세표[반영 기관],"서울병원"))</f>
        <v/>
      </c>
      <c r="V308">
        <f>IF($X308="","",COUNTIFS(상세표[사번키],INDEX(합계표[사번키],$X308),상세표[반영월],대상월키,상세표[야간당직],1,상세표[야간 구분],"휴일",상세표[반영 기관],"서울병원"))</f>
        <v/>
      </c>
      <c r="W308">
        <f>IF($X308="","",IF(ISNUMBER(MATCH(INDEX(합계표[사번키],$X308)&amp;"|"&amp;대상월키,월별근무지표[키],0)),"직접 입력",IF($L308="—","—","기관명단")))</f>
        <v/>
      </c>
      <c r="X308" s="4">
        <f>IFERROR(MATCH(303,합계표[판정순번],0),"")</f>
        <v/>
      </c>
    </row>
    <row r="309">
      <c r="A309">
        <f>IF($X309="","",INDEX(합계표[사번],$X309)&amp;"")</f>
        <v/>
      </c>
      <c r="B309">
        <f>IF($X309="","",INDEX(합계표[성명],$X309)&amp;"")</f>
        <v/>
      </c>
      <c r="C309">
        <f>IF($X309="","",INDEX(합계표[부서],$X309)&amp;"")</f>
        <v/>
      </c>
      <c r="D309">
        <f>IF($X309="","",INDEX(합계표[직위(요약)],$X309)&amp;"")</f>
        <v/>
      </c>
      <c r="E309">
        <f>IF($X309="","",INDEX(합계표[직급 공존],$X309)&amp;"")</f>
        <v/>
      </c>
      <c r="F309" s="20">
        <f>IF($X309="","",SUMIFS(합계표[시스템 합계],합계표[사번키],INDEX(합계표[사번키],$X309)))</f>
        <v/>
      </c>
      <c r="G309" s="20">
        <f>IF($X309="","",SUMIFS(상세표[기록 시간외],상세표[사번키],INDEX(합계표[사번키],$X309),상세표[기록월],대상월키))</f>
        <v/>
      </c>
      <c r="H309">
        <f>IF($X309="","",IF(ABS($F309-$G309)&lt;0.01,"일치","불일치(차이 "&amp;TEXT($G309-$F309,"0.00")&amp;")"))</f>
        <v/>
      </c>
      <c r="I309" s="20">
        <f>IF($X309="","",SUMIFS(상세표[기록 시간외],상세표[사번키],INDEX(합계표[사번키],$X309),상세표[기록월],대상월키,상세표[반영월],"&lt;&gt;"&amp;대상월키))</f>
        <v/>
      </c>
      <c r="J309" s="20">
        <f>IF($X309="","",SUMIFS(상세표[기록 시간외],상세표[사번키],INDEX(합계표[사번키],$X309),상세표[기록월],"&lt;&gt;"&amp;대상월키,상세표[반영월],대상월키))</f>
        <v/>
      </c>
      <c r="K309" s="20">
        <f>IF($X309="","",SUMIFS(상세표[기록 시간외],상세표[사번키],INDEX(합계표[사번키],$X309),상세표[반영월],대상월키))</f>
        <v/>
      </c>
      <c r="L309">
        <f>IF($X309="","",IFERROR(INDEX(월별근무지표[적용 급여병원],MATCH(INDEX(합계표[사번키],$X309)&amp;"|"&amp;대상월키,월별근무지표[키],0))&amp;"",IF(COUNTIF(기관표[사번키],INDEX(합계표[사번키],$X309))+COUNTIF(월별근무지표[사번키],INDEX(합계표[사번키],$X309))&gt;0,IFERROR(INDEX(기관표[급여지급병원(기준월)],MATCH(INDEX(합계표[사번키],$X309)&amp;"|"&amp;대상월키,기관표[키],0))&amp;"","—"),"—")))</f>
        <v/>
      </c>
      <c r="M309">
        <f>IF($X309="","",IF(NOT(COUNTIF(기관표[사번키],INDEX(합계표[사번키],$X309))+COUNTIF(월별근무지표[사번키],INDEX(합계표[사번키],$X309))&gt;0),"기관명단에 없음(다른 병원으로 발송)",IF($L309="서울병원","해당",IF(N($R309)&gt;0,"해당(말일 근무)",IF($L309="—","대상월 기관명단 없음(추가 필요)","비해당")))))</f>
        <v/>
      </c>
      <c r="N309" s="20">
        <f>IF($X309="","",SUMIFS(상세표[06~07시],상세표[사번키],INDEX(합계표[사번키],$X309),상세표[반영월],대상월키,상세표[반영 기관],"서울병원"))</f>
        <v/>
      </c>
      <c r="O309" s="20">
        <f>IF($X309="","",SUMIFS(상세표[07~18시],상세표[사번키],INDEX(합계표[사번키],$X309),상세표[반영월],대상월키,상세표[반영 기관],"서울병원"))</f>
        <v/>
      </c>
      <c r="P309" s="20">
        <f>IF($X309="","",SUMIFS(상세표[18~22시],상세표[사번키],INDEX(합계표[사번키],$X309),상세표[반영월],대상월키,상세표[반영 기관],"서울병원"))</f>
        <v/>
      </c>
      <c r="Q309" s="20">
        <f>IF($X309="","",SUMIFS(상세표[22~06시],상세표[사번키],INDEX(합계표[사번키],$X309),상세표[반영월],대상월키,상세표[반영 기관],"서울병원"))</f>
        <v/>
      </c>
      <c r="R309" s="20">
        <f>IF($X309="","",SUM($N309:$Q309))</f>
        <v/>
      </c>
      <c r="S309">
        <f>IF($X309="","",COUNTIFS(상세표[사번키],INDEX(합계표[사번키],$X309),상세표[반영월],대상월키,상세표[야간당직],1,상세표[야간 구분],"평일"))</f>
        <v/>
      </c>
      <c r="T309">
        <f>IF($X309="","",COUNTIFS(상세표[사번키],INDEX(합계표[사번키],$X309),상세표[반영월],대상월키,상세표[야간당직],1,상세표[야간 구분],"휴일"))</f>
        <v/>
      </c>
      <c r="U309">
        <f>IF($X309="","",COUNTIFS(상세표[사번키],INDEX(합계표[사번키],$X309),상세표[반영월],대상월키,상세표[야간당직],1,상세표[야간 구분],"평일",상세표[반영 기관],"서울병원"))</f>
        <v/>
      </c>
      <c r="V309">
        <f>IF($X309="","",COUNTIFS(상세표[사번키],INDEX(합계표[사번키],$X309),상세표[반영월],대상월키,상세표[야간당직],1,상세표[야간 구분],"휴일",상세표[반영 기관],"서울병원"))</f>
        <v/>
      </c>
      <c r="W309">
        <f>IF($X309="","",IF(ISNUMBER(MATCH(INDEX(합계표[사번키],$X309)&amp;"|"&amp;대상월키,월별근무지표[키],0)),"직접 입력",IF($L309="—","—","기관명단")))</f>
        <v/>
      </c>
      <c r="X309" s="4">
        <f>IFERROR(MATCH(304,합계표[판정순번],0),"")</f>
        <v/>
      </c>
    </row>
    <row r="310">
      <c r="A310">
        <f>IF($X310="","",INDEX(합계표[사번],$X310)&amp;"")</f>
        <v/>
      </c>
      <c r="B310">
        <f>IF($X310="","",INDEX(합계표[성명],$X310)&amp;"")</f>
        <v/>
      </c>
      <c r="C310">
        <f>IF($X310="","",INDEX(합계표[부서],$X310)&amp;"")</f>
        <v/>
      </c>
      <c r="D310">
        <f>IF($X310="","",INDEX(합계표[직위(요약)],$X310)&amp;"")</f>
        <v/>
      </c>
      <c r="E310">
        <f>IF($X310="","",INDEX(합계표[직급 공존],$X310)&amp;"")</f>
        <v/>
      </c>
      <c r="F310" s="20">
        <f>IF($X310="","",SUMIFS(합계표[시스템 합계],합계표[사번키],INDEX(합계표[사번키],$X310)))</f>
        <v/>
      </c>
      <c r="G310" s="20">
        <f>IF($X310="","",SUMIFS(상세표[기록 시간외],상세표[사번키],INDEX(합계표[사번키],$X310),상세표[기록월],대상월키))</f>
        <v/>
      </c>
      <c r="H310">
        <f>IF($X310="","",IF(ABS($F310-$G310)&lt;0.01,"일치","불일치(차이 "&amp;TEXT($G310-$F310,"0.00")&amp;")"))</f>
        <v/>
      </c>
      <c r="I310" s="20">
        <f>IF($X310="","",SUMIFS(상세표[기록 시간외],상세표[사번키],INDEX(합계표[사번키],$X310),상세표[기록월],대상월키,상세표[반영월],"&lt;&gt;"&amp;대상월키))</f>
        <v/>
      </c>
      <c r="J310" s="20">
        <f>IF($X310="","",SUMIFS(상세표[기록 시간외],상세표[사번키],INDEX(합계표[사번키],$X310),상세표[기록월],"&lt;&gt;"&amp;대상월키,상세표[반영월],대상월키))</f>
        <v/>
      </c>
      <c r="K310" s="20">
        <f>IF($X310="","",SUMIFS(상세표[기록 시간외],상세표[사번키],INDEX(합계표[사번키],$X310),상세표[반영월],대상월키))</f>
        <v/>
      </c>
      <c r="L310">
        <f>IF($X310="","",IFERROR(INDEX(월별근무지표[적용 급여병원],MATCH(INDEX(합계표[사번키],$X310)&amp;"|"&amp;대상월키,월별근무지표[키],0))&amp;"",IF(COUNTIF(기관표[사번키],INDEX(합계표[사번키],$X310))+COUNTIF(월별근무지표[사번키],INDEX(합계표[사번키],$X310))&gt;0,IFERROR(INDEX(기관표[급여지급병원(기준월)],MATCH(INDEX(합계표[사번키],$X310)&amp;"|"&amp;대상월키,기관표[키],0))&amp;"","—"),"—")))</f>
        <v/>
      </c>
      <c r="M310">
        <f>IF($X310="","",IF(NOT(COUNTIF(기관표[사번키],INDEX(합계표[사번키],$X310))+COUNTIF(월별근무지표[사번키],INDEX(합계표[사번키],$X310))&gt;0),"기관명단에 없음(다른 병원으로 발송)",IF($L310="서울병원","해당",IF(N($R310)&gt;0,"해당(말일 근무)",IF($L310="—","대상월 기관명단 없음(추가 필요)","비해당")))))</f>
        <v/>
      </c>
      <c r="N310" s="20">
        <f>IF($X310="","",SUMIFS(상세표[06~07시],상세표[사번키],INDEX(합계표[사번키],$X310),상세표[반영월],대상월키,상세표[반영 기관],"서울병원"))</f>
        <v/>
      </c>
      <c r="O310" s="20">
        <f>IF($X310="","",SUMIFS(상세표[07~18시],상세표[사번키],INDEX(합계표[사번키],$X310),상세표[반영월],대상월키,상세표[반영 기관],"서울병원"))</f>
        <v/>
      </c>
      <c r="P310" s="20">
        <f>IF($X310="","",SUMIFS(상세표[18~22시],상세표[사번키],INDEX(합계표[사번키],$X310),상세표[반영월],대상월키,상세표[반영 기관],"서울병원"))</f>
        <v/>
      </c>
      <c r="Q310" s="20">
        <f>IF($X310="","",SUMIFS(상세표[22~06시],상세표[사번키],INDEX(합계표[사번키],$X310),상세표[반영월],대상월키,상세표[반영 기관],"서울병원"))</f>
        <v/>
      </c>
      <c r="R310" s="20">
        <f>IF($X310="","",SUM($N310:$Q310))</f>
        <v/>
      </c>
      <c r="S310">
        <f>IF($X310="","",COUNTIFS(상세표[사번키],INDEX(합계표[사번키],$X310),상세표[반영월],대상월키,상세표[야간당직],1,상세표[야간 구분],"평일"))</f>
        <v/>
      </c>
      <c r="T310">
        <f>IF($X310="","",COUNTIFS(상세표[사번키],INDEX(합계표[사번키],$X310),상세표[반영월],대상월키,상세표[야간당직],1,상세표[야간 구분],"휴일"))</f>
        <v/>
      </c>
      <c r="U310">
        <f>IF($X310="","",COUNTIFS(상세표[사번키],INDEX(합계표[사번키],$X310),상세표[반영월],대상월키,상세표[야간당직],1,상세표[야간 구분],"평일",상세표[반영 기관],"서울병원"))</f>
        <v/>
      </c>
      <c r="V310">
        <f>IF($X310="","",COUNTIFS(상세표[사번키],INDEX(합계표[사번키],$X310),상세표[반영월],대상월키,상세표[야간당직],1,상세표[야간 구분],"휴일",상세표[반영 기관],"서울병원"))</f>
        <v/>
      </c>
      <c r="W310">
        <f>IF($X310="","",IF(ISNUMBER(MATCH(INDEX(합계표[사번키],$X310)&amp;"|"&amp;대상월키,월별근무지표[키],0)),"직접 입력",IF($L310="—","—","기관명단")))</f>
        <v/>
      </c>
      <c r="X310" s="4">
        <f>IFERROR(MATCH(305,합계표[판정순번],0),"")</f>
        <v/>
      </c>
    </row>
    <row r="311">
      <c r="A311">
        <f>IF($X311="","",INDEX(합계표[사번],$X311)&amp;"")</f>
        <v/>
      </c>
      <c r="B311">
        <f>IF($X311="","",INDEX(합계표[성명],$X311)&amp;"")</f>
        <v/>
      </c>
      <c r="C311">
        <f>IF($X311="","",INDEX(합계표[부서],$X311)&amp;"")</f>
        <v/>
      </c>
      <c r="D311">
        <f>IF($X311="","",INDEX(합계표[직위(요약)],$X311)&amp;"")</f>
        <v/>
      </c>
      <c r="E311">
        <f>IF($X311="","",INDEX(합계표[직급 공존],$X311)&amp;"")</f>
        <v/>
      </c>
      <c r="F311" s="20">
        <f>IF($X311="","",SUMIFS(합계표[시스템 합계],합계표[사번키],INDEX(합계표[사번키],$X311)))</f>
        <v/>
      </c>
      <c r="G311" s="20">
        <f>IF($X311="","",SUMIFS(상세표[기록 시간외],상세표[사번키],INDEX(합계표[사번키],$X311),상세표[기록월],대상월키))</f>
        <v/>
      </c>
      <c r="H311">
        <f>IF($X311="","",IF(ABS($F311-$G311)&lt;0.01,"일치","불일치(차이 "&amp;TEXT($G311-$F311,"0.00")&amp;")"))</f>
        <v/>
      </c>
      <c r="I311" s="20">
        <f>IF($X311="","",SUMIFS(상세표[기록 시간외],상세표[사번키],INDEX(합계표[사번키],$X311),상세표[기록월],대상월키,상세표[반영월],"&lt;&gt;"&amp;대상월키))</f>
        <v/>
      </c>
      <c r="J311" s="20">
        <f>IF($X311="","",SUMIFS(상세표[기록 시간외],상세표[사번키],INDEX(합계표[사번키],$X311),상세표[기록월],"&lt;&gt;"&amp;대상월키,상세표[반영월],대상월키))</f>
        <v/>
      </c>
      <c r="K311" s="20">
        <f>IF($X311="","",SUMIFS(상세표[기록 시간외],상세표[사번키],INDEX(합계표[사번키],$X311),상세표[반영월],대상월키))</f>
        <v/>
      </c>
      <c r="L311">
        <f>IF($X311="","",IFERROR(INDEX(월별근무지표[적용 급여병원],MATCH(INDEX(합계표[사번키],$X311)&amp;"|"&amp;대상월키,월별근무지표[키],0))&amp;"",IF(COUNTIF(기관표[사번키],INDEX(합계표[사번키],$X311))+COUNTIF(월별근무지표[사번키],INDEX(합계표[사번키],$X311))&gt;0,IFERROR(INDEX(기관표[급여지급병원(기준월)],MATCH(INDEX(합계표[사번키],$X311)&amp;"|"&amp;대상월키,기관표[키],0))&amp;"","—"),"—")))</f>
        <v/>
      </c>
      <c r="M311">
        <f>IF($X311="","",IF(NOT(COUNTIF(기관표[사번키],INDEX(합계표[사번키],$X311))+COUNTIF(월별근무지표[사번키],INDEX(합계표[사번키],$X311))&gt;0),"기관명단에 없음(다른 병원으로 발송)",IF($L311="서울병원","해당",IF(N($R311)&gt;0,"해당(말일 근무)",IF($L311="—","대상월 기관명단 없음(추가 필요)","비해당")))))</f>
        <v/>
      </c>
      <c r="N311" s="20">
        <f>IF($X311="","",SUMIFS(상세표[06~07시],상세표[사번키],INDEX(합계표[사번키],$X311),상세표[반영월],대상월키,상세표[반영 기관],"서울병원"))</f>
        <v/>
      </c>
      <c r="O311" s="20">
        <f>IF($X311="","",SUMIFS(상세표[07~18시],상세표[사번키],INDEX(합계표[사번키],$X311),상세표[반영월],대상월키,상세표[반영 기관],"서울병원"))</f>
        <v/>
      </c>
      <c r="P311" s="20">
        <f>IF($X311="","",SUMIFS(상세표[18~22시],상세표[사번키],INDEX(합계표[사번키],$X311),상세표[반영월],대상월키,상세표[반영 기관],"서울병원"))</f>
        <v/>
      </c>
      <c r="Q311" s="20">
        <f>IF($X311="","",SUMIFS(상세표[22~06시],상세표[사번키],INDEX(합계표[사번키],$X311),상세표[반영월],대상월키,상세표[반영 기관],"서울병원"))</f>
        <v/>
      </c>
      <c r="R311" s="20">
        <f>IF($X311="","",SUM($N311:$Q311))</f>
        <v/>
      </c>
      <c r="S311">
        <f>IF($X311="","",COUNTIFS(상세표[사번키],INDEX(합계표[사번키],$X311),상세표[반영월],대상월키,상세표[야간당직],1,상세표[야간 구분],"평일"))</f>
        <v/>
      </c>
      <c r="T311">
        <f>IF($X311="","",COUNTIFS(상세표[사번키],INDEX(합계표[사번키],$X311),상세표[반영월],대상월키,상세표[야간당직],1,상세표[야간 구분],"휴일"))</f>
        <v/>
      </c>
      <c r="U311">
        <f>IF($X311="","",COUNTIFS(상세표[사번키],INDEX(합계표[사번키],$X311),상세표[반영월],대상월키,상세표[야간당직],1,상세표[야간 구분],"평일",상세표[반영 기관],"서울병원"))</f>
        <v/>
      </c>
      <c r="V311">
        <f>IF($X311="","",COUNTIFS(상세표[사번키],INDEX(합계표[사번키],$X311),상세표[반영월],대상월키,상세표[야간당직],1,상세표[야간 구분],"휴일",상세표[반영 기관],"서울병원"))</f>
        <v/>
      </c>
      <c r="W311">
        <f>IF($X311="","",IF(ISNUMBER(MATCH(INDEX(합계표[사번키],$X311)&amp;"|"&amp;대상월키,월별근무지표[키],0)),"직접 입력",IF($L311="—","—","기관명단")))</f>
        <v/>
      </c>
      <c r="X311" s="4">
        <f>IFERROR(MATCH(306,합계표[판정순번],0),"")</f>
        <v/>
      </c>
    </row>
    <row r="312">
      <c r="A312">
        <f>IF($X312="","",INDEX(합계표[사번],$X312)&amp;"")</f>
        <v/>
      </c>
      <c r="B312">
        <f>IF($X312="","",INDEX(합계표[성명],$X312)&amp;"")</f>
        <v/>
      </c>
      <c r="C312">
        <f>IF($X312="","",INDEX(합계표[부서],$X312)&amp;"")</f>
        <v/>
      </c>
      <c r="D312">
        <f>IF($X312="","",INDEX(합계표[직위(요약)],$X312)&amp;"")</f>
        <v/>
      </c>
      <c r="E312">
        <f>IF($X312="","",INDEX(합계표[직급 공존],$X312)&amp;"")</f>
        <v/>
      </c>
      <c r="F312" s="20">
        <f>IF($X312="","",SUMIFS(합계표[시스템 합계],합계표[사번키],INDEX(합계표[사번키],$X312)))</f>
        <v/>
      </c>
      <c r="G312" s="20">
        <f>IF($X312="","",SUMIFS(상세표[기록 시간외],상세표[사번키],INDEX(합계표[사번키],$X312),상세표[기록월],대상월키))</f>
        <v/>
      </c>
      <c r="H312">
        <f>IF($X312="","",IF(ABS($F312-$G312)&lt;0.01,"일치","불일치(차이 "&amp;TEXT($G312-$F312,"0.00")&amp;")"))</f>
        <v/>
      </c>
      <c r="I312" s="20">
        <f>IF($X312="","",SUMIFS(상세표[기록 시간외],상세표[사번키],INDEX(합계표[사번키],$X312),상세표[기록월],대상월키,상세표[반영월],"&lt;&gt;"&amp;대상월키))</f>
        <v/>
      </c>
      <c r="J312" s="20">
        <f>IF($X312="","",SUMIFS(상세표[기록 시간외],상세표[사번키],INDEX(합계표[사번키],$X312),상세표[기록월],"&lt;&gt;"&amp;대상월키,상세표[반영월],대상월키))</f>
        <v/>
      </c>
      <c r="K312" s="20">
        <f>IF($X312="","",SUMIFS(상세표[기록 시간외],상세표[사번키],INDEX(합계표[사번키],$X312),상세표[반영월],대상월키))</f>
        <v/>
      </c>
      <c r="L312">
        <f>IF($X312="","",IFERROR(INDEX(월별근무지표[적용 급여병원],MATCH(INDEX(합계표[사번키],$X312)&amp;"|"&amp;대상월키,월별근무지표[키],0))&amp;"",IF(COUNTIF(기관표[사번키],INDEX(합계표[사번키],$X312))+COUNTIF(월별근무지표[사번키],INDEX(합계표[사번키],$X312))&gt;0,IFERROR(INDEX(기관표[급여지급병원(기준월)],MATCH(INDEX(합계표[사번키],$X312)&amp;"|"&amp;대상월키,기관표[키],0))&amp;"","—"),"—")))</f>
        <v/>
      </c>
      <c r="M312">
        <f>IF($X312="","",IF(NOT(COUNTIF(기관표[사번키],INDEX(합계표[사번키],$X312))+COUNTIF(월별근무지표[사번키],INDEX(합계표[사번키],$X312))&gt;0),"기관명단에 없음(다른 병원으로 발송)",IF($L312="서울병원","해당",IF(N($R312)&gt;0,"해당(말일 근무)",IF($L312="—","대상월 기관명단 없음(추가 필요)","비해당")))))</f>
        <v/>
      </c>
      <c r="N312" s="20">
        <f>IF($X312="","",SUMIFS(상세표[06~07시],상세표[사번키],INDEX(합계표[사번키],$X312),상세표[반영월],대상월키,상세표[반영 기관],"서울병원"))</f>
        <v/>
      </c>
      <c r="O312" s="20">
        <f>IF($X312="","",SUMIFS(상세표[07~18시],상세표[사번키],INDEX(합계표[사번키],$X312),상세표[반영월],대상월키,상세표[반영 기관],"서울병원"))</f>
        <v/>
      </c>
      <c r="P312" s="20">
        <f>IF($X312="","",SUMIFS(상세표[18~22시],상세표[사번키],INDEX(합계표[사번키],$X312),상세표[반영월],대상월키,상세표[반영 기관],"서울병원"))</f>
        <v/>
      </c>
      <c r="Q312" s="20">
        <f>IF($X312="","",SUMIFS(상세표[22~06시],상세표[사번키],INDEX(합계표[사번키],$X312),상세표[반영월],대상월키,상세표[반영 기관],"서울병원"))</f>
        <v/>
      </c>
      <c r="R312" s="20">
        <f>IF($X312="","",SUM($N312:$Q312))</f>
        <v/>
      </c>
      <c r="S312">
        <f>IF($X312="","",COUNTIFS(상세표[사번키],INDEX(합계표[사번키],$X312),상세표[반영월],대상월키,상세표[야간당직],1,상세표[야간 구분],"평일"))</f>
        <v/>
      </c>
      <c r="T312">
        <f>IF($X312="","",COUNTIFS(상세표[사번키],INDEX(합계표[사번키],$X312),상세표[반영월],대상월키,상세표[야간당직],1,상세표[야간 구분],"휴일"))</f>
        <v/>
      </c>
      <c r="U312">
        <f>IF($X312="","",COUNTIFS(상세표[사번키],INDEX(합계표[사번키],$X312),상세표[반영월],대상월키,상세표[야간당직],1,상세표[야간 구분],"평일",상세표[반영 기관],"서울병원"))</f>
        <v/>
      </c>
      <c r="V312">
        <f>IF($X312="","",COUNTIFS(상세표[사번키],INDEX(합계표[사번키],$X312),상세표[반영월],대상월키,상세표[야간당직],1,상세표[야간 구분],"휴일",상세표[반영 기관],"서울병원"))</f>
        <v/>
      </c>
      <c r="W312">
        <f>IF($X312="","",IF(ISNUMBER(MATCH(INDEX(합계표[사번키],$X312)&amp;"|"&amp;대상월키,월별근무지표[키],0)),"직접 입력",IF($L312="—","—","기관명단")))</f>
        <v/>
      </c>
      <c r="X312" s="4">
        <f>IFERROR(MATCH(307,합계표[판정순번],0),"")</f>
        <v/>
      </c>
    </row>
    <row r="313">
      <c r="A313">
        <f>IF($X313="","",INDEX(합계표[사번],$X313)&amp;"")</f>
        <v/>
      </c>
      <c r="B313">
        <f>IF($X313="","",INDEX(합계표[성명],$X313)&amp;"")</f>
        <v/>
      </c>
      <c r="C313">
        <f>IF($X313="","",INDEX(합계표[부서],$X313)&amp;"")</f>
        <v/>
      </c>
      <c r="D313">
        <f>IF($X313="","",INDEX(합계표[직위(요약)],$X313)&amp;"")</f>
        <v/>
      </c>
      <c r="E313">
        <f>IF($X313="","",INDEX(합계표[직급 공존],$X313)&amp;"")</f>
        <v/>
      </c>
      <c r="F313" s="20">
        <f>IF($X313="","",SUMIFS(합계표[시스템 합계],합계표[사번키],INDEX(합계표[사번키],$X313)))</f>
        <v/>
      </c>
      <c r="G313" s="20">
        <f>IF($X313="","",SUMIFS(상세표[기록 시간외],상세표[사번키],INDEX(합계표[사번키],$X313),상세표[기록월],대상월키))</f>
        <v/>
      </c>
      <c r="H313">
        <f>IF($X313="","",IF(ABS($F313-$G313)&lt;0.01,"일치","불일치(차이 "&amp;TEXT($G313-$F313,"0.00")&amp;")"))</f>
        <v/>
      </c>
      <c r="I313" s="20">
        <f>IF($X313="","",SUMIFS(상세표[기록 시간외],상세표[사번키],INDEX(합계표[사번키],$X313),상세표[기록월],대상월키,상세표[반영월],"&lt;&gt;"&amp;대상월키))</f>
        <v/>
      </c>
      <c r="J313" s="20">
        <f>IF($X313="","",SUMIFS(상세표[기록 시간외],상세표[사번키],INDEX(합계표[사번키],$X313),상세표[기록월],"&lt;&gt;"&amp;대상월키,상세표[반영월],대상월키))</f>
        <v/>
      </c>
      <c r="K313" s="20">
        <f>IF($X313="","",SUMIFS(상세표[기록 시간외],상세표[사번키],INDEX(합계표[사번키],$X313),상세표[반영월],대상월키))</f>
        <v/>
      </c>
      <c r="L313">
        <f>IF($X313="","",IFERROR(INDEX(월별근무지표[적용 급여병원],MATCH(INDEX(합계표[사번키],$X313)&amp;"|"&amp;대상월키,월별근무지표[키],0))&amp;"",IF(COUNTIF(기관표[사번키],INDEX(합계표[사번키],$X313))+COUNTIF(월별근무지표[사번키],INDEX(합계표[사번키],$X313))&gt;0,IFERROR(INDEX(기관표[급여지급병원(기준월)],MATCH(INDEX(합계표[사번키],$X313)&amp;"|"&amp;대상월키,기관표[키],0))&amp;"","—"),"—")))</f>
        <v/>
      </c>
      <c r="M313">
        <f>IF($X313="","",IF(NOT(COUNTIF(기관표[사번키],INDEX(합계표[사번키],$X313))+COUNTIF(월별근무지표[사번키],INDEX(합계표[사번키],$X313))&gt;0),"기관명단에 없음(다른 병원으로 발송)",IF($L313="서울병원","해당",IF(N($R313)&gt;0,"해당(말일 근무)",IF($L313="—","대상월 기관명단 없음(추가 필요)","비해당")))))</f>
        <v/>
      </c>
      <c r="N313" s="20">
        <f>IF($X313="","",SUMIFS(상세표[06~07시],상세표[사번키],INDEX(합계표[사번키],$X313),상세표[반영월],대상월키,상세표[반영 기관],"서울병원"))</f>
        <v/>
      </c>
      <c r="O313" s="20">
        <f>IF($X313="","",SUMIFS(상세표[07~18시],상세표[사번키],INDEX(합계표[사번키],$X313),상세표[반영월],대상월키,상세표[반영 기관],"서울병원"))</f>
        <v/>
      </c>
      <c r="P313" s="20">
        <f>IF($X313="","",SUMIFS(상세표[18~22시],상세표[사번키],INDEX(합계표[사번키],$X313),상세표[반영월],대상월키,상세표[반영 기관],"서울병원"))</f>
        <v/>
      </c>
      <c r="Q313" s="20">
        <f>IF($X313="","",SUMIFS(상세표[22~06시],상세표[사번키],INDEX(합계표[사번키],$X313),상세표[반영월],대상월키,상세표[반영 기관],"서울병원"))</f>
        <v/>
      </c>
      <c r="R313" s="20">
        <f>IF($X313="","",SUM($N313:$Q313))</f>
        <v/>
      </c>
      <c r="S313">
        <f>IF($X313="","",COUNTIFS(상세표[사번키],INDEX(합계표[사번키],$X313),상세표[반영월],대상월키,상세표[야간당직],1,상세표[야간 구분],"평일"))</f>
        <v/>
      </c>
      <c r="T313">
        <f>IF($X313="","",COUNTIFS(상세표[사번키],INDEX(합계표[사번키],$X313),상세표[반영월],대상월키,상세표[야간당직],1,상세표[야간 구분],"휴일"))</f>
        <v/>
      </c>
      <c r="U313">
        <f>IF($X313="","",COUNTIFS(상세표[사번키],INDEX(합계표[사번키],$X313),상세표[반영월],대상월키,상세표[야간당직],1,상세표[야간 구분],"평일",상세표[반영 기관],"서울병원"))</f>
        <v/>
      </c>
      <c r="V313">
        <f>IF($X313="","",COUNTIFS(상세표[사번키],INDEX(합계표[사번키],$X313),상세표[반영월],대상월키,상세표[야간당직],1,상세표[야간 구분],"휴일",상세표[반영 기관],"서울병원"))</f>
        <v/>
      </c>
      <c r="W313">
        <f>IF($X313="","",IF(ISNUMBER(MATCH(INDEX(합계표[사번키],$X313)&amp;"|"&amp;대상월키,월별근무지표[키],0)),"직접 입력",IF($L313="—","—","기관명단")))</f>
        <v/>
      </c>
      <c r="X313" s="4">
        <f>IFERROR(MATCH(308,합계표[판정순번],0),"")</f>
        <v/>
      </c>
    </row>
    <row r="314">
      <c r="A314">
        <f>IF($X314="","",INDEX(합계표[사번],$X314)&amp;"")</f>
        <v/>
      </c>
      <c r="B314">
        <f>IF($X314="","",INDEX(합계표[성명],$X314)&amp;"")</f>
        <v/>
      </c>
      <c r="C314">
        <f>IF($X314="","",INDEX(합계표[부서],$X314)&amp;"")</f>
        <v/>
      </c>
      <c r="D314">
        <f>IF($X314="","",INDEX(합계표[직위(요약)],$X314)&amp;"")</f>
        <v/>
      </c>
      <c r="E314">
        <f>IF($X314="","",INDEX(합계표[직급 공존],$X314)&amp;"")</f>
        <v/>
      </c>
      <c r="F314" s="20">
        <f>IF($X314="","",SUMIFS(합계표[시스템 합계],합계표[사번키],INDEX(합계표[사번키],$X314)))</f>
        <v/>
      </c>
      <c r="G314" s="20">
        <f>IF($X314="","",SUMIFS(상세표[기록 시간외],상세표[사번키],INDEX(합계표[사번키],$X314),상세표[기록월],대상월키))</f>
        <v/>
      </c>
      <c r="H314">
        <f>IF($X314="","",IF(ABS($F314-$G314)&lt;0.01,"일치","불일치(차이 "&amp;TEXT($G314-$F314,"0.00")&amp;")"))</f>
        <v/>
      </c>
      <c r="I314" s="20">
        <f>IF($X314="","",SUMIFS(상세표[기록 시간외],상세표[사번키],INDEX(합계표[사번키],$X314),상세표[기록월],대상월키,상세표[반영월],"&lt;&gt;"&amp;대상월키))</f>
        <v/>
      </c>
      <c r="J314" s="20">
        <f>IF($X314="","",SUMIFS(상세표[기록 시간외],상세표[사번키],INDEX(합계표[사번키],$X314),상세표[기록월],"&lt;&gt;"&amp;대상월키,상세표[반영월],대상월키))</f>
        <v/>
      </c>
      <c r="K314" s="20">
        <f>IF($X314="","",SUMIFS(상세표[기록 시간외],상세표[사번키],INDEX(합계표[사번키],$X314),상세표[반영월],대상월키))</f>
        <v/>
      </c>
      <c r="L314">
        <f>IF($X314="","",IFERROR(INDEX(월별근무지표[적용 급여병원],MATCH(INDEX(합계표[사번키],$X314)&amp;"|"&amp;대상월키,월별근무지표[키],0))&amp;"",IF(COUNTIF(기관표[사번키],INDEX(합계표[사번키],$X314))+COUNTIF(월별근무지표[사번키],INDEX(합계표[사번키],$X314))&gt;0,IFERROR(INDEX(기관표[급여지급병원(기준월)],MATCH(INDEX(합계표[사번키],$X314)&amp;"|"&amp;대상월키,기관표[키],0))&amp;"","—"),"—")))</f>
        <v/>
      </c>
      <c r="M314">
        <f>IF($X314="","",IF(NOT(COUNTIF(기관표[사번키],INDEX(합계표[사번키],$X314))+COUNTIF(월별근무지표[사번키],INDEX(합계표[사번키],$X314))&gt;0),"기관명단에 없음(다른 병원으로 발송)",IF($L314="서울병원","해당",IF(N($R314)&gt;0,"해당(말일 근무)",IF($L314="—","대상월 기관명단 없음(추가 필요)","비해당")))))</f>
        <v/>
      </c>
      <c r="N314" s="20">
        <f>IF($X314="","",SUMIFS(상세표[06~07시],상세표[사번키],INDEX(합계표[사번키],$X314),상세표[반영월],대상월키,상세표[반영 기관],"서울병원"))</f>
        <v/>
      </c>
      <c r="O314" s="20">
        <f>IF($X314="","",SUMIFS(상세표[07~18시],상세표[사번키],INDEX(합계표[사번키],$X314),상세표[반영월],대상월키,상세표[반영 기관],"서울병원"))</f>
        <v/>
      </c>
      <c r="P314" s="20">
        <f>IF($X314="","",SUMIFS(상세표[18~22시],상세표[사번키],INDEX(합계표[사번키],$X314),상세표[반영월],대상월키,상세표[반영 기관],"서울병원"))</f>
        <v/>
      </c>
      <c r="Q314" s="20">
        <f>IF($X314="","",SUMIFS(상세표[22~06시],상세표[사번키],INDEX(합계표[사번키],$X314),상세표[반영월],대상월키,상세표[반영 기관],"서울병원"))</f>
        <v/>
      </c>
      <c r="R314" s="20">
        <f>IF($X314="","",SUM($N314:$Q314))</f>
        <v/>
      </c>
      <c r="S314">
        <f>IF($X314="","",COUNTIFS(상세표[사번키],INDEX(합계표[사번키],$X314),상세표[반영월],대상월키,상세표[야간당직],1,상세표[야간 구분],"평일"))</f>
        <v/>
      </c>
      <c r="T314">
        <f>IF($X314="","",COUNTIFS(상세표[사번키],INDEX(합계표[사번키],$X314),상세표[반영월],대상월키,상세표[야간당직],1,상세표[야간 구분],"휴일"))</f>
        <v/>
      </c>
      <c r="U314">
        <f>IF($X314="","",COUNTIFS(상세표[사번키],INDEX(합계표[사번키],$X314),상세표[반영월],대상월키,상세표[야간당직],1,상세표[야간 구분],"평일",상세표[반영 기관],"서울병원"))</f>
        <v/>
      </c>
      <c r="V314">
        <f>IF($X314="","",COUNTIFS(상세표[사번키],INDEX(합계표[사번키],$X314),상세표[반영월],대상월키,상세표[야간당직],1,상세표[야간 구분],"휴일",상세표[반영 기관],"서울병원"))</f>
        <v/>
      </c>
      <c r="W314">
        <f>IF($X314="","",IF(ISNUMBER(MATCH(INDEX(합계표[사번키],$X314)&amp;"|"&amp;대상월키,월별근무지표[키],0)),"직접 입력",IF($L314="—","—","기관명단")))</f>
        <v/>
      </c>
      <c r="X314" s="4">
        <f>IFERROR(MATCH(309,합계표[판정순번],0),"")</f>
        <v/>
      </c>
    </row>
    <row r="315">
      <c r="A315">
        <f>IF($X315="","",INDEX(합계표[사번],$X315)&amp;"")</f>
        <v/>
      </c>
      <c r="B315">
        <f>IF($X315="","",INDEX(합계표[성명],$X315)&amp;"")</f>
        <v/>
      </c>
      <c r="C315">
        <f>IF($X315="","",INDEX(합계표[부서],$X315)&amp;"")</f>
        <v/>
      </c>
      <c r="D315">
        <f>IF($X315="","",INDEX(합계표[직위(요약)],$X315)&amp;"")</f>
        <v/>
      </c>
      <c r="E315">
        <f>IF($X315="","",INDEX(합계표[직급 공존],$X315)&amp;"")</f>
        <v/>
      </c>
      <c r="F315" s="20">
        <f>IF($X315="","",SUMIFS(합계표[시스템 합계],합계표[사번키],INDEX(합계표[사번키],$X315)))</f>
        <v/>
      </c>
      <c r="G315" s="20">
        <f>IF($X315="","",SUMIFS(상세표[기록 시간외],상세표[사번키],INDEX(합계표[사번키],$X315),상세표[기록월],대상월키))</f>
        <v/>
      </c>
      <c r="H315">
        <f>IF($X315="","",IF(ABS($F315-$G315)&lt;0.01,"일치","불일치(차이 "&amp;TEXT($G315-$F315,"0.00")&amp;")"))</f>
        <v/>
      </c>
      <c r="I315" s="20">
        <f>IF($X315="","",SUMIFS(상세표[기록 시간외],상세표[사번키],INDEX(합계표[사번키],$X315),상세표[기록월],대상월키,상세표[반영월],"&lt;&gt;"&amp;대상월키))</f>
        <v/>
      </c>
      <c r="J315" s="20">
        <f>IF($X315="","",SUMIFS(상세표[기록 시간외],상세표[사번키],INDEX(합계표[사번키],$X315),상세표[기록월],"&lt;&gt;"&amp;대상월키,상세표[반영월],대상월키))</f>
        <v/>
      </c>
      <c r="K315" s="20">
        <f>IF($X315="","",SUMIFS(상세표[기록 시간외],상세표[사번키],INDEX(합계표[사번키],$X315),상세표[반영월],대상월키))</f>
        <v/>
      </c>
      <c r="L315">
        <f>IF($X315="","",IFERROR(INDEX(월별근무지표[적용 급여병원],MATCH(INDEX(합계표[사번키],$X315)&amp;"|"&amp;대상월키,월별근무지표[키],0))&amp;"",IF(COUNTIF(기관표[사번키],INDEX(합계표[사번키],$X315))+COUNTIF(월별근무지표[사번키],INDEX(합계표[사번키],$X315))&gt;0,IFERROR(INDEX(기관표[급여지급병원(기준월)],MATCH(INDEX(합계표[사번키],$X315)&amp;"|"&amp;대상월키,기관표[키],0))&amp;"","—"),"—")))</f>
        <v/>
      </c>
      <c r="M315">
        <f>IF($X315="","",IF(NOT(COUNTIF(기관표[사번키],INDEX(합계표[사번키],$X315))+COUNTIF(월별근무지표[사번키],INDEX(합계표[사번키],$X315))&gt;0),"기관명단에 없음(다른 병원으로 발송)",IF($L315="서울병원","해당",IF(N($R315)&gt;0,"해당(말일 근무)",IF($L315="—","대상월 기관명단 없음(추가 필요)","비해당")))))</f>
        <v/>
      </c>
      <c r="N315" s="20">
        <f>IF($X315="","",SUMIFS(상세표[06~07시],상세표[사번키],INDEX(합계표[사번키],$X315),상세표[반영월],대상월키,상세표[반영 기관],"서울병원"))</f>
        <v/>
      </c>
      <c r="O315" s="20">
        <f>IF($X315="","",SUMIFS(상세표[07~18시],상세표[사번키],INDEX(합계표[사번키],$X315),상세표[반영월],대상월키,상세표[반영 기관],"서울병원"))</f>
        <v/>
      </c>
      <c r="P315" s="20">
        <f>IF($X315="","",SUMIFS(상세표[18~22시],상세표[사번키],INDEX(합계표[사번키],$X315),상세표[반영월],대상월키,상세표[반영 기관],"서울병원"))</f>
        <v/>
      </c>
      <c r="Q315" s="20">
        <f>IF($X315="","",SUMIFS(상세표[22~06시],상세표[사번키],INDEX(합계표[사번키],$X315),상세표[반영월],대상월키,상세표[반영 기관],"서울병원"))</f>
        <v/>
      </c>
      <c r="R315" s="20">
        <f>IF($X315="","",SUM($N315:$Q315))</f>
        <v/>
      </c>
      <c r="S315">
        <f>IF($X315="","",COUNTIFS(상세표[사번키],INDEX(합계표[사번키],$X315),상세표[반영월],대상월키,상세표[야간당직],1,상세표[야간 구분],"평일"))</f>
        <v/>
      </c>
      <c r="T315">
        <f>IF($X315="","",COUNTIFS(상세표[사번키],INDEX(합계표[사번키],$X315),상세표[반영월],대상월키,상세표[야간당직],1,상세표[야간 구분],"휴일"))</f>
        <v/>
      </c>
      <c r="U315">
        <f>IF($X315="","",COUNTIFS(상세표[사번키],INDEX(합계표[사번키],$X315),상세표[반영월],대상월키,상세표[야간당직],1,상세표[야간 구분],"평일",상세표[반영 기관],"서울병원"))</f>
        <v/>
      </c>
      <c r="V315">
        <f>IF($X315="","",COUNTIFS(상세표[사번키],INDEX(합계표[사번키],$X315),상세표[반영월],대상월키,상세표[야간당직],1,상세표[야간 구분],"휴일",상세표[반영 기관],"서울병원"))</f>
        <v/>
      </c>
      <c r="W315">
        <f>IF($X315="","",IF(ISNUMBER(MATCH(INDEX(합계표[사번키],$X315)&amp;"|"&amp;대상월키,월별근무지표[키],0)),"직접 입력",IF($L315="—","—","기관명단")))</f>
        <v/>
      </c>
      <c r="X315" s="4">
        <f>IFERROR(MATCH(310,합계표[판정순번],0),"")</f>
        <v/>
      </c>
    </row>
    <row r="316">
      <c r="A316">
        <f>IF($X316="","",INDEX(합계표[사번],$X316)&amp;"")</f>
        <v/>
      </c>
      <c r="B316">
        <f>IF($X316="","",INDEX(합계표[성명],$X316)&amp;"")</f>
        <v/>
      </c>
      <c r="C316">
        <f>IF($X316="","",INDEX(합계표[부서],$X316)&amp;"")</f>
        <v/>
      </c>
      <c r="D316">
        <f>IF($X316="","",INDEX(합계표[직위(요약)],$X316)&amp;"")</f>
        <v/>
      </c>
      <c r="E316">
        <f>IF($X316="","",INDEX(합계표[직급 공존],$X316)&amp;"")</f>
        <v/>
      </c>
      <c r="F316" s="20">
        <f>IF($X316="","",SUMIFS(합계표[시스템 합계],합계표[사번키],INDEX(합계표[사번키],$X316)))</f>
        <v/>
      </c>
      <c r="G316" s="20">
        <f>IF($X316="","",SUMIFS(상세표[기록 시간외],상세표[사번키],INDEX(합계표[사번키],$X316),상세표[기록월],대상월키))</f>
        <v/>
      </c>
      <c r="H316">
        <f>IF($X316="","",IF(ABS($F316-$G316)&lt;0.01,"일치","불일치(차이 "&amp;TEXT($G316-$F316,"0.00")&amp;")"))</f>
        <v/>
      </c>
      <c r="I316" s="20">
        <f>IF($X316="","",SUMIFS(상세표[기록 시간외],상세표[사번키],INDEX(합계표[사번키],$X316),상세표[기록월],대상월키,상세표[반영월],"&lt;&gt;"&amp;대상월키))</f>
        <v/>
      </c>
      <c r="J316" s="20">
        <f>IF($X316="","",SUMIFS(상세표[기록 시간외],상세표[사번키],INDEX(합계표[사번키],$X316),상세표[기록월],"&lt;&gt;"&amp;대상월키,상세표[반영월],대상월키))</f>
        <v/>
      </c>
      <c r="K316" s="20">
        <f>IF($X316="","",SUMIFS(상세표[기록 시간외],상세표[사번키],INDEX(합계표[사번키],$X316),상세표[반영월],대상월키))</f>
        <v/>
      </c>
      <c r="L316">
        <f>IF($X316="","",IFERROR(INDEX(월별근무지표[적용 급여병원],MATCH(INDEX(합계표[사번키],$X316)&amp;"|"&amp;대상월키,월별근무지표[키],0))&amp;"",IF(COUNTIF(기관표[사번키],INDEX(합계표[사번키],$X316))+COUNTIF(월별근무지표[사번키],INDEX(합계표[사번키],$X316))&gt;0,IFERROR(INDEX(기관표[급여지급병원(기준월)],MATCH(INDEX(합계표[사번키],$X316)&amp;"|"&amp;대상월키,기관표[키],0))&amp;"","—"),"—")))</f>
        <v/>
      </c>
      <c r="M316">
        <f>IF($X316="","",IF(NOT(COUNTIF(기관표[사번키],INDEX(합계표[사번키],$X316))+COUNTIF(월별근무지표[사번키],INDEX(합계표[사번키],$X316))&gt;0),"기관명단에 없음(다른 병원으로 발송)",IF($L316="서울병원","해당",IF(N($R316)&gt;0,"해당(말일 근무)",IF($L316="—","대상월 기관명단 없음(추가 필요)","비해당")))))</f>
        <v/>
      </c>
      <c r="N316" s="20">
        <f>IF($X316="","",SUMIFS(상세표[06~07시],상세표[사번키],INDEX(합계표[사번키],$X316),상세표[반영월],대상월키,상세표[반영 기관],"서울병원"))</f>
        <v/>
      </c>
      <c r="O316" s="20">
        <f>IF($X316="","",SUMIFS(상세표[07~18시],상세표[사번키],INDEX(합계표[사번키],$X316),상세표[반영월],대상월키,상세표[반영 기관],"서울병원"))</f>
        <v/>
      </c>
      <c r="P316" s="20">
        <f>IF($X316="","",SUMIFS(상세표[18~22시],상세표[사번키],INDEX(합계표[사번키],$X316),상세표[반영월],대상월키,상세표[반영 기관],"서울병원"))</f>
        <v/>
      </c>
      <c r="Q316" s="20">
        <f>IF($X316="","",SUMIFS(상세표[22~06시],상세표[사번키],INDEX(합계표[사번키],$X316),상세표[반영월],대상월키,상세표[반영 기관],"서울병원"))</f>
        <v/>
      </c>
      <c r="R316" s="20">
        <f>IF($X316="","",SUM($N316:$Q316))</f>
        <v/>
      </c>
      <c r="S316">
        <f>IF($X316="","",COUNTIFS(상세표[사번키],INDEX(합계표[사번키],$X316),상세표[반영월],대상월키,상세표[야간당직],1,상세표[야간 구분],"평일"))</f>
        <v/>
      </c>
      <c r="T316">
        <f>IF($X316="","",COUNTIFS(상세표[사번키],INDEX(합계표[사번키],$X316),상세표[반영월],대상월키,상세표[야간당직],1,상세표[야간 구분],"휴일"))</f>
        <v/>
      </c>
      <c r="U316">
        <f>IF($X316="","",COUNTIFS(상세표[사번키],INDEX(합계표[사번키],$X316),상세표[반영월],대상월키,상세표[야간당직],1,상세표[야간 구분],"평일",상세표[반영 기관],"서울병원"))</f>
        <v/>
      </c>
      <c r="V316">
        <f>IF($X316="","",COUNTIFS(상세표[사번키],INDEX(합계표[사번키],$X316),상세표[반영월],대상월키,상세표[야간당직],1,상세표[야간 구분],"휴일",상세표[반영 기관],"서울병원"))</f>
        <v/>
      </c>
      <c r="W316">
        <f>IF($X316="","",IF(ISNUMBER(MATCH(INDEX(합계표[사번키],$X316)&amp;"|"&amp;대상월키,월별근무지표[키],0)),"직접 입력",IF($L316="—","—","기관명단")))</f>
        <v/>
      </c>
      <c r="X316" s="4">
        <f>IFERROR(MATCH(311,합계표[판정순번],0),"")</f>
        <v/>
      </c>
    </row>
    <row r="317">
      <c r="A317">
        <f>IF($X317="","",INDEX(합계표[사번],$X317)&amp;"")</f>
        <v/>
      </c>
      <c r="B317">
        <f>IF($X317="","",INDEX(합계표[성명],$X317)&amp;"")</f>
        <v/>
      </c>
      <c r="C317">
        <f>IF($X317="","",INDEX(합계표[부서],$X317)&amp;"")</f>
        <v/>
      </c>
      <c r="D317">
        <f>IF($X317="","",INDEX(합계표[직위(요약)],$X317)&amp;"")</f>
        <v/>
      </c>
      <c r="E317">
        <f>IF($X317="","",INDEX(합계표[직급 공존],$X317)&amp;"")</f>
        <v/>
      </c>
      <c r="F317" s="20">
        <f>IF($X317="","",SUMIFS(합계표[시스템 합계],합계표[사번키],INDEX(합계표[사번키],$X317)))</f>
        <v/>
      </c>
      <c r="G317" s="20">
        <f>IF($X317="","",SUMIFS(상세표[기록 시간외],상세표[사번키],INDEX(합계표[사번키],$X317),상세표[기록월],대상월키))</f>
        <v/>
      </c>
      <c r="H317">
        <f>IF($X317="","",IF(ABS($F317-$G317)&lt;0.01,"일치","불일치(차이 "&amp;TEXT($G317-$F317,"0.00")&amp;")"))</f>
        <v/>
      </c>
      <c r="I317" s="20">
        <f>IF($X317="","",SUMIFS(상세표[기록 시간외],상세표[사번키],INDEX(합계표[사번키],$X317),상세표[기록월],대상월키,상세표[반영월],"&lt;&gt;"&amp;대상월키))</f>
        <v/>
      </c>
      <c r="J317" s="20">
        <f>IF($X317="","",SUMIFS(상세표[기록 시간외],상세표[사번키],INDEX(합계표[사번키],$X317),상세표[기록월],"&lt;&gt;"&amp;대상월키,상세표[반영월],대상월키))</f>
        <v/>
      </c>
      <c r="K317" s="20">
        <f>IF($X317="","",SUMIFS(상세표[기록 시간외],상세표[사번키],INDEX(합계표[사번키],$X317),상세표[반영월],대상월키))</f>
        <v/>
      </c>
      <c r="L317">
        <f>IF($X317="","",IFERROR(INDEX(월별근무지표[적용 급여병원],MATCH(INDEX(합계표[사번키],$X317)&amp;"|"&amp;대상월키,월별근무지표[키],0))&amp;"",IF(COUNTIF(기관표[사번키],INDEX(합계표[사번키],$X317))+COUNTIF(월별근무지표[사번키],INDEX(합계표[사번키],$X317))&gt;0,IFERROR(INDEX(기관표[급여지급병원(기준월)],MATCH(INDEX(합계표[사번키],$X317)&amp;"|"&amp;대상월키,기관표[키],0))&amp;"","—"),"—")))</f>
        <v/>
      </c>
      <c r="M317">
        <f>IF($X317="","",IF(NOT(COUNTIF(기관표[사번키],INDEX(합계표[사번키],$X317))+COUNTIF(월별근무지표[사번키],INDEX(합계표[사번키],$X317))&gt;0),"기관명단에 없음(다른 병원으로 발송)",IF($L317="서울병원","해당",IF(N($R317)&gt;0,"해당(말일 근무)",IF($L317="—","대상월 기관명단 없음(추가 필요)","비해당")))))</f>
        <v/>
      </c>
      <c r="N317" s="20">
        <f>IF($X317="","",SUMIFS(상세표[06~07시],상세표[사번키],INDEX(합계표[사번키],$X317),상세표[반영월],대상월키,상세표[반영 기관],"서울병원"))</f>
        <v/>
      </c>
      <c r="O317" s="20">
        <f>IF($X317="","",SUMIFS(상세표[07~18시],상세표[사번키],INDEX(합계표[사번키],$X317),상세표[반영월],대상월키,상세표[반영 기관],"서울병원"))</f>
        <v/>
      </c>
      <c r="P317" s="20">
        <f>IF($X317="","",SUMIFS(상세표[18~22시],상세표[사번키],INDEX(합계표[사번키],$X317),상세표[반영월],대상월키,상세표[반영 기관],"서울병원"))</f>
        <v/>
      </c>
      <c r="Q317" s="20">
        <f>IF($X317="","",SUMIFS(상세표[22~06시],상세표[사번키],INDEX(합계표[사번키],$X317),상세표[반영월],대상월키,상세표[반영 기관],"서울병원"))</f>
        <v/>
      </c>
      <c r="R317" s="20">
        <f>IF($X317="","",SUM($N317:$Q317))</f>
        <v/>
      </c>
      <c r="S317">
        <f>IF($X317="","",COUNTIFS(상세표[사번키],INDEX(합계표[사번키],$X317),상세표[반영월],대상월키,상세표[야간당직],1,상세표[야간 구분],"평일"))</f>
        <v/>
      </c>
      <c r="T317">
        <f>IF($X317="","",COUNTIFS(상세표[사번키],INDEX(합계표[사번키],$X317),상세표[반영월],대상월키,상세표[야간당직],1,상세표[야간 구분],"휴일"))</f>
        <v/>
      </c>
      <c r="U317">
        <f>IF($X317="","",COUNTIFS(상세표[사번키],INDEX(합계표[사번키],$X317),상세표[반영월],대상월키,상세표[야간당직],1,상세표[야간 구분],"평일",상세표[반영 기관],"서울병원"))</f>
        <v/>
      </c>
      <c r="V317">
        <f>IF($X317="","",COUNTIFS(상세표[사번키],INDEX(합계표[사번키],$X317),상세표[반영월],대상월키,상세표[야간당직],1,상세표[야간 구분],"휴일",상세표[반영 기관],"서울병원"))</f>
        <v/>
      </c>
      <c r="W317">
        <f>IF($X317="","",IF(ISNUMBER(MATCH(INDEX(합계표[사번키],$X317)&amp;"|"&amp;대상월키,월별근무지표[키],0)),"직접 입력",IF($L317="—","—","기관명단")))</f>
        <v/>
      </c>
      <c r="X317" s="4">
        <f>IFERROR(MATCH(312,합계표[판정순번],0),"")</f>
        <v/>
      </c>
    </row>
    <row r="318">
      <c r="A318">
        <f>IF($X318="","",INDEX(합계표[사번],$X318)&amp;"")</f>
        <v/>
      </c>
      <c r="B318">
        <f>IF($X318="","",INDEX(합계표[성명],$X318)&amp;"")</f>
        <v/>
      </c>
      <c r="C318">
        <f>IF($X318="","",INDEX(합계표[부서],$X318)&amp;"")</f>
        <v/>
      </c>
      <c r="D318">
        <f>IF($X318="","",INDEX(합계표[직위(요약)],$X318)&amp;"")</f>
        <v/>
      </c>
      <c r="E318">
        <f>IF($X318="","",INDEX(합계표[직급 공존],$X318)&amp;"")</f>
        <v/>
      </c>
      <c r="F318" s="20">
        <f>IF($X318="","",SUMIFS(합계표[시스템 합계],합계표[사번키],INDEX(합계표[사번키],$X318)))</f>
        <v/>
      </c>
      <c r="G318" s="20">
        <f>IF($X318="","",SUMIFS(상세표[기록 시간외],상세표[사번키],INDEX(합계표[사번키],$X318),상세표[기록월],대상월키))</f>
        <v/>
      </c>
      <c r="H318">
        <f>IF($X318="","",IF(ABS($F318-$G318)&lt;0.01,"일치","불일치(차이 "&amp;TEXT($G318-$F318,"0.00")&amp;")"))</f>
        <v/>
      </c>
      <c r="I318" s="20">
        <f>IF($X318="","",SUMIFS(상세표[기록 시간외],상세표[사번키],INDEX(합계표[사번키],$X318),상세표[기록월],대상월키,상세표[반영월],"&lt;&gt;"&amp;대상월키))</f>
        <v/>
      </c>
      <c r="J318" s="20">
        <f>IF($X318="","",SUMIFS(상세표[기록 시간외],상세표[사번키],INDEX(합계표[사번키],$X318),상세표[기록월],"&lt;&gt;"&amp;대상월키,상세표[반영월],대상월키))</f>
        <v/>
      </c>
      <c r="K318" s="20">
        <f>IF($X318="","",SUMIFS(상세표[기록 시간외],상세표[사번키],INDEX(합계표[사번키],$X318),상세표[반영월],대상월키))</f>
        <v/>
      </c>
      <c r="L318">
        <f>IF($X318="","",IFERROR(INDEX(월별근무지표[적용 급여병원],MATCH(INDEX(합계표[사번키],$X318)&amp;"|"&amp;대상월키,월별근무지표[키],0))&amp;"",IF(COUNTIF(기관표[사번키],INDEX(합계표[사번키],$X318))+COUNTIF(월별근무지표[사번키],INDEX(합계표[사번키],$X318))&gt;0,IFERROR(INDEX(기관표[급여지급병원(기준월)],MATCH(INDEX(합계표[사번키],$X318)&amp;"|"&amp;대상월키,기관표[키],0))&amp;"","—"),"—")))</f>
        <v/>
      </c>
      <c r="M318">
        <f>IF($X318="","",IF(NOT(COUNTIF(기관표[사번키],INDEX(합계표[사번키],$X318))+COUNTIF(월별근무지표[사번키],INDEX(합계표[사번키],$X318))&gt;0),"기관명단에 없음(다른 병원으로 발송)",IF($L318="서울병원","해당",IF(N($R318)&gt;0,"해당(말일 근무)",IF($L318="—","대상월 기관명단 없음(추가 필요)","비해당")))))</f>
        <v/>
      </c>
      <c r="N318" s="20">
        <f>IF($X318="","",SUMIFS(상세표[06~07시],상세표[사번키],INDEX(합계표[사번키],$X318),상세표[반영월],대상월키,상세표[반영 기관],"서울병원"))</f>
        <v/>
      </c>
      <c r="O318" s="20">
        <f>IF($X318="","",SUMIFS(상세표[07~18시],상세표[사번키],INDEX(합계표[사번키],$X318),상세표[반영월],대상월키,상세표[반영 기관],"서울병원"))</f>
        <v/>
      </c>
      <c r="P318" s="20">
        <f>IF($X318="","",SUMIFS(상세표[18~22시],상세표[사번키],INDEX(합계표[사번키],$X318),상세표[반영월],대상월키,상세표[반영 기관],"서울병원"))</f>
        <v/>
      </c>
      <c r="Q318" s="20">
        <f>IF($X318="","",SUMIFS(상세표[22~06시],상세표[사번키],INDEX(합계표[사번키],$X318),상세표[반영월],대상월키,상세표[반영 기관],"서울병원"))</f>
        <v/>
      </c>
      <c r="R318" s="20">
        <f>IF($X318="","",SUM($N318:$Q318))</f>
        <v/>
      </c>
      <c r="S318">
        <f>IF($X318="","",COUNTIFS(상세표[사번키],INDEX(합계표[사번키],$X318),상세표[반영월],대상월키,상세표[야간당직],1,상세표[야간 구분],"평일"))</f>
        <v/>
      </c>
      <c r="T318">
        <f>IF($X318="","",COUNTIFS(상세표[사번키],INDEX(합계표[사번키],$X318),상세표[반영월],대상월키,상세표[야간당직],1,상세표[야간 구분],"휴일"))</f>
        <v/>
      </c>
      <c r="U318">
        <f>IF($X318="","",COUNTIFS(상세표[사번키],INDEX(합계표[사번키],$X318),상세표[반영월],대상월키,상세표[야간당직],1,상세표[야간 구분],"평일",상세표[반영 기관],"서울병원"))</f>
        <v/>
      </c>
      <c r="V318">
        <f>IF($X318="","",COUNTIFS(상세표[사번키],INDEX(합계표[사번키],$X318),상세표[반영월],대상월키,상세표[야간당직],1,상세표[야간 구분],"휴일",상세표[반영 기관],"서울병원"))</f>
        <v/>
      </c>
      <c r="W318">
        <f>IF($X318="","",IF(ISNUMBER(MATCH(INDEX(합계표[사번키],$X318)&amp;"|"&amp;대상월키,월별근무지표[키],0)),"직접 입력",IF($L318="—","—","기관명단")))</f>
        <v/>
      </c>
      <c r="X318" s="4">
        <f>IFERROR(MATCH(313,합계표[판정순번],0),"")</f>
        <v/>
      </c>
    </row>
    <row r="319">
      <c r="A319">
        <f>IF($X319="","",INDEX(합계표[사번],$X319)&amp;"")</f>
        <v/>
      </c>
      <c r="B319">
        <f>IF($X319="","",INDEX(합계표[성명],$X319)&amp;"")</f>
        <v/>
      </c>
      <c r="C319">
        <f>IF($X319="","",INDEX(합계표[부서],$X319)&amp;"")</f>
        <v/>
      </c>
      <c r="D319">
        <f>IF($X319="","",INDEX(합계표[직위(요약)],$X319)&amp;"")</f>
        <v/>
      </c>
      <c r="E319">
        <f>IF($X319="","",INDEX(합계표[직급 공존],$X319)&amp;"")</f>
        <v/>
      </c>
      <c r="F319" s="20">
        <f>IF($X319="","",SUMIFS(합계표[시스템 합계],합계표[사번키],INDEX(합계표[사번키],$X319)))</f>
        <v/>
      </c>
      <c r="G319" s="20">
        <f>IF($X319="","",SUMIFS(상세표[기록 시간외],상세표[사번키],INDEX(합계표[사번키],$X319),상세표[기록월],대상월키))</f>
        <v/>
      </c>
      <c r="H319">
        <f>IF($X319="","",IF(ABS($F319-$G319)&lt;0.01,"일치","불일치(차이 "&amp;TEXT($G319-$F319,"0.00")&amp;")"))</f>
        <v/>
      </c>
      <c r="I319" s="20">
        <f>IF($X319="","",SUMIFS(상세표[기록 시간외],상세표[사번키],INDEX(합계표[사번키],$X319),상세표[기록월],대상월키,상세표[반영월],"&lt;&gt;"&amp;대상월키))</f>
        <v/>
      </c>
      <c r="J319" s="20">
        <f>IF($X319="","",SUMIFS(상세표[기록 시간외],상세표[사번키],INDEX(합계표[사번키],$X319),상세표[기록월],"&lt;&gt;"&amp;대상월키,상세표[반영월],대상월키))</f>
        <v/>
      </c>
      <c r="K319" s="20">
        <f>IF($X319="","",SUMIFS(상세표[기록 시간외],상세표[사번키],INDEX(합계표[사번키],$X319),상세표[반영월],대상월키))</f>
        <v/>
      </c>
      <c r="L319">
        <f>IF($X319="","",IFERROR(INDEX(월별근무지표[적용 급여병원],MATCH(INDEX(합계표[사번키],$X319)&amp;"|"&amp;대상월키,월별근무지표[키],0))&amp;"",IF(COUNTIF(기관표[사번키],INDEX(합계표[사번키],$X319))+COUNTIF(월별근무지표[사번키],INDEX(합계표[사번키],$X319))&gt;0,IFERROR(INDEX(기관표[급여지급병원(기준월)],MATCH(INDEX(합계표[사번키],$X319)&amp;"|"&amp;대상월키,기관표[키],0))&amp;"","—"),"—")))</f>
        <v/>
      </c>
      <c r="M319">
        <f>IF($X319="","",IF(NOT(COUNTIF(기관표[사번키],INDEX(합계표[사번키],$X319))+COUNTIF(월별근무지표[사번키],INDEX(합계표[사번키],$X319))&gt;0),"기관명단에 없음(다른 병원으로 발송)",IF($L319="서울병원","해당",IF(N($R319)&gt;0,"해당(말일 근무)",IF($L319="—","대상월 기관명단 없음(추가 필요)","비해당")))))</f>
        <v/>
      </c>
      <c r="N319" s="20">
        <f>IF($X319="","",SUMIFS(상세표[06~07시],상세표[사번키],INDEX(합계표[사번키],$X319),상세표[반영월],대상월키,상세표[반영 기관],"서울병원"))</f>
        <v/>
      </c>
      <c r="O319" s="20">
        <f>IF($X319="","",SUMIFS(상세표[07~18시],상세표[사번키],INDEX(합계표[사번키],$X319),상세표[반영월],대상월키,상세표[반영 기관],"서울병원"))</f>
        <v/>
      </c>
      <c r="P319" s="20">
        <f>IF($X319="","",SUMIFS(상세표[18~22시],상세표[사번키],INDEX(합계표[사번키],$X319),상세표[반영월],대상월키,상세표[반영 기관],"서울병원"))</f>
        <v/>
      </c>
      <c r="Q319" s="20">
        <f>IF($X319="","",SUMIFS(상세표[22~06시],상세표[사번키],INDEX(합계표[사번키],$X319),상세표[반영월],대상월키,상세표[반영 기관],"서울병원"))</f>
        <v/>
      </c>
      <c r="R319" s="20">
        <f>IF($X319="","",SUM($N319:$Q319))</f>
        <v/>
      </c>
      <c r="S319">
        <f>IF($X319="","",COUNTIFS(상세표[사번키],INDEX(합계표[사번키],$X319),상세표[반영월],대상월키,상세표[야간당직],1,상세표[야간 구분],"평일"))</f>
        <v/>
      </c>
      <c r="T319">
        <f>IF($X319="","",COUNTIFS(상세표[사번키],INDEX(합계표[사번키],$X319),상세표[반영월],대상월키,상세표[야간당직],1,상세표[야간 구분],"휴일"))</f>
        <v/>
      </c>
      <c r="U319">
        <f>IF($X319="","",COUNTIFS(상세표[사번키],INDEX(합계표[사번키],$X319),상세표[반영월],대상월키,상세표[야간당직],1,상세표[야간 구분],"평일",상세표[반영 기관],"서울병원"))</f>
        <v/>
      </c>
      <c r="V319">
        <f>IF($X319="","",COUNTIFS(상세표[사번키],INDEX(합계표[사번키],$X319),상세표[반영월],대상월키,상세표[야간당직],1,상세표[야간 구분],"휴일",상세표[반영 기관],"서울병원"))</f>
        <v/>
      </c>
      <c r="W319">
        <f>IF($X319="","",IF(ISNUMBER(MATCH(INDEX(합계표[사번키],$X319)&amp;"|"&amp;대상월키,월별근무지표[키],0)),"직접 입력",IF($L319="—","—","기관명단")))</f>
        <v/>
      </c>
      <c r="X319" s="4">
        <f>IFERROR(MATCH(314,합계표[판정순번],0),"")</f>
        <v/>
      </c>
    </row>
    <row r="320">
      <c r="A320">
        <f>IF($X320="","",INDEX(합계표[사번],$X320)&amp;"")</f>
        <v/>
      </c>
      <c r="B320">
        <f>IF($X320="","",INDEX(합계표[성명],$X320)&amp;"")</f>
        <v/>
      </c>
      <c r="C320">
        <f>IF($X320="","",INDEX(합계표[부서],$X320)&amp;"")</f>
        <v/>
      </c>
      <c r="D320">
        <f>IF($X320="","",INDEX(합계표[직위(요약)],$X320)&amp;"")</f>
        <v/>
      </c>
      <c r="E320">
        <f>IF($X320="","",INDEX(합계표[직급 공존],$X320)&amp;"")</f>
        <v/>
      </c>
      <c r="F320" s="20">
        <f>IF($X320="","",SUMIFS(합계표[시스템 합계],합계표[사번키],INDEX(합계표[사번키],$X320)))</f>
        <v/>
      </c>
      <c r="G320" s="20">
        <f>IF($X320="","",SUMIFS(상세표[기록 시간외],상세표[사번키],INDEX(합계표[사번키],$X320),상세표[기록월],대상월키))</f>
        <v/>
      </c>
      <c r="H320">
        <f>IF($X320="","",IF(ABS($F320-$G320)&lt;0.01,"일치","불일치(차이 "&amp;TEXT($G320-$F320,"0.00")&amp;")"))</f>
        <v/>
      </c>
      <c r="I320" s="20">
        <f>IF($X320="","",SUMIFS(상세표[기록 시간외],상세표[사번키],INDEX(합계표[사번키],$X320),상세표[기록월],대상월키,상세표[반영월],"&lt;&gt;"&amp;대상월키))</f>
        <v/>
      </c>
      <c r="J320" s="20">
        <f>IF($X320="","",SUMIFS(상세표[기록 시간외],상세표[사번키],INDEX(합계표[사번키],$X320),상세표[기록월],"&lt;&gt;"&amp;대상월키,상세표[반영월],대상월키))</f>
        <v/>
      </c>
      <c r="K320" s="20">
        <f>IF($X320="","",SUMIFS(상세표[기록 시간외],상세표[사번키],INDEX(합계표[사번키],$X320),상세표[반영월],대상월키))</f>
        <v/>
      </c>
      <c r="L320">
        <f>IF($X320="","",IFERROR(INDEX(월별근무지표[적용 급여병원],MATCH(INDEX(합계표[사번키],$X320)&amp;"|"&amp;대상월키,월별근무지표[키],0))&amp;"",IF(COUNTIF(기관표[사번키],INDEX(합계표[사번키],$X320))+COUNTIF(월별근무지표[사번키],INDEX(합계표[사번키],$X320))&gt;0,IFERROR(INDEX(기관표[급여지급병원(기준월)],MATCH(INDEX(합계표[사번키],$X320)&amp;"|"&amp;대상월키,기관표[키],0))&amp;"","—"),"—")))</f>
        <v/>
      </c>
      <c r="M320">
        <f>IF($X320="","",IF(NOT(COUNTIF(기관표[사번키],INDEX(합계표[사번키],$X320))+COUNTIF(월별근무지표[사번키],INDEX(합계표[사번키],$X320))&gt;0),"기관명단에 없음(다른 병원으로 발송)",IF($L320="서울병원","해당",IF(N($R320)&gt;0,"해당(말일 근무)",IF($L320="—","대상월 기관명단 없음(추가 필요)","비해당")))))</f>
        <v/>
      </c>
      <c r="N320" s="20">
        <f>IF($X320="","",SUMIFS(상세표[06~07시],상세표[사번키],INDEX(합계표[사번키],$X320),상세표[반영월],대상월키,상세표[반영 기관],"서울병원"))</f>
        <v/>
      </c>
      <c r="O320" s="20">
        <f>IF($X320="","",SUMIFS(상세표[07~18시],상세표[사번키],INDEX(합계표[사번키],$X320),상세표[반영월],대상월키,상세표[반영 기관],"서울병원"))</f>
        <v/>
      </c>
      <c r="P320" s="20">
        <f>IF($X320="","",SUMIFS(상세표[18~22시],상세표[사번키],INDEX(합계표[사번키],$X320),상세표[반영월],대상월키,상세표[반영 기관],"서울병원"))</f>
        <v/>
      </c>
      <c r="Q320" s="20">
        <f>IF($X320="","",SUMIFS(상세표[22~06시],상세표[사번키],INDEX(합계표[사번키],$X320),상세표[반영월],대상월키,상세표[반영 기관],"서울병원"))</f>
        <v/>
      </c>
      <c r="R320" s="20">
        <f>IF($X320="","",SUM($N320:$Q320))</f>
        <v/>
      </c>
      <c r="S320">
        <f>IF($X320="","",COUNTIFS(상세표[사번키],INDEX(합계표[사번키],$X320),상세표[반영월],대상월키,상세표[야간당직],1,상세표[야간 구분],"평일"))</f>
        <v/>
      </c>
      <c r="T320">
        <f>IF($X320="","",COUNTIFS(상세표[사번키],INDEX(합계표[사번키],$X320),상세표[반영월],대상월키,상세표[야간당직],1,상세표[야간 구분],"휴일"))</f>
        <v/>
      </c>
      <c r="U320">
        <f>IF($X320="","",COUNTIFS(상세표[사번키],INDEX(합계표[사번키],$X320),상세표[반영월],대상월키,상세표[야간당직],1,상세표[야간 구분],"평일",상세표[반영 기관],"서울병원"))</f>
        <v/>
      </c>
      <c r="V320">
        <f>IF($X320="","",COUNTIFS(상세표[사번키],INDEX(합계표[사번키],$X320),상세표[반영월],대상월키,상세표[야간당직],1,상세표[야간 구분],"휴일",상세표[반영 기관],"서울병원"))</f>
        <v/>
      </c>
      <c r="W320">
        <f>IF($X320="","",IF(ISNUMBER(MATCH(INDEX(합계표[사번키],$X320)&amp;"|"&amp;대상월키,월별근무지표[키],0)),"직접 입력",IF($L320="—","—","기관명단")))</f>
        <v/>
      </c>
      <c r="X320" s="4">
        <f>IFERROR(MATCH(315,합계표[판정순번],0),"")</f>
        <v/>
      </c>
    </row>
    <row r="321">
      <c r="A321">
        <f>IF($X321="","",INDEX(합계표[사번],$X321)&amp;"")</f>
        <v/>
      </c>
      <c r="B321">
        <f>IF($X321="","",INDEX(합계표[성명],$X321)&amp;"")</f>
        <v/>
      </c>
      <c r="C321">
        <f>IF($X321="","",INDEX(합계표[부서],$X321)&amp;"")</f>
        <v/>
      </c>
      <c r="D321">
        <f>IF($X321="","",INDEX(합계표[직위(요약)],$X321)&amp;"")</f>
        <v/>
      </c>
      <c r="E321">
        <f>IF($X321="","",INDEX(합계표[직급 공존],$X321)&amp;"")</f>
        <v/>
      </c>
      <c r="F321" s="20">
        <f>IF($X321="","",SUMIFS(합계표[시스템 합계],합계표[사번키],INDEX(합계표[사번키],$X321)))</f>
        <v/>
      </c>
      <c r="G321" s="20">
        <f>IF($X321="","",SUMIFS(상세표[기록 시간외],상세표[사번키],INDEX(합계표[사번키],$X321),상세표[기록월],대상월키))</f>
        <v/>
      </c>
      <c r="H321">
        <f>IF($X321="","",IF(ABS($F321-$G321)&lt;0.01,"일치","불일치(차이 "&amp;TEXT($G321-$F321,"0.00")&amp;")"))</f>
        <v/>
      </c>
      <c r="I321" s="20">
        <f>IF($X321="","",SUMIFS(상세표[기록 시간외],상세표[사번키],INDEX(합계표[사번키],$X321),상세표[기록월],대상월키,상세표[반영월],"&lt;&gt;"&amp;대상월키))</f>
        <v/>
      </c>
      <c r="J321" s="20">
        <f>IF($X321="","",SUMIFS(상세표[기록 시간외],상세표[사번키],INDEX(합계표[사번키],$X321),상세표[기록월],"&lt;&gt;"&amp;대상월키,상세표[반영월],대상월키))</f>
        <v/>
      </c>
      <c r="K321" s="20">
        <f>IF($X321="","",SUMIFS(상세표[기록 시간외],상세표[사번키],INDEX(합계표[사번키],$X321),상세표[반영월],대상월키))</f>
        <v/>
      </c>
      <c r="L321">
        <f>IF($X321="","",IFERROR(INDEX(월별근무지표[적용 급여병원],MATCH(INDEX(합계표[사번키],$X321)&amp;"|"&amp;대상월키,월별근무지표[키],0))&amp;"",IF(COUNTIF(기관표[사번키],INDEX(합계표[사번키],$X321))+COUNTIF(월별근무지표[사번키],INDEX(합계표[사번키],$X321))&gt;0,IFERROR(INDEX(기관표[급여지급병원(기준월)],MATCH(INDEX(합계표[사번키],$X321)&amp;"|"&amp;대상월키,기관표[키],0))&amp;"","—"),"—")))</f>
        <v/>
      </c>
      <c r="M321">
        <f>IF($X321="","",IF(NOT(COUNTIF(기관표[사번키],INDEX(합계표[사번키],$X321))+COUNTIF(월별근무지표[사번키],INDEX(합계표[사번키],$X321))&gt;0),"기관명단에 없음(다른 병원으로 발송)",IF($L321="서울병원","해당",IF(N($R321)&gt;0,"해당(말일 근무)",IF($L321="—","대상월 기관명단 없음(추가 필요)","비해당")))))</f>
        <v/>
      </c>
      <c r="N321" s="20">
        <f>IF($X321="","",SUMIFS(상세표[06~07시],상세표[사번키],INDEX(합계표[사번키],$X321),상세표[반영월],대상월키,상세표[반영 기관],"서울병원"))</f>
        <v/>
      </c>
      <c r="O321" s="20">
        <f>IF($X321="","",SUMIFS(상세표[07~18시],상세표[사번키],INDEX(합계표[사번키],$X321),상세표[반영월],대상월키,상세표[반영 기관],"서울병원"))</f>
        <v/>
      </c>
      <c r="P321" s="20">
        <f>IF($X321="","",SUMIFS(상세표[18~22시],상세표[사번키],INDEX(합계표[사번키],$X321),상세표[반영월],대상월키,상세표[반영 기관],"서울병원"))</f>
        <v/>
      </c>
      <c r="Q321" s="20">
        <f>IF($X321="","",SUMIFS(상세표[22~06시],상세표[사번키],INDEX(합계표[사번키],$X321),상세표[반영월],대상월키,상세표[반영 기관],"서울병원"))</f>
        <v/>
      </c>
      <c r="R321" s="20">
        <f>IF($X321="","",SUM($N321:$Q321))</f>
        <v/>
      </c>
      <c r="S321">
        <f>IF($X321="","",COUNTIFS(상세표[사번키],INDEX(합계표[사번키],$X321),상세표[반영월],대상월키,상세표[야간당직],1,상세표[야간 구분],"평일"))</f>
        <v/>
      </c>
      <c r="T321">
        <f>IF($X321="","",COUNTIFS(상세표[사번키],INDEX(합계표[사번키],$X321),상세표[반영월],대상월키,상세표[야간당직],1,상세표[야간 구분],"휴일"))</f>
        <v/>
      </c>
      <c r="U321">
        <f>IF($X321="","",COUNTIFS(상세표[사번키],INDEX(합계표[사번키],$X321),상세표[반영월],대상월키,상세표[야간당직],1,상세표[야간 구분],"평일",상세표[반영 기관],"서울병원"))</f>
        <v/>
      </c>
      <c r="V321">
        <f>IF($X321="","",COUNTIFS(상세표[사번키],INDEX(합계표[사번키],$X321),상세표[반영월],대상월키,상세표[야간당직],1,상세표[야간 구분],"휴일",상세표[반영 기관],"서울병원"))</f>
        <v/>
      </c>
      <c r="W321">
        <f>IF($X321="","",IF(ISNUMBER(MATCH(INDEX(합계표[사번키],$X321)&amp;"|"&amp;대상월키,월별근무지표[키],0)),"직접 입력",IF($L321="—","—","기관명단")))</f>
        <v/>
      </c>
      <c r="X321" s="4">
        <f>IFERROR(MATCH(316,합계표[판정순번],0),"")</f>
        <v/>
      </c>
    </row>
    <row r="322">
      <c r="A322">
        <f>IF($X322="","",INDEX(합계표[사번],$X322)&amp;"")</f>
        <v/>
      </c>
      <c r="B322">
        <f>IF($X322="","",INDEX(합계표[성명],$X322)&amp;"")</f>
        <v/>
      </c>
      <c r="C322">
        <f>IF($X322="","",INDEX(합계표[부서],$X322)&amp;"")</f>
        <v/>
      </c>
      <c r="D322">
        <f>IF($X322="","",INDEX(합계표[직위(요약)],$X322)&amp;"")</f>
        <v/>
      </c>
      <c r="E322">
        <f>IF($X322="","",INDEX(합계표[직급 공존],$X322)&amp;"")</f>
        <v/>
      </c>
      <c r="F322" s="20">
        <f>IF($X322="","",SUMIFS(합계표[시스템 합계],합계표[사번키],INDEX(합계표[사번키],$X322)))</f>
        <v/>
      </c>
      <c r="G322" s="20">
        <f>IF($X322="","",SUMIFS(상세표[기록 시간외],상세표[사번키],INDEX(합계표[사번키],$X322),상세표[기록월],대상월키))</f>
        <v/>
      </c>
      <c r="H322">
        <f>IF($X322="","",IF(ABS($F322-$G322)&lt;0.01,"일치","불일치(차이 "&amp;TEXT($G322-$F322,"0.00")&amp;")"))</f>
        <v/>
      </c>
      <c r="I322" s="20">
        <f>IF($X322="","",SUMIFS(상세표[기록 시간외],상세표[사번키],INDEX(합계표[사번키],$X322),상세표[기록월],대상월키,상세표[반영월],"&lt;&gt;"&amp;대상월키))</f>
        <v/>
      </c>
      <c r="J322" s="20">
        <f>IF($X322="","",SUMIFS(상세표[기록 시간외],상세표[사번키],INDEX(합계표[사번키],$X322),상세표[기록월],"&lt;&gt;"&amp;대상월키,상세표[반영월],대상월키))</f>
        <v/>
      </c>
      <c r="K322" s="20">
        <f>IF($X322="","",SUMIFS(상세표[기록 시간외],상세표[사번키],INDEX(합계표[사번키],$X322),상세표[반영월],대상월키))</f>
        <v/>
      </c>
      <c r="L322">
        <f>IF($X322="","",IFERROR(INDEX(월별근무지표[적용 급여병원],MATCH(INDEX(합계표[사번키],$X322)&amp;"|"&amp;대상월키,월별근무지표[키],0))&amp;"",IF(COUNTIF(기관표[사번키],INDEX(합계표[사번키],$X322))+COUNTIF(월별근무지표[사번키],INDEX(합계표[사번키],$X322))&gt;0,IFERROR(INDEX(기관표[급여지급병원(기준월)],MATCH(INDEX(합계표[사번키],$X322)&amp;"|"&amp;대상월키,기관표[키],0))&amp;"","—"),"—")))</f>
        <v/>
      </c>
      <c r="M322">
        <f>IF($X322="","",IF(NOT(COUNTIF(기관표[사번키],INDEX(합계표[사번키],$X322))+COUNTIF(월별근무지표[사번키],INDEX(합계표[사번키],$X322))&gt;0),"기관명단에 없음(다른 병원으로 발송)",IF($L322="서울병원","해당",IF(N($R322)&gt;0,"해당(말일 근무)",IF($L322="—","대상월 기관명단 없음(추가 필요)","비해당")))))</f>
        <v/>
      </c>
      <c r="N322" s="20">
        <f>IF($X322="","",SUMIFS(상세표[06~07시],상세표[사번키],INDEX(합계표[사번키],$X322),상세표[반영월],대상월키,상세표[반영 기관],"서울병원"))</f>
        <v/>
      </c>
      <c r="O322" s="20">
        <f>IF($X322="","",SUMIFS(상세표[07~18시],상세표[사번키],INDEX(합계표[사번키],$X322),상세표[반영월],대상월키,상세표[반영 기관],"서울병원"))</f>
        <v/>
      </c>
      <c r="P322" s="20">
        <f>IF($X322="","",SUMIFS(상세표[18~22시],상세표[사번키],INDEX(합계표[사번키],$X322),상세표[반영월],대상월키,상세표[반영 기관],"서울병원"))</f>
        <v/>
      </c>
      <c r="Q322" s="20">
        <f>IF($X322="","",SUMIFS(상세표[22~06시],상세표[사번키],INDEX(합계표[사번키],$X322),상세표[반영월],대상월키,상세표[반영 기관],"서울병원"))</f>
        <v/>
      </c>
      <c r="R322" s="20">
        <f>IF($X322="","",SUM($N322:$Q322))</f>
        <v/>
      </c>
      <c r="S322">
        <f>IF($X322="","",COUNTIFS(상세표[사번키],INDEX(합계표[사번키],$X322),상세표[반영월],대상월키,상세표[야간당직],1,상세표[야간 구분],"평일"))</f>
        <v/>
      </c>
      <c r="T322">
        <f>IF($X322="","",COUNTIFS(상세표[사번키],INDEX(합계표[사번키],$X322),상세표[반영월],대상월키,상세표[야간당직],1,상세표[야간 구분],"휴일"))</f>
        <v/>
      </c>
      <c r="U322">
        <f>IF($X322="","",COUNTIFS(상세표[사번키],INDEX(합계표[사번키],$X322),상세표[반영월],대상월키,상세표[야간당직],1,상세표[야간 구분],"평일",상세표[반영 기관],"서울병원"))</f>
        <v/>
      </c>
      <c r="V322">
        <f>IF($X322="","",COUNTIFS(상세표[사번키],INDEX(합계표[사번키],$X322),상세표[반영월],대상월키,상세표[야간당직],1,상세표[야간 구분],"휴일",상세표[반영 기관],"서울병원"))</f>
        <v/>
      </c>
      <c r="W322">
        <f>IF($X322="","",IF(ISNUMBER(MATCH(INDEX(합계표[사번키],$X322)&amp;"|"&amp;대상월키,월별근무지표[키],0)),"직접 입력",IF($L322="—","—","기관명단")))</f>
        <v/>
      </c>
      <c r="X322" s="4">
        <f>IFERROR(MATCH(317,합계표[판정순번],0),"")</f>
        <v/>
      </c>
    </row>
    <row r="323">
      <c r="A323">
        <f>IF($X323="","",INDEX(합계표[사번],$X323)&amp;"")</f>
        <v/>
      </c>
      <c r="B323">
        <f>IF($X323="","",INDEX(합계표[성명],$X323)&amp;"")</f>
        <v/>
      </c>
      <c r="C323">
        <f>IF($X323="","",INDEX(합계표[부서],$X323)&amp;"")</f>
        <v/>
      </c>
      <c r="D323">
        <f>IF($X323="","",INDEX(합계표[직위(요약)],$X323)&amp;"")</f>
        <v/>
      </c>
      <c r="E323">
        <f>IF($X323="","",INDEX(합계표[직급 공존],$X323)&amp;"")</f>
        <v/>
      </c>
      <c r="F323" s="20">
        <f>IF($X323="","",SUMIFS(합계표[시스템 합계],합계표[사번키],INDEX(합계표[사번키],$X323)))</f>
        <v/>
      </c>
      <c r="G323" s="20">
        <f>IF($X323="","",SUMIFS(상세표[기록 시간외],상세표[사번키],INDEX(합계표[사번키],$X323),상세표[기록월],대상월키))</f>
        <v/>
      </c>
      <c r="H323">
        <f>IF($X323="","",IF(ABS($F323-$G323)&lt;0.01,"일치","불일치(차이 "&amp;TEXT($G323-$F323,"0.00")&amp;")"))</f>
        <v/>
      </c>
      <c r="I323" s="20">
        <f>IF($X323="","",SUMIFS(상세표[기록 시간외],상세표[사번키],INDEX(합계표[사번키],$X323),상세표[기록월],대상월키,상세표[반영월],"&lt;&gt;"&amp;대상월키))</f>
        <v/>
      </c>
      <c r="J323" s="20">
        <f>IF($X323="","",SUMIFS(상세표[기록 시간외],상세표[사번키],INDEX(합계표[사번키],$X323),상세표[기록월],"&lt;&gt;"&amp;대상월키,상세표[반영월],대상월키))</f>
        <v/>
      </c>
      <c r="K323" s="20">
        <f>IF($X323="","",SUMIFS(상세표[기록 시간외],상세표[사번키],INDEX(합계표[사번키],$X323),상세표[반영월],대상월키))</f>
        <v/>
      </c>
      <c r="L323">
        <f>IF($X323="","",IFERROR(INDEX(월별근무지표[적용 급여병원],MATCH(INDEX(합계표[사번키],$X323)&amp;"|"&amp;대상월키,월별근무지표[키],0))&amp;"",IF(COUNTIF(기관표[사번키],INDEX(합계표[사번키],$X323))+COUNTIF(월별근무지표[사번키],INDEX(합계표[사번키],$X323))&gt;0,IFERROR(INDEX(기관표[급여지급병원(기준월)],MATCH(INDEX(합계표[사번키],$X323)&amp;"|"&amp;대상월키,기관표[키],0))&amp;"","—"),"—")))</f>
        <v/>
      </c>
      <c r="M323">
        <f>IF($X323="","",IF(NOT(COUNTIF(기관표[사번키],INDEX(합계표[사번키],$X323))+COUNTIF(월별근무지표[사번키],INDEX(합계표[사번키],$X323))&gt;0),"기관명단에 없음(다른 병원으로 발송)",IF($L323="서울병원","해당",IF(N($R323)&gt;0,"해당(말일 근무)",IF($L323="—","대상월 기관명단 없음(추가 필요)","비해당")))))</f>
        <v/>
      </c>
      <c r="N323" s="20">
        <f>IF($X323="","",SUMIFS(상세표[06~07시],상세표[사번키],INDEX(합계표[사번키],$X323),상세표[반영월],대상월키,상세표[반영 기관],"서울병원"))</f>
        <v/>
      </c>
      <c r="O323" s="20">
        <f>IF($X323="","",SUMIFS(상세표[07~18시],상세표[사번키],INDEX(합계표[사번키],$X323),상세표[반영월],대상월키,상세표[반영 기관],"서울병원"))</f>
        <v/>
      </c>
      <c r="P323" s="20">
        <f>IF($X323="","",SUMIFS(상세표[18~22시],상세표[사번키],INDEX(합계표[사번키],$X323),상세표[반영월],대상월키,상세표[반영 기관],"서울병원"))</f>
        <v/>
      </c>
      <c r="Q323" s="20">
        <f>IF($X323="","",SUMIFS(상세표[22~06시],상세표[사번키],INDEX(합계표[사번키],$X323),상세표[반영월],대상월키,상세표[반영 기관],"서울병원"))</f>
        <v/>
      </c>
      <c r="R323" s="20">
        <f>IF($X323="","",SUM($N323:$Q323))</f>
        <v/>
      </c>
      <c r="S323">
        <f>IF($X323="","",COUNTIFS(상세표[사번키],INDEX(합계표[사번키],$X323),상세표[반영월],대상월키,상세표[야간당직],1,상세표[야간 구분],"평일"))</f>
        <v/>
      </c>
      <c r="T323">
        <f>IF($X323="","",COUNTIFS(상세표[사번키],INDEX(합계표[사번키],$X323),상세표[반영월],대상월키,상세표[야간당직],1,상세표[야간 구분],"휴일"))</f>
        <v/>
      </c>
      <c r="U323">
        <f>IF($X323="","",COUNTIFS(상세표[사번키],INDEX(합계표[사번키],$X323),상세표[반영월],대상월키,상세표[야간당직],1,상세표[야간 구분],"평일",상세표[반영 기관],"서울병원"))</f>
        <v/>
      </c>
      <c r="V323">
        <f>IF($X323="","",COUNTIFS(상세표[사번키],INDEX(합계표[사번키],$X323),상세표[반영월],대상월키,상세표[야간당직],1,상세표[야간 구분],"휴일",상세표[반영 기관],"서울병원"))</f>
        <v/>
      </c>
      <c r="W323">
        <f>IF($X323="","",IF(ISNUMBER(MATCH(INDEX(합계표[사번키],$X323)&amp;"|"&amp;대상월키,월별근무지표[키],0)),"직접 입력",IF($L323="—","—","기관명단")))</f>
        <v/>
      </c>
      <c r="X323" s="4">
        <f>IFERROR(MATCH(318,합계표[판정순번],0),"")</f>
        <v/>
      </c>
    </row>
    <row r="324">
      <c r="A324">
        <f>IF($X324="","",INDEX(합계표[사번],$X324)&amp;"")</f>
        <v/>
      </c>
      <c r="B324">
        <f>IF($X324="","",INDEX(합계표[성명],$X324)&amp;"")</f>
        <v/>
      </c>
      <c r="C324">
        <f>IF($X324="","",INDEX(합계표[부서],$X324)&amp;"")</f>
        <v/>
      </c>
      <c r="D324">
        <f>IF($X324="","",INDEX(합계표[직위(요약)],$X324)&amp;"")</f>
        <v/>
      </c>
      <c r="E324">
        <f>IF($X324="","",INDEX(합계표[직급 공존],$X324)&amp;"")</f>
        <v/>
      </c>
      <c r="F324" s="20">
        <f>IF($X324="","",SUMIFS(합계표[시스템 합계],합계표[사번키],INDEX(합계표[사번키],$X324)))</f>
        <v/>
      </c>
      <c r="G324" s="20">
        <f>IF($X324="","",SUMIFS(상세표[기록 시간외],상세표[사번키],INDEX(합계표[사번키],$X324),상세표[기록월],대상월키))</f>
        <v/>
      </c>
      <c r="H324">
        <f>IF($X324="","",IF(ABS($F324-$G324)&lt;0.01,"일치","불일치(차이 "&amp;TEXT($G324-$F324,"0.00")&amp;")"))</f>
        <v/>
      </c>
      <c r="I324" s="20">
        <f>IF($X324="","",SUMIFS(상세표[기록 시간외],상세표[사번키],INDEX(합계표[사번키],$X324),상세표[기록월],대상월키,상세표[반영월],"&lt;&gt;"&amp;대상월키))</f>
        <v/>
      </c>
      <c r="J324" s="20">
        <f>IF($X324="","",SUMIFS(상세표[기록 시간외],상세표[사번키],INDEX(합계표[사번키],$X324),상세표[기록월],"&lt;&gt;"&amp;대상월키,상세표[반영월],대상월키))</f>
        <v/>
      </c>
      <c r="K324" s="20">
        <f>IF($X324="","",SUMIFS(상세표[기록 시간외],상세표[사번키],INDEX(합계표[사번키],$X324),상세표[반영월],대상월키))</f>
        <v/>
      </c>
      <c r="L324">
        <f>IF($X324="","",IFERROR(INDEX(월별근무지표[적용 급여병원],MATCH(INDEX(합계표[사번키],$X324)&amp;"|"&amp;대상월키,월별근무지표[키],0))&amp;"",IF(COUNTIF(기관표[사번키],INDEX(합계표[사번키],$X324))+COUNTIF(월별근무지표[사번키],INDEX(합계표[사번키],$X324))&gt;0,IFERROR(INDEX(기관표[급여지급병원(기준월)],MATCH(INDEX(합계표[사번키],$X324)&amp;"|"&amp;대상월키,기관표[키],0))&amp;"","—"),"—")))</f>
        <v/>
      </c>
      <c r="M324">
        <f>IF($X324="","",IF(NOT(COUNTIF(기관표[사번키],INDEX(합계표[사번키],$X324))+COUNTIF(월별근무지표[사번키],INDEX(합계표[사번키],$X324))&gt;0),"기관명단에 없음(다른 병원으로 발송)",IF($L324="서울병원","해당",IF(N($R324)&gt;0,"해당(말일 근무)",IF($L324="—","대상월 기관명단 없음(추가 필요)","비해당")))))</f>
        <v/>
      </c>
      <c r="N324" s="20">
        <f>IF($X324="","",SUMIFS(상세표[06~07시],상세표[사번키],INDEX(합계표[사번키],$X324),상세표[반영월],대상월키,상세표[반영 기관],"서울병원"))</f>
        <v/>
      </c>
      <c r="O324" s="20">
        <f>IF($X324="","",SUMIFS(상세표[07~18시],상세표[사번키],INDEX(합계표[사번키],$X324),상세표[반영월],대상월키,상세표[반영 기관],"서울병원"))</f>
        <v/>
      </c>
      <c r="P324" s="20">
        <f>IF($X324="","",SUMIFS(상세표[18~22시],상세표[사번키],INDEX(합계표[사번키],$X324),상세표[반영월],대상월키,상세표[반영 기관],"서울병원"))</f>
        <v/>
      </c>
      <c r="Q324" s="20">
        <f>IF($X324="","",SUMIFS(상세표[22~06시],상세표[사번키],INDEX(합계표[사번키],$X324),상세표[반영월],대상월키,상세표[반영 기관],"서울병원"))</f>
        <v/>
      </c>
      <c r="R324" s="20">
        <f>IF($X324="","",SUM($N324:$Q324))</f>
        <v/>
      </c>
      <c r="S324">
        <f>IF($X324="","",COUNTIFS(상세표[사번키],INDEX(합계표[사번키],$X324),상세표[반영월],대상월키,상세표[야간당직],1,상세표[야간 구분],"평일"))</f>
        <v/>
      </c>
      <c r="T324">
        <f>IF($X324="","",COUNTIFS(상세표[사번키],INDEX(합계표[사번키],$X324),상세표[반영월],대상월키,상세표[야간당직],1,상세표[야간 구분],"휴일"))</f>
        <v/>
      </c>
      <c r="U324">
        <f>IF($X324="","",COUNTIFS(상세표[사번키],INDEX(합계표[사번키],$X324),상세표[반영월],대상월키,상세표[야간당직],1,상세표[야간 구분],"평일",상세표[반영 기관],"서울병원"))</f>
        <v/>
      </c>
      <c r="V324">
        <f>IF($X324="","",COUNTIFS(상세표[사번키],INDEX(합계표[사번키],$X324),상세표[반영월],대상월키,상세표[야간당직],1,상세표[야간 구분],"휴일",상세표[반영 기관],"서울병원"))</f>
        <v/>
      </c>
      <c r="W324">
        <f>IF($X324="","",IF(ISNUMBER(MATCH(INDEX(합계표[사번키],$X324)&amp;"|"&amp;대상월키,월별근무지표[키],0)),"직접 입력",IF($L324="—","—","기관명단")))</f>
        <v/>
      </c>
      <c r="X324" s="4">
        <f>IFERROR(MATCH(319,합계표[판정순번],0),"")</f>
        <v/>
      </c>
    </row>
    <row r="325">
      <c r="A325">
        <f>IF($X325="","",INDEX(합계표[사번],$X325)&amp;"")</f>
        <v/>
      </c>
      <c r="B325">
        <f>IF($X325="","",INDEX(합계표[성명],$X325)&amp;"")</f>
        <v/>
      </c>
      <c r="C325">
        <f>IF($X325="","",INDEX(합계표[부서],$X325)&amp;"")</f>
        <v/>
      </c>
      <c r="D325">
        <f>IF($X325="","",INDEX(합계표[직위(요약)],$X325)&amp;"")</f>
        <v/>
      </c>
      <c r="E325">
        <f>IF($X325="","",INDEX(합계표[직급 공존],$X325)&amp;"")</f>
        <v/>
      </c>
      <c r="F325" s="20">
        <f>IF($X325="","",SUMIFS(합계표[시스템 합계],합계표[사번키],INDEX(합계표[사번키],$X325)))</f>
        <v/>
      </c>
      <c r="G325" s="20">
        <f>IF($X325="","",SUMIFS(상세표[기록 시간외],상세표[사번키],INDEX(합계표[사번키],$X325),상세표[기록월],대상월키))</f>
        <v/>
      </c>
      <c r="H325">
        <f>IF($X325="","",IF(ABS($F325-$G325)&lt;0.01,"일치","불일치(차이 "&amp;TEXT($G325-$F325,"0.00")&amp;")"))</f>
        <v/>
      </c>
      <c r="I325" s="20">
        <f>IF($X325="","",SUMIFS(상세표[기록 시간외],상세표[사번키],INDEX(합계표[사번키],$X325),상세표[기록월],대상월키,상세표[반영월],"&lt;&gt;"&amp;대상월키))</f>
        <v/>
      </c>
      <c r="J325" s="20">
        <f>IF($X325="","",SUMIFS(상세표[기록 시간외],상세표[사번키],INDEX(합계표[사번키],$X325),상세표[기록월],"&lt;&gt;"&amp;대상월키,상세표[반영월],대상월키))</f>
        <v/>
      </c>
      <c r="K325" s="20">
        <f>IF($X325="","",SUMIFS(상세표[기록 시간외],상세표[사번키],INDEX(합계표[사번키],$X325),상세표[반영월],대상월키))</f>
        <v/>
      </c>
      <c r="L325">
        <f>IF($X325="","",IFERROR(INDEX(월별근무지표[적용 급여병원],MATCH(INDEX(합계표[사번키],$X325)&amp;"|"&amp;대상월키,월별근무지표[키],0))&amp;"",IF(COUNTIF(기관표[사번키],INDEX(합계표[사번키],$X325))+COUNTIF(월별근무지표[사번키],INDEX(합계표[사번키],$X325))&gt;0,IFERROR(INDEX(기관표[급여지급병원(기준월)],MATCH(INDEX(합계표[사번키],$X325)&amp;"|"&amp;대상월키,기관표[키],0))&amp;"","—"),"—")))</f>
        <v/>
      </c>
      <c r="M325">
        <f>IF($X325="","",IF(NOT(COUNTIF(기관표[사번키],INDEX(합계표[사번키],$X325))+COUNTIF(월별근무지표[사번키],INDEX(합계표[사번키],$X325))&gt;0),"기관명단에 없음(다른 병원으로 발송)",IF($L325="서울병원","해당",IF(N($R325)&gt;0,"해당(말일 근무)",IF($L325="—","대상월 기관명단 없음(추가 필요)","비해당")))))</f>
        <v/>
      </c>
      <c r="N325" s="20">
        <f>IF($X325="","",SUMIFS(상세표[06~07시],상세표[사번키],INDEX(합계표[사번키],$X325),상세표[반영월],대상월키,상세표[반영 기관],"서울병원"))</f>
        <v/>
      </c>
      <c r="O325" s="20">
        <f>IF($X325="","",SUMIFS(상세표[07~18시],상세표[사번키],INDEX(합계표[사번키],$X325),상세표[반영월],대상월키,상세표[반영 기관],"서울병원"))</f>
        <v/>
      </c>
      <c r="P325" s="20">
        <f>IF($X325="","",SUMIFS(상세표[18~22시],상세표[사번키],INDEX(합계표[사번키],$X325),상세표[반영월],대상월키,상세표[반영 기관],"서울병원"))</f>
        <v/>
      </c>
      <c r="Q325" s="20">
        <f>IF($X325="","",SUMIFS(상세표[22~06시],상세표[사번키],INDEX(합계표[사번키],$X325),상세표[반영월],대상월키,상세표[반영 기관],"서울병원"))</f>
        <v/>
      </c>
      <c r="R325" s="20">
        <f>IF($X325="","",SUM($N325:$Q325))</f>
        <v/>
      </c>
      <c r="S325">
        <f>IF($X325="","",COUNTIFS(상세표[사번키],INDEX(합계표[사번키],$X325),상세표[반영월],대상월키,상세표[야간당직],1,상세표[야간 구분],"평일"))</f>
        <v/>
      </c>
      <c r="T325">
        <f>IF($X325="","",COUNTIFS(상세표[사번키],INDEX(합계표[사번키],$X325),상세표[반영월],대상월키,상세표[야간당직],1,상세표[야간 구분],"휴일"))</f>
        <v/>
      </c>
      <c r="U325">
        <f>IF($X325="","",COUNTIFS(상세표[사번키],INDEX(합계표[사번키],$X325),상세표[반영월],대상월키,상세표[야간당직],1,상세표[야간 구분],"평일",상세표[반영 기관],"서울병원"))</f>
        <v/>
      </c>
      <c r="V325">
        <f>IF($X325="","",COUNTIFS(상세표[사번키],INDEX(합계표[사번키],$X325),상세표[반영월],대상월키,상세표[야간당직],1,상세표[야간 구분],"휴일",상세표[반영 기관],"서울병원"))</f>
        <v/>
      </c>
      <c r="W325">
        <f>IF($X325="","",IF(ISNUMBER(MATCH(INDEX(합계표[사번키],$X325)&amp;"|"&amp;대상월키,월별근무지표[키],0)),"직접 입력",IF($L325="—","—","기관명단")))</f>
        <v/>
      </c>
      <c r="X325" s="4">
        <f>IFERROR(MATCH(320,합계표[판정순번],0),"")</f>
        <v/>
      </c>
    </row>
    <row r="326">
      <c r="A326">
        <f>IF($X326="","",INDEX(합계표[사번],$X326)&amp;"")</f>
        <v/>
      </c>
      <c r="B326">
        <f>IF($X326="","",INDEX(합계표[성명],$X326)&amp;"")</f>
        <v/>
      </c>
      <c r="C326">
        <f>IF($X326="","",INDEX(합계표[부서],$X326)&amp;"")</f>
        <v/>
      </c>
      <c r="D326">
        <f>IF($X326="","",INDEX(합계표[직위(요약)],$X326)&amp;"")</f>
        <v/>
      </c>
      <c r="E326">
        <f>IF($X326="","",INDEX(합계표[직급 공존],$X326)&amp;"")</f>
        <v/>
      </c>
      <c r="F326" s="20">
        <f>IF($X326="","",SUMIFS(합계표[시스템 합계],합계표[사번키],INDEX(합계표[사번키],$X326)))</f>
        <v/>
      </c>
      <c r="G326" s="20">
        <f>IF($X326="","",SUMIFS(상세표[기록 시간외],상세표[사번키],INDEX(합계표[사번키],$X326),상세표[기록월],대상월키))</f>
        <v/>
      </c>
      <c r="H326">
        <f>IF($X326="","",IF(ABS($F326-$G326)&lt;0.01,"일치","불일치(차이 "&amp;TEXT($G326-$F326,"0.00")&amp;")"))</f>
        <v/>
      </c>
      <c r="I326" s="20">
        <f>IF($X326="","",SUMIFS(상세표[기록 시간외],상세표[사번키],INDEX(합계표[사번키],$X326),상세표[기록월],대상월키,상세표[반영월],"&lt;&gt;"&amp;대상월키))</f>
        <v/>
      </c>
      <c r="J326" s="20">
        <f>IF($X326="","",SUMIFS(상세표[기록 시간외],상세표[사번키],INDEX(합계표[사번키],$X326),상세표[기록월],"&lt;&gt;"&amp;대상월키,상세표[반영월],대상월키))</f>
        <v/>
      </c>
      <c r="K326" s="20">
        <f>IF($X326="","",SUMIFS(상세표[기록 시간외],상세표[사번키],INDEX(합계표[사번키],$X326),상세표[반영월],대상월키))</f>
        <v/>
      </c>
      <c r="L326">
        <f>IF($X326="","",IFERROR(INDEX(월별근무지표[적용 급여병원],MATCH(INDEX(합계표[사번키],$X326)&amp;"|"&amp;대상월키,월별근무지표[키],0))&amp;"",IF(COUNTIF(기관표[사번키],INDEX(합계표[사번키],$X326))+COUNTIF(월별근무지표[사번키],INDEX(합계표[사번키],$X326))&gt;0,IFERROR(INDEX(기관표[급여지급병원(기준월)],MATCH(INDEX(합계표[사번키],$X326)&amp;"|"&amp;대상월키,기관표[키],0))&amp;"","—"),"—")))</f>
        <v/>
      </c>
      <c r="M326">
        <f>IF($X326="","",IF(NOT(COUNTIF(기관표[사번키],INDEX(합계표[사번키],$X326))+COUNTIF(월별근무지표[사번키],INDEX(합계표[사번키],$X326))&gt;0),"기관명단에 없음(다른 병원으로 발송)",IF($L326="서울병원","해당",IF(N($R326)&gt;0,"해당(말일 근무)",IF($L326="—","대상월 기관명단 없음(추가 필요)","비해당")))))</f>
        <v/>
      </c>
      <c r="N326" s="20">
        <f>IF($X326="","",SUMIFS(상세표[06~07시],상세표[사번키],INDEX(합계표[사번키],$X326),상세표[반영월],대상월키,상세표[반영 기관],"서울병원"))</f>
        <v/>
      </c>
      <c r="O326" s="20">
        <f>IF($X326="","",SUMIFS(상세표[07~18시],상세표[사번키],INDEX(합계표[사번키],$X326),상세표[반영월],대상월키,상세표[반영 기관],"서울병원"))</f>
        <v/>
      </c>
      <c r="P326" s="20">
        <f>IF($X326="","",SUMIFS(상세표[18~22시],상세표[사번키],INDEX(합계표[사번키],$X326),상세표[반영월],대상월키,상세표[반영 기관],"서울병원"))</f>
        <v/>
      </c>
      <c r="Q326" s="20">
        <f>IF($X326="","",SUMIFS(상세표[22~06시],상세표[사번키],INDEX(합계표[사번키],$X326),상세표[반영월],대상월키,상세표[반영 기관],"서울병원"))</f>
        <v/>
      </c>
      <c r="R326" s="20">
        <f>IF($X326="","",SUM($N326:$Q326))</f>
        <v/>
      </c>
      <c r="S326">
        <f>IF($X326="","",COUNTIFS(상세표[사번키],INDEX(합계표[사번키],$X326),상세표[반영월],대상월키,상세표[야간당직],1,상세표[야간 구분],"평일"))</f>
        <v/>
      </c>
      <c r="T326">
        <f>IF($X326="","",COUNTIFS(상세표[사번키],INDEX(합계표[사번키],$X326),상세표[반영월],대상월키,상세표[야간당직],1,상세표[야간 구분],"휴일"))</f>
        <v/>
      </c>
      <c r="U326">
        <f>IF($X326="","",COUNTIFS(상세표[사번키],INDEX(합계표[사번키],$X326),상세표[반영월],대상월키,상세표[야간당직],1,상세표[야간 구분],"평일",상세표[반영 기관],"서울병원"))</f>
        <v/>
      </c>
      <c r="V326">
        <f>IF($X326="","",COUNTIFS(상세표[사번키],INDEX(합계표[사번키],$X326),상세표[반영월],대상월키,상세표[야간당직],1,상세표[야간 구분],"휴일",상세표[반영 기관],"서울병원"))</f>
        <v/>
      </c>
      <c r="W326">
        <f>IF($X326="","",IF(ISNUMBER(MATCH(INDEX(합계표[사번키],$X326)&amp;"|"&amp;대상월키,월별근무지표[키],0)),"직접 입력",IF($L326="—","—","기관명단")))</f>
        <v/>
      </c>
      <c r="X326" s="4">
        <f>IFERROR(MATCH(321,합계표[판정순번],0),"")</f>
        <v/>
      </c>
    </row>
    <row r="327">
      <c r="A327">
        <f>IF($X327="","",INDEX(합계표[사번],$X327)&amp;"")</f>
        <v/>
      </c>
      <c r="B327">
        <f>IF($X327="","",INDEX(합계표[성명],$X327)&amp;"")</f>
        <v/>
      </c>
      <c r="C327">
        <f>IF($X327="","",INDEX(합계표[부서],$X327)&amp;"")</f>
        <v/>
      </c>
      <c r="D327">
        <f>IF($X327="","",INDEX(합계표[직위(요약)],$X327)&amp;"")</f>
        <v/>
      </c>
      <c r="E327">
        <f>IF($X327="","",INDEX(합계표[직급 공존],$X327)&amp;"")</f>
        <v/>
      </c>
      <c r="F327" s="20">
        <f>IF($X327="","",SUMIFS(합계표[시스템 합계],합계표[사번키],INDEX(합계표[사번키],$X327)))</f>
        <v/>
      </c>
      <c r="G327" s="20">
        <f>IF($X327="","",SUMIFS(상세표[기록 시간외],상세표[사번키],INDEX(합계표[사번키],$X327),상세표[기록월],대상월키))</f>
        <v/>
      </c>
      <c r="H327">
        <f>IF($X327="","",IF(ABS($F327-$G327)&lt;0.01,"일치","불일치(차이 "&amp;TEXT($G327-$F327,"0.00")&amp;")"))</f>
        <v/>
      </c>
      <c r="I327" s="20">
        <f>IF($X327="","",SUMIFS(상세표[기록 시간외],상세표[사번키],INDEX(합계표[사번키],$X327),상세표[기록월],대상월키,상세표[반영월],"&lt;&gt;"&amp;대상월키))</f>
        <v/>
      </c>
      <c r="J327" s="20">
        <f>IF($X327="","",SUMIFS(상세표[기록 시간외],상세표[사번키],INDEX(합계표[사번키],$X327),상세표[기록월],"&lt;&gt;"&amp;대상월키,상세표[반영월],대상월키))</f>
        <v/>
      </c>
      <c r="K327" s="20">
        <f>IF($X327="","",SUMIFS(상세표[기록 시간외],상세표[사번키],INDEX(합계표[사번키],$X327),상세표[반영월],대상월키))</f>
        <v/>
      </c>
      <c r="L327">
        <f>IF($X327="","",IFERROR(INDEX(월별근무지표[적용 급여병원],MATCH(INDEX(합계표[사번키],$X327)&amp;"|"&amp;대상월키,월별근무지표[키],0))&amp;"",IF(COUNTIF(기관표[사번키],INDEX(합계표[사번키],$X327))+COUNTIF(월별근무지표[사번키],INDEX(합계표[사번키],$X327))&gt;0,IFERROR(INDEX(기관표[급여지급병원(기준월)],MATCH(INDEX(합계표[사번키],$X327)&amp;"|"&amp;대상월키,기관표[키],0))&amp;"","—"),"—")))</f>
        <v/>
      </c>
      <c r="M327">
        <f>IF($X327="","",IF(NOT(COUNTIF(기관표[사번키],INDEX(합계표[사번키],$X327))+COUNTIF(월별근무지표[사번키],INDEX(합계표[사번키],$X327))&gt;0),"기관명단에 없음(다른 병원으로 발송)",IF($L327="서울병원","해당",IF(N($R327)&gt;0,"해당(말일 근무)",IF($L327="—","대상월 기관명단 없음(추가 필요)","비해당")))))</f>
        <v/>
      </c>
      <c r="N327" s="20">
        <f>IF($X327="","",SUMIFS(상세표[06~07시],상세표[사번키],INDEX(합계표[사번키],$X327),상세표[반영월],대상월키,상세표[반영 기관],"서울병원"))</f>
        <v/>
      </c>
      <c r="O327" s="20">
        <f>IF($X327="","",SUMIFS(상세표[07~18시],상세표[사번키],INDEX(합계표[사번키],$X327),상세표[반영월],대상월키,상세표[반영 기관],"서울병원"))</f>
        <v/>
      </c>
      <c r="P327" s="20">
        <f>IF($X327="","",SUMIFS(상세표[18~22시],상세표[사번키],INDEX(합계표[사번키],$X327),상세표[반영월],대상월키,상세표[반영 기관],"서울병원"))</f>
        <v/>
      </c>
      <c r="Q327" s="20">
        <f>IF($X327="","",SUMIFS(상세표[22~06시],상세표[사번키],INDEX(합계표[사번키],$X327),상세표[반영월],대상월키,상세표[반영 기관],"서울병원"))</f>
        <v/>
      </c>
      <c r="R327" s="20">
        <f>IF($X327="","",SUM($N327:$Q327))</f>
        <v/>
      </c>
      <c r="S327">
        <f>IF($X327="","",COUNTIFS(상세표[사번키],INDEX(합계표[사번키],$X327),상세표[반영월],대상월키,상세표[야간당직],1,상세표[야간 구분],"평일"))</f>
        <v/>
      </c>
      <c r="T327">
        <f>IF($X327="","",COUNTIFS(상세표[사번키],INDEX(합계표[사번키],$X327),상세표[반영월],대상월키,상세표[야간당직],1,상세표[야간 구분],"휴일"))</f>
        <v/>
      </c>
      <c r="U327">
        <f>IF($X327="","",COUNTIFS(상세표[사번키],INDEX(합계표[사번키],$X327),상세표[반영월],대상월키,상세표[야간당직],1,상세표[야간 구분],"평일",상세표[반영 기관],"서울병원"))</f>
        <v/>
      </c>
      <c r="V327">
        <f>IF($X327="","",COUNTIFS(상세표[사번키],INDEX(합계표[사번키],$X327),상세표[반영월],대상월키,상세표[야간당직],1,상세표[야간 구분],"휴일",상세표[반영 기관],"서울병원"))</f>
        <v/>
      </c>
      <c r="W327">
        <f>IF($X327="","",IF(ISNUMBER(MATCH(INDEX(합계표[사번키],$X327)&amp;"|"&amp;대상월키,월별근무지표[키],0)),"직접 입력",IF($L327="—","—","기관명단")))</f>
        <v/>
      </c>
      <c r="X327" s="4">
        <f>IFERROR(MATCH(322,합계표[판정순번],0),"")</f>
        <v/>
      </c>
    </row>
    <row r="328">
      <c r="A328">
        <f>IF($X328="","",INDEX(합계표[사번],$X328)&amp;"")</f>
        <v/>
      </c>
      <c r="B328">
        <f>IF($X328="","",INDEX(합계표[성명],$X328)&amp;"")</f>
        <v/>
      </c>
      <c r="C328">
        <f>IF($X328="","",INDEX(합계표[부서],$X328)&amp;"")</f>
        <v/>
      </c>
      <c r="D328">
        <f>IF($X328="","",INDEX(합계표[직위(요약)],$X328)&amp;"")</f>
        <v/>
      </c>
      <c r="E328">
        <f>IF($X328="","",INDEX(합계표[직급 공존],$X328)&amp;"")</f>
        <v/>
      </c>
      <c r="F328" s="20">
        <f>IF($X328="","",SUMIFS(합계표[시스템 합계],합계표[사번키],INDEX(합계표[사번키],$X328)))</f>
        <v/>
      </c>
      <c r="G328" s="20">
        <f>IF($X328="","",SUMIFS(상세표[기록 시간외],상세표[사번키],INDEX(합계표[사번키],$X328),상세표[기록월],대상월키))</f>
        <v/>
      </c>
      <c r="H328">
        <f>IF($X328="","",IF(ABS($F328-$G328)&lt;0.01,"일치","불일치(차이 "&amp;TEXT($G328-$F328,"0.00")&amp;")"))</f>
        <v/>
      </c>
      <c r="I328" s="20">
        <f>IF($X328="","",SUMIFS(상세표[기록 시간외],상세표[사번키],INDEX(합계표[사번키],$X328),상세표[기록월],대상월키,상세표[반영월],"&lt;&gt;"&amp;대상월키))</f>
        <v/>
      </c>
      <c r="J328" s="20">
        <f>IF($X328="","",SUMIFS(상세표[기록 시간외],상세표[사번키],INDEX(합계표[사번키],$X328),상세표[기록월],"&lt;&gt;"&amp;대상월키,상세표[반영월],대상월키))</f>
        <v/>
      </c>
      <c r="K328" s="20">
        <f>IF($X328="","",SUMIFS(상세표[기록 시간외],상세표[사번키],INDEX(합계표[사번키],$X328),상세표[반영월],대상월키))</f>
        <v/>
      </c>
      <c r="L328">
        <f>IF($X328="","",IFERROR(INDEX(월별근무지표[적용 급여병원],MATCH(INDEX(합계표[사번키],$X328)&amp;"|"&amp;대상월키,월별근무지표[키],0))&amp;"",IF(COUNTIF(기관표[사번키],INDEX(합계표[사번키],$X328))+COUNTIF(월별근무지표[사번키],INDEX(합계표[사번키],$X328))&gt;0,IFERROR(INDEX(기관표[급여지급병원(기준월)],MATCH(INDEX(합계표[사번키],$X328)&amp;"|"&amp;대상월키,기관표[키],0))&amp;"","—"),"—")))</f>
        <v/>
      </c>
      <c r="M328">
        <f>IF($X328="","",IF(NOT(COUNTIF(기관표[사번키],INDEX(합계표[사번키],$X328))+COUNTIF(월별근무지표[사번키],INDEX(합계표[사번키],$X328))&gt;0),"기관명단에 없음(다른 병원으로 발송)",IF($L328="서울병원","해당",IF(N($R328)&gt;0,"해당(말일 근무)",IF($L328="—","대상월 기관명단 없음(추가 필요)","비해당")))))</f>
        <v/>
      </c>
      <c r="N328" s="20">
        <f>IF($X328="","",SUMIFS(상세표[06~07시],상세표[사번키],INDEX(합계표[사번키],$X328),상세표[반영월],대상월키,상세표[반영 기관],"서울병원"))</f>
        <v/>
      </c>
      <c r="O328" s="20">
        <f>IF($X328="","",SUMIFS(상세표[07~18시],상세표[사번키],INDEX(합계표[사번키],$X328),상세표[반영월],대상월키,상세표[반영 기관],"서울병원"))</f>
        <v/>
      </c>
      <c r="P328" s="20">
        <f>IF($X328="","",SUMIFS(상세표[18~22시],상세표[사번키],INDEX(합계표[사번키],$X328),상세표[반영월],대상월키,상세표[반영 기관],"서울병원"))</f>
        <v/>
      </c>
      <c r="Q328" s="20">
        <f>IF($X328="","",SUMIFS(상세표[22~06시],상세표[사번키],INDEX(합계표[사번키],$X328),상세표[반영월],대상월키,상세표[반영 기관],"서울병원"))</f>
        <v/>
      </c>
      <c r="R328" s="20">
        <f>IF($X328="","",SUM($N328:$Q328))</f>
        <v/>
      </c>
      <c r="S328">
        <f>IF($X328="","",COUNTIFS(상세표[사번키],INDEX(합계표[사번키],$X328),상세표[반영월],대상월키,상세표[야간당직],1,상세표[야간 구분],"평일"))</f>
        <v/>
      </c>
      <c r="T328">
        <f>IF($X328="","",COUNTIFS(상세표[사번키],INDEX(합계표[사번키],$X328),상세표[반영월],대상월키,상세표[야간당직],1,상세표[야간 구분],"휴일"))</f>
        <v/>
      </c>
      <c r="U328">
        <f>IF($X328="","",COUNTIFS(상세표[사번키],INDEX(합계표[사번키],$X328),상세표[반영월],대상월키,상세표[야간당직],1,상세표[야간 구분],"평일",상세표[반영 기관],"서울병원"))</f>
        <v/>
      </c>
      <c r="V328">
        <f>IF($X328="","",COUNTIFS(상세표[사번키],INDEX(합계표[사번키],$X328),상세표[반영월],대상월키,상세표[야간당직],1,상세표[야간 구분],"휴일",상세표[반영 기관],"서울병원"))</f>
        <v/>
      </c>
      <c r="W328">
        <f>IF($X328="","",IF(ISNUMBER(MATCH(INDEX(합계표[사번키],$X328)&amp;"|"&amp;대상월키,월별근무지표[키],0)),"직접 입력",IF($L328="—","—","기관명단")))</f>
        <v/>
      </c>
      <c r="X328" s="4">
        <f>IFERROR(MATCH(323,합계표[판정순번],0),"")</f>
        <v/>
      </c>
    </row>
    <row r="329">
      <c r="A329">
        <f>IF($X329="","",INDEX(합계표[사번],$X329)&amp;"")</f>
        <v/>
      </c>
      <c r="B329">
        <f>IF($X329="","",INDEX(합계표[성명],$X329)&amp;"")</f>
        <v/>
      </c>
      <c r="C329">
        <f>IF($X329="","",INDEX(합계표[부서],$X329)&amp;"")</f>
        <v/>
      </c>
      <c r="D329">
        <f>IF($X329="","",INDEX(합계표[직위(요약)],$X329)&amp;"")</f>
        <v/>
      </c>
      <c r="E329">
        <f>IF($X329="","",INDEX(합계표[직급 공존],$X329)&amp;"")</f>
        <v/>
      </c>
      <c r="F329" s="20">
        <f>IF($X329="","",SUMIFS(합계표[시스템 합계],합계표[사번키],INDEX(합계표[사번키],$X329)))</f>
        <v/>
      </c>
      <c r="G329" s="20">
        <f>IF($X329="","",SUMIFS(상세표[기록 시간외],상세표[사번키],INDEX(합계표[사번키],$X329),상세표[기록월],대상월키))</f>
        <v/>
      </c>
      <c r="H329">
        <f>IF($X329="","",IF(ABS($F329-$G329)&lt;0.01,"일치","불일치(차이 "&amp;TEXT($G329-$F329,"0.00")&amp;")"))</f>
        <v/>
      </c>
      <c r="I329" s="20">
        <f>IF($X329="","",SUMIFS(상세표[기록 시간외],상세표[사번키],INDEX(합계표[사번키],$X329),상세표[기록월],대상월키,상세표[반영월],"&lt;&gt;"&amp;대상월키))</f>
        <v/>
      </c>
      <c r="J329" s="20">
        <f>IF($X329="","",SUMIFS(상세표[기록 시간외],상세표[사번키],INDEX(합계표[사번키],$X329),상세표[기록월],"&lt;&gt;"&amp;대상월키,상세표[반영월],대상월키))</f>
        <v/>
      </c>
      <c r="K329" s="20">
        <f>IF($X329="","",SUMIFS(상세표[기록 시간외],상세표[사번키],INDEX(합계표[사번키],$X329),상세표[반영월],대상월키))</f>
        <v/>
      </c>
      <c r="L329">
        <f>IF($X329="","",IFERROR(INDEX(월별근무지표[적용 급여병원],MATCH(INDEX(합계표[사번키],$X329)&amp;"|"&amp;대상월키,월별근무지표[키],0))&amp;"",IF(COUNTIF(기관표[사번키],INDEX(합계표[사번키],$X329))+COUNTIF(월별근무지표[사번키],INDEX(합계표[사번키],$X329))&gt;0,IFERROR(INDEX(기관표[급여지급병원(기준월)],MATCH(INDEX(합계표[사번키],$X329)&amp;"|"&amp;대상월키,기관표[키],0))&amp;"","—"),"—")))</f>
        <v/>
      </c>
      <c r="M329">
        <f>IF($X329="","",IF(NOT(COUNTIF(기관표[사번키],INDEX(합계표[사번키],$X329))+COUNTIF(월별근무지표[사번키],INDEX(합계표[사번키],$X329))&gt;0),"기관명단에 없음(다른 병원으로 발송)",IF($L329="서울병원","해당",IF(N($R329)&gt;0,"해당(말일 근무)",IF($L329="—","대상월 기관명단 없음(추가 필요)","비해당")))))</f>
        <v/>
      </c>
      <c r="N329" s="20">
        <f>IF($X329="","",SUMIFS(상세표[06~07시],상세표[사번키],INDEX(합계표[사번키],$X329),상세표[반영월],대상월키,상세표[반영 기관],"서울병원"))</f>
        <v/>
      </c>
      <c r="O329" s="20">
        <f>IF($X329="","",SUMIFS(상세표[07~18시],상세표[사번키],INDEX(합계표[사번키],$X329),상세표[반영월],대상월키,상세표[반영 기관],"서울병원"))</f>
        <v/>
      </c>
      <c r="P329" s="20">
        <f>IF($X329="","",SUMIFS(상세표[18~22시],상세표[사번키],INDEX(합계표[사번키],$X329),상세표[반영월],대상월키,상세표[반영 기관],"서울병원"))</f>
        <v/>
      </c>
      <c r="Q329" s="20">
        <f>IF($X329="","",SUMIFS(상세표[22~06시],상세표[사번키],INDEX(합계표[사번키],$X329),상세표[반영월],대상월키,상세표[반영 기관],"서울병원"))</f>
        <v/>
      </c>
      <c r="R329" s="20">
        <f>IF($X329="","",SUM($N329:$Q329))</f>
        <v/>
      </c>
      <c r="S329">
        <f>IF($X329="","",COUNTIFS(상세표[사번키],INDEX(합계표[사번키],$X329),상세표[반영월],대상월키,상세표[야간당직],1,상세표[야간 구분],"평일"))</f>
        <v/>
      </c>
      <c r="T329">
        <f>IF($X329="","",COUNTIFS(상세표[사번키],INDEX(합계표[사번키],$X329),상세표[반영월],대상월키,상세표[야간당직],1,상세표[야간 구분],"휴일"))</f>
        <v/>
      </c>
      <c r="U329">
        <f>IF($X329="","",COUNTIFS(상세표[사번키],INDEX(합계표[사번키],$X329),상세표[반영월],대상월키,상세표[야간당직],1,상세표[야간 구분],"평일",상세표[반영 기관],"서울병원"))</f>
        <v/>
      </c>
      <c r="V329">
        <f>IF($X329="","",COUNTIFS(상세표[사번키],INDEX(합계표[사번키],$X329),상세표[반영월],대상월키,상세표[야간당직],1,상세표[야간 구분],"휴일",상세표[반영 기관],"서울병원"))</f>
        <v/>
      </c>
      <c r="W329">
        <f>IF($X329="","",IF(ISNUMBER(MATCH(INDEX(합계표[사번키],$X329)&amp;"|"&amp;대상월키,월별근무지표[키],0)),"직접 입력",IF($L329="—","—","기관명단")))</f>
        <v/>
      </c>
      <c r="X329" s="4">
        <f>IFERROR(MATCH(324,합계표[판정순번],0),"")</f>
        <v/>
      </c>
    </row>
    <row r="330">
      <c r="A330">
        <f>IF($X330="","",INDEX(합계표[사번],$X330)&amp;"")</f>
        <v/>
      </c>
      <c r="B330">
        <f>IF($X330="","",INDEX(합계표[성명],$X330)&amp;"")</f>
        <v/>
      </c>
      <c r="C330">
        <f>IF($X330="","",INDEX(합계표[부서],$X330)&amp;"")</f>
        <v/>
      </c>
      <c r="D330">
        <f>IF($X330="","",INDEX(합계표[직위(요약)],$X330)&amp;"")</f>
        <v/>
      </c>
      <c r="E330">
        <f>IF($X330="","",INDEX(합계표[직급 공존],$X330)&amp;"")</f>
        <v/>
      </c>
      <c r="F330" s="20">
        <f>IF($X330="","",SUMIFS(합계표[시스템 합계],합계표[사번키],INDEX(합계표[사번키],$X330)))</f>
        <v/>
      </c>
      <c r="G330" s="20">
        <f>IF($X330="","",SUMIFS(상세표[기록 시간외],상세표[사번키],INDEX(합계표[사번키],$X330),상세표[기록월],대상월키))</f>
        <v/>
      </c>
      <c r="H330">
        <f>IF($X330="","",IF(ABS($F330-$G330)&lt;0.01,"일치","불일치(차이 "&amp;TEXT($G330-$F330,"0.00")&amp;")"))</f>
        <v/>
      </c>
      <c r="I330" s="20">
        <f>IF($X330="","",SUMIFS(상세표[기록 시간외],상세표[사번키],INDEX(합계표[사번키],$X330),상세표[기록월],대상월키,상세표[반영월],"&lt;&gt;"&amp;대상월키))</f>
        <v/>
      </c>
      <c r="J330" s="20">
        <f>IF($X330="","",SUMIFS(상세표[기록 시간외],상세표[사번키],INDEX(합계표[사번키],$X330),상세표[기록월],"&lt;&gt;"&amp;대상월키,상세표[반영월],대상월키))</f>
        <v/>
      </c>
      <c r="K330" s="20">
        <f>IF($X330="","",SUMIFS(상세표[기록 시간외],상세표[사번키],INDEX(합계표[사번키],$X330),상세표[반영월],대상월키))</f>
        <v/>
      </c>
      <c r="L330">
        <f>IF($X330="","",IFERROR(INDEX(월별근무지표[적용 급여병원],MATCH(INDEX(합계표[사번키],$X330)&amp;"|"&amp;대상월키,월별근무지표[키],0))&amp;"",IF(COUNTIF(기관표[사번키],INDEX(합계표[사번키],$X330))+COUNTIF(월별근무지표[사번키],INDEX(합계표[사번키],$X330))&gt;0,IFERROR(INDEX(기관표[급여지급병원(기준월)],MATCH(INDEX(합계표[사번키],$X330)&amp;"|"&amp;대상월키,기관표[키],0))&amp;"","—"),"—")))</f>
        <v/>
      </c>
      <c r="M330">
        <f>IF($X330="","",IF(NOT(COUNTIF(기관표[사번키],INDEX(합계표[사번키],$X330))+COUNTIF(월별근무지표[사번키],INDEX(합계표[사번키],$X330))&gt;0),"기관명단에 없음(다른 병원으로 발송)",IF($L330="서울병원","해당",IF(N($R330)&gt;0,"해당(말일 근무)",IF($L330="—","대상월 기관명단 없음(추가 필요)","비해당")))))</f>
        <v/>
      </c>
      <c r="N330" s="20">
        <f>IF($X330="","",SUMIFS(상세표[06~07시],상세표[사번키],INDEX(합계표[사번키],$X330),상세표[반영월],대상월키,상세표[반영 기관],"서울병원"))</f>
        <v/>
      </c>
      <c r="O330" s="20">
        <f>IF($X330="","",SUMIFS(상세표[07~18시],상세표[사번키],INDEX(합계표[사번키],$X330),상세표[반영월],대상월키,상세표[반영 기관],"서울병원"))</f>
        <v/>
      </c>
      <c r="P330" s="20">
        <f>IF($X330="","",SUMIFS(상세표[18~22시],상세표[사번키],INDEX(합계표[사번키],$X330),상세표[반영월],대상월키,상세표[반영 기관],"서울병원"))</f>
        <v/>
      </c>
      <c r="Q330" s="20">
        <f>IF($X330="","",SUMIFS(상세표[22~06시],상세표[사번키],INDEX(합계표[사번키],$X330),상세표[반영월],대상월키,상세표[반영 기관],"서울병원"))</f>
        <v/>
      </c>
      <c r="R330" s="20">
        <f>IF($X330="","",SUM($N330:$Q330))</f>
        <v/>
      </c>
      <c r="S330">
        <f>IF($X330="","",COUNTIFS(상세표[사번키],INDEX(합계표[사번키],$X330),상세표[반영월],대상월키,상세표[야간당직],1,상세표[야간 구분],"평일"))</f>
        <v/>
      </c>
      <c r="T330">
        <f>IF($X330="","",COUNTIFS(상세표[사번키],INDEX(합계표[사번키],$X330),상세표[반영월],대상월키,상세표[야간당직],1,상세표[야간 구분],"휴일"))</f>
        <v/>
      </c>
      <c r="U330">
        <f>IF($X330="","",COUNTIFS(상세표[사번키],INDEX(합계표[사번키],$X330),상세표[반영월],대상월키,상세표[야간당직],1,상세표[야간 구분],"평일",상세표[반영 기관],"서울병원"))</f>
        <v/>
      </c>
      <c r="V330">
        <f>IF($X330="","",COUNTIFS(상세표[사번키],INDEX(합계표[사번키],$X330),상세표[반영월],대상월키,상세표[야간당직],1,상세표[야간 구분],"휴일",상세표[반영 기관],"서울병원"))</f>
        <v/>
      </c>
      <c r="W330">
        <f>IF($X330="","",IF(ISNUMBER(MATCH(INDEX(합계표[사번키],$X330)&amp;"|"&amp;대상월키,월별근무지표[키],0)),"직접 입력",IF($L330="—","—","기관명단")))</f>
        <v/>
      </c>
      <c r="X330" s="4">
        <f>IFERROR(MATCH(325,합계표[판정순번],0),"")</f>
        <v/>
      </c>
    </row>
    <row r="331">
      <c r="A331">
        <f>IF($X331="","",INDEX(합계표[사번],$X331)&amp;"")</f>
        <v/>
      </c>
      <c r="B331">
        <f>IF($X331="","",INDEX(합계표[성명],$X331)&amp;"")</f>
        <v/>
      </c>
      <c r="C331">
        <f>IF($X331="","",INDEX(합계표[부서],$X331)&amp;"")</f>
        <v/>
      </c>
      <c r="D331">
        <f>IF($X331="","",INDEX(합계표[직위(요약)],$X331)&amp;"")</f>
        <v/>
      </c>
      <c r="E331">
        <f>IF($X331="","",INDEX(합계표[직급 공존],$X331)&amp;"")</f>
        <v/>
      </c>
      <c r="F331" s="20">
        <f>IF($X331="","",SUMIFS(합계표[시스템 합계],합계표[사번키],INDEX(합계표[사번키],$X331)))</f>
        <v/>
      </c>
      <c r="G331" s="20">
        <f>IF($X331="","",SUMIFS(상세표[기록 시간외],상세표[사번키],INDEX(합계표[사번키],$X331),상세표[기록월],대상월키))</f>
        <v/>
      </c>
      <c r="H331">
        <f>IF($X331="","",IF(ABS($F331-$G331)&lt;0.01,"일치","불일치(차이 "&amp;TEXT($G331-$F331,"0.00")&amp;")"))</f>
        <v/>
      </c>
      <c r="I331" s="20">
        <f>IF($X331="","",SUMIFS(상세표[기록 시간외],상세표[사번키],INDEX(합계표[사번키],$X331),상세표[기록월],대상월키,상세표[반영월],"&lt;&gt;"&amp;대상월키))</f>
        <v/>
      </c>
      <c r="J331" s="20">
        <f>IF($X331="","",SUMIFS(상세표[기록 시간외],상세표[사번키],INDEX(합계표[사번키],$X331),상세표[기록월],"&lt;&gt;"&amp;대상월키,상세표[반영월],대상월키))</f>
        <v/>
      </c>
      <c r="K331" s="20">
        <f>IF($X331="","",SUMIFS(상세표[기록 시간외],상세표[사번키],INDEX(합계표[사번키],$X331),상세표[반영월],대상월키))</f>
        <v/>
      </c>
      <c r="L331">
        <f>IF($X331="","",IFERROR(INDEX(월별근무지표[적용 급여병원],MATCH(INDEX(합계표[사번키],$X331)&amp;"|"&amp;대상월키,월별근무지표[키],0))&amp;"",IF(COUNTIF(기관표[사번키],INDEX(합계표[사번키],$X331))+COUNTIF(월별근무지표[사번키],INDEX(합계표[사번키],$X331))&gt;0,IFERROR(INDEX(기관표[급여지급병원(기준월)],MATCH(INDEX(합계표[사번키],$X331)&amp;"|"&amp;대상월키,기관표[키],0))&amp;"","—"),"—")))</f>
        <v/>
      </c>
      <c r="M331">
        <f>IF($X331="","",IF(NOT(COUNTIF(기관표[사번키],INDEX(합계표[사번키],$X331))+COUNTIF(월별근무지표[사번키],INDEX(합계표[사번키],$X331))&gt;0),"기관명단에 없음(다른 병원으로 발송)",IF($L331="서울병원","해당",IF(N($R331)&gt;0,"해당(말일 근무)",IF($L331="—","대상월 기관명단 없음(추가 필요)","비해당")))))</f>
        <v/>
      </c>
      <c r="N331" s="20">
        <f>IF($X331="","",SUMIFS(상세표[06~07시],상세표[사번키],INDEX(합계표[사번키],$X331),상세표[반영월],대상월키,상세표[반영 기관],"서울병원"))</f>
        <v/>
      </c>
      <c r="O331" s="20">
        <f>IF($X331="","",SUMIFS(상세표[07~18시],상세표[사번키],INDEX(합계표[사번키],$X331),상세표[반영월],대상월키,상세표[반영 기관],"서울병원"))</f>
        <v/>
      </c>
      <c r="P331" s="20">
        <f>IF($X331="","",SUMIFS(상세표[18~22시],상세표[사번키],INDEX(합계표[사번키],$X331),상세표[반영월],대상월키,상세표[반영 기관],"서울병원"))</f>
        <v/>
      </c>
      <c r="Q331" s="20">
        <f>IF($X331="","",SUMIFS(상세표[22~06시],상세표[사번키],INDEX(합계표[사번키],$X331),상세표[반영월],대상월키,상세표[반영 기관],"서울병원"))</f>
        <v/>
      </c>
      <c r="R331" s="20">
        <f>IF($X331="","",SUM($N331:$Q331))</f>
        <v/>
      </c>
      <c r="S331">
        <f>IF($X331="","",COUNTIFS(상세표[사번키],INDEX(합계표[사번키],$X331),상세표[반영월],대상월키,상세표[야간당직],1,상세표[야간 구분],"평일"))</f>
        <v/>
      </c>
      <c r="T331">
        <f>IF($X331="","",COUNTIFS(상세표[사번키],INDEX(합계표[사번키],$X331),상세표[반영월],대상월키,상세표[야간당직],1,상세표[야간 구분],"휴일"))</f>
        <v/>
      </c>
      <c r="U331">
        <f>IF($X331="","",COUNTIFS(상세표[사번키],INDEX(합계표[사번키],$X331),상세표[반영월],대상월키,상세표[야간당직],1,상세표[야간 구분],"평일",상세표[반영 기관],"서울병원"))</f>
        <v/>
      </c>
      <c r="V331">
        <f>IF($X331="","",COUNTIFS(상세표[사번키],INDEX(합계표[사번키],$X331),상세표[반영월],대상월키,상세표[야간당직],1,상세표[야간 구분],"휴일",상세표[반영 기관],"서울병원"))</f>
        <v/>
      </c>
      <c r="W331">
        <f>IF($X331="","",IF(ISNUMBER(MATCH(INDEX(합계표[사번키],$X331)&amp;"|"&amp;대상월키,월별근무지표[키],0)),"직접 입력",IF($L331="—","—","기관명단")))</f>
        <v/>
      </c>
      <c r="X331" s="4">
        <f>IFERROR(MATCH(326,합계표[판정순번],0),"")</f>
        <v/>
      </c>
    </row>
    <row r="332">
      <c r="A332">
        <f>IF($X332="","",INDEX(합계표[사번],$X332)&amp;"")</f>
        <v/>
      </c>
      <c r="B332">
        <f>IF($X332="","",INDEX(합계표[성명],$X332)&amp;"")</f>
        <v/>
      </c>
      <c r="C332">
        <f>IF($X332="","",INDEX(합계표[부서],$X332)&amp;"")</f>
        <v/>
      </c>
      <c r="D332">
        <f>IF($X332="","",INDEX(합계표[직위(요약)],$X332)&amp;"")</f>
        <v/>
      </c>
      <c r="E332">
        <f>IF($X332="","",INDEX(합계표[직급 공존],$X332)&amp;"")</f>
        <v/>
      </c>
      <c r="F332" s="20">
        <f>IF($X332="","",SUMIFS(합계표[시스템 합계],합계표[사번키],INDEX(합계표[사번키],$X332)))</f>
        <v/>
      </c>
      <c r="G332" s="20">
        <f>IF($X332="","",SUMIFS(상세표[기록 시간외],상세표[사번키],INDEX(합계표[사번키],$X332),상세표[기록월],대상월키))</f>
        <v/>
      </c>
      <c r="H332">
        <f>IF($X332="","",IF(ABS($F332-$G332)&lt;0.01,"일치","불일치(차이 "&amp;TEXT($G332-$F332,"0.00")&amp;")"))</f>
        <v/>
      </c>
      <c r="I332" s="20">
        <f>IF($X332="","",SUMIFS(상세표[기록 시간외],상세표[사번키],INDEX(합계표[사번키],$X332),상세표[기록월],대상월키,상세표[반영월],"&lt;&gt;"&amp;대상월키))</f>
        <v/>
      </c>
      <c r="J332" s="20">
        <f>IF($X332="","",SUMIFS(상세표[기록 시간외],상세표[사번키],INDEX(합계표[사번키],$X332),상세표[기록월],"&lt;&gt;"&amp;대상월키,상세표[반영월],대상월키))</f>
        <v/>
      </c>
      <c r="K332" s="20">
        <f>IF($X332="","",SUMIFS(상세표[기록 시간외],상세표[사번키],INDEX(합계표[사번키],$X332),상세표[반영월],대상월키))</f>
        <v/>
      </c>
      <c r="L332">
        <f>IF($X332="","",IFERROR(INDEX(월별근무지표[적용 급여병원],MATCH(INDEX(합계표[사번키],$X332)&amp;"|"&amp;대상월키,월별근무지표[키],0))&amp;"",IF(COUNTIF(기관표[사번키],INDEX(합계표[사번키],$X332))+COUNTIF(월별근무지표[사번키],INDEX(합계표[사번키],$X332))&gt;0,IFERROR(INDEX(기관표[급여지급병원(기준월)],MATCH(INDEX(합계표[사번키],$X332)&amp;"|"&amp;대상월키,기관표[키],0))&amp;"","—"),"—")))</f>
        <v/>
      </c>
      <c r="M332">
        <f>IF($X332="","",IF(NOT(COUNTIF(기관표[사번키],INDEX(합계표[사번키],$X332))+COUNTIF(월별근무지표[사번키],INDEX(합계표[사번키],$X332))&gt;0),"기관명단에 없음(다른 병원으로 발송)",IF($L332="서울병원","해당",IF(N($R332)&gt;0,"해당(말일 근무)",IF($L332="—","대상월 기관명단 없음(추가 필요)","비해당")))))</f>
        <v/>
      </c>
      <c r="N332" s="20">
        <f>IF($X332="","",SUMIFS(상세표[06~07시],상세표[사번키],INDEX(합계표[사번키],$X332),상세표[반영월],대상월키,상세표[반영 기관],"서울병원"))</f>
        <v/>
      </c>
      <c r="O332" s="20">
        <f>IF($X332="","",SUMIFS(상세표[07~18시],상세표[사번키],INDEX(합계표[사번키],$X332),상세표[반영월],대상월키,상세표[반영 기관],"서울병원"))</f>
        <v/>
      </c>
      <c r="P332" s="20">
        <f>IF($X332="","",SUMIFS(상세표[18~22시],상세표[사번키],INDEX(합계표[사번키],$X332),상세표[반영월],대상월키,상세표[반영 기관],"서울병원"))</f>
        <v/>
      </c>
      <c r="Q332" s="20">
        <f>IF($X332="","",SUMIFS(상세표[22~06시],상세표[사번키],INDEX(합계표[사번키],$X332),상세표[반영월],대상월키,상세표[반영 기관],"서울병원"))</f>
        <v/>
      </c>
      <c r="R332" s="20">
        <f>IF($X332="","",SUM($N332:$Q332))</f>
        <v/>
      </c>
      <c r="S332">
        <f>IF($X332="","",COUNTIFS(상세표[사번키],INDEX(합계표[사번키],$X332),상세표[반영월],대상월키,상세표[야간당직],1,상세표[야간 구분],"평일"))</f>
        <v/>
      </c>
      <c r="T332">
        <f>IF($X332="","",COUNTIFS(상세표[사번키],INDEX(합계표[사번키],$X332),상세표[반영월],대상월키,상세표[야간당직],1,상세표[야간 구분],"휴일"))</f>
        <v/>
      </c>
      <c r="U332">
        <f>IF($X332="","",COUNTIFS(상세표[사번키],INDEX(합계표[사번키],$X332),상세표[반영월],대상월키,상세표[야간당직],1,상세표[야간 구분],"평일",상세표[반영 기관],"서울병원"))</f>
        <v/>
      </c>
      <c r="V332">
        <f>IF($X332="","",COUNTIFS(상세표[사번키],INDEX(합계표[사번키],$X332),상세표[반영월],대상월키,상세표[야간당직],1,상세표[야간 구분],"휴일",상세표[반영 기관],"서울병원"))</f>
        <v/>
      </c>
      <c r="W332">
        <f>IF($X332="","",IF(ISNUMBER(MATCH(INDEX(합계표[사번키],$X332)&amp;"|"&amp;대상월키,월별근무지표[키],0)),"직접 입력",IF($L332="—","—","기관명단")))</f>
        <v/>
      </c>
      <c r="X332" s="4">
        <f>IFERROR(MATCH(327,합계표[판정순번],0),"")</f>
        <v/>
      </c>
    </row>
    <row r="333">
      <c r="A333">
        <f>IF($X333="","",INDEX(합계표[사번],$X333)&amp;"")</f>
        <v/>
      </c>
      <c r="B333">
        <f>IF($X333="","",INDEX(합계표[성명],$X333)&amp;"")</f>
        <v/>
      </c>
      <c r="C333">
        <f>IF($X333="","",INDEX(합계표[부서],$X333)&amp;"")</f>
        <v/>
      </c>
      <c r="D333">
        <f>IF($X333="","",INDEX(합계표[직위(요약)],$X333)&amp;"")</f>
        <v/>
      </c>
      <c r="E333">
        <f>IF($X333="","",INDEX(합계표[직급 공존],$X333)&amp;"")</f>
        <v/>
      </c>
      <c r="F333" s="20">
        <f>IF($X333="","",SUMIFS(합계표[시스템 합계],합계표[사번키],INDEX(합계표[사번키],$X333)))</f>
        <v/>
      </c>
      <c r="G333" s="20">
        <f>IF($X333="","",SUMIFS(상세표[기록 시간외],상세표[사번키],INDEX(합계표[사번키],$X333),상세표[기록월],대상월키))</f>
        <v/>
      </c>
      <c r="H333">
        <f>IF($X333="","",IF(ABS($F333-$G333)&lt;0.01,"일치","불일치(차이 "&amp;TEXT($G333-$F333,"0.00")&amp;")"))</f>
        <v/>
      </c>
      <c r="I333" s="20">
        <f>IF($X333="","",SUMIFS(상세표[기록 시간외],상세표[사번키],INDEX(합계표[사번키],$X333),상세표[기록월],대상월키,상세표[반영월],"&lt;&gt;"&amp;대상월키))</f>
        <v/>
      </c>
      <c r="J333" s="20">
        <f>IF($X333="","",SUMIFS(상세표[기록 시간외],상세표[사번키],INDEX(합계표[사번키],$X333),상세표[기록월],"&lt;&gt;"&amp;대상월키,상세표[반영월],대상월키))</f>
        <v/>
      </c>
      <c r="K333" s="20">
        <f>IF($X333="","",SUMIFS(상세표[기록 시간외],상세표[사번키],INDEX(합계표[사번키],$X333),상세표[반영월],대상월키))</f>
        <v/>
      </c>
      <c r="L333">
        <f>IF($X333="","",IFERROR(INDEX(월별근무지표[적용 급여병원],MATCH(INDEX(합계표[사번키],$X333)&amp;"|"&amp;대상월키,월별근무지표[키],0))&amp;"",IF(COUNTIF(기관표[사번키],INDEX(합계표[사번키],$X333))+COUNTIF(월별근무지표[사번키],INDEX(합계표[사번키],$X333))&gt;0,IFERROR(INDEX(기관표[급여지급병원(기준월)],MATCH(INDEX(합계표[사번키],$X333)&amp;"|"&amp;대상월키,기관표[키],0))&amp;"","—"),"—")))</f>
        <v/>
      </c>
      <c r="M333">
        <f>IF($X333="","",IF(NOT(COUNTIF(기관표[사번키],INDEX(합계표[사번키],$X333))+COUNTIF(월별근무지표[사번키],INDEX(합계표[사번키],$X333))&gt;0),"기관명단에 없음(다른 병원으로 발송)",IF($L333="서울병원","해당",IF(N($R333)&gt;0,"해당(말일 근무)",IF($L333="—","대상월 기관명단 없음(추가 필요)","비해당")))))</f>
        <v/>
      </c>
      <c r="N333" s="20">
        <f>IF($X333="","",SUMIFS(상세표[06~07시],상세표[사번키],INDEX(합계표[사번키],$X333),상세표[반영월],대상월키,상세표[반영 기관],"서울병원"))</f>
        <v/>
      </c>
      <c r="O333" s="20">
        <f>IF($X333="","",SUMIFS(상세표[07~18시],상세표[사번키],INDEX(합계표[사번키],$X333),상세표[반영월],대상월키,상세표[반영 기관],"서울병원"))</f>
        <v/>
      </c>
      <c r="P333" s="20">
        <f>IF($X333="","",SUMIFS(상세표[18~22시],상세표[사번키],INDEX(합계표[사번키],$X333),상세표[반영월],대상월키,상세표[반영 기관],"서울병원"))</f>
        <v/>
      </c>
      <c r="Q333" s="20">
        <f>IF($X333="","",SUMIFS(상세표[22~06시],상세표[사번키],INDEX(합계표[사번키],$X333),상세표[반영월],대상월키,상세표[반영 기관],"서울병원"))</f>
        <v/>
      </c>
      <c r="R333" s="20">
        <f>IF($X333="","",SUM($N333:$Q333))</f>
        <v/>
      </c>
      <c r="S333">
        <f>IF($X333="","",COUNTIFS(상세표[사번키],INDEX(합계표[사번키],$X333),상세표[반영월],대상월키,상세표[야간당직],1,상세표[야간 구분],"평일"))</f>
        <v/>
      </c>
      <c r="T333">
        <f>IF($X333="","",COUNTIFS(상세표[사번키],INDEX(합계표[사번키],$X333),상세표[반영월],대상월키,상세표[야간당직],1,상세표[야간 구분],"휴일"))</f>
        <v/>
      </c>
      <c r="U333">
        <f>IF($X333="","",COUNTIFS(상세표[사번키],INDEX(합계표[사번키],$X333),상세표[반영월],대상월키,상세표[야간당직],1,상세표[야간 구분],"평일",상세표[반영 기관],"서울병원"))</f>
        <v/>
      </c>
      <c r="V333">
        <f>IF($X333="","",COUNTIFS(상세표[사번키],INDEX(합계표[사번키],$X333),상세표[반영월],대상월키,상세표[야간당직],1,상세표[야간 구분],"휴일",상세표[반영 기관],"서울병원"))</f>
        <v/>
      </c>
      <c r="W333">
        <f>IF($X333="","",IF(ISNUMBER(MATCH(INDEX(합계표[사번키],$X333)&amp;"|"&amp;대상월키,월별근무지표[키],0)),"직접 입력",IF($L333="—","—","기관명단")))</f>
        <v/>
      </c>
      <c r="X333" s="4">
        <f>IFERROR(MATCH(328,합계표[판정순번],0),"")</f>
        <v/>
      </c>
    </row>
    <row r="334">
      <c r="A334">
        <f>IF($X334="","",INDEX(합계표[사번],$X334)&amp;"")</f>
        <v/>
      </c>
      <c r="B334">
        <f>IF($X334="","",INDEX(합계표[성명],$X334)&amp;"")</f>
        <v/>
      </c>
      <c r="C334">
        <f>IF($X334="","",INDEX(합계표[부서],$X334)&amp;"")</f>
        <v/>
      </c>
      <c r="D334">
        <f>IF($X334="","",INDEX(합계표[직위(요약)],$X334)&amp;"")</f>
        <v/>
      </c>
      <c r="E334">
        <f>IF($X334="","",INDEX(합계표[직급 공존],$X334)&amp;"")</f>
        <v/>
      </c>
      <c r="F334" s="20">
        <f>IF($X334="","",SUMIFS(합계표[시스템 합계],합계표[사번키],INDEX(합계표[사번키],$X334)))</f>
        <v/>
      </c>
      <c r="G334" s="20">
        <f>IF($X334="","",SUMIFS(상세표[기록 시간외],상세표[사번키],INDEX(합계표[사번키],$X334),상세표[기록월],대상월키))</f>
        <v/>
      </c>
      <c r="H334">
        <f>IF($X334="","",IF(ABS($F334-$G334)&lt;0.01,"일치","불일치(차이 "&amp;TEXT($G334-$F334,"0.00")&amp;")"))</f>
        <v/>
      </c>
      <c r="I334" s="20">
        <f>IF($X334="","",SUMIFS(상세표[기록 시간외],상세표[사번키],INDEX(합계표[사번키],$X334),상세표[기록월],대상월키,상세표[반영월],"&lt;&gt;"&amp;대상월키))</f>
        <v/>
      </c>
      <c r="J334" s="20">
        <f>IF($X334="","",SUMIFS(상세표[기록 시간외],상세표[사번키],INDEX(합계표[사번키],$X334),상세표[기록월],"&lt;&gt;"&amp;대상월키,상세표[반영월],대상월키))</f>
        <v/>
      </c>
      <c r="K334" s="20">
        <f>IF($X334="","",SUMIFS(상세표[기록 시간외],상세표[사번키],INDEX(합계표[사번키],$X334),상세표[반영월],대상월키))</f>
        <v/>
      </c>
      <c r="L334">
        <f>IF($X334="","",IFERROR(INDEX(월별근무지표[적용 급여병원],MATCH(INDEX(합계표[사번키],$X334)&amp;"|"&amp;대상월키,월별근무지표[키],0))&amp;"",IF(COUNTIF(기관표[사번키],INDEX(합계표[사번키],$X334))+COUNTIF(월별근무지표[사번키],INDEX(합계표[사번키],$X334))&gt;0,IFERROR(INDEX(기관표[급여지급병원(기준월)],MATCH(INDEX(합계표[사번키],$X334)&amp;"|"&amp;대상월키,기관표[키],0))&amp;"","—"),"—")))</f>
        <v/>
      </c>
      <c r="M334">
        <f>IF($X334="","",IF(NOT(COUNTIF(기관표[사번키],INDEX(합계표[사번키],$X334))+COUNTIF(월별근무지표[사번키],INDEX(합계표[사번키],$X334))&gt;0),"기관명단에 없음(다른 병원으로 발송)",IF($L334="서울병원","해당",IF(N($R334)&gt;0,"해당(말일 근무)",IF($L334="—","대상월 기관명단 없음(추가 필요)","비해당")))))</f>
        <v/>
      </c>
      <c r="N334" s="20">
        <f>IF($X334="","",SUMIFS(상세표[06~07시],상세표[사번키],INDEX(합계표[사번키],$X334),상세표[반영월],대상월키,상세표[반영 기관],"서울병원"))</f>
        <v/>
      </c>
      <c r="O334" s="20">
        <f>IF($X334="","",SUMIFS(상세표[07~18시],상세표[사번키],INDEX(합계표[사번키],$X334),상세표[반영월],대상월키,상세표[반영 기관],"서울병원"))</f>
        <v/>
      </c>
      <c r="P334" s="20">
        <f>IF($X334="","",SUMIFS(상세표[18~22시],상세표[사번키],INDEX(합계표[사번키],$X334),상세표[반영월],대상월키,상세표[반영 기관],"서울병원"))</f>
        <v/>
      </c>
      <c r="Q334" s="20">
        <f>IF($X334="","",SUMIFS(상세표[22~06시],상세표[사번키],INDEX(합계표[사번키],$X334),상세표[반영월],대상월키,상세표[반영 기관],"서울병원"))</f>
        <v/>
      </c>
      <c r="R334" s="20">
        <f>IF($X334="","",SUM($N334:$Q334))</f>
        <v/>
      </c>
      <c r="S334">
        <f>IF($X334="","",COUNTIFS(상세표[사번키],INDEX(합계표[사번키],$X334),상세표[반영월],대상월키,상세표[야간당직],1,상세표[야간 구분],"평일"))</f>
        <v/>
      </c>
      <c r="T334">
        <f>IF($X334="","",COUNTIFS(상세표[사번키],INDEX(합계표[사번키],$X334),상세표[반영월],대상월키,상세표[야간당직],1,상세표[야간 구분],"휴일"))</f>
        <v/>
      </c>
      <c r="U334">
        <f>IF($X334="","",COUNTIFS(상세표[사번키],INDEX(합계표[사번키],$X334),상세표[반영월],대상월키,상세표[야간당직],1,상세표[야간 구분],"평일",상세표[반영 기관],"서울병원"))</f>
        <v/>
      </c>
      <c r="V334">
        <f>IF($X334="","",COUNTIFS(상세표[사번키],INDEX(합계표[사번키],$X334),상세표[반영월],대상월키,상세표[야간당직],1,상세표[야간 구분],"휴일",상세표[반영 기관],"서울병원"))</f>
        <v/>
      </c>
      <c r="W334">
        <f>IF($X334="","",IF(ISNUMBER(MATCH(INDEX(합계표[사번키],$X334)&amp;"|"&amp;대상월키,월별근무지표[키],0)),"직접 입력",IF($L334="—","—","기관명단")))</f>
        <v/>
      </c>
      <c r="X334" s="4">
        <f>IFERROR(MATCH(329,합계표[판정순번],0),"")</f>
        <v/>
      </c>
    </row>
    <row r="335">
      <c r="A335">
        <f>IF($X335="","",INDEX(합계표[사번],$X335)&amp;"")</f>
        <v/>
      </c>
      <c r="B335">
        <f>IF($X335="","",INDEX(합계표[성명],$X335)&amp;"")</f>
        <v/>
      </c>
      <c r="C335">
        <f>IF($X335="","",INDEX(합계표[부서],$X335)&amp;"")</f>
        <v/>
      </c>
      <c r="D335">
        <f>IF($X335="","",INDEX(합계표[직위(요약)],$X335)&amp;"")</f>
        <v/>
      </c>
      <c r="E335">
        <f>IF($X335="","",INDEX(합계표[직급 공존],$X335)&amp;"")</f>
        <v/>
      </c>
      <c r="F335" s="20">
        <f>IF($X335="","",SUMIFS(합계표[시스템 합계],합계표[사번키],INDEX(합계표[사번키],$X335)))</f>
        <v/>
      </c>
      <c r="G335" s="20">
        <f>IF($X335="","",SUMIFS(상세표[기록 시간외],상세표[사번키],INDEX(합계표[사번키],$X335),상세표[기록월],대상월키))</f>
        <v/>
      </c>
      <c r="H335">
        <f>IF($X335="","",IF(ABS($F335-$G335)&lt;0.01,"일치","불일치(차이 "&amp;TEXT($G335-$F335,"0.00")&amp;")"))</f>
        <v/>
      </c>
      <c r="I335" s="20">
        <f>IF($X335="","",SUMIFS(상세표[기록 시간외],상세표[사번키],INDEX(합계표[사번키],$X335),상세표[기록월],대상월키,상세표[반영월],"&lt;&gt;"&amp;대상월키))</f>
        <v/>
      </c>
      <c r="J335" s="20">
        <f>IF($X335="","",SUMIFS(상세표[기록 시간외],상세표[사번키],INDEX(합계표[사번키],$X335),상세표[기록월],"&lt;&gt;"&amp;대상월키,상세표[반영월],대상월키))</f>
        <v/>
      </c>
      <c r="K335" s="20">
        <f>IF($X335="","",SUMIFS(상세표[기록 시간외],상세표[사번키],INDEX(합계표[사번키],$X335),상세표[반영월],대상월키))</f>
        <v/>
      </c>
      <c r="L335">
        <f>IF($X335="","",IFERROR(INDEX(월별근무지표[적용 급여병원],MATCH(INDEX(합계표[사번키],$X335)&amp;"|"&amp;대상월키,월별근무지표[키],0))&amp;"",IF(COUNTIF(기관표[사번키],INDEX(합계표[사번키],$X335))+COUNTIF(월별근무지표[사번키],INDEX(합계표[사번키],$X335))&gt;0,IFERROR(INDEX(기관표[급여지급병원(기준월)],MATCH(INDEX(합계표[사번키],$X335)&amp;"|"&amp;대상월키,기관표[키],0))&amp;"","—"),"—")))</f>
        <v/>
      </c>
      <c r="M335">
        <f>IF($X335="","",IF(NOT(COUNTIF(기관표[사번키],INDEX(합계표[사번키],$X335))+COUNTIF(월별근무지표[사번키],INDEX(합계표[사번키],$X335))&gt;0),"기관명단에 없음(다른 병원으로 발송)",IF($L335="서울병원","해당",IF(N($R335)&gt;0,"해당(말일 근무)",IF($L335="—","대상월 기관명단 없음(추가 필요)","비해당")))))</f>
        <v/>
      </c>
      <c r="N335" s="20">
        <f>IF($X335="","",SUMIFS(상세표[06~07시],상세표[사번키],INDEX(합계표[사번키],$X335),상세표[반영월],대상월키,상세표[반영 기관],"서울병원"))</f>
        <v/>
      </c>
      <c r="O335" s="20">
        <f>IF($X335="","",SUMIFS(상세표[07~18시],상세표[사번키],INDEX(합계표[사번키],$X335),상세표[반영월],대상월키,상세표[반영 기관],"서울병원"))</f>
        <v/>
      </c>
      <c r="P335" s="20">
        <f>IF($X335="","",SUMIFS(상세표[18~22시],상세표[사번키],INDEX(합계표[사번키],$X335),상세표[반영월],대상월키,상세표[반영 기관],"서울병원"))</f>
        <v/>
      </c>
      <c r="Q335" s="20">
        <f>IF($X335="","",SUMIFS(상세표[22~06시],상세표[사번키],INDEX(합계표[사번키],$X335),상세표[반영월],대상월키,상세표[반영 기관],"서울병원"))</f>
        <v/>
      </c>
      <c r="R335" s="20">
        <f>IF($X335="","",SUM($N335:$Q335))</f>
        <v/>
      </c>
      <c r="S335">
        <f>IF($X335="","",COUNTIFS(상세표[사번키],INDEX(합계표[사번키],$X335),상세표[반영월],대상월키,상세표[야간당직],1,상세표[야간 구분],"평일"))</f>
        <v/>
      </c>
      <c r="T335">
        <f>IF($X335="","",COUNTIFS(상세표[사번키],INDEX(합계표[사번키],$X335),상세표[반영월],대상월키,상세표[야간당직],1,상세표[야간 구분],"휴일"))</f>
        <v/>
      </c>
      <c r="U335">
        <f>IF($X335="","",COUNTIFS(상세표[사번키],INDEX(합계표[사번키],$X335),상세표[반영월],대상월키,상세표[야간당직],1,상세표[야간 구분],"평일",상세표[반영 기관],"서울병원"))</f>
        <v/>
      </c>
      <c r="V335">
        <f>IF($X335="","",COUNTIFS(상세표[사번키],INDEX(합계표[사번키],$X335),상세표[반영월],대상월키,상세표[야간당직],1,상세표[야간 구분],"휴일",상세표[반영 기관],"서울병원"))</f>
        <v/>
      </c>
      <c r="W335">
        <f>IF($X335="","",IF(ISNUMBER(MATCH(INDEX(합계표[사번키],$X335)&amp;"|"&amp;대상월키,월별근무지표[키],0)),"직접 입력",IF($L335="—","—","기관명단")))</f>
        <v/>
      </c>
      <c r="X335" s="4">
        <f>IFERROR(MATCH(330,합계표[판정순번],0),"")</f>
        <v/>
      </c>
    </row>
    <row r="336">
      <c r="A336">
        <f>IF($X336="","",INDEX(합계표[사번],$X336)&amp;"")</f>
        <v/>
      </c>
      <c r="B336">
        <f>IF($X336="","",INDEX(합계표[성명],$X336)&amp;"")</f>
        <v/>
      </c>
      <c r="C336">
        <f>IF($X336="","",INDEX(합계표[부서],$X336)&amp;"")</f>
        <v/>
      </c>
      <c r="D336">
        <f>IF($X336="","",INDEX(합계표[직위(요약)],$X336)&amp;"")</f>
        <v/>
      </c>
      <c r="E336">
        <f>IF($X336="","",INDEX(합계표[직급 공존],$X336)&amp;"")</f>
        <v/>
      </c>
      <c r="F336" s="20">
        <f>IF($X336="","",SUMIFS(합계표[시스템 합계],합계표[사번키],INDEX(합계표[사번키],$X336)))</f>
        <v/>
      </c>
      <c r="G336" s="20">
        <f>IF($X336="","",SUMIFS(상세표[기록 시간외],상세표[사번키],INDEX(합계표[사번키],$X336),상세표[기록월],대상월키))</f>
        <v/>
      </c>
      <c r="H336">
        <f>IF($X336="","",IF(ABS($F336-$G336)&lt;0.01,"일치","불일치(차이 "&amp;TEXT($G336-$F336,"0.00")&amp;")"))</f>
        <v/>
      </c>
      <c r="I336" s="20">
        <f>IF($X336="","",SUMIFS(상세표[기록 시간외],상세표[사번키],INDEX(합계표[사번키],$X336),상세표[기록월],대상월키,상세표[반영월],"&lt;&gt;"&amp;대상월키))</f>
        <v/>
      </c>
      <c r="J336" s="20">
        <f>IF($X336="","",SUMIFS(상세표[기록 시간외],상세표[사번키],INDEX(합계표[사번키],$X336),상세표[기록월],"&lt;&gt;"&amp;대상월키,상세표[반영월],대상월키))</f>
        <v/>
      </c>
      <c r="K336" s="20">
        <f>IF($X336="","",SUMIFS(상세표[기록 시간외],상세표[사번키],INDEX(합계표[사번키],$X336),상세표[반영월],대상월키))</f>
        <v/>
      </c>
      <c r="L336">
        <f>IF($X336="","",IFERROR(INDEX(월별근무지표[적용 급여병원],MATCH(INDEX(합계표[사번키],$X336)&amp;"|"&amp;대상월키,월별근무지표[키],0))&amp;"",IF(COUNTIF(기관표[사번키],INDEX(합계표[사번키],$X336))+COUNTIF(월별근무지표[사번키],INDEX(합계표[사번키],$X336))&gt;0,IFERROR(INDEX(기관표[급여지급병원(기준월)],MATCH(INDEX(합계표[사번키],$X336)&amp;"|"&amp;대상월키,기관표[키],0))&amp;"","—"),"—")))</f>
        <v/>
      </c>
      <c r="M336">
        <f>IF($X336="","",IF(NOT(COUNTIF(기관표[사번키],INDEX(합계표[사번키],$X336))+COUNTIF(월별근무지표[사번키],INDEX(합계표[사번키],$X336))&gt;0),"기관명단에 없음(다른 병원으로 발송)",IF($L336="서울병원","해당",IF(N($R336)&gt;0,"해당(말일 근무)",IF($L336="—","대상월 기관명단 없음(추가 필요)","비해당")))))</f>
        <v/>
      </c>
      <c r="N336" s="20">
        <f>IF($X336="","",SUMIFS(상세표[06~07시],상세표[사번키],INDEX(합계표[사번키],$X336),상세표[반영월],대상월키,상세표[반영 기관],"서울병원"))</f>
        <v/>
      </c>
      <c r="O336" s="20">
        <f>IF($X336="","",SUMIFS(상세표[07~18시],상세표[사번키],INDEX(합계표[사번키],$X336),상세표[반영월],대상월키,상세표[반영 기관],"서울병원"))</f>
        <v/>
      </c>
      <c r="P336" s="20">
        <f>IF($X336="","",SUMIFS(상세표[18~22시],상세표[사번키],INDEX(합계표[사번키],$X336),상세표[반영월],대상월키,상세표[반영 기관],"서울병원"))</f>
        <v/>
      </c>
      <c r="Q336" s="20">
        <f>IF($X336="","",SUMIFS(상세표[22~06시],상세표[사번키],INDEX(합계표[사번키],$X336),상세표[반영월],대상월키,상세표[반영 기관],"서울병원"))</f>
        <v/>
      </c>
      <c r="R336" s="20">
        <f>IF($X336="","",SUM($N336:$Q336))</f>
        <v/>
      </c>
      <c r="S336">
        <f>IF($X336="","",COUNTIFS(상세표[사번키],INDEX(합계표[사번키],$X336),상세표[반영월],대상월키,상세표[야간당직],1,상세표[야간 구분],"평일"))</f>
        <v/>
      </c>
      <c r="T336">
        <f>IF($X336="","",COUNTIFS(상세표[사번키],INDEX(합계표[사번키],$X336),상세표[반영월],대상월키,상세표[야간당직],1,상세표[야간 구분],"휴일"))</f>
        <v/>
      </c>
      <c r="U336">
        <f>IF($X336="","",COUNTIFS(상세표[사번키],INDEX(합계표[사번키],$X336),상세표[반영월],대상월키,상세표[야간당직],1,상세표[야간 구분],"평일",상세표[반영 기관],"서울병원"))</f>
        <v/>
      </c>
      <c r="V336">
        <f>IF($X336="","",COUNTIFS(상세표[사번키],INDEX(합계표[사번키],$X336),상세표[반영월],대상월키,상세표[야간당직],1,상세표[야간 구분],"휴일",상세표[반영 기관],"서울병원"))</f>
        <v/>
      </c>
      <c r="W336">
        <f>IF($X336="","",IF(ISNUMBER(MATCH(INDEX(합계표[사번키],$X336)&amp;"|"&amp;대상월키,월별근무지표[키],0)),"직접 입력",IF($L336="—","—","기관명단")))</f>
        <v/>
      </c>
      <c r="X336" s="4">
        <f>IFERROR(MATCH(331,합계표[판정순번],0),"")</f>
        <v/>
      </c>
    </row>
    <row r="337">
      <c r="A337">
        <f>IF($X337="","",INDEX(합계표[사번],$X337)&amp;"")</f>
        <v/>
      </c>
      <c r="B337">
        <f>IF($X337="","",INDEX(합계표[성명],$X337)&amp;"")</f>
        <v/>
      </c>
      <c r="C337">
        <f>IF($X337="","",INDEX(합계표[부서],$X337)&amp;"")</f>
        <v/>
      </c>
      <c r="D337">
        <f>IF($X337="","",INDEX(합계표[직위(요약)],$X337)&amp;"")</f>
        <v/>
      </c>
      <c r="E337">
        <f>IF($X337="","",INDEX(합계표[직급 공존],$X337)&amp;"")</f>
        <v/>
      </c>
      <c r="F337" s="20">
        <f>IF($X337="","",SUMIFS(합계표[시스템 합계],합계표[사번키],INDEX(합계표[사번키],$X337)))</f>
        <v/>
      </c>
      <c r="G337" s="20">
        <f>IF($X337="","",SUMIFS(상세표[기록 시간외],상세표[사번키],INDEX(합계표[사번키],$X337),상세표[기록월],대상월키))</f>
        <v/>
      </c>
      <c r="H337">
        <f>IF($X337="","",IF(ABS($F337-$G337)&lt;0.01,"일치","불일치(차이 "&amp;TEXT($G337-$F337,"0.00")&amp;")"))</f>
        <v/>
      </c>
      <c r="I337" s="20">
        <f>IF($X337="","",SUMIFS(상세표[기록 시간외],상세표[사번키],INDEX(합계표[사번키],$X337),상세표[기록월],대상월키,상세표[반영월],"&lt;&gt;"&amp;대상월키))</f>
        <v/>
      </c>
      <c r="J337" s="20">
        <f>IF($X337="","",SUMIFS(상세표[기록 시간외],상세표[사번키],INDEX(합계표[사번키],$X337),상세표[기록월],"&lt;&gt;"&amp;대상월키,상세표[반영월],대상월키))</f>
        <v/>
      </c>
      <c r="K337" s="20">
        <f>IF($X337="","",SUMIFS(상세표[기록 시간외],상세표[사번키],INDEX(합계표[사번키],$X337),상세표[반영월],대상월키))</f>
        <v/>
      </c>
      <c r="L337">
        <f>IF($X337="","",IFERROR(INDEX(월별근무지표[적용 급여병원],MATCH(INDEX(합계표[사번키],$X337)&amp;"|"&amp;대상월키,월별근무지표[키],0))&amp;"",IF(COUNTIF(기관표[사번키],INDEX(합계표[사번키],$X337))+COUNTIF(월별근무지표[사번키],INDEX(합계표[사번키],$X337))&gt;0,IFERROR(INDEX(기관표[급여지급병원(기준월)],MATCH(INDEX(합계표[사번키],$X337)&amp;"|"&amp;대상월키,기관표[키],0))&amp;"","—"),"—")))</f>
        <v/>
      </c>
      <c r="M337">
        <f>IF($X337="","",IF(NOT(COUNTIF(기관표[사번키],INDEX(합계표[사번키],$X337))+COUNTIF(월별근무지표[사번키],INDEX(합계표[사번키],$X337))&gt;0),"기관명단에 없음(다른 병원으로 발송)",IF($L337="서울병원","해당",IF(N($R337)&gt;0,"해당(말일 근무)",IF($L337="—","대상월 기관명단 없음(추가 필요)","비해당")))))</f>
        <v/>
      </c>
      <c r="N337" s="20">
        <f>IF($X337="","",SUMIFS(상세표[06~07시],상세표[사번키],INDEX(합계표[사번키],$X337),상세표[반영월],대상월키,상세표[반영 기관],"서울병원"))</f>
        <v/>
      </c>
      <c r="O337" s="20">
        <f>IF($X337="","",SUMIFS(상세표[07~18시],상세표[사번키],INDEX(합계표[사번키],$X337),상세표[반영월],대상월키,상세표[반영 기관],"서울병원"))</f>
        <v/>
      </c>
      <c r="P337" s="20">
        <f>IF($X337="","",SUMIFS(상세표[18~22시],상세표[사번키],INDEX(합계표[사번키],$X337),상세표[반영월],대상월키,상세표[반영 기관],"서울병원"))</f>
        <v/>
      </c>
      <c r="Q337" s="20">
        <f>IF($X337="","",SUMIFS(상세표[22~06시],상세표[사번키],INDEX(합계표[사번키],$X337),상세표[반영월],대상월키,상세표[반영 기관],"서울병원"))</f>
        <v/>
      </c>
      <c r="R337" s="20">
        <f>IF($X337="","",SUM($N337:$Q337))</f>
        <v/>
      </c>
      <c r="S337">
        <f>IF($X337="","",COUNTIFS(상세표[사번키],INDEX(합계표[사번키],$X337),상세표[반영월],대상월키,상세표[야간당직],1,상세표[야간 구분],"평일"))</f>
        <v/>
      </c>
      <c r="T337">
        <f>IF($X337="","",COUNTIFS(상세표[사번키],INDEX(합계표[사번키],$X337),상세표[반영월],대상월키,상세표[야간당직],1,상세표[야간 구분],"휴일"))</f>
        <v/>
      </c>
      <c r="U337">
        <f>IF($X337="","",COUNTIFS(상세표[사번키],INDEX(합계표[사번키],$X337),상세표[반영월],대상월키,상세표[야간당직],1,상세표[야간 구분],"평일",상세표[반영 기관],"서울병원"))</f>
        <v/>
      </c>
      <c r="V337">
        <f>IF($X337="","",COUNTIFS(상세표[사번키],INDEX(합계표[사번키],$X337),상세표[반영월],대상월키,상세표[야간당직],1,상세표[야간 구분],"휴일",상세표[반영 기관],"서울병원"))</f>
        <v/>
      </c>
      <c r="W337">
        <f>IF($X337="","",IF(ISNUMBER(MATCH(INDEX(합계표[사번키],$X337)&amp;"|"&amp;대상월키,월별근무지표[키],0)),"직접 입력",IF($L337="—","—","기관명단")))</f>
        <v/>
      </c>
      <c r="X337" s="4">
        <f>IFERROR(MATCH(332,합계표[판정순번],0),"")</f>
        <v/>
      </c>
    </row>
    <row r="338">
      <c r="A338">
        <f>IF($X338="","",INDEX(합계표[사번],$X338)&amp;"")</f>
        <v/>
      </c>
      <c r="B338">
        <f>IF($X338="","",INDEX(합계표[성명],$X338)&amp;"")</f>
        <v/>
      </c>
      <c r="C338">
        <f>IF($X338="","",INDEX(합계표[부서],$X338)&amp;"")</f>
        <v/>
      </c>
      <c r="D338">
        <f>IF($X338="","",INDEX(합계표[직위(요약)],$X338)&amp;"")</f>
        <v/>
      </c>
      <c r="E338">
        <f>IF($X338="","",INDEX(합계표[직급 공존],$X338)&amp;"")</f>
        <v/>
      </c>
      <c r="F338" s="20">
        <f>IF($X338="","",SUMIFS(합계표[시스템 합계],합계표[사번키],INDEX(합계표[사번키],$X338)))</f>
        <v/>
      </c>
      <c r="G338" s="20">
        <f>IF($X338="","",SUMIFS(상세표[기록 시간외],상세표[사번키],INDEX(합계표[사번키],$X338),상세표[기록월],대상월키))</f>
        <v/>
      </c>
      <c r="H338">
        <f>IF($X338="","",IF(ABS($F338-$G338)&lt;0.01,"일치","불일치(차이 "&amp;TEXT($G338-$F338,"0.00")&amp;")"))</f>
        <v/>
      </c>
      <c r="I338" s="20">
        <f>IF($X338="","",SUMIFS(상세표[기록 시간외],상세표[사번키],INDEX(합계표[사번키],$X338),상세표[기록월],대상월키,상세표[반영월],"&lt;&gt;"&amp;대상월키))</f>
        <v/>
      </c>
      <c r="J338" s="20">
        <f>IF($X338="","",SUMIFS(상세표[기록 시간외],상세표[사번키],INDEX(합계표[사번키],$X338),상세표[기록월],"&lt;&gt;"&amp;대상월키,상세표[반영월],대상월키))</f>
        <v/>
      </c>
      <c r="K338" s="20">
        <f>IF($X338="","",SUMIFS(상세표[기록 시간외],상세표[사번키],INDEX(합계표[사번키],$X338),상세표[반영월],대상월키))</f>
        <v/>
      </c>
      <c r="L338">
        <f>IF($X338="","",IFERROR(INDEX(월별근무지표[적용 급여병원],MATCH(INDEX(합계표[사번키],$X338)&amp;"|"&amp;대상월키,월별근무지표[키],0))&amp;"",IF(COUNTIF(기관표[사번키],INDEX(합계표[사번키],$X338))+COUNTIF(월별근무지표[사번키],INDEX(합계표[사번키],$X338))&gt;0,IFERROR(INDEX(기관표[급여지급병원(기준월)],MATCH(INDEX(합계표[사번키],$X338)&amp;"|"&amp;대상월키,기관표[키],0))&amp;"","—"),"—")))</f>
        <v/>
      </c>
      <c r="M338">
        <f>IF($X338="","",IF(NOT(COUNTIF(기관표[사번키],INDEX(합계표[사번키],$X338))+COUNTIF(월별근무지표[사번키],INDEX(합계표[사번키],$X338))&gt;0),"기관명단에 없음(다른 병원으로 발송)",IF($L338="서울병원","해당",IF(N($R338)&gt;0,"해당(말일 근무)",IF($L338="—","대상월 기관명단 없음(추가 필요)","비해당")))))</f>
        <v/>
      </c>
      <c r="N338" s="20">
        <f>IF($X338="","",SUMIFS(상세표[06~07시],상세표[사번키],INDEX(합계표[사번키],$X338),상세표[반영월],대상월키,상세표[반영 기관],"서울병원"))</f>
        <v/>
      </c>
      <c r="O338" s="20">
        <f>IF($X338="","",SUMIFS(상세표[07~18시],상세표[사번키],INDEX(합계표[사번키],$X338),상세표[반영월],대상월키,상세표[반영 기관],"서울병원"))</f>
        <v/>
      </c>
      <c r="P338" s="20">
        <f>IF($X338="","",SUMIFS(상세표[18~22시],상세표[사번키],INDEX(합계표[사번키],$X338),상세표[반영월],대상월키,상세표[반영 기관],"서울병원"))</f>
        <v/>
      </c>
      <c r="Q338" s="20">
        <f>IF($X338="","",SUMIFS(상세표[22~06시],상세표[사번키],INDEX(합계표[사번키],$X338),상세표[반영월],대상월키,상세표[반영 기관],"서울병원"))</f>
        <v/>
      </c>
      <c r="R338" s="20">
        <f>IF($X338="","",SUM($N338:$Q338))</f>
        <v/>
      </c>
      <c r="S338">
        <f>IF($X338="","",COUNTIFS(상세표[사번키],INDEX(합계표[사번키],$X338),상세표[반영월],대상월키,상세표[야간당직],1,상세표[야간 구분],"평일"))</f>
        <v/>
      </c>
      <c r="T338">
        <f>IF($X338="","",COUNTIFS(상세표[사번키],INDEX(합계표[사번키],$X338),상세표[반영월],대상월키,상세표[야간당직],1,상세표[야간 구분],"휴일"))</f>
        <v/>
      </c>
      <c r="U338">
        <f>IF($X338="","",COUNTIFS(상세표[사번키],INDEX(합계표[사번키],$X338),상세표[반영월],대상월키,상세표[야간당직],1,상세표[야간 구분],"평일",상세표[반영 기관],"서울병원"))</f>
        <v/>
      </c>
      <c r="V338">
        <f>IF($X338="","",COUNTIFS(상세표[사번키],INDEX(합계표[사번키],$X338),상세표[반영월],대상월키,상세표[야간당직],1,상세표[야간 구분],"휴일",상세표[반영 기관],"서울병원"))</f>
        <v/>
      </c>
      <c r="W338">
        <f>IF($X338="","",IF(ISNUMBER(MATCH(INDEX(합계표[사번키],$X338)&amp;"|"&amp;대상월키,월별근무지표[키],0)),"직접 입력",IF($L338="—","—","기관명단")))</f>
        <v/>
      </c>
      <c r="X338" s="4">
        <f>IFERROR(MATCH(333,합계표[판정순번],0),"")</f>
        <v/>
      </c>
    </row>
    <row r="339">
      <c r="A339">
        <f>IF($X339="","",INDEX(합계표[사번],$X339)&amp;"")</f>
        <v/>
      </c>
      <c r="B339">
        <f>IF($X339="","",INDEX(합계표[성명],$X339)&amp;"")</f>
        <v/>
      </c>
      <c r="C339">
        <f>IF($X339="","",INDEX(합계표[부서],$X339)&amp;"")</f>
        <v/>
      </c>
      <c r="D339">
        <f>IF($X339="","",INDEX(합계표[직위(요약)],$X339)&amp;"")</f>
        <v/>
      </c>
      <c r="E339">
        <f>IF($X339="","",INDEX(합계표[직급 공존],$X339)&amp;"")</f>
        <v/>
      </c>
      <c r="F339" s="20">
        <f>IF($X339="","",SUMIFS(합계표[시스템 합계],합계표[사번키],INDEX(합계표[사번키],$X339)))</f>
        <v/>
      </c>
      <c r="G339" s="20">
        <f>IF($X339="","",SUMIFS(상세표[기록 시간외],상세표[사번키],INDEX(합계표[사번키],$X339),상세표[기록월],대상월키))</f>
        <v/>
      </c>
      <c r="H339">
        <f>IF($X339="","",IF(ABS($F339-$G339)&lt;0.01,"일치","불일치(차이 "&amp;TEXT($G339-$F339,"0.00")&amp;")"))</f>
        <v/>
      </c>
      <c r="I339" s="20">
        <f>IF($X339="","",SUMIFS(상세표[기록 시간외],상세표[사번키],INDEX(합계표[사번키],$X339),상세표[기록월],대상월키,상세표[반영월],"&lt;&gt;"&amp;대상월키))</f>
        <v/>
      </c>
      <c r="J339" s="20">
        <f>IF($X339="","",SUMIFS(상세표[기록 시간외],상세표[사번키],INDEX(합계표[사번키],$X339),상세표[기록월],"&lt;&gt;"&amp;대상월키,상세표[반영월],대상월키))</f>
        <v/>
      </c>
      <c r="K339" s="20">
        <f>IF($X339="","",SUMIFS(상세표[기록 시간외],상세표[사번키],INDEX(합계표[사번키],$X339),상세표[반영월],대상월키))</f>
        <v/>
      </c>
      <c r="L339">
        <f>IF($X339="","",IFERROR(INDEX(월별근무지표[적용 급여병원],MATCH(INDEX(합계표[사번키],$X339)&amp;"|"&amp;대상월키,월별근무지표[키],0))&amp;"",IF(COUNTIF(기관표[사번키],INDEX(합계표[사번키],$X339))+COUNTIF(월별근무지표[사번키],INDEX(합계표[사번키],$X339))&gt;0,IFERROR(INDEX(기관표[급여지급병원(기준월)],MATCH(INDEX(합계표[사번키],$X339)&amp;"|"&amp;대상월키,기관표[키],0))&amp;"","—"),"—")))</f>
        <v/>
      </c>
      <c r="M339">
        <f>IF($X339="","",IF(NOT(COUNTIF(기관표[사번키],INDEX(합계표[사번키],$X339))+COUNTIF(월별근무지표[사번키],INDEX(합계표[사번키],$X339))&gt;0),"기관명단에 없음(다른 병원으로 발송)",IF($L339="서울병원","해당",IF(N($R339)&gt;0,"해당(말일 근무)",IF($L339="—","대상월 기관명단 없음(추가 필요)","비해당")))))</f>
        <v/>
      </c>
      <c r="N339" s="20">
        <f>IF($X339="","",SUMIFS(상세표[06~07시],상세표[사번키],INDEX(합계표[사번키],$X339),상세표[반영월],대상월키,상세표[반영 기관],"서울병원"))</f>
        <v/>
      </c>
      <c r="O339" s="20">
        <f>IF($X339="","",SUMIFS(상세표[07~18시],상세표[사번키],INDEX(합계표[사번키],$X339),상세표[반영월],대상월키,상세표[반영 기관],"서울병원"))</f>
        <v/>
      </c>
      <c r="P339" s="20">
        <f>IF($X339="","",SUMIFS(상세표[18~22시],상세표[사번키],INDEX(합계표[사번키],$X339),상세표[반영월],대상월키,상세표[반영 기관],"서울병원"))</f>
        <v/>
      </c>
      <c r="Q339" s="20">
        <f>IF($X339="","",SUMIFS(상세표[22~06시],상세표[사번키],INDEX(합계표[사번키],$X339),상세표[반영월],대상월키,상세표[반영 기관],"서울병원"))</f>
        <v/>
      </c>
      <c r="R339" s="20">
        <f>IF($X339="","",SUM($N339:$Q339))</f>
        <v/>
      </c>
      <c r="S339">
        <f>IF($X339="","",COUNTIFS(상세표[사번키],INDEX(합계표[사번키],$X339),상세표[반영월],대상월키,상세표[야간당직],1,상세표[야간 구분],"평일"))</f>
        <v/>
      </c>
      <c r="T339">
        <f>IF($X339="","",COUNTIFS(상세표[사번키],INDEX(합계표[사번키],$X339),상세표[반영월],대상월키,상세표[야간당직],1,상세표[야간 구분],"휴일"))</f>
        <v/>
      </c>
      <c r="U339">
        <f>IF($X339="","",COUNTIFS(상세표[사번키],INDEX(합계표[사번키],$X339),상세표[반영월],대상월키,상세표[야간당직],1,상세표[야간 구분],"평일",상세표[반영 기관],"서울병원"))</f>
        <v/>
      </c>
      <c r="V339">
        <f>IF($X339="","",COUNTIFS(상세표[사번키],INDEX(합계표[사번키],$X339),상세표[반영월],대상월키,상세표[야간당직],1,상세표[야간 구분],"휴일",상세표[반영 기관],"서울병원"))</f>
        <v/>
      </c>
      <c r="W339">
        <f>IF($X339="","",IF(ISNUMBER(MATCH(INDEX(합계표[사번키],$X339)&amp;"|"&amp;대상월키,월별근무지표[키],0)),"직접 입력",IF($L339="—","—","기관명단")))</f>
        <v/>
      </c>
      <c r="X339" s="4">
        <f>IFERROR(MATCH(334,합계표[판정순번],0),"")</f>
        <v/>
      </c>
    </row>
    <row r="340">
      <c r="A340">
        <f>IF($X340="","",INDEX(합계표[사번],$X340)&amp;"")</f>
        <v/>
      </c>
      <c r="B340">
        <f>IF($X340="","",INDEX(합계표[성명],$X340)&amp;"")</f>
        <v/>
      </c>
      <c r="C340">
        <f>IF($X340="","",INDEX(합계표[부서],$X340)&amp;"")</f>
        <v/>
      </c>
      <c r="D340">
        <f>IF($X340="","",INDEX(합계표[직위(요약)],$X340)&amp;"")</f>
        <v/>
      </c>
      <c r="E340">
        <f>IF($X340="","",INDEX(합계표[직급 공존],$X340)&amp;"")</f>
        <v/>
      </c>
      <c r="F340" s="20">
        <f>IF($X340="","",SUMIFS(합계표[시스템 합계],합계표[사번키],INDEX(합계표[사번키],$X340)))</f>
        <v/>
      </c>
      <c r="G340" s="20">
        <f>IF($X340="","",SUMIFS(상세표[기록 시간외],상세표[사번키],INDEX(합계표[사번키],$X340),상세표[기록월],대상월키))</f>
        <v/>
      </c>
      <c r="H340">
        <f>IF($X340="","",IF(ABS($F340-$G340)&lt;0.01,"일치","불일치(차이 "&amp;TEXT($G340-$F340,"0.00")&amp;")"))</f>
        <v/>
      </c>
      <c r="I340" s="20">
        <f>IF($X340="","",SUMIFS(상세표[기록 시간외],상세표[사번키],INDEX(합계표[사번키],$X340),상세표[기록월],대상월키,상세표[반영월],"&lt;&gt;"&amp;대상월키))</f>
        <v/>
      </c>
      <c r="J340" s="20">
        <f>IF($X340="","",SUMIFS(상세표[기록 시간외],상세표[사번키],INDEX(합계표[사번키],$X340),상세표[기록월],"&lt;&gt;"&amp;대상월키,상세표[반영월],대상월키))</f>
        <v/>
      </c>
      <c r="K340" s="20">
        <f>IF($X340="","",SUMIFS(상세표[기록 시간외],상세표[사번키],INDEX(합계표[사번키],$X340),상세표[반영월],대상월키))</f>
        <v/>
      </c>
      <c r="L340">
        <f>IF($X340="","",IFERROR(INDEX(월별근무지표[적용 급여병원],MATCH(INDEX(합계표[사번키],$X340)&amp;"|"&amp;대상월키,월별근무지표[키],0))&amp;"",IF(COUNTIF(기관표[사번키],INDEX(합계표[사번키],$X340))+COUNTIF(월별근무지표[사번키],INDEX(합계표[사번키],$X340))&gt;0,IFERROR(INDEX(기관표[급여지급병원(기준월)],MATCH(INDEX(합계표[사번키],$X340)&amp;"|"&amp;대상월키,기관표[키],0))&amp;"","—"),"—")))</f>
        <v/>
      </c>
      <c r="M340">
        <f>IF($X340="","",IF(NOT(COUNTIF(기관표[사번키],INDEX(합계표[사번키],$X340))+COUNTIF(월별근무지표[사번키],INDEX(합계표[사번키],$X340))&gt;0),"기관명단에 없음(다른 병원으로 발송)",IF($L340="서울병원","해당",IF(N($R340)&gt;0,"해당(말일 근무)",IF($L340="—","대상월 기관명단 없음(추가 필요)","비해당")))))</f>
        <v/>
      </c>
      <c r="N340" s="20">
        <f>IF($X340="","",SUMIFS(상세표[06~07시],상세표[사번키],INDEX(합계표[사번키],$X340),상세표[반영월],대상월키,상세표[반영 기관],"서울병원"))</f>
        <v/>
      </c>
      <c r="O340" s="20">
        <f>IF($X340="","",SUMIFS(상세표[07~18시],상세표[사번키],INDEX(합계표[사번키],$X340),상세표[반영월],대상월키,상세표[반영 기관],"서울병원"))</f>
        <v/>
      </c>
      <c r="P340" s="20">
        <f>IF($X340="","",SUMIFS(상세표[18~22시],상세표[사번키],INDEX(합계표[사번키],$X340),상세표[반영월],대상월키,상세표[반영 기관],"서울병원"))</f>
        <v/>
      </c>
      <c r="Q340" s="20">
        <f>IF($X340="","",SUMIFS(상세표[22~06시],상세표[사번키],INDEX(합계표[사번키],$X340),상세표[반영월],대상월키,상세표[반영 기관],"서울병원"))</f>
        <v/>
      </c>
      <c r="R340" s="20">
        <f>IF($X340="","",SUM($N340:$Q340))</f>
        <v/>
      </c>
      <c r="S340">
        <f>IF($X340="","",COUNTIFS(상세표[사번키],INDEX(합계표[사번키],$X340),상세표[반영월],대상월키,상세표[야간당직],1,상세표[야간 구분],"평일"))</f>
        <v/>
      </c>
      <c r="T340">
        <f>IF($X340="","",COUNTIFS(상세표[사번키],INDEX(합계표[사번키],$X340),상세표[반영월],대상월키,상세표[야간당직],1,상세표[야간 구분],"휴일"))</f>
        <v/>
      </c>
      <c r="U340">
        <f>IF($X340="","",COUNTIFS(상세표[사번키],INDEX(합계표[사번키],$X340),상세표[반영월],대상월키,상세표[야간당직],1,상세표[야간 구분],"평일",상세표[반영 기관],"서울병원"))</f>
        <v/>
      </c>
      <c r="V340">
        <f>IF($X340="","",COUNTIFS(상세표[사번키],INDEX(합계표[사번키],$X340),상세표[반영월],대상월키,상세표[야간당직],1,상세표[야간 구분],"휴일",상세표[반영 기관],"서울병원"))</f>
        <v/>
      </c>
      <c r="W340">
        <f>IF($X340="","",IF(ISNUMBER(MATCH(INDEX(합계표[사번키],$X340)&amp;"|"&amp;대상월키,월별근무지표[키],0)),"직접 입력",IF($L340="—","—","기관명단")))</f>
        <v/>
      </c>
      <c r="X340" s="4">
        <f>IFERROR(MATCH(335,합계표[판정순번],0),"")</f>
        <v/>
      </c>
    </row>
    <row r="341">
      <c r="A341">
        <f>IF($X341="","",INDEX(합계표[사번],$X341)&amp;"")</f>
        <v/>
      </c>
      <c r="B341">
        <f>IF($X341="","",INDEX(합계표[성명],$X341)&amp;"")</f>
        <v/>
      </c>
      <c r="C341">
        <f>IF($X341="","",INDEX(합계표[부서],$X341)&amp;"")</f>
        <v/>
      </c>
      <c r="D341">
        <f>IF($X341="","",INDEX(합계표[직위(요약)],$X341)&amp;"")</f>
        <v/>
      </c>
      <c r="E341">
        <f>IF($X341="","",INDEX(합계표[직급 공존],$X341)&amp;"")</f>
        <v/>
      </c>
      <c r="F341" s="20">
        <f>IF($X341="","",SUMIFS(합계표[시스템 합계],합계표[사번키],INDEX(합계표[사번키],$X341)))</f>
        <v/>
      </c>
      <c r="G341" s="20">
        <f>IF($X341="","",SUMIFS(상세표[기록 시간외],상세표[사번키],INDEX(합계표[사번키],$X341),상세표[기록월],대상월키))</f>
        <v/>
      </c>
      <c r="H341">
        <f>IF($X341="","",IF(ABS($F341-$G341)&lt;0.01,"일치","불일치(차이 "&amp;TEXT($G341-$F341,"0.00")&amp;")"))</f>
        <v/>
      </c>
      <c r="I341" s="20">
        <f>IF($X341="","",SUMIFS(상세표[기록 시간외],상세표[사번키],INDEX(합계표[사번키],$X341),상세표[기록월],대상월키,상세표[반영월],"&lt;&gt;"&amp;대상월키))</f>
        <v/>
      </c>
      <c r="J341" s="20">
        <f>IF($X341="","",SUMIFS(상세표[기록 시간외],상세표[사번키],INDEX(합계표[사번키],$X341),상세표[기록월],"&lt;&gt;"&amp;대상월키,상세표[반영월],대상월키))</f>
        <v/>
      </c>
      <c r="K341" s="20">
        <f>IF($X341="","",SUMIFS(상세표[기록 시간외],상세표[사번키],INDEX(합계표[사번키],$X341),상세표[반영월],대상월키))</f>
        <v/>
      </c>
      <c r="L341">
        <f>IF($X341="","",IFERROR(INDEX(월별근무지표[적용 급여병원],MATCH(INDEX(합계표[사번키],$X341)&amp;"|"&amp;대상월키,월별근무지표[키],0))&amp;"",IF(COUNTIF(기관표[사번키],INDEX(합계표[사번키],$X341))+COUNTIF(월별근무지표[사번키],INDEX(합계표[사번키],$X341))&gt;0,IFERROR(INDEX(기관표[급여지급병원(기준월)],MATCH(INDEX(합계표[사번키],$X341)&amp;"|"&amp;대상월키,기관표[키],0))&amp;"","—"),"—")))</f>
        <v/>
      </c>
      <c r="M341">
        <f>IF($X341="","",IF(NOT(COUNTIF(기관표[사번키],INDEX(합계표[사번키],$X341))+COUNTIF(월별근무지표[사번키],INDEX(합계표[사번키],$X341))&gt;0),"기관명단에 없음(다른 병원으로 발송)",IF($L341="서울병원","해당",IF(N($R341)&gt;0,"해당(말일 근무)",IF($L341="—","대상월 기관명단 없음(추가 필요)","비해당")))))</f>
        <v/>
      </c>
      <c r="N341" s="20">
        <f>IF($X341="","",SUMIFS(상세표[06~07시],상세표[사번키],INDEX(합계표[사번키],$X341),상세표[반영월],대상월키,상세표[반영 기관],"서울병원"))</f>
        <v/>
      </c>
      <c r="O341" s="20">
        <f>IF($X341="","",SUMIFS(상세표[07~18시],상세표[사번키],INDEX(합계표[사번키],$X341),상세표[반영월],대상월키,상세표[반영 기관],"서울병원"))</f>
        <v/>
      </c>
      <c r="P341" s="20">
        <f>IF($X341="","",SUMIFS(상세표[18~22시],상세표[사번키],INDEX(합계표[사번키],$X341),상세표[반영월],대상월키,상세표[반영 기관],"서울병원"))</f>
        <v/>
      </c>
      <c r="Q341" s="20">
        <f>IF($X341="","",SUMIFS(상세표[22~06시],상세표[사번키],INDEX(합계표[사번키],$X341),상세표[반영월],대상월키,상세표[반영 기관],"서울병원"))</f>
        <v/>
      </c>
      <c r="R341" s="20">
        <f>IF($X341="","",SUM($N341:$Q341))</f>
        <v/>
      </c>
      <c r="S341">
        <f>IF($X341="","",COUNTIFS(상세표[사번키],INDEX(합계표[사번키],$X341),상세표[반영월],대상월키,상세표[야간당직],1,상세표[야간 구분],"평일"))</f>
        <v/>
      </c>
      <c r="T341">
        <f>IF($X341="","",COUNTIFS(상세표[사번키],INDEX(합계표[사번키],$X341),상세표[반영월],대상월키,상세표[야간당직],1,상세표[야간 구분],"휴일"))</f>
        <v/>
      </c>
      <c r="U341">
        <f>IF($X341="","",COUNTIFS(상세표[사번키],INDEX(합계표[사번키],$X341),상세표[반영월],대상월키,상세표[야간당직],1,상세표[야간 구분],"평일",상세표[반영 기관],"서울병원"))</f>
        <v/>
      </c>
      <c r="V341">
        <f>IF($X341="","",COUNTIFS(상세표[사번키],INDEX(합계표[사번키],$X341),상세표[반영월],대상월키,상세표[야간당직],1,상세표[야간 구분],"휴일",상세표[반영 기관],"서울병원"))</f>
        <v/>
      </c>
      <c r="W341">
        <f>IF($X341="","",IF(ISNUMBER(MATCH(INDEX(합계표[사번키],$X341)&amp;"|"&amp;대상월키,월별근무지표[키],0)),"직접 입력",IF($L341="—","—","기관명단")))</f>
        <v/>
      </c>
      <c r="X341" s="4">
        <f>IFERROR(MATCH(336,합계표[판정순번],0),"")</f>
        <v/>
      </c>
    </row>
    <row r="342">
      <c r="A342">
        <f>IF($X342="","",INDEX(합계표[사번],$X342)&amp;"")</f>
        <v/>
      </c>
      <c r="B342">
        <f>IF($X342="","",INDEX(합계표[성명],$X342)&amp;"")</f>
        <v/>
      </c>
      <c r="C342">
        <f>IF($X342="","",INDEX(합계표[부서],$X342)&amp;"")</f>
        <v/>
      </c>
      <c r="D342">
        <f>IF($X342="","",INDEX(합계표[직위(요약)],$X342)&amp;"")</f>
        <v/>
      </c>
      <c r="E342">
        <f>IF($X342="","",INDEX(합계표[직급 공존],$X342)&amp;"")</f>
        <v/>
      </c>
      <c r="F342" s="20">
        <f>IF($X342="","",SUMIFS(합계표[시스템 합계],합계표[사번키],INDEX(합계표[사번키],$X342)))</f>
        <v/>
      </c>
      <c r="G342" s="20">
        <f>IF($X342="","",SUMIFS(상세표[기록 시간외],상세표[사번키],INDEX(합계표[사번키],$X342),상세표[기록월],대상월키))</f>
        <v/>
      </c>
      <c r="H342">
        <f>IF($X342="","",IF(ABS($F342-$G342)&lt;0.01,"일치","불일치(차이 "&amp;TEXT($G342-$F342,"0.00")&amp;")"))</f>
        <v/>
      </c>
      <c r="I342" s="20">
        <f>IF($X342="","",SUMIFS(상세표[기록 시간외],상세표[사번키],INDEX(합계표[사번키],$X342),상세표[기록월],대상월키,상세표[반영월],"&lt;&gt;"&amp;대상월키))</f>
        <v/>
      </c>
      <c r="J342" s="20">
        <f>IF($X342="","",SUMIFS(상세표[기록 시간외],상세표[사번키],INDEX(합계표[사번키],$X342),상세표[기록월],"&lt;&gt;"&amp;대상월키,상세표[반영월],대상월키))</f>
        <v/>
      </c>
      <c r="K342" s="20">
        <f>IF($X342="","",SUMIFS(상세표[기록 시간외],상세표[사번키],INDEX(합계표[사번키],$X342),상세표[반영월],대상월키))</f>
        <v/>
      </c>
      <c r="L342">
        <f>IF($X342="","",IFERROR(INDEX(월별근무지표[적용 급여병원],MATCH(INDEX(합계표[사번키],$X342)&amp;"|"&amp;대상월키,월별근무지표[키],0))&amp;"",IF(COUNTIF(기관표[사번키],INDEX(합계표[사번키],$X342))+COUNTIF(월별근무지표[사번키],INDEX(합계표[사번키],$X342))&gt;0,IFERROR(INDEX(기관표[급여지급병원(기준월)],MATCH(INDEX(합계표[사번키],$X342)&amp;"|"&amp;대상월키,기관표[키],0))&amp;"","—"),"—")))</f>
        <v/>
      </c>
      <c r="M342">
        <f>IF($X342="","",IF(NOT(COUNTIF(기관표[사번키],INDEX(합계표[사번키],$X342))+COUNTIF(월별근무지표[사번키],INDEX(합계표[사번키],$X342))&gt;0),"기관명단에 없음(다른 병원으로 발송)",IF($L342="서울병원","해당",IF(N($R342)&gt;0,"해당(말일 근무)",IF($L342="—","대상월 기관명단 없음(추가 필요)","비해당")))))</f>
        <v/>
      </c>
      <c r="N342" s="20">
        <f>IF($X342="","",SUMIFS(상세표[06~07시],상세표[사번키],INDEX(합계표[사번키],$X342),상세표[반영월],대상월키,상세표[반영 기관],"서울병원"))</f>
        <v/>
      </c>
      <c r="O342" s="20">
        <f>IF($X342="","",SUMIFS(상세표[07~18시],상세표[사번키],INDEX(합계표[사번키],$X342),상세표[반영월],대상월키,상세표[반영 기관],"서울병원"))</f>
        <v/>
      </c>
      <c r="P342" s="20">
        <f>IF($X342="","",SUMIFS(상세표[18~22시],상세표[사번키],INDEX(합계표[사번키],$X342),상세표[반영월],대상월키,상세표[반영 기관],"서울병원"))</f>
        <v/>
      </c>
      <c r="Q342" s="20">
        <f>IF($X342="","",SUMIFS(상세표[22~06시],상세표[사번키],INDEX(합계표[사번키],$X342),상세표[반영월],대상월키,상세표[반영 기관],"서울병원"))</f>
        <v/>
      </c>
      <c r="R342" s="20">
        <f>IF($X342="","",SUM($N342:$Q342))</f>
        <v/>
      </c>
      <c r="S342">
        <f>IF($X342="","",COUNTIFS(상세표[사번키],INDEX(합계표[사번키],$X342),상세표[반영월],대상월키,상세표[야간당직],1,상세표[야간 구분],"평일"))</f>
        <v/>
      </c>
      <c r="T342">
        <f>IF($X342="","",COUNTIFS(상세표[사번키],INDEX(합계표[사번키],$X342),상세표[반영월],대상월키,상세표[야간당직],1,상세표[야간 구분],"휴일"))</f>
        <v/>
      </c>
      <c r="U342">
        <f>IF($X342="","",COUNTIFS(상세표[사번키],INDEX(합계표[사번키],$X342),상세표[반영월],대상월키,상세표[야간당직],1,상세표[야간 구분],"평일",상세표[반영 기관],"서울병원"))</f>
        <v/>
      </c>
      <c r="V342">
        <f>IF($X342="","",COUNTIFS(상세표[사번키],INDEX(합계표[사번키],$X342),상세표[반영월],대상월키,상세표[야간당직],1,상세표[야간 구분],"휴일",상세표[반영 기관],"서울병원"))</f>
        <v/>
      </c>
      <c r="W342">
        <f>IF($X342="","",IF(ISNUMBER(MATCH(INDEX(합계표[사번키],$X342)&amp;"|"&amp;대상월키,월별근무지표[키],0)),"직접 입력",IF($L342="—","—","기관명단")))</f>
        <v/>
      </c>
      <c r="X342" s="4">
        <f>IFERROR(MATCH(337,합계표[판정순번],0),"")</f>
        <v/>
      </c>
    </row>
    <row r="343">
      <c r="A343">
        <f>IF($X343="","",INDEX(합계표[사번],$X343)&amp;"")</f>
        <v/>
      </c>
      <c r="B343">
        <f>IF($X343="","",INDEX(합계표[성명],$X343)&amp;"")</f>
        <v/>
      </c>
      <c r="C343">
        <f>IF($X343="","",INDEX(합계표[부서],$X343)&amp;"")</f>
        <v/>
      </c>
      <c r="D343">
        <f>IF($X343="","",INDEX(합계표[직위(요약)],$X343)&amp;"")</f>
        <v/>
      </c>
      <c r="E343">
        <f>IF($X343="","",INDEX(합계표[직급 공존],$X343)&amp;"")</f>
        <v/>
      </c>
      <c r="F343" s="20">
        <f>IF($X343="","",SUMIFS(합계표[시스템 합계],합계표[사번키],INDEX(합계표[사번키],$X343)))</f>
        <v/>
      </c>
      <c r="G343" s="20">
        <f>IF($X343="","",SUMIFS(상세표[기록 시간외],상세표[사번키],INDEX(합계표[사번키],$X343),상세표[기록월],대상월키))</f>
        <v/>
      </c>
      <c r="H343">
        <f>IF($X343="","",IF(ABS($F343-$G343)&lt;0.01,"일치","불일치(차이 "&amp;TEXT($G343-$F343,"0.00")&amp;")"))</f>
        <v/>
      </c>
      <c r="I343" s="20">
        <f>IF($X343="","",SUMIFS(상세표[기록 시간외],상세표[사번키],INDEX(합계표[사번키],$X343),상세표[기록월],대상월키,상세표[반영월],"&lt;&gt;"&amp;대상월키))</f>
        <v/>
      </c>
      <c r="J343" s="20">
        <f>IF($X343="","",SUMIFS(상세표[기록 시간외],상세표[사번키],INDEX(합계표[사번키],$X343),상세표[기록월],"&lt;&gt;"&amp;대상월키,상세표[반영월],대상월키))</f>
        <v/>
      </c>
      <c r="K343" s="20">
        <f>IF($X343="","",SUMIFS(상세표[기록 시간외],상세표[사번키],INDEX(합계표[사번키],$X343),상세표[반영월],대상월키))</f>
        <v/>
      </c>
      <c r="L343">
        <f>IF($X343="","",IFERROR(INDEX(월별근무지표[적용 급여병원],MATCH(INDEX(합계표[사번키],$X343)&amp;"|"&amp;대상월키,월별근무지표[키],0))&amp;"",IF(COUNTIF(기관표[사번키],INDEX(합계표[사번키],$X343))+COUNTIF(월별근무지표[사번키],INDEX(합계표[사번키],$X343))&gt;0,IFERROR(INDEX(기관표[급여지급병원(기준월)],MATCH(INDEX(합계표[사번키],$X343)&amp;"|"&amp;대상월키,기관표[키],0))&amp;"","—"),"—")))</f>
        <v/>
      </c>
      <c r="M343">
        <f>IF($X343="","",IF(NOT(COUNTIF(기관표[사번키],INDEX(합계표[사번키],$X343))+COUNTIF(월별근무지표[사번키],INDEX(합계표[사번키],$X343))&gt;0),"기관명단에 없음(다른 병원으로 발송)",IF($L343="서울병원","해당",IF(N($R343)&gt;0,"해당(말일 근무)",IF($L343="—","대상월 기관명단 없음(추가 필요)","비해당")))))</f>
        <v/>
      </c>
      <c r="N343" s="20">
        <f>IF($X343="","",SUMIFS(상세표[06~07시],상세표[사번키],INDEX(합계표[사번키],$X343),상세표[반영월],대상월키,상세표[반영 기관],"서울병원"))</f>
        <v/>
      </c>
      <c r="O343" s="20">
        <f>IF($X343="","",SUMIFS(상세표[07~18시],상세표[사번키],INDEX(합계표[사번키],$X343),상세표[반영월],대상월키,상세표[반영 기관],"서울병원"))</f>
        <v/>
      </c>
      <c r="P343" s="20">
        <f>IF($X343="","",SUMIFS(상세표[18~22시],상세표[사번키],INDEX(합계표[사번키],$X343),상세표[반영월],대상월키,상세표[반영 기관],"서울병원"))</f>
        <v/>
      </c>
      <c r="Q343" s="20">
        <f>IF($X343="","",SUMIFS(상세표[22~06시],상세표[사번키],INDEX(합계표[사번키],$X343),상세표[반영월],대상월키,상세표[반영 기관],"서울병원"))</f>
        <v/>
      </c>
      <c r="R343" s="20">
        <f>IF($X343="","",SUM($N343:$Q343))</f>
        <v/>
      </c>
      <c r="S343">
        <f>IF($X343="","",COUNTIFS(상세표[사번키],INDEX(합계표[사번키],$X343),상세표[반영월],대상월키,상세표[야간당직],1,상세표[야간 구분],"평일"))</f>
        <v/>
      </c>
      <c r="T343">
        <f>IF($X343="","",COUNTIFS(상세표[사번키],INDEX(합계표[사번키],$X343),상세표[반영월],대상월키,상세표[야간당직],1,상세표[야간 구분],"휴일"))</f>
        <v/>
      </c>
      <c r="U343">
        <f>IF($X343="","",COUNTIFS(상세표[사번키],INDEX(합계표[사번키],$X343),상세표[반영월],대상월키,상세표[야간당직],1,상세표[야간 구분],"평일",상세표[반영 기관],"서울병원"))</f>
        <v/>
      </c>
      <c r="V343">
        <f>IF($X343="","",COUNTIFS(상세표[사번키],INDEX(합계표[사번키],$X343),상세표[반영월],대상월키,상세표[야간당직],1,상세표[야간 구분],"휴일",상세표[반영 기관],"서울병원"))</f>
        <v/>
      </c>
      <c r="W343">
        <f>IF($X343="","",IF(ISNUMBER(MATCH(INDEX(합계표[사번키],$X343)&amp;"|"&amp;대상월키,월별근무지표[키],0)),"직접 입력",IF($L343="—","—","기관명단")))</f>
        <v/>
      </c>
      <c r="X343" s="4">
        <f>IFERROR(MATCH(338,합계표[판정순번],0),"")</f>
        <v/>
      </c>
    </row>
    <row r="344">
      <c r="A344">
        <f>IF($X344="","",INDEX(합계표[사번],$X344)&amp;"")</f>
        <v/>
      </c>
      <c r="B344">
        <f>IF($X344="","",INDEX(합계표[성명],$X344)&amp;"")</f>
        <v/>
      </c>
      <c r="C344">
        <f>IF($X344="","",INDEX(합계표[부서],$X344)&amp;"")</f>
        <v/>
      </c>
      <c r="D344">
        <f>IF($X344="","",INDEX(합계표[직위(요약)],$X344)&amp;"")</f>
        <v/>
      </c>
      <c r="E344">
        <f>IF($X344="","",INDEX(합계표[직급 공존],$X344)&amp;"")</f>
        <v/>
      </c>
      <c r="F344" s="20">
        <f>IF($X344="","",SUMIFS(합계표[시스템 합계],합계표[사번키],INDEX(합계표[사번키],$X344)))</f>
        <v/>
      </c>
      <c r="G344" s="20">
        <f>IF($X344="","",SUMIFS(상세표[기록 시간외],상세표[사번키],INDEX(합계표[사번키],$X344),상세표[기록월],대상월키))</f>
        <v/>
      </c>
      <c r="H344">
        <f>IF($X344="","",IF(ABS($F344-$G344)&lt;0.01,"일치","불일치(차이 "&amp;TEXT($G344-$F344,"0.00")&amp;")"))</f>
        <v/>
      </c>
      <c r="I344" s="20">
        <f>IF($X344="","",SUMIFS(상세표[기록 시간외],상세표[사번키],INDEX(합계표[사번키],$X344),상세표[기록월],대상월키,상세표[반영월],"&lt;&gt;"&amp;대상월키))</f>
        <v/>
      </c>
      <c r="J344" s="20">
        <f>IF($X344="","",SUMIFS(상세표[기록 시간외],상세표[사번키],INDEX(합계표[사번키],$X344),상세표[기록월],"&lt;&gt;"&amp;대상월키,상세표[반영월],대상월키))</f>
        <v/>
      </c>
      <c r="K344" s="20">
        <f>IF($X344="","",SUMIFS(상세표[기록 시간외],상세표[사번키],INDEX(합계표[사번키],$X344),상세표[반영월],대상월키))</f>
        <v/>
      </c>
      <c r="L344">
        <f>IF($X344="","",IFERROR(INDEX(월별근무지표[적용 급여병원],MATCH(INDEX(합계표[사번키],$X344)&amp;"|"&amp;대상월키,월별근무지표[키],0))&amp;"",IF(COUNTIF(기관표[사번키],INDEX(합계표[사번키],$X344))+COUNTIF(월별근무지표[사번키],INDEX(합계표[사번키],$X344))&gt;0,IFERROR(INDEX(기관표[급여지급병원(기준월)],MATCH(INDEX(합계표[사번키],$X344)&amp;"|"&amp;대상월키,기관표[키],0))&amp;"","—"),"—")))</f>
        <v/>
      </c>
      <c r="M344">
        <f>IF($X344="","",IF(NOT(COUNTIF(기관표[사번키],INDEX(합계표[사번키],$X344))+COUNTIF(월별근무지표[사번키],INDEX(합계표[사번키],$X344))&gt;0),"기관명단에 없음(다른 병원으로 발송)",IF($L344="서울병원","해당",IF(N($R344)&gt;0,"해당(말일 근무)",IF($L344="—","대상월 기관명단 없음(추가 필요)","비해당")))))</f>
        <v/>
      </c>
      <c r="N344" s="20">
        <f>IF($X344="","",SUMIFS(상세표[06~07시],상세표[사번키],INDEX(합계표[사번키],$X344),상세표[반영월],대상월키,상세표[반영 기관],"서울병원"))</f>
        <v/>
      </c>
      <c r="O344" s="20">
        <f>IF($X344="","",SUMIFS(상세표[07~18시],상세표[사번키],INDEX(합계표[사번키],$X344),상세표[반영월],대상월키,상세표[반영 기관],"서울병원"))</f>
        <v/>
      </c>
      <c r="P344" s="20">
        <f>IF($X344="","",SUMIFS(상세표[18~22시],상세표[사번키],INDEX(합계표[사번키],$X344),상세표[반영월],대상월키,상세표[반영 기관],"서울병원"))</f>
        <v/>
      </c>
      <c r="Q344" s="20">
        <f>IF($X344="","",SUMIFS(상세표[22~06시],상세표[사번키],INDEX(합계표[사번키],$X344),상세표[반영월],대상월키,상세표[반영 기관],"서울병원"))</f>
        <v/>
      </c>
      <c r="R344" s="20">
        <f>IF($X344="","",SUM($N344:$Q344))</f>
        <v/>
      </c>
      <c r="S344">
        <f>IF($X344="","",COUNTIFS(상세표[사번키],INDEX(합계표[사번키],$X344),상세표[반영월],대상월키,상세표[야간당직],1,상세표[야간 구분],"평일"))</f>
        <v/>
      </c>
      <c r="T344">
        <f>IF($X344="","",COUNTIFS(상세표[사번키],INDEX(합계표[사번키],$X344),상세표[반영월],대상월키,상세표[야간당직],1,상세표[야간 구분],"휴일"))</f>
        <v/>
      </c>
      <c r="U344">
        <f>IF($X344="","",COUNTIFS(상세표[사번키],INDEX(합계표[사번키],$X344),상세표[반영월],대상월키,상세표[야간당직],1,상세표[야간 구분],"평일",상세표[반영 기관],"서울병원"))</f>
        <v/>
      </c>
      <c r="V344">
        <f>IF($X344="","",COUNTIFS(상세표[사번키],INDEX(합계표[사번키],$X344),상세표[반영월],대상월키,상세표[야간당직],1,상세표[야간 구분],"휴일",상세표[반영 기관],"서울병원"))</f>
        <v/>
      </c>
      <c r="W344">
        <f>IF($X344="","",IF(ISNUMBER(MATCH(INDEX(합계표[사번키],$X344)&amp;"|"&amp;대상월키,월별근무지표[키],0)),"직접 입력",IF($L344="—","—","기관명단")))</f>
        <v/>
      </c>
      <c r="X344" s="4">
        <f>IFERROR(MATCH(339,합계표[판정순번],0),"")</f>
        <v/>
      </c>
    </row>
    <row r="345">
      <c r="A345">
        <f>IF($X345="","",INDEX(합계표[사번],$X345)&amp;"")</f>
        <v/>
      </c>
      <c r="B345">
        <f>IF($X345="","",INDEX(합계표[성명],$X345)&amp;"")</f>
        <v/>
      </c>
      <c r="C345">
        <f>IF($X345="","",INDEX(합계표[부서],$X345)&amp;"")</f>
        <v/>
      </c>
      <c r="D345">
        <f>IF($X345="","",INDEX(합계표[직위(요약)],$X345)&amp;"")</f>
        <v/>
      </c>
      <c r="E345">
        <f>IF($X345="","",INDEX(합계표[직급 공존],$X345)&amp;"")</f>
        <v/>
      </c>
      <c r="F345" s="20">
        <f>IF($X345="","",SUMIFS(합계표[시스템 합계],합계표[사번키],INDEX(합계표[사번키],$X345)))</f>
        <v/>
      </c>
      <c r="G345" s="20">
        <f>IF($X345="","",SUMIFS(상세표[기록 시간외],상세표[사번키],INDEX(합계표[사번키],$X345),상세표[기록월],대상월키))</f>
        <v/>
      </c>
      <c r="H345">
        <f>IF($X345="","",IF(ABS($F345-$G345)&lt;0.01,"일치","불일치(차이 "&amp;TEXT($G345-$F345,"0.00")&amp;")"))</f>
        <v/>
      </c>
      <c r="I345" s="20">
        <f>IF($X345="","",SUMIFS(상세표[기록 시간외],상세표[사번키],INDEX(합계표[사번키],$X345),상세표[기록월],대상월키,상세표[반영월],"&lt;&gt;"&amp;대상월키))</f>
        <v/>
      </c>
      <c r="J345" s="20">
        <f>IF($X345="","",SUMIFS(상세표[기록 시간외],상세표[사번키],INDEX(합계표[사번키],$X345),상세표[기록월],"&lt;&gt;"&amp;대상월키,상세표[반영월],대상월키))</f>
        <v/>
      </c>
      <c r="K345" s="20">
        <f>IF($X345="","",SUMIFS(상세표[기록 시간외],상세표[사번키],INDEX(합계표[사번키],$X345),상세표[반영월],대상월키))</f>
        <v/>
      </c>
      <c r="L345">
        <f>IF($X345="","",IFERROR(INDEX(월별근무지표[적용 급여병원],MATCH(INDEX(합계표[사번키],$X345)&amp;"|"&amp;대상월키,월별근무지표[키],0))&amp;"",IF(COUNTIF(기관표[사번키],INDEX(합계표[사번키],$X345))+COUNTIF(월별근무지표[사번키],INDEX(합계표[사번키],$X345))&gt;0,IFERROR(INDEX(기관표[급여지급병원(기준월)],MATCH(INDEX(합계표[사번키],$X345)&amp;"|"&amp;대상월키,기관표[키],0))&amp;"","—"),"—")))</f>
        <v/>
      </c>
      <c r="M345">
        <f>IF($X345="","",IF(NOT(COUNTIF(기관표[사번키],INDEX(합계표[사번키],$X345))+COUNTIF(월별근무지표[사번키],INDEX(합계표[사번키],$X345))&gt;0),"기관명단에 없음(다른 병원으로 발송)",IF($L345="서울병원","해당",IF(N($R345)&gt;0,"해당(말일 근무)",IF($L345="—","대상월 기관명단 없음(추가 필요)","비해당")))))</f>
        <v/>
      </c>
      <c r="N345" s="20">
        <f>IF($X345="","",SUMIFS(상세표[06~07시],상세표[사번키],INDEX(합계표[사번키],$X345),상세표[반영월],대상월키,상세표[반영 기관],"서울병원"))</f>
        <v/>
      </c>
      <c r="O345" s="20">
        <f>IF($X345="","",SUMIFS(상세표[07~18시],상세표[사번키],INDEX(합계표[사번키],$X345),상세표[반영월],대상월키,상세표[반영 기관],"서울병원"))</f>
        <v/>
      </c>
      <c r="P345" s="20">
        <f>IF($X345="","",SUMIFS(상세표[18~22시],상세표[사번키],INDEX(합계표[사번키],$X345),상세표[반영월],대상월키,상세표[반영 기관],"서울병원"))</f>
        <v/>
      </c>
      <c r="Q345" s="20">
        <f>IF($X345="","",SUMIFS(상세표[22~06시],상세표[사번키],INDEX(합계표[사번키],$X345),상세표[반영월],대상월키,상세표[반영 기관],"서울병원"))</f>
        <v/>
      </c>
      <c r="R345" s="20">
        <f>IF($X345="","",SUM($N345:$Q345))</f>
        <v/>
      </c>
      <c r="S345">
        <f>IF($X345="","",COUNTIFS(상세표[사번키],INDEX(합계표[사번키],$X345),상세표[반영월],대상월키,상세표[야간당직],1,상세표[야간 구분],"평일"))</f>
        <v/>
      </c>
      <c r="T345">
        <f>IF($X345="","",COUNTIFS(상세표[사번키],INDEX(합계표[사번키],$X345),상세표[반영월],대상월키,상세표[야간당직],1,상세표[야간 구분],"휴일"))</f>
        <v/>
      </c>
      <c r="U345">
        <f>IF($X345="","",COUNTIFS(상세표[사번키],INDEX(합계표[사번키],$X345),상세표[반영월],대상월키,상세표[야간당직],1,상세표[야간 구분],"평일",상세표[반영 기관],"서울병원"))</f>
        <v/>
      </c>
      <c r="V345">
        <f>IF($X345="","",COUNTIFS(상세표[사번키],INDEX(합계표[사번키],$X345),상세표[반영월],대상월키,상세표[야간당직],1,상세표[야간 구분],"휴일",상세표[반영 기관],"서울병원"))</f>
        <v/>
      </c>
      <c r="W345">
        <f>IF($X345="","",IF(ISNUMBER(MATCH(INDEX(합계표[사번키],$X345)&amp;"|"&amp;대상월키,월별근무지표[키],0)),"직접 입력",IF($L345="—","—","기관명단")))</f>
        <v/>
      </c>
      <c r="X345" s="4">
        <f>IFERROR(MATCH(340,합계표[판정순번],0),"")</f>
        <v/>
      </c>
    </row>
    <row r="346">
      <c r="A346">
        <f>IF($X346="","",INDEX(합계표[사번],$X346)&amp;"")</f>
        <v/>
      </c>
      <c r="B346">
        <f>IF($X346="","",INDEX(합계표[성명],$X346)&amp;"")</f>
        <v/>
      </c>
      <c r="C346">
        <f>IF($X346="","",INDEX(합계표[부서],$X346)&amp;"")</f>
        <v/>
      </c>
      <c r="D346">
        <f>IF($X346="","",INDEX(합계표[직위(요약)],$X346)&amp;"")</f>
        <v/>
      </c>
      <c r="E346">
        <f>IF($X346="","",INDEX(합계표[직급 공존],$X346)&amp;"")</f>
        <v/>
      </c>
      <c r="F346" s="20">
        <f>IF($X346="","",SUMIFS(합계표[시스템 합계],합계표[사번키],INDEX(합계표[사번키],$X346)))</f>
        <v/>
      </c>
      <c r="G346" s="20">
        <f>IF($X346="","",SUMIFS(상세표[기록 시간외],상세표[사번키],INDEX(합계표[사번키],$X346),상세표[기록월],대상월키))</f>
        <v/>
      </c>
      <c r="H346">
        <f>IF($X346="","",IF(ABS($F346-$G346)&lt;0.01,"일치","불일치(차이 "&amp;TEXT($G346-$F346,"0.00")&amp;")"))</f>
        <v/>
      </c>
      <c r="I346" s="20">
        <f>IF($X346="","",SUMIFS(상세표[기록 시간외],상세표[사번키],INDEX(합계표[사번키],$X346),상세표[기록월],대상월키,상세표[반영월],"&lt;&gt;"&amp;대상월키))</f>
        <v/>
      </c>
      <c r="J346" s="20">
        <f>IF($X346="","",SUMIFS(상세표[기록 시간외],상세표[사번키],INDEX(합계표[사번키],$X346),상세표[기록월],"&lt;&gt;"&amp;대상월키,상세표[반영월],대상월키))</f>
        <v/>
      </c>
      <c r="K346" s="20">
        <f>IF($X346="","",SUMIFS(상세표[기록 시간외],상세표[사번키],INDEX(합계표[사번키],$X346),상세표[반영월],대상월키))</f>
        <v/>
      </c>
      <c r="L346">
        <f>IF($X346="","",IFERROR(INDEX(월별근무지표[적용 급여병원],MATCH(INDEX(합계표[사번키],$X346)&amp;"|"&amp;대상월키,월별근무지표[키],0))&amp;"",IF(COUNTIF(기관표[사번키],INDEX(합계표[사번키],$X346))+COUNTIF(월별근무지표[사번키],INDEX(합계표[사번키],$X346))&gt;0,IFERROR(INDEX(기관표[급여지급병원(기준월)],MATCH(INDEX(합계표[사번키],$X346)&amp;"|"&amp;대상월키,기관표[키],0))&amp;"","—"),"—")))</f>
        <v/>
      </c>
      <c r="M346">
        <f>IF($X346="","",IF(NOT(COUNTIF(기관표[사번키],INDEX(합계표[사번키],$X346))+COUNTIF(월별근무지표[사번키],INDEX(합계표[사번키],$X346))&gt;0),"기관명단에 없음(다른 병원으로 발송)",IF($L346="서울병원","해당",IF(N($R346)&gt;0,"해당(말일 근무)",IF($L346="—","대상월 기관명단 없음(추가 필요)","비해당")))))</f>
        <v/>
      </c>
      <c r="N346" s="20">
        <f>IF($X346="","",SUMIFS(상세표[06~07시],상세표[사번키],INDEX(합계표[사번키],$X346),상세표[반영월],대상월키,상세표[반영 기관],"서울병원"))</f>
        <v/>
      </c>
      <c r="O346" s="20">
        <f>IF($X346="","",SUMIFS(상세표[07~18시],상세표[사번키],INDEX(합계표[사번키],$X346),상세표[반영월],대상월키,상세표[반영 기관],"서울병원"))</f>
        <v/>
      </c>
      <c r="P346" s="20">
        <f>IF($X346="","",SUMIFS(상세표[18~22시],상세표[사번키],INDEX(합계표[사번키],$X346),상세표[반영월],대상월키,상세표[반영 기관],"서울병원"))</f>
        <v/>
      </c>
      <c r="Q346" s="20">
        <f>IF($X346="","",SUMIFS(상세표[22~06시],상세표[사번키],INDEX(합계표[사번키],$X346),상세표[반영월],대상월키,상세표[반영 기관],"서울병원"))</f>
        <v/>
      </c>
      <c r="R346" s="20">
        <f>IF($X346="","",SUM($N346:$Q346))</f>
        <v/>
      </c>
      <c r="S346">
        <f>IF($X346="","",COUNTIFS(상세표[사번키],INDEX(합계표[사번키],$X346),상세표[반영월],대상월키,상세표[야간당직],1,상세표[야간 구분],"평일"))</f>
        <v/>
      </c>
      <c r="T346">
        <f>IF($X346="","",COUNTIFS(상세표[사번키],INDEX(합계표[사번키],$X346),상세표[반영월],대상월키,상세표[야간당직],1,상세표[야간 구분],"휴일"))</f>
        <v/>
      </c>
      <c r="U346">
        <f>IF($X346="","",COUNTIFS(상세표[사번키],INDEX(합계표[사번키],$X346),상세표[반영월],대상월키,상세표[야간당직],1,상세표[야간 구분],"평일",상세표[반영 기관],"서울병원"))</f>
        <v/>
      </c>
      <c r="V346">
        <f>IF($X346="","",COUNTIFS(상세표[사번키],INDEX(합계표[사번키],$X346),상세표[반영월],대상월키,상세표[야간당직],1,상세표[야간 구분],"휴일",상세표[반영 기관],"서울병원"))</f>
        <v/>
      </c>
      <c r="W346">
        <f>IF($X346="","",IF(ISNUMBER(MATCH(INDEX(합계표[사번키],$X346)&amp;"|"&amp;대상월키,월별근무지표[키],0)),"직접 입력",IF($L346="—","—","기관명단")))</f>
        <v/>
      </c>
      <c r="X346" s="4">
        <f>IFERROR(MATCH(341,합계표[판정순번],0),"")</f>
        <v/>
      </c>
    </row>
    <row r="347">
      <c r="A347">
        <f>IF($X347="","",INDEX(합계표[사번],$X347)&amp;"")</f>
        <v/>
      </c>
      <c r="B347">
        <f>IF($X347="","",INDEX(합계표[성명],$X347)&amp;"")</f>
        <v/>
      </c>
      <c r="C347">
        <f>IF($X347="","",INDEX(합계표[부서],$X347)&amp;"")</f>
        <v/>
      </c>
      <c r="D347">
        <f>IF($X347="","",INDEX(합계표[직위(요약)],$X347)&amp;"")</f>
        <v/>
      </c>
      <c r="E347">
        <f>IF($X347="","",INDEX(합계표[직급 공존],$X347)&amp;"")</f>
        <v/>
      </c>
      <c r="F347" s="20">
        <f>IF($X347="","",SUMIFS(합계표[시스템 합계],합계표[사번키],INDEX(합계표[사번키],$X347)))</f>
        <v/>
      </c>
      <c r="G347" s="20">
        <f>IF($X347="","",SUMIFS(상세표[기록 시간외],상세표[사번키],INDEX(합계표[사번키],$X347),상세표[기록월],대상월키))</f>
        <v/>
      </c>
      <c r="H347">
        <f>IF($X347="","",IF(ABS($F347-$G347)&lt;0.01,"일치","불일치(차이 "&amp;TEXT($G347-$F347,"0.00")&amp;")"))</f>
        <v/>
      </c>
      <c r="I347" s="20">
        <f>IF($X347="","",SUMIFS(상세표[기록 시간외],상세표[사번키],INDEX(합계표[사번키],$X347),상세표[기록월],대상월키,상세표[반영월],"&lt;&gt;"&amp;대상월키))</f>
        <v/>
      </c>
      <c r="J347" s="20">
        <f>IF($X347="","",SUMIFS(상세표[기록 시간외],상세표[사번키],INDEX(합계표[사번키],$X347),상세표[기록월],"&lt;&gt;"&amp;대상월키,상세표[반영월],대상월키))</f>
        <v/>
      </c>
      <c r="K347" s="20">
        <f>IF($X347="","",SUMIFS(상세표[기록 시간외],상세표[사번키],INDEX(합계표[사번키],$X347),상세표[반영월],대상월키))</f>
        <v/>
      </c>
      <c r="L347">
        <f>IF($X347="","",IFERROR(INDEX(월별근무지표[적용 급여병원],MATCH(INDEX(합계표[사번키],$X347)&amp;"|"&amp;대상월키,월별근무지표[키],0))&amp;"",IF(COUNTIF(기관표[사번키],INDEX(합계표[사번키],$X347))+COUNTIF(월별근무지표[사번키],INDEX(합계표[사번키],$X347))&gt;0,IFERROR(INDEX(기관표[급여지급병원(기준월)],MATCH(INDEX(합계표[사번키],$X347)&amp;"|"&amp;대상월키,기관표[키],0))&amp;"","—"),"—")))</f>
        <v/>
      </c>
      <c r="M347">
        <f>IF($X347="","",IF(NOT(COUNTIF(기관표[사번키],INDEX(합계표[사번키],$X347))+COUNTIF(월별근무지표[사번키],INDEX(합계표[사번키],$X347))&gt;0),"기관명단에 없음(다른 병원으로 발송)",IF($L347="서울병원","해당",IF(N($R347)&gt;0,"해당(말일 근무)",IF($L347="—","대상월 기관명단 없음(추가 필요)","비해당")))))</f>
        <v/>
      </c>
      <c r="N347" s="20">
        <f>IF($X347="","",SUMIFS(상세표[06~07시],상세표[사번키],INDEX(합계표[사번키],$X347),상세표[반영월],대상월키,상세표[반영 기관],"서울병원"))</f>
        <v/>
      </c>
      <c r="O347" s="20">
        <f>IF($X347="","",SUMIFS(상세표[07~18시],상세표[사번키],INDEX(합계표[사번키],$X347),상세표[반영월],대상월키,상세표[반영 기관],"서울병원"))</f>
        <v/>
      </c>
      <c r="P347" s="20">
        <f>IF($X347="","",SUMIFS(상세표[18~22시],상세표[사번키],INDEX(합계표[사번키],$X347),상세표[반영월],대상월키,상세표[반영 기관],"서울병원"))</f>
        <v/>
      </c>
      <c r="Q347" s="20">
        <f>IF($X347="","",SUMIFS(상세표[22~06시],상세표[사번키],INDEX(합계표[사번키],$X347),상세표[반영월],대상월키,상세표[반영 기관],"서울병원"))</f>
        <v/>
      </c>
      <c r="R347" s="20">
        <f>IF($X347="","",SUM($N347:$Q347))</f>
        <v/>
      </c>
      <c r="S347">
        <f>IF($X347="","",COUNTIFS(상세표[사번키],INDEX(합계표[사번키],$X347),상세표[반영월],대상월키,상세표[야간당직],1,상세표[야간 구분],"평일"))</f>
        <v/>
      </c>
      <c r="T347">
        <f>IF($X347="","",COUNTIFS(상세표[사번키],INDEX(합계표[사번키],$X347),상세표[반영월],대상월키,상세표[야간당직],1,상세표[야간 구분],"휴일"))</f>
        <v/>
      </c>
      <c r="U347">
        <f>IF($X347="","",COUNTIFS(상세표[사번키],INDEX(합계표[사번키],$X347),상세표[반영월],대상월키,상세표[야간당직],1,상세표[야간 구분],"평일",상세표[반영 기관],"서울병원"))</f>
        <v/>
      </c>
      <c r="V347">
        <f>IF($X347="","",COUNTIFS(상세표[사번키],INDEX(합계표[사번키],$X347),상세표[반영월],대상월키,상세표[야간당직],1,상세표[야간 구분],"휴일",상세표[반영 기관],"서울병원"))</f>
        <v/>
      </c>
      <c r="W347">
        <f>IF($X347="","",IF(ISNUMBER(MATCH(INDEX(합계표[사번키],$X347)&amp;"|"&amp;대상월키,월별근무지표[키],0)),"직접 입력",IF($L347="—","—","기관명단")))</f>
        <v/>
      </c>
      <c r="X347" s="4">
        <f>IFERROR(MATCH(342,합계표[판정순번],0),"")</f>
        <v/>
      </c>
    </row>
    <row r="348">
      <c r="A348">
        <f>IF($X348="","",INDEX(합계표[사번],$X348)&amp;"")</f>
        <v/>
      </c>
      <c r="B348">
        <f>IF($X348="","",INDEX(합계표[성명],$X348)&amp;"")</f>
        <v/>
      </c>
      <c r="C348">
        <f>IF($X348="","",INDEX(합계표[부서],$X348)&amp;"")</f>
        <v/>
      </c>
      <c r="D348">
        <f>IF($X348="","",INDEX(합계표[직위(요약)],$X348)&amp;"")</f>
        <v/>
      </c>
      <c r="E348">
        <f>IF($X348="","",INDEX(합계표[직급 공존],$X348)&amp;"")</f>
        <v/>
      </c>
      <c r="F348" s="20">
        <f>IF($X348="","",SUMIFS(합계표[시스템 합계],합계표[사번키],INDEX(합계표[사번키],$X348)))</f>
        <v/>
      </c>
      <c r="G348" s="20">
        <f>IF($X348="","",SUMIFS(상세표[기록 시간외],상세표[사번키],INDEX(합계표[사번키],$X348),상세표[기록월],대상월키))</f>
        <v/>
      </c>
      <c r="H348">
        <f>IF($X348="","",IF(ABS($F348-$G348)&lt;0.01,"일치","불일치(차이 "&amp;TEXT($G348-$F348,"0.00")&amp;")"))</f>
        <v/>
      </c>
      <c r="I348" s="20">
        <f>IF($X348="","",SUMIFS(상세표[기록 시간외],상세표[사번키],INDEX(합계표[사번키],$X348),상세표[기록월],대상월키,상세표[반영월],"&lt;&gt;"&amp;대상월키))</f>
        <v/>
      </c>
      <c r="J348" s="20">
        <f>IF($X348="","",SUMIFS(상세표[기록 시간외],상세표[사번키],INDEX(합계표[사번키],$X348),상세표[기록월],"&lt;&gt;"&amp;대상월키,상세표[반영월],대상월키))</f>
        <v/>
      </c>
      <c r="K348" s="20">
        <f>IF($X348="","",SUMIFS(상세표[기록 시간외],상세표[사번키],INDEX(합계표[사번키],$X348),상세표[반영월],대상월키))</f>
        <v/>
      </c>
      <c r="L348">
        <f>IF($X348="","",IFERROR(INDEX(월별근무지표[적용 급여병원],MATCH(INDEX(합계표[사번키],$X348)&amp;"|"&amp;대상월키,월별근무지표[키],0))&amp;"",IF(COUNTIF(기관표[사번키],INDEX(합계표[사번키],$X348))+COUNTIF(월별근무지표[사번키],INDEX(합계표[사번키],$X348))&gt;0,IFERROR(INDEX(기관표[급여지급병원(기준월)],MATCH(INDEX(합계표[사번키],$X348)&amp;"|"&amp;대상월키,기관표[키],0))&amp;"","—"),"—")))</f>
        <v/>
      </c>
      <c r="M348">
        <f>IF($X348="","",IF(NOT(COUNTIF(기관표[사번키],INDEX(합계표[사번키],$X348))+COUNTIF(월별근무지표[사번키],INDEX(합계표[사번키],$X348))&gt;0),"기관명단에 없음(다른 병원으로 발송)",IF($L348="서울병원","해당",IF(N($R348)&gt;0,"해당(말일 근무)",IF($L348="—","대상월 기관명단 없음(추가 필요)","비해당")))))</f>
        <v/>
      </c>
      <c r="N348" s="20">
        <f>IF($X348="","",SUMIFS(상세표[06~07시],상세표[사번키],INDEX(합계표[사번키],$X348),상세표[반영월],대상월키,상세표[반영 기관],"서울병원"))</f>
        <v/>
      </c>
      <c r="O348" s="20">
        <f>IF($X348="","",SUMIFS(상세표[07~18시],상세표[사번키],INDEX(합계표[사번키],$X348),상세표[반영월],대상월키,상세표[반영 기관],"서울병원"))</f>
        <v/>
      </c>
      <c r="P348" s="20">
        <f>IF($X348="","",SUMIFS(상세표[18~22시],상세표[사번키],INDEX(합계표[사번키],$X348),상세표[반영월],대상월키,상세표[반영 기관],"서울병원"))</f>
        <v/>
      </c>
      <c r="Q348" s="20">
        <f>IF($X348="","",SUMIFS(상세표[22~06시],상세표[사번키],INDEX(합계표[사번키],$X348),상세표[반영월],대상월키,상세표[반영 기관],"서울병원"))</f>
        <v/>
      </c>
      <c r="R348" s="20">
        <f>IF($X348="","",SUM($N348:$Q348))</f>
        <v/>
      </c>
      <c r="S348">
        <f>IF($X348="","",COUNTIFS(상세표[사번키],INDEX(합계표[사번키],$X348),상세표[반영월],대상월키,상세표[야간당직],1,상세표[야간 구분],"평일"))</f>
        <v/>
      </c>
      <c r="T348">
        <f>IF($X348="","",COUNTIFS(상세표[사번키],INDEX(합계표[사번키],$X348),상세표[반영월],대상월키,상세표[야간당직],1,상세표[야간 구분],"휴일"))</f>
        <v/>
      </c>
      <c r="U348">
        <f>IF($X348="","",COUNTIFS(상세표[사번키],INDEX(합계표[사번키],$X348),상세표[반영월],대상월키,상세표[야간당직],1,상세표[야간 구분],"평일",상세표[반영 기관],"서울병원"))</f>
        <v/>
      </c>
      <c r="V348">
        <f>IF($X348="","",COUNTIFS(상세표[사번키],INDEX(합계표[사번키],$X348),상세표[반영월],대상월키,상세표[야간당직],1,상세표[야간 구분],"휴일",상세표[반영 기관],"서울병원"))</f>
        <v/>
      </c>
      <c r="W348">
        <f>IF($X348="","",IF(ISNUMBER(MATCH(INDEX(합계표[사번키],$X348)&amp;"|"&amp;대상월키,월별근무지표[키],0)),"직접 입력",IF($L348="—","—","기관명단")))</f>
        <v/>
      </c>
      <c r="X348" s="4">
        <f>IFERROR(MATCH(343,합계표[판정순번],0),"")</f>
        <v/>
      </c>
    </row>
    <row r="349">
      <c r="A349">
        <f>IF($X349="","",INDEX(합계표[사번],$X349)&amp;"")</f>
        <v/>
      </c>
      <c r="B349">
        <f>IF($X349="","",INDEX(합계표[성명],$X349)&amp;"")</f>
        <v/>
      </c>
      <c r="C349">
        <f>IF($X349="","",INDEX(합계표[부서],$X349)&amp;"")</f>
        <v/>
      </c>
      <c r="D349">
        <f>IF($X349="","",INDEX(합계표[직위(요약)],$X349)&amp;"")</f>
        <v/>
      </c>
      <c r="E349">
        <f>IF($X349="","",INDEX(합계표[직급 공존],$X349)&amp;"")</f>
        <v/>
      </c>
      <c r="F349" s="20">
        <f>IF($X349="","",SUMIFS(합계표[시스템 합계],합계표[사번키],INDEX(합계표[사번키],$X349)))</f>
        <v/>
      </c>
      <c r="G349" s="20">
        <f>IF($X349="","",SUMIFS(상세표[기록 시간외],상세표[사번키],INDEX(합계표[사번키],$X349),상세표[기록월],대상월키))</f>
        <v/>
      </c>
      <c r="H349">
        <f>IF($X349="","",IF(ABS($F349-$G349)&lt;0.01,"일치","불일치(차이 "&amp;TEXT($G349-$F349,"0.00")&amp;")"))</f>
        <v/>
      </c>
      <c r="I349" s="20">
        <f>IF($X349="","",SUMIFS(상세표[기록 시간외],상세표[사번키],INDEX(합계표[사번키],$X349),상세표[기록월],대상월키,상세표[반영월],"&lt;&gt;"&amp;대상월키))</f>
        <v/>
      </c>
      <c r="J349" s="20">
        <f>IF($X349="","",SUMIFS(상세표[기록 시간외],상세표[사번키],INDEX(합계표[사번키],$X349),상세표[기록월],"&lt;&gt;"&amp;대상월키,상세표[반영월],대상월키))</f>
        <v/>
      </c>
      <c r="K349" s="20">
        <f>IF($X349="","",SUMIFS(상세표[기록 시간외],상세표[사번키],INDEX(합계표[사번키],$X349),상세표[반영월],대상월키))</f>
        <v/>
      </c>
      <c r="L349">
        <f>IF($X349="","",IFERROR(INDEX(월별근무지표[적용 급여병원],MATCH(INDEX(합계표[사번키],$X349)&amp;"|"&amp;대상월키,월별근무지표[키],0))&amp;"",IF(COUNTIF(기관표[사번키],INDEX(합계표[사번키],$X349))+COUNTIF(월별근무지표[사번키],INDEX(합계표[사번키],$X349))&gt;0,IFERROR(INDEX(기관표[급여지급병원(기준월)],MATCH(INDEX(합계표[사번키],$X349)&amp;"|"&amp;대상월키,기관표[키],0))&amp;"","—"),"—")))</f>
        <v/>
      </c>
      <c r="M349">
        <f>IF($X349="","",IF(NOT(COUNTIF(기관표[사번키],INDEX(합계표[사번키],$X349))+COUNTIF(월별근무지표[사번키],INDEX(합계표[사번키],$X349))&gt;0),"기관명단에 없음(다른 병원으로 발송)",IF($L349="서울병원","해당",IF(N($R349)&gt;0,"해당(말일 근무)",IF($L349="—","대상월 기관명단 없음(추가 필요)","비해당")))))</f>
        <v/>
      </c>
      <c r="N349" s="20">
        <f>IF($X349="","",SUMIFS(상세표[06~07시],상세표[사번키],INDEX(합계표[사번키],$X349),상세표[반영월],대상월키,상세표[반영 기관],"서울병원"))</f>
        <v/>
      </c>
      <c r="O349" s="20">
        <f>IF($X349="","",SUMIFS(상세표[07~18시],상세표[사번키],INDEX(합계표[사번키],$X349),상세표[반영월],대상월키,상세표[반영 기관],"서울병원"))</f>
        <v/>
      </c>
      <c r="P349" s="20">
        <f>IF($X349="","",SUMIFS(상세표[18~22시],상세표[사번키],INDEX(합계표[사번키],$X349),상세표[반영월],대상월키,상세표[반영 기관],"서울병원"))</f>
        <v/>
      </c>
      <c r="Q349" s="20">
        <f>IF($X349="","",SUMIFS(상세표[22~06시],상세표[사번키],INDEX(합계표[사번키],$X349),상세표[반영월],대상월키,상세표[반영 기관],"서울병원"))</f>
        <v/>
      </c>
      <c r="R349" s="20">
        <f>IF($X349="","",SUM($N349:$Q349))</f>
        <v/>
      </c>
      <c r="S349">
        <f>IF($X349="","",COUNTIFS(상세표[사번키],INDEX(합계표[사번키],$X349),상세표[반영월],대상월키,상세표[야간당직],1,상세표[야간 구분],"평일"))</f>
        <v/>
      </c>
      <c r="T349">
        <f>IF($X349="","",COUNTIFS(상세표[사번키],INDEX(합계표[사번키],$X349),상세표[반영월],대상월키,상세표[야간당직],1,상세표[야간 구분],"휴일"))</f>
        <v/>
      </c>
      <c r="U349">
        <f>IF($X349="","",COUNTIFS(상세표[사번키],INDEX(합계표[사번키],$X349),상세표[반영월],대상월키,상세표[야간당직],1,상세표[야간 구분],"평일",상세표[반영 기관],"서울병원"))</f>
        <v/>
      </c>
      <c r="V349">
        <f>IF($X349="","",COUNTIFS(상세표[사번키],INDEX(합계표[사번키],$X349),상세표[반영월],대상월키,상세표[야간당직],1,상세표[야간 구분],"휴일",상세표[반영 기관],"서울병원"))</f>
        <v/>
      </c>
      <c r="W349">
        <f>IF($X349="","",IF(ISNUMBER(MATCH(INDEX(합계표[사번키],$X349)&amp;"|"&amp;대상월키,월별근무지표[키],0)),"직접 입력",IF($L349="—","—","기관명단")))</f>
        <v/>
      </c>
      <c r="X349" s="4">
        <f>IFERROR(MATCH(344,합계표[판정순번],0),"")</f>
        <v/>
      </c>
    </row>
    <row r="350">
      <c r="A350">
        <f>IF($X350="","",INDEX(합계표[사번],$X350)&amp;"")</f>
        <v/>
      </c>
      <c r="B350">
        <f>IF($X350="","",INDEX(합계표[성명],$X350)&amp;"")</f>
        <v/>
      </c>
      <c r="C350">
        <f>IF($X350="","",INDEX(합계표[부서],$X350)&amp;"")</f>
        <v/>
      </c>
      <c r="D350">
        <f>IF($X350="","",INDEX(합계표[직위(요약)],$X350)&amp;"")</f>
        <v/>
      </c>
      <c r="E350">
        <f>IF($X350="","",INDEX(합계표[직급 공존],$X350)&amp;"")</f>
        <v/>
      </c>
      <c r="F350" s="20">
        <f>IF($X350="","",SUMIFS(합계표[시스템 합계],합계표[사번키],INDEX(합계표[사번키],$X350)))</f>
        <v/>
      </c>
      <c r="G350" s="20">
        <f>IF($X350="","",SUMIFS(상세표[기록 시간외],상세표[사번키],INDEX(합계표[사번키],$X350),상세표[기록월],대상월키))</f>
        <v/>
      </c>
      <c r="H350">
        <f>IF($X350="","",IF(ABS($F350-$G350)&lt;0.01,"일치","불일치(차이 "&amp;TEXT($G350-$F350,"0.00")&amp;")"))</f>
        <v/>
      </c>
      <c r="I350" s="20">
        <f>IF($X350="","",SUMIFS(상세표[기록 시간외],상세표[사번키],INDEX(합계표[사번키],$X350),상세표[기록월],대상월키,상세표[반영월],"&lt;&gt;"&amp;대상월키))</f>
        <v/>
      </c>
      <c r="J350" s="20">
        <f>IF($X350="","",SUMIFS(상세표[기록 시간외],상세표[사번키],INDEX(합계표[사번키],$X350),상세표[기록월],"&lt;&gt;"&amp;대상월키,상세표[반영월],대상월키))</f>
        <v/>
      </c>
      <c r="K350" s="20">
        <f>IF($X350="","",SUMIFS(상세표[기록 시간외],상세표[사번키],INDEX(합계표[사번키],$X350),상세표[반영월],대상월키))</f>
        <v/>
      </c>
      <c r="L350">
        <f>IF($X350="","",IFERROR(INDEX(월별근무지표[적용 급여병원],MATCH(INDEX(합계표[사번키],$X350)&amp;"|"&amp;대상월키,월별근무지표[키],0))&amp;"",IF(COUNTIF(기관표[사번키],INDEX(합계표[사번키],$X350))+COUNTIF(월별근무지표[사번키],INDEX(합계표[사번키],$X350))&gt;0,IFERROR(INDEX(기관표[급여지급병원(기준월)],MATCH(INDEX(합계표[사번키],$X350)&amp;"|"&amp;대상월키,기관표[키],0))&amp;"","—"),"—")))</f>
        <v/>
      </c>
      <c r="M350">
        <f>IF($X350="","",IF(NOT(COUNTIF(기관표[사번키],INDEX(합계표[사번키],$X350))+COUNTIF(월별근무지표[사번키],INDEX(합계표[사번키],$X350))&gt;0),"기관명단에 없음(다른 병원으로 발송)",IF($L350="서울병원","해당",IF(N($R350)&gt;0,"해당(말일 근무)",IF($L350="—","대상월 기관명단 없음(추가 필요)","비해당")))))</f>
        <v/>
      </c>
      <c r="N350" s="20">
        <f>IF($X350="","",SUMIFS(상세표[06~07시],상세표[사번키],INDEX(합계표[사번키],$X350),상세표[반영월],대상월키,상세표[반영 기관],"서울병원"))</f>
        <v/>
      </c>
      <c r="O350" s="20">
        <f>IF($X350="","",SUMIFS(상세표[07~18시],상세표[사번키],INDEX(합계표[사번키],$X350),상세표[반영월],대상월키,상세표[반영 기관],"서울병원"))</f>
        <v/>
      </c>
      <c r="P350" s="20">
        <f>IF($X350="","",SUMIFS(상세표[18~22시],상세표[사번키],INDEX(합계표[사번키],$X350),상세표[반영월],대상월키,상세표[반영 기관],"서울병원"))</f>
        <v/>
      </c>
      <c r="Q350" s="20">
        <f>IF($X350="","",SUMIFS(상세표[22~06시],상세표[사번키],INDEX(합계표[사번키],$X350),상세표[반영월],대상월키,상세표[반영 기관],"서울병원"))</f>
        <v/>
      </c>
      <c r="R350" s="20">
        <f>IF($X350="","",SUM($N350:$Q350))</f>
        <v/>
      </c>
      <c r="S350">
        <f>IF($X350="","",COUNTIFS(상세표[사번키],INDEX(합계표[사번키],$X350),상세표[반영월],대상월키,상세표[야간당직],1,상세표[야간 구분],"평일"))</f>
        <v/>
      </c>
      <c r="T350">
        <f>IF($X350="","",COUNTIFS(상세표[사번키],INDEX(합계표[사번키],$X350),상세표[반영월],대상월키,상세표[야간당직],1,상세표[야간 구분],"휴일"))</f>
        <v/>
      </c>
      <c r="U350">
        <f>IF($X350="","",COUNTIFS(상세표[사번키],INDEX(합계표[사번키],$X350),상세표[반영월],대상월키,상세표[야간당직],1,상세표[야간 구분],"평일",상세표[반영 기관],"서울병원"))</f>
        <v/>
      </c>
      <c r="V350">
        <f>IF($X350="","",COUNTIFS(상세표[사번키],INDEX(합계표[사번키],$X350),상세표[반영월],대상월키,상세표[야간당직],1,상세표[야간 구분],"휴일",상세표[반영 기관],"서울병원"))</f>
        <v/>
      </c>
      <c r="W350">
        <f>IF($X350="","",IF(ISNUMBER(MATCH(INDEX(합계표[사번키],$X350)&amp;"|"&amp;대상월키,월별근무지표[키],0)),"직접 입력",IF($L350="—","—","기관명단")))</f>
        <v/>
      </c>
      <c r="X350" s="4">
        <f>IFERROR(MATCH(345,합계표[판정순번],0),"")</f>
        <v/>
      </c>
    </row>
    <row r="351">
      <c r="A351">
        <f>IF($X351="","",INDEX(합계표[사번],$X351)&amp;"")</f>
        <v/>
      </c>
      <c r="B351">
        <f>IF($X351="","",INDEX(합계표[성명],$X351)&amp;"")</f>
        <v/>
      </c>
      <c r="C351">
        <f>IF($X351="","",INDEX(합계표[부서],$X351)&amp;"")</f>
        <v/>
      </c>
      <c r="D351">
        <f>IF($X351="","",INDEX(합계표[직위(요약)],$X351)&amp;"")</f>
        <v/>
      </c>
      <c r="E351">
        <f>IF($X351="","",INDEX(합계표[직급 공존],$X351)&amp;"")</f>
        <v/>
      </c>
      <c r="F351" s="20">
        <f>IF($X351="","",SUMIFS(합계표[시스템 합계],합계표[사번키],INDEX(합계표[사번키],$X351)))</f>
        <v/>
      </c>
      <c r="G351" s="20">
        <f>IF($X351="","",SUMIFS(상세표[기록 시간외],상세표[사번키],INDEX(합계표[사번키],$X351),상세표[기록월],대상월키))</f>
        <v/>
      </c>
      <c r="H351">
        <f>IF($X351="","",IF(ABS($F351-$G351)&lt;0.01,"일치","불일치(차이 "&amp;TEXT($G351-$F351,"0.00")&amp;")"))</f>
        <v/>
      </c>
      <c r="I351" s="20">
        <f>IF($X351="","",SUMIFS(상세표[기록 시간외],상세표[사번키],INDEX(합계표[사번키],$X351),상세표[기록월],대상월키,상세표[반영월],"&lt;&gt;"&amp;대상월키))</f>
        <v/>
      </c>
      <c r="J351" s="20">
        <f>IF($X351="","",SUMIFS(상세표[기록 시간외],상세표[사번키],INDEX(합계표[사번키],$X351),상세표[기록월],"&lt;&gt;"&amp;대상월키,상세표[반영월],대상월키))</f>
        <v/>
      </c>
      <c r="K351" s="20">
        <f>IF($X351="","",SUMIFS(상세표[기록 시간외],상세표[사번키],INDEX(합계표[사번키],$X351),상세표[반영월],대상월키))</f>
        <v/>
      </c>
      <c r="L351">
        <f>IF($X351="","",IFERROR(INDEX(월별근무지표[적용 급여병원],MATCH(INDEX(합계표[사번키],$X351)&amp;"|"&amp;대상월키,월별근무지표[키],0))&amp;"",IF(COUNTIF(기관표[사번키],INDEX(합계표[사번키],$X351))+COUNTIF(월별근무지표[사번키],INDEX(합계표[사번키],$X351))&gt;0,IFERROR(INDEX(기관표[급여지급병원(기준월)],MATCH(INDEX(합계표[사번키],$X351)&amp;"|"&amp;대상월키,기관표[키],0))&amp;"","—"),"—")))</f>
        <v/>
      </c>
      <c r="M351">
        <f>IF($X351="","",IF(NOT(COUNTIF(기관표[사번키],INDEX(합계표[사번키],$X351))+COUNTIF(월별근무지표[사번키],INDEX(합계표[사번키],$X351))&gt;0),"기관명단에 없음(다른 병원으로 발송)",IF($L351="서울병원","해당",IF(N($R351)&gt;0,"해당(말일 근무)",IF($L351="—","대상월 기관명단 없음(추가 필요)","비해당")))))</f>
        <v/>
      </c>
      <c r="N351" s="20">
        <f>IF($X351="","",SUMIFS(상세표[06~07시],상세표[사번키],INDEX(합계표[사번키],$X351),상세표[반영월],대상월키,상세표[반영 기관],"서울병원"))</f>
        <v/>
      </c>
      <c r="O351" s="20">
        <f>IF($X351="","",SUMIFS(상세표[07~18시],상세표[사번키],INDEX(합계표[사번키],$X351),상세표[반영월],대상월키,상세표[반영 기관],"서울병원"))</f>
        <v/>
      </c>
      <c r="P351" s="20">
        <f>IF($X351="","",SUMIFS(상세표[18~22시],상세표[사번키],INDEX(합계표[사번키],$X351),상세표[반영월],대상월키,상세표[반영 기관],"서울병원"))</f>
        <v/>
      </c>
      <c r="Q351" s="20">
        <f>IF($X351="","",SUMIFS(상세표[22~06시],상세표[사번키],INDEX(합계표[사번키],$X351),상세표[반영월],대상월키,상세표[반영 기관],"서울병원"))</f>
        <v/>
      </c>
      <c r="R351" s="20">
        <f>IF($X351="","",SUM($N351:$Q351))</f>
        <v/>
      </c>
      <c r="S351">
        <f>IF($X351="","",COUNTIFS(상세표[사번키],INDEX(합계표[사번키],$X351),상세표[반영월],대상월키,상세표[야간당직],1,상세표[야간 구분],"평일"))</f>
        <v/>
      </c>
      <c r="T351">
        <f>IF($X351="","",COUNTIFS(상세표[사번키],INDEX(합계표[사번키],$X351),상세표[반영월],대상월키,상세표[야간당직],1,상세표[야간 구분],"휴일"))</f>
        <v/>
      </c>
      <c r="U351">
        <f>IF($X351="","",COUNTIFS(상세표[사번키],INDEX(합계표[사번키],$X351),상세표[반영월],대상월키,상세표[야간당직],1,상세표[야간 구분],"평일",상세표[반영 기관],"서울병원"))</f>
        <v/>
      </c>
      <c r="V351">
        <f>IF($X351="","",COUNTIFS(상세표[사번키],INDEX(합계표[사번키],$X351),상세표[반영월],대상월키,상세표[야간당직],1,상세표[야간 구분],"휴일",상세표[반영 기관],"서울병원"))</f>
        <v/>
      </c>
      <c r="W351">
        <f>IF($X351="","",IF(ISNUMBER(MATCH(INDEX(합계표[사번키],$X351)&amp;"|"&amp;대상월키,월별근무지표[키],0)),"직접 입력",IF($L351="—","—","기관명단")))</f>
        <v/>
      </c>
      <c r="X351" s="4">
        <f>IFERROR(MATCH(346,합계표[판정순번],0),"")</f>
        <v/>
      </c>
    </row>
    <row r="352">
      <c r="A352">
        <f>IF($X352="","",INDEX(합계표[사번],$X352)&amp;"")</f>
        <v/>
      </c>
      <c r="B352">
        <f>IF($X352="","",INDEX(합계표[성명],$X352)&amp;"")</f>
        <v/>
      </c>
      <c r="C352">
        <f>IF($X352="","",INDEX(합계표[부서],$X352)&amp;"")</f>
        <v/>
      </c>
      <c r="D352">
        <f>IF($X352="","",INDEX(합계표[직위(요약)],$X352)&amp;"")</f>
        <v/>
      </c>
      <c r="E352">
        <f>IF($X352="","",INDEX(합계표[직급 공존],$X352)&amp;"")</f>
        <v/>
      </c>
      <c r="F352" s="20">
        <f>IF($X352="","",SUMIFS(합계표[시스템 합계],합계표[사번키],INDEX(합계표[사번키],$X352)))</f>
        <v/>
      </c>
      <c r="G352" s="20">
        <f>IF($X352="","",SUMIFS(상세표[기록 시간외],상세표[사번키],INDEX(합계표[사번키],$X352),상세표[기록월],대상월키))</f>
        <v/>
      </c>
      <c r="H352">
        <f>IF($X352="","",IF(ABS($F352-$G352)&lt;0.01,"일치","불일치(차이 "&amp;TEXT($G352-$F352,"0.00")&amp;")"))</f>
        <v/>
      </c>
      <c r="I352" s="20">
        <f>IF($X352="","",SUMIFS(상세표[기록 시간외],상세표[사번키],INDEX(합계표[사번키],$X352),상세표[기록월],대상월키,상세표[반영월],"&lt;&gt;"&amp;대상월키))</f>
        <v/>
      </c>
      <c r="J352" s="20">
        <f>IF($X352="","",SUMIFS(상세표[기록 시간외],상세표[사번키],INDEX(합계표[사번키],$X352),상세표[기록월],"&lt;&gt;"&amp;대상월키,상세표[반영월],대상월키))</f>
        <v/>
      </c>
      <c r="K352" s="20">
        <f>IF($X352="","",SUMIFS(상세표[기록 시간외],상세표[사번키],INDEX(합계표[사번키],$X352),상세표[반영월],대상월키))</f>
        <v/>
      </c>
      <c r="L352">
        <f>IF($X352="","",IFERROR(INDEX(월별근무지표[적용 급여병원],MATCH(INDEX(합계표[사번키],$X352)&amp;"|"&amp;대상월키,월별근무지표[키],0))&amp;"",IF(COUNTIF(기관표[사번키],INDEX(합계표[사번키],$X352))+COUNTIF(월별근무지표[사번키],INDEX(합계표[사번키],$X352))&gt;0,IFERROR(INDEX(기관표[급여지급병원(기준월)],MATCH(INDEX(합계표[사번키],$X352)&amp;"|"&amp;대상월키,기관표[키],0))&amp;"","—"),"—")))</f>
        <v/>
      </c>
      <c r="M352">
        <f>IF($X352="","",IF(NOT(COUNTIF(기관표[사번키],INDEX(합계표[사번키],$X352))+COUNTIF(월별근무지표[사번키],INDEX(합계표[사번키],$X352))&gt;0),"기관명단에 없음(다른 병원으로 발송)",IF($L352="서울병원","해당",IF(N($R352)&gt;0,"해당(말일 근무)",IF($L352="—","대상월 기관명단 없음(추가 필요)","비해당")))))</f>
        <v/>
      </c>
      <c r="N352" s="20">
        <f>IF($X352="","",SUMIFS(상세표[06~07시],상세표[사번키],INDEX(합계표[사번키],$X352),상세표[반영월],대상월키,상세표[반영 기관],"서울병원"))</f>
        <v/>
      </c>
      <c r="O352" s="20">
        <f>IF($X352="","",SUMIFS(상세표[07~18시],상세표[사번키],INDEX(합계표[사번키],$X352),상세표[반영월],대상월키,상세표[반영 기관],"서울병원"))</f>
        <v/>
      </c>
      <c r="P352" s="20">
        <f>IF($X352="","",SUMIFS(상세표[18~22시],상세표[사번키],INDEX(합계표[사번키],$X352),상세표[반영월],대상월키,상세표[반영 기관],"서울병원"))</f>
        <v/>
      </c>
      <c r="Q352" s="20">
        <f>IF($X352="","",SUMIFS(상세표[22~06시],상세표[사번키],INDEX(합계표[사번키],$X352),상세표[반영월],대상월키,상세표[반영 기관],"서울병원"))</f>
        <v/>
      </c>
      <c r="R352" s="20">
        <f>IF($X352="","",SUM($N352:$Q352))</f>
        <v/>
      </c>
      <c r="S352">
        <f>IF($X352="","",COUNTIFS(상세표[사번키],INDEX(합계표[사번키],$X352),상세표[반영월],대상월키,상세표[야간당직],1,상세표[야간 구분],"평일"))</f>
        <v/>
      </c>
      <c r="T352">
        <f>IF($X352="","",COUNTIFS(상세표[사번키],INDEX(합계표[사번키],$X352),상세표[반영월],대상월키,상세표[야간당직],1,상세표[야간 구분],"휴일"))</f>
        <v/>
      </c>
      <c r="U352">
        <f>IF($X352="","",COUNTIFS(상세표[사번키],INDEX(합계표[사번키],$X352),상세표[반영월],대상월키,상세표[야간당직],1,상세표[야간 구분],"평일",상세표[반영 기관],"서울병원"))</f>
        <v/>
      </c>
      <c r="V352">
        <f>IF($X352="","",COUNTIFS(상세표[사번키],INDEX(합계표[사번키],$X352),상세표[반영월],대상월키,상세표[야간당직],1,상세표[야간 구분],"휴일",상세표[반영 기관],"서울병원"))</f>
        <v/>
      </c>
      <c r="W352">
        <f>IF($X352="","",IF(ISNUMBER(MATCH(INDEX(합계표[사번키],$X352)&amp;"|"&amp;대상월키,월별근무지표[키],0)),"직접 입력",IF($L352="—","—","기관명단")))</f>
        <v/>
      </c>
      <c r="X352" s="4">
        <f>IFERROR(MATCH(347,합계표[판정순번],0),"")</f>
        <v/>
      </c>
    </row>
    <row r="353">
      <c r="A353">
        <f>IF($X353="","",INDEX(합계표[사번],$X353)&amp;"")</f>
        <v/>
      </c>
      <c r="B353">
        <f>IF($X353="","",INDEX(합계표[성명],$X353)&amp;"")</f>
        <v/>
      </c>
      <c r="C353">
        <f>IF($X353="","",INDEX(합계표[부서],$X353)&amp;"")</f>
        <v/>
      </c>
      <c r="D353">
        <f>IF($X353="","",INDEX(합계표[직위(요약)],$X353)&amp;"")</f>
        <v/>
      </c>
      <c r="E353">
        <f>IF($X353="","",INDEX(합계표[직급 공존],$X353)&amp;"")</f>
        <v/>
      </c>
      <c r="F353" s="20">
        <f>IF($X353="","",SUMIFS(합계표[시스템 합계],합계표[사번키],INDEX(합계표[사번키],$X353)))</f>
        <v/>
      </c>
      <c r="G353" s="20">
        <f>IF($X353="","",SUMIFS(상세표[기록 시간외],상세표[사번키],INDEX(합계표[사번키],$X353),상세표[기록월],대상월키))</f>
        <v/>
      </c>
      <c r="H353">
        <f>IF($X353="","",IF(ABS($F353-$G353)&lt;0.01,"일치","불일치(차이 "&amp;TEXT($G353-$F353,"0.00")&amp;")"))</f>
        <v/>
      </c>
      <c r="I353" s="20">
        <f>IF($X353="","",SUMIFS(상세표[기록 시간외],상세표[사번키],INDEX(합계표[사번키],$X353),상세표[기록월],대상월키,상세표[반영월],"&lt;&gt;"&amp;대상월키))</f>
        <v/>
      </c>
      <c r="J353" s="20">
        <f>IF($X353="","",SUMIFS(상세표[기록 시간외],상세표[사번키],INDEX(합계표[사번키],$X353),상세표[기록월],"&lt;&gt;"&amp;대상월키,상세표[반영월],대상월키))</f>
        <v/>
      </c>
      <c r="K353" s="20">
        <f>IF($X353="","",SUMIFS(상세표[기록 시간외],상세표[사번키],INDEX(합계표[사번키],$X353),상세표[반영월],대상월키))</f>
        <v/>
      </c>
      <c r="L353">
        <f>IF($X353="","",IFERROR(INDEX(월별근무지표[적용 급여병원],MATCH(INDEX(합계표[사번키],$X353)&amp;"|"&amp;대상월키,월별근무지표[키],0))&amp;"",IF(COUNTIF(기관표[사번키],INDEX(합계표[사번키],$X353))+COUNTIF(월별근무지표[사번키],INDEX(합계표[사번키],$X353))&gt;0,IFERROR(INDEX(기관표[급여지급병원(기준월)],MATCH(INDEX(합계표[사번키],$X353)&amp;"|"&amp;대상월키,기관표[키],0))&amp;"","—"),"—")))</f>
        <v/>
      </c>
      <c r="M353">
        <f>IF($X353="","",IF(NOT(COUNTIF(기관표[사번키],INDEX(합계표[사번키],$X353))+COUNTIF(월별근무지표[사번키],INDEX(합계표[사번키],$X353))&gt;0),"기관명단에 없음(다른 병원으로 발송)",IF($L353="서울병원","해당",IF(N($R353)&gt;0,"해당(말일 근무)",IF($L353="—","대상월 기관명단 없음(추가 필요)","비해당")))))</f>
        <v/>
      </c>
      <c r="N353" s="20">
        <f>IF($X353="","",SUMIFS(상세표[06~07시],상세표[사번키],INDEX(합계표[사번키],$X353),상세표[반영월],대상월키,상세표[반영 기관],"서울병원"))</f>
        <v/>
      </c>
      <c r="O353" s="20">
        <f>IF($X353="","",SUMIFS(상세표[07~18시],상세표[사번키],INDEX(합계표[사번키],$X353),상세표[반영월],대상월키,상세표[반영 기관],"서울병원"))</f>
        <v/>
      </c>
      <c r="P353" s="20">
        <f>IF($X353="","",SUMIFS(상세표[18~22시],상세표[사번키],INDEX(합계표[사번키],$X353),상세표[반영월],대상월키,상세표[반영 기관],"서울병원"))</f>
        <v/>
      </c>
      <c r="Q353" s="20">
        <f>IF($X353="","",SUMIFS(상세표[22~06시],상세표[사번키],INDEX(합계표[사번키],$X353),상세표[반영월],대상월키,상세표[반영 기관],"서울병원"))</f>
        <v/>
      </c>
      <c r="R353" s="20">
        <f>IF($X353="","",SUM($N353:$Q353))</f>
        <v/>
      </c>
      <c r="S353">
        <f>IF($X353="","",COUNTIFS(상세표[사번키],INDEX(합계표[사번키],$X353),상세표[반영월],대상월키,상세표[야간당직],1,상세표[야간 구분],"평일"))</f>
        <v/>
      </c>
      <c r="T353">
        <f>IF($X353="","",COUNTIFS(상세표[사번키],INDEX(합계표[사번키],$X353),상세표[반영월],대상월키,상세표[야간당직],1,상세표[야간 구분],"휴일"))</f>
        <v/>
      </c>
      <c r="U353">
        <f>IF($X353="","",COUNTIFS(상세표[사번키],INDEX(합계표[사번키],$X353),상세표[반영월],대상월키,상세표[야간당직],1,상세표[야간 구분],"평일",상세표[반영 기관],"서울병원"))</f>
        <v/>
      </c>
      <c r="V353">
        <f>IF($X353="","",COUNTIFS(상세표[사번키],INDEX(합계표[사번키],$X353),상세표[반영월],대상월키,상세표[야간당직],1,상세표[야간 구분],"휴일",상세표[반영 기관],"서울병원"))</f>
        <v/>
      </c>
      <c r="W353">
        <f>IF($X353="","",IF(ISNUMBER(MATCH(INDEX(합계표[사번키],$X353)&amp;"|"&amp;대상월키,월별근무지표[키],0)),"직접 입력",IF($L353="—","—","기관명단")))</f>
        <v/>
      </c>
      <c r="X353" s="4">
        <f>IFERROR(MATCH(348,합계표[판정순번],0),"")</f>
        <v/>
      </c>
    </row>
    <row r="354">
      <c r="A354">
        <f>IF($X354="","",INDEX(합계표[사번],$X354)&amp;"")</f>
        <v/>
      </c>
      <c r="B354">
        <f>IF($X354="","",INDEX(합계표[성명],$X354)&amp;"")</f>
        <v/>
      </c>
      <c r="C354">
        <f>IF($X354="","",INDEX(합계표[부서],$X354)&amp;"")</f>
        <v/>
      </c>
      <c r="D354">
        <f>IF($X354="","",INDEX(합계표[직위(요약)],$X354)&amp;"")</f>
        <v/>
      </c>
      <c r="E354">
        <f>IF($X354="","",INDEX(합계표[직급 공존],$X354)&amp;"")</f>
        <v/>
      </c>
      <c r="F354" s="20">
        <f>IF($X354="","",SUMIFS(합계표[시스템 합계],합계표[사번키],INDEX(합계표[사번키],$X354)))</f>
        <v/>
      </c>
      <c r="G354" s="20">
        <f>IF($X354="","",SUMIFS(상세표[기록 시간외],상세표[사번키],INDEX(합계표[사번키],$X354),상세표[기록월],대상월키))</f>
        <v/>
      </c>
      <c r="H354">
        <f>IF($X354="","",IF(ABS($F354-$G354)&lt;0.01,"일치","불일치(차이 "&amp;TEXT($G354-$F354,"0.00")&amp;")"))</f>
        <v/>
      </c>
      <c r="I354" s="20">
        <f>IF($X354="","",SUMIFS(상세표[기록 시간외],상세표[사번키],INDEX(합계표[사번키],$X354),상세표[기록월],대상월키,상세표[반영월],"&lt;&gt;"&amp;대상월키))</f>
        <v/>
      </c>
      <c r="J354" s="20">
        <f>IF($X354="","",SUMIFS(상세표[기록 시간외],상세표[사번키],INDEX(합계표[사번키],$X354),상세표[기록월],"&lt;&gt;"&amp;대상월키,상세표[반영월],대상월키))</f>
        <v/>
      </c>
      <c r="K354" s="20">
        <f>IF($X354="","",SUMIFS(상세표[기록 시간외],상세표[사번키],INDEX(합계표[사번키],$X354),상세표[반영월],대상월키))</f>
        <v/>
      </c>
      <c r="L354">
        <f>IF($X354="","",IFERROR(INDEX(월별근무지표[적용 급여병원],MATCH(INDEX(합계표[사번키],$X354)&amp;"|"&amp;대상월키,월별근무지표[키],0))&amp;"",IF(COUNTIF(기관표[사번키],INDEX(합계표[사번키],$X354))+COUNTIF(월별근무지표[사번키],INDEX(합계표[사번키],$X354))&gt;0,IFERROR(INDEX(기관표[급여지급병원(기준월)],MATCH(INDEX(합계표[사번키],$X354)&amp;"|"&amp;대상월키,기관표[키],0))&amp;"","—"),"—")))</f>
        <v/>
      </c>
      <c r="M354">
        <f>IF($X354="","",IF(NOT(COUNTIF(기관표[사번키],INDEX(합계표[사번키],$X354))+COUNTIF(월별근무지표[사번키],INDEX(합계표[사번키],$X354))&gt;0),"기관명단에 없음(다른 병원으로 발송)",IF($L354="서울병원","해당",IF(N($R354)&gt;0,"해당(말일 근무)",IF($L354="—","대상월 기관명단 없음(추가 필요)","비해당")))))</f>
        <v/>
      </c>
      <c r="N354" s="20">
        <f>IF($X354="","",SUMIFS(상세표[06~07시],상세표[사번키],INDEX(합계표[사번키],$X354),상세표[반영월],대상월키,상세표[반영 기관],"서울병원"))</f>
        <v/>
      </c>
      <c r="O354" s="20">
        <f>IF($X354="","",SUMIFS(상세표[07~18시],상세표[사번키],INDEX(합계표[사번키],$X354),상세표[반영월],대상월키,상세표[반영 기관],"서울병원"))</f>
        <v/>
      </c>
      <c r="P354" s="20">
        <f>IF($X354="","",SUMIFS(상세표[18~22시],상세표[사번키],INDEX(합계표[사번키],$X354),상세표[반영월],대상월키,상세표[반영 기관],"서울병원"))</f>
        <v/>
      </c>
      <c r="Q354" s="20">
        <f>IF($X354="","",SUMIFS(상세표[22~06시],상세표[사번키],INDEX(합계표[사번키],$X354),상세표[반영월],대상월키,상세표[반영 기관],"서울병원"))</f>
        <v/>
      </c>
      <c r="R354" s="20">
        <f>IF($X354="","",SUM($N354:$Q354))</f>
        <v/>
      </c>
      <c r="S354">
        <f>IF($X354="","",COUNTIFS(상세표[사번키],INDEX(합계표[사번키],$X354),상세표[반영월],대상월키,상세표[야간당직],1,상세표[야간 구분],"평일"))</f>
        <v/>
      </c>
      <c r="T354">
        <f>IF($X354="","",COUNTIFS(상세표[사번키],INDEX(합계표[사번키],$X354),상세표[반영월],대상월키,상세표[야간당직],1,상세표[야간 구분],"휴일"))</f>
        <v/>
      </c>
      <c r="U354">
        <f>IF($X354="","",COUNTIFS(상세표[사번키],INDEX(합계표[사번키],$X354),상세표[반영월],대상월키,상세표[야간당직],1,상세표[야간 구분],"평일",상세표[반영 기관],"서울병원"))</f>
        <v/>
      </c>
      <c r="V354">
        <f>IF($X354="","",COUNTIFS(상세표[사번키],INDEX(합계표[사번키],$X354),상세표[반영월],대상월키,상세표[야간당직],1,상세표[야간 구분],"휴일",상세표[반영 기관],"서울병원"))</f>
        <v/>
      </c>
      <c r="W354">
        <f>IF($X354="","",IF(ISNUMBER(MATCH(INDEX(합계표[사번키],$X354)&amp;"|"&amp;대상월키,월별근무지표[키],0)),"직접 입력",IF($L354="—","—","기관명단")))</f>
        <v/>
      </c>
      <c r="X354" s="4">
        <f>IFERROR(MATCH(349,합계표[판정순번],0),"")</f>
        <v/>
      </c>
    </row>
    <row r="355">
      <c r="A355">
        <f>IF($X355="","",INDEX(합계표[사번],$X355)&amp;"")</f>
        <v/>
      </c>
      <c r="B355">
        <f>IF($X355="","",INDEX(합계표[성명],$X355)&amp;"")</f>
        <v/>
      </c>
      <c r="C355">
        <f>IF($X355="","",INDEX(합계표[부서],$X355)&amp;"")</f>
        <v/>
      </c>
      <c r="D355">
        <f>IF($X355="","",INDEX(합계표[직위(요약)],$X355)&amp;"")</f>
        <v/>
      </c>
      <c r="E355">
        <f>IF($X355="","",INDEX(합계표[직급 공존],$X355)&amp;"")</f>
        <v/>
      </c>
      <c r="F355" s="20">
        <f>IF($X355="","",SUMIFS(합계표[시스템 합계],합계표[사번키],INDEX(합계표[사번키],$X355)))</f>
        <v/>
      </c>
      <c r="G355" s="20">
        <f>IF($X355="","",SUMIFS(상세표[기록 시간외],상세표[사번키],INDEX(합계표[사번키],$X355),상세표[기록월],대상월키))</f>
        <v/>
      </c>
      <c r="H355">
        <f>IF($X355="","",IF(ABS($F355-$G355)&lt;0.01,"일치","불일치(차이 "&amp;TEXT($G355-$F355,"0.00")&amp;")"))</f>
        <v/>
      </c>
      <c r="I355" s="20">
        <f>IF($X355="","",SUMIFS(상세표[기록 시간외],상세표[사번키],INDEX(합계표[사번키],$X355),상세표[기록월],대상월키,상세표[반영월],"&lt;&gt;"&amp;대상월키))</f>
        <v/>
      </c>
      <c r="J355" s="20">
        <f>IF($X355="","",SUMIFS(상세표[기록 시간외],상세표[사번키],INDEX(합계표[사번키],$X355),상세표[기록월],"&lt;&gt;"&amp;대상월키,상세표[반영월],대상월키))</f>
        <v/>
      </c>
      <c r="K355" s="20">
        <f>IF($X355="","",SUMIFS(상세표[기록 시간외],상세표[사번키],INDEX(합계표[사번키],$X355),상세표[반영월],대상월키))</f>
        <v/>
      </c>
      <c r="L355">
        <f>IF($X355="","",IFERROR(INDEX(월별근무지표[적용 급여병원],MATCH(INDEX(합계표[사번키],$X355)&amp;"|"&amp;대상월키,월별근무지표[키],0))&amp;"",IF(COUNTIF(기관표[사번키],INDEX(합계표[사번키],$X355))+COUNTIF(월별근무지표[사번키],INDEX(합계표[사번키],$X355))&gt;0,IFERROR(INDEX(기관표[급여지급병원(기준월)],MATCH(INDEX(합계표[사번키],$X355)&amp;"|"&amp;대상월키,기관표[키],0))&amp;"","—"),"—")))</f>
        <v/>
      </c>
      <c r="M355">
        <f>IF($X355="","",IF(NOT(COUNTIF(기관표[사번키],INDEX(합계표[사번키],$X355))+COUNTIF(월별근무지표[사번키],INDEX(합계표[사번키],$X355))&gt;0),"기관명단에 없음(다른 병원으로 발송)",IF($L355="서울병원","해당",IF(N($R355)&gt;0,"해당(말일 근무)",IF($L355="—","대상월 기관명단 없음(추가 필요)","비해당")))))</f>
        <v/>
      </c>
      <c r="N355" s="20">
        <f>IF($X355="","",SUMIFS(상세표[06~07시],상세표[사번키],INDEX(합계표[사번키],$X355),상세표[반영월],대상월키,상세표[반영 기관],"서울병원"))</f>
        <v/>
      </c>
      <c r="O355" s="20">
        <f>IF($X355="","",SUMIFS(상세표[07~18시],상세표[사번키],INDEX(합계표[사번키],$X355),상세표[반영월],대상월키,상세표[반영 기관],"서울병원"))</f>
        <v/>
      </c>
      <c r="P355" s="20">
        <f>IF($X355="","",SUMIFS(상세표[18~22시],상세표[사번키],INDEX(합계표[사번키],$X355),상세표[반영월],대상월키,상세표[반영 기관],"서울병원"))</f>
        <v/>
      </c>
      <c r="Q355" s="20">
        <f>IF($X355="","",SUMIFS(상세표[22~06시],상세표[사번키],INDEX(합계표[사번키],$X355),상세표[반영월],대상월키,상세표[반영 기관],"서울병원"))</f>
        <v/>
      </c>
      <c r="R355" s="20">
        <f>IF($X355="","",SUM($N355:$Q355))</f>
        <v/>
      </c>
      <c r="S355">
        <f>IF($X355="","",COUNTIFS(상세표[사번키],INDEX(합계표[사번키],$X355),상세표[반영월],대상월키,상세표[야간당직],1,상세표[야간 구분],"평일"))</f>
        <v/>
      </c>
      <c r="T355">
        <f>IF($X355="","",COUNTIFS(상세표[사번키],INDEX(합계표[사번키],$X355),상세표[반영월],대상월키,상세표[야간당직],1,상세표[야간 구분],"휴일"))</f>
        <v/>
      </c>
      <c r="U355">
        <f>IF($X355="","",COUNTIFS(상세표[사번키],INDEX(합계표[사번키],$X355),상세표[반영월],대상월키,상세표[야간당직],1,상세표[야간 구분],"평일",상세표[반영 기관],"서울병원"))</f>
        <v/>
      </c>
      <c r="V355">
        <f>IF($X355="","",COUNTIFS(상세표[사번키],INDEX(합계표[사번키],$X355),상세표[반영월],대상월키,상세표[야간당직],1,상세표[야간 구분],"휴일",상세표[반영 기관],"서울병원"))</f>
        <v/>
      </c>
      <c r="W355">
        <f>IF($X355="","",IF(ISNUMBER(MATCH(INDEX(합계표[사번키],$X355)&amp;"|"&amp;대상월키,월별근무지표[키],0)),"직접 입력",IF($L355="—","—","기관명단")))</f>
        <v/>
      </c>
      <c r="X355" s="4">
        <f>IFERROR(MATCH(350,합계표[판정순번],0),"")</f>
        <v/>
      </c>
    </row>
    <row r="356">
      <c r="A356">
        <f>IF($X356="","",INDEX(합계표[사번],$X356)&amp;"")</f>
        <v/>
      </c>
      <c r="B356">
        <f>IF($X356="","",INDEX(합계표[성명],$X356)&amp;"")</f>
        <v/>
      </c>
      <c r="C356">
        <f>IF($X356="","",INDEX(합계표[부서],$X356)&amp;"")</f>
        <v/>
      </c>
      <c r="D356">
        <f>IF($X356="","",INDEX(합계표[직위(요약)],$X356)&amp;"")</f>
        <v/>
      </c>
      <c r="E356">
        <f>IF($X356="","",INDEX(합계표[직급 공존],$X356)&amp;"")</f>
        <v/>
      </c>
      <c r="F356" s="20">
        <f>IF($X356="","",SUMIFS(합계표[시스템 합계],합계표[사번키],INDEX(합계표[사번키],$X356)))</f>
        <v/>
      </c>
      <c r="G356" s="20">
        <f>IF($X356="","",SUMIFS(상세표[기록 시간외],상세표[사번키],INDEX(합계표[사번키],$X356),상세표[기록월],대상월키))</f>
        <v/>
      </c>
      <c r="H356">
        <f>IF($X356="","",IF(ABS($F356-$G356)&lt;0.01,"일치","불일치(차이 "&amp;TEXT($G356-$F356,"0.00")&amp;")"))</f>
        <v/>
      </c>
      <c r="I356" s="20">
        <f>IF($X356="","",SUMIFS(상세표[기록 시간외],상세표[사번키],INDEX(합계표[사번키],$X356),상세표[기록월],대상월키,상세표[반영월],"&lt;&gt;"&amp;대상월키))</f>
        <v/>
      </c>
      <c r="J356" s="20">
        <f>IF($X356="","",SUMIFS(상세표[기록 시간외],상세표[사번키],INDEX(합계표[사번키],$X356),상세표[기록월],"&lt;&gt;"&amp;대상월키,상세표[반영월],대상월키))</f>
        <v/>
      </c>
      <c r="K356" s="20">
        <f>IF($X356="","",SUMIFS(상세표[기록 시간외],상세표[사번키],INDEX(합계표[사번키],$X356),상세표[반영월],대상월키))</f>
        <v/>
      </c>
      <c r="L356">
        <f>IF($X356="","",IFERROR(INDEX(월별근무지표[적용 급여병원],MATCH(INDEX(합계표[사번키],$X356)&amp;"|"&amp;대상월키,월별근무지표[키],0))&amp;"",IF(COUNTIF(기관표[사번키],INDEX(합계표[사번키],$X356))+COUNTIF(월별근무지표[사번키],INDEX(합계표[사번키],$X356))&gt;0,IFERROR(INDEX(기관표[급여지급병원(기준월)],MATCH(INDEX(합계표[사번키],$X356)&amp;"|"&amp;대상월키,기관표[키],0))&amp;"","—"),"—")))</f>
        <v/>
      </c>
      <c r="M356">
        <f>IF($X356="","",IF(NOT(COUNTIF(기관표[사번키],INDEX(합계표[사번키],$X356))+COUNTIF(월별근무지표[사번키],INDEX(합계표[사번키],$X356))&gt;0),"기관명단에 없음(다른 병원으로 발송)",IF($L356="서울병원","해당",IF(N($R356)&gt;0,"해당(말일 근무)",IF($L356="—","대상월 기관명단 없음(추가 필요)","비해당")))))</f>
        <v/>
      </c>
      <c r="N356" s="20">
        <f>IF($X356="","",SUMIFS(상세표[06~07시],상세표[사번키],INDEX(합계표[사번키],$X356),상세표[반영월],대상월키,상세표[반영 기관],"서울병원"))</f>
        <v/>
      </c>
      <c r="O356" s="20">
        <f>IF($X356="","",SUMIFS(상세표[07~18시],상세표[사번키],INDEX(합계표[사번키],$X356),상세표[반영월],대상월키,상세표[반영 기관],"서울병원"))</f>
        <v/>
      </c>
      <c r="P356" s="20">
        <f>IF($X356="","",SUMIFS(상세표[18~22시],상세표[사번키],INDEX(합계표[사번키],$X356),상세표[반영월],대상월키,상세표[반영 기관],"서울병원"))</f>
        <v/>
      </c>
      <c r="Q356" s="20">
        <f>IF($X356="","",SUMIFS(상세표[22~06시],상세표[사번키],INDEX(합계표[사번키],$X356),상세표[반영월],대상월키,상세표[반영 기관],"서울병원"))</f>
        <v/>
      </c>
      <c r="R356" s="20">
        <f>IF($X356="","",SUM($N356:$Q356))</f>
        <v/>
      </c>
      <c r="S356">
        <f>IF($X356="","",COUNTIFS(상세표[사번키],INDEX(합계표[사번키],$X356),상세표[반영월],대상월키,상세표[야간당직],1,상세표[야간 구분],"평일"))</f>
        <v/>
      </c>
      <c r="T356">
        <f>IF($X356="","",COUNTIFS(상세표[사번키],INDEX(합계표[사번키],$X356),상세표[반영월],대상월키,상세표[야간당직],1,상세표[야간 구분],"휴일"))</f>
        <v/>
      </c>
      <c r="U356">
        <f>IF($X356="","",COUNTIFS(상세표[사번키],INDEX(합계표[사번키],$X356),상세표[반영월],대상월키,상세표[야간당직],1,상세표[야간 구분],"평일",상세표[반영 기관],"서울병원"))</f>
        <v/>
      </c>
      <c r="V356">
        <f>IF($X356="","",COUNTIFS(상세표[사번키],INDEX(합계표[사번키],$X356),상세표[반영월],대상월키,상세표[야간당직],1,상세표[야간 구분],"휴일",상세표[반영 기관],"서울병원"))</f>
        <v/>
      </c>
      <c r="W356">
        <f>IF($X356="","",IF(ISNUMBER(MATCH(INDEX(합계표[사번키],$X356)&amp;"|"&amp;대상월키,월별근무지표[키],0)),"직접 입력",IF($L356="—","—","기관명단")))</f>
        <v/>
      </c>
      <c r="X356" s="4">
        <f>IFERROR(MATCH(351,합계표[판정순번],0),"")</f>
        <v/>
      </c>
    </row>
    <row r="357">
      <c r="A357">
        <f>IF($X357="","",INDEX(합계표[사번],$X357)&amp;"")</f>
        <v/>
      </c>
      <c r="B357">
        <f>IF($X357="","",INDEX(합계표[성명],$X357)&amp;"")</f>
        <v/>
      </c>
      <c r="C357">
        <f>IF($X357="","",INDEX(합계표[부서],$X357)&amp;"")</f>
        <v/>
      </c>
      <c r="D357">
        <f>IF($X357="","",INDEX(합계표[직위(요약)],$X357)&amp;"")</f>
        <v/>
      </c>
      <c r="E357">
        <f>IF($X357="","",INDEX(합계표[직급 공존],$X357)&amp;"")</f>
        <v/>
      </c>
      <c r="F357" s="20">
        <f>IF($X357="","",SUMIFS(합계표[시스템 합계],합계표[사번키],INDEX(합계표[사번키],$X357)))</f>
        <v/>
      </c>
      <c r="G357" s="20">
        <f>IF($X357="","",SUMIFS(상세표[기록 시간외],상세표[사번키],INDEX(합계표[사번키],$X357),상세표[기록월],대상월키))</f>
        <v/>
      </c>
      <c r="H357">
        <f>IF($X357="","",IF(ABS($F357-$G357)&lt;0.01,"일치","불일치(차이 "&amp;TEXT($G357-$F357,"0.00")&amp;")"))</f>
        <v/>
      </c>
      <c r="I357" s="20">
        <f>IF($X357="","",SUMIFS(상세표[기록 시간외],상세표[사번키],INDEX(합계표[사번키],$X357),상세표[기록월],대상월키,상세표[반영월],"&lt;&gt;"&amp;대상월키))</f>
        <v/>
      </c>
      <c r="J357" s="20">
        <f>IF($X357="","",SUMIFS(상세표[기록 시간외],상세표[사번키],INDEX(합계표[사번키],$X357),상세표[기록월],"&lt;&gt;"&amp;대상월키,상세표[반영월],대상월키))</f>
        <v/>
      </c>
      <c r="K357" s="20">
        <f>IF($X357="","",SUMIFS(상세표[기록 시간외],상세표[사번키],INDEX(합계표[사번키],$X357),상세표[반영월],대상월키))</f>
        <v/>
      </c>
      <c r="L357">
        <f>IF($X357="","",IFERROR(INDEX(월별근무지표[적용 급여병원],MATCH(INDEX(합계표[사번키],$X357)&amp;"|"&amp;대상월키,월별근무지표[키],0))&amp;"",IF(COUNTIF(기관표[사번키],INDEX(합계표[사번키],$X357))+COUNTIF(월별근무지표[사번키],INDEX(합계표[사번키],$X357))&gt;0,IFERROR(INDEX(기관표[급여지급병원(기준월)],MATCH(INDEX(합계표[사번키],$X357)&amp;"|"&amp;대상월키,기관표[키],0))&amp;"","—"),"—")))</f>
        <v/>
      </c>
      <c r="M357">
        <f>IF($X357="","",IF(NOT(COUNTIF(기관표[사번키],INDEX(합계표[사번키],$X357))+COUNTIF(월별근무지표[사번키],INDEX(합계표[사번키],$X357))&gt;0),"기관명단에 없음(다른 병원으로 발송)",IF($L357="서울병원","해당",IF(N($R357)&gt;0,"해당(말일 근무)",IF($L357="—","대상월 기관명단 없음(추가 필요)","비해당")))))</f>
        <v/>
      </c>
      <c r="N357" s="20">
        <f>IF($X357="","",SUMIFS(상세표[06~07시],상세표[사번키],INDEX(합계표[사번키],$X357),상세표[반영월],대상월키,상세표[반영 기관],"서울병원"))</f>
        <v/>
      </c>
      <c r="O357" s="20">
        <f>IF($X357="","",SUMIFS(상세표[07~18시],상세표[사번키],INDEX(합계표[사번키],$X357),상세표[반영월],대상월키,상세표[반영 기관],"서울병원"))</f>
        <v/>
      </c>
      <c r="P357" s="20">
        <f>IF($X357="","",SUMIFS(상세표[18~22시],상세표[사번키],INDEX(합계표[사번키],$X357),상세표[반영월],대상월키,상세표[반영 기관],"서울병원"))</f>
        <v/>
      </c>
      <c r="Q357" s="20">
        <f>IF($X357="","",SUMIFS(상세표[22~06시],상세표[사번키],INDEX(합계표[사번키],$X357),상세표[반영월],대상월키,상세표[반영 기관],"서울병원"))</f>
        <v/>
      </c>
      <c r="R357" s="20">
        <f>IF($X357="","",SUM($N357:$Q357))</f>
        <v/>
      </c>
      <c r="S357">
        <f>IF($X357="","",COUNTIFS(상세표[사번키],INDEX(합계표[사번키],$X357),상세표[반영월],대상월키,상세표[야간당직],1,상세표[야간 구분],"평일"))</f>
        <v/>
      </c>
      <c r="T357">
        <f>IF($X357="","",COUNTIFS(상세표[사번키],INDEX(합계표[사번키],$X357),상세표[반영월],대상월키,상세표[야간당직],1,상세표[야간 구분],"휴일"))</f>
        <v/>
      </c>
      <c r="U357">
        <f>IF($X357="","",COUNTIFS(상세표[사번키],INDEX(합계표[사번키],$X357),상세표[반영월],대상월키,상세표[야간당직],1,상세표[야간 구분],"평일",상세표[반영 기관],"서울병원"))</f>
        <v/>
      </c>
      <c r="V357">
        <f>IF($X357="","",COUNTIFS(상세표[사번키],INDEX(합계표[사번키],$X357),상세표[반영월],대상월키,상세표[야간당직],1,상세표[야간 구분],"휴일",상세표[반영 기관],"서울병원"))</f>
        <v/>
      </c>
      <c r="W357">
        <f>IF($X357="","",IF(ISNUMBER(MATCH(INDEX(합계표[사번키],$X357)&amp;"|"&amp;대상월키,월별근무지표[키],0)),"직접 입력",IF($L357="—","—","기관명단")))</f>
        <v/>
      </c>
      <c r="X357" s="4">
        <f>IFERROR(MATCH(352,합계표[판정순번],0),"")</f>
        <v/>
      </c>
    </row>
    <row r="358">
      <c r="A358">
        <f>IF($X358="","",INDEX(합계표[사번],$X358)&amp;"")</f>
        <v/>
      </c>
      <c r="B358">
        <f>IF($X358="","",INDEX(합계표[성명],$X358)&amp;"")</f>
        <v/>
      </c>
      <c r="C358">
        <f>IF($X358="","",INDEX(합계표[부서],$X358)&amp;"")</f>
        <v/>
      </c>
      <c r="D358">
        <f>IF($X358="","",INDEX(합계표[직위(요약)],$X358)&amp;"")</f>
        <v/>
      </c>
      <c r="E358">
        <f>IF($X358="","",INDEX(합계표[직급 공존],$X358)&amp;"")</f>
        <v/>
      </c>
      <c r="F358" s="20">
        <f>IF($X358="","",SUMIFS(합계표[시스템 합계],합계표[사번키],INDEX(합계표[사번키],$X358)))</f>
        <v/>
      </c>
      <c r="G358" s="20">
        <f>IF($X358="","",SUMIFS(상세표[기록 시간외],상세표[사번키],INDEX(합계표[사번키],$X358),상세표[기록월],대상월키))</f>
        <v/>
      </c>
      <c r="H358">
        <f>IF($X358="","",IF(ABS($F358-$G358)&lt;0.01,"일치","불일치(차이 "&amp;TEXT($G358-$F358,"0.00")&amp;")"))</f>
        <v/>
      </c>
      <c r="I358" s="20">
        <f>IF($X358="","",SUMIFS(상세표[기록 시간외],상세표[사번키],INDEX(합계표[사번키],$X358),상세표[기록월],대상월키,상세표[반영월],"&lt;&gt;"&amp;대상월키))</f>
        <v/>
      </c>
      <c r="J358" s="20">
        <f>IF($X358="","",SUMIFS(상세표[기록 시간외],상세표[사번키],INDEX(합계표[사번키],$X358),상세표[기록월],"&lt;&gt;"&amp;대상월키,상세표[반영월],대상월키))</f>
        <v/>
      </c>
      <c r="K358" s="20">
        <f>IF($X358="","",SUMIFS(상세표[기록 시간외],상세표[사번키],INDEX(합계표[사번키],$X358),상세표[반영월],대상월키))</f>
        <v/>
      </c>
      <c r="L358">
        <f>IF($X358="","",IFERROR(INDEX(월별근무지표[적용 급여병원],MATCH(INDEX(합계표[사번키],$X358)&amp;"|"&amp;대상월키,월별근무지표[키],0))&amp;"",IF(COUNTIF(기관표[사번키],INDEX(합계표[사번키],$X358))+COUNTIF(월별근무지표[사번키],INDEX(합계표[사번키],$X358))&gt;0,IFERROR(INDEX(기관표[급여지급병원(기준월)],MATCH(INDEX(합계표[사번키],$X358)&amp;"|"&amp;대상월키,기관표[키],0))&amp;"","—"),"—")))</f>
        <v/>
      </c>
      <c r="M358">
        <f>IF($X358="","",IF(NOT(COUNTIF(기관표[사번키],INDEX(합계표[사번키],$X358))+COUNTIF(월별근무지표[사번키],INDEX(합계표[사번키],$X358))&gt;0),"기관명단에 없음(다른 병원으로 발송)",IF($L358="서울병원","해당",IF(N($R358)&gt;0,"해당(말일 근무)",IF($L358="—","대상월 기관명단 없음(추가 필요)","비해당")))))</f>
        <v/>
      </c>
      <c r="N358" s="20">
        <f>IF($X358="","",SUMIFS(상세표[06~07시],상세표[사번키],INDEX(합계표[사번키],$X358),상세표[반영월],대상월키,상세표[반영 기관],"서울병원"))</f>
        <v/>
      </c>
      <c r="O358" s="20">
        <f>IF($X358="","",SUMIFS(상세표[07~18시],상세표[사번키],INDEX(합계표[사번키],$X358),상세표[반영월],대상월키,상세표[반영 기관],"서울병원"))</f>
        <v/>
      </c>
      <c r="P358" s="20">
        <f>IF($X358="","",SUMIFS(상세표[18~22시],상세표[사번키],INDEX(합계표[사번키],$X358),상세표[반영월],대상월키,상세표[반영 기관],"서울병원"))</f>
        <v/>
      </c>
      <c r="Q358" s="20">
        <f>IF($X358="","",SUMIFS(상세표[22~06시],상세표[사번키],INDEX(합계표[사번키],$X358),상세표[반영월],대상월키,상세표[반영 기관],"서울병원"))</f>
        <v/>
      </c>
      <c r="R358" s="20">
        <f>IF($X358="","",SUM($N358:$Q358))</f>
        <v/>
      </c>
      <c r="S358">
        <f>IF($X358="","",COUNTIFS(상세표[사번키],INDEX(합계표[사번키],$X358),상세표[반영월],대상월키,상세표[야간당직],1,상세표[야간 구분],"평일"))</f>
        <v/>
      </c>
      <c r="T358">
        <f>IF($X358="","",COUNTIFS(상세표[사번키],INDEX(합계표[사번키],$X358),상세표[반영월],대상월키,상세표[야간당직],1,상세표[야간 구분],"휴일"))</f>
        <v/>
      </c>
      <c r="U358">
        <f>IF($X358="","",COUNTIFS(상세표[사번키],INDEX(합계표[사번키],$X358),상세표[반영월],대상월키,상세표[야간당직],1,상세표[야간 구분],"평일",상세표[반영 기관],"서울병원"))</f>
        <v/>
      </c>
      <c r="V358">
        <f>IF($X358="","",COUNTIFS(상세표[사번키],INDEX(합계표[사번키],$X358),상세표[반영월],대상월키,상세표[야간당직],1,상세표[야간 구분],"휴일",상세표[반영 기관],"서울병원"))</f>
        <v/>
      </c>
      <c r="W358">
        <f>IF($X358="","",IF(ISNUMBER(MATCH(INDEX(합계표[사번키],$X358)&amp;"|"&amp;대상월키,월별근무지표[키],0)),"직접 입력",IF($L358="—","—","기관명단")))</f>
        <v/>
      </c>
      <c r="X358" s="4">
        <f>IFERROR(MATCH(353,합계표[판정순번],0),"")</f>
        <v/>
      </c>
    </row>
    <row r="359">
      <c r="A359">
        <f>IF($X359="","",INDEX(합계표[사번],$X359)&amp;"")</f>
        <v/>
      </c>
      <c r="B359">
        <f>IF($X359="","",INDEX(합계표[성명],$X359)&amp;"")</f>
        <v/>
      </c>
      <c r="C359">
        <f>IF($X359="","",INDEX(합계표[부서],$X359)&amp;"")</f>
        <v/>
      </c>
      <c r="D359">
        <f>IF($X359="","",INDEX(합계표[직위(요약)],$X359)&amp;"")</f>
        <v/>
      </c>
      <c r="E359">
        <f>IF($X359="","",INDEX(합계표[직급 공존],$X359)&amp;"")</f>
        <v/>
      </c>
      <c r="F359" s="20">
        <f>IF($X359="","",SUMIFS(합계표[시스템 합계],합계표[사번키],INDEX(합계표[사번키],$X359)))</f>
        <v/>
      </c>
      <c r="G359" s="20">
        <f>IF($X359="","",SUMIFS(상세표[기록 시간외],상세표[사번키],INDEX(합계표[사번키],$X359),상세표[기록월],대상월키))</f>
        <v/>
      </c>
      <c r="H359">
        <f>IF($X359="","",IF(ABS($F359-$G359)&lt;0.01,"일치","불일치(차이 "&amp;TEXT($G359-$F359,"0.00")&amp;")"))</f>
        <v/>
      </c>
      <c r="I359" s="20">
        <f>IF($X359="","",SUMIFS(상세표[기록 시간외],상세표[사번키],INDEX(합계표[사번키],$X359),상세표[기록월],대상월키,상세표[반영월],"&lt;&gt;"&amp;대상월키))</f>
        <v/>
      </c>
      <c r="J359" s="20">
        <f>IF($X359="","",SUMIFS(상세표[기록 시간외],상세표[사번키],INDEX(합계표[사번키],$X359),상세표[기록월],"&lt;&gt;"&amp;대상월키,상세표[반영월],대상월키))</f>
        <v/>
      </c>
      <c r="K359" s="20">
        <f>IF($X359="","",SUMIFS(상세표[기록 시간외],상세표[사번키],INDEX(합계표[사번키],$X359),상세표[반영월],대상월키))</f>
        <v/>
      </c>
      <c r="L359">
        <f>IF($X359="","",IFERROR(INDEX(월별근무지표[적용 급여병원],MATCH(INDEX(합계표[사번키],$X359)&amp;"|"&amp;대상월키,월별근무지표[키],0))&amp;"",IF(COUNTIF(기관표[사번키],INDEX(합계표[사번키],$X359))+COUNTIF(월별근무지표[사번키],INDEX(합계표[사번키],$X359))&gt;0,IFERROR(INDEX(기관표[급여지급병원(기준월)],MATCH(INDEX(합계표[사번키],$X359)&amp;"|"&amp;대상월키,기관표[키],0))&amp;"","—"),"—")))</f>
        <v/>
      </c>
      <c r="M359">
        <f>IF($X359="","",IF(NOT(COUNTIF(기관표[사번키],INDEX(합계표[사번키],$X359))+COUNTIF(월별근무지표[사번키],INDEX(합계표[사번키],$X359))&gt;0),"기관명단에 없음(다른 병원으로 발송)",IF($L359="서울병원","해당",IF(N($R359)&gt;0,"해당(말일 근무)",IF($L359="—","대상월 기관명단 없음(추가 필요)","비해당")))))</f>
        <v/>
      </c>
      <c r="N359" s="20">
        <f>IF($X359="","",SUMIFS(상세표[06~07시],상세표[사번키],INDEX(합계표[사번키],$X359),상세표[반영월],대상월키,상세표[반영 기관],"서울병원"))</f>
        <v/>
      </c>
      <c r="O359" s="20">
        <f>IF($X359="","",SUMIFS(상세표[07~18시],상세표[사번키],INDEX(합계표[사번키],$X359),상세표[반영월],대상월키,상세표[반영 기관],"서울병원"))</f>
        <v/>
      </c>
      <c r="P359" s="20">
        <f>IF($X359="","",SUMIFS(상세표[18~22시],상세표[사번키],INDEX(합계표[사번키],$X359),상세표[반영월],대상월키,상세표[반영 기관],"서울병원"))</f>
        <v/>
      </c>
      <c r="Q359" s="20">
        <f>IF($X359="","",SUMIFS(상세표[22~06시],상세표[사번키],INDEX(합계표[사번키],$X359),상세표[반영월],대상월키,상세표[반영 기관],"서울병원"))</f>
        <v/>
      </c>
      <c r="R359" s="20">
        <f>IF($X359="","",SUM($N359:$Q359))</f>
        <v/>
      </c>
      <c r="S359">
        <f>IF($X359="","",COUNTIFS(상세표[사번키],INDEX(합계표[사번키],$X359),상세표[반영월],대상월키,상세표[야간당직],1,상세표[야간 구분],"평일"))</f>
        <v/>
      </c>
      <c r="T359">
        <f>IF($X359="","",COUNTIFS(상세표[사번키],INDEX(합계표[사번키],$X359),상세표[반영월],대상월키,상세표[야간당직],1,상세표[야간 구분],"휴일"))</f>
        <v/>
      </c>
      <c r="U359">
        <f>IF($X359="","",COUNTIFS(상세표[사번키],INDEX(합계표[사번키],$X359),상세표[반영월],대상월키,상세표[야간당직],1,상세표[야간 구분],"평일",상세표[반영 기관],"서울병원"))</f>
        <v/>
      </c>
      <c r="V359">
        <f>IF($X359="","",COUNTIFS(상세표[사번키],INDEX(합계표[사번키],$X359),상세표[반영월],대상월키,상세표[야간당직],1,상세표[야간 구분],"휴일",상세표[반영 기관],"서울병원"))</f>
        <v/>
      </c>
      <c r="W359">
        <f>IF($X359="","",IF(ISNUMBER(MATCH(INDEX(합계표[사번키],$X359)&amp;"|"&amp;대상월키,월별근무지표[키],0)),"직접 입력",IF($L359="—","—","기관명단")))</f>
        <v/>
      </c>
      <c r="X359" s="4">
        <f>IFERROR(MATCH(354,합계표[판정순번],0),"")</f>
        <v/>
      </c>
    </row>
    <row r="360">
      <c r="A360">
        <f>IF($X360="","",INDEX(합계표[사번],$X360)&amp;"")</f>
        <v/>
      </c>
      <c r="B360">
        <f>IF($X360="","",INDEX(합계표[성명],$X360)&amp;"")</f>
        <v/>
      </c>
      <c r="C360">
        <f>IF($X360="","",INDEX(합계표[부서],$X360)&amp;"")</f>
        <v/>
      </c>
      <c r="D360">
        <f>IF($X360="","",INDEX(합계표[직위(요약)],$X360)&amp;"")</f>
        <v/>
      </c>
      <c r="E360">
        <f>IF($X360="","",INDEX(합계표[직급 공존],$X360)&amp;"")</f>
        <v/>
      </c>
      <c r="F360" s="20">
        <f>IF($X360="","",SUMIFS(합계표[시스템 합계],합계표[사번키],INDEX(합계표[사번키],$X360)))</f>
        <v/>
      </c>
      <c r="G360" s="20">
        <f>IF($X360="","",SUMIFS(상세표[기록 시간외],상세표[사번키],INDEX(합계표[사번키],$X360),상세표[기록월],대상월키))</f>
        <v/>
      </c>
      <c r="H360">
        <f>IF($X360="","",IF(ABS($F360-$G360)&lt;0.01,"일치","불일치(차이 "&amp;TEXT($G360-$F360,"0.00")&amp;")"))</f>
        <v/>
      </c>
      <c r="I360" s="20">
        <f>IF($X360="","",SUMIFS(상세표[기록 시간외],상세표[사번키],INDEX(합계표[사번키],$X360),상세표[기록월],대상월키,상세표[반영월],"&lt;&gt;"&amp;대상월키))</f>
        <v/>
      </c>
      <c r="J360" s="20">
        <f>IF($X360="","",SUMIFS(상세표[기록 시간외],상세표[사번키],INDEX(합계표[사번키],$X360),상세표[기록월],"&lt;&gt;"&amp;대상월키,상세표[반영월],대상월키))</f>
        <v/>
      </c>
      <c r="K360" s="20">
        <f>IF($X360="","",SUMIFS(상세표[기록 시간외],상세표[사번키],INDEX(합계표[사번키],$X360),상세표[반영월],대상월키))</f>
        <v/>
      </c>
      <c r="L360">
        <f>IF($X360="","",IFERROR(INDEX(월별근무지표[적용 급여병원],MATCH(INDEX(합계표[사번키],$X360)&amp;"|"&amp;대상월키,월별근무지표[키],0))&amp;"",IF(COUNTIF(기관표[사번키],INDEX(합계표[사번키],$X360))+COUNTIF(월별근무지표[사번키],INDEX(합계표[사번키],$X360))&gt;0,IFERROR(INDEX(기관표[급여지급병원(기준월)],MATCH(INDEX(합계표[사번키],$X360)&amp;"|"&amp;대상월키,기관표[키],0))&amp;"","—"),"—")))</f>
        <v/>
      </c>
      <c r="M360">
        <f>IF($X360="","",IF(NOT(COUNTIF(기관표[사번키],INDEX(합계표[사번키],$X360))+COUNTIF(월별근무지표[사번키],INDEX(합계표[사번키],$X360))&gt;0),"기관명단에 없음(다른 병원으로 발송)",IF($L360="서울병원","해당",IF(N($R360)&gt;0,"해당(말일 근무)",IF($L360="—","대상월 기관명단 없음(추가 필요)","비해당")))))</f>
        <v/>
      </c>
      <c r="N360" s="20">
        <f>IF($X360="","",SUMIFS(상세표[06~07시],상세표[사번키],INDEX(합계표[사번키],$X360),상세표[반영월],대상월키,상세표[반영 기관],"서울병원"))</f>
        <v/>
      </c>
      <c r="O360" s="20">
        <f>IF($X360="","",SUMIFS(상세표[07~18시],상세표[사번키],INDEX(합계표[사번키],$X360),상세표[반영월],대상월키,상세표[반영 기관],"서울병원"))</f>
        <v/>
      </c>
      <c r="P360" s="20">
        <f>IF($X360="","",SUMIFS(상세표[18~22시],상세표[사번키],INDEX(합계표[사번키],$X360),상세표[반영월],대상월키,상세표[반영 기관],"서울병원"))</f>
        <v/>
      </c>
      <c r="Q360" s="20">
        <f>IF($X360="","",SUMIFS(상세표[22~06시],상세표[사번키],INDEX(합계표[사번키],$X360),상세표[반영월],대상월키,상세표[반영 기관],"서울병원"))</f>
        <v/>
      </c>
      <c r="R360" s="20">
        <f>IF($X360="","",SUM($N360:$Q360))</f>
        <v/>
      </c>
      <c r="S360">
        <f>IF($X360="","",COUNTIFS(상세표[사번키],INDEX(합계표[사번키],$X360),상세표[반영월],대상월키,상세표[야간당직],1,상세표[야간 구분],"평일"))</f>
        <v/>
      </c>
      <c r="T360">
        <f>IF($X360="","",COUNTIFS(상세표[사번키],INDEX(합계표[사번키],$X360),상세표[반영월],대상월키,상세표[야간당직],1,상세표[야간 구분],"휴일"))</f>
        <v/>
      </c>
      <c r="U360">
        <f>IF($X360="","",COUNTIFS(상세표[사번키],INDEX(합계표[사번키],$X360),상세표[반영월],대상월키,상세표[야간당직],1,상세표[야간 구분],"평일",상세표[반영 기관],"서울병원"))</f>
        <v/>
      </c>
      <c r="V360">
        <f>IF($X360="","",COUNTIFS(상세표[사번키],INDEX(합계표[사번키],$X360),상세표[반영월],대상월키,상세표[야간당직],1,상세표[야간 구분],"휴일",상세표[반영 기관],"서울병원"))</f>
        <v/>
      </c>
      <c r="W360">
        <f>IF($X360="","",IF(ISNUMBER(MATCH(INDEX(합계표[사번키],$X360)&amp;"|"&amp;대상월키,월별근무지표[키],0)),"직접 입력",IF($L360="—","—","기관명단")))</f>
        <v/>
      </c>
      <c r="X360" s="4">
        <f>IFERROR(MATCH(355,합계표[판정순번],0),"")</f>
        <v/>
      </c>
    </row>
    <row r="361">
      <c r="A361">
        <f>IF($X361="","",INDEX(합계표[사번],$X361)&amp;"")</f>
        <v/>
      </c>
      <c r="B361">
        <f>IF($X361="","",INDEX(합계표[성명],$X361)&amp;"")</f>
        <v/>
      </c>
      <c r="C361">
        <f>IF($X361="","",INDEX(합계표[부서],$X361)&amp;"")</f>
        <v/>
      </c>
      <c r="D361">
        <f>IF($X361="","",INDEX(합계표[직위(요약)],$X361)&amp;"")</f>
        <v/>
      </c>
      <c r="E361">
        <f>IF($X361="","",INDEX(합계표[직급 공존],$X361)&amp;"")</f>
        <v/>
      </c>
      <c r="F361" s="20">
        <f>IF($X361="","",SUMIFS(합계표[시스템 합계],합계표[사번키],INDEX(합계표[사번키],$X361)))</f>
        <v/>
      </c>
      <c r="G361" s="20">
        <f>IF($X361="","",SUMIFS(상세표[기록 시간외],상세표[사번키],INDEX(합계표[사번키],$X361),상세표[기록월],대상월키))</f>
        <v/>
      </c>
      <c r="H361">
        <f>IF($X361="","",IF(ABS($F361-$G361)&lt;0.01,"일치","불일치(차이 "&amp;TEXT($G361-$F361,"0.00")&amp;")"))</f>
        <v/>
      </c>
      <c r="I361" s="20">
        <f>IF($X361="","",SUMIFS(상세표[기록 시간외],상세표[사번키],INDEX(합계표[사번키],$X361),상세표[기록월],대상월키,상세표[반영월],"&lt;&gt;"&amp;대상월키))</f>
        <v/>
      </c>
      <c r="J361" s="20">
        <f>IF($X361="","",SUMIFS(상세표[기록 시간외],상세표[사번키],INDEX(합계표[사번키],$X361),상세표[기록월],"&lt;&gt;"&amp;대상월키,상세표[반영월],대상월키))</f>
        <v/>
      </c>
      <c r="K361" s="20">
        <f>IF($X361="","",SUMIFS(상세표[기록 시간외],상세표[사번키],INDEX(합계표[사번키],$X361),상세표[반영월],대상월키))</f>
        <v/>
      </c>
      <c r="L361">
        <f>IF($X361="","",IFERROR(INDEX(월별근무지표[적용 급여병원],MATCH(INDEX(합계표[사번키],$X361)&amp;"|"&amp;대상월키,월별근무지표[키],0))&amp;"",IF(COUNTIF(기관표[사번키],INDEX(합계표[사번키],$X361))+COUNTIF(월별근무지표[사번키],INDEX(합계표[사번키],$X361))&gt;0,IFERROR(INDEX(기관표[급여지급병원(기준월)],MATCH(INDEX(합계표[사번키],$X361)&amp;"|"&amp;대상월키,기관표[키],0))&amp;"","—"),"—")))</f>
        <v/>
      </c>
      <c r="M361">
        <f>IF($X361="","",IF(NOT(COUNTIF(기관표[사번키],INDEX(합계표[사번키],$X361))+COUNTIF(월별근무지표[사번키],INDEX(합계표[사번키],$X361))&gt;0),"기관명단에 없음(다른 병원으로 발송)",IF($L361="서울병원","해당",IF(N($R361)&gt;0,"해당(말일 근무)",IF($L361="—","대상월 기관명단 없음(추가 필요)","비해당")))))</f>
        <v/>
      </c>
      <c r="N361" s="20">
        <f>IF($X361="","",SUMIFS(상세표[06~07시],상세표[사번키],INDEX(합계표[사번키],$X361),상세표[반영월],대상월키,상세표[반영 기관],"서울병원"))</f>
        <v/>
      </c>
      <c r="O361" s="20">
        <f>IF($X361="","",SUMIFS(상세표[07~18시],상세표[사번키],INDEX(합계표[사번키],$X361),상세표[반영월],대상월키,상세표[반영 기관],"서울병원"))</f>
        <v/>
      </c>
      <c r="P361" s="20">
        <f>IF($X361="","",SUMIFS(상세표[18~22시],상세표[사번키],INDEX(합계표[사번키],$X361),상세표[반영월],대상월키,상세표[반영 기관],"서울병원"))</f>
        <v/>
      </c>
      <c r="Q361" s="20">
        <f>IF($X361="","",SUMIFS(상세표[22~06시],상세표[사번키],INDEX(합계표[사번키],$X361),상세표[반영월],대상월키,상세표[반영 기관],"서울병원"))</f>
        <v/>
      </c>
      <c r="R361" s="20">
        <f>IF($X361="","",SUM($N361:$Q361))</f>
        <v/>
      </c>
      <c r="S361">
        <f>IF($X361="","",COUNTIFS(상세표[사번키],INDEX(합계표[사번키],$X361),상세표[반영월],대상월키,상세표[야간당직],1,상세표[야간 구분],"평일"))</f>
        <v/>
      </c>
      <c r="T361">
        <f>IF($X361="","",COUNTIFS(상세표[사번키],INDEX(합계표[사번키],$X361),상세표[반영월],대상월키,상세표[야간당직],1,상세표[야간 구분],"휴일"))</f>
        <v/>
      </c>
      <c r="U361">
        <f>IF($X361="","",COUNTIFS(상세표[사번키],INDEX(합계표[사번키],$X361),상세표[반영월],대상월키,상세표[야간당직],1,상세표[야간 구분],"평일",상세표[반영 기관],"서울병원"))</f>
        <v/>
      </c>
      <c r="V361">
        <f>IF($X361="","",COUNTIFS(상세표[사번키],INDEX(합계표[사번키],$X361),상세표[반영월],대상월키,상세표[야간당직],1,상세표[야간 구분],"휴일",상세표[반영 기관],"서울병원"))</f>
        <v/>
      </c>
      <c r="W361">
        <f>IF($X361="","",IF(ISNUMBER(MATCH(INDEX(합계표[사번키],$X361)&amp;"|"&amp;대상월키,월별근무지표[키],0)),"직접 입력",IF($L361="—","—","기관명단")))</f>
        <v/>
      </c>
      <c r="X361" s="4">
        <f>IFERROR(MATCH(356,합계표[판정순번],0),"")</f>
        <v/>
      </c>
    </row>
    <row r="362">
      <c r="A362">
        <f>IF($X362="","",INDEX(합계표[사번],$X362)&amp;"")</f>
        <v/>
      </c>
      <c r="B362">
        <f>IF($X362="","",INDEX(합계표[성명],$X362)&amp;"")</f>
        <v/>
      </c>
      <c r="C362">
        <f>IF($X362="","",INDEX(합계표[부서],$X362)&amp;"")</f>
        <v/>
      </c>
      <c r="D362">
        <f>IF($X362="","",INDEX(합계표[직위(요약)],$X362)&amp;"")</f>
        <v/>
      </c>
      <c r="E362">
        <f>IF($X362="","",INDEX(합계표[직급 공존],$X362)&amp;"")</f>
        <v/>
      </c>
      <c r="F362" s="20">
        <f>IF($X362="","",SUMIFS(합계표[시스템 합계],합계표[사번키],INDEX(합계표[사번키],$X362)))</f>
        <v/>
      </c>
      <c r="G362" s="20">
        <f>IF($X362="","",SUMIFS(상세표[기록 시간외],상세표[사번키],INDEX(합계표[사번키],$X362),상세표[기록월],대상월키))</f>
        <v/>
      </c>
      <c r="H362">
        <f>IF($X362="","",IF(ABS($F362-$G362)&lt;0.01,"일치","불일치(차이 "&amp;TEXT($G362-$F362,"0.00")&amp;")"))</f>
        <v/>
      </c>
      <c r="I362" s="20">
        <f>IF($X362="","",SUMIFS(상세표[기록 시간외],상세표[사번키],INDEX(합계표[사번키],$X362),상세표[기록월],대상월키,상세표[반영월],"&lt;&gt;"&amp;대상월키))</f>
        <v/>
      </c>
      <c r="J362" s="20">
        <f>IF($X362="","",SUMIFS(상세표[기록 시간외],상세표[사번키],INDEX(합계표[사번키],$X362),상세표[기록월],"&lt;&gt;"&amp;대상월키,상세표[반영월],대상월키))</f>
        <v/>
      </c>
      <c r="K362" s="20">
        <f>IF($X362="","",SUMIFS(상세표[기록 시간외],상세표[사번키],INDEX(합계표[사번키],$X362),상세표[반영월],대상월키))</f>
        <v/>
      </c>
      <c r="L362">
        <f>IF($X362="","",IFERROR(INDEX(월별근무지표[적용 급여병원],MATCH(INDEX(합계표[사번키],$X362)&amp;"|"&amp;대상월키,월별근무지표[키],0))&amp;"",IF(COUNTIF(기관표[사번키],INDEX(합계표[사번키],$X362))+COUNTIF(월별근무지표[사번키],INDEX(합계표[사번키],$X362))&gt;0,IFERROR(INDEX(기관표[급여지급병원(기준월)],MATCH(INDEX(합계표[사번키],$X362)&amp;"|"&amp;대상월키,기관표[키],0))&amp;"","—"),"—")))</f>
        <v/>
      </c>
      <c r="M362">
        <f>IF($X362="","",IF(NOT(COUNTIF(기관표[사번키],INDEX(합계표[사번키],$X362))+COUNTIF(월별근무지표[사번키],INDEX(합계표[사번키],$X362))&gt;0),"기관명단에 없음(다른 병원으로 발송)",IF($L362="서울병원","해당",IF(N($R362)&gt;0,"해당(말일 근무)",IF($L362="—","대상월 기관명단 없음(추가 필요)","비해당")))))</f>
        <v/>
      </c>
      <c r="N362" s="20">
        <f>IF($X362="","",SUMIFS(상세표[06~07시],상세표[사번키],INDEX(합계표[사번키],$X362),상세표[반영월],대상월키,상세표[반영 기관],"서울병원"))</f>
        <v/>
      </c>
      <c r="O362" s="20">
        <f>IF($X362="","",SUMIFS(상세표[07~18시],상세표[사번키],INDEX(합계표[사번키],$X362),상세표[반영월],대상월키,상세표[반영 기관],"서울병원"))</f>
        <v/>
      </c>
      <c r="P362" s="20">
        <f>IF($X362="","",SUMIFS(상세표[18~22시],상세표[사번키],INDEX(합계표[사번키],$X362),상세표[반영월],대상월키,상세표[반영 기관],"서울병원"))</f>
        <v/>
      </c>
      <c r="Q362" s="20">
        <f>IF($X362="","",SUMIFS(상세표[22~06시],상세표[사번키],INDEX(합계표[사번키],$X362),상세표[반영월],대상월키,상세표[반영 기관],"서울병원"))</f>
        <v/>
      </c>
      <c r="R362" s="20">
        <f>IF($X362="","",SUM($N362:$Q362))</f>
        <v/>
      </c>
      <c r="S362">
        <f>IF($X362="","",COUNTIFS(상세표[사번키],INDEX(합계표[사번키],$X362),상세표[반영월],대상월키,상세표[야간당직],1,상세표[야간 구분],"평일"))</f>
        <v/>
      </c>
      <c r="T362">
        <f>IF($X362="","",COUNTIFS(상세표[사번키],INDEX(합계표[사번키],$X362),상세표[반영월],대상월키,상세표[야간당직],1,상세표[야간 구분],"휴일"))</f>
        <v/>
      </c>
      <c r="U362">
        <f>IF($X362="","",COUNTIFS(상세표[사번키],INDEX(합계표[사번키],$X362),상세표[반영월],대상월키,상세표[야간당직],1,상세표[야간 구분],"평일",상세표[반영 기관],"서울병원"))</f>
        <v/>
      </c>
      <c r="V362">
        <f>IF($X362="","",COUNTIFS(상세표[사번키],INDEX(합계표[사번키],$X362),상세표[반영월],대상월키,상세표[야간당직],1,상세표[야간 구분],"휴일",상세표[반영 기관],"서울병원"))</f>
        <v/>
      </c>
      <c r="W362">
        <f>IF($X362="","",IF(ISNUMBER(MATCH(INDEX(합계표[사번키],$X362)&amp;"|"&amp;대상월키,월별근무지표[키],0)),"직접 입력",IF($L362="—","—","기관명단")))</f>
        <v/>
      </c>
      <c r="X362" s="4">
        <f>IFERROR(MATCH(357,합계표[판정순번],0),"")</f>
        <v/>
      </c>
    </row>
    <row r="363">
      <c r="A363">
        <f>IF($X363="","",INDEX(합계표[사번],$X363)&amp;"")</f>
        <v/>
      </c>
      <c r="B363">
        <f>IF($X363="","",INDEX(합계표[성명],$X363)&amp;"")</f>
        <v/>
      </c>
      <c r="C363">
        <f>IF($X363="","",INDEX(합계표[부서],$X363)&amp;"")</f>
        <v/>
      </c>
      <c r="D363">
        <f>IF($X363="","",INDEX(합계표[직위(요약)],$X363)&amp;"")</f>
        <v/>
      </c>
      <c r="E363">
        <f>IF($X363="","",INDEX(합계표[직급 공존],$X363)&amp;"")</f>
        <v/>
      </c>
      <c r="F363" s="20">
        <f>IF($X363="","",SUMIFS(합계표[시스템 합계],합계표[사번키],INDEX(합계표[사번키],$X363)))</f>
        <v/>
      </c>
      <c r="G363" s="20">
        <f>IF($X363="","",SUMIFS(상세표[기록 시간외],상세표[사번키],INDEX(합계표[사번키],$X363),상세표[기록월],대상월키))</f>
        <v/>
      </c>
      <c r="H363">
        <f>IF($X363="","",IF(ABS($F363-$G363)&lt;0.01,"일치","불일치(차이 "&amp;TEXT($G363-$F363,"0.00")&amp;")"))</f>
        <v/>
      </c>
      <c r="I363" s="20">
        <f>IF($X363="","",SUMIFS(상세표[기록 시간외],상세표[사번키],INDEX(합계표[사번키],$X363),상세표[기록월],대상월키,상세표[반영월],"&lt;&gt;"&amp;대상월키))</f>
        <v/>
      </c>
      <c r="J363" s="20">
        <f>IF($X363="","",SUMIFS(상세표[기록 시간외],상세표[사번키],INDEX(합계표[사번키],$X363),상세표[기록월],"&lt;&gt;"&amp;대상월키,상세표[반영월],대상월키))</f>
        <v/>
      </c>
      <c r="K363" s="20">
        <f>IF($X363="","",SUMIFS(상세표[기록 시간외],상세표[사번키],INDEX(합계표[사번키],$X363),상세표[반영월],대상월키))</f>
        <v/>
      </c>
      <c r="L363">
        <f>IF($X363="","",IFERROR(INDEX(월별근무지표[적용 급여병원],MATCH(INDEX(합계표[사번키],$X363)&amp;"|"&amp;대상월키,월별근무지표[키],0))&amp;"",IF(COUNTIF(기관표[사번키],INDEX(합계표[사번키],$X363))+COUNTIF(월별근무지표[사번키],INDEX(합계표[사번키],$X363))&gt;0,IFERROR(INDEX(기관표[급여지급병원(기준월)],MATCH(INDEX(합계표[사번키],$X363)&amp;"|"&amp;대상월키,기관표[키],0))&amp;"","—"),"—")))</f>
        <v/>
      </c>
      <c r="M363">
        <f>IF($X363="","",IF(NOT(COUNTIF(기관표[사번키],INDEX(합계표[사번키],$X363))+COUNTIF(월별근무지표[사번키],INDEX(합계표[사번키],$X363))&gt;0),"기관명단에 없음(다른 병원으로 발송)",IF($L363="서울병원","해당",IF(N($R363)&gt;0,"해당(말일 근무)",IF($L363="—","대상월 기관명단 없음(추가 필요)","비해당")))))</f>
        <v/>
      </c>
      <c r="N363" s="20">
        <f>IF($X363="","",SUMIFS(상세표[06~07시],상세표[사번키],INDEX(합계표[사번키],$X363),상세표[반영월],대상월키,상세표[반영 기관],"서울병원"))</f>
        <v/>
      </c>
      <c r="O363" s="20">
        <f>IF($X363="","",SUMIFS(상세표[07~18시],상세표[사번키],INDEX(합계표[사번키],$X363),상세표[반영월],대상월키,상세표[반영 기관],"서울병원"))</f>
        <v/>
      </c>
      <c r="P363" s="20">
        <f>IF($X363="","",SUMIFS(상세표[18~22시],상세표[사번키],INDEX(합계표[사번키],$X363),상세표[반영월],대상월키,상세표[반영 기관],"서울병원"))</f>
        <v/>
      </c>
      <c r="Q363" s="20">
        <f>IF($X363="","",SUMIFS(상세표[22~06시],상세표[사번키],INDEX(합계표[사번키],$X363),상세표[반영월],대상월키,상세표[반영 기관],"서울병원"))</f>
        <v/>
      </c>
      <c r="R363" s="20">
        <f>IF($X363="","",SUM($N363:$Q363))</f>
        <v/>
      </c>
      <c r="S363">
        <f>IF($X363="","",COUNTIFS(상세표[사번키],INDEX(합계표[사번키],$X363),상세표[반영월],대상월키,상세표[야간당직],1,상세표[야간 구분],"평일"))</f>
        <v/>
      </c>
      <c r="T363">
        <f>IF($X363="","",COUNTIFS(상세표[사번키],INDEX(합계표[사번키],$X363),상세표[반영월],대상월키,상세표[야간당직],1,상세표[야간 구분],"휴일"))</f>
        <v/>
      </c>
      <c r="U363">
        <f>IF($X363="","",COUNTIFS(상세표[사번키],INDEX(합계표[사번키],$X363),상세표[반영월],대상월키,상세표[야간당직],1,상세표[야간 구분],"평일",상세표[반영 기관],"서울병원"))</f>
        <v/>
      </c>
      <c r="V363">
        <f>IF($X363="","",COUNTIFS(상세표[사번키],INDEX(합계표[사번키],$X363),상세표[반영월],대상월키,상세표[야간당직],1,상세표[야간 구분],"휴일",상세표[반영 기관],"서울병원"))</f>
        <v/>
      </c>
      <c r="W363">
        <f>IF($X363="","",IF(ISNUMBER(MATCH(INDEX(합계표[사번키],$X363)&amp;"|"&amp;대상월키,월별근무지표[키],0)),"직접 입력",IF($L363="—","—","기관명단")))</f>
        <v/>
      </c>
      <c r="X363" s="4">
        <f>IFERROR(MATCH(358,합계표[판정순번],0),"")</f>
        <v/>
      </c>
    </row>
    <row r="364">
      <c r="A364">
        <f>IF($X364="","",INDEX(합계표[사번],$X364)&amp;"")</f>
        <v/>
      </c>
      <c r="B364">
        <f>IF($X364="","",INDEX(합계표[성명],$X364)&amp;"")</f>
        <v/>
      </c>
      <c r="C364">
        <f>IF($X364="","",INDEX(합계표[부서],$X364)&amp;"")</f>
        <v/>
      </c>
      <c r="D364">
        <f>IF($X364="","",INDEX(합계표[직위(요약)],$X364)&amp;"")</f>
        <v/>
      </c>
      <c r="E364">
        <f>IF($X364="","",INDEX(합계표[직급 공존],$X364)&amp;"")</f>
        <v/>
      </c>
      <c r="F364" s="20">
        <f>IF($X364="","",SUMIFS(합계표[시스템 합계],합계표[사번키],INDEX(합계표[사번키],$X364)))</f>
        <v/>
      </c>
      <c r="G364" s="20">
        <f>IF($X364="","",SUMIFS(상세표[기록 시간외],상세표[사번키],INDEX(합계표[사번키],$X364),상세표[기록월],대상월키))</f>
        <v/>
      </c>
      <c r="H364">
        <f>IF($X364="","",IF(ABS($F364-$G364)&lt;0.01,"일치","불일치(차이 "&amp;TEXT($G364-$F364,"0.00")&amp;")"))</f>
        <v/>
      </c>
      <c r="I364" s="20">
        <f>IF($X364="","",SUMIFS(상세표[기록 시간외],상세표[사번키],INDEX(합계표[사번키],$X364),상세표[기록월],대상월키,상세표[반영월],"&lt;&gt;"&amp;대상월키))</f>
        <v/>
      </c>
      <c r="J364" s="20">
        <f>IF($X364="","",SUMIFS(상세표[기록 시간외],상세표[사번키],INDEX(합계표[사번키],$X364),상세표[기록월],"&lt;&gt;"&amp;대상월키,상세표[반영월],대상월키))</f>
        <v/>
      </c>
      <c r="K364" s="20">
        <f>IF($X364="","",SUMIFS(상세표[기록 시간외],상세표[사번키],INDEX(합계표[사번키],$X364),상세표[반영월],대상월키))</f>
        <v/>
      </c>
      <c r="L364">
        <f>IF($X364="","",IFERROR(INDEX(월별근무지표[적용 급여병원],MATCH(INDEX(합계표[사번키],$X364)&amp;"|"&amp;대상월키,월별근무지표[키],0))&amp;"",IF(COUNTIF(기관표[사번키],INDEX(합계표[사번키],$X364))+COUNTIF(월별근무지표[사번키],INDEX(합계표[사번키],$X364))&gt;0,IFERROR(INDEX(기관표[급여지급병원(기준월)],MATCH(INDEX(합계표[사번키],$X364)&amp;"|"&amp;대상월키,기관표[키],0))&amp;"","—"),"—")))</f>
        <v/>
      </c>
      <c r="M364">
        <f>IF($X364="","",IF(NOT(COUNTIF(기관표[사번키],INDEX(합계표[사번키],$X364))+COUNTIF(월별근무지표[사번키],INDEX(합계표[사번키],$X364))&gt;0),"기관명단에 없음(다른 병원으로 발송)",IF($L364="서울병원","해당",IF(N($R364)&gt;0,"해당(말일 근무)",IF($L364="—","대상월 기관명단 없음(추가 필요)","비해당")))))</f>
        <v/>
      </c>
      <c r="N364" s="20">
        <f>IF($X364="","",SUMIFS(상세표[06~07시],상세표[사번키],INDEX(합계표[사번키],$X364),상세표[반영월],대상월키,상세표[반영 기관],"서울병원"))</f>
        <v/>
      </c>
      <c r="O364" s="20">
        <f>IF($X364="","",SUMIFS(상세표[07~18시],상세표[사번키],INDEX(합계표[사번키],$X364),상세표[반영월],대상월키,상세표[반영 기관],"서울병원"))</f>
        <v/>
      </c>
      <c r="P364" s="20">
        <f>IF($X364="","",SUMIFS(상세표[18~22시],상세표[사번키],INDEX(합계표[사번키],$X364),상세표[반영월],대상월키,상세표[반영 기관],"서울병원"))</f>
        <v/>
      </c>
      <c r="Q364" s="20">
        <f>IF($X364="","",SUMIFS(상세표[22~06시],상세표[사번키],INDEX(합계표[사번키],$X364),상세표[반영월],대상월키,상세표[반영 기관],"서울병원"))</f>
        <v/>
      </c>
      <c r="R364" s="20">
        <f>IF($X364="","",SUM($N364:$Q364))</f>
        <v/>
      </c>
      <c r="S364">
        <f>IF($X364="","",COUNTIFS(상세표[사번키],INDEX(합계표[사번키],$X364),상세표[반영월],대상월키,상세표[야간당직],1,상세표[야간 구분],"평일"))</f>
        <v/>
      </c>
      <c r="T364">
        <f>IF($X364="","",COUNTIFS(상세표[사번키],INDEX(합계표[사번키],$X364),상세표[반영월],대상월키,상세표[야간당직],1,상세표[야간 구분],"휴일"))</f>
        <v/>
      </c>
      <c r="U364">
        <f>IF($X364="","",COUNTIFS(상세표[사번키],INDEX(합계표[사번키],$X364),상세표[반영월],대상월키,상세표[야간당직],1,상세표[야간 구분],"평일",상세표[반영 기관],"서울병원"))</f>
        <v/>
      </c>
      <c r="V364">
        <f>IF($X364="","",COUNTIFS(상세표[사번키],INDEX(합계표[사번키],$X364),상세표[반영월],대상월키,상세표[야간당직],1,상세표[야간 구분],"휴일",상세표[반영 기관],"서울병원"))</f>
        <v/>
      </c>
      <c r="W364">
        <f>IF($X364="","",IF(ISNUMBER(MATCH(INDEX(합계표[사번키],$X364)&amp;"|"&amp;대상월키,월별근무지표[키],0)),"직접 입력",IF($L364="—","—","기관명단")))</f>
        <v/>
      </c>
      <c r="X364" s="4">
        <f>IFERROR(MATCH(359,합계표[판정순번],0),"")</f>
        <v/>
      </c>
    </row>
    <row r="365">
      <c r="A365">
        <f>IF($X365="","",INDEX(합계표[사번],$X365)&amp;"")</f>
        <v/>
      </c>
      <c r="B365">
        <f>IF($X365="","",INDEX(합계표[성명],$X365)&amp;"")</f>
        <v/>
      </c>
      <c r="C365">
        <f>IF($X365="","",INDEX(합계표[부서],$X365)&amp;"")</f>
        <v/>
      </c>
      <c r="D365">
        <f>IF($X365="","",INDEX(합계표[직위(요약)],$X365)&amp;"")</f>
        <v/>
      </c>
      <c r="E365">
        <f>IF($X365="","",INDEX(합계표[직급 공존],$X365)&amp;"")</f>
        <v/>
      </c>
      <c r="F365" s="20">
        <f>IF($X365="","",SUMIFS(합계표[시스템 합계],합계표[사번키],INDEX(합계표[사번키],$X365)))</f>
        <v/>
      </c>
      <c r="G365" s="20">
        <f>IF($X365="","",SUMIFS(상세표[기록 시간외],상세표[사번키],INDEX(합계표[사번키],$X365),상세표[기록월],대상월키))</f>
        <v/>
      </c>
      <c r="H365">
        <f>IF($X365="","",IF(ABS($F365-$G365)&lt;0.01,"일치","불일치(차이 "&amp;TEXT($G365-$F365,"0.00")&amp;")"))</f>
        <v/>
      </c>
      <c r="I365" s="20">
        <f>IF($X365="","",SUMIFS(상세표[기록 시간외],상세표[사번키],INDEX(합계표[사번키],$X365),상세표[기록월],대상월키,상세표[반영월],"&lt;&gt;"&amp;대상월키))</f>
        <v/>
      </c>
      <c r="J365" s="20">
        <f>IF($X365="","",SUMIFS(상세표[기록 시간외],상세표[사번키],INDEX(합계표[사번키],$X365),상세표[기록월],"&lt;&gt;"&amp;대상월키,상세표[반영월],대상월키))</f>
        <v/>
      </c>
      <c r="K365" s="20">
        <f>IF($X365="","",SUMIFS(상세표[기록 시간외],상세표[사번키],INDEX(합계표[사번키],$X365),상세표[반영월],대상월키))</f>
        <v/>
      </c>
      <c r="L365">
        <f>IF($X365="","",IFERROR(INDEX(월별근무지표[적용 급여병원],MATCH(INDEX(합계표[사번키],$X365)&amp;"|"&amp;대상월키,월별근무지표[키],0))&amp;"",IF(COUNTIF(기관표[사번키],INDEX(합계표[사번키],$X365))+COUNTIF(월별근무지표[사번키],INDEX(합계표[사번키],$X365))&gt;0,IFERROR(INDEX(기관표[급여지급병원(기준월)],MATCH(INDEX(합계표[사번키],$X365)&amp;"|"&amp;대상월키,기관표[키],0))&amp;"","—"),"—")))</f>
        <v/>
      </c>
      <c r="M365">
        <f>IF($X365="","",IF(NOT(COUNTIF(기관표[사번키],INDEX(합계표[사번키],$X365))+COUNTIF(월별근무지표[사번키],INDEX(합계표[사번키],$X365))&gt;0),"기관명단에 없음(다른 병원으로 발송)",IF($L365="서울병원","해당",IF(N($R365)&gt;0,"해당(말일 근무)",IF($L365="—","대상월 기관명단 없음(추가 필요)","비해당")))))</f>
        <v/>
      </c>
      <c r="N365" s="20">
        <f>IF($X365="","",SUMIFS(상세표[06~07시],상세표[사번키],INDEX(합계표[사번키],$X365),상세표[반영월],대상월키,상세표[반영 기관],"서울병원"))</f>
        <v/>
      </c>
      <c r="O365" s="20">
        <f>IF($X365="","",SUMIFS(상세표[07~18시],상세표[사번키],INDEX(합계표[사번키],$X365),상세표[반영월],대상월키,상세표[반영 기관],"서울병원"))</f>
        <v/>
      </c>
      <c r="P365" s="20">
        <f>IF($X365="","",SUMIFS(상세표[18~22시],상세표[사번키],INDEX(합계표[사번키],$X365),상세표[반영월],대상월키,상세표[반영 기관],"서울병원"))</f>
        <v/>
      </c>
      <c r="Q365" s="20">
        <f>IF($X365="","",SUMIFS(상세표[22~06시],상세표[사번키],INDEX(합계표[사번키],$X365),상세표[반영월],대상월키,상세표[반영 기관],"서울병원"))</f>
        <v/>
      </c>
      <c r="R365" s="20">
        <f>IF($X365="","",SUM($N365:$Q365))</f>
        <v/>
      </c>
      <c r="S365">
        <f>IF($X365="","",COUNTIFS(상세표[사번키],INDEX(합계표[사번키],$X365),상세표[반영월],대상월키,상세표[야간당직],1,상세표[야간 구분],"평일"))</f>
        <v/>
      </c>
      <c r="T365">
        <f>IF($X365="","",COUNTIFS(상세표[사번키],INDEX(합계표[사번키],$X365),상세표[반영월],대상월키,상세표[야간당직],1,상세표[야간 구분],"휴일"))</f>
        <v/>
      </c>
      <c r="U365">
        <f>IF($X365="","",COUNTIFS(상세표[사번키],INDEX(합계표[사번키],$X365),상세표[반영월],대상월키,상세표[야간당직],1,상세표[야간 구분],"평일",상세표[반영 기관],"서울병원"))</f>
        <v/>
      </c>
      <c r="V365">
        <f>IF($X365="","",COUNTIFS(상세표[사번키],INDEX(합계표[사번키],$X365),상세표[반영월],대상월키,상세표[야간당직],1,상세표[야간 구분],"휴일",상세표[반영 기관],"서울병원"))</f>
        <v/>
      </c>
      <c r="W365">
        <f>IF($X365="","",IF(ISNUMBER(MATCH(INDEX(합계표[사번키],$X365)&amp;"|"&amp;대상월키,월별근무지표[키],0)),"직접 입력",IF($L365="—","—","기관명단")))</f>
        <v/>
      </c>
      <c r="X365" s="4">
        <f>IFERROR(MATCH(360,합계표[판정순번],0),"")</f>
        <v/>
      </c>
    </row>
    <row r="366">
      <c r="A366">
        <f>IF($X366="","",INDEX(합계표[사번],$X366)&amp;"")</f>
        <v/>
      </c>
      <c r="B366">
        <f>IF($X366="","",INDEX(합계표[성명],$X366)&amp;"")</f>
        <v/>
      </c>
      <c r="C366">
        <f>IF($X366="","",INDEX(합계표[부서],$X366)&amp;"")</f>
        <v/>
      </c>
      <c r="D366">
        <f>IF($X366="","",INDEX(합계표[직위(요약)],$X366)&amp;"")</f>
        <v/>
      </c>
      <c r="E366">
        <f>IF($X366="","",INDEX(합계표[직급 공존],$X366)&amp;"")</f>
        <v/>
      </c>
      <c r="F366" s="20">
        <f>IF($X366="","",SUMIFS(합계표[시스템 합계],합계표[사번키],INDEX(합계표[사번키],$X366)))</f>
        <v/>
      </c>
      <c r="G366" s="20">
        <f>IF($X366="","",SUMIFS(상세표[기록 시간외],상세표[사번키],INDEX(합계표[사번키],$X366),상세표[기록월],대상월키))</f>
        <v/>
      </c>
      <c r="H366">
        <f>IF($X366="","",IF(ABS($F366-$G366)&lt;0.01,"일치","불일치(차이 "&amp;TEXT($G366-$F366,"0.00")&amp;")"))</f>
        <v/>
      </c>
      <c r="I366" s="20">
        <f>IF($X366="","",SUMIFS(상세표[기록 시간외],상세표[사번키],INDEX(합계표[사번키],$X366),상세표[기록월],대상월키,상세표[반영월],"&lt;&gt;"&amp;대상월키))</f>
        <v/>
      </c>
      <c r="J366" s="20">
        <f>IF($X366="","",SUMIFS(상세표[기록 시간외],상세표[사번키],INDEX(합계표[사번키],$X366),상세표[기록월],"&lt;&gt;"&amp;대상월키,상세표[반영월],대상월키))</f>
        <v/>
      </c>
      <c r="K366" s="20">
        <f>IF($X366="","",SUMIFS(상세표[기록 시간외],상세표[사번키],INDEX(합계표[사번키],$X366),상세표[반영월],대상월키))</f>
        <v/>
      </c>
      <c r="L366">
        <f>IF($X366="","",IFERROR(INDEX(월별근무지표[적용 급여병원],MATCH(INDEX(합계표[사번키],$X366)&amp;"|"&amp;대상월키,월별근무지표[키],0))&amp;"",IF(COUNTIF(기관표[사번키],INDEX(합계표[사번키],$X366))+COUNTIF(월별근무지표[사번키],INDEX(합계표[사번키],$X366))&gt;0,IFERROR(INDEX(기관표[급여지급병원(기준월)],MATCH(INDEX(합계표[사번키],$X366)&amp;"|"&amp;대상월키,기관표[키],0))&amp;"","—"),"—")))</f>
        <v/>
      </c>
      <c r="M366">
        <f>IF($X366="","",IF(NOT(COUNTIF(기관표[사번키],INDEX(합계표[사번키],$X366))+COUNTIF(월별근무지표[사번키],INDEX(합계표[사번키],$X366))&gt;0),"기관명단에 없음(다른 병원으로 발송)",IF($L366="서울병원","해당",IF(N($R366)&gt;0,"해당(말일 근무)",IF($L366="—","대상월 기관명단 없음(추가 필요)","비해당")))))</f>
        <v/>
      </c>
      <c r="N366" s="20">
        <f>IF($X366="","",SUMIFS(상세표[06~07시],상세표[사번키],INDEX(합계표[사번키],$X366),상세표[반영월],대상월키,상세표[반영 기관],"서울병원"))</f>
        <v/>
      </c>
      <c r="O366" s="20">
        <f>IF($X366="","",SUMIFS(상세표[07~18시],상세표[사번키],INDEX(합계표[사번키],$X366),상세표[반영월],대상월키,상세표[반영 기관],"서울병원"))</f>
        <v/>
      </c>
      <c r="P366" s="20">
        <f>IF($X366="","",SUMIFS(상세표[18~22시],상세표[사번키],INDEX(합계표[사번키],$X366),상세표[반영월],대상월키,상세표[반영 기관],"서울병원"))</f>
        <v/>
      </c>
      <c r="Q366" s="20">
        <f>IF($X366="","",SUMIFS(상세표[22~06시],상세표[사번키],INDEX(합계표[사번키],$X366),상세표[반영월],대상월키,상세표[반영 기관],"서울병원"))</f>
        <v/>
      </c>
      <c r="R366" s="20">
        <f>IF($X366="","",SUM($N366:$Q366))</f>
        <v/>
      </c>
      <c r="S366">
        <f>IF($X366="","",COUNTIFS(상세표[사번키],INDEX(합계표[사번키],$X366),상세표[반영월],대상월키,상세표[야간당직],1,상세표[야간 구분],"평일"))</f>
        <v/>
      </c>
      <c r="T366">
        <f>IF($X366="","",COUNTIFS(상세표[사번키],INDEX(합계표[사번키],$X366),상세표[반영월],대상월키,상세표[야간당직],1,상세표[야간 구분],"휴일"))</f>
        <v/>
      </c>
      <c r="U366">
        <f>IF($X366="","",COUNTIFS(상세표[사번키],INDEX(합계표[사번키],$X366),상세표[반영월],대상월키,상세표[야간당직],1,상세표[야간 구분],"평일",상세표[반영 기관],"서울병원"))</f>
        <v/>
      </c>
      <c r="V366">
        <f>IF($X366="","",COUNTIFS(상세표[사번키],INDEX(합계표[사번키],$X366),상세표[반영월],대상월키,상세표[야간당직],1,상세표[야간 구분],"휴일",상세표[반영 기관],"서울병원"))</f>
        <v/>
      </c>
      <c r="W366">
        <f>IF($X366="","",IF(ISNUMBER(MATCH(INDEX(합계표[사번키],$X366)&amp;"|"&amp;대상월키,월별근무지표[키],0)),"직접 입력",IF($L366="—","—","기관명단")))</f>
        <v/>
      </c>
      <c r="X366" s="4">
        <f>IFERROR(MATCH(361,합계표[판정순번],0),"")</f>
        <v/>
      </c>
    </row>
    <row r="367">
      <c r="A367">
        <f>IF($X367="","",INDEX(합계표[사번],$X367)&amp;"")</f>
        <v/>
      </c>
      <c r="B367">
        <f>IF($X367="","",INDEX(합계표[성명],$X367)&amp;"")</f>
        <v/>
      </c>
      <c r="C367">
        <f>IF($X367="","",INDEX(합계표[부서],$X367)&amp;"")</f>
        <v/>
      </c>
      <c r="D367">
        <f>IF($X367="","",INDEX(합계표[직위(요약)],$X367)&amp;"")</f>
        <v/>
      </c>
      <c r="E367">
        <f>IF($X367="","",INDEX(합계표[직급 공존],$X367)&amp;"")</f>
        <v/>
      </c>
      <c r="F367" s="20">
        <f>IF($X367="","",SUMIFS(합계표[시스템 합계],합계표[사번키],INDEX(합계표[사번키],$X367)))</f>
        <v/>
      </c>
      <c r="G367" s="20">
        <f>IF($X367="","",SUMIFS(상세표[기록 시간외],상세표[사번키],INDEX(합계표[사번키],$X367),상세표[기록월],대상월키))</f>
        <v/>
      </c>
      <c r="H367">
        <f>IF($X367="","",IF(ABS($F367-$G367)&lt;0.01,"일치","불일치(차이 "&amp;TEXT($G367-$F367,"0.00")&amp;")"))</f>
        <v/>
      </c>
      <c r="I367" s="20">
        <f>IF($X367="","",SUMIFS(상세표[기록 시간외],상세표[사번키],INDEX(합계표[사번키],$X367),상세표[기록월],대상월키,상세표[반영월],"&lt;&gt;"&amp;대상월키))</f>
        <v/>
      </c>
      <c r="J367" s="20">
        <f>IF($X367="","",SUMIFS(상세표[기록 시간외],상세표[사번키],INDEX(합계표[사번키],$X367),상세표[기록월],"&lt;&gt;"&amp;대상월키,상세표[반영월],대상월키))</f>
        <v/>
      </c>
      <c r="K367" s="20">
        <f>IF($X367="","",SUMIFS(상세표[기록 시간외],상세표[사번키],INDEX(합계표[사번키],$X367),상세표[반영월],대상월키))</f>
        <v/>
      </c>
      <c r="L367">
        <f>IF($X367="","",IFERROR(INDEX(월별근무지표[적용 급여병원],MATCH(INDEX(합계표[사번키],$X367)&amp;"|"&amp;대상월키,월별근무지표[키],0))&amp;"",IF(COUNTIF(기관표[사번키],INDEX(합계표[사번키],$X367))+COUNTIF(월별근무지표[사번키],INDEX(합계표[사번키],$X367))&gt;0,IFERROR(INDEX(기관표[급여지급병원(기준월)],MATCH(INDEX(합계표[사번키],$X367)&amp;"|"&amp;대상월키,기관표[키],0))&amp;"","—"),"—")))</f>
        <v/>
      </c>
      <c r="M367">
        <f>IF($X367="","",IF(NOT(COUNTIF(기관표[사번키],INDEX(합계표[사번키],$X367))+COUNTIF(월별근무지표[사번키],INDEX(합계표[사번키],$X367))&gt;0),"기관명단에 없음(다른 병원으로 발송)",IF($L367="서울병원","해당",IF(N($R367)&gt;0,"해당(말일 근무)",IF($L367="—","대상월 기관명단 없음(추가 필요)","비해당")))))</f>
        <v/>
      </c>
      <c r="N367" s="20">
        <f>IF($X367="","",SUMIFS(상세표[06~07시],상세표[사번키],INDEX(합계표[사번키],$X367),상세표[반영월],대상월키,상세표[반영 기관],"서울병원"))</f>
        <v/>
      </c>
      <c r="O367" s="20">
        <f>IF($X367="","",SUMIFS(상세표[07~18시],상세표[사번키],INDEX(합계표[사번키],$X367),상세표[반영월],대상월키,상세표[반영 기관],"서울병원"))</f>
        <v/>
      </c>
      <c r="P367" s="20">
        <f>IF($X367="","",SUMIFS(상세표[18~22시],상세표[사번키],INDEX(합계표[사번키],$X367),상세표[반영월],대상월키,상세표[반영 기관],"서울병원"))</f>
        <v/>
      </c>
      <c r="Q367" s="20">
        <f>IF($X367="","",SUMIFS(상세표[22~06시],상세표[사번키],INDEX(합계표[사번키],$X367),상세표[반영월],대상월키,상세표[반영 기관],"서울병원"))</f>
        <v/>
      </c>
      <c r="R367" s="20">
        <f>IF($X367="","",SUM($N367:$Q367))</f>
        <v/>
      </c>
      <c r="S367">
        <f>IF($X367="","",COUNTIFS(상세표[사번키],INDEX(합계표[사번키],$X367),상세표[반영월],대상월키,상세표[야간당직],1,상세표[야간 구분],"평일"))</f>
        <v/>
      </c>
      <c r="T367">
        <f>IF($X367="","",COUNTIFS(상세표[사번키],INDEX(합계표[사번키],$X367),상세표[반영월],대상월키,상세표[야간당직],1,상세표[야간 구분],"휴일"))</f>
        <v/>
      </c>
      <c r="U367">
        <f>IF($X367="","",COUNTIFS(상세표[사번키],INDEX(합계표[사번키],$X367),상세표[반영월],대상월키,상세표[야간당직],1,상세표[야간 구분],"평일",상세표[반영 기관],"서울병원"))</f>
        <v/>
      </c>
      <c r="V367">
        <f>IF($X367="","",COUNTIFS(상세표[사번키],INDEX(합계표[사번키],$X367),상세표[반영월],대상월키,상세표[야간당직],1,상세표[야간 구분],"휴일",상세표[반영 기관],"서울병원"))</f>
        <v/>
      </c>
      <c r="W367">
        <f>IF($X367="","",IF(ISNUMBER(MATCH(INDEX(합계표[사번키],$X367)&amp;"|"&amp;대상월키,월별근무지표[키],0)),"직접 입력",IF($L367="—","—","기관명단")))</f>
        <v/>
      </c>
      <c r="X367" s="4">
        <f>IFERROR(MATCH(362,합계표[판정순번],0),"")</f>
        <v/>
      </c>
    </row>
    <row r="368">
      <c r="A368">
        <f>IF($X368="","",INDEX(합계표[사번],$X368)&amp;"")</f>
        <v/>
      </c>
      <c r="B368">
        <f>IF($X368="","",INDEX(합계표[성명],$X368)&amp;"")</f>
        <v/>
      </c>
      <c r="C368">
        <f>IF($X368="","",INDEX(합계표[부서],$X368)&amp;"")</f>
        <v/>
      </c>
      <c r="D368">
        <f>IF($X368="","",INDEX(합계표[직위(요약)],$X368)&amp;"")</f>
        <v/>
      </c>
      <c r="E368">
        <f>IF($X368="","",INDEX(합계표[직급 공존],$X368)&amp;"")</f>
        <v/>
      </c>
      <c r="F368" s="20">
        <f>IF($X368="","",SUMIFS(합계표[시스템 합계],합계표[사번키],INDEX(합계표[사번키],$X368)))</f>
        <v/>
      </c>
      <c r="G368" s="20">
        <f>IF($X368="","",SUMIFS(상세표[기록 시간외],상세표[사번키],INDEX(합계표[사번키],$X368),상세표[기록월],대상월키))</f>
        <v/>
      </c>
      <c r="H368">
        <f>IF($X368="","",IF(ABS($F368-$G368)&lt;0.01,"일치","불일치(차이 "&amp;TEXT($G368-$F368,"0.00")&amp;")"))</f>
        <v/>
      </c>
      <c r="I368" s="20">
        <f>IF($X368="","",SUMIFS(상세표[기록 시간외],상세표[사번키],INDEX(합계표[사번키],$X368),상세표[기록월],대상월키,상세표[반영월],"&lt;&gt;"&amp;대상월키))</f>
        <v/>
      </c>
      <c r="J368" s="20">
        <f>IF($X368="","",SUMIFS(상세표[기록 시간외],상세표[사번키],INDEX(합계표[사번키],$X368),상세표[기록월],"&lt;&gt;"&amp;대상월키,상세표[반영월],대상월키))</f>
        <v/>
      </c>
      <c r="K368" s="20">
        <f>IF($X368="","",SUMIFS(상세표[기록 시간외],상세표[사번키],INDEX(합계표[사번키],$X368),상세표[반영월],대상월키))</f>
        <v/>
      </c>
      <c r="L368">
        <f>IF($X368="","",IFERROR(INDEX(월별근무지표[적용 급여병원],MATCH(INDEX(합계표[사번키],$X368)&amp;"|"&amp;대상월키,월별근무지표[키],0))&amp;"",IF(COUNTIF(기관표[사번키],INDEX(합계표[사번키],$X368))+COUNTIF(월별근무지표[사번키],INDEX(합계표[사번키],$X368))&gt;0,IFERROR(INDEX(기관표[급여지급병원(기준월)],MATCH(INDEX(합계표[사번키],$X368)&amp;"|"&amp;대상월키,기관표[키],0))&amp;"","—"),"—")))</f>
        <v/>
      </c>
      <c r="M368">
        <f>IF($X368="","",IF(NOT(COUNTIF(기관표[사번키],INDEX(합계표[사번키],$X368))+COUNTIF(월별근무지표[사번키],INDEX(합계표[사번키],$X368))&gt;0),"기관명단에 없음(다른 병원으로 발송)",IF($L368="서울병원","해당",IF(N($R368)&gt;0,"해당(말일 근무)",IF($L368="—","대상월 기관명단 없음(추가 필요)","비해당")))))</f>
        <v/>
      </c>
      <c r="N368" s="20">
        <f>IF($X368="","",SUMIFS(상세표[06~07시],상세표[사번키],INDEX(합계표[사번키],$X368),상세표[반영월],대상월키,상세표[반영 기관],"서울병원"))</f>
        <v/>
      </c>
      <c r="O368" s="20">
        <f>IF($X368="","",SUMIFS(상세표[07~18시],상세표[사번키],INDEX(합계표[사번키],$X368),상세표[반영월],대상월키,상세표[반영 기관],"서울병원"))</f>
        <v/>
      </c>
      <c r="P368" s="20">
        <f>IF($X368="","",SUMIFS(상세표[18~22시],상세표[사번키],INDEX(합계표[사번키],$X368),상세표[반영월],대상월키,상세표[반영 기관],"서울병원"))</f>
        <v/>
      </c>
      <c r="Q368" s="20">
        <f>IF($X368="","",SUMIFS(상세표[22~06시],상세표[사번키],INDEX(합계표[사번키],$X368),상세표[반영월],대상월키,상세표[반영 기관],"서울병원"))</f>
        <v/>
      </c>
      <c r="R368" s="20">
        <f>IF($X368="","",SUM($N368:$Q368))</f>
        <v/>
      </c>
      <c r="S368">
        <f>IF($X368="","",COUNTIFS(상세표[사번키],INDEX(합계표[사번키],$X368),상세표[반영월],대상월키,상세표[야간당직],1,상세표[야간 구분],"평일"))</f>
        <v/>
      </c>
      <c r="T368">
        <f>IF($X368="","",COUNTIFS(상세표[사번키],INDEX(합계표[사번키],$X368),상세표[반영월],대상월키,상세표[야간당직],1,상세표[야간 구분],"휴일"))</f>
        <v/>
      </c>
      <c r="U368">
        <f>IF($X368="","",COUNTIFS(상세표[사번키],INDEX(합계표[사번키],$X368),상세표[반영월],대상월키,상세표[야간당직],1,상세표[야간 구분],"평일",상세표[반영 기관],"서울병원"))</f>
        <v/>
      </c>
      <c r="V368">
        <f>IF($X368="","",COUNTIFS(상세표[사번키],INDEX(합계표[사번키],$X368),상세표[반영월],대상월키,상세표[야간당직],1,상세표[야간 구분],"휴일",상세표[반영 기관],"서울병원"))</f>
        <v/>
      </c>
      <c r="W368">
        <f>IF($X368="","",IF(ISNUMBER(MATCH(INDEX(합계표[사번키],$X368)&amp;"|"&amp;대상월키,월별근무지표[키],0)),"직접 입력",IF($L368="—","—","기관명단")))</f>
        <v/>
      </c>
      <c r="X368" s="4">
        <f>IFERROR(MATCH(363,합계표[판정순번],0),"")</f>
        <v/>
      </c>
    </row>
    <row r="369">
      <c r="A369">
        <f>IF($X369="","",INDEX(합계표[사번],$X369)&amp;"")</f>
        <v/>
      </c>
      <c r="B369">
        <f>IF($X369="","",INDEX(합계표[성명],$X369)&amp;"")</f>
        <v/>
      </c>
      <c r="C369">
        <f>IF($X369="","",INDEX(합계표[부서],$X369)&amp;"")</f>
        <v/>
      </c>
      <c r="D369">
        <f>IF($X369="","",INDEX(합계표[직위(요약)],$X369)&amp;"")</f>
        <v/>
      </c>
      <c r="E369">
        <f>IF($X369="","",INDEX(합계표[직급 공존],$X369)&amp;"")</f>
        <v/>
      </c>
      <c r="F369" s="20">
        <f>IF($X369="","",SUMIFS(합계표[시스템 합계],합계표[사번키],INDEX(합계표[사번키],$X369)))</f>
        <v/>
      </c>
      <c r="G369" s="20">
        <f>IF($X369="","",SUMIFS(상세표[기록 시간외],상세표[사번키],INDEX(합계표[사번키],$X369),상세표[기록월],대상월키))</f>
        <v/>
      </c>
      <c r="H369">
        <f>IF($X369="","",IF(ABS($F369-$G369)&lt;0.01,"일치","불일치(차이 "&amp;TEXT($G369-$F369,"0.00")&amp;")"))</f>
        <v/>
      </c>
      <c r="I369" s="20">
        <f>IF($X369="","",SUMIFS(상세표[기록 시간외],상세표[사번키],INDEX(합계표[사번키],$X369),상세표[기록월],대상월키,상세표[반영월],"&lt;&gt;"&amp;대상월키))</f>
        <v/>
      </c>
      <c r="J369" s="20">
        <f>IF($X369="","",SUMIFS(상세표[기록 시간외],상세표[사번키],INDEX(합계표[사번키],$X369),상세표[기록월],"&lt;&gt;"&amp;대상월키,상세표[반영월],대상월키))</f>
        <v/>
      </c>
      <c r="K369" s="20">
        <f>IF($X369="","",SUMIFS(상세표[기록 시간외],상세표[사번키],INDEX(합계표[사번키],$X369),상세표[반영월],대상월키))</f>
        <v/>
      </c>
      <c r="L369">
        <f>IF($X369="","",IFERROR(INDEX(월별근무지표[적용 급여병원],MATCH(INDEX(합계표[사번키],$X369)&amp;"|"&amp;대상월키,월별근무지표[키],0))&amp;"",IF(COUNTIF(기관표[사번키],INDEX(합계표[사번키],$X369))+COUNTIF(월별근무지표[사번키],INDEX(합계표[사번키],$X369))&gt;0,IFERROR(INDEX(기관표[급여지급병원(기준월)],MATCH(INDEX(합계표[사번키],$X369)&amp;"|"&amp;대상월키,기관표[키],0))&amp;"","—"),"—")))</f>
        <v/>
      </c>
      <c r="M369">
        <f>IF($X369="","",IF(NOT(COUNTIF(기관표[사번키],INDEX(합계표[사번키],$X369))+COUNTIF(월별근무지표[사번키],INDEX(합계표[사번키],$X369))&gt;0),"기관명단에 없음(다른 병원으로 발송)",IF($L369="서울병원","해당",IF(N($R369)&gt;0,"해당(말일 근무)",IF($L369="—","대상월 기관명단 없음(추가 필요)","비해당")))))</f>
        <v/>
      </c>
      <c r="N369" s="20">
        <f>IF($X369="","",SUMIFS(상세표[06~07시],상세표[사번키],INDEX(합계표[사번키],$X369),상세표[반영월],대상월키,상세표[반영 기관],"서울병원"))</f>
        <v/>
      </c>
      <c r="O369" s="20">
        <f>IF($X369="","",SUMIFS(상세표[07~18시],상세표[사번키],INDEX(합계표[사번키],$X369),상세표[반영월],대상월키,상세표[반영 기관],"서울병원"))</f>
        <v/>
      </c>
      <c r="P369" s="20">
        <f>IF($X369="","",SUMIFS(상세표[18~22시],상세표[사번키],INDEX(합계표[사번키],$X369),상세표[반영월],대상월키,상세표[반영 기관],"서울병원"))</f>
        <v/>
      </c>
      <c r="Q369" s="20">
        <f>IF($X369="","",SUMIFS(상세표[22~06시],상세표[사번키],INDEX(합계표[사번키],$X369),상세표[반영월],대상월키,상세표[반영 기관],"서울병원"))</f>
        <v/>
      </c>
      <c r="R369" s="20">
        <f>IF($X369="","",SUM($N369:$Q369))</f>
        <v/>
      </c>
      <c r="S369">
        <f>IF($X369="","",COUNTIFS(상세표[사번키],INDEX(합계표[사번키],$X369),상세표[반영월],대상월키,상세표[야간당직],1,상세표[야간 구분],"평일"))</f>
        <v/>
      </c>
      <c r="T369">
        <f>IF($X369="","",COUNTIFS(상세표[사번키],INDEX(합계표[사번키],$X369),상세표[반영월],대상월키,상세표[야간당직],1,상세표[야간 구분],"휴일"))</f>
        <v/>
      </c>
      <c r="U369">
        <f>IF($X369="","",COUNTIFS(상세표[사번키],INDEX(합계표[사번키],$X369),상세표[반영월],대상월키,상세표[야간당직],1,상세표[야간 구분],"평일",상세표[반영 기관],"서울병원"))</f>
        <v/>
      </c>
      <c r="V369">
        <f>IF($X369="","",COUNTIFS(상세표[사번키],INDEX(합계표[사번키],$X369),상세표[반영월],대상월키,상세표[야간당직],1,상세표[야간 구분],"휴일",상세표[반영 기관],"서울병원"))</f>
        <v/>
      </c>
      <c r="W369">
        <f>IF($X369="","",IF(ISNUMBER(MATCH(INDEX(합계표[사번키],$X369)&amp;"|"&amp;대상월키,월별근무지표[키],0)),"직접 입력",IF($L369="—","—","기관명단")))</f>
        <v/>
      </c>
      <c r="X369" s="4">
        <f>IFERROR(MATCH(364,합계표[판정순번],0),"")</f>
        <v/>
      </c>
    </row>
    <row r="370">
      <c r="A370">
        <f>IF($X370="","",INDEX(합계표[사번],$X370)&amp;"")</f>
        <v/>
      </c>
      <c r="B370">
        <f>IF($X370="","",INDEX(합계표[성명],$X370)&amp;"")</f>
        <v/>
      </c>
      <c r="C370">
        <f>IF($X370="","",INDEX(합계표[부서],$X370)&amp;"")</f>
        <v/>
      </c>
      <c r="D370">
        <f>IF($X370="","",INDEX(합계표[직위(요약)],$X370)&amp;"")</f>
        <v/>
      </c>
      <c r="E370">
        <f>IF($X370="","",INDEX(합계표[직급 공존],$X370)&amp;"")</f>
        <v/>
      </c>
      <c r="F370" s="20">
        <f>IF($X370="","",SUMIFS(합계표[시스템 합계],합계표[사번키],INDEX(합계표[사번키],$X370)))</f>
        <v/>
      </c>
      <c r="G370" s="20">
        <f>IF($X370="","",SUMIFS(상세표[기록 시간외],상세표[사번키],INDEX(합계표[사번키],$X370),상세표[기록월],대상월키))</f>
        <v/>
      </c>
      <c r="H370">
        <f>IF($X370="","",IF(ABS($F370-$G370)&lt;0.01,"일치","불일치(차이 "&amp;TEXT($G370-$F370,"0.00")&amp;")"))</f>
        <v/>
      </c>
      <c r="I370" s="20">
        <f>IF($X370="","",SUMIFS(상세표[기록 시간외],상세표[사번키],INDEX(합계표[사번키],$X370),상세표[기록월],대상월키,상세표[반영월],"&lt;&gt;"&amp;대상월키))</f>
        <v/>
      </c>
      <c r="J370" s="20">
        <f>IF($X370="","",SUMIFS(상세표[기록 시간외],상세표[사번키],INDEX(합계표[사번키],$X370),상세표[기록월],"&lt;&gt;"&amp;대상월키,상세표[반영월],대상월키))</f>
        <v/>
      </c>
      <c r="K370" s="20">
        <f>IF($X370="","",SUMIFS(상세표[기록 시간외],상세표[사번키],INDEX(합계표[사번키],$X370),상세표[반영월],대상월키))</f>
        <v/>
      </c>
      <c r="L370">
        <f>IF($X370="","",IFERROR(INDEX(월별근무지표[적용 급여병원],MATCH(INDEX(합계표[사번키],$X370)&amp;"|"&amp;대상월키,월별근무지표[키],0))&amp;"",IF(COUNTIF(기관표[사번키],INDEX(합계표[사번키],$X370))+COUNTIF(월별근무지표[사번키],INDEX(합계표[사번키],$X370))&gt;0,IFERROR(INDEX(기관표[급여지급병원(기준월)],MATCH(INDEX(합계표[사번키],$X370)&amp;"|"&amp;대상월키,기관표[키],0))&amp;"","—"),"—")))</f>
        <v/>
      </c>
      <c r="M370">
        <f>IF($X370="","",IF(NOT(COUNTIF(기관표[사번키],INDEX(합계표[사번키],$X370))+COUNTIF(월별근무지표[사번키],INDEX(합계표[사번키],$X370))&gt;0),"기관명단에 없음(다른 병원으로 발송)",IF($L370="서울병원","해당",IF(N($R370)&gt;0,"해당(말일 근무)",IF($L370="—","대상월 기관명단 없음(추가 필요)","비해당")))))</f>
        <v/>
      </c>
      <c r="N370" s="20">
        <f>IF($X370="","",SUMIFS(상세표[06~07시],상세표[사번키],INDEX(합계표[사번키],$X370),상세표[반영월],대상월키,상세표[반영 기관],"서울병원"))</f>
        <v/>
      </c>
      <c r="O370" s="20">
        <f>IF($X370="","",SUMIFS(상세표[07~18시],상세표[사번키],INDEX(합계표[사번키],$X370),상세표[반영월],대상월키,상세표[반영 기관],"서울병원"))</f>
        <v/>
      </c>
      <c r="P370" s="20">
        <f>IF($X370="","",SUMIFS(상세표[18~22시],상세표[사번키],INDEX(합계표[사번키],$X370),상세표[반영월],대상월키,상세표[반영 기관],"서울병원"))</f>
        <v/>
      </c>
      <c r="Q370" s="20">
        <f>IF($X370="","",SUMIFS(상세표[22~06시],상세표[사번키],INDEX(합계표[사번키],$X370),상세표[반영월],대상월키,상세표[반영 기관],"서울병원"))</f>
        <v/>
      </c>
      <c r="R370" s="20">
        <f>IF($X370="","",SUM($N370:$Q370))</f>
        <v/>
      </c>
      <c r="S370">
        <f>IF($X370="","",COUNTIFS(상세표[사번키],INDEX(합계표[사번키],$X370),상세표[반영월],대상월키,상세표[야간당직],1,상세표[야간 구분],"평일"))</f>
        <v/>
      </c>
      <c r="T370">
        <f>IF($X370="","",COUNTIFS(상세표[사번키],INDEX(합계표[사번키],$X370),상세표[반영월],대상월키,상세표[야간당직],1,상세표[야간 구분],"휴일"))</f>
        <v/>
      </c>
      <c r="U370">
        <f>IF($X370="","",COUNTIFS(상세표[사번키],INDEX(합계표[사번키],$X370),상세표[반영월],대상월키,상세표[야간당직],1,상세표[야간 구분],"평일",상세표[반영 기관],"서울병원"))</f>
        <v/>
      </c>
      <c r="V370">
        <f>IF($X370="","",COUNTIFS(상세표[사번키],INDEX(합계표[사번키],$X370),상세표[반영월],대상월키,상세표[야간당직],1,상세표[야간 구분],"휴일",상세표[반영 기관],"서울병원"))</f>
        <v/>
      </c>
      <c r="W370">
        <f>IF($X370="","",IF(ISNUMBER(MATCH(INDEX(합계표[사번키],$X370)&amp;"|"&amp;대상월키,월별근무지표[키],0)),"직접 입력",IF($L370="—","—","기관명단")))</f>
        <v/>
      </c>
      <c r="X370" s="4">
        <f>IFERROR(MATCH(365,합계표[판정순번],0),"")</f>
        <v/>
      </c>
    </row>
    <row r="371">
      <c r="A371">
        <f>IF($X371="","",INDEX(합계표[사번],$X371)&amp;"")</f>
        <v/>
      </c>
      <c r="B371">
        <f>IF($X371="","",INDEX(합계표[성명],$X371)&amp;"")</f>
        <v/>
      </c>
      <c r="C371">
        <f>IF($X371="","",INDEX(합계표[부서],$X371)&amp;"")</f>
        <v/>
      </c>
      <c r="D371">
        <f>IF($X371="","",INDEX(합계표[직위(요약)],$X371)&amp;"")</f>
        <v/>
      </c>
      <c r="E371">
        <f>IF($X371="","",INDEX(합계표[직급 공존],$X371)&amp;"")</f>
        <v/>
      </c>
      <c r="F371" s="20">
        <f>IF($X371="","",SUMIFS(합계표[시스템 합계],합계표[사번키],INDEX(합계표[사번키],$X371)))</f>
        <v/>
      </c>
      <c r="G371" s="20">
        <f>IF($X371="","",SUMIFS(상세표[기록 시간외],상세표[사번키],INDEX(합계표[사번키],$X371),상세표[기록월],대상월키))</f>
        <v/>
      </c>
      <c r="H371">
        <f>IF($X371="","",IF(ABS($F371-$G371)&lt;0.01,"일치","불일치(차이 "&amp;TEXT($G371-$F371,"0.00")&amp;")"))</f>
        <v/>
      </c>
      <c r="I371" s="20">
        <f>IF($X371="","",SUMIFS(상세표[기록 시간외],상세표[사번키],INDEX(합계표[사번키],$X371),상세표[기록월],대상월키,상세표[반영월],"&lt;&gt;"&amp;대상월키))</f>
        <v/>
      </c>
      <c r="J371" s="20">
        <f>IF($X371="","",SUMIFS(상세표[기록 시간외],상세표[사번키],INDEX(합계표[사번키],$X371),상세표[기록월],"&lt;&gt;"&amp;대상월키,상세표[반영월],대상월키))</f>
        <v/>
      </c>
      <c r="K371" s="20">
        <f>IF($X371="","",SUMIFS(상세표[기록 시간외],상세표[사번키],INDEX(합계표[사번키],$X371),상세표[반영월],대상월키))</f>
        <v/>
      </c>
      <c r="L371">
        <f>IF($X371="","",IFERROR(INDEX(월별근무지표[적용 급여병원],MATCH(INDEX(합계표[사번키],$X371)&amp;"|"&amp;대상월키,월별근무지표[키],0))&amp;"",IF(COUNTIF(기관표[사번키],INDEX(합계표[사번키],$X371))+COUNTIF(월별근무지표[사번키],INDEX(합계표[사번키],$X371))&gt;0,IFERROR(INDEX(기관표[급여지급병원(기준월)],MATCH(INDEX(합계표[사번키],$X371)&amp;"|"&amp;대상월키,기관표[키],0))&amp;"","—"),"—")))</f>
        <v/>
      </c>
      <c r="M371">
        <f>IF($X371="","",IF(NOT(COUNTIF(기관표[사번키],INDEX(합계표[사번키],$X371))+COUNTIF(월별근무지표[사번키],INDEX(합계표[사번키],$X371))&gt;0),"기관명단에 없음(다른 병원으로 발송)",IF($L371="서울병원","해당",IF(N($R371)&gt;0,"해당(말일 근무)",IF($L371="—","대상월 기관명단 없음(추가 필요)","비해당")))))</f>
        <v/>
      </c>
      <c r="N371" s="20">
        <f>IF($X371="","",SUMIFS(상세표[06~07시],상세표[사번키],INDEX(합계표[사번키],$X371),상세표[반영월],대상월키,상세표[반영 기관],"서울병원"))</f>
        <v/>
      </c>
      <c r="O371" s="20">
        <f>IF($X371="","",SUMIFS(상세표[07~18시],상세표[사번키],INDEX(합계표[사번키],$X371),상세표[반영월],대상월키,상세표[반영 기관],"서울병원"))</f>
        <v/>
      </c>
      <c r="P371" s="20">
        <f>IF($X371="","",SUMIFS(상세표[18~22시],상세표[사번키],INDEX(합계표[사번키],$X371),상세표[반영월],대상월키,상세표[반영 기관],"서울병원"))</f>
        <v/>
      </c>
      <c r="Q371" s="20">
        <f>IF($X371="","",SUMIFS(상세표[22~06시],상세표[사번키],INDEX(합계표[사번키],$X371),상세표[반영월],대상월키,상세표[반영 기관],"서울병원"))</f>
        <v/>
      </c>
      <c r="R371" s="20">
        <f>IF($X371="","",SUM($N371:$Q371))</f>
        <v/>
      </c>
      <c r="S371">
        <f>IF($X371="","",COUNTIFS(상세표[사번키],INDEX(합계표[사번키],$X371),상세표[반영월],대상월키,상세표[야간당직],1,상세표[야간 구분],"평일"))</f>
        <v/>
      </c>
      <c r="T371">
        <f>IF($X371="","",COUNTIFS(상세표[사번키],INDEX(합계표[사번키],$X371),상세표[반영월],대상월키,상세표[야간당직],1,상세표[야간 구분],"휴일"))</f>
        <v/>
      </c>
      <c r="U371">
        <f>IF($X371="","",COUNTIFS(상세표[사번키],INDEX(합계표[사번키],$X371),상세표[반영월],대상월키,상세표[야간당직],1,상세표[야간 구분],"평일",상세표[반영 기관],"서울병원"))</f>
        <v/>
      </c>
      <c r="V371">
        <f>IF($X371="","",COUNTIFS(상세표[사번키],INDEX(합계표[사번키],$X371),상세표[반영월],대상월키,상세표[야간당직],1,상세표[야간 구분],"휴일",상세표[반영 기관],"서울병원"))</f>
        <v/>
      </c>
      <c r="W371">
        <f>IF($X371="","",IF(ISNUMBER(MATCH(INDEX(합계표[사번키],$X371)&amp;"|"&amp;대상월키,월별근무지표[키],0)),"직접 입력",IF($L371="—","—","기관명단")))</f>
        <v/>
      </c>
      <c r="X371" s="4">
        <f>IFERROR(MATCH(366,합계표[판정순번],0),"")</f>
        <v/>
      </c>
    </row>
    <row r="372">
      <c r="A372">
        <f>IF($X372="","",INDEX(합계표[사번],$X372)&amp;"")</f>
        <v/>
      </c>
      <c r="B372">
        <f>IF($X372="","",INDEX(합계표[성명],$X372)&amp;"")</f>
        <v/>
      </c>
      <c r="C372">
        <f>IF($X372="","",INDEX(합계표[부서],$X372)&amp;"")</f>
        <v/>
      </c>
      <c r="D372">
        <f>IF($X372="","",INDEX(합계표[직위(요약)],$X372)&amp;"")</f>
        <v/>
      </c>
      <c r="E372">
        <f>IF($X372="","",INDEX(합계표[직급 공존],$X372)&amp;"")</f>
        <v/>
      </c>
      <c r="F372" s="20">
        <f>IF($X372="","",SUMIFS(합계표[시스템 합계],합계표[사번키],INDEX(합계표[사번키],$X372)))</f>
        <v/>
      </c>
      <c r="G372" s="20">
        <f>IF($X372="","",SUMIFS(상세표[기록 시간외],상세표[사번키],INDEX(합계표[사번키],$X372),상세표[기록월],대상월키))</f>
        <v/>
      </c>
      <c r="H372">
        <f>IF($X372="","",IF(ABS($F372-$G372)&lt;0.01,"일치","불일치(차이 "&amp;TEXT($G372-$F372,"0.00")&amp;")"))</f>
        <v/>
      </c>
      <c r="I372" s="20">
        <f>IF($X372="","",SUMIFS(상세표[기록 시간외],상세표[사번키],INDEX(합계표[사번키],$X372),상세표[기록월],대상월키,상세표[반영월],"&lt;&gt;"&amp;대상월키))</f>
        <v/>
      </c>
      <c r="J372" s="20">
        <f>IF($X372="","",SUMIFS(상세표[기록 시간외],상세표[사번키],INDEX(합계표[사번키],$X372),상세표[기록월],"&lt;&gt;"&amp;대상월키,상세표[반영월],대상월키))</f>
        <v/>
      </c>
      <c r="K372" s="20">
        <f>IF($X372="","",SUMIFS(상세표[기록 시간외],상세표[사번키],INDEX(합계표[사번키],$X372),상세표[반영월],대상월키))</f>
        <v/>
      </c>
      <c r="L372">
        <f>IF($X372="","",IFERROR(INDEX(월별근무지표[적용 급여병원],MATCH(INDEX(합계표[사번키],$X372)&amp;"|"&amp;대상월키,월별근무지표[키],0))&amp;"",IF(COUNTIF(기관표[사번키],INDEX(합계표[사번키],$X372))+COUNTIF(월별근무지표[사번키],INDEX(합계표[사번키],$X372))&gt;0,IFERROR(INDEX(기관표[급여지급병원(기준월)],MATCH(INDEX(합계표[사번키],$X372)&amp;"|"&amp;대상월키,기관표[키],0))&amp;"","—"),"—")))</f>
        <v/>
      </c>
      <c r="M372">
        <f>IF($X372="","",IF(NOT(COUNTIF(기관표[사번키],INDEX(합계표[사번키],$X372))+COUNTIF(월별근무지표[사번키],INDEX(합계표[사번키],$X372))&gt;0),"기관명단에 없음(다른 병원으로 발송)",IF($L372="서울병원","해당",IF(N($R372)&gt;0,"해당(말일 근무)",IF($L372="—","대상월 기관명단 없음(추가 필요)","비해당")))))</f>
        <v/>
      </c>
      <c r="N372" s="20">
        <f>IF($X372="","",SUMIFS(상세표[06~07시],상세표[사번키],INDEX(합계표[사번키],$X372),상세표[반영월],대상월키,상세표[반영 기관],"서울병원"))</f>
        <v/>
      </c>
      <c r="O372" s="20">
        <f>IF($X372="","",SUMIFS(상세표[07~18시],상세표[사번키],INDEX(합계표[사번키],$X372),상세표[반영월],대상월키,상세표[반영 기관],"서울병원"))</f>
        <v/>
      </c>
      <c r="P372" s="20">
        <f>IF($X372="","",SUMIFS(상세표[18~22시],상세표[사번키],INDEX(합계표[사번키],$X372),상세표[반영월],대상월키,상세표[반영 기관],"서울병원"))</f>
        <v/>
      </c>
      <c r="Q372" s="20">
        <f>IF($X372="","",SUMIFS(상세표[22~06시],상세표[사번키],INDEX(합계표[사번키],$X372),상세표[반영월],대상월키,상세표[반영 기관],"서울병원"))</f>
        <v/>
      </c>
      <c r="R372" s="20">
        <f>IF($X372="","",SUM($N372:$Q372))</f>
        <v/>
      </c>
      <c r="S372">
        <f>IF($X372="","",COUNTIFS(상세표[사번키],INDEX(합계표[사번키],$X372),상세표[반영월],대상월키,상세표[야간당직],1,상세표[야간 구분],"평일"))</f>
        <v/>
      </c>
      <c r="T372">
        <f>IF($X372="","",COUNTIFS(상세표[사번키],INDEX(합계표[사번키],$X372),상세표[반영월],대상월키,상세표[야간당직],1,상세표[야간 구분],"휴일"))</f>
        <v/>
      </c>
      <c r="U372">
        <f>IF($X372="","",COUNTIFS(상세표[사번키],INDEX(합계표[사번키],$X372),상세표[반영월],대상월키,상세표[야간당직],1,상세표[야간 구분],"평일",상세표[반영 기관],"서울병원"))</f>
        <v/>
      </c>
      <c r="V372">
        <f>IF($X372="","",COUNTIFS(상세표[사번키],INDEX(합계표[사번키],$X372),상세표[반영월],대상월키,상세표[야간당직],1,상세표[야간 구분],"휴일",상세표[반영 기관],"서울병원"))</f>
        <v/>
      </c>
      <c r="W372">
        <f>IF($X372="","",IF(ISNUMBER(MATCH(INDEX(합계표[사번키],$X372)&amp;"|"&amp;대상월키,월별근무지표[키],0)),"직접 입력",IF($L372="—","—","기관명단")))</f>
        <v/>
      </c>
      <c r="X372" s="4">
        <f>IFERROR(MATCH(367,합계표[판정순번],0),"")</f>
        <v/>
      </c>
    </row>
    <row r="373">
      <c r="A373">
        <f>IF($X373="","",INDEX(합계표[사번],$X373)&amp;"")</f>
        <v/>
      </c>
      <c r="B373">
        <f>IF($X373="","",INDEX(합계표[성명],$X373)&amp;"")</f>
        <v/>
      </c>
      <c r="C373">
        <f>IF($X373="","",INDEX(합계표[부서],$X373)&amp;"")</f>
        <v/>
      </c>
      <c r="D373">
        <f>IF($X373="","",INDEX(합계표[직위(요약)],$X373)&amp;"")</f>
        <v/>
      </c>
      <c r="E373">
        <f>IF($X373="","",INDEX(합계표[직급 공존],$X373)&amp;"")</f>
        <v/>
      </c>
      <c r="F373" s="20">
        <f>IF($X373="","",SUMIFS(합계표[시스템 합계],합계표[사번키],INDEX(합계표[사번키],$X373)))</f>
        <v/>
      </c>
      <c r="G373" s="20">
        <f>IF($X373="","",SUMIFS(상세표[기록 시간외],상세표[사번키],INDEX(합계표[사번키],$X373),상세표[기록월],대상월키))</f>
        <v/>
      </c>
      <c r="H373">
        <f>IF($X373="","",IF(ABS($F373-$G373)&lt;0.01,"일치","불일치(차이 "&amp;TEXT($G373-$F373,"0.00")&amp;")"))</f>
        <v/>
      </c>
      <c r="I373" s="20">
        <f>IF($X373="","",SUMIFS(상세표[기록 시간외],상세표[사번키],INDEX(합계표[사번키],$X373),상세표[기록월],대상월키,상세표[반영월],"&lt;&gt;"&amp;대상월키))</f>
        <v/>
      </c>
      <c r="J373" s="20">
        <f>IF($X373="","",SUMIFS(상세표[기록 시간외],상세표[사번키],INDEX(합계표[사번키],$X373),상세표[기록월],"&lt;&gt;"&amp;대상월키,상세표[반영월],대상월키))</f>
        <v/>
      </c>
      <c r="K373" s="20">
        <f>IF($X373="","",SUMIFS(상세표[기록 시간외],상세표[사번키],INDEX(합계표[사번키],$X373),상세표[반영월],대상월키))</f>
        <v/>
      </c>
      <c r="L373">
        <f>IF($X373="","",IFERROR(INDEX(월별근무지표[적용 급여병원],MATCH(INDEX(합계표[사번키],$X373)&amp;"|"&amp;대상월키,월별근무지표[키],0))&amp;"",IF(COUNTIF(기관표[사번키],INDEX(합계표[사번키],$X373))+COUNTIF(월별근무지표[사번키],INDEX(합계표[사번키],$X373))&gt;0,IFERROR(INDEX(기관표[급여지급병원(기준월)],MATCH(INDEX(합계표[사번키],$X373)&amp;"|"&amp;대상월키,기관표[키],0))&amp;"","—"),"—")))</f>
        <v/>
      </c>
      <c r="M373">
        <f>IF($X373="","",IF(NOT(COUNTIF(기관표[사번키],INDEX(합계표[사번키],$X373))+COUNTIF(월별근무지표[사번키],INDEX(합계표[사번키],$X373))&gt;0),"기관명단에 없음(다른 병원으로 발송)",IF($L373="서울병원","해당",IF(N($R373)&gt;0,"해당(말일 근무)",IF($L373="—","대상월 기관명단 없음(추가 필요)","비해당")))))</f>
        <v/>
      </c>
      <c r="N373" s="20">
        <f>IF($X373="","",SUMIFS(상세표[06~07시],상세표[사번키],INDEX(합계표[사번키],$X373),상세표[반영월],대상월키,상세표[반영 기관],"서울병원"))</f>
        <v/>
      </c>
      <c r="O373" s="20">
        <f>IF($X373="","",SUMIFS(상세표[07~18시],상세표[사번키],INDEX(합계표[사번키],$X373),상세표[반영월],대상월키,상세표[반영 기관],"서울병원"))</f>
        <v/>
      </c>
      <c r="P373" s="20">
        <f>IF($X373="","",SUMIFS(상세표[18~22시],상세표[사번키],INDEX(합계표[사번키],$X373),상세표[반영월],대상월키,상세표[반영 기관],"서울병원"))</f>
        <v/>
      </c>
      <c r="Q373" s="20">
        <f>IF($X373="","",SUMIFS(상세표[22~06시],상세표[사번키],INDEX(합계표[사번키],$X373),상세표[반영월],대상월키,상세표[반영 기관],"서울병원"))</f>
        <v/>
      </c>
      <c r="R373" s="20">
        <f>IF($X373="","",SUM($N373:$Q373))</f>
        <v/>
      </c>
      <c r="S373">
        <f>IF($X373="","",COUNTIFS(상세표[사번키],INDEX(합계표[사번키],$X373),상세표[반영월],대상월키,상세표[야간당직],1,상세표[야간 구분],"평일"))</f>
        <v/>
      </c>
      <c r="T373">
        <f>IF($X373="","",COUNTIFS(상세표[사번키],INDEX(합계표[사번키],$X373),상세표[반영월],대상월키,상세표[야간당직],1,상세표[야간 구분],"휴일"))</f>
        <v/>
      </c>
      <c r="U373">
        <f>IF($X373="","",COUNTIFS(상세표[사번키],INDEX(합계표[사번키],$X373),상세표[반영월],대상월키,상세표[야간당직],1,상세표[야간 구분],"평일",상세표[반영 기관],"서울병원"))</f>
        <v/>
      </c>
      <c r="V373">
        <f>IF($X373="","",COUNTIFS(상세표[사번키],INDEX(합계표[사번키],$X373),상세표[반영월],대상월키,상세표[야간당직],1,상세표[야간 구분],"휴일",상세표[반영 기관],"서울병원"))</f>
        <v/>
      </c>
      <c r="W373">
        <f>IF($X373="","",IF(ISNUMBER(MATCH(INDEX(합계표[사번키],$X373)&amp;"|"&amp;대상월키,월별근무지표[키],0)),"직접 입력",IF($L373="—","—","기관명단")))</f>
        <v/>
      </c>
      <c r="X373" s="4">
        <f>IFERROR(MATCH(368,합계표[판정순번],0),"")</f>
        <v/>
      </c>
    </row>
    <row r="374">
      <c r="A374">
        <f>IF($X374="","",INDEX(합계표[사번],$X374)&amp;"")</f>
        <v/>
      </c>
      <c r="B374">
        <f>IF($X374="","",INDEX(합계표[성명],$X374)&amp;"")</f>
        <v/>
      </c>
      <c r="C374">
        <f>IF($X374="","",INDEX(합계표[부서],$X374)&amp;"")</f>
        <v/>
      </c>
      <c r="D374">
        <f>IF($X374="","",INDEX(합계표[직위(요약)],$X374)&amp;"")</f>
        <v/>
      </c>
      <c r="E374">
        <f>IF($X374="","",INDEX(합계표[직급 공존],$X374)&amp;"")</f>
        <v/>
      </c>
      <c r="F374" s="20">
        <f>IF($X374="","",SUMIFS(합계표[시스템 합계],합계표[사번키],INDEX(합계표[사번키],$X374)))</f>
        <v/>
      </c>
      <c r="G374" s="20">
        <f>IF($X374="","",SUMIFS(상세표[기록 시간외],상세표[사번키],INDEX(합계표[사번키],$X374),상세표[기록월],대상월키))</f>
        <v/>
      </c>
      <c r="H374">
        <f>IF($X374="","",IF(ABS($F374-$G374)&lt;0.01,"일치","불일치(차이 "&amp;TEXT($G374-$F374,"0.00")&amp;")"))</f>
        <v/>
      </c>
      <c r="I374" s="20">
        <f>IF($X374="","",SUMIFS(상세표[기록 시간외],상세표[사번키],INDEX(합계표[사번키],$X374),상세표[기록월],대상월키,상세표[반영월],"&lt;&gt;"&amp;대상월키))</f>
        <v/>
      </c>
      <c r="J374" s="20">
        <f>IF($X374="","",SUMIFS(상세표[기록 시간외],상세표[사번키],INDEX(합계표[사번키],$X374),상세표[기록월],"&lt;&gt;"&amp;대상월키,상세표[반영월],대상월키))</f>
        <v/>
      </c>
      <c r="K374" s="20">
        <f>IF($X374="","",SUMIFS(상세표[기록 시간외],상세표[사번키],INDEX(합계표[사번키],$X374),상세표[반영월],대상월키))</f>
        <v/>
      </c>
      <c r="L374">
        <f>IF($X374="","",IFERROR(INDEX(월별근무지표[적용 급여병원],MATCH(INDEX(합계표[사번키],$X374)&amp;"|"&amp;대상월키,월별근무지표[키],0))&amp;"",IF(COUNTIF(기관표[사번키],INDEX(합계표[사번키],$X374))+COUNTIF(월별근무지표[사번키],INDEX(합계표[사번키],$X374))&gt;0,IFERROR(INDEX(기관표[급여지급병원(기준월)],MATCH(INDEX(합계표[사번키],$X374)&amp;"|"&amp;대상월키,기관표[키],0))&amp;"","—"),"—")))</f>
        <v/>
      </c>
      <c r="M374">
        <f>IF($X374="","",IF(NOT(COUNTIF(기관표[사번키],INDEX(합계표[사번키],$X374))+COUNTIF(월별근무지표[사번키],INDEX(합계표[사번키],$X374))&gt;0),"기관명단에 없음(다른 병원으로 발송)",IF($L374="서울병원","해당",IF(N($R374)&gt;0,"해당(말일 근무)",IF($L374="—","대상월 기관명단 없음(추가 필요)","비해당")))))</f>
        <v/>
      </c>
      <c r="N374" s="20">
        <f>IF($X374="","",SUMIFS(상세표[06~07시],상세표[사번키],INDEX(합계표[사번키],$X374),상세표[반영월],대상월키,상세표[반영 기관],"서울병원"))</f>
        <v/>
      </c>
      <c r="O374" s="20">
        <f>IF($X374="","",SUMIFS(상세표[07~18시],상세표[사번키],INDEX(합계표[사번키],$X374),상세표[반영월],대상월키,상세표[반영 기관],"서울병원"))</f>
        <v/>
      </c>
      <c r="P374" s="20">
        <f>IF($X374="","",SUMIFS(상세표[18~22시],상세표[사번키],INDEX(합계표[사번키],$X374),상세표[반영월],대상월키,상세표[반영 기관],"서울병원"))</f>
        <v/>
      </c>
      <c r="Q374" s="20">
        <f>IF($X374="","",SUMIFS(상세표[22~06시],상세표[사번키],INDEX(합계표[사번키],$X374),상세표[반영월],대상월키,상세표[반영 기관],"서울병원"))</f>
        <v/>
      </c>
      <c r="R374" s="20">
        <f>IF($X374="","",SUM($N374:$Q374))</f>
        <v/>
      </c>
      <c r="S374">
        <f>IF($X374="","",COUNTIFS(상세표[사번키],INDEX(합계표[사번키],$X374),상세표[반영월],대상월키,상세표[야간당직],1,상세표[야간 구분],"평일"))</f>
        <v/>
      </c>
      <c r="T374">
        <f>IF($X374="","",COUNTIFS(상세표[사번키],INDEX(합계표[사번키],$X374),상세표[반영월],대상월키,상세표[야간당직],1,상세표[야간 구분],"휴일"))</f>
        <v/>
      </c>
      <c r="U374">
        <f>IF($X374="","",COUNTIFS(상세표[사번키],INDEX(합계표[사번키],$X374),상세표[반영월],대상월키,상세표[야간당직],1,상세표[야간 구분],"평일",상세표[반영 기관],"서울병원"))</f>
        <v/>
      </c>
      <c r="V374">
        <f>IF($X374="","",COUNTIFS(상세표[사번키],INDEX(합계표[사번키],$X374),상세표[반영월],대상월키,상세표[야간당직],1,상세표[야간 구분],"휴일",상세표[반영 기관],"서울병원"))</f>
        <v/>
      </c>
      <c r="W374">
        <f>IF($X374="","",IF(ISNUMBER(MATCH(INDEX(합계표[사번키],$X374)&amp;"|"&amp;대상월키,월별근무지표[키],0)),"직접 입력",IF($L374="—","—","기관명단")))</f>
        <v/>
      </c>
      <c r="X374" s="4">
        <f>IFERROR(MATCH(369,합계표[판정순번],0),"")</f>
        <v/>
      </c>
    </row>
    <row r="375">
      <c r="A375">
        <f>IF($X375="","",INDEX(합계표[사번],$X375)&amp;"")</f>
        <v/>
      </c>
      <c r="B375">
        <f>IF($X375="","",INDEX(합계표[성명],$X375)&amp;"")</f>
        <v/>
      </c>
      <c r="C375">
        <f>IF($X375="","",INDEX(합계표[부서],$X375)&amp;"")</f>
        <v/>
      </c>
      <c r="D375">
        <f>IF($X375="","",INDEX(합계표[직위(요약)],$X375)&amp;"")</f>
        <v/>
      </c>
      <c r="E375">
        <f>IF($X375="","",INDEX(합계표[직급 공존],$X375)&amp;"")</f>
        <v/>
      </c>
      <c r="F375" s="20">
        <f>IF($X375="","",SUMIFS(합계표[시스템 합계],합계표[사번키],INDEX(합계표[사번키],$X375)))</f>
        <v/>
      </c>
      <c r="G375" s="20">
        <f>IF($X375="","",SUMIFS(상세표[기록 시간외],상세표[사번키],INDEX(합계표[사번키],$X375),상세표[기록월],대상월키))</f>
        <v/>
      </c>
      <c r="H375">
        <f>IF($X375="","",IF(ABS($F375-$G375)&lt;0.01,"일치","불일치(차이 "&amp;TEXT($G375-$F375,"0.00")&amp;")"))</f>
        <v/>
      </c>
      <c r="I375" s="20">
        <f>IF($X375="","",SUMIFS(상세표[기록 시간외],상세표[사번키],INDEX(합계표[사번키],$X375),상세표[기록월],대상월키,상세표[반영월],"&lt;&gt;"&amp;대상월키))</f>
        <v/>
      </c>
      <c r="J375" s="20">
        <f>IF($X375="","",SUMIFS(상세표[기록 시간외],상세표[사번키],INDEX(합계표[사번키],$X375),상세표[기록월],"&lt;&gt;"&amp;대상월키,상세표[반영월],대상월키))</f>
        <v/>
      </c>
      <c r="K375" s="20">
        <f>IF($X375="","",SUMIFS(상세표[기록 시간외],상세표[사번키],INDEX(합계표[사번키],$X375),상세표[반영월],대상월키))</f>
        <v/>
      </c>
      <c r="L375">
        <f>IF($X375="","",IFERROR(INDEX(월별근무지표[적용 급여병원],MATCH(INDEX(합계표[사번키],$X375)&amp;"|"&amp;대상월키,월별근무지표[키],0))&amp;"",IF(COUNTIF(기관표[사번키],INDEX(합계표[사번키],$X375))+COUNTIF(월별근무지표[사번키],INDEX(합계표[사번키],$X375))&gt;0,IFERROR(INDEX(기관표[급여지급병원(기준월)],MATCH(INDEX(합계표[사번키],$X375)&amp;"|"&amp;대상월키,기관표[키],0))&amp;"","—"),"—")))</f>
        <v/>
      </c>
      <c r="M375">
        <f>IF($X375="","",IF(NOT(COUNTIF(기관표[사번키],INDEX(합계표[사번키],$X375))+COUNTIF(월별근무지표[사번키],INDEX(합계표[사번키],$X375))&gt;0),"기관명단에 없음(다른 병원으로 발송)",IF($L375="서울병원","해당",IF(N($R375)&gt;0,"해당(말일 근무)",IF($L375="—","대상월 기관명단 없음(추가 필요)","비해당")))))</f>
        <v/>
      </c>
      <c r="N375" s="20">
        <f>IF($X375="","",SUMIFS(상세표[06~07시],상세표[사번키],INDEX(합계표[사번키],$X375),상세표[반영월],대상월키,상세표[반영 기관],"서울병원"))</f>
        <v/>
      </c>
      <c r="O375" s="20">
        <f>IF($X375="","",SUMIFS(상세표[07~18시],상세표[사번키],INDEX(합계표[사번키],$X375),상세표[반영월],대상월키,상세표[반영 기관],"서울병원"))</f>
        <v/>
      </c>
      <c r="P375" s="20">
        <f>IF($X375="","",SUMIFS(상세표[18~22시],상세표[사번키],INDEX(합계표[사번키],$X375),상세표[반영월],대상월키,상세표[반영 기관],"서울병원"))</f>
        <v/>
      </c>
      <c r="Q375" s="20">
        <f>IF($X375="","",SUMIFS(상세표[22~06시],상세표[사번키],INDEX(합계표[사번키],$X375),상세표[반영월],대상월키,상세표[반영 기관],"서울병원"))</f>
        <v/>
      </c>
      <c r="R375" s="20">
        <f>IF($X375="","",SUM($N375:$Q375))</f>
        <v/>
      </c>
      <c r="S375">
        <f>IF($X375="","",COUNTIFS(상세표[사번키],INDEX(합계표[사번키],$X375),상세표[반영월],대상월키,상세표[야간당직],1,상세표[야간 구분],"평일"))</f>
        <v/>
      </c>
      <c r="T375">
        <f>IF($X375="","",COUNTIFS(상세표[사번키],INDEX(합계표[사번키],$X375),상세표[반영월],대상월키,상세표[야간당직],1,상세표[야간 구분],"휴일"))</f>
        <v/>
      </c>
      <c r="U375">
        <f>IF($X375="","",COUNTIFS(상세표[사번키],INDEX(합계표[사번키],$X375),상세표[반영월],대상월키,상세표[야간당직],1,상세표[야간 구분],"평일",상세표[반영 기관],"서울병원"))</f>
        <v/>
      </c>
      <c r="V375">
        <f>IF($X375="","",COUNTIFS(상세표[사번키],INDEX(합계표[사번키],$X375),상세표[반영월],대상월키,상세표[야간당직],1,상세표[야간 구분],"휴일",상세표[반영 기관],"서울병원"))</f>
        <v/>
      </c>
      <c r="W375">
        <f>IF($X375="","",IF(ISNUMBER(MATCH(INDEX(합계표[사번키],$X375)&amp;"|"&amp;대상월키,월별근무지표[키],0)),"직접 입력",IF($L375="—","—","기관명단")))</f>
        <v/>
      </c>
      <c r="X375" s="4">
        <f>IFERROR(MATCH(370,합계표[판정순번],0),"")</f>
        <v/>
      </c>
    </row>
    <row r="376">
      <c r="A376">
        <f>IF($X376="","",INDEX(합계표[사번],$X376)&amp;"")</f>
        <v/>
      </c>
      <c r="B376">
        <f>IF($X376="","",INDEX(합계표[성명],$X376)&amp;"")</f>
        <v/>
      </c>
      <c r="C376">
        <f>IF($X376="","",INDEX(합계표[부서],$X376)&amp;"")</f>
        <v/>
      </c>
      <c r="D376">
        <f>IF($X376="","",INDEX(합계표[직위(요약)],$X376)&amp;"")</f>
        <v/>
      </c>
      <c r="E376">
        <f>IF($X376="","",INDEX(합계표[직급 공존],$X376)&amp;"")</f>
        <v/>
      </c>
      <c r="F376" s="20">
        <f>IF($X376="","",SUMIFS(합계표[시스템 합계],합계표[사번키],INDEX(합계표[사번키],$X376)))</f>
        <v/>
      </c>
      <c r="G376" s="20">
        <f>IF($X376="","",SUMIFS(상세표[기록 시간외],상세표[사번키],INDEX(합계표[사번키],$X376),상세표[기록월],대상월키))</f>
        <v/>
      </c>
      <c r="H376">
        <f>IF($X376="","",IF(ABS($F376-$G376)&lt;0.01,"일치","불일치(차이 "&amp;TEXT($G376-$F376,"0.00")&amp;")"))</f>
        <v/>
      </c>
      <c r="I376" s="20">
        <f>IF($X376="","",SUMIFS(상세표[기록 시간외],상세표[사번키],INDEX(합계표[사번키],$X376),상세표[기록월],대상월키,상세표[반영월],"&lt;&gt;"&amp;대상월키))</f>
        <v/>
      </c>
      <c r="J376" s="20">
        <f>IF($X376="","",SUMIFS(상세표[기록 시간외],상세표[사번키],INDEX(합계표[사번키],$X376),상세표[기록월],"&lt;&gt;"&amp;대상월키,상세표[반영월],대상월키))</f>
        <v/>
      </c>
      <c r="K376" s="20">
        <f>IF($X376="","",SUMIFS(상세표[기록 시간외],상세표[사번키],INDEX(합계표[사번키],$X376),상세표[반영월],대상월키))</f>
        <v/>
      </c>
      <c r="L376">
        <f>IF($X376="","",IFERROR(INDEX(월별근무지표[적용 급여병원],MATCH(INDEX(합계표[사번키],$X376)&amp;"|"&amp;대상월키,월별근무지표[키],0))&amp;"",IF(COUNTIF(기관표[사번키],INDEX(합계표[사번키],$X376))+COUNTIF(월별근무지표[사번키],INDEX(합계표[사번키],$X376))&gt;0,IFERROR(INDEX(기관표[급여지급병원(기준월)],MATCH(INDEX(합계표[사번키],$X376)&amp;"|"&amp;대상월키,기관표[키],0))&amp;"","—"),"—")))</f>
        <v/>
      </c>
      <c r="M376">
        <f>IF($X376="","",IF(NOT(COUNTIF(기관표[사번키],INDEX(합계표[사번키],$X376))+COUNTIF(월별근무지표[사번키],INDEX(합계표[사번키],$X376))&gt;0),"기관명단에 없음(다른 병원으로 발송)",IF($L376="서울병원","해당",IF(N($R376)&gt;0,"해당(말일 근무)",IF($L376="—","대상월 기관명단 없음(추가 필요)","비해당")))))</f>
        <v/>
      </c>
      <c r="N376" s="20">
        <f>IF($X376="","",SUMIFS(상세표[06~07시],상세표[사번키],INDEX(합계표[사번키],$X376),상세표[반영월],대상월키,상세표[반영 기관],"서울병원"))</f>
        <v/>
      </c>
      <c r="O376" s="20">
        <f>IF($X376="","",SUMIFS(상세표[07~18시],상세표[사번키],INDEX(합계표[사번키],$X376),상세표[반영월],대상월키,상세표[반영 기관],"서울병원"))</f>
        <v/>
      </c>
      <c r="P376" s="20">
        <f>IF($X376="","",SUMIFS(상세표[18~22시],상세표[사번키],INDEX(합계표[사번키],$X376),상세표[반영월],대상월키,상세표[반영 기관],"서울병원"))</f>
        <v/>
      </c>
      <c r="Q376" s="20">
        <f>IF($X376="","",SUMIFS(상세표[22~06시],상세표[사번키],INDEX(합계표[사번키],$X376),상세표[반영월],대상월키,상세표[반영 기관],"서울병원"))</f>
        <v/>
      </c>
      <c r="R376" s="20">
        <f>IF($X376="","",SUM($N376:$Q376))</f>
        <v/>
      </c>
      <c r="S376">
        <f>IF($X376="","",COUNTIFS(상세표[사번키],INDEX(합계표[사번키],$X376),상세표[반영월],대상월키,상세표[야간당직],1,상세표[야간 구분],"평일"))</f>
        <v/>
      </c>
      <c r="T376">
        <f>IF($X376="","",COUNTIFS(상세표[사번키],INDEX(합계표[사번키],$X376),상세표[반영월],대상월키,상세표[야간당직],1,상세표[야간 구분],"휴일"))</f>
        <v/>
      </c>
      <c r="U376">
        <f>IF($X376="","",COUNTIFS(상세표[사번키],INDEX(합계표[사번키],$X376),상세표[반영월],대상월키,상세표[야간당직],1,상세표[야간 구분],"평일",상세표[반영 기관],"서울병원"))</f>
        <v/>
      </c>
      <c r="V376">
        <f>IF($X376="","",COUNTIFS(상세표[사번키],INDEX(합계표[사번키],$X376),상세표[반영월],대상월키,상세표[야간당직],1,상세표[야간 구분],"휴일",상세표[반영 기관],"서울병원"))</f>
        <v/>
      </c>
      <c r="W376">
        <f>IF($X376="","",IF(ISNUMBER(MATCH(INDEX(합계표[사번키],$X376)&amp;"|"&amp;대상월키,월별근무지표[키],0)),"직접 입력",IF($L376="—","—","기관명단")))</f>
        <v/>
      </c>
      <c r="X376" s="4">
        <f>IFERROR(MATCH(371,합계표[판정순번],0),"")</f>
        <v/>
      </c>
    </row>
    <row r="377">
      <c r="A377">
        <f>IF($X377="","",INDEX(합계표[사번],$X377)&amp;"")</f>
        <v/>
      </c>
      <c r="B377">
        <f>IF($X377="","",INDEX(합계표[성명],$X377)&amp;"")</f>
        <v/>
      </c>
      <c r="C377">
        <f>IF($X377="","",INDEX(합계표[부서],$X377)&amp;"")</f>
        <v/>
      </c>
      <c r="D377">
        <f>IF($X377="","",INDEX(합계표[직위(요약)],$X377)&amp;"")</f>
        <v/>
      </c>
      <c r="E377">
        <f>IF($X377="","",INDEX(합계표[직급 공존],$X377)&amp;"")</f>
        <v/>
      </c>
      <c r="F377" s="20">
        <f>IF($X377="","",SUMIFS(합계표[시스템 합계],합계표[사번키],INDEX(합계표[사번키],$X377)))</f>
        <v/>
      </c>
      <c r="G377" s="20">
        <f>IF($X377="","",SUMIFS(상세표[기록 시간외],상세표[사번키],INDEX(합계표[사번키],$X377),상세표[기록월],대상월키))</f>
        <v/>
      </c>
      <c r="H377">
        <f>IF($X377="","",IF(ABS($F377-$G377)&lt;0.01,"일치","불일치(차이 "&amp;TEXT($G377-$F377,"0.00")&amp;")"))</f>
        <v/>
      </c>
      <c r="I377" s="20">
        <f>IF($X377="","",SUMIFS(상세표[기록 시간외],상세표[사번키],INDEX(합계표[사번키],$X377),상세표[기록월],대상월키,상세표[반영월],"&lt;&gt;"&amp;대상월키))</f>
        <v/>
      </c>
      <c r="J377" s="20">
        <f>IF($X377="","",SUMIFS(상세표[기록 시간외],상세표[사번키],INDEX(합계표[사번키],$X377),상세표[기록월],"&lt;&gt;"&amp;대상월키,상세표[반영월],대상월키))</f>
        <v/>
      </c>
      <c r="K377" s="20">
        <f>IF($X377="","",SUMIFS(상세표[기록 시간외],상세표[사번키],INDEX(합계표[사번키],$X377),상세표[반영월],대상월키))</f>
        <v/>
      </c>
      <c r="L377">
        <f>IF($X377="","",IFERROR(INDEX(월별근무지표[적용 급여병원],MATCH(INDEX(합계표[사번키],$X377)&amp;"|"&amp;대상월키,월별근무지표[키],0))&amp;"",IF(COUNTIF(기관표[사번키],INDEX(합계표[사번키],$X377))+COUNTIF(월별근무지표[사번키],INDEX(합계표[사번키],$X377))&gt;0,IFERROR(INDEX(기관표[급여지급병원(기준월)],MATCH(INDEX(합계표[사번키],$X377)&amp;"|"&amp;대상월키,기관표[키],0))&amp;"","—"),"—")))</f>
        <v/>
      </c>
      <c r="M377">
        <f>IF($X377="","",IF(NOT(COUNTIF(기관표[사번키],INDEX(합계표[사번키],$X377))+COUNTIF(월별근무지표[사번키],INDEX(합계표[사번키],$X377))&gt;0),"기관명단에 없음(다른 병원으로 발송)",IF($L377="서울병원","해당",IF(N($R377)&gt;0,"해당(말일 근무)",IF($L377="—","대상월 기관명단 없음(추가 필요)","비해당")))))</f>
        <v/>
      </c>
      <c r="N377" s="20">
        <f>IF($X377="","",SUMIFS(상세표[06~07시],상세표[사번키],INDEX(합계표[사번키],$X377),상세표[반영월],대상월키,상세표[반영 기관],"서울병원"))</f>
        <v/>
      </c>
      <c r="O377" s="20">
        <f>IF($X377="","",SUMIFS(상세표[07~18시],상세표[사번키],INDEX(합계표[사번키],$X377),상세표[반영월],대상월키,상세표[반영 기관],"서울병원"))</f>
        <v/>
      </c>
      <c r="P377" s="20">
        <f>IF($X377="","",SUMIFS(상세표[18~22시],상세표[사번키],INDEX(합계표[사번키],$X377),상세표[반영월],대상월키,상세표[반영 기관],"서울병원"))</f>
        <v/>
      </c>
      <c r="Q377" s="20">
        <f>IF($X377="","",SUMIFS(상세표[22~06시],상세표[사번키],INDEX(합계표[사번키],$X377),상세표[반영월],대상월키,상세표[반영 기관],"서울병원"))</f>
        <v/>
      </c>
      <c r="R377" s="20">
        <f>IF($X377="","",SUM($N377:$Q377))</f>
        <v/>
      </c>
      <c r="S377">
        <f>IF($X377="","",COUNTIFS(상세표[사번키],INDEX(합계표[사번키],$X377),상세표[반영월],대상월키,상세표[야간당직],1,상세표[야간 구분],"평일"))</f>
        <v/>
      </c>
      <c r="T377">
        <f>IF($X377="","",COUNTIFS(상세표[사번키],INDEX(합계표[사번키],$X377),상세표[반영월],대상월키,상세표[야간당직],1,상세표[야간 구분],"휴일"))</f>
        <v/>
      </c>
      <c r="U377">
        <f>IF($X377="","",COUNTIFS(상세표[사번키],INDEX(합계표[사번키],$X377),상세표[반영월],대상월키,상세표[야간당직],1,상세표[야간 구분],"평일",상세표[반영 기관],"서울병원"))</f>
        <v/>
      </c>
      <c r="V377">
        <f>IF($X377="","",COUNTIFS(상세표[사번키],INDEX(합계표[사번키],$X377),상세표[반영월],대상월키,상세표[야간당직],1,상세표[야간 구분],"휴일",상세표[반영 기관],"서울병원"))</f>
        <v/>
      </c>
      <c r="W377">
        <f>IF($X377="","",IF(ISNUMBER(MATCH(INDEX(합계표[사번키],$X377)&amp;"|"&amp;대상월키,월별근무지표[키],0)),"직접 입력",IF($L377="—","—","기관명단")))</f>
        <v/>
      </c>
      <c r="X377" s="4">
        <f>IFERROR(MATCH(372,합계표[판정순번],0),"")</f>
        <v/>
      </c>
    </row>
    <row r="378">
      <c r="A378">
        <f>IF($X378="","",INDEX(합계표[사번],$X378)&amp;"")</f>
        <v/>
      </c>
      <c r="B378">
        <f>IF($X378="","",INDEX(합계표[성명],$X378)&amp;"")</f>
        <v/>
      </c>
      <c r="C378">
        <f>IF($X378="","",INDEX(합계표[부서],$X378)&amp;"")</f>
        <v/>
      </c>
      <c r="D378">
        <f>IF($X378="","",INDEX(합계표[직위(요약)],$X378)&amp;"")</f>
        <v/>
      </c>
      <c r="E378">
        <f>IF($X378="","",INDEX(합계표[직급 공존],$X378)&amp;"")</f>
        <v/>
      </c>
      <c r="F378" s="20">
        <f>IF($X378="","",SUMIFS(합계표[시스템 합계],합계표[사번키],INDEX(합계표[사번키],$X378)))</f>
        <v/>
      </c>
      <c r="G378" s="20">
        <f>IF($X378="","",SUMIFS(상세표[기록 시간외],상세표[사번키],INDEX(합계표[사번키],$X378),상세표[기록월],대상월키))</f>
        <v/>
      </c>
      <c r="H378">
        <f>IF($X378="","",IF(ABS($F378-$G378)&lt;0.01,"일치","불일치(차이 "&amp;TEXT($G378-$F378,"0.00")&amp;")"))</f>
        <v/>
      </c>
      <c r="I378" s="20">
        <f>IF($X378="","",SUMIFS(상세표[기록 시간외],상세표[사번키],INDEX(합계표[사번키],$X378),상세표[기록월],대상월키,상세표[반영월],"&lt;&gt;"&amp;대상월키))</f>
        <v/>
      </c>
      <c r="J378" s="20">
        <f>IF($X378="","",SUMIFS(상세표[기록 시간외],상세표[사번키],INDEX(합계표[사번키],$X378),상세표[기록월],"&lt;&gt;"&amp;대상월키,상세표[반영월],대상월키))</f>
        <v/>
      </c>
      <c r="K378" s="20">
        <f>IF($X378="","",SUMIFS(상세표[기록 시간외],상세표[사번키],INDEX(합계표[사번키],$X378),상세표[반영월],대상월키))</f>
        <v/>
      </c>
      <c r="L378">
        <f>IF($X378="","",IFERROR(INDEX(월별근무지표[적용 급여병원],MATCH(INDEX(합계표[사번키],$X378)&amp;"|"&amp;대상월키,월별근무지표[키],0))&amp;"",IF(COUNTIF(기관표[사번키],INDEX(합계표[사번키],$X378))+COUNTIF(월별근무지표[사번키],INDEX(합계표[사번키],$X378))&gt;0,IFERROR(INDEX(기관표[급여지급병원(기준월)],MATCH(INDEX(합계표[사번키],$X378)&amp;"|"&amp;대상월키,기관표[키],0))&amp;"","—"),"—")))</f>
        <v/>
      </c>
      <c r="M378">
        <f>IF($X378="","",IF(NOT(COUNTIF(기관표[사번키],INDEX(합계표[사번키],$X378))+COUNTIF(월별근무지표[사번키],INDEX(합계표[사번키],$X378))&gt;0),"기관명단에 없음(다른 병원으로 발송)",IF($L378="서울병원","해당",IF(N($R378)&gt;0,"해당(말일 근무)",IF($L378="—","대상월 기관명단 없음(추가 필요)","비해당")))))</f>
        <v/>
      </c>
      <c r="N378" s="20">
        <f>IF($X378="","",SUMIFS(상세표[06~07시],상세표[사번키],INDEX(합계표[사번키],$X378),상세표[반영월],대상월키,상세표[반영 기관],"서울병원"))</f>
        <v/>
      </c>
      <c r="O378" s="20">
        <f>IF($X378="","",SUMIFS(상세표[07~18시],상세표[사번키],INDEX(합계표[사번키],$X378),상세표[반영월],대상월키,상세표[반영 기관],"서울병원"))</f>
        <v/>
      </c>
      <c r="P378" s="20">
        <f>IF($X378="","",SUMIFS(상세표[18~22시],상세표[사번키],INDEX(합계표[사번키],$X378),상세표[반영월],대상월키,상세표[반영 기관],"서울병원"))</f>
        <v/>
      </c>
      <c r="Q378" s="20">
        <f>IF($X378="","",SUMIFS(상세표[22~06시],상세표[사번키],INDEX(합계표[사번키],$X378),상세표[반영월],대상월키,상세표[반영 기관],"서울병원"))</f>
        <v/>
      </c>
      <c r="R378" s="20">
        <f>IF($X378="","",SUM($N378:$Q378))</f>
        <v/>
      </c>
      <c r="S378">
        <f>IF($X378="","",COUNTIFS(상세표[사번키],INDEX(합계표[사번키],$X378),상세표[반영월],대상월키,상세표[야간당직],1,상세표[야간 구분],"평일"))</f>
        <v/>
      </c>
      <c r="T378">
        <f>IF($X378="","",COUNTIFS(상세표[사번키],INDEX(합계표[사번키],$X378),상세표[반영월],대상월키,상세표[야간당직],1,상세표[야간 구분],"휴일"))</f>
        <v/>
      </c>
      <c r="U378">
        <f>IF($X378="","",COUNTIFS(상세표[사번키],INDEX(합계표[사번키],$X378),상세표[반영월],대상월키,상세표[야간당직],1,상세표[야간 구분],"평일",상세표[반영 기관],"서울병원"))</f>
        <v/>
      </c>
      <c r="V378">
        <f>IF($X378="","",COUNTIFS(상세표[사번키],INDEX(합계표[사번키],$X378),상세표[반영월],대상월키,상세표[야간당직],1,상세표[야간 구분],"휴일",상세표[반영 기관],"서울병원"))</f>
        <v/>
      </c>
      <c r="W378">
        <f>IF($X378="","",IF(ISNUMBER(MATCH(INDEX(합계표[사번키],$X378)&amp;"|"&amp;대상월키,월별근무지표[키],0)),"직접 입력",IF($L378="—","—","기관명단")))</f>
        <v/>
      </c>
      <c r="X378" s="4">
        <f>IFERROR(MATCH(373,합계표[판정순번],0),"")</f>
        <v/>
      </c>
    </row>
    <row r="379">
      <c r="A379">
        <f>IF($X379="","",INDEX(합계표[사번],$X379)&amp;"")</f>
        <v/>
      </c>
      <c r="B379">
        <f>IF($X379="","",INDEX(합계표[성명],$X379)&amp;"")</f>
        <v/>
      </c>
      <c r="C379">
        <f>IF($X379="","",INDEX(합계표[부서],$X379)&amp;"")</f>
        <v/>
      </c>
      <c r="D379">
        <f>IF($X379="","",INDEX(합계표[직위(요약)],$X379)&amp;"")</f>
        <v/>
      </c>
      <c r="E379">
        <f>IF($X379="","",INDEX(합계표[직급 공존],$X379)&amp;"")</f>
        <v/>
      </c>
      <c r="F379" s="20">
        <f>IF($X379="","",SUMIFS(합계표[시스템 합계],합계표[사번키],INDEX(합계표[사번키],$X379)))</f>
        <v/>
      </c>
      <c r="G379" s="20">
        <f>IF($X379="","",SUMIFS(상세표[기록 시간외],상세표[사번키],INDEX(합계표[사번키],$X379),상세표[기록월],대상월키))</f>
        <v/>
      </c>
      <c r="H379">
        <f>IF($X379="","",IF(ABS($F379-$G379)&lt;0.01,"일치","불일치(차이 "&amp;TEXT($G379-$F379,"0.00")&amp;")"))</f>
        <v/>
      </c>
      <c r="I379" s="20">
        <f>IF($X379="","",SUMIFS(상세표[기록 시간외],상세표[사번키],INDEX(합계표[사번키],$X379),상세표[기록월],대상월키,상세표[반영월],"&lt;&gt;"&amp;대상월키))</f>
        <v/>
      </c>
      <c r="J379" s="20">
        <f>IF($X379="","",SUMIFS(상세표[기록 시간외],상세표[사번키],INDEX(합계표[사번키],$X379),상세표[기록월],"&lt;&gt;"&amp;대상월키,상세표[반영월],대상월키))</f>
        <v/>
      </c>
      <c r="K379" s="20">
        <f>IF($X379="","",SUMIFS(상세표[기록 시간외],상세표[사번키],INDEX(합계표[사번키],$X379),상세표[반영월],대상월키))</f>
        <v/>
      </c>
      <c r="L379">
        <f>IF($X379="","",IFERROR(INDEX(월별근무지표[적용 급여병원],MATCH(INDEX(합계표[사번키],$X379)&amp;"|"&amp;대상월키,월별근무지표[키],0))&amp;"",IF(COUNTIF(기관표[사번키],INDEX(합계표[사번키],$X379))+COUNTIF(월별근무지표[사번키],INDEX(합계표[사번키],$X379))&gt;0,IFERROR(INDEX(기관표[급여지급병원(기준월)],MATCH(INDEX(합계표[사번키],$X379)&amp;"|"&amp;대상월키,기관표[키],0))&amp;"","—"),"—")))</f>
        <v/>
      </c>
      <c r="M379">
        <f>IF($X379="","",IF(NOT(COUNTIF(기관표[사번키],INDEX(합계표[사번키],$X379))+COUNTIF(월별근무지표[사번키],INDEX(합계표[사번키],$X379))&gt;0),"기관명단에 없음(다른 병원으로 발송)",IF($L379="서울병원","해당",IF(N($R379)&gt;0,"해당(말일 근무)",IF($L379="—","대상월 기관명단 없음(추가 필요)","비해당")))))</f>
        <v/>
      </c>
      <c r="N379" s="20">
        <f>IF($X379="","",SUMIFS(상세표[06~07시],상세표[사번키],INDEX(합계표[사번키],$X379),상세표[반영월],대상월키,상세표[반영 기관],"서울병원"))</f>
        <v/>
      </c>
      <c r="O379" s="20">
        <f>IF($X379="","",SUMIFS(상세표[07~18시],상세표[사번키],INDEX(합계표[사번키],$X379),상세표[반영월],대상월키,상세표[반영 기관],"서울병원"))</f>
        <v/>
      </c>
      <c r="P379" s="20">
        <f>IF($X379="","",SUMIFS(상세표[18~22시],상세표[사번키],INDEX(합계표[사번키],$X379),상세표[반영월],대상월키,상세표[반영 기관],"서울병원"))</f>
        <v/>
      </c>
      <c r="Q379" s="20">
        <f>IF($X379="","",SUMIFS(상세표[22~06시],상세표[사번키],INDEX(합계표[사번키],$X379),상세표[반영월],대상월키,상세표[반영 기관],"서울병원"))</f>
        <v/>
      </c>
      <c r="R379" s="20">
        <f>IF($X379="","",SUM($N379:$Q379))</f>
        <v/>
      </c>
      <c r="S379">
        <f>IF($X379="","",COUNTIFS(상세표[사번키],INDEX(합계표[사번키],$X379),상세표[반영월],대상월키,상세표[야간당직],1,상세표[야간 구분],"평일"))</f>
        <v/>
      </c>
      <c r="T379">
        <f>IF($X379="","",COUNTIFS(상세표[사번키],INDEX(합계표[사번키],$X379),상세표[반영월],대상월키,상세표[야간당직],1,상세표[야간 구분],"휴일"))</f>
        <v/>
      </c>
      <c r="U379">
        <f>IF($X379="","",COUNTIFS(상세표[사번키],INDEX(합계표[사번키],$X379),상세표[반영월],대상월키,상세표[야간당직],1,상세표[야간 구분],"평일",상세표[반영 기관],"서울병원"))</f>
        <v/>
      </c>
      <c r="V379">
        <f>IF($X379="","",COUNTIFS(상세표[사번키],INDEX(합계표[사번키],$X379),상세표[반영월],대상월키,상세표[야간당직],1,상세표[야간 구분],"휴일",상세표[반영 기관],"서울병원"))</f>
        <v/>
      </c>
      <c r="W379">
        <f>IF($X379="","",IF(ISNUMBER(MATCH(INDEX(합계표[사번키],$X379)&amp;"|"&amp;대상월키,월별근무지표[키],0)),"직접 입력",IF($L379="—","—","기관명단")))</f>
        <v/>
      </c>
      <c r="X379" s="4">
        <f>IFERROR(MATCH(374,합계표[판정순번],0),"")</f>
        <v/>
      </c>
    </row>
    <row r="380">
      <c r="A380">
        <f>IF($X380="","",INDEX(합계표[사번],$X380)&amp;"")</f>
        <v/>
      </c>
      <c r="B380">
        <f>IF($X380="","",INDEX(합계표[성명],$X380)&amp;"")</f>
        <v/>
      </c>
      <c r="C380">
        <f>IF($X380="","",INDEX(합계표[부서],$X380)&amp;"")</f>
        <v/>
      </c>
      <c r="D380">
        <f>IF($X380="","",INDEX(합계표[직위(요약)],$X380)&amp;"")</f>
        <v/>
      </c>
      <c r="E380">
        <f>IF($X380="","",INDEX(합계표[직급 공존],$X380)&amp;"")</f>
        <v/>
      </c>
      <c r="F380" s="20">
        <f>IF($X380="","",SUMIFS(합계표[시스템 합계],합계표[사번키],INDEX(합계표[사번키],$X380)))</f>
        <v/>
      </c>
      <c r="G380" s="20">
        <f>IF($X380="","",SUMIFS(상세표[기록 시간외],상세표[사번키],INDEX(합계표[사번키],$X380),상세표[기록월],대상월키))</f>
        <v/>
      </c>
      <c r="H380">
        <f>IF($X380="","",IF(ABS($F380-$G380)&lt;0.01,"일치","불일치(차이 "&amp;TEXT($G380-$F380,"0.00")&amp;")"))</f>
        <v/>
      </c>
      <c r="I380" s="20">
        <f>IF($X380="","",SUMIFS(상세표[기록 시간외],상세표[사번키],INDEX(합계표[사번키],$X380),상세표[기록월],대상월키,상세표[반영월],"&lt;&gt;"&amp;대상월키))</f>
        <v/>
      </c>
      <c r="J380" s="20">
        <f>IF($X380="","",SUMIFS(상세표[기록 시간외],상세표[사번키],INDEX(합계표[사번키],$X380),상세표[기록월],"&lt;&gt;"&amp;대상월키,상세표[반영월],대상월키))</f>
        <v/>
      </c>
      <c r="K380" s="20">
        <f>IF($X380="","",SUMIFS(상세표[기록 시간외],상세표[사번키],INDEX(합계표[사번키],$X380),상세표[반영월],대상월키))</f>
        <v/>
      </c>
      <c r="L380">
        <f>IF($X380="","",IFERROR(INDEX(월별근무지표[적용 급여병원],MATCH(INDEX(합계표[사번키],$X380)&amp;"|"&amp;대상월키,월별근무지표[키],0))&amp;"",IF(COUNTIF(기관표[사번키],INDEX(합계표[사번키],$X380))+COUNTIF(월별근무지표[사번키],INDEX(합계표[사번키],$X380))&gt;0,IFERROR(INDEX(기관표[급여지급병원(기준월)],MATCH(INDEX(합계표[사번키],$X380)&amp;"|"&amp;대상월키,기관표[키],0))&amp;"","—"),"—")))</f>
        <v/>
      </c>
      <c r="M380">
        <f>IF($X380="","",IF(NOT(COUNTIF(기관표[사번키],INDEX(합계표[사번키],$X380))+COUNTIF(월별근무지표[사번키],INDEX(합계표[사번키],$X380))&gt;0),"기관명단에 없음(다른 병원으로 발송)",IF($L380="서울병원","해당",IF(N($R380)&gt;0,"해당(말일 근무)",IF($L380="—","대상월 기관명단 없음(추가 필요)","비해당")))))</f>
        <v/>
      </c>
      <c r="N380" s="20">
        <f>IF($X380="","",SUMIFS(상세표[06~07시],상세표[사번키],INDEX(합계표[사번키],$X380),상세표[반영월],대상월키,상세표[반영 기관],"서울병원"))</f>
        <v/>
      </c>
      <c r="O380" s="20">
        <f>IF($X380="","",SUMIFS(상세표[07~18시],상세표[사번키],INDEX(합계표[사번키],$X380),상세표[반영월],대상월키,상세표[반영 기관],"서울병원"))</f>
        <v/>
      </c>
      <c r="P380" s="20">
        <f>IF($X380="","",SUMIFS(상세표[18~22시],상세표[사번키],INDEX(합계표[사번키],$X380),상세표[반영월],대상월키,상세표[반영 기관],"서울병원"))</f>
        <v/>
      </c>
      <c r="Q380" s="20">
        <f>IF($X380="","",SUMIFS(상세표[22~06시],상세표[사번키],INDEX(합계표[사번키],$X380),상세표[반영월],대상월키,상세표[반영 기관],"서울병원"))</f>
        <v/>
      </c>
      <c r="R380" s="20">
        <f>IF($X380="","",SUM($N380:$Q380))</f>
        <v/>
      </c>
      <c r="S380">
        <f>IF($X380="","",COUNTIFS(상세표[사번키],INDEX(합계표[사번키],$X380),상세표[반영월],대상월키,상세표[야간당직],1,상세표[야간 구분],"평일"))</f>
        <v/>
      </c>
      <c r="T380">
        <f>IF($X380="","",COUNTIFS(상세표[사번키],INDEX(합계표[사번키],$X380),상세표[반영월],대상월키,상세표[야간당직],1,상세표[야간 구분],"휴일"))</f>
        <v/>
      </c>
      <c r="U380">
        <f>IF($X380="","",COUNTIFS(상세표[사번키],INDEX(합계표[사번키],$X380),상세표[반영월],대상월키,상세표[야간당직],1,상세표[야간 구분],"평일",상세표[반영 기관],"서울병원"))</f>
        <v/>
      </c>
      <c r="V380">
        <f>IF($X380="","",COUNTIFS(상세표[사번키],INDEX(합계표[사번키],$X380),상세표[반영월],대상월키,상세표[야간당직],1,상세표[야간 구분],"휴일",상세표[반영 기관],"서울병원"))</f>
        <v/>
      </c>
      <c r="W380">
        <f>IF($X380="","",IF(ISNUMBER(MATCH(INDEX(합계표[사번키],$X380)&amp;"|"&amp;대상월키,월별근무지표[키],0)),"직접 입력",IF($L380="—","—","기관명단")))</f>
        <v/>
      </c>
      <c r="X380" s="4">
        <f>IFERROR(MATCH(375,합계표[판정순번],0),"")</f>
        <v/>
      </c>
    </row>
    <row r="381">
      <c r="A381">
        <f>IF($X381="","",INDEX(합계표[사번],$X381)&amp;"")</f>
        <v/>
      </c>
      <c r="B381">
        <f>IF($X381="","",INDEX(합계표[성명],$X381)&amp;"")</f>
        <v/>
      </c>
      <c r="C381">
        <f>IF($X381="","",INDEX(합계표[부서],$X381)&amp;"")</f>
        <v/>
      </c>
      <c r="D381">
        <f>IF($X381="","",INDEX(합계표[직위(요약)],$X381)&amp;"")</f>
        <v/>
      </c>
      <c r="E381">
        <f>IF($X381="","",INDEX(합계표[직급 공존],$X381)&amp;"")</f>
        <v/>
      </c>
      <c r="F381" s="20">
        <f>IF($X381="","",SUMIFS(합계표[시스템 합계],합계표[사번키],INDEX(합계표[사번키],$X381)))</f>
        <v/>
      </c>
      <c r="G381" s="20">
        <f>IF($X381="","",SUMIFS(상세표[기록 시간외],상세표[사번키],INDEX(합계표[사번키],$X381),상세표[기록월],대상월키))</f>
        <v/>
      </c>
      <c r="H381">
        <f>IF($X381="","",IF(ABS($F381-$G381)&lt;0.01,"일치","불일치(차이 "&amp;TEXT($G381-$F381,"0.00")&amp;")"))</f>
        <v/>
      </c>
      <c r="I381" s="20">
        <f>IF($X381="","",SUMIFS(상세표[기록 시간외],상세표[사번키],INDEX(합계표[사번키],$X381),상세표[기록월],대상월키,상세표[반영월],"&lt;&gt;"&amp;대상월키))</f>
        <v/>
      </c>
      <c r="J381" s="20">
        <f>IF($X381="","",SUMIFS(상세표[기록 시간외],상세표[사번키],INDEX(합계표[사번키],$X381),상세표[기록월],"&lt;&gt;"&amp;대상월키,상세표[반영월],대상월키))</f>
        <v/>
      </c>
      <c r="K381" s="20">
        <f>IF($X381="","",SUMIFS(상세표[기록 시간외],상세표[사번키],INDEX(합계표[사번키],$X381),상세표[반영월],대상월키))</f>
        <v/>
      </c>
      <c r="L381">
        <f>IF($X381="","",IFERROR(INDEX(월별근무지표[적용 급여병원],MATCH(INDEX(합계표[사번키],$X381)&amp;"|"&amp;대상월키,월별근무지표[키],0))&amp;"",IF(COUNTIF(기관표[사번키],INDEX(합계표[사번키],$X381))+COUNTIF(월별근무지표[사번키],INDEX(합계표[사번키],$X381))&gt;0,IFERROR(INDEX(기관표[급여지급병원(기준월)],MATCH(INDEX(합계표[사번키],$X381)&amp;"|"&amp;대상월키,기관표[키],0))&amp;"","—"),"—")))</f>
        <v/>
      </c>
      <c r="M381">
        <f>IF($X381="","",IF(NOT(COUNTIF(기관표[사번키],INDEX(합계표[사번키],$X381))+COUNTIF(월별근무지표[사번키],INDEX(합계표[사번키],$X381))&gt;0),"기관명단에 없음(다른 병원으로 발송)",IF($L381="서울병원","해당",IF(N($R381)&gt;0,"해당(말일 근무)",IF($L381="—","대상월 기관명단 없음(추가 필요)","비해당")))))</f>
        <v/>
      </c>
      <c r="N381" s="20">
        <f>IF($X381="","",SUMIFS(상세표[06~07시],상세표[사번키],INDEX(합계표[사번키],$X381),상세표[반영월],대상월키,상세표[반영 기관],"서울병원"))</f>
        <v/>
      </c>
      <c r="O381" s="20">
        <f>IF($X381="","",SUMIFS(상세표[07~18시],상세표[사번키],INDEX(합계표[사번키],$X381),상세표[반영월],대상월키,상세표[반영 기관],"서울병원"))</f>
        <v/>
      </c>
      <c r="P381" s="20">
        <f>IF($X381="","",SUMIFS(상세표[18~22시],상세표[사번키],INDEX(합계표[사번키],$X381),상세표[반영월],대상월키,상세표[반영 기관],"서울병원"))</f>
        <v/>
      </c>
      <c r="Q381" s="20">
        <f>IF($X381="","",SUMIFS(상세표[22~06시],상세표[사번키],INDEX(합계표[사번키],$X381),상세표[반영월],대상월키,상세표[반영 기관],"서울병원"))</f>
        <v/>
      </c>
      <c r="R381" s="20">
        <f>IF($X381="","",SUM($N381:$Q381))</f>
        <v/>
      </c>
      <c r="S381">
        <f>IF($X381="","",COUNTIFS(상세표[사번키],INDEX(합계표[사번키],$X381),상세표[반영월],대상월키,상세표[야간당직],1,상세표[야간 구분],"평일"))</f>
        <v/>
      </c>
      <c r="T381">
        <f>IF($X381="","",COUNTIFS(상세표[사번키],INDEX(합계표[사번키],$X381),상세표[반영월],대상월키,상세표[야간당직],1,상세표[야간 구분],"휴일"))</f>
        <v/>
      </c>
      <c r="U381">
        <f>IF($X381="","",COUNTIFS(상세표[사번키],INDEX(합계표[사번키],$X381),상세표[반영월],대상월키,상세표[야간당직],1,상세표[야간 구분],"평일",상세표[반영 기관],"서울병원"))</f>
        <v/>
      </c>
      <c r="V381">
        <f>IF($X381="","",COUNTIFS(상세표[사번키],INDEX(합계표[사번키],$X381),상세표[반영월],대상월키,상세표[야간당직],1,상세표[야간 구분],"휴일",상세표[반영 기관],"서울병원"))</f>
        <v/>
      </c>
      <c r="W381">
        <f>IF($X381="","",IF(ISNUMBER(MATCH(INDEX(합계표[사번키],$X381)&amp;"|"&amp;대상월키,월별근무지표[키],0)),"직접 입력",IF($L381="—","—","기관명단")))</f>
        <v/>
      </c>
      <c r="X381" s="4">
        <f>IFERROR(MATCH(376,합계표[판정순번],0),"")</f>
        <v/>
      </c>
    </row>
    <row r="382">
      <c r="A382">
        <f>IF($X382="","",INDEX(합계표[사번],$X382)&amp;"")</f>
        <v/>
      </c>
      <c r="B382">
        <f>IF($X382="","",INDEX(합계표[성명],$X382)&amp;"")</f>
        <v/>
      </c>
      <c r="C382">
        <f>IF($X382="","",INDEX(합계표[부서],$X382)&amp;"")</f>
        <v/>
      </c>
      <c r="D382">
        <f>IF($X382="","",INDEX(합계표[직위(요약)],$X382)&amp;"")</f>
        <v/>
      </c>
      <c r="E382">
        <f>IF($X382="","",INDEX(합계표[직급 공존],$X382)&amp;"")</f>
        <v/>
      </c>
      <c r="F382" s="20">
        <f>IF($X382="","",SUMIFS(합계표[시스템 합계],합계표[사번키],INDEX(합계표[사번키],$X382)))</f>
        <v/>
      </c>
      <c r="G382" s="20">
        <f>IF($X382="","",SUMIFS(상세표[기록 시간외],상세표[사번키],INDEX(합계표[사번키],$X382),상세표[기록월],대상월키))</f>
        <v/>
      </c>
      <c r="H382">
        <f>IF($X382="","",IF(ABS($F382-$G382)&lt;0.01,"일치","불일치(차이 "&amp;TEXT($G382-$F382,"0.00")&amp;")"))</f>
        <v/>
      </c>
      <c r="I382" s="20">
        <f>IF($X382="","",SUMIFS(상세표[기록 시간외],상세표[사번키],INDEX(합계표[사번키],$X382),상세표[기록월],대상월키,상세표[반영월],"&lt;&gt;"&amp;대상월키))</f>
        <v/>
      </c>
      <c r="J382" s="20">
        <f>IF($X382="","",SUMIFS(상세표[기록 시간외],상세표[사번키],INDEX(합계표[사번키],$X382),상세표[기록월],"&lt;&gt;"&amp;대상월키,상세표[반영월],대상월키))</f>
        <v/>
      </c>
      <c r="K382" s="20">
        <f>IF($X382="","",SUMIFS(상세표[기록 시간외],상세표[사번키],INDEX(합계표[사번키],$X382),상세표[반영월],대상월키))</f>
        <v/>
      </c>
      <c r="L382">
        <f>IF($X382="","",IFERROR(INDEX(월별근무지표[적용 급여병원],MATCH(INDEX(합계표[사번키],$X382)&amp;"|"&amp;대상월키,월별근무지표[키],0))&amp;"",IF(COUNTIF(기관표[사번키],INDEX(합계표[사번키],$X382))+COUNTIF(월별근무지표[사번키],INDEX(합계표[사번키],$X382))&gt;0,IFERROR(INDEX(기관표[급여지급병원(기준월)],MATCH(INDEX(합계표[사번키],$X382)&amp;"|"&amp;대상월키,기관표[키],0))&amp;"","—"),"—")))</f>
        <v/>
      </c>
      <c r="M382">
        <f>IF($X382="","",IF(NOT(COUNTIF(기관표[사번키],INDEX(합계표[사번키],$X382))+COUNTIF(월별근무지표[사번키],INDEX(합계표[사번키],$X382))&gt;0),"기관명단에 없음(다른 병원으로 발송)",IF($L382="서울병원","해당",IF(N($R382)&gt;0,"해당(말일 근무)",IF($L382="—","대상월 기관명단 없음(추가 필요)","비해당")))))</f>
        <v/>
      </c>
      <c r="N382" s="20">
        <f>IF($X382="","",SUMIFS(상세표[06~07시],상세표[사번키],INDEX(합계표[사번키],$X382),상세표[반영월],대상월키,상세표[반영 기관],"서울병원"))</f>
        <v/>
      </c>
      <c r="O382" s="20">
        <f>IF($X382="","",SUMIFS(상세표[07~18시],상세표[사번키],INDEX(합계표[사번키],$X382),상세표[반영월],대상월키,상세표[반영 기관],"서울병원"))</f>
        <v/>
      </c>
      <c r="P382" s="20">
        <f>IF($X382="","",SUMIFS(상세표[18~22시],상세표[사번키],INDEX(합계표[사번키],$X382),상세표[반영월],대상월키,상세표[반영 기관],"서울병원"))</f>
        <v/>
      </c>
      <c r="Q382" s="20">
        <f>IF($X382="","",SUMIFS(상세표[22~06시],상세표[사번키],INDEX(합계표[사번키],$X382),상세표[반영월],대상월키,상세표[반영 기관],"서울병원"))</f>
        <v/>
      </c>
      <c r="R382" s="20">
        <f>IF($X382="","",SUM($N382:$Q382))</f>
        <v/>
      </c>
      <c r="S382">
        <f>IF($X382="","",COUNTIFS(상세표[사번키],INDEX(합계표[사번키],$X382),상세표[반영월],대상월키,상세표[야간당직],1,상세표[야간 구분],"평일"))</f>
        <v/>
      </c>
      <c r="T382">
        <f>IF($X382="","",COUNTIFS(상세표[사번키],INDEX(합계표[사번키],$X382),상세표[반영월],대상월키,상세표[야간당직],1,상세표[야간 구분],"휴일"))</f>
        <v/>
      </c>
      <c r="U382">
        <f>IF($X382="","",COUNTIFS(상세표[사번키],INDEX(합계표[사번키],$X382),상세표[반영월],대상월키,상세표[야간당직],1,상세표[야간 구분],"평일",상세표[반영 기관],"서울병원"))</f>
        <v/>
      </c>
      <c r="V382">
        <f>IF($X382="","",COUNTIFS(상세표[사번키],INDEX(합계표[사번키],$X382),상세표[반영월],대상월키,상세표[야간당직],1,상세표[야간 구분],"휴일",상세표[반영 기관],"서울병원"))</f>
        <v/>
      </c>
      <c r="W382">
        <f>IF($X382="","",IF(ISNUMBER(MATCH(INDEX(합계표[사번키],$X382)&amp;"|"&amp;대상월키,월별근무지표[키],0)),"직접 입력",IF($L382="—","—","기관명단")))</f>
        <v/>
      </c>
      <c r="X382" s="4">
        <f>IFERROR(MATCH(377,합계표[판정순번],0),"")</f>
        <v/>
      </c>
    </row>
    <row r="383">
      <c r="A383">
        <f>IF($X383="","",INDEX(합계표[사번],$X383)&amp;"")</f>
        <v/>
      </c>
      <c r="B383">
        <f>IF($X383="","",INDEX(합계표[성명],$X383)&amp;"")</f>
        <v/>
      </c>
      <c r="C383">
        <f>IF($X383="","",INDEX(합계표[부서],$X383)&amp;"")</f>
        <v/>
      </c>
      <c r="D383">
        <f>IF($X383="","",INDEX(합계표[직위(요약)],$X383)&amp;"")</f>
        <v/>
      </c>
      <c r="E383">
        <f>IF($X383="","",INDEX(합계표[직급 공존],$X383)&amp;"")</f>
        <v/>
      </c>
      <c r="F383" s="20">
        <f>IF($X383="","",SUMIFS(합계표[시스템 합계],합계표[사번키],INDEX(합계표[사번키],$X383)))</f>
        <v/>
      </c>
      <c r="G383" s="20">
        <f>IF($X383="","",SUMIFS(상세표[기록 시간외],상세표[사번키],INDEX(합계표[사번키],$X383),상세표[기록월],대상월키))</f>
        <v/>
      </c>
      <c r="H383">
        <f>IF($X383="","",IF(ABS($F383-$G383)&lt;0.01,"일치","불일치(차이 "&amp;TEXT($G383-$F383,"0.00")&amp;")"))</f>
        <v/>
      </c>
      <c r="I383" s="20">
        <f>IF($X383="","",SUMIFS(상세표[기록 시간외],상세표[사번키],INDEX(합계표[사번키],$X383),상세표[기록월],대상월키,상세표[반영월],"&lt;&gt;"&amp;대상월키))</f>
        <v/>
      </c>
      <c r="J383" s="20">
        <f>IF($X383="","",SUMIFS(상세표[기록 시간외],상세표[사번키],INDEX(합계표[사번키],$X383),상세표[기록월],"&lt;&gt;"&amp;대상월키,상세표[반영월],대상월키))</f>
        <v/>
      </c>
      <c r="K383" s="20">
        <f>IF($X383="","",SUMIFS(상세표[기록 시간외],상세표[사번키],INDEX(합계표[사번키],$X383),상세표[반영월],대상월키))</f>
        <v/>
      </c>
      <c r="L383">
        <f>IF($X383="","",IFERROR(INDEX(월별근무지표[적용 급여병원],MATCH(INDEX(합계표[사번키],$X383)&amp;"|"&amp;대상월키,월별근무지표[키],0))&amp;"",IF(COUNTIF(기관표[사번키],INDEX(합계표[사번키],$X383))+COUNTIF(월별근무지표[사번키],INDEX(합계표[사번키],$X383))&gt;0,IFERROR(INDEX(기관표[급여지급병원(기준월)],MATCH(INDEX(합계표[사번키],$X383)&amp;"|"&amp;대상월키,기관표[키],0))&amp;"","—"),"—")))</f>
        <v/>
      </c>
      <c r="M383">
        <f>IF($X383="","",IF(NOT(COUNTIF(기관표[사번키],INDEX(합계표[사번키],$X383))+COUNTIF(월별근무지표[사번키],INDEX(합계표[사번키],$X383))&gt;0),"기관명단에 없음(다른 병원으로 발송)",IF($L383="서울병원","해당",IF(N($R383)&gt;0,"해당(말일 근무)",IF($L383="—","대상월 기관명단 없음(추가 필요)","비해당")))))</f>
        <v/>
      </c>
      <c r="N383" s="20">
        <f>IF($X383="","",SUMIFS(상세표[06~07시],상세표[사번키],INDEX(합계표[사번키],$X383),상세표[반영월],대상월키,상세표[반영 기관],"서울병원"))</f>
        <v/>
      </c>
      <c r="O383" s="20">
        <f>IF($X383="","",SUMIFS(상세표[07~18시],상세표[사번키],INDEX(합계표[사번키],$X383),상세표[반영월],대상월키,상세표[반영 기관],"서울병원"))</f>
        <v/>
      </c>
      <c r="P383" s="20">
        <f>IF($X383="","",SUMIFS(상세표[18~22시],상세표[사번키],INDEX(합계표[사번키],$X383),상세표[반영월],대상월키,상세표[반영 기관],"서울병원"))</f>
        <v/>
      </c>
      <c r="Q383" s="20">
        <f>IF($X383="","",SUMIFS(상세표[22~06시],상세표[사번키],INDEX(합계표[사번키],$X383),상세표[반영월],대상월키,상세표[반영 기관],"서울병원"))</f>
        <v/>
      </c>
      <c r="R383" s="20">
        <f>IF($X383="","",SUM($N383:$Q383))</f>
        <v/>
      </c>
      <c r="S383">
        <f>IF($X383="","",COUNTIFS(상세표[사번키],INDEX(합계표[사번키],$X383),상세표[반영월],대상월키,상세표[야간당직],1,상세표[야간 구분],"평일"))</f>
        <v/>
      </c>
      <c r="T383">
        <f>IF($X383="","",COUNTIFS(상세표[사번키],INDEX(합계표[사번키],$X383),상세표[반영월],대상월키,상세표[야간당직],1,상세표[야간 구분],"휴일"))</f>
        <v/>
      </c>
      <c r="U383">
        <f>IF($X383="","",COUNTIFS(상세표[사번키],INDEX(합계표[사번키],$X383),상세표[반영월],대상월키,상세표[야간당직],1,상세표[야간 구분],"평일",상세표[반영 기관],"서울병원"))</f>
        <v/>
      </c>
      <c r="V383">
        <f>IF($X383="","",COUNTIFS(상세표[사번키],INDEX(합계표[사번키],$X383),상세표[반영월],대상월키,상세표[야간당직],1,상세표[야간 구분],"휴일",상세표[반영 기관],"서울병원"))</f>
        <v/>
      </c>
      <c r="W383">
        <f>IF($X383="","",IF(ISNUMBER(MATCH(INDEX(합계표[사번키],$X383)&amp;"|"&amp;대상월키,월별근무지표[키],0)),"직접 입력",IF($L383="—","—","기관명단")))</f>
        <v/>
      </c>
      <c r="X383" s="4">
        <f>IFERROR(MATCH(378,합계표[판정순번],0),"")</f>
        <v/>
      </c>
    </row>
    <row r="384">
      <c r="A384">
        <f>IF($X384="","",INDEX(합계표[사번],$X384)&amp;"")</f>
        <v/>
      </c>
      <c r="B384">
        <f>IF($X384="","",INDEX(합계표[성명],$X384)&amp;"")</f>
        <v/>
      </c>
      <c r="C384">
        <f>IF($X384="","",INDEX(합계표[부서],$X384)&amp;"")</f>
        <v/>
      </c>
      <c r="D384">
        <f>IF($X384="","",INDEX(합계표[직위(요약)],$X384)&amp;"")</f>
        <v/>
      </c>
      <c r="E384">
        <f>IF($X384="","",INDEX(합계표[직급 공존],$X384)&amp;"")</f>
        <v/>
      </c>
      <c r="F384" s="20">
        <f>IF($X384="","",SUMIFS(합계표[시스템 합계],합계표[사번키],INDEX(합계표[사번키],$X384)))</f>
        <v/>
      </c>
      <c r="G384" s="20">
        <f>IF($X384="","",SUMIFS(상세표[기록 시간외],상세표[사번키],INDEX(합계표[사번키],$X384),상세표[기록월],대상월키))</f>
        <v/>
      </c>
      <c r="H384">
        <f>IF($X384="","",IF(ABS($F384-$G384)&lt;0.01,"일치","불일치(차이 "&amp;TEXT($G384-$F384,"0.00")&amp;")"))</f>
        <v/>
      </c>
      <c r="I384" s="20">
        <f>IF($X384="","",SUMIFS(상세표[기록 시간외],상세표[사번키],INDEX(합계표[사번키],$X384),상세표[기록월],대상월키,상세표[반영월],"&lt;&gt;"&amp;대상월키))</f>
        <v/>
      </c>
      <c r="J384" s="20">
        <f>IF($X384="","",SUMIFS(상세표[기록 시간외],상세표[사번키],INDEX(합계표[사번키],$X384),상세표[기록월],"&lt;&gt;"&amp;대상월키,상세표[반영월],대상월키))</f>
        <v/>
      </c>
      <c r="K384" s="20">
        <f>IF($X384="","",SUMIFS(상세표[기록 시간외],상세표[사번키],INDEX(합계표[사번키],$X384),상세표[반영월],대상월키))</f>
        <v/>
      </c>
      <c r="L384">
        <f>IF($X384="","",IFERROR(INDEX(월별근무지표[적용 급여병원],MATCH(INDEX(합계표[사번키],$X384)&amp;"|"&amp;대상월키,월별근무지표[키],0))&amp;"",IF(COUNTIF(기관표[사번키],INDEX(합계표[사번키],$X384))+COUNTIF(월별근무지표[사번키],INDEX(합계표[사번키],$X384))&gt;0,IFERROR(INDEX(기관표[급여지급병원(기준월)],MATCH(INDEX(합계표[사번키],$X384)&amp;"|"&amp;대상월키,기관표[키],0))&amp;"","—"),"—")))</f>
        <v/>
      </c>
      <c r="M384">
        <f>IF($X384="","",IF(NOT(COUNTIF(기관표[사번키],INDEX(합계표[사번키],$X384))+COUNTIF(월별근무지표[사번키],INDEX(합계표[사번키],$X384))&gt;0),"기관명단에 없음(다른 병원으로 발송)",IF($L384="서울병원","해당",IF(N($R384)&gt;0,"해당(말일 근무)",IF($L384="—","대상월 기관명단 없음(추가 필요)","비해당")))))</f>
        <v/>
      </c>
      <c r="N384" s="20">
        <f>IF($X384="","",SUMIFS(상세표[06~07시],상세표[사번키],INDEX(합계표[사번키],$X384),상세표[반영월],대상월키,상세표[반영 기관],"서울병원"))</f>
        <v/>
      </c>
      <c r="O384" s="20">
        <f>IF($X384="","",SUMIFS(상세표[07~18시],상세표[사번키],INDEX(합계표[사번키],$X384),상세표[반영월],대상월키,상세표[반영 기관],"서울병원"))</f>
        <v/>
      </c>
      <c r="P384" s="20">
        <f>IF($X384="","",SUMIFS(상세표[18~22시],상세표[사번키],INDEX(합계표[사번키],$X384),상세표[반영월],대상월키,상세표[반영 기관],"서울병원"))</f>
        <v/>
      </c>
      <c r="Q384" s="20">
        <f>IF($X384="","",SUMIFS(상세표[22~06시],상세표[사번키],INDEX(합계표[사번키],$X384),상세표[반영월],대상월키,상세표[반영 기관],"서울병원"))</f>
        <v/>
      </c>
      <c r="R384" s="20">
        <f>IF($X384="","",SUM($N384:$Q384))</f>
        <v/>
      </c>
      <c r="S384">
        <f>IF($X384="","",COUNTIFS(상세표[사번키],INDEX(합계표[사번키],$X384),상세표[반영월],대상월키,상세표[야간당직],1,상세표[야간 구분],"평일"))</f>
        <v/>
      </c>
      <c r="T384">
        <f>IF($X384="","",COUNTIFS(상세표[사번키],INDEX(합계표[사번키],$X384),상세표[반영월],대상월키,상세표[야간당직],1,상세표[야간 구분],"휴일"))</f>
        <v/>
      </c>
      <c r="U384">
        <f>IF($X384="","",COUNTIFS(상세표[사번키],INDEX(합계표[사번키],$X384),상세표[반영월],대상월키,상세표[야간당직],1,상세표[야간 구분],"평일",상세표[반영 기관],"서울병원"))</f>
        <v/>
      </c>
      <c r="V384">
        <f>IF($X384="","",COUNTIFS(상세표[사번키],INDEX(합계표[사번키],$X384),상세표[반영월],대상월키,상세표[야간당직],1,상세표[야간 구분],"휴일",상세표[반영 기관],"서울병원"))</f>
        <v/>
      </c>
      <c r="W384">
        <f>IF($X384="","",IF(ISNUMBER(MATCH(INDEX(합계표[사번키],$X384)&amp;"|"&amp;대상월키,월별근무지표[키],0)),"직접 입력",IF($L384="—","—","기관명단")))</f>
        <v/>
      </c>
      <c r="X384" s="4">
        <f>IFERROR(MATCH(379,합계표[판정순번],0),"")</f>
        <v/>
      </c>
    </row>
    <row r="385">
      <c r="A385">
        <f>IF($X385="","",INDEX(합계표[사번],$X385)&amp;"")</f>
        <v/>
      </c>
      <c r="B385">
        <f>IF($X385="","",INDEX(합계표[성명],$X385)&amp;"")</f>
        <v/>
      </c>
      <c r="C385">
        <f>IF($X385="","",INDEX(합계표[부서],$X385)&amp;"")</f>
        <v/>
      </c>
      <c r="D385">
        <f>IF($X385="","",INDEX(합계표[직위(요약)],$X385)&amp;"")</f>
        <v/>
      </c>
      <c r="E385">
        <f>IF($X385="","",INDEX(합계표[직급 공존],$X385)&amp;"")</f>
        <v/>
      </c>
      <c r="F385" s="20">
        <f>IF($X385="","",SUMIFS(합계표[시스템 합계],합계표[사번키],INDEX(합계표[사번키],$X385)))</f>
        <v/>
      </c>
      <c r="G385" s="20">
        <f>IF($X385="","",SUMIFS(상세표[기록 시간외],상세표[사번키],INDEX(합계표[사번키],$X385),상세표[기록월],대상월키))</f>
        <v/>
      </c>
      <c r="H385">
        <f>IF($X385="","",IF(ABS($F385-$G385)&lt;0.01,"일치","불일치(차이 "&amp;TEXT($G385-$F385,"0.00")&amp;")"))</f>
        <v/>
      </c>
      <c r="I385" s="20">
        <f>IF($X385="","",SUMIFS(상세표[기록 시간외],상세표[사번키],INDEX(합계표[사번키],$X385),상세표[기록월],대상월키,상세표[반영월],"&lt;&gt;"&amp;대상월키))</f>
        <v/>
      </c>
      <c r="J385" s="20">
        <f>IF($X385="","",SUMIFS(상세표[기록 시간외],상세표[사번키],INDEX(합계표[사번키],$X385),상세표[기록월],"&lt;&gt;"&amp;대상월키,상세표[반영월],대상월키))</f>
        <v/>
      </c>
      <c r="K385" s="20">
        <f>IF($X385="","",SUMIFS(상세표[기록 시간외],상세표[사번키],INDEX(합계표[사번키],$X385),상세표[반영월],대상월키))</f>
        <v/>
      </c>
      <c r="L385">
        <f>IF($X385="","",IFERROR(INDEX(월별근무지표[적용 급여병원],MATCH(INDEX(합계표[사번키],$X385)&amp;"|"&amp;대상월키,월별근무지표[키],0))&amp;"",IF(COUNTIF(기관표[사번키],INDEX(합계표[사번키],$X385))+COUNTIF(월별근무지표[사번키],INDEX(합계표[사번키],$X385))&gt;0,IFERROR(INDEX(기관표[급여지급병원(기준월)],MATCH(INDEX(합계표[사번키],$X385)&amp;"|"&amp;대상월키,기관표[키],0))&amp;"","—"),"—")))</f>
        <v/>
      </c>
      <c r="M385">
        <f>IF($X385="","",IF(NOT(COUNTIF(기관표[사번키],INDEX(합계표[사번키],$X385))+COUNTIF(월별근무지표[사번키],INDEX(합계표[사번키],$X385))&gt;0),"기관명단에 없음(다른 병원으로 발송)",IF($L385="서울병원","해당",IF(N($R385)&gt;0,"해당(말일 근무)",IF($L385="—","대상월 기관명단 없음(추가 필요)","비해당")))))</f>
        <v/>
      </c>
      <c r="N385" s="20">
        <f>IF($X385="","",SUMIFS(상세표[06~07시],상세표[사번키],INDEX(합계표[사번키],$X385),상세표[반영월],대상월키,상세표[반영 기관],"서울병원"))</f>
        <v/>
      </c>
      <c r="O385" s="20">
        <f>IF($X385="","",SUMIFS(상세표[07~18시],상세표[사번키],INDEX(합계표[사번키],$X385),상세표[반영월],대상월키,상세표[반영 기관],"서울병원"))</f>
        <v/>
      </c>
      <c r="P385" s="20">
        <f>IF($X385="","",SUMIFS(상세표[18~22시],상세표[사번키],INDEX(합계표[사번키],$X385),상세표[반영월],대상월키,상세표[반영 기관],"서울병원"))</f>
        <v/>
      </c>
      <c r="Q385" s="20">
        <f>IF($X385="","",SUMIFS(상세표[22~06시],상세표[사번키],INDEX(합계표[사번키],$X385),상세표[반영월],대상월키,상세표[반영 기관],"서울병원"))</f>
        <v/>
      </c>
      <c r="R385" s="20">
        <f>IF($X385="","",SUM($N385:$Q385))</f>
        <v/>
      </c>
      <c r="S385">
        <f>IF($X385="","",COUNTIFS(상세표[사번키],INDEX(합계표[사번키],$X385),상세표[반영월],대상월키,상세표[야간당직],1,상세표[야간 구분],"평일"))</f>
        <v/>
      </c>
      <c r="T385">
        <f>IF($X385="","",COUNTIFS(상세표[사번키],INDEX(합계표[사번키],$X385),상세표[반영월],대상월키,상세표[야간당직],1,상세표[야간 구분],"휴일"))</f>
        <v/>
      </c>
      <c r="U385">
        <f>IF($X385="","",COUNTIFS(상세표[사번키],INDEX(합계표[사번키],$X385),상세표[반영월],대상월키,상세표[야간당직],1,상세표[야간 구분],"평일",상세표[반영 기관],"서울병원"))</f>
        <v/>
      </c>
      <c r="V385">
        <f>IF($X385="","",COUNTIFS(상세표[사번키],INDEX(합계표[사번키],$X385),상세표[반영월],대상월키,상세표[야간당직],1,상세표[야간 구분],"휴일",상세표[반영 기관],"서울병원"))</f>
        <v/>
      </c>
      <c r="W385">
        <f>IF($X385="","",IF(ISNUMBER(MATCH(INDEX(합계표[사번키],$X385)&amp;"|"&amp;대상월키,월별근무지표[키],0)),"직접 입력",IF($L385="—","—","기관명단")))</f>
        <v/>
      </c>
      <c r="X385" s="4">
        <f>IFERROR(MATCH(380,합계표[판정순번],0),"")</f>
        <v/>
      </c>
    </row>
    <row r="386">
      <c r="A386">
        <f>IF($X386="","",INDEX(합계표[사번],$X386)&amp;"")</f>
        <v/>
      </c>
      <c r="B386">
        <f>IF($X386="","",INDEX(합계표[성명],$X386)&amp;"")</f>
        <v/>
      </c>
      <c r="C386">
        <f>IF($X386="","",INDEX(합계표[부서],$X386)&amp;"")</f>
        <v/>
      </c>
      <c r="D386">
        <f>IF($X386="","",INDEX(합계표[직위(요약)],$X386)&amp;"")</f>
        <v/>
      </c>
      <c r="E386">
        <f>IF($X386="","",INDEX(합계표[직급 공존],$X386)&amp;"")</f>
        <v/>
      </c>
      <c r="F386" s="20">
        <f>IF($X386="","",SUMIFS(합계표[시스템 합계],합계표[사번키],INDEX(합계표[사번키],$X386)))</f>
        <v/>
      </c>
      <c r="G386" s="20">
        <f>IF($X386="","",SUMIFS(상세표[기록 시간외],상세표[사번키],INDEX(합계표[사번키],$X386),상세표[기록월],대상월키))</f>
        <v/>
      </c>
      <c r="H386">
        <f>IF($X386="","",IF(ABS($F386-$G386)&lt;0.01,"일치","불일치(차이 "&amp;TEXT($G386-$F386,"0.00")&amp;")"))</f>
        <v/>
      </c>
      <c r="I386" s="20">
        <f>IF($X386="","",SUMIFS(상세표[기록 시간외],상세표[사번키],INDEX(합계표[사번키],$X386),상세표[기록월],대상월키,상세표[반영월],"&lt;&gt;"&amp;대상월키))</f>
        <v/>
      </c>
      <c r="J386" s="20">
        <f>IF($X386="","",SUMIFS(상세표[기록 시간외],상세표[사번키],INDEX(합계표[사번키],$X386),상세표[기록월],"&lt;&gt;"&amp;대상월키,상세표[반영월],대상월키))</f>
        <v/>
      </c>
      <c r="K386" s="20">
        <f>IF($X386="","",SUMIFS(상세표[기록 시간외],상세표[사번키],INDEX(합계표[사번키],$X386),상세표[반영월],대상월키))</f>
        <v/>
      </c>
      <c r="L386">
        <f>IF($X386="","",IFERROR(INDEX(월별근무지표[적용 급여병원],MATCH(INDEX(합계표[사번키],$X386)&amp;"|"&amp;대상월키,월별근무지표[키],0))&amp;"",IF(COUNTIF(기관표[사번키],INDEX(합계표[사번키],$X386))+COUNTIF(월별근무지표[사번키],INDEX(합계표[사번키],$X386))&gt;0,IFERROR(INDEX(기관표[급여지급병원(기준월)],MATCH(INDEX(합계표[사번키],$X386)&amp;"|"&amp;대상월키,기관표[키],0))&amp;"","—"),"—")))</f>
        <v/>
      </c>
      <c r="M386">
        <f>IF($X386="","",IF(NOT(COUNTIF(기관표[사번키],INDEX(합계표[사번키],$X386))+COUNTIF(월별근무지표[사번키],INDEX(합계표[사번키],$X386))&gt;0),"기관명단에 없음(다른 병원으로 발송)",IF($L386="서울병원","해당",IF(N($R386)&gt;0,"해당(말일 근무)",IF($L386="—","대상월 기관명단 없음(추가 필요)","비해당")))))</f>
        <v/>
      </c>
      <c r="N386" s="20">
        <f>IF($X386="","",SUMIFS(상세표[06~07시],상세표[사번키],INDEX(합계표[사번키],$X386),상세표[반영월],대상월키,상세표[반영 기관],"서울병원"))</f>
        <v/>
      </c>
      <c r="O386" s="20">
        <f>IF($X386="","",SUMIFS(상세표[07~18시],상세표[사번키],INDEX(합계표[사번키],$X386),상세표[반영월],대상월키,상세표[반영 기관],"서울병원"))</f>
        <v/>
      </c>
      <c r="P386" s="20">
        <f>IF($X386="","",SUMIFS(상세표[18~22시],상세표[사번키],INDEX(합계표[사번키],$X386),상세표[반영월],대상월키,상세표[반영 기관],"서울병원"))</f>
        <v/>
      </c>
      <c r="Q386" s="20">
        <f>IF($X386="","",SUMIFS(상세표[22~06시],상세표[사번키],INDEX(합계표[사번키],$X386),상세표[반영월],대상월키,상세표[반영 기관],"서울병원"))</f>
        <v/>
      </c>
      <c r="R386" s="20">
        <f>IF($X386="","",SUM($N386:$Q386))</f>
        <v/>
      </c>
      <c r="S386">
        <f>IF($X386="","",COUNTIFS(상세표[사번키],INDEX(합계표[사번키],$X386),상세표[반영월],대상월키,상세표[야간당직],1,상세표[야간 구분],"평일"))</f>
        <v/>
      </c>
      <c r="T386">
        <f>IF($X386="","",COUNTIFS(상세표[사번키],INDEX(합계표[사번키],$X386),상세표[반영월],대상월키,상세표[야간당직],1,상세표[야간 구분],"휴일"))</f>
        <v/>
      </c>
      <c r="U386">
        <f>IF($X386="","",COUNTIFS(상세표[사번키],INDEX(합계표[사번키],$X386),상세표[반영월],대상월키,상세표[야간당직],1,상세표[야간 구분],"평일",상세표[반영 기관],"서울병원"))</f>
        <v/>
      </c>
      <c r="V386">
        <f>IF($X386="","",COUNTIFS(상세표[사번키],INDEX(합계표[사번키],$X386),상세표[반영월],대상월키,상세표[야간당직],1,상세표[야간 구분],"휴일",상세표[반영 기관],"서울병원"))</f>
        <v/>
      </c>
      <c r="W386">
        <f>IF($X386="","",IF(ISNUMBER(MATCH(INDEX(합계표[사번키],$X386)&amp;"|"&amp;대상월키,월별근무지표[키],0)),"직접 입력",IF($L386="—","—","기관명단")))</f>
        <v/>
      </c>
      <c r="X386" s="4">
        <f>IFERROR(MATCH(381,합계표[판정순번],0),"")</f>
        <v/>
      </c>
    </row>
    <row r="387">
      <c r="A387">
        <f>IF($X387="","",INDEX(합계표[사번],$X387)&amp;"")</f>
        <v/>
      </c>
      <c r="B387">
        <f>IF($X387="","",INDEX(합계표[성명],$X387)&amp;"")</f>
        <v/>
      </c>
      <c r="C387">
        <f>IF($X387="","",INDEX(합계표[부서],$X387)&amp;"")</f>
        <v/>
      </c>
      <c r="D387">
        <f>IF($X387="","",INDEX(합계표[직위(요약)],$X387)&amp;"")</f>
        <v/>
      </c>
      <c r="E387">
        <f>IF($X387="","",INDEX(합계표[직급 공존],$X387)&amp;"")</f>
        <v/>
      </c>
      <c r="F387" s="20">
        <f>IF($X387="","",SUMIFS(합계표[시스템 합계],합계표[사번키],INDEX(합계표[사번키],$X387)))</f>
        <v/>
      </c>
      <c r="G387" s="20">
        <f>IF($X387="","",SUMIFS(상세표[기록 시간외],상세표[사번키],INDEX(합계표[사번키],$X387),상세표[기록월],대상월키))</f>
        <v/>
      </c>
      <c r="H387">
        <f>IF($X387="","",IF(ABS($F387-$G387)&lt;0.01,"일치","불일치(차이 "&amp;TEXT($G387-$F387,"0.00")&amp;")"))</f>
        <v/>
      </c>
      <c r="I387" s="20">
        <f>IF($X387="","",SUMIFS(상세표[기록 시간외],상세표[사번키],INDEX(합계표[사번키],$X387),상세표[기록월],대상월키,상세표[반영월],"&lt;&gt;"&amp;대상월키))</f>
        <v/>
      </c>
      <c r="J387" s="20">
        <f>IF($X387="","",SUMIFS(상세표[기록 시간외],상세표[사번키],INDEX(합계표[사번키],$X387),상세표[기록월],"&lt;&gt;"&amp;대상월키,상세표[반영월],대상월키))</f>
        <v/>
      </c>
      <c r="K387" s="20">
        <f>IF($X387="","",SUMIFS(상세표[기록 시간외],상세표[사번키],INDEX(합계표[사번키],$X387),상세표[반영월],대상월키))</f>
        <v/>
      </c>
      <c r="L387">
        <f>IF($X387="","",IFERROR(INDEX(월별근무지표[적용 급여병원],MATCH(INDEX(합계표[사번키],$X387)&amp;"|"&amp;대상월키,월별근무지표[키],0))&amp;"",IF(COUNTIF(기관표[사번키],INDEX(합계표[사번키],$X387))+COUNTIF(월별근무지표[사번키],INDEX(합계표[사번키],$X387))&gt;0,IFERROR(INDEX(기관표[급여지급병원(기준월)],MATCH(INDEX(합계표[사번키],$X387)&amp;"|"&amp;대상월키,기관표[키],0))&amp;"","—"),"—")))</f>
        <v/>
      </c>
      <c r="M387">
        <f>IF($X387="","",IF(NOT(COUNTIF(기관표[사번키],INDEX(합계표[사번키],$X387))+COUNTIF(월별근무지표[사번키],INDEX(합계표[사번키],$X387))&gt;0),"기관명단에 없음(다른 병원으로 발송)",IF($L387="서울병원","해당",IF(N($R387)&gt;0,"해당(말일 근무)",IF($L387="—","대상월 기관명단 없음(추가 필요)","비해당")))))</f>
        <v/>
      </c>
      <c r="N387" s="20">
        <f>IF($X387="","",SUMIFS(상세표[06~07시],상세표[사번키],INDEX(합계표[사번키],$X387),상세표[반영월],대상월키,상세표[반영 기관],"서울병원"))</f>
        <v/>
      </c>
      <c r="O387" s="20">
        <f>IF($X387="","",SUMIFS(상세표[07~18시],상세표[사번키],INDEX(합계표[사번키],$X387),상세표[반영월],대상월키,상세표[반영 기관],"서울병원"))</f>
        <v/>
      </c>
      <c r="P387" s="20">
        <f>IF($X387="","",SUMIFS(상세표[18~22시],상세표[사번키],INDEX(합계표[사번키],$X387),상세표[반영월],대상월키,상세표[반영 기관],"서울병원"))</f>
        <v/>
      </c>
      <c r="Q387" s="20">
        <f>IF($X387="","",SUMIFS(상세표[22~06시],상세표[사번키],INDEX(합계표[사번키],$X387),상세표[반영월],대상월키,상세표[반영 기관],"서울병원"))</f>
        <v/>
      </c>
      <c r="R387" s="20">
        <f>IF($X387="","",SUM($N387:$Q387))</f>
        <v/>
      </c>
      <c r="S387">
        <f>IF($X387="","",COUNTIFS(상세표[사번키],INDEX(합계표[사번키],$X387),상세표[반영월],대상월키,상세표[야간당직],1,상세표[야간 구분],"평일"))</f>
        <v/>
      </c>
      <c r="T387">
        <f>IF($X387="","",COUNTIFS(상세표[사번키],INDEX(합계표[사번키],$X387),상세표[반영월],대상월키,상세표[야간당직],1,상세표[야간 구분],"휴일"))</f>
        <v/>
      </c>
      <c r="U387">
        <f>IF($X387="","",COUNTIFS(상세표[사번키],INDEX(합계표[사번키],$X387),상세표[반영월],대상월키,상세표[야간당직],1,상세표[야간 구분],"평일",상세표[반영 기관],"서울병원"))</f>
        <v/>
      </c>
      <c r="V387">
        <f>IF($X387="","",COUNTIFS(상세표[사번키],INDEX(합계표[사번키],$X387),상세표[반영월],대상월키,상세표[야간당직],1,상세표[야간 구분],"휴일",상세표[반영 기관],"서울병원"))</f>
        <v/>
      </c>
      <c r="W387">
        <f>IF($X387="","",IF(ISNUMBER(MATCH(INDEX(합계표[사번키],$X387)&amp;"|"&amp;대상월키,월별근무지표[키],0)),"직접 입력",IF($L387="—","—","기관명단")))</f>
        <v/>
      </c>
      <c r="X387" s="4">
        <f>IFERROR(MATCH(382,합계표[판정순번],0),"")</f>
        <v/>
      </c>
    </row>
    <row r="388">
      <c r="A388">
        <f>IF($X388="","",INDEX(합계표[사번],$X388)&amp;"")</f>
        <v/>
      </c>
      <c r="B388">
        <f>IF($X388="","",INDEX(합계표[성명],$X388)&amp;"")</f>
        <v/>
      </c>
      <c r="C388">
        <f>IF($X388="","",INDEX(합계표[부서],$X388)&amp;"")</f>
        <v/>
      </c>
      <c r="D388">
        <f>IF($X388="","",INDEX(합계표[직위(요약)],$X388)&amp;"")</f>
        <v/>
      </c>
      <c r="E388">
        <f>IF($X388="","",INDEX(합계표[직급 공존],$X388)&amp;"")</f>
        <v/>
      </c>
      <c r="F388" s="20">
        <f>IF($X388="","",SUMIFS(합계표[시스템 합계],합계표[사번키],INDEX(합계표[사번키],$X388)))</f>
        <v/>
      </c>
      <c r="G388" s="20">
        <f>IF($X388="","",SUMIFS(상세표[기록 시간외],상세표[사번키],INDEX(합계표[사번키],$X388),상세표[기록월],대상월키))</f>
        <v/>
      </c>
      <c r="H388">
        <f>IF($X388="","",IF(ABS($F388-$G388)&lt;0.01,"일치","불일치(차이 "&amp;TEXT($G388-$F388,"0.00")&amp;")"))</f>
        <v/>
      </c>
      <c r="I388" s="20">
        <f>IF($X388="","",SUMIFS(상세표[기록 시간외],상세표[사번키],INDEX(합계표[사번키],$X388),상세표[기록월],대상월키,상세표[반영월],"&lt;&gt;"&amp;대상월키))</f>
        <v/>
      </c>
      <c r="J388" s="20">
        <f>IF($X388="","",SUMIFS(상세표[기록 시간외],상세표[사번키],INDEX(합계표[사번키],$X388),상세표[기록월],"&lt;&gt;"&amp;대상월키,상세표[반영월],대상월키))</f>
        <v/>
      </c>
      <c r="K388" s="20">
        <f>IF($X388="","",SUMIFS(상세표[기록 시간외],상세표[사번키],INDEX(합계표[사번키],$X388),상세표[반영월],대상월키))</f>
        <v/>
      </c>
      <c r="L388">
        <f>IF($X388="","",IFERROR(INDEX(월별근무지표[적용 급여병원],MATCH(INDEX(합계표[사번키],$X388)&amp;"|"&amp;대상월키,월별근무지표[키],0))&amp;"",IF(COUNTIF(기관표[사번키],INDEX(합계표[사번키],$X388))+COUNTIF(월별근무지표[사번키],INDEX(합계표[사번키],$X388))&gt;0,IFERROR(INDEX(기관표[급여지급병원(기준월)],MATCH(INDEX(합계표[사번키],$X388)&amp;"|"&amp;대상월키,기관표[키],0))&amp;"","—"),"—")))</f>
        <v/>
      </c>
      <c r="M388">
        <f>IF($X388="","",IF(NOT(COUNTIF(기관표[사번키],INDEX(합계표[사번키],$X388))+COUNTIF(월별근무지표[사번키],INDEX(합계표[사번키],$X388))&gt;0),"기관명단에 없음(다른 병원으로 발송)",IF($L388="서울병원","해당",IF(N($R388)&gt;0,"해당(말일 근무)",IF($L388="—","대상월 기관명단 없음(추가 필요)","비해당")))))</f>
        <v/>
      </c>
      <c r="N388" s="20">
        <f>IF($X388="","",SUMIFS(상세표[06~07시],상세표[사번키],INDEX(합계표[사번키],$X388),상세표[반영월],대상월키,상세표[반영 기관],"서울병원"))</f>
        <v/>
      </c>
      <c r="O388" s="20">
        <f>IF($X388="","",SUMIFS(상세표[07~18시],상세표[사번키],INDEX(합계표[사번키],$X388),상세표[반영월],대상월키,상세표[반영 기관],"서울병원"))</f>
        <v/>
      </c>
      <c r="P388" s="20">
        <f>IF($X388="","",SUMIFS(상세표[18~22시],상세표[사번키],INDEX(합계표[사번키],$X388),상세표[반영월],대상월키,상세표[반영 기관],"서울병원"))</f>
        <v/>
      </c>
      <c r="Q388" s="20">
        <f>IF($X388="","",SUMIFS(상세표[22~06시],상세표[사번키],INDEX(합계표[사번키],$X388),상세표[반영월],대상월키,상세표[반영 기관],"서울병원"))</f>
        <v/>
      </c>
      <c r="R388" s="20">
        <f>IF($X388="","",SUM($N388:$Q388))</f>
        <v/>
      </c>
      <c r="S388">
        <f>IF($X388="","",COUNTIFS(상세표[사번키],INDEX(합계표[사번키],$X388),상세표[반영월],대상월키,상세표[야간당직],1,상세표[야간 구분],"평일"))</f>
        <v/>
      </c>
      <c r="T388">
        <f>IF($X388="","",COUNTIFS(상세표[사번키],INDEX(합계표[사번키],$X388),상세표[반영월],대상월키,상세표[야간당직],1,상세표[야간 구분],"휴일"))</f>
        <v/>
      </c>
      <c r="U388">
        <f>IF($X388="","",COUNTIFS(상세표[사번키],INDEX(합계표[사번키],$X388),상세표[반영월],대상월키,상세표[야간당직],1,상세표[야간 구분],"평일",상세표[반영 기관],"서울병원"))</f>
        <v/>
      </c>
      <c r="V388">
        <f>IF($X388="","",COUNTIFS(상세표[사번키],INDEX(합계표[사번키],$X388),상세표[반영월],대상월키,상세표[야간당직],1,상세표[야간 구분],"휴일",상세표[반영 기관],"서울병원"))</f>
        <v/>
      </c>
      <c r="W388">
        <f>IF($X388="","",IF(ISNUMBER(MATCH(INDEX(합계표[사번키],$X388)&amp;"|"&amp;대상월키,월별근무지표[키],0)),"직접 입력",IF($L388="—","—","기관명단")))</f>
        <v/>
      </c>
      <c r="X388" s="4">
        <f>IFERROR(MATCH(383,합계표[판정순번],0),"")</f>
        <v/>
      </c>
    </row>
    <row r="389">
      <c r="A389">
        <f>IF($X389="","",INDEX(합계표[사번],$X389)&amp;"")</f>
        <v/>
      </c>
      <c r="B389">
        <f>IF($X389="","",INDEX(합계표[성명],$X389)&amp;"")</f>
        <v/>
      </c>
      <c r="C389">
        <f>IF($X389="","",INDEX(합계표[부서],$X389)&amp;"")</f>
        <v/>
      </c>
      <c r="D389">
        <f>IF($X389="","",INDEX(합계표[직위(요약)],$X389)&amp;"")</f>
        <v/>
      </c>
      <c r="E389">
        <f>IF($X389="","",INDEX(합계표[직급 공존],$X389)&amp;"")</f>
        <v/>
      </c>
      <c r="F389" s="20">
        <f>IF($X389="","",SUMIFS(합계표[시스템 합계],합계표[사번키],INDEX(합계표[사번키],$X389)))</f>
        <v/>
      </c>
      <c r="G389" s="20">
        <f>IF($X389="","",SUMIFS(상세표[기록 시간외],상세표[사번키],INDEX(합계표[사번키],$X389),상세표[기록월],대상월키))</f>
        <v/>
      </c>
      <c r="H389">
        <f>IF($X389="","",IF(ABS($F389-$G389)&lt;0.01,"일치","불일치(차이 "&amp;TEXT($G389-$F389,"0.00")&amp;")"))</f>
        <v/>
      </c>
      <c r="I389" s="20">
        <f>IF($X389="","",SUMIFS(상세표[기록 시간외],상세표[사번키],INDEX(합계표[사번키],$X389),상세표[기록월],대상월키,상세표[반영월],"&lt;&gt;"&amp;대상월키))</f>
        <v/>
      </c>
      <c r="J389" s="20">
        <f>IF($X389="","",SUMIFS(상세표[기록 시간외],상세표[사번키],INDEX(합계표[사번키],$X389),상세표[기록월],"&lt;&gt;"&amp;대상월키,상세표[반영월],대상월키))</f>
        <v/>
      </c>
      <c r="K389" s="20">
        <f>IF($X389="","",SUMIFS(상세표[기록 시간외],상세표[사번키],INDEX(합계표[사번키],$X389),상세표[반영월],대상월키))</f>
        <v/>
      </c>
      <c r="L389">
        <f>IF($X389="","",IFERROR(INDEX(월별근무지표[적용 급여병원],MATCH(INDEX(합계표[사번키],$X389)&amp;"|"&amp;대상월키,월별근무지표[키],0))&amp;"",IF(COUNTIF(기관표[사번키],INDEX(합계표[사번키],$X389))+COUNTIF(월별근무지표[사번키],INDEX(합계표[사번키],$X389))&gt;0,IFERROR(INDEX(기관표[급여지급병원(기준월)],MATCH(INDEX(합계표[사번키],$X389)&amp;"|"&amp;대상월키,기관표[키],0))&amp;"","—"),"—")))</f>
        <v/>
      </c>
      <c r="M389">
        <f>IF($X389="","",IF(NOT(COUNTIF(기관표[사번키],INDEX(합계표[사번키],$X389))+COUNTIF(월별근무지표[사번키],INDEX(합계표[사번키],$X389))&gt;0),"기관명단에 없음(다른 병원으로 발송)",IF($L389="서울병원","해당",IF(N($R389)&gt;0,"해당(말일 근무)",IF($L389="—","대상월 기관명단 없음(추가 필요)","비해당")))))</f>
        <v/>
      </c>
      <c r="N389" s="20">
        <f>IF($X389="","",SUMIFS(상세표[06~07시],상세표[사번키],INDEX(합계표[사번키],$X389),상세표[반영월],대상월키,상세표[반영 기관],"서울병원"))</f>
        <v/>
      </c>
      <c r="O389" s="20">
        <f>IF($X389="","",SUMIFS(상세표[07~18시],상세표[사번키],INDEX(합계표[사번키],$X389),상세표[반영월],대상월키,상세표[반영 기관],"서울병원"))</f>
        <v/>
      </c>
      <c r="P389" s="20">
        <f>IF($X389="","",SUMIFS(상세표[18~22시],상세표[사번키],INDEX(합계표[사번키],$X389),상세표[반영월],대상월키,상세표[반영 기관],"서울병원"))</f>
        <v/>
      </c>
      <c r="Q389" s="20">
        <f>IF($X389="","",SUMIFS(상세표[22~06시],상세표[사번키],INDEX(합계표[사번키],$X389),상세표[반영월],대상월키,상세표[반영 기관],"서울병원"))</f>
        <v/>
      </c>
      <c r="R389" s="20">
        <f>IF($X389="","",SUM($N389:$Q389))</f>
        <v/>
      </c>
      <c r="S389">
        <f>IF($X389="","",COUNTIFS(상세표[사번키],INDEX(합계표[사번키],$X389),상세표[반영월],대상월키,상세표[야간당직],1,상세표[야간 구분],"평일"))</f>
        <v/>
      </c>
      <c r="T389">
        <f>IF($X389="","",COUNTIFS(상세표[사번키],INDEX(합계표[사번키],$X389),상세표[반영월],대상월키,상세표[야간당직],1,상세표[야간 구분],"휴일"))</f>
        <v/>
      </c>
      <c r="U389">
        <f>IF($X389="","",COUNTIFS(상세표[사번키],INDEX(합계표[사번키],$X389),상세표[반영월],대상월키,상세표[야간당직],1,상세표[야간 구분],"평일",상세표[반영 기관],"서울병원"))</f>
        <v/>
      </c>
      <c r="V389">
        <f>IF($X389="","",COUNTIFS(상세표[사번키],INDEX(합계표[사번키],$X389),상세표[반영월],대상월키,상세표[야간당직],1,상세표[야간 구분],"휴일",상세표[반영 기관],"서울병원"))</f>
        <v/>
      </c>
      <c r="W389">
        <f>IF($X389="","",IF(ISNUMBER(MATCH(INDEX(합계표[사번키],$X389)&amp;"|"&amp;대상월키,월별근무지표[키],0)),"직접 입력",IF($L389="—","—","기관명단")))</f>
        <v/>
      </c>
      <c r="X389" s="4">
        <f>IFERROR(MATCH(384,합계표[판정순번],0),"")</f>
        <v/>
      </c>
    </row>
    <row r="390">
      <c r="A390">
        <f>IF($X390="","",INDEX(합계표[사번],$X390)&amp;"")</f>
        <v/>
      </c>
      <c r="B390">
        <f>IF($X390="","",INDEX(합계표[성명],$X390)&amp;"")</f>
        <v/>
      </c>
      <c r="C390">
        <f>IF($X390="","",INDEX(합계표[부서],$X390)&amp;"")</f>
        <v/>
      </c>
      <c r="D390">
        <f>IF($X390="","",INDEX(합계표[직위(요약)],$X390)&amp;"")</f>
        <v/>
      </c>
      <c r="E390">
        <f>IF($X390="","",INDEX(합계표[직급 공존],$X390)&amp;"")</f>
        <v/>
      </c>
      <c r="F390" s="20">
        <f>IF($X390="","",SUMIFS(합계표[시스템 합계],합계표[사번키],INDEX(합계표[사번키],$X390)))</f>
        <v/>
      </c>
      <c r="G390" s="20">
        <f>IF($X390="","",SUMIFS(상세표[기록 시간외],상세표[사번키],INDEX(합계표[사번키],$X390),상세표[기록월],대상월키))</f>
        <v/>
      </c>
      <c r="H390">
        <f>IF($X390="","",IF(ABS($F390-$G390)&lt;0.01,"일치","불일치(차이 "&amp;TEXT($G390-$F390,"0.00")&amp;")"))</f>
        <v/>
      </c>
      <c r="I390" s="20">
        <f>IF($X390="","",SUMIFS(상세표[기록 시간외],상세표[사번키],INDEX(합계표[사번키],$X390),상세표[기록월],대상월키,상세표[반영월],"&lt;&gt;"&amp;대상월키))</f>
        <v/>
      </c>
      <c r="J390" s="20">
        <f>IF($X390="","",SUMIFS(상세표[기록 시간외],상세표[사번키],INDEX(합계표[사번키],$X390),상세표[기록월],"&lt;&gt;"&amp;대상월키,상세표[반영월],대상월키))</f>
        <v/>
      </c>
      <c r="K390" s="20">
        <f>IF($X390="","",SUMIFS(상세표[기록 시간외],상세표[사번키],INDEX(합계표[사번키],$X390),상세표[반영월],대상월키))</f>
        <v/>
      </c>
      <c r="L390">
        <f>IF($X390="","",IFERROR(INDEX(월별근무지표[적용 급여병원],MATCH(INDEX(합계표[사번키],$X390)&amp;"|"&amp;대상월키,월별근무지표[키],0))&amp;"",IF(COUNTIF(기관표[사번키],INDEX(합계표[사번키],$X390))+COUNTIF(월별근무지표[사번키],INDEX(합계표[사번키],$X390))&gt;0,IFERROR(INDEX(기관표[급여지급병원(기준월)],MATCH(INDEX(합계표[사번키],$X390)&amp;"|"&amp;대상월키,기관표[키],0))&amp;"","—"),"—")))</f>
        <v/>
      </c>
      <c r="M390">
        <f>IF($X390="","",IF(NOT(COUNTIF(기관표[사번키],INDEX(합계표[사번키],$X390))+COUNTIF(월별근무지표[사번키],INDEX(합계표[사번키],$X390))&gt;0),"기관명단에 없음(다른 병원으로 발송)",IF($L390="서울병원","해당",IF(N($R390)&gt;0,"해당(말일 근무)",IF($L390="—","대상월 기관명단 없음(추가 필요)","비해당")))))</f>
        <v/>
      </c>
      <c r="N390" s="20">
        <f>IF($X390="","",SUMIFS(상세표[06~07시],상세표[사번키],INDEX(합계표[사번키],$X390),상세표[반영월],대상월키,상세표[반영 기관],"서울병원"))</f>
        <v/>
      </c>
      <c r="O390" s="20">
        <f>IF($X390="","",SUMIFS(상세표[07~18시],상세표[사번키],INDEX(합계표[사번키],$X390),상세표[반영월],대상월키,상세표[반영 기관],"서울병원"))</f>
        <v/>
      </c>
      <c r="P390" s="20">
        <f>IF($X390="","",SUMIFS(상세표[18~22시],상세표[사번키],INDEX(합계표[사번키],$X390),상세표[반영월],대상월키,상세표[반영 기관],"서울병원"))</f>
        <v/>
      </c>
      <c r="Q390" s="20">
        <f>IF($X390="","",SUMIFS(상세표[22~06시],상세표[사번키],INDEX(합계표[사번키],$X390),상세표[반영월],대상월키,상세표[반영 기관],"서울병원"))</f>
        <v/>
      </c>
      <c r="R390" s="20">
        <f>IF($X390="","",SUM($N390:$Q390))</f>
        <v/>
      </c>
      <c r="S390">
        <f>IF($X390="","",COUNTIFS(상세표[사번키],INDEX(합계표[사번키],$X390),상세표[반영월],대상월키,상세표[야간당직],1,상세표[야간 구분],"평일"))</f>
        <v/>
      </c>
      <c r="T390">
        <f>IF($X390="","",COUNTIFS(상세표[사번키],INDEX(합계표[사번키],$X390),상세표[반영월],대상월키,상세표[야간당직],1,상세표[야간 구분],"휴일"))</f>
        <v/>
      </c>
      <c r="U390">
        <f>IF($X390="","",COUNTIFS(상세표[사번키],INDEX(합계표[사번키],$X390),상세표[반영월],대상월키,상세표[야간당직],1,상세표[야간 구분],"평일",상세표[반영 기관],"서울병원"))</f>
        <v/>
      </c>
      <c r="V390">
        <f>IF($X390="","",COUNTIFS(상세표[사번키],INDEX(합계표[사번키],$X390),상세표[반영월],대상월키,상세표[야간당직],1,상세표[야간 구분],"휴일",상세표[반영 기관],"서울병원"))</f>
        <v/>
      </c>
      <c r="W390">
        <f>IF($X390="","",IF(ISNUMBER(MATCH(INDEX(합계표[사번키],$X390)&amp;"|"&amp;대상월키,월별근무지표[키],0)),"직접 입력",IF($L390="—","—","기관명단")))</f>
        <v/>
      </c>
      <c r="X390" s="4">
        <f>IFERROR(MATCH(385,합계표[판정순번],0),"")</f>
        <v/>
      </c>
    </row>
    <row r="391">
      <c r="A391">
        <f>IF($X391="","",INDEX(합계표[사번],$X391)&amp;"")</f>
        <v/>
      </c>
      <c r="B391">
        <f>IF($X391="","",INDEX(합계표[성명],$X391)&amp;"")</f>
        <v/>
      </c>
      <c r="C391">
        <f>IF($X391="","",INDEX(합계표[부서],$X391)&amp;"")</f>
        <v/>
      </c>
      <c r="D391">
        <f>IF($X391="","",INDEX(합계표[직위(요약)],$X391)&amp;"")</f>
        <v/>
      </c>
      <c r="E391">
        <f>IF($X391="","",INDEX(합계표[직급 공존],$X391)&amp;"")</f>
        <v/>
      </c>
      <c r="F391" s="20">
        <f>IF($X391="","",SUMIFS(합계표[시스템 합계],합계표[사번키],INDEX(합계표[사번키],$X391)))</f>
        <v/>
      </c>
      <c r="G391" s="20">
        <f>IF($X391="","",SUMIFS(상세표[기록 시간외],상세표[사번키],INDEX(합계표[사번키],$X391),상세표[기록월],대상월키))</f>
        <v/>
      </c>
      <c r="H391">
        <f>IF($X391="","",IF(ABS($F391-$G391)&lt;0.01,"일치","불일치(차이 "&amp;TEXT($G391-$F391,"0.00")&amp;")"))</f>
        <v/>
      </c>
      <c r="I391" s="20">
        <f>IF($X391="","",SUMIFS(상세표[기록 시간외],상세표[사번키],INDEX(합계표[사번키],$X391),상세표[기록월],대상월키,상세표[반영월],"&lt;&gt;"&amp;대상월키))</f>
        <v/>
      </c>
      <c r="J391" s="20">
        <f>IF($X391="","",SUMIFS(상세표[기록 시간외],상세표[사번키],INDEX(합계표[사번키],$X391),상세표[기록월],"&lt;&gt;"&amp;대상월키,상세표[반영월],대상월키))</f>
        <v/>
      </c>
      <c r="K391" s="20">
        <f>IF($X391="","",SUMIFS(상세표[기록 시간외],상세표[사번키],INDEX(합계표[사번키],$X391),상세표[반영월],대상월키))</f>
        <v/>
      </c>
      <c r="L391">
        <f>IF($X391="","",IFERROR(INDEX(월별근무지표[적용 급여병원],MATCH(INDEX(합계표[사번키],$X391)&amp;"|"&amp;대상월키,월별근무지표[키],0))&amp;"",IF(COUNTIF(기관표[사번키],INDEX(합계표[사번키],$X391))+COUNTIF(월별근무지표[사번키],INDEX(합계표[사번키],$X391))&gt;0,IFERROR(INDEX(기관표[급여지급병원(기준월)],MATCH(INDEX(합계표[사번키],$X391)&amp;"|"&amp;대상월키,기관표[키],0))&amp;"","—"),"—")))</f>
        <v/>
      </c>
      <c r="M391">
        <f>IF($X391="","",IF(NOT(COUNTIF(기관표[사번키],INDEX(합계표[사번키],$X391))+COUNTIF(월별근무지표[사번키],INDEX(합계표[사번키],$X391))&gt;0),"기관명단에 없음(다른 병원으로 발송)",IF($L391="서울병원","해당",IF(N($R391)&gt;0,"해당(말일 근무)",IF($L391="—","대상월 기관명단 없음(추가 필요)","비해당")))))</f>
        <v/>
      </c>
      <c r="N391" s="20">
        <f>IF($X391="","",SUMIFS(상세표[06~07시],상세표[사번키],INDEX(합계표[사번키],$X391),상세표[반영월],대상월키,상세표[반영 기관],"서울병원"))</f>
        <v/>
      </c>
      <c r="O391" s="20">
        <f>IF($X391="","",SUMIFS(상세표[07~18시],상세표[사번키],INDEX(합계표[사번키],$X391),상세표[반영월],대상월키,상세표[반영 기관],"서울병원"))</f>
        <v/>
      </c>
      <c r="P391" s="20">
        <f>IF($X391="","",SUMIFS(상세표[18~22시],상세표[사번키],INDEX(합계표[사번키],$X391),상세표[반영월],대상월키,상세표[반영 기관],"서울병원"))</f>
        <v/>
      </c>
      <c r="Q391" s="20">
        <f>IF($X391="","",SUMIFS(상세표[22~06시],상세표[사번키],INDEX(합계표[사번키],$X391),상세표[반영월],대상월키,상세표[반영 기관],"서울병원"))</f>
        <v/>
      </c>
      <c r="R391" s="20">
        <f>IF($X391="","",SUM($N391:$Q391))</f>
        <v/>
      </c>
      <c r="S391">
        <f>IF($X391="","",COUNTIFS(상세표[사번키],INDEX(합계표[사번키],$X391),상세표[반영월],대상월키,상세표[야간당직],1,상세표[야간 구분],"평일"))</f>
        <v/>
      </c>
      <c r="T391">
        <f>IF($X391="","",COUNTIFS(상세표[사번키],INDEX(합계표[사번키],$X391),상세표[반영월],대상월키,상세표[야간당직],1,상세표[야간 구분],"휴일"))</f>
        <v/>
      </c>
      <c r="U391">
        <f>IF($X391="","",COUNTIFS(상세표[사번키],INDEX(합계표[사번키],$X391),상세표[반영월],대상월키,상세표[야간당직],1,상세표[야간 구분],"평일",상세표[반영 기관],"서울병원"))</f>
        <v/>
      </c>
      <c r="V391">
        <f>IF($X391="","",COUNTIFS(상세표[사번키],INDEX(합계표[사번키],$X391),상세표[반영월],대상월키,상세표[야간당직],1,상세표[야간 구분],"휴일",상세표[반영 기관],"서울병원"))</f>
        <v/>
      </c>
      <c r="W391">
        <f>IF($X391="","",IF(ISNUMBER(MATCH(INDEX(합계표[사번키],$X391)&amp;"|"&amp;대상월키,월별근무지표[키],0)),"직접 입력",IF($L391="—","—","기관명단")))</f>
        <v/>
      </c>
      <c r="X391" s="4">
        <f>IFERROR(MATCH(386,합계표[판정순번],0),"")</f>
        <v/>
      </c>
    </row>
    <row r="392">
      <c r="A392">
        <f>IF($X392="","",INDEX(합계표[사번],$X392)&amp;"")</f>
        <v/>
      </c>
      <c r="B392">
        <f>IF($X392="","",INDEX(합계표[성명],$X392)&amp;"")</f>
        <v/>
      </c>
      <c r="C392">
        <f>IF($X392="","",INDEX(합계표[부서],$X392)&amp;"")</f>
        <v/>
      </c>
      <c r="D392">
        <f>IF($X392="","",INDEX(합계표[직위(요약)],$X392)&amp;"")</f>
        <v/>
      </c>
      <c r="E392">
        <f>IF($X392="","",INDEX(합계표[직급 공존],$X392)&amp;"")</f>
        <v/>
      </c>
      <c r="F392" s="20">
        <f>IF($X392="","",SUMIFS(합계표[시스템 합계],합계표[사번키],INDEX(합계표[사번키],$X392)))</f>
        <v/>
      </c>
      <c r="G392" s="20">
        <f>IF($X392="","",SUMIFS(상세표[기록 시간외],상세표[사번키],INDEX(합계표[사번키],$X392),상세표[기록월],대상월키))</f>
        <v/>
      </c>
      <c r="H392">
        <f>IF($X392="","",IF(ABS($F392-$G392)&lt;0.01,"일치","불일치(차이 "&amp;TEXT($G392-$F392,"0.00")&amp;")"))</f>
        <v/>
      </c>
      <c r="I392" s="20">
        <f>IF($X392="","",SUMIFS(상세표[기록 시간외],상세표[사번키],INDEX(합계표[사번키],$X392),상세표[기록월],대상월키,상세표[반영월],"&lt;&gt;"&amp;대상월키))</f>
        <v/>
      </c>
      <c r="J392" s="20">
        <f>IF($X392="","",SUMIFS(상세표[기록 시간외],상세표[사번키],INDEX(합계표[사번키],$X392),상세표[기록월],"&lt;&gt;"&amp;대상월키,상세표[반영월],대상월키))</f>
        <v/>
      </c>
      <c r="K392" s="20">
        <f>IF($X392="","",SUMIFS(상세표[기록 시간외],상세표[사번키],INDEX(합계표[사번키],$X392),상세표[반영월],대상월키))</f>
        <v/>
      </c>
      <c r="L392">
        <f>IF($X392="","",IFERROR(INDEX(월별근무지표[적용 급여병원],MATCH(INDEX(합계표[사번키],$X392)&amp;"|"&amp;대상월키,월별근무지표[키],0))&amp;"",IF(COUNTIF(기관표[사번키],INDEX(합계표[사번키],$X392))+COUNTIF(월별근무지표[사번키],INDEX(합계표[사번키],$X392))&gt;0,IFERROR(INDEX(기관표[급여지급병원(기준월)],MATCH(INDEX(합계표[사번키],$X392)&amp;"|"&amp;대상월키,기관표[키],0))&amp;"","—"),"—")))</f>
        <v/>
      </c>
      <c r="M392">
        <f>IF($X392="","",IF(NOT(COUNTIF(기관표[사번키],INDEX(합계표[사번키],$X392))+COUNTIF(월별근무지표[사번키],INDEX(합계표[사번키],$X392))&gt;0),"기관명단에 없음(다른 병원으로 발송)",IF($L392="서울병원","해당",IF(N($R392)&gt;0,"해당(말일 근무)",IF($L392="—","대상월 기관명단 없음(추가 필요)","비해당")))))</f>
        <v/>
      </c>
      <c r="N392" s="20">
        <f>IF($X392="","",SUMIFS(상세표[06~07시],상세표[사번키],INDEX(합계표[사번키],$X392),상세표[반영월],대상월키,상세표[반영 기관],"서울병원"))</f>
        <v/>
      </c>
      <c r="O392" s="20">
        <f>IF($X392="","",SUMIFS(상세표[07~18시],상세표[사번키],INDEX(합계표[사번키],$X392),상세표[반영월],대상월키,상세표[반영 기관],"서울병원"))</f>
        <v/>
      </c>
      <c r="P392" s="20">
        <f>IF($X392="","",SUMIFS(상세표[18~22시],상세표[사번키],INDEX(합계표[사번키],$X392),상세표[반영월],대상월키,상세표[반영 기관],"서울병원"))</f>
        <v/>
      </c>
      <c r="Q392" s="20">
        <f>IF($X392="","",SUMIFS(상세표[22~06시],상세표[사번키],INDEX(합계표[사번키],$X392),상세표[반영월],대상월키,상세표[반영 기관],"서울병원"))</f>
        <v/>
      </c>
      <c r="R392" s="20">
        <f>IF($X392="","",SUM($N392:$Q392))</f>
        <v/>
      </c>
      <c r="S392">
        <f>IF($X392="","",COUNTIFS(상세표[사번키],INDEX(합계표[사번키],$X392),상세표[반영월],대상월키,상세표[야간당직],1,상세표[야간 구분],"평일"))</f>
        <v/>
      </c>
      <c r="T392">
        <f>IF($X392="","",COUNTIFS(상세표[사번키],INDEX(합계표[사번키],$X392),상세표[반영월],대상월키,상세표[야간당직],1,상세표[야간 구분],"휴일"))</f>
        <v/>
      </c>
      <c r="U392">
        <f>IF($X392="","",COUNTIFS(상세표[사번키],INDEX(합계표[사번키],$X392),상세표[반영월],대상월키,상세표[야간당직],1,상세표[야간 구분],"평일",상세표[반영 기관],"서울병원"))</f>
        <v/>
      </c>
      <c r="V392">
        <f>IF($X392="","",COUNTIFS(상세표[사번키],INDEX(합계표[사번키],$X392),상세표[반영월],대상월키,상세표[야간당직],1,상세표[야간 구분],"휴일",상세표[반영 기관],"서울병원"))</f>
        <v/>
      </c>
      <c r="W392">
        <f>IF($X392="","",IF(ISNUMBER(MATCH(INDEX(합계표[사번키],$X392)&amp;"|"&amp;대상월키,월별근무지표[키],0)),"직접 입력",IF($L392="—","—","기관명단")))</f>
        <v/>
      </c>
      <c r="X392" s="4">
        <f>IFERROR(MATCH(387,합계표[판정순번],0),"")</f>
        <v/>
      </c>
    </row>
    <row r="393">
      <c r="A393">
        <f>IF($X393="","",INDEX(합계표[사번],$X393)&amp;"")</f>
        <v/>
      </c>
      <c r="B393">
        <f>IF($X393="","",INDEX(합계표[성명],$X393)&amp;"")</f>
        <v/>
      </c>
      <c r="C393">
        <f>IF($X393="","",INDEX(합계표[부서],$X393)&amp;"")</f>
        <v/>
      </c>
      <c r="D393">
        <f>IF($X393="","",INDEX(합계표[직위(요약)],$X393)&amp;"")</f>
        <v/>
      </c>
      <c r="E393">
        <f>IF($X393="","",INDEX(합계표[직급 공존],$X393)&amp;"")</f>
        <v/>
      </c>
      <c r="F393" s="20">
        <f>IF($X393="","",SUMIFS(합계표[시스템 합계],합계표[사번키],INDEX(합계표[사번키],$X393)))</f>
        <v/>
      </c>
      <c r="G393" s="20">
        <f>IF($X393="","",SUMIFS(상세표[기록 시간외],상세표[사번키],INDEX(합계표[사번키],$X393),상세표[기록월],대상월키))</f>
        <v/>
      </c>
      <c r="H393">
        <f>IF($X393="","",IF(ABS($F393-$G393)&lt;0.01,"일치","불일치(차이 "&amp;TEXT($G393-$F393,"0.00")&amp;")"))</f>
        <v/>
      </c>
      <c r="I393" s="20">
        <f>IF($X393="","",SUMIFS(상세표[기록 시간외],상세표[사번키],INDEX(합계표[사번키],$X393),상세표[기록월],대상월키,상세표[반영월],"&lt;&gt;"&amp;대상월키))</f>
        <v/>
      </c>
      <c r="J393" s="20">
        <f>IF($X393="","",SUMIFS(상세표[기록 시간외],상세표[사번키],INDEX(합계표[사번키],$X393),상세표[기록월],"&lt;&gt;"&amp;대상월키,상세표[반영월],대상월키))</f>
        <v/>
      </c>
      <c r="K393" s="20">
        <f>IF($X393="","",SUMIFS(상세표[기록 시간외],상세표[사번키],INDEX(합계표[사번키],$X393),상세표[반영월],대상월키))</f>
        <v/>
      </c>
      <c r="L393">
        <f>IF($X393="","",IFERROR(INDEX(월별근무지표[적용 급여병원],MATCH(INDEX(합계표[사번키],$X393)&amp;"|"&amp;대상월키,월별근무지표[키],0))&amp;"",IF(COUNTIF(기관표[사번키],INDEX(합계표[사번키],$X393))+COUNTIF(월별근무지표[사번키],INDEX(합계표[사번키],$X393))&gt;0,IFERROR(INDEX(기관표[급여지급병원(기준월)],MATCH(INDEX(합계표[사번키],$X393)&amp;"|"&amp;대상월키,기관표[키],0))&amp;"","—"),"—")))</f>
        <v/>
      </c>
      <c r="M393">
        <f>IF($X393="","",IF(NOT(COUNTIF(기관표[사번키],INDEX(합계표[사번키],$X393))+COUNTIF(월별근무지표[사번키],INDEX(합계표[사번키],$X393))&gt;0),"기관명단에 없음(다른 병원으로 발송)",IF($L393="서울병원","해당",IF(N($R393)&gt;0,"해당(말일 근무)",IF($L393="—","대상월 기관명단 없음(추가 필요)","비해당")))))</f>
        <v/>
      </c>
      <c r="N393" s="20">
        <f>IF($X393="","",SUMIFS(상세표[06~07시],상세표[사번키],INDEX(합계표[사번키],$X393),상세표[반영월],대상월키,상세표[반영 기관],"서울병원"))</f>
        <v/>
      </c>
      <c r="O393" s="20">
        <f>IF($X393="","",SUMIFS(상세표[07~18시],상세표[사번키],INDEX(합계표[사번키],$X393),상세표[반영월],대상월키,상세표[반영 기관],"서울병원"))</f>
        <v/>
      </c>
      <c r="P393" s="20">
        <f>IF($X393="","",SUMIFS(상세표[18~22시],상세표[사번키],INDEX(합계표[사번키],$X393),상세표[반영월],대상월키,상세표[반영 기관],"서울병원"))</f>
        <v/>
      </c>
      <c r="Q393" s="20">
        <f>IF($X393="","",SUMIFS(상세표[22~06시],상세표[사번키],INDEX(합계표[사번키],$X393),상세표[반영월],대상월키,상세표[반영 기관],"서울병원"))</f>
        <v/>
      </c>
      <c r="R393" s="20">
        <f>IF($X393="","",SUM($N393:$Q393))</f>
        <v/>
      </c>
      <c r="S393">
        <f>IF($X393="","",COUNTIFS(상세표[사번키],INDEX(합계표[사번키],$X393),상세표[반영월],대상월키,상세표[야간당직],1,상세표[야간 구분],"평일"))</f>
        <v/>
      </c>
      <c r="T393">
        <f>IF($X393="","",COUNTIFS(상세표[사번키],INDEX(합계표[사번키],$X393),상세표[반영월],대상월키,상세표[야간당직],1,상세표[야간 구분],"휴일"))</f>
        <v/>
      </c>
      <c r="U393">
        <f>IF($X393="","",COUNTIFS(상세표[사번키],INDEX(합계표[사번키],$X393),상세표[반영월],대상월키,상세표[야간당직],1,상세표[야간 구분],"평일",상세표[반영 기관],"서울병원"))</f>
        <v/>
      </c>
      <c r="V393">
        <f>IF($X393="","",COUNTIFS(상세표[사번키],INDEX(합계표[사번키],$X393),상세표[반영월],대상월키,상세표[야간당직],1,상세표[야간 구분],"휴일",상세표[반영 기관],"서울병원"))</f>
        <v/>
      </c>
      <c r="W393">
        <f>IF($X393="","",IF(ISNUMBER(MATCH(INDEX(합계표[사번키],$X393)&amp;"|"&amp;대상월키,월별근무지표[키],0)),"직접 입력",IF($L393="—","—","기관명단")))</f>
        <v/>
      </c>
      <c r="X393" s="4">
        <f>IFERROR(MATCH(388,합계표[판정순번],0),"")</f>
        <v/>
      </c>
    </row>
    <row r="394">
      <c r="A394">
        <f>IF($X394="","",INDEX(합계표[사번],$X394)&amp;"")</f>
        <v/>
      </c>
      <c r="B394">
        <f>IF($X394="","",INDEX(합계표[성명],$X394)&amp;"")</f>
        <v/>
      </c>
      <c r="C394">
        <f>IF($X394="","",INDEX(합계표[부서],$X394)&amp;"")</f>
        <v/>
      </c>
      <c r="D394">
        <f>IF($X394="","",INDEX(합계표[직위(요약)],$X394)&amp;"")</f>
        <v/>
      </c>
      <c r="E394">
        <f>IF($X394="","",INDEX(합계표[직급 공존],$X394)&amp;"")</f>
        <v/>
      </c>
      <c r="F394" s="20">
        <f>IF($X394="","",SUMIFS(합계표[시스템 합계],합계표[사번키],INDEX(합계표[사번키],$X394)))</f>
        <v/>
      </c>
      <c r="G394" s="20">
        <f>IF($X394="","",SUMIFS(상세표[기록 시간외],상세표[사번키],INDEX(합계표[사번키],$X394),상세표[기록월],대상월키))</f>
        <v/>
      </c>
      <c r="H394">
        <f>IF($X394="","",IF(ABS($F394-$G394)&lt;0.01,"일치","불일치(차이 "&amp;TEXT($G394-$F394,"0.00")&amp;")"))</f>
        <v/>
      </c>
      <c r="I394" s="20">
        <f>IF($X394="","",SUMIFS(상세표[기록 시간외],상세표[사번키],INDEX(합계표[사번키],$X394),상세표[기록월],대상월키,상세표[반영월],"&lt;&gt;"&amp;대상월키))</f>
        <v/>
      </c>
      <c r="J394" s="20">
        <f>IF($X394="","",SUMIFS(상세표[기록 시간외],상세표[사번키],INDEX(합계표[사번키],$X394),상세표[기록월],"&lt;&gt;"&amp;대상월키,상세표[반영월],대상월키))</f>
        <v/>
      </c>
      <c r="K394" s="20">
        <f>IF($X394="","",SUMIFS(상세표[기록 시간외],상세표[사번키],INDEX(합계표[사번키],$X394),상세표[반영월],대상월키))</f>
        <v/>
      </c>
      <c r="L394">
        <f>IF($X394="","",IFERROR(INDEX(월별근무지표[적용 급여병원],MATCH(INDEX(합계표[사번키],$X394)&amp;"|"&amp;대상월키,월별근무지표[키],0))&amp;"",IF(COUNTIF(기관표[사번키],INDEX(합계표[사번키],$X394))+COUNTIF(월별근무지표[사번키],INDEX(합계표[사번키],$X394))&gt;0,IFERROR(INDEX(기관표[급여지급병원(기준월)],MATCH(INDEX(합계표[사번키],$X394)&amp;"|"&amp;대상월키,기관표[키],0))&amp;"","—"),"—")))</f>
        <v/>
      </c>
      <c r="M394">
        <f>IF($X394="","",IF(NOT(COUNTIF(기관표[사번키],INDEX(합계표[사번키],$X394))+COUNTIF(월별근무지표[사번키],INDEX(합계표[사번키],$X394))&gt;0),"기관명단에 없음(다른 병원으로 발송)",IF($L394="서울병원","해당",IF(N($R394)&gt;0,"해당(말일 근무)",IF($L394="—","대상월 기관명단 없음(추가 필요)","비해당")))))</f>
        <v/>
      </c>
      <c r="N394" s="20">
        <f>IF($X394="","",SUMIFS(상세표[06~07시],상세표[사번키],INDEX(합계표[사번키],$X394),상세표[반영월],대상월키,상세표[반영 기관],"서울병원"))</f>
        <v/>
      </c>
      <c r="O394" s="20">
        <f>IF($X394="","",SUMIFS(상세표[07~18시],상세표[사번키],INDEX(합계표[사번키],$X394),상세표[반영월],대상월키,상세표[반영 기관],"서울병원"))</f>
        <v/>
      </c>
      <c r="P394" s="20">
        <f>IF($X394="","",SUMIFS(상세표[18~22시],상세표[사번키],INDEX(합계표[사번키],$X394),상세표[반영월],대상월키,상세표[반영 기관],"서울병원"))</f>
        <v/>
      </c>
      <c r="Q394" s="20">
        <f>IF($X394="","",SUMIFS(상세표[22~06시],상세표[사번키],INDEX(합계표[사번키],$X394),상세표[반영월],대상월키,상세표[반영 기관],"서울병원"))</f>
        <v/>
      </c>
      <c r="R394" s="20">
        <f>IF($X394="","",SUM($N394:$Q394))</f>
        <v/>
      </c>
      <c r="S394">
        <f>IF($X394="","",COUNTIFS(상세표[사번키],INDEX(합계표[사번키],$X394),상세표[반영월],대상월키,상세표[야간당직],1,상세표[야간 구분],"평일"))</f>
        <v/>
      </c>
      <c r="T394">
        <f>IF($X394="","",COUNTIFS(상세표[사번키],INDEX(합계표[사번키],$X394),상세표[반영월],대상월키,상세표[야간당직],1,상세표[야간 구분],"휴일"))</f>
        <v/>
      </c>
      <c r="U394">
        <f>IF($X394="","",COUNTIFS(상세표[사번키],INDEX(합계표[사번키],$X394),상세표[반영월],대상월키,상세표[야간당직],1,상세표[야간 구분],"평일",상세표[반영 기관],"서울병원"))</f>
        <v/>
      </c>
      <c r="V394">
        <f>IF($X394="","",COUNTIFS(상세표[사번키],INDEX(합계표[사번키],$X394),상세표[반영월],대상월키,상세표[야간당직],1,상세표[야간 구분],"휴일",상세표[반영 기관],"서울병원"))</f>
        <v/>
      </c>
      <c r="W394">
        <f>IF($X394="","",IF(ISNUMBER(MATCH(INDEX(합계표[사번키],$X394)&amp;"|"&amp;대상월키,월별근무지표[키],0)),"직접 입력",IF($L394="—","—","기관명단")))</f>
        <v/>
      </c>
      <c r="X394" s="4">
        <f>IFERROR(MATCH(389,합계표[판정순번],0),"")</f>
        <v/>
      </c>
    </row>
    <row r="395">
      <c r="A395">
        <f>IF($X395="","",INDEX(합계표[사번],$X395)&amp;"")</f>
        <v/>
      </c>
      <c r="B395">
        <f>IF($X395="","",INDEX(합계표[성명],$X395)&amp;"")</f>
        <v/>
      </c>
      <c r="C395">
        <f>IF($X395="","",INDEX(합계표[부서],$X395)&amp;"")</f>
        <v/>
      </c>
      <c r="D395">
        <f>IF($X395="","",INDEX(합계표[직위(요약)],$X395)&amp;"")</f>
        <v/>
      </c>
      <c r="E395">
        <f>IF($X395="","",INDEX(합계표[직급 공존],$X395)&amp;"")</f>
        <v/>
      </c>
      <c r="F395" s="20">
        <f>IF($X395="","",SUMIFS(합계표[시스템 합계],합계표[사번키],INDEX(합계표[사번키],$X395)))</f>
        <v/>
      </c>
      <c r="G395" s="20">
        <f>IF($X395="","",SUMIFS(상세표[기록 시간외],상세표[사번키],INDEX(합계표[사번키],$X395),상세표[기록월],대상월키))</f>
        <v/>
      </c>
      <c r="H395">
        <f>IF($X395="","",IF(ABS($F395-$G395)&lt;0.01,"일치","불일치(차이 "&amp;TEXT($G395-$F395,"0.00")&amp;")"))</f>
        <v/>
      </c>
      <c r="I395" s="20">
        <f>IF($X395="","",SUMIFS(상세표[기록 시간외],상세표[사번키],INDEX(합계표[사번키],$X395),상세표[기록월],대상월키,상세표[반영월],"&lt;&gt;"&amp;대상월키))</f>
        <v/>
      </c>
      <c r="J395" s="20">
        <f>IF($X395="","",SUMIFS(상세표[기록 시간외],상세표[사번키],INDEX(합계표[사번키],$X395),상세표[기록월],"&lt;&gt;"&amp;대상월키,상세표[반영월],대상월키))</f>
        <v/>
      </c>
      <c r="K395" s="20">
        <f>IF($X395="","",SUMIFS(상세표[기록 시간외],상세표[사번키],INDEX(합계표[사번키],$X395),상세표[반영월],대상월키))</f>
        <v/>
      </c>
      <c r="L395">
        <f>IF($X395="","",IFERROR(INDEX(월별근무지표[적용 급여병원],MATCH(INDEX(합계표[사번키],$X395)&amp;"|"&amp;대상월키,월별근무지표[키],0))&amp;"",IF(COUNTIF(기관표[사번키],INDEX(합계표[사번키],$X395))+COUNTIF(월별근무지표[사번키],INDEX(합계표[사번키],$X395))&gt;0,IFERROR(INDEX(기관표[급여지급병원(기준월)],MATCH(INDEX(합계표[사번키],$X395)&amp;"|"&amp;대상월키,기관표[키],0))&amp;"","—"),"—")))</f>
        <v/>
      </c>
      <c r="M395">
        <f>IF($X395="","",IF(NOT(COUNTIF(기관표[사번키],INDEX(합계표[사번키],$X395))+COUNTIF(월별근무지표[사번키],INDEX(합계표[사번키],$X395))&gt;0),"기관명단에 없음(다른 병원으로 발송)",IF($L395="서울병원","해당",IF(N($R395)&gt;0,"해당(말일 근무)",IF($L395="—","대상월 기관명단 없음(추가 필요)","비해당")))))</f>
        <v/>
      </c>
      <c r="N395" s="20">
        <f>IF($X395="","",SUMIFS(상세표[06~07시],상세표[사번키],INDEX(합계표[사번키],$X395),상세표[반영월],대상월키,상세표[반영 기관],"서울병원"))</f>
        <v/>
      </c>
      <c r="O395" s="20">
        <f>IF($X395="","",SUMIFS(상세표[07~18시],상세표[사번키],INDEX(합계표[사번키],$X395),상세표[반영월],대상월키,상세표[반영 기관],"서울병원"))</f>
        <v/>
      </c>
      <c r="P395" s="20">
        <f>IF($X395="","",SUMIFS(상세표[18~22시],상세표[사번키],INDEX(합계표[사번키],$X395),상세표[반영월],대상월키,상세표[반영 기관],"서울병원"))</f>
        <v/>
      </c>
      <c r="Q395" s="20">
        <f>IF($X395="","",SUMIFS(상세표[22~06시],상세표[사번키],INDEX(합계표[사번키],$X395),상세표[반영월],대상월키,상세표[반영 기관],"서울병원"))</f>
        <v/>
      </c>
      <c r="R395" s="20">
        <f>IF($X395="","",SUM($N395:$Q395))</f>
        <v/>
      </c>
      <c r="S395">
        <f>IF($X395="","",COUNTIFS(상세표[사번키],INDEX(합계표[사번키],$X395),상세표[반영월],대상월키,상세표[야간당직],1,상세표[야간 구분],"평일"))</f>
        <v/>
      </c>
      <c r="T395">
        <f>IF($X395="","",COUNTIFS(상세표[사번키],INDEX(합계표[사번키],$X395),상세표[반영월],대상월키,상세표[야간당직],1,상세표[야간 구분],"휴일"))</f>
        <v/>
      </c>
      <c r="U395">
        <f>IF($X395="","",COUNTIFS(상세표[사번키],INDEX(합계표[사번키],$X395),상세표[반영월],대상월키,상세표[야간당직],1,상세표[야간 구분],"평일",상세표[반영 기관],"서울병원"))</f>
        <v/>
      </c>
      <c r="V395">
        <f>IF($X395="","",COUNTIFS(상세표[사번키],INDEX(합계표[사번키],$X395),상세표[반영월],대상월키,상세표[야간당직],1,상세표[야간 구분],"휴일",상세표[반영 기관],"서울병원"))</f>
        <v/>
      </c>
      <c r="W395">
        <f>IF($X395="","",IF(ISNUMBER(MATCH(INDEX(합계표[사번키],$X395)&amp;"|"&amp;대상월키,월별근무지표[키],0)),"직접 입력",IF($L395="—","—","기관명단")))</f>
        <v/>
      </c>
      <c r="X395" s="4">
        <f>IFERROR(MATCH(390,합계표[판정순번],0),"")</f>
        <v/>
      </c>
    </row>
    <row r="396">
      <c r="A396">
        <f>IF($X396="","",INDEX(합계표[사번],$X396)&amp;"")</f>
        <v/>
      </c>
      <c r="B396">
        <f>IF($X396="","",INDEX(합계표[성명],$X396)&amp;"")</f>
        <v/>
      </c>
      <c r="C396">
        <f>IF($X396="","",INDEX(합계표[부서],$X396)&amp;"")</f>
        <v/>
      </c>
      <c r="D396">
        <f>IF($X396="","",INDEX(합계표[직위(요약)],$X396)&amp;"")</f>
        <v/>
      </c>
      <c r="E396">
        <f>IF($X396="","",INDEX(합계표[직급 공존],$X396)&amp;"")</f>
        <v/>
      </c>
      <c r="F396" s="20">
        <f>IF($X396="","",SUMIFS(합계표[시스템 합계],합계표[사번키],INDEX(합계표[사번키],$X396)))</f>
        <v/>
      </c>
      <c r="G396" s="20">
        <f>IF($X396="","",SUMIFS(상세표[기록 시간외],상세표[사번키],INDEX(합계표[사번키],$X396),상세표[기록월],대상월키))</f>
        <v/>
      </c>
      <c r="H396">
        <f>IF($X396="","",IF(ABS($F396-$G396)&lt;0.01,"일치","불일치(차이 "&amp;TEXT($G396-$F396,"0.00")&amp;")"))</f>
        <v/>
      </c>
      <c r="I396" s="20">
        <f>IF($X396="","",SUMIFS(상세표[기록 시간외],상세표[사번키],INDEX(합계표[사번키],$X396),상세표[기록월],대상월키,상세표[반영월],"&lt;&gt;"&amp;대상월키))</f>
        <v/>
      </c>
      <c r="J396" s="20">
        <f>IF($X396="","",SUMIFS(상세표[기록 시간외],상세표[사번키],INDEX(합계표[사번키],$X396),상세표[기록월],"&lt;&gt;"&amp;대상월키,상세표[반영월],대상월키))</f>
        <v/>
      </c>
      <c r="K396" s="20">
        <f>IF($X396="","",SUMIFS(상세표[기록 시간외],상세표[사번키],INDEX(합계표[사번키],$X396),상세표[반영월],대상월키))</f>
        <v/>
      </c>
      <c r="L396">
        <f>IF($X396="","",IFERROR(INDEX(월별근무지표[적용 급여병원],MATCH(INDEX(합계표[사번키],$X396)&amp;"|"&amp;대상월키,월별근무지표[키],0))&amp;"",IF(COUNTIF(기관표[사번키],INDEX(합계표[사번키],$X396))+COUNTIF(월별근무지표[사번키],INDEX(합계표[사번키],$X396))&gt;0,IFERROR(INDEX(기관표[급여지급병원(기준월)],MATCH(INDEX(합계표[사번키],$X396)&amp;"|"&amp;대상월키,기관표[키],0))&amp;"","—"),"—")))</f>
        <v/>
      </c>
      <c r="M396">
        <f>IF($X396="","",IF(NOT(COUNTIF(기관표[사번키],INDEX(합계표[사번키],$X396))+COUNTIF(월별근무지표[사번키],INDEX(합계표[사번키],$X396))&gt;0),"기관명단에 없음(다른 병원으로 발송)",IF($L396="서울병원","해당",IF(N($R396)&gt;0,"해당(말일 근무)",IF($L396="—","대상월 기관명단 없음(추가 필요)","비해당")))))</f>
        <v/>
      </c>
      <c r="N396" s="20">
        <f>IF($X396="","",SUMIFS(상세표[06~07시],상세표[사번키],INDEX(합계표[사번키],$X396),상세표[반영월],대상월키,상세표[반영 기관],"서울병원"))</f>
        <v/>
      </c>
      <c r="O396" s="20">
        <f>IF($X396="","",SUMIFS(상세표[07~18시],상세표[사번키],INDEX(합계표[사번키],$X396),상세표[반영월],대상월키,상세표[반영 기관],"서울병원"))</f>
        <v/>
      </c>
      <c r="P396" s="20">
        <f>IF($X396="","",SUMIFS(상세표[18~22시],상세표[사번키],INDEX(합계표[사번키],$X396),상세표[반영월],대상월키,상세표[반영 기관],"서울병원"))</f>
        <v/>
      </c>
      <c r="Q396" s="20">
        <f>IF($X396="","",SUMIFS(상세표[22~06시],상세표[사번키],INDEX(합계표[사번키],$X396),상세표[반영월],대상월키,상세표[반영 기관],"서울병원"))</f>
        <v/>
      </c>
      <c r="R396" s="20">
        <f>IF($X396="","",SUM($N396:$Q396))</f>
        <v/>
      </c>
      <c r="S396">
        <f>IF($X396="","",COUNTIFS(상세표[사번키],INDEX(합계표[사번키],$X396),상세표[반영월],대상월키,상세표[야간당직],1,상세표[야간 구분],"평일"))</f>
        <v/>
      </c>
      <c r="T396">
        <f>IF($X396="","",COUNTIFS(상세표[사번키],INDEX(합계표[사번키],$X396),상세표[반영월],대상월키,상세표[야간당직],1,상세표[야간 구분],"휴일"))</f>
        <v/>
      </c>
      <c r="U396">
        <f>IF($X396="","",COUNTIFS(상세표[사번키],INDEX(합계표[사번키],$X396),상세표[반영월],대상월키,상세표[야간당직],1,상세표[야간 구분],"평일",상세표[반영 기관],"서울병원"))</f>
        <v/>
      </c>
      <c r="V396">
        <f>IF($X396="","",COUNTIFS(상세표[사번키],INDEX(합계표[사번키],$X396),상세표[반영월],대상월키,상세표[야간당직],1,상세표[야간 구분],"휴일",상세표[반영 기관],"서울병원"))</f>
        <v/>
      </c>
      <c r="W396">
        <f>IF($X396="","",IF(ISNUMBER(MATCH(INDEX(합계표[사번키],$X396)&amp;"|"&amp;대상월키,월별근무지표[키],0)),"직접 입력",IF($L396="—","—","기관명단")))</f>
        <v/>
      </c>
      <c r="X396" s="4">
        <f>IFERROR(MATCH(391,합계표[판정순번],0),"")</f>
        <v/>
      </c>
    </row>
    <row r="397">
      <c r="A397">
        <f>IF($X397="","",INDEX(합계표[사번],$X397)&amp;"")</f>
        <v/>
      </c>
      <c r="B397">
        <f>IF($X397="","",INDEX(합계표[성명],$X397)&amp;"")</f>
        <v/>
      </c>
      <c r="C397">
        <f>IF($X397="","",INDEX(합계표[부서],$X397)&amp;"")</f>
        <v/>
      </c>
      <c r="D397">
        <f>IF($X397="","",INDEX(합계표[직위(요약)],$X397)&amp;"")</f>
        <v/>
      </c>
      <c r="E397">
        <f>IF($X397="","",INDEX(합계표[직급 공존],$X397)&amp;"")</f>
        <v/>
      </c>
      <c r="F397" s="20">
        <f>IF($X397="","",SUMIFS(합계표[시스템 합계],합계표[사번키],INDEX(합계표[사번키],$X397)))</f>
        <v/>
      </c>
      <c r="G397" s="20">
        <f>IF($X397="","",SUMIFS(상세표[기록 시간외],상세표[사번키],INDEX(합계표[사번키],$X397),상세표[기록월],대상월키))</f>
        <v/>
      </c>
      <c r="H397">
        <f>IF($X397="","",IF(ABS($F397-$G397)&lt;0.01,"일치","불일치(차이 "&amp;TEXT($G397-$F397,"0.00")&amp;")"))</f>
        <v/>
      </c>
      <c r="I397" s="20">
        <f>IF($X397="","",SUMIFS(상세표[기록 시간외],상세표[사번키],INDEX(합계표[사번키],$X397),상세표[기록월],대상월키,상세표[반영월],"&lt;&gt;"&amp;대상월키))</f>
        <v/>
      </c>
      <c r="J397" s="20">
        <f>IF($X397="","",SUMIFS(상세표[기록 시간외],상세표[사번키],INDEX(합계표[사번키],$X397),상세표[기록월],"&lt;&gt;"&amp;대상월키,상세표[반영월],대상월키))</f>
        <v/>
      </c>
      <c r="K397" s="20">
        <f>IF($X397="","",SUMIFS(상세표[기록 시간외],상세표[사번키],INDEX(합계표[사번키],$X397),상세표[반영월],대상월키))</f>
        <v/>
      </c>
      <c r="L397">
        <f>IF($X397="","",IFERROR(INDEX(월별근무지표[적용 급여병원],MATCH(INDEX(합계표[사번키],$X397)&amp;"|"&amp;대상월키,월별근무지표[키],0))&amp;"",IF(COUNTIF(기관표[사번키],INDEX(합계표[사번키],$X397))+COUNTIF(월별근무지표[사번키],INDEX(합계표[사번키],$X397))&gt;0,IFERROR(INDEX(기관표[급여지급병원(기준월)],MATCH(INDEX(합계표[사번키],$X397)&amp;"|"&amp;대상월키,기관표[키],0))&amp;"","—"),"—")))</f>
        <v/>
      </c>
      <c r="M397">
        <f>IF($X397="","",IF(NOT(COUNTIF(기관표[사번키],INDEX(합계표[사번키],$X397))+COUNTIF(월별근무지표[사번키],INDEX(합계표[사번키],$X397))&gt;0),"기관명단에 없음(다른 병원으로 발송)",IF($L397="서울병원","해당",IF(N($R397)&gt;0,"해당(말일 근무)",IF($L397="—","대상월 기관명단 없음(추가 필요)","비해당")))))</f>
        <v/>
      </c>
      <c r="N397" s="20">
        <f>IF($X397="","",SUMIFS(상세표[06~07시],상세표[사번키],INDEX(합계표[사번키],$X397),상세표[반영월],대상월키,상세표[반영 기관],"서울병원"))</f>
        <v/>
      </c>
      <c r="O397" s="20">
        <f>IF($X397="","",SUMIFS(상세표[07~18시],상세표[사번키],INDEX(합계표[사번키],$X397),상세표[반영월],대상월키,상세표[반영 기관],"서울병원"))</f>
        <v/>
      </c>
      <c r="P397" s="20">
        <f>IF($X397="","",SUMIFS(상세표[18~22시],상세표[사번키],INDEX(합계표[사번키],$X397),상세표[반영월],대상월키,상세표[반영 기관],"서울병원"))</f>
        <v/>
      </c>
      <c r="Q397" s="20">
        <f>IF($X397="","",SUMIFS(상세표[22~06시],상세표[사번키],INDEX(합계표[사번키],$X397),상세표[반영월],대상월키,상세표[반영 기관],"서울병원"))</f>
        <v/>
      </c>
      <c r="R397" s="20">
        <f>IF($X397="","",SUM($N397:$Q397))</f>
        <v/>
      </c>
      <c r="S397">
        <f>IF($X397="","",COUNTIFS(상세표[사번키],INDEX(합계표[사번키],$X397),상세표[반영월],대상월키,상세표[야간당직],1,상세표[야간 구분],"평일"))</f>
        <v/>
      </c>
      <c r="T397">
        <f>IF($X397="","",COUNTIFS(상세표[사번키],INDEX(합계표[사번키],$X397),상세표[반영월],대상월키,상세표[야간당직],1,상세표[야간 구분],"휴일"))</f>
        <v/>
      </c>
      <c r="U397">
        <f>IF($X397="","",COUNTIFS(상세표[사번키],INDEX(합계표[사번키],$X397),상세표[반영월],대상월키,상세표[야간당직],1,상세표[야간 구분],"평일",상세표[반영 기관],"서울병원"))</f>
        <v/>
      </c>
      <c r="V397">
        <f>IF($X397="","",COUNTIFS(상세표[사번키],INDEX(합계표[사번키],$X397),상세표[반영월],대상월키,상세표[야간당직],1,상세표[야간 구분],"휴일",상세표[반영 기관],"서울병원"))</f>
        <v/>
      </c>
      <c r="W397">
        <f>IF($X397="","",IF(ISNUMBER(MATCH(INDEX(합계표[사번키],$X397)&amp;"|"&amp;대상월키,월별근무지표[키],0)),"직접 입력",IF($L397="—","—","기관명단")))</f>
        <v/>
      </c>
      <c r="X397" s="4">
        <f>IFERROR(MATCH(392,합계표[판정순번],0),"")</f>
        <v/>
      </c>
    </row>
    <row r="398">
      <c r="A398">
        <f>IF($X398="","",INDEX(합계표[사번],$X398)&amp;"")</f>
        <v/>
      </c>
      <c r="B398">
        <f>IF($X398="","",INDEX(합계표[성명],$X398)&amp;"")</f>
        <v/>
      </c>
      <c r="C398">
        <f>IF($X398="","",INDEX(합계표[부서],$X398)&amp;"")</f>
        <v/>
      </c>
      <c r="D398">
        <f>IF($X398="","",INDEX(합계표[직위(요약)],$X398)&amp;"")</f>
        <v/>
      </c>
      <c r="E398">
        <f>IF($X398="","",INDEX(합계표[직급 공존],$X398)&amp;"")</f>
        <v/>
      </c>
      <c r="F398" s="20">
        <f>IF($X398="","",SUMIFS(합계표[시스템 합계],합계표[사번키],INDEX(합계표[사번키],$X398)))</f>
        <v/>
      </c>
      <c r="G398" s="20">
        <f>IF($X398="","",SUMIFS(상세표[기록 시간외],상세표[사번키],INDEX(합계표[사번키],$X398),상세표[기록월],대상월키))</f>
        <v/>
      </c>
      <c r="H398">
        <f>IF($X398="","",IF(ABS($F398-$G398)&lt;0.01,"일치","불일치(차이 "&amp;TEXT($G398-$F398,"0.00")&amp;")"))</f>
        <v/>
      </c>
      <c r="I398" s="20">
        <f>IF($X398="","",SUMIFS(상세표[기록 시간외],상세표[사번키],INDEX(합계표[사번키],$X398),상세표[기록월],대상월키,상세표[반영월],"&lt;&gt;"&amp;대상월키))</f>
        <v/>
      </c>
      <c r="J398" s="20">
        <f>IF($X398="","",SUMIFS(상세표[기록 시간외],상세표[사번키],INDEX(합계표[사번키],$X398),상세표[기록월],"&lt;&gt;"&amp;대상월키,상세표[반영월],대상월키))</f>
        <v/>
      </c>
      <c r="K398" s="20">
        <f>IF($X398="","",SUMIFS(상세표[기록 시간외],상세표[사번키],INDEX(합계표[사번키],$X398),상세표[반영월],대상월키))</f>
        <v/>
      </c>
      <c r="L398">
        <f>IF($X398="","",IFERROR(INDEX(월별근무지표[적용 급여병원],MATCH(INDEX(합계표[사번키],$X398)&amp;"|"&amp;대상월키,월별근무지표[키],0))&amp;"",IF(COUNTIF(기관표[사번키],INDEX(합계표[사번키],$X398))+COUNTIF(월별근무지표[사번키],INDEX(합계표[사번키],$X398))&gt;0,IFERROR(INDEX(기관표[급여지급병원(기준월)],MATCH(INDEX(합계표[사번키],$X398)&amp;"|"&amp;대상월키,기관표[키],0))&amp;"","—"),"—")))</f>
        <v/>
      </c>
      <c r="M398">
        <f>IF($X398="","",IF(NOT(COUNTIF(기관표[사번키],INDEX(합계표[사번키],$X398))+COUNTIF(월별근무지표[사번키],INDEX(합계표[사번키],$X398))&gt;0),"기관명단에 없음(다른 병원으로 발송)",IF($L398="서울병원","해당",IF(N($R398)&gt;0,"해당(말일 근무)",IF($L398="—","대상월 기관명단 없음(추가 필요)","비해당")))))</f>
        <v/>
      </c>
      <c r="N398" s="20">
        <f>IF($X398="","",SUMIFS(상세표[06~07시],상세표[사번키],INDEX(합계표[사번키],$X398),상세표[반영월],대상월키,상세표[반영 기관],"서울병원"))</f>
        <v/>
      </c>
      <c r="O398" s="20">
        <f>IF($X398="","",SUMIFS(상세표[07~18시],상세표[사번키],INDEX(합계표[사번키],$X398),상세표[반영월],대상월키,상세표[반영 기관],"서울병원"))</f>
        <v/>
      </c>
      <c r="P398" s="20">
        <f>IF($X398="","",SUMIFS(상세표[18~22시],상세표[사번키],INDEX(합계표[사번키],$X398),상세표[반영월],대상월키,상세표[반영 기관],"서울병원"))</f>
        <v/>
      </c>
      <c r="Q398" s="20">
        <f>IF($X398="","",SUMIFS(상세표[22~06시],상세표[사번키],INDEX(합계표[사번키],$X398),상세표[반영월],대상월키,상세표[반영 기관],"서울병원"))</f>
        <v/>
      </c>
      <c r="R398" s="20">
        <f>IF($X398="","",SUM($N398:$Q398))</f>
        <v/>
      </c>
      <c r="S398">
        <f>IF($X398="","",COUNTIFS(상세표[사번키],INDEX(합계표[사번키],$X398),상세표[반영월],대상월키,상세표[야간당직],1,상세표[야간 구분],"평일"))</f>
        <v/>
      </c>
      <c r="T398">
        <f>IF($X398="","",COUNTIFS(상세표[사번키],INDEX(합계표[사번키],$X398),상세표[반영월],대상월키,상세표[야간당직],1,상세표[야간 구분],"휴일"))</f>
        <v/>
      </c>
      <c r="U398">
        <f>IF($X398="","",COUNTIFS(상세표[사번키],INDEX(합계표[사번키],$X398),상세표[반영월],대상월키,상세표[야간당직],1,상세표[야간 구분],"평일",상세표[반영 기관],"서울병원"))</f>
        <v/>
      </c>
      <c r="V398">
        <f>IF($X398="","",COUNTIFS(상세표[사번키],INDEX(합계표[사번키],$X398),상세표[반영월],대상월키,상세표[야간당직],1,상세표[야간 구분],"휴일",상세표[반영 기관],"서울병원"))</f>
        <v/>
      </c>
      <c r="W398">
        <f>IF($X398="","",IF(ISNUMBER(MATCH(INDEX(합계표[사번키],$X398)&amp;"|"&amp;대상월키,월별근무지표[키],0)),"직접 입력",IF($L398="—","—","기관명단")))</f>
        <v/>
      </c>
      <c r="X398" s="4">
        <f>IFERROR(MATCH(393,합계표[판정순번],0),"")</f>
        <v/>
      </c>
    </row>
    <row r="399">
      <c r="A399">
        <f>IF($X399="","",INDEX(합계표[사번],$X399)&amp;"")</f>
        <v/>
      </c>
      <c r="B399">
        <f>IF($X399="","",INDEX(합계표[성명],$X399)&amp;"")</f>
        <v/>
      </c>
      <c r="C399">
        <f>IF($X399="","",INDEX(합계표[부서],$X399)&amp;"")</f>
        <v/>
      </c>
      <c r="D399">
        <f>IF($X399="","",INDEX(합계표[직위(요약)],$X399)&amp;"")</f>
        <v/>
      </c>
      <c r="E399">
        <f>IF($X399="","",INDEX(합계표[직급 공존],$X399)&amp;"")</f>
        <v/>
      </c>
      <c r="F399" s="20">
        <f>IF($X399="","",SUMIFS(합계표[시스템 합계],합계표[사번키],INDEX(합계표[사번키],$X399)))</f>
        <v/>
      </c>
      <c r="G399" s="20">
        <f>IF($X399="","",SUMIFS(상세표[기록 시간외],상세표[사번키],INDEX(합계표[사번키],$X399),상세표[기록월],대상월키))</f>
        <v/>
      </c>
      <c r="H399">
        <f>IF($X399="","",IF(ABS($F399-$G399)&lt;0.01,"일치","불일치(차이 "&amp;TEXT($G399-$F399,"0.00")&amp;")"))</f>
        <v/>
      </c>
      <c r="I399" s="20">
        <f>IF($X399="","",SUMIFS(상세표[기록 시간외],상세표[사번키],INDEX(합계표[사번키],$X399),상세표[기록월],대상월키,상세표[반영월],"&lt;&gt;"&amp;대상월키))</f>
        <v/>
      </c>
      <c r="J399" s="20">
        <f>IF($X399="","",SUMIFS(상세표[기록 시간외],상세표[사번키],INDEX(합계표[사번키],$X399),상세표[기록월],"&lt;&gt;"&amp;대상월키,상세표[반영월],대상월키))</f>
        <v/>
      </c>
      <c r="K399" s="20">
        <f>IF($X399="","",SUMIFS(상세표[기록 시간외],상세표[사번키],INDEX(합계표[사번키],$X399),상세표[반영월],대상월키))</f>
        <v/>
      </c>
      <c r="L399">
        <f>IF($X399="","",IFERROR(INDEX(월별근무지표[적용 급여병원],MATCH(INDEX(합계표[사번키],$X399)&amp;"|"&amp;대상월키,월별근무지표[키],0))&amp;"",IF(COUNTIF(기관표[사번키],INDEX(합계표[사번키],$X399))+COUNTIF(월별근무지표[사번키],INDEX(합계표[사번키],$X399))&gt;0,IFERROR(INDEX(기관표[급여지급병원(기준월)],MATCH(INDEX(합계표[사번키],$X399)&amp;"|"&amp;대상월키,기관표[키],0))&amp;"","—"),"—")))</f>
        <v/>
      </c>
      <c r="M399">
        <f>IF($X399="","",IF(NOT(COUNTIF(기관표[사번키],INDEX(합계표[사번키],$X399))+COUNTIF(월별근무지표[사번키],INDEX(합계표[사번키],$X399))&gt;0),"기관명단에 없음(다른 병원으로 발송)",IF($L399="서울병원","해당",IF(N($R399)&gt;0,"해당(말일 근무)",IF($L399="—","대상월 기관명단 없음(추가 필요)","비해당")))))</f>
        <v/>
      </c>
      <c r="N399" s="20">
        <f>IF($X399="","",SUMIFS(상세표[06~07시],상세표[사번키],INDEX(합계표[사번키],$X399),상세표[반영월],대상월키,상세표[반영 기관],"서울병원"))</f>
        <v/>
      </c>
      <c r="O399" s="20">
        <f>IF($X399="","",SUMIFS(상세표[07~18시],상세표[사번키],INDEX(합계표[사번키],$X399),상세표[반영월],대상월키,상세표[반영 기관],"서울병원"))</f>
        <v/>
      </c>
      <c r="P399" s="20">
        <f>IF($X399="","",SUMIFS(상세표[18~22시],상세표[사번키],INDEX(합계표[사번키],$X399),상세표[반영월],대상월키,상세표[반영 기관],"서울병원"))</f>
        <v/>
      </c>
      <c r="Q399" s="20">
        <f>IF($X399="","",SUMIFS(상세표[22~06시],상세표[사번키],INDEX(합계표[사번키],$X399),상세표[반영월],대상월키,상세표[반영 기관],"서울병원"))</f>
        <v/>
      </c>
      <c r="R399" s="20">
        <f>IF($X399="","",SUM($N399:$Q399))</f>
        <v/>
      </c>
      <c r="S399">
        <f>IF($X399="","",COUNTIFS(상세표[사번키],INDEX(합계표[사번키],$X399),상세표[반영월],대상월키,상세표[야간당직],1,상세표[야간 구분],"평일"))</f>
        <v/>
      </c>
      <c r="T399">
        <f>IF($X399="","",COUNTIFS(상세표[사번키],INDEX(합계표[사번키],$X399),상세표[반영월],대상월키,상세표[야간당직],1,상세표[야간 구분],"휴일"))</f>
        <v/>
      </c>
      <c r="U399">
        <f>IF($X399="","",COUNTIFS(상세표[사번키],INDEX(합계표[사번키],$X399),상세표[반영월],대상월키,상세표[야간당직],1,상세표[야간 구분],"평일",상세표[반영 기관],"서울병원"))</f>
        <v/>
      </c>
      <c r="V399">
        <f>IF($X399="","",COUNTIFS(상세표[사번키],INDEX(합계표[사번키],$X399),상세표[반영월],대상월키,상세표[야간당직],1,상세표[야간 구분],"휴일",상세표[반영 기관],"서울병원"))</f>
        <v/>
      </c>
      <c r="W399">
        <f>IF($X399="","",IF(ISNUMBER(MATCH(INDEX(합계표[사번키],$X399)&amp;"|"&amp;대상월키,월별근무지표[키],0)),"직접 입력",IF($L399="—","—","기관명단")))</f>
        <v/>
      </c>
      <c r="X399" s="4">
        <f>IFERROR(MATCH(394,합계표[판정순번],0),"")</f>
        <v/>
      </c>
    </row>
    <row r="400">
      <c r="A400">
        <f>IF($X400="","",INDEX(합계표[사번],$X400)&amp;"")</f>
        <v/>
      </c>
      <c r="B400">
        <f>IF($X400="","",INDEX(합계표[성명],$X400)&amp;"")</f>
        <v/>
      </c>
      <c r="C400">
        <f>IF($X400="","",INDEX(합계표[부서],$X400)&amp;"")</f>
        <v/>
      </c>
      <c r="D400">
        <f>IF($X400="","",INDEX(합계표[직위(요약)],$X400)&amp;"")</f>
        <v/>
      </c>
      <c r="E400">
        <f>IF($X400="","",INDEX(합계표[직급 공존],$X400)&amp;"")</f>
        <v/>
      </c>
      <c r="F400" s="20">
        <f>IF($X400="","",SUMIFS(합계표[시스템 합계],합계표[사번키],INDEX(합계표[사번키],$X400)))</f>
        <v/>
      </c>
      <c r="G400" s="20">
        <f>IF($X400="","",SUMIFS(상세표[기록 시간외],상세표[사번키],INDEX(합계표[사번키],$X400),상세표[기록월],대상월키))</f>
        <v/>
      </c>
      <c r="H400">
        <f>IF($X400="","",IF(ABS($F400-$G400)&lt;0.01,"일치","불일치(차이 "&amp;TEXT($G400-$F400,"0.00")&amp;")"))</f>
        <v/>
      </c>
      <c r="I400" s="20">
        <f>IF($X400="","",SUMIFS(상세표[기록 시간외],상세표[사번키],INDEX(합계표[사번키],$X400),상세표[기록월],대상월키,상세표[반영월],"&lt;&gt;"&amp;대상월키))</f>
        <v/>
      </c>
      <c r="J400" s="20">
        <f>IF($X400="","",SUMIFS(상세표[기록 시간외],상세표[사번키],INDEX(합계표[사번키],$X400),상세표[기록월],"&lt;&gt;"&amp;대상월키,상세표[반영월],대상월키))</f>
        <v/>
      </c>
      <c r="K400" s="20">
        <f>IF($X400="","",SUMIFS(상세표[기록 시간외],상세표[사번키],INDEX(합계표[사번키],$X400),상세표[반영월],대상월키))</f>
        <v/>
      </c>
      <c r="L400">
        <f>IF($X400="","",IFERROR(INDEX(월별근무지표[적용 급여병원],MATCH(INDEX(합계표[사번키],$X400)&amp;"|"&amp;대상월키,월별근무지표[키],0))&amp;"",IF(COUNTIF(기관표[사번키],INDEX(합계표[사번키],$X400))+COUNTIF(월별근무지표[사번키],INDEX(합계표[사번키],$X400))&gt;0,IFERROR(INDEX(기관표[급여지급병원(기준월)],MATCH(INDEX(합계표[사번키],$X400)&amp;"|"&amp;대상월키,기관표[키],0))&amp;"","—"),"—")))</f>
        <v/>
      </c>
      <c r="M400">
        <f>IF($X400="","",IF(NOT(COUNTIF(기관표[사번키],INDEX(합계표[사번키],$X400))+COUNTIF(월별근무지표[사번키],INDEX(합계표[사번키],$X400))&gt;0),"기관명단에 없음(다른 병원으로 발송)",IF($L400="서울병원","해당",IF(N($R400)&gt;0,"해당(말일 근무)",IF($L400="—","대상월 기관명단 없음(추가 필요)","비해당")))))</f>
        <v/>
      </c>
      <c r="N400" s="20">
        <f>IF($X400="","",SUMIFS(상세표[06~07시],상세표[사번키],INDEX(합계표[사번키],$X400),상세표[반영월],대상월키,상세표[반영 기관],"서울병원"))</f>
        <v/>
      </c>
      <c r="O400" s="20">
        <f>IF($X400="","",SUMIFS(상세표[07~18시],상세표[사번키],INDEX(합계표[사번키],$X400),상세표[반영월],대상월키,상세표[반영 기관],"서울병원"))</f>
        <v/>
      </c>
      <c r="P400" s="20">
        <f>IF($X400="","",SUMIFS(상세표[18~22시],상세표[사번키],INDEX(합계표[사번키],$X400),상세표[반영월],대상월키,상세표[반영 기관],"서울병원"))</f>
        <v/>
      </c>
      <c r="Q400" s="20">
        <f>IF($X400="","",SUMIFS(상세표[22~06시],상세표[사번키],INDEX(합계표[사번키],$X400),상세표[반영월],대상월키,상세표[반영 기관],"서울병원"))</f>
        <v/>
      </c>
      <c r="R400" s="20">
        <f>IF($X400="","",SUM($N400:$Q400))</f>
        <v/>
      </c>
      <c r="S400">
        <f>IF($X400="","",COUNTIFS(상세표[사번키],INDEX(합계표[사번키],$X400),상세표[반영월],대상월키,상세표[야간당직],1,상세표[야간 구분],"평일"))</f>
        <v/>
      </c>
      <c r="T400">
        <f>IF($X400="","",COUNTIFS(상세표[사번키],INDEX(합계표[사번키],$X400),상세표[반영월],대상월키,상세표[야간당직],1,상세표[야간 구분],"휴일"))</f>
        <v/>
      </c>
      <c r="U400">
        <f>IF($X400="","",COUNTIFS(상세표[사번키],INDEX(합계표[사번키],$X400),상세표[반영월],대상월키,상세표[야간당직],1,상세표[야간 구분],"평일",상세표[반영 기관],"서울병원"))</f>
        <v/>
      </c>
      <c r="V400">
        <f>IF($X400="","",COUNTIFS(상세표[사번키],INDEX(합계표[사번키],$X400),상세표[반영월],대상월키,상세표[야간당직],1,상세표[야간 구분],"휴일",상세표[반영 기관],"서울병원"))</f>
        <v/>
      </c>
      <c r="W400">
        <f>IF($X400="","",IF(ISNUMBER(MATCH(INDEX(합계표[사번키],$X400)&amp;"|"&amp;대상월키,월별근무지표[키],0)),"직접 입력",IF($L400="—","—","기관명단")))</f>
        <v/>
      </c>
      <c r="X400" s="4">
        <f>IFERROR(MATCH(395,합계표[판정순번],0),"")</f>
        <v/>
      </c>
    </row>
    <row r="401">
      <c r="A401">
        <f>IF($X401="","",INDEX(합계표[사번],$X401)&amp;"")</f>
        <v/>
      </c>
      <c r="B401">
        <f>IF($X401="","",INDEX(합계표[성명],$X401)&amp;"")</f>
        <v/>
      </c>
      <c r="C401">
        <f>IF($X401="","",INDEX(합계표[부서],$X401)&amp;"")</f>
        <v/>
      </c>
      <c r="D401">
        <f>IF($X401="","",INDEX(합계표[직위(요약)],$X401)&amp;"")</f>
        <v/>
      </c>
      <c r="E401">
        <f>IF($X401="","",INDEX(합계표[직급 공존],$X401)&amp;"")</f>
        <v/>
      </c>
      <c r="F401" s="20">
        <f>IF($X401="","",SUMIFS(합계표[시스템 합계],합계표[사번키],INDEX(합계표[사번키],$X401)))</f>
        <v/>
      </c>
      <c r="G401" s="20">
        <f>IF($X401="","",SUMIFS(상세표[기록 시간외],상세표[사번키],INDEX(합계표[사번키],$X401),상세표[기록월],대상월키))</f>
        <v/>
      </c>
      <c r="H401">
        <f>IF($X401="","",IF(ABS($F401-$G401)&lt;0.01,"일치","불일치(차이 "&amp;TEXT($G401-$F401,"0.00")&amp;")"))</f>
        <v/>
      </c>
      <c r="I401" s="20">
        <f>IF($X401="","",SUMIFS(상세표[기록 시간외],상세표[사번키],INDEX(합계표[사번키],$X401),상세표[기록월],대상월키,상세표[반영월],"&lt;&gt;"&amp;대상월키))</f>
        <v/>
      </c>
      <c r="J401" s="20">
        <f>IF($X401="","",SUMIFS(상세표[기록 시간외],상세표[사번키],INDEX(합계표[사번키],$X401),상세표[기록월],"&lt;&gt;"&amp;대상월키,상세표[반영월],대상월키))</f>
        <v/>
      </c>
      <c r="K401" s="20">
        <f>IF($X401="","",SUMIFS(상세표[기록 시간외],상세표[사번키],INDEX(합계표[사번키],$X401),상세표[반영월],대상월키))</f>
        <v/>
      </c>
      <c r="L401">
        <f>IF($X401="","",IFERROR(INDEX(월별근무지표[적용 급여병원],MATCH(INDEX(합계표[사번키],$X401)&amp;"|"&amp;대상월키,월별근무지표[키],0))&amp;"",IF(COUNTIF(기관표[사번키],INDEX(합계표[사번키],$X401))+COUNTIF(월별근무지표[사번키],INDEX(합계표[사번키],$X401))&gt;0,IFERROR(INDEX(기관표[급여지급병원(기준월)],MATCH(INDEX(합계표[사번키],$X401)&amp;"|"&amp;대상월키,기관표[키],0))&amp;"","—"),"—")))</f>
        <v/>
      </c>
      <c r="M401">
        <f>IF($X401="","",IF(NOT(COUNTIF(기관표[사번키],INDEX(합계표[사번키],$X401))+COUNTIF(월별근무지표[사번키],INDEX(합계표[사번키],$X401))&gt;0),"기관명단에 없음(다른 병원으로 발송)",IF($L401="서울병원","해당",IF(N($R401)&gt;0,"해당(말일 근무)",IF($L401="—","대상월 기관명단 없음(추가 필요)","비해당")))))</f>
        <v/>
      </c>
      <c r="N401" s="20">
        <f>IF($X401="","",SUMIFS(상세표[06~07시],상세표[사번키],INDEX(합계표[사번키],$X401),상세표[반영월],대상월키,상세표[반영 기관],"서울병원"))</f>
        <v/>
      </c>
      <c r="O401" s="20">
        <f>IF($X401="","",SUMIFS(상세표[07~18시],상세표[사번키],INDEX(합계표[사번키],$X401),상세표[반영월],대상월키,상세표[반영 기관],"서울병원"))</f>
        <v/>
      </c>
      <c r="P401" s="20">
        <f>IF($X401="","",SUMIFS(상세표[18~22시],상세표[사번키],INDEX(합계표[사번키],$X401),상세표[반영월],대상월키,상세표[반영 기관],"서울병원"))</f>
        <v/>
      </c>
      <c r="Q401" s="20">
        <f>IF($X401="","",SUMIFS(상세표[22~06시],상세표[사번키],INDEX(합계표[사번키],$X401),상세표[반영월],대상월키,상세표[반영 기관],"서울병원"))</f>
        <v/>
      </c>
      <c r="R401" s="20">
        <f>IF($X401="","",SUM($N401:$Q401))</f>
        <v/>
      </c>
      <c r="S401">
        <f>IF($X401="","",COUNTIFS(상세표[사번키],INDEX(합계표[사번키],$X401),상세표[반영월],대상월키,상세표[야간당직],1,상세표[야간 구분],"평일"))</f>
        <v/>
      </c>
      <c r="T401">
        <f>IF($X401="","",COUNTIFS(상세표[사번키],INDEX(합계표[사번키],$X401),상세표[반영월],대상월키,상세표[야간당직],1,상세표[야간 구분],"휴일"))</f>
        <v/>
      </c>
      <c r="U401">
        <f>IF($X401="","",COUNTIFS(상세표[사번키],INDEX(합계표[사번키],$X401),상세표[반영월],대상월키,상세표[야간당직],1,상세표[야간 구분],"평일",상세표[반영 기관],"서울병원"))</f>
        <v/>
      </c>
      <c r="V401">
        <f>IF($X401="","",COUNTIFS(상세표[사번키],INDEX(합계표[사번키],$X401),상세표[반영월],대상월키,상세표[야간당직],1,상세표[야간 구분],"휴일",상세표[반영 기관],"서울병원"))</f>
        <v/>
      </c>
      <c r="W401">
        <f>IF($X401="","",IF(ISNUMBER(MATCH(INDEX(합계표[사번키],$X401)&amp;"|"&amp;대상월키,월별근무지표[키],0)),"직접 입력",IF($L401="—","—","기관명단")))</f>
        <v/>
      </c>
      <c r="X401" s="4">
        <f>IFERROR(MATCH(396,합계표[판정순번],0),"")</f>
        <v/>
      </c>
    </row>
    <row r="402">
      <c r="A402">
        <f>IF($X402="","",INDEX(합계표[사번],$X402)&amp;"")</f>
        <v/>
      </c>
      <c r="B402">
        <f>IF($X402="","",INDEX(합계표[성명],$X402)&amp;"")</f>
        <v/>
      </c>
      <c r="C402">
        <f>IF($X402="","",INDEX(합계표[부서],$X402)&amp;"")</f>
        <v/>
      </c>
      <c r="D402">
        <f>IF($X402="","",INDEX(합계표[직위(요약)],$X402)&amp;"")</f>
        <v/>
      </c>
      <c r="E402">
        <f>IF($X402="","",INDEX(합계표[직급 공존],$X402)&amp;"")</f>
        <v/>
      </c>
      <c r="F402" s="20">
        <f>IF($X402="","",SUMIFS(합계표[시스템 합계],합계표[사번키],INDEX(합계표[사번키],$X402)))</f>
        <v/>
      </c>
      <c r="G402" s="20">
        <f>IF($X402="","",SUMIFS(상세표[기록 시간외],상세표[사번키],INDEX(합계표[사번키],$X402),상세표[기록월],대상월키))</f>
        <v/>
      </c>
      <c r="H402">
        <f>IF($X402="","",IF(ABS($F402-$G402)&lt;0.01,"일치","불일치(차이 "&amp;TEXT($G402-$F402,"0.00")&amp;")"))</f>
        <v/>
      </c>
      <c r="I402" s="20">
        <f>IF($X402="","",SUMIFS(상세표[기록 시간외],상세표[사번키],INDEX(합계표[사번키],$X402),상세표[기록월],대상월키,상세표[반영월],"&lt;&gt;"&amp;대상월키))</f>
        <v/>
      </c>
      <c r="J402" s="20">
        <f>IF($X402="","",SUMIFS(상세표[기록 시간외],상세표[사번키],INDEX(합계표[사번키],$X402),상세표[기록월],"&lt;&gt;"&amp;대상월키,상세표[반영월],대상월키))</f>
        <v/>
      </c>
      <c r="K402" s="20">
        <f>IF($X402="","",SUMIFS(상세표[기록 시간외],상세표[사번키],INDEX(합계표[사번키],$X402),상세표[반영월],대상월키))</f>
        <v/>
      </c>
      <c r="L402">
        <f>IF($X402="","",IFERROR(INDEX(월별근무지표[적용 급여병원],MATCH(INDEX(합계표[사번키],$X402)&amp;"|"&amp;대상월키,월별근무지표[키],0))&amp;"",IF(COUNTIF(기관표[사번키],INDEX(합계표[사번키],$X402))+COUNTIF(월별근무지표[사번키],INDEX(합계표[사번키],$X402))&gt;0,IFERROR(INDEX(기관표[급여지급병원(기준월)],MATCH(INDEX(합계표[사번키],$X402)&amp;"|"&amp;대상월키,기관표[키],0))&amp;"","—"),"—")))</f>
        <v/>
      </c>
      <c r="M402">
        <f>IF($X402="","",IF(NOT(COUNTIF(기관표[사번키],INDEX(합계표[사번키],$X402))+COUNTIF(월별근무지표[사번키],INDEX(합계표[사번키],$X402))&gt;0),"기관명단에 없음(다른 병원으로 발송)",IF($L402="서울병원","해당",IF(N($R402)&gt;0,"해당(말일 근무)",IF($L402="—","대상월 기관명단 없음(추가 필요)","비해당")))))</f>
        <v/>
      </c>
      <c r="N402" s="20">
        <f>IF($X402="","",SUMIFS(상세표[06~07시],상세표[사번키],INDEX(합계표[사번키],$X402),상세표[반영월],대상월키,상세표[반영 기관],"서울병원"))</f>
        <v/>
      </c>
      <c r="O402" s="20">
        <f>IF($X402="","",SUMIFS(상세표[07~18시],상세표[사번키],INDEX(합계표[사번키],$X402),상세표[반영월],대상월키,상세표[반영 기관],"서울병원"))</f>
        <v/>
      </c>
      <c r="P402" s="20">
        <f>IF($X402="","",SUMIFS(상세표[18~22시],상세표[사번키],INDEX(합계표[사번키],$X402),상세표[반영월],대상월키,상세표[반영 기관],"서울병원"))</f>
        <v/>
      </c>
      <c r="Q402" s="20">
        <f>IF($X402="","",SUMIFS(상세표[22~06시],상세표[사번키],INDEX(합계표[사번키],$X402),상세표[반영월],대상월키,상세표[반영 기관],"서울병원"))</f>
        <v/>
      </c>
      <c r="R402" s="20">
        <f>IF($X402="","",SUM($N402:$Q402))</f>
        <v/>
      </c>
      <c r="S402">
        <f>IF($X402="","",COUNTIFS(상세표[사번키],INDEX(합계표[사번키],$X402),상세표[반영월],대상월키,상세표[야간당직],1,상세표[야간 구분],"평일"))</f>
        <v/>
      </c>
      <c r="T402">
        <f>IF($X402="","",COUNTIFS(상세표[사번키],INDEX(합계표[사번키],$X402),상세표[반영월],대상월키,상세표[야간당직],1,상세표[야간 구분],"휴일"))</f>
        <v/>
      </c>
      <c r="U402">
        <f>IF($X402="","",COUNTIFS(상세표[사번키],INDEX(합계표[사번키],$X402),상세표[반영월],대상월키,상세표[야간당직],1,상세표[야간 구분],"평일",상세표[반영 기관],"서울병원"))</f>
        <v/>
      </c>
      <c r="V402">
        <f>IF($X402="","",COUNTIFS(상세표[사번키],INDEX(합계표[사번키],$X402),상세표[반영월],대상월키,상세표[야간당직],1,상세표[야간 구분],"휴일",상세표[반영 기관],"서울병원"))</f>
        <v/>
      </c>
      <c r="W402">
        <f>IF($X402="","",IF(ISNUMBER(MATCH(INDEX(합계표[사번키],$X402)&amp;"|"&amp;대상월키,월별근무지표[키],0)),"직접 입력",IF($L402="—","—","기관명단")))</f>
        <v/>
      </c>
      <c r="X402" s="4">
        <f>IFERROR(MATCH(397,합계표[판정순번],0),"")</f>
        <v/>
      </c>
    </row>
    <row r="403">
      <c r="A403">
        <f>IF($X403="","",INDEX(합계표[사번],$X403)&amp;"")</f>
        <v/>
      </c>
      <c r="B403">
        <f>IF($X403="","",INDEX(합계표[성명],$X403)&amp;"")</f>
        <v/>
      </c>
      <c r="C403">
        <f>IF($X403="","",INDEX(합계표[부서],$X403)&amp;"")</f>
        <v/>
      </c>
      <c r="D403">
        <f>IF($X403="","",INDEX(합계표[직위(요약)],$X403)&amp;"")</f>
        <v/>
      </c>
      <c r="E403">
        <f>IF($X403="","",INDEX(합계표[직급 공존],$X403)&amp;"")</f>
        <v/>
      </c>
      <c r="F403" s="20">
        <f>IF($X403="","",SUMIFS(합계표[시스템 합계],합계표[사번키],INDEX(합계표[사번키],$X403)))</f>
        <v/>
      </c>
      <c r="G403" s="20">
        <f>IF($X403="","",SUMIFS(상세표[기록 시간외],상세표[사번키],INDEX(합계표[사번키],$X403),상세표[기록월],대상월키))</f>
        <v/>
      </c>
      <c r="H403">
        <f>IF($X403="","",IF(ABS($F403-$G403)&lt;0.01,"일치","불일치(차이 "&amp;TEXT($G403-$F403,"0.00")&amp;")"))</f>
        <v/>
      </c>
      <c r="I403" s="20">
        <f>IF($X403="","",SUMIFS(상세표[기록 시간외],상세표[사번키],INDEX(합계표[사번키],$X403),상세표[기록월],대상월키,상세표[반영월],"&lt;&gt;"&amp;대상월키))</f>
        <v/>
      </c>
      <c r="J403" s="20">
        <f>IF($X403="","",SUMIFS(상세표[기록 시간외],상세표[사번키],INDEX(합계표[사번키],$X403),상세표[기록월],"&lt;&gt;"&amp;대상월키,상세표[반영월],대상월키))</f>
        <v/>
      </c>
      <c r="K403" s="20">
        <f>IF($X403="","",SUMIFS(상세표[기록 시간외],상세표[사번키],INDEX(합계표[사번키],$X403),상세표[반영월],대상월키))</f>
        <v/>
      </c>
      <c r="L403">
        <f>IF($X403="","",IFERROR(INDEX(월별근무지표[적용 급여병원],MATCH(INDEX(합계표[사번키],$X403)&amp;"|"&amp;대상월키,월별근무지표[키],0))&amp;"",IF(COUNTIF(기관표[사번키],INDEX(합계표[사번키],$X403))+COUNTIF(월별근무지표[사번키],INDEX(합계표[사번키],$X403))&gt;0,IFERROR(INDEX(기관표[급여지급병원(기준월)],MATCH(INDEX(합계표[사번키],$X403)&amp;"|"&amp;대상월키,기관표[키],0))&amp;"","—"),"—")))</f>
        <v/>
      </c>
      <c r="M403">
        <f>IF($X403="","",IF(NOT(COUNTIF(기관표[사번키],INDEX(합계표[사번키],$X403))+COUNTIF(월별근무지표[사번키],INDEX(합계표[사번키],$X403))&gt;0),"기관명단에 없음(다른 병원으로 발송)",IF($L403="서울병원","해당",IF(N($R403)&gt;0,"해당(말일 근무)",IF($L403="—","대상월 기관명단 없음(추가 필요)","비해당")))))</f>
        <v/>
      </c>
      <c r="N403" s="20">
        <f>IF($X403="","",SUMIFS(상세표[06~07시],상세표[사번키],INDEX(합계표[사번키],$X403),상세표[반영월],대상월키,상세표[반영 기관],"서울병원"))</f>
        <v/>
      </c>
      <c r="O403" s="20">
        <f>IF($X403="","",SUMIFS(상세표[07~18시],상세표[사번키],INDEX(합계표[사번키],$X403),상세표[반영월],대상월키,상세표[반영 기관],"서울병원"))</f>
        <v/>
      </c>
      <c r="P403" s="20">
        <f>IF($X403="","",SUMIFS(상세표[18~22시],상세표[사번키],INDEX(합계표[사번키],$X403),상세표[반영월],대상월키,상세표[반영 기관],"서울병원"))</f>
        <v/>
      </c>
      <c r="Q403" s="20">
        <f>IF($X403="","",SUMIFS(상세표[22~06시],상세표[사번키],INDEX(합계표[사번키],$X403),상세표[반영월],대상월키,상세표[반영 기관],"서울병원"))</f>
        <v/>
      </c>
      <c r="R403" s="20">
        <f>IF($X403="","",SUM($N403:$Q403))</f>
        <v/>
      </c>
      <c r="S403">
        <f>IF($X403="","",COUNTIFS(상세표[사번키],INDEX(합계표[사번키],$X403),상세표[반영월],대상월키,상세표[야간당직],1,상세표[야간 구분],"평일"))</f>
        <v/>
      </c>
      <c r="T403">
        <f>IF($X403="","",COUNTIFS(상세표[사번키],INDEX(합계표[사번키],$X403),상세표[반영월],대상월키,상세표[야간당직],1,상세표[야간 구분],"휴일"))</f>
        <v/>
      </c>
      <c r="U403">
        <f>IF($X403="","",COUNTIFS(상세표[사번키],INDEX(합계표[사번키],$X403),상세표[반영월],대상월키,상세표[야간당직],1,상세표[야간 구분],"평일",상세표[반영 기관],"서울병원"))</f>
        <v/>
      </c>
      <c r="V403">
        <f>IF($X403="","",COUNTIFS(상세표[사번키],INDEX(합계표[사번키],$X403),상세표[반영월],대상월키,상세표[야간당직],1,상세표[야간 구분],"휴일",상세표[반영 기관],"서울병원"))</f>
        <v/>
      </c>
      <c r="W403">
        <f>IF($X403="","",IF(ISNUMBER(MATCH(INDEX(합계표[사번키],$X403)&amp;"|"&amp;대상월키,월별근무지표[키],0)),"직접 입력",IF($L403="—","—","기관명단")))</f>
        <v/>
      </c>
      <c r="X403" s="4">
        <f>IFERROR(MATCH(398,합계표[판정순번],0),"")</f>
        <v/>
      </c>
    </row>
    <row r="404">
      <c r="A404">
        <f>IF($X404="","",INDEX(합계표[사번],$X404)&amp;"")</f>
        <v/>
      </c>
      <c r="B404">
        <f>IF($X404="","",INDEX(합계표[성명],$X404)&amp;"")</f>
        <v/>
      </c>
      <c r="C404">
        <f>IF($X404="","",INDEX(합계표[부서],$X404)&amp;"")</f>
        <v/>
      </c>
      <c r="D404">
        <f>IF($X404="","",INDEX(합계표[직위(요약)],$X404)&amp;"")</f>
        <v/>
      </c>
      <c r="E404">
        <f>IF($X404="","",INDEX(합계표[직급 공존],$X404)&amp;"")</f>
        <v/>
      </c>
      <c r="F404" s="20">
        <f>IF($X404="","",SUMIFS(합계표[시스템 합계],합계표[사번키],INDEX(합계표[사번키],$X404)))</f>
        <v/>
      </c>
      <c r="G404" s="20">
        <f>IF($X404="","",SUMIFS(상세표[기록 시간외],상세표[사번키],INDEX(합계표[사번키],$X404),상세표[기록월],대상월키))</f>
        <v/>
      </c>
      <c r="H404">
        <f>IF($X404="","",IF(ABS($F404-$G404)&lt;0.01,"일치","불일치(차이 "&amp;TEXT($G404-$F404,"0.00")&amp;")"))</f>
        <v/>
      </c>
      <c r="I404" s="20">
        <f>IF($X404="","",SUMIFS(상세표[기록 시간외],상세표[사번키],INDEX(합계표[사번키],$X404),상세표[기록월],대상월키,상세표[반영월],"&lt;&gt;"&amp;대상월키))</f>
        <v/>
      </c>
      <c r="J404" s="20">
        <f>IF($X404="","",SUMIFS(상세표[기록 시간외],상세표[사번키],INDEX(합계표[사번키],$X404),상세표[기록월],"&lt;&gt;"&amp;대상월키,상세표[반영월],대상월키))</f>
        <v/>
      </c>
      <c r="K404" s="20">
        <f>IF($X404="","",SUMIFS(상세표[기록 시간외],상세표[사번키],INDEX(합계표[사번키],$X404),상세표[반영월],대상월키))</f>
        <v/>
      </c>
      <c r="L404">
        <f>IF($X404="","",IFERROR(INDEX(월별근무지표[적용 급여병원],MATCH(INDEX(합계표[사번키],$X404)&amp;"|"&amp;대상월키,월별근무지표[키],0))&amp;"",IF(COUNTIF(기관표[사번키],INDEX(합계표[사번키],$X404))+COUNTIF(월별근무지표[사번키],INDEX(합계표[사번키],$X404))&gt;0,IFERROR(INDEX(기관표[급여지급병원(기준월)],MATCH(INDEX(합계표[사번키],$X404)&amp;"|"&amp;대상월키,기관표[키],0))&amp;"","—"),"—")))</f>
        <v/>
      </c>
      <c r="M404">
        <f>IF($X404="","",IF(NOT(COUNTIF(기관표[사번키],INDEX(합계표[사번키],$X404))+COUNTIF(월별근무지표[사번키],INDEX(합계표[사번키],$X404))&gt;0),"기관명단에 없음(다른 병원으로 발송)",IF($L404="서울병원","해당",IF(N($R404)&gt;0,"해당(말일 근무)",IF($L404="—","대상월 기관명단 없음(추가 필요)","비해당")))))</f>
        <v/>
      </c>
      <c r="N404" s="20">
        <f>IF($X404="","",SUMIFS(상세표[06~07시],상세표[사번키],INDEX(합계표[사번키],$X404),상세표[반영월],대상월키,상세표[반영 기관],"서울병원"))</f>
        <v/>
      </c>
      <c r="O404" s="20">
        <f>IF($X404="","",SUMIFS(상세표[07~18시],상세표[사번키],INDEX(합계표[사번키],$X404),상세표[반영월],대상월키,상세표[반영 기관],"서울병원"))</f>
        <v/>
      </c>
      <c r="P404" s="20">
        <f>IF($X404="","",SUMIFS(상세표[18~22시],상세표[사번키],INDEX(합계표[사번키],$X404),상세표[반영월],대상월키,상세표[반영 기관],"서울병원"))</f>
        <v/>
      </c>
      <c r="Q404" s="20">
        <f>IF($X404="","",SUMIFS(상세표[22~06시],상세표[사번키],INDEX(합계표[사번키],$X404),상세표[반영월],대상월키,상세표[반영 기관],"서울병원"))</f>
        <v/>
      </c>
      <c r="R404" s="20">
        <f>IF($X404="","",SUM($N404:$Q404))</f>
        <v/>
      </c>
      <c r="S404">
        <f>IF($X404="","",COUNTIFS(상세표[사번키],INDEX(합계표[사번키],$X404),상세표[반영월],대상월키,상세표[야간당직],1,상세표[야간 구분],"평일"))</f>
        <v/>
      </c>
      <c r="T404">
        <f>IF($X404="","",COUNTIFS(상세표[사번키],INDEX(합계표[사번키],$X404),상세표[반영월],대상월키,상세표[야간당직],1,상세표[야간 구분],"휴일"))</f>
        <v/>
      </c>
      <c r="U404">
        <f>IF($X404="","",COUNTIFS(상세표[사번키],INDEX(합계표[사번키],$X404),상세표[반영월],대상월키,상세표[야간당직],1,상세표[야간 구분],"평일",상세표[반영 기관],"서울병원"))</f>
        <v/>
      </c>
      <c r="V404">
        <f>IF($X404="","",COUNTIFS(상세표[사번키],INDEX(합계표[사번키],$X404),상세표[반영월],대상월키,상세표[야간당직],1,상세표[야간 구분],"휴일",상세표[반영 기관],"서울병원"))</f>
        <v/>
      </c>
      <c r="W404">
        <f>IF($X404="","",IF(ISNUMBER(MATCH(INDEX(합계표[사번키],$X404)&amp;"|"&amp;대상월키,월별근무지표[키],0)),"직접 입력",IF($L404="—","—","기관명단")))</f>
        <v/>
      </c>
      <c r="X404" s="4">
        <f>IFERROR(MATCH(399,합계표[판정순번],0),"")</f>
        <v/>
      </c>
    </row>
    <row r="405">
      <c r="A405">
        <f>IF($X405="","",INDEX(합계표[사번],$X405)&amp;"")</f>
        <v/>
      </c>
      <c r="B405">
        <f>IF($X405="","",INDEX(합계표[성명],$X405)&amp;"")</f>
        <v/>
      </c>
      <c r="C405">
        <f>IF($X405="","",INDEX(합계표[부서],$X405)&amp;"")</f>
        <v/>
      </c>
      <c r="D405">
        <f>IF($X405="","",INDEX(합계표[직위(요약)],$X405)&amp;"")</f>
        <v/>
      </c>
      <c r="E405">
        <f>IF($X405="","",INDEX(합계표[직급 공존],$X405)&amp;"")</f>
        <v/>
      </c>
      <c r="F405" s="20">
        <f>IF($X405="","",SUMIFS(합계표[시스템 합계],합계표[사번키],INDEX(합계표[사번키],$X405)))</f>
        <v/>
      </c>
      <c r="G405" s="20">
        <f>IF($X405="","",SUMIFS(상세표[기록 시간외],상세표[사번키],INDEX(합계표[사번키],$X405),상세표[기록월],대상월키))</f>
        <v/>
      </c>
      <c r="H405">
        <f>IF($X405="","",IF(ABS($F405-$G405)&lt;0.01,"일치","불일치(차이 "&amp;TEXT($G405-$F405,"0.00")&amp;")"))</f>
        <v/>
      </c>
      <c r="I405" s="20">
        <f>IF($X405="","",SUMIFS(상세표[기록 시간외],상세표[사번키],INDEX(합계표[사번키],$X405),상세표[기록월],대상월키,상세표[반영월],"&lt;&gt;"&amp;대상월키))</f>
        <v/>
      </c>
      <c r="J405" s="20">
        <f>IF($X405="","",SUMIFS(상세표[기록 시간외],상세표[사번키],INDEX(합계표[사번키],$X405),상세표[기록월],"&lt;&gt;"&amp;대상월키,상세표[반영월],대상월키))</f>
        <v/>
      </c>
      <c r="K405" s="20">
        <f>IF($X405="","",SUMIFS(상세표[기록 시간외],상세표[사번키],INDEX(합계표[사번키],$X405),상세표[반영월],대상월키))</f>
        <v/>
      </c>
      <c r="L405">
        <f>IF($X405="","",IFERROR(INDEX(월별근무지표[적용 급여병원],MATCH(INDEX(합계표[사번키],$X405)&amp;"|"&amp;대상월키,월별근무지표[키],0))&amp;"",IF(COUNTIF(기관표[사번키],INDEX(합계표[사번키],$X405))+COUNTIF(월별근무지표[사번키],INDEX(합계표[사번키],$X405))&gt;0,IFERROR(INDEX(기관표[급여지급병원(기준월)],MATCH(INDEX(합계표[사번키],$X405)&amp;"|"&amp;대상월키,기관표[키],0))&amp;"","—"),"—")))</f>
        <v/>
      </c>
      <c r="M405">
        <f>IF($X405="","",IF(NOT(COUNTIF(기관표[사번키],INDEX(합계표[사번키],$X405))+COUNTIF(월별근무지표[사번키],INDEX(합계표[사번키],$X405))&gt;0),"기관명단에 없음(다른 병원으로 발송)",IF($L405="서울병원","해당",IF(N($R405)&gt;0,"해당(말일 근무)",IF($L405="—","대상월 기관명단 없음(추가 필요)","비해당")))))</f>
        <v/>
      </c>
      <c r="N405" s="20">
        <f>IF($X405="","",SUMIFS(상세표[06~07시],상세표[사번키],INDEX(합계표[사번키],$X405),상세표[반영월],대상월키,상세표[반영 기관],"서울병원"))</f>
        <v/>
      </c>
      <c r="O405" s="20">
        <f>IF($X405="","",SUMIFS(상세표[07~18시],상세표[사번키],INDEX(합계표[사번키],$X405),상세표[반영월],대상월키,상세표[반영 기관],"서울병원"))</f>
        <v/>
      </c>
      <c r="P405" s="20">
        <f>IF($X405="","",SUMIFS(상세표[18~22시],상세표[사번키],INDEX(합계표[사번키],$X405),상세표[반영월],대상월키,상세표[반영 기관],"서울병원"))</f>
        <v/>
      </c>
      <c r="Q405" s="20">
        <f>IF($X405="","",SUMIFS(상세표[22~06시],상세표[사번키],INDEX(합계표[사번키],$X405),상세표[반영월],대상월키,상세표[반영 기관],"서울병원"))</f>
        <v/>
      </c>
      <c r="R405" s="20">
        <f>IF($X405="","",SUM($N405:$Q405))</f>
        <v/>
      </c>
      <c r="S405">
        <f>IF($X405="","",COUNTIFS(상세표[사번키],INDEX(합계표[사번키],$X405),상세표[반영월],대상월키,상세표[야간당직],1,상세표[야간 구분],"평일"))</f>
        <v/>
      </c>
      <c r="T405">
        <f>IF($X405="","",COUNTIFS(상세표[사번키],INDEX(합계표[사번키],$X405),상세표[반영월],대상월키,상세표[야간당직],1,상세표[야간 구분],"휴일"))</f>
        <v/>
      </c>
      <c r="U405">
        <f>IF($X405="","",COUNTIFS(상세표[사번키],INDEX(합계표[사번키],$X405),상세표[반영월],대상월키,상세표[야간당직],1,상세표[야간 구분],"평일",상세표[반영 기관],"서울병원"))</f>
        <v/>
      </c>
      <c r="V405">
        <f>IF($X405="","",COUNTIFS(상세표[사번키],INDEX(합계표[사번키],$X405),상세표[반영월],대상월키,상세표[야간당직],1,상세표[야간 구분],"휴일",상세표[반영 기관],"서울병원"))</f>
        <v/>
      </c>
      <c r="W405">
        <f>IF($X405="","",IF(ISNUMBER(MATCH(INDEX(합계표[사번키],$X405)&amp;"|"&amp;대상월키,월별근무지표[키],0)),"직접 입력",IF($L405="—","—","기관명단")))</f>
        <v/>
      </c>
      <c r="X405" s="4">
        <f>IFERROR(MATCH(400,합계표[판정순번],0),"")</f>
        <v/>
      </c>
    </row>
    <row r="406">
      <c r="A406">
        <f>IF($X406="","",INDEX(합계표[사번],$X406)&amp;"")</f>
        <v/>
      </c>
      <c r="B406">
        <f>IF($X406="","",INDEX(합계표[성명],$X406)&amp;"")</f>
        <v/>
      </c>
      <c r="C406">
        <f>IF($X406="","",INDEX(합계표[부서],$X406)&amp;"")</f>
        <v/>
      </c>
      <c r="D406">
        <f>IF($X406="","",INDEX(합계표[직위(요약)],$X406)&amp;"")</f>
        <v/>
      </c>
      <c r="E406">
        <f>IF($X406="","",INDEX(합계표[직급 공존],$X406)&amp;"")</f>
        <v/>
      </c>
      <c r="F406" s="20">
        <f>IF($X406="","",SUMIFS(합계표[시스템 합계],합계표[사번키],INDEX(합계표[사번키],$X406)))</f>
        <v/>
      </c>
      <c r="G406" s="20">
        <f>IF($X406="","",SUMIFS(상세표[기록 시간외],상세표[사번키],INDEX(합계표[사번키],$X406),상세표[기록월],대상월키))</f>
        <v/>
      </c>
      <c r="H406">
        <f>IF($X406="","",IF(ABS($F406-$G406)&lt;0.01,"일치","불일치(차이 "&amp;TEXT($G406-$F406,"0.00")&amp;")"))</f>
        <v/>
      </c>
      <c r="I406" s="20">
        <f>IF($X406="","",SUMIFS(상세표[기록 시간외],상세표[사번키],INDEX(합계표[사번키],$X406),상세표[기록월],대상월키,상세표[반영월],"&lt;&gt;"&amp;대상월키))</f>
        <v/>
      </c>
      <c r="J406" s="20">
        <f>IF($X406="","",SUMIFS(상세표[기록 시간외],상세표[사번키],INDEX(합계표[사번키],$X406),상세표[기록월],"&lt;&gt;"&amp;대상월키,상세표[반영월],대상월키))</f>
        <v/>
      </c>
      <c r="K406" s="20">
        <f>IF($X406="","",SUMIFS(상세표[기록 시간외],상세표[사번키],INDEX(합계표[사번키],$X406),상세표[반영월],대상월키))</f>
        <v/>
      </c>
      <c r="L406">
        <f>IF($X406="","",IFERROR(INDEX(월별근무지표[적용 급여병원],MATCH(INDEX(합계표[사번키],$X406)&amp;"|"&amp;대상월키,월별근무지표[키],0))&amp;"",IF(COUNTIF(기관표[사번키],INDEX(합계표[사번키],$X406))+COUNTIF(월별근무지표[사번키],INDEX(합계표[사번키],$X406))&gt;0,IFERROR(INDEX(기관표[급여지급병원(기준월)],MATCH(INDEX(합계표[사번키],$X406)&amp;"|"&amp;대상월키,기관표[키],0))&amp;"","—"),"—")))</f>
        <v/>
      </c>
      <c r="M406">
        <f>IF($X406="","",IF(NOT(COUNTIF(기관표[사번키],INDEX(합계표[사번키],$X406))+COUNTIF(월별근무지표[사번키],INDEX(합계표[사번키],$X406))&gt;0),"기관명단에 없음(다른 병원으로 발송)",IF($L406="서울병원","해당",IF(N($R406)&gt;0,"해당(말일 근무)",IF($L406="—","대상월 기관명단 없음(추가 필요)","비해당")))))</f>
        <v/>
      </c>
      <c r="N406" s="20">
        <f>IF($X406="","",SUMIFS(상세표[06~07시],상세표[사번키],INDEX(합계표[사번키],$X406),상세표[반영월],대상월키,상세표[반영 기관],"서울병원"))</f>
        <v/>
      </c>
      <c r="O406" s="20">
        <f>IF($X406="","",SUMIFS(상세표[07~18시],상세표[사번키],INDEX(합계표[사번키],$X406),상세표[반영월],대상월키,상세표[반영 기관],"서울병원"))</f>
        <v/>
      </c>
      <c r="P406" s="20">
        <f>IF($X406="","",SUMIFS(상세표[18~22시],상세표[사번키],INDEX(합계표[사번키],$X406),상세표[반영월],대상월키,상세표[반영 기관],"서울병원"))</f>
        <v/>
      </c>
      <c r="Q406" s="20">
        <f>IF($X406="","",SUMIFS(상세표[22~06시],상세표[사번키],INDEX(합계표[사번키],$X406),상세표[반영월],대상월키,상세표[반영 기관],"서울병원"))</f>
        <v/>
      </c>
      <c r="R406" s="20">
        <f>IF($X406="","",SUM($N406:$Q406))</f>
        <v/>
      </c>
      <c r="S406">
        <f>IF($X406="","",COUNTIFS(상세표[사번키],INDEX(합계표[사번키],$X406),상세표[반영월],대상월키,상세표[야간당직],1,상세표[야간 구분],"평일"))</f>
        <v/>
      </c>
      <c r="T406">
        <f>IF($X406="","",COUNTIFS(상세표[사번키],INDEX(합계표[사번키],$X406),상세표[반영월],대상월키,상세표[야간당직],1,상세표[야간 구분],"휴일"))</f>
        <v/>
      </c>
      <c r="U406">
        <f>IF($X406="","",COUNTIFS(상세표[사번키],INDEX(합계표[사번키],$X406),상세표[반영월],대상월키,상세표[야간당직],1,상세표[야간 구분],"평일",상세표[반영 기관],"서울병원"))</f>
        <v/>
      </c>
      <c r="V406">
        <f>IF($X406="","",COUNTIFS(상세표[사번키],INDEX(합계표[사번키],$X406),상세표[반영월],대상월키,상세표[야간당직],1,상세표[야간 구분],"휴일",상세표[반영 기관],"서울병원"))</f>
        <v/>
      </c>
      <c r="W406">
        <f>IF($X406="","",IF(ISNUMBER(MATCH(INDEX(합계표[사번키],$X406)&amp;"|"&amp;대상월키,월별근무지표[키],0)),"직접 입력",IF($L406="—","—","기관명단")))</f>
        <v/>
      </c>
      <c r="X406" s="4">
        <f>IFERROR(MATCH(401,합계표[판정순번],0),"")</f>
        <v/>
      </c>
    </row>
    <row r="407">
      <c r="A407">
        <f>IF($X407="","",INDEX(합계표[사번],$X407)&amp;"")</f>
        <v/>
      </c>
      <c r="B407">
        <f>IF($X407="","",INDEX(합계표[성명],$X407)&amp;"")</f>
        <v/>
      </c>
      <c r="C407">
        <f>IF($X407="","",INDEX(합계표[부서],$X407)&amp;"")</f>
        <v/>
      </c>
      <c r="D407">
        <f>IF($X407="","",INDEX(합계표[직위(요약)],$X407)&amp;"")</f>
        <v/>
      </c>
      <c r="E407">
        <f>IF($X407="","",INDEX(합계표[직급 공존],$X407)&amp;"")</f>
        <v/>
      </c>
      <c r="F407" s="20">
        <f>IF($X407="","",SUMIFS(합계표[시스템 합계],합계표[사번키],INDEX(합계표[사번키],$X407)))</f>
        <v/>
      </c>
      <c r="G407" s="20">
        <f>IF($X407="","",SUMIFS(상세표[기록 시간외],상세표[사번키],INDEX(합계표[사번키],$X407),상세표[기록월],대상월키))</f>
        <v/>
      </c>
      <c r="H407">
        <f>IF($X407="","",IF(ABS($F407-$G407)&lt;0.01,"일치","불일치(차이 "&amp;TEXT($G407-$F407,"0.00")&amp;")"))</f>
        <v/>
      </c>
      <c r="I407" s="20">
        <f>IF($X407="","",SUMIFS(상세표[기록 시간외],상세표[사번키],INDEX(합계표[사번키],$X407),상세표[기록월],대상월키,상세표[반영월],"&lt;&gt;"&amp;대상월키))</f>
        <v/>
      </c>
      <c r="J407" s="20">
        <f>IF($X407="","",SUMIFS(상세표[기록 시간외],상세표[사번키],INDEX(합계표[사번키],$X407),상세표[기록월],"&lt;&gt;"&amp;대상월키,상세표[반영월],대상월키))</f>
        <v/>
      </c>
      <c r="K407" s="20">
        <f>IF($X407="","",SUMIFS(상세표[기록 시간외],상세표[사번키],INDEX(합계표[사번키],$X407),상세표[반영월],대상월키))</f>
        <v/>
      </c>
      <c r="L407">
        <f>IF($X407="","",IFERROR(INDEX(월별근무지표[적용 급여병원],MATCH(INDEX(합계표[사번키],$X407)&amp;"|"&amp;대상월키,월별근무지표[키],0))&amp;"",IF(COUNTIF(기관표[사번키],INDEX(합계표[사번키],$X407))+COUNTIF(월별근무지표[사번키],INDEX(합계표[사번키],$X407))&gt;0,IFERROR(INDEX(기관표[급여지급병원(기준월)],MATCH(INDEX(합계표[사번키],$X407)&amp;"|"&amp;대상월키,기관표[키],0))&amp;"","—"),"—")))</f>
        <v/>
      </c>
      <c r="M407">
        <f>IF($X407="","",IF(NOT(COUNTIF(기관표[사번키],INDEX(합계표[사번키],$X407))+COUNTIF(월별근무지표[사번키],INDEX(합계표[사번키],$X407))&gt;0),"기관명단에 없음(다른 병원으로 발송)",IF($L407="서울병원","해당",IF(N($R407)&gt;0,"해당(말일 근무)",IF($L407="—","대상월 기관명단 없음(추가 필요)","비해당")))))</f>
        <v/>
      </c>
      <c r="N407" s="20">
        <f>IF($X407="","",SUMIFS(상세표[06~07시],상세표[사번키],INDEX(합계표[사번키],$X407),상세표[반영월],대상월키,상세표[반영 기관],"서울병원"))</f>
        <v/>
      </c>
      <c r="O407" s="20">
        <f>IF($X407="","",SUMIFS(상세표[07~18시],상세표[사번키],INDEX(합계표[사번키],$X407),상세표[반영월],대상월키,상세표[반영 기관],"서울병원"))</f>
        <v/>
      </c>
      <c r="P407" s="20">
        <f>IF($X407="","",SUMIFS(상세표[18~22시],상세표[사번키],INDEX(합계표[사번키],$X407),상세표[반영월],대상월키,상세표[반영 기관],"서울병원"))</f>
        <v/>
      </c>
      <c r="Q407" s="20">
        <f>IF($X407="","",SUMIFS(상세표[22~06시],상세표[사번키],INDEX(합계표[사번키],$X407),상세표[반영월],대상월키,상세표[반영 기관],"서울병원"))</f>
        <v/>
      </c>
      <c r="R407" s="20">
        <f>IF($X407="","",SUM($N407:$Q407))</f>
        <v/>
      </c>
      <c r="S407">
        <f>IF($X407="","",COUNTIFS(상세표[사번키],INDEX(합계표[사번키],$X407),상세표[반영월],대상월키,상세표[야간당직],1,상세표[야간 구분],"평일"))</f>
        <v/>
      </c>
      <c r="T407">
        <f>IF($X407="","",COUNTIFS(상세표[사번키],INDEX(합계표[사번키],$X407),상세표[반영월],대상월키,상세표[야간당직],1,상세표[야간 구분],"휴일"))</f>
        <v/>
      </c>
      <c r="U407">
        <f>IF($X407="","",COUNTIFS(상세표[사번키],INDEX(합계표[사번키],$X407),상세표[반영월],대상월키,상세표[야간당직],1,상세표[야간 구분],"평일",상세표[반영 기관],"서울병원"))</f>
        <v/>
      </c>
      <c r="V407">
        <f>IF($X407="","",COUNTIFS(상세표[사번키],INDEX(합계표[사번키],$X407),상세표[반영월],대상월키,상세표[야간당직],1,상세표[야간 구분],"휴일",상세표[반영 기관],"서울병원"))</f>
        <v/>
      </c>
      <c r="W407">
        <f>IF($X407="","",IF(ISNUMBER(MATCH(INDEX(합계표[사번키],$X407)&amp;"|"&amp;대상월키,월별근무지표[키],0)),"직접 입력",IF($L407="—","—","기관명단")))</f>
        <v/>
      </c>
      <c r="X407" s="4">
        <f>IFERROR(MATCH(402,합계표[판정순번],0),"")</f>
        <v/>
      </c>
    </row>
    <row r="408">
      <c r="A408">
        <f>IF($X408="","",INDEX(합계표[사번],$X408)&amp;"")</f>
        <v/>
      </c>
      <c r="B408">
        <f>IF($X408="","",INDEX(합계표[성명],$X408)&amp;"")</f>
        <v/>
      </c>
      <c r="C408">
        <f>IF($X408="","",INDEX(합계표[부서],$X408)&amp;"")</f>
        <v/>
      </c>
      <c r="D408">
        <f>IF($X408="","",INDEX(합계표[직위(요약)],$X408)&amp;"")</f>
        <v/>
      </c>
      <c r="E408">
        <f>IF($X408="","",INDEX(합계표[직급 공존],$X408)&amp;"")</f>
        <v/>
      </c>
      <c r="F408" s="20">
        <f>IF($X408="","",SUMIFS(합계표[시스템 합계],합계표[사번키],INDEX(합계표[사번키],$X408)))</f>
        <v/>
      </c>
      <c r="G408" s="20">
        <f>IF($X408="","",SUMIFS(상세표[기록 시간외],상세표[사번키],INDEX(합계표[사번키],$X408),상세표[기록월],대상월키))</f>
        <v/>
      </c>
      <c r="H408">
        <f>IF($X408="","",IF(ABS($F408-$G408)&lt;0.01,"일치","불일치(차이 "&amp;TEXT($G408-$F408,"0.00")&amp;")"))</f>
        <v/>
      </c>
      <c r="I408" s="20">
        <f>IF($X408="","",SUMIFS(상세표[기록 시간외],상세표[사번키],INDEX(합계표[사번키],$X408),상세표[기록월],대상월키,상세표[반영월],"&lt;&gt;"&amp;대상월키))</f>
        <v/>
      </c>
      <c r="J408" s="20">
        <f>IF($X408="","",SUMIFS(상세표[기록 시간외],상세표[사번키],INDEX(합계표[사번키],$X408),상세표[기록월],"&lt;&gt;"&amp;대상월키,상세표[반영월],대상월키))</f>
        <v/>
      </c>
      <c r="K408" s="20">
        <f>IF($X408="","",SUMIFS(상세표[기록 시간외],상세표[사번키],INDEX(합계표[사번키],$X408),상세표[반영월],대상월키))</f>
        <v/>
      </c>
      <c r="L408">
        <f>IF($X408="","",IFERROR(INDEX(월별근무지표[적용 급여병원],MATCH(INDEX(합계표[사번키],$X408)&amp;"|"&amp;대상월키,월별근무지표[키],0))&amp;"",IF(COUNTIF(기관표[사번키],INDEX(합계표[사번키],$X408))+COUNTIF(월별근무지표[사번키],INDEX(합계표[사번키],$X408))&gt;0,IFERROR(INDEX(기관표[급여지급병원(기준월)],MATCH(INDEX(합계표[사번키],$X408)&amp;"|"&amp;대상월키,기관표[키],0))&amp;"","—"),"—")))</f>
        <v/>
      </c>
      <c r="M408">
        <f>IF($X408="","",IF(NOT(COUNTIF(기관표[사번키],INDEX(합계표[사번키],$X408))+COUNTIF(월별근무지표[사번키],INDEX(합계표[사번키],$X408))&gt;0),"기관명단에 없음(다른 병원으로 발송)",IF($L408="서울병원","해당",IF(N($R408)&gt;0,"해당(말일 근무)",IF($L408="—","대상월 기관명단 없음(추가 필요)","비해당")))))</f>
        <v/>
      </c>
      <c r="N408" s="20">
        <f>IF($X408="","",SUMIFS(상세표[06~07시],상세표[사번키],INDEX(합계표[사번키],$X408),상세표[반영월],대상월키,상세표[반영 기관],"서울병원"))</f>
        <v/>
      </c>
      <c r="O408" s="20">
        <f>IF($X408="","",SUMIFS(상세표[07~18시],상세표[사번키],INDEX(합계표[사번키],$X408),상세표[반영월],대상월키,상세표[반영 기관],"서울병원"))</f>
        <v/>
      </c>
      <c r="P408" s="20">
        <f>IF($X408="","",SUMIFS(상세표[18~22시],상세표[사번키],INDEX(합계표[사번키],$X408),상세표[반영월],대상월키,상세표[반영 기관],"서울병원"))</f>
        <v/>
      </c>
      <c r="Q408" s="20">
        <f>IF($X408="","",SUMIFS(상세표[22~06시],상세표[사번키],INDEX(합계표[사번키],$X408),상세표[반영월],대상월키,상세표[반영 기관],"서울병원"))</f>
        <v/>
      </c>
      <c r="R408" s="20">
        <f>IF($X408="","",SUM($N408:$Q408))</f>
        <v/>
      </c>
      <c r="S408">
        <f>IF($X408="","",COUNTIFS(상세표[사번키],INDEX(합계표[사번키],$X408),상세표[반영월],대상월키,상세표[야간당직],1,상세표[야간 구분],"평일"))</f>
        <v/>
      </c>
      <c r="T408">
        <f>IF($X408="","",COUNTIFS(상세표[사번키],INDEX(합계표[사번키],$X408),상세표[반영월],대상월키,상세표[야간당직],1,상세표[야간 구분],"휴일"))</f>
        <v/>
      </c>
      <c r="U408">
        <f>IF($X408="","",COUNTIFS(상세표[사번키],INDEX(합계표[사번키],$X408),상세표[반영월],대상월키,상세표[야간당직],1,상세표[야간 구분],"평일",상세표[반영 기관],"서울병원"))</f>
        <v/>
      </c>
      <c r="V408">
        <f>IF($X408="","",COUNTIFS(상세표[사번키],INDEX(합계표[사번키],$X408),상세표[반영월],대상월키,상세표[야간당직],1,상세표[야간 구분],"휴일",상세표[반영 기관],"서울병원"))</f>
        <v/>
      </c>
      <c r="W408">
        <f>IF($X408="","",IF(ISNUMBER(MATCH(INDEX(합계표[사번키],$X408)&amp;"|"&amp;대상월키,월별근무지표[키],0)),"직접 입력",IF($L408="—","—","기관명단")))</f>
        <v/>
      </c>
      <c r="X408" s="4">
        <f>IFERROR(MATCH(403,합계표[판정순번],0),"")</f>
        <v/>
      </c>
    </row>
    <row r="409">
      <c r="A409">
        <f>IF($X409="","",INDEX(합계표[사번],$X409)&amp;"")</f>
        <v/>
      </c>
      <c r="B409">
        <f>IF($X409="","",INDEX(합계표[성명],$X409)&amp;"")</f>
        <v/>
      </c>
      <c r="C409">
        <f>IF($X409="","",INDEX(합계표[부서],$X409)&amp;"")</f>
        <v/>
      </c>
      <c r="D409">
        <f>IF($X409="","",INDEX(합계표[직위(요약)],$X409)&amp;"")</f>
        <v/>
      </c>
      <c r="E409">
        <f>IF($X409="","",INDEX(합계표[직급 공존],$X409)&amp;"")</f>
        <v/>
      </c>
      <c r="F409" s="20">
        <f>IF($X409="","",SUMIFS(합계표[시스템 합계],합계표[사번키],INDEX(합계표[사번키],$X409)))</f>
        <v/>
      </c>
      <c r="G409" s="20">
        <f>IF($X409="","",SUMIFS(상세표[기록 시간외],상세표[사번키],INDEX(합계표[사번키],$X409),상세표[기록월],대상월키))</f>
        <v/>
      </c>
      <c r="H409">
        <f>IF($X409="","",IF(ABS($F409-$G409)&lt;0.01,"일치","불일치(차이 "&amp;TEXT($G409-$F409,"0.00")&amp;")"))</f>
        <v/>
      </c>
      <c r="I409" s="20">
        <f>IF($X409="","",SUMIFS(상세표[기록 시간외],상세표[사번키],INDEX(합계표[사번키],$X409),상세표[기록월],대상월키,상세표[반영월],"&lt;&gt;"&amp;대상월키))</f>
        <v/>
      </c>
      <c r="J409" s="20">
        <f>IF($X409="","",SUMIFS(상세표[기록 시간외],상세표[사번키],INDEX(합계표[사번키],$X409),상세표[기록월],"&lt;&gt;"&amp;대상월키,상세표[반영월],대상월키))</f>
        <v/>
      </c>
      <c r="K409" s="20">
        <f>IF($X409="","",SUMIFS(상세표[기록 시간외],상세표[사번키],INDEX(합계표[사번키],$X409),상세표[반영월],대상월키))</f>
        <v/>
      </c>
      <c r="L409">
        <f>IF($X409="","",IFERROR(INDEX(월별근무지표[적용 급여병원],MATCH(INDEX(합계표[사번키],$X409)&amp;"|"&amp;대상월키,월별근무지표[키],0))&amp;"",IF(COUNTIF(기관표[사번키],INDEX(합계표[사번키],$X409))+COUNTIF(월별근무지표[사번키],INDEX(합계표[사번키],$X409))&gt;0,IFERROR(INDEX(기관표[급여지급병원(기준월)],MATCH(INDEX(합계표[사번키],$X409)&amp;"|"&amp;대상월키,기관표[키],0))&amp;"","—"),"—")))</f>
        <v/>
      </c>
      <c r="M409">
        <f>IF($X409="","",IF(NOT(COUNTIF(기관표[사번키],INDEX(합계표[사번키],$X409))+COUNTIF(월별근무지표[사번키],INDEX(합계표[사번키],$X409))&gt;0),"기관명단에 없음(다른 병원으로 발송)",IF($L409="서울병원","해당",IF(N($R409)&gt;0,"해당(말일 근무)",IF($L409="—","대상월 기관명단 없음(추가 필요)","비해당")))))</f>
        <v/>
      </c>
      <c r="N409" s="20">
        <f>IF($X409="","",SUMIFS(상세표[06~07시],상세표[사번키],INDEX(합계표[사번키],$X409),상세표[반영월],대상월키,상세표[반영 기관],"서울병원"))</f>
        <v/>
      </c>
      <c r="O409" s="20">
        <f>IF($X409="","",SUMIFS(상세표[07~18시],상세표[사번키],INDEX(합계표[사번키],$X409),상세표[반영월],대상월키,상세표[반영 기관],"서울병원"))</f>
        <v/>
      </c>
      <c r="P409" s="20">
        <f>IF($X409="","",SUMIFS(상세표[18~22시],상세표[사번키],INDEX(합계표[사번키],$X409),상세표[반영월],대상월키,상세표[반영 기관],"서울병원"))</f>
        <v/>
      </c>
      <c r="Q409" s="20">
        <f>IF($X409="","",SUMIFS(상세표[22~06시],상세표[사번키],INDEX(합계표[사번키],$X409),상세표[반영월],대상월키,상세표[반영 기관],"서울병원"))</f>
        <v/>
      </c>
      <c r="R409" s="20">
        <f>IF($X409="","",SUM($N409:$Q409))</f>
        <v/>
      </c>
      <c r="S409">
        <f>IF($X409="","",COUNTIFS(상세표[사번키],INDEX(합계표[사번키],$X409),상세표[반영월],대상월키,상세표[야간당직],1,상세표[야간 구분],"평일"))</f>
        <v/>
      </c>
      <c r="T409">
        <f>IF($X409="","",COUNTIFS(상세표[사번키],INDEX(합계표[사번키],$X409),상세표[반영월],대상월키,상세표[야간당직],1,상세표[야간 구분],"휴일"))</f>
        <v/>
      </c>
      <c r="U409">
        <f>IF($X409="","",COUNTIFS(상세표[사번키],INDEX(합계표[사번키],$X409),상세표[반영월],대상월키,상세표[야간당직],1,상세표[야간 구분],"평일",상세표[반영 기관],"서울병원"))</f>
        <v/>
      </c>
      <c r="V409">
        <f>IF($X409="","",COUNTIFS(상세표[사번키],INDEX(합계표[사번키],$X409),상세표[반영월],대상월키,상세표[야간당직],1,상세표[야간 구분],"휴일",상세표[반영 기관],"서울병원"))</f>
        <v/>
      </c>
      <c r="W409">
        <f>IF($X409="","",IF(ISNUMBER(MATCH(INDEX(합계표[사번키],$X409)&amp;"|"&amp;대상월키,월별근무지표[키],0)),"직접 입력",IF($L409="—","—","기관명단")))</f>
        <v/>
      </c>
      <c r="X409" s="4">
        <f>IFERROR(MATCH(404,합계표[판정순번],0),"")</f>
        <v/>
      </c>
    </row>
    <row r="410">
      <c r="A410">
        <f>IF($X410="","",INDEX(합계표[사번],$X410)&amp;"")</f>
        <v/>
      </c>
      <c r="B410">
        <f>IF($X410="","",INDEX(합계표[성명],$X410)&amp;"")</f>
        <v/>
      </c>
      <c r="C410">
        <f>IF($X410="","",INDEX(합계표[부서],$X410)&amp;"")</f>
        <v/>
      </c>
      <c r="D410">
        <f>IF($X410="","",INDEX(합계표[직위(요약)],$X410)&amp;"")</f>
        <v/>
      </c>
      <c r="E410">
        <f>IF($X410="","",INDEX(합계표[직급 공존],$X410)&amp;"")</f>
        <v/>
      </c>
      <c r="F410" s="20">
        <f>IF($X410="","",SUMIFS(합계표[시스템 합계],합계표[사번키],INDEX(합계표[사번키],$X410)))</f>
        <v/>
      </c>
      <c r="G410" s="20">
        <f>IF($X410="","",SUMIFS(상세표[기록 시간외],상세표[사번키],INDEX(합계표[사번키],$X410),상세표[기록월],대상월키))</f>
        <v/>
      </c>
      <c r="H410">
        <f>IF($X410="","",IF(ABS($F410-$G410)&lt;0.01,"일치","불일치(차이 "&amp;TEXT($G410-$F410,"0.00")&amp;")"))</f>
        <v/>
      </c>
      <c r="I410" s="20">
        <f>IF($X410="","",SUMIFS(상세표[기록 시간외],상세표[사번키],INDEX(합계표[사번키],$X410),상세표[기록월],대상월키,상세표[반영월],"&lt;&gt;"&amp;대상월키))</f>
        <v/>
      </c>
      <c r="J410" s="20">
        <f>IF($X410="","",SUMIFS(상세표[기록 시간외],상세표[사번키],INDEX(합계표[사번키],$X410),상세표[기록월],"&lt;&gt;"&amp;대상월키,상세표[반영월],대상월키))</f>
        <v/>
      </c>
      <c r="K410" s="20">
        <f>IF($X410="","",SUMIFS(상세표[기록 시간외],상세표[사번키],INDEX(합계표[사번키],$X410),상세표[반영월],대상월키))</f>
        <v/>
      </c>
      <c r="L410">
        <f>IF($X410="","",IFERROR(INDEX(월별근무지표[적용 급여병원],MATCH(INDEX(합계표[사번키],$X410)&amp;"|"&amp;대상월키,월별근무지표[키],0))&amp;"",IF(COUNTIF(기관표[사번키],INDEX(합계표[사번키],$X410))+COUNTIF(월별근무지표[사번키],INDEX(합계표[사번키],$X410))&gt;0,IFERROR(INDEX(기관표[급여지급병원(기준월)],MATCH(INDEX(합계표[사번키],$X410)&amp;"|"&amp;대상월키,기관표[키],0))&amp;"","—"),"—")))</f>
        <v/>
      </c>
      <c r="M410">
        <f>IF($X410="","",IF(NOT(COUNTIF(기관표[사번키],INDEX(합계표[사번키],$X410))+COUNTIF(월별근무지표[사번키],INDEX(합계표[사번키],$X410))&gt;0),"기관명단에 없음(다른 병원으로 발송)",IF($L410="서울병원","해당",IF(N($R410)&gt;0,"해당(말일 근무)",IF($L410="—","대상월 기관명단 없음(추가 필요)","비해당")))))</f>
        <v/>
      </c>
      <c r="N410" s="20">
        <f>IF($X410="","",SUMIFS(상세표[06~07시],상세표[사번키],INDEX(합계표[사번키],$X410),상세표[반영월],대상월키,상세표[반영 기관],"서울병원"))</f>
        <v/>
      </c>
      <c r="O410" s="20">
        <f>IF($X410="","",SUMIFS(상세표[07~18시],상세표[사번키],INDEX(합계표[사번키],$X410),상세표[반영월],대상월키,상세표[반영 기관],"서울병원"))</f>
        <v/>
      </c>
      <c r="P410" s="20">
        <f>IF($X410="","",SUMIFS(상세표[18~22시],상세표[사번키],INDEX(합계표[사번키],$X410),상세표[반영월],대상월키,상세표[반영 기관],"서울병원"))</f>
        <v/>
      </c>
      <c r="Q410" s="20">
        <f>IF($X410="","",SUMIFS(상세표[22~06시],상세표[사번키],INDEX(합계표[사번키],$X410),상세표[반영월],대상월키,상세표[반영 기관],"서울병원"))</f>
        <v/>
      </c>
      <c r="R410" s="20">
        <f>IF($X410="","",SUM($N410:$Q410))</f>
        <v/>
      </c>
      <c r="S410">
        <f>IF($X410="","",COUNTIFS(상세표[사번키],INDEX(합계표[사번키],$X410),상세표[반영월],대상월키,상세표[야간당직],1,상세표[야간 구분],"평일"))</f>
        <v/>
      </c>
      <c r="T410">
        <f>IF($X410="","",COUNTIFS(상세표[사번키],INDEX(합계표[사번키],$X410),상세표[반영월],대상월키,상세표[야간당직],1,상세표[야간 구분],"휴일"))</f>
        <v/>
      </c>
      <c r="U410">
        <f>IF($X410="","",COUNTIFS(상세표[사번키],INDEX(합계표[사번키],$X410),상세표[반영월],대상월키,상세표[야간당직],1,상세표[야간 구분],"평일",상세표[반영 기관],"서울병원"))</f>
        <v/>
      </c>
      <c r="V410">
        <f>IF($X410="","",COUNTIFS(상세표[사번키],INDEX(합계표[사번키],$X410),상세표[반영월],대상월키,상세표[야간당직],1,상세표[야간 구분],"휴일",상세표[반영 기관],"서울병원"))</f>
        <v/>
      </c>
      <c r="W410">
        <f>IF($X410="","",IF(ISNUMBER(MATCH(INDEX(합계표[사번키],$X410)&amp;"|"&amp;대상월키,월별근무지표[키],0)),"직접 입력",IF($L410="—","—","기관명단")))</f>
        <v/>
      </c>
      <c r="X410" s="4">
        <f>IFERROR(MATCH(405,합계표[판정순번],0),"")</f>
        <v/>
      </c>
    </row>
    <row r="411">
      <c r="A411">
        <f>IF($X411="","",INDEX(합계표[사번],$X411)&amp;"")</f>
        <v/>
      </c>
      <c r="B411">
        <f>IF($X411="","",INDEX(합계표[성명],$X411)&amp;"")</f>
        <v/>
      </c>
      <c r="C411">
        <f>IF($X411="","",INDEX(합계표[부서],$X411)&amp;"")</f>
        <v/>
      </c>
      <c r="D411">
        <f>IF($X411="","",INDEX(합계표[직위(요약)],$X411)&amp;"")</f>
        <v/>
      </c>
      <c r="E411">
        <f>IF($X411="","",INDEX(합계표[직급 공존],$X411)&amp;"")</f>
        <v/>
      </c>
      <c r="F411" s="20">
        <f>IF($X411="","",SUMIFS(합계표[시스템 합계],합계표[사번키],INDEX(합계표[사번키],$X411)))</f>
        <v/>
      </c>
      <c r="G411" s="20">
        <f>IF($X411="","",SUMIFS(상세표[기록 시간외],상세표[사번키],INDEX(합계표[사번키],$X411),상세표[기록월],대상월키))</f>
        <v/>
      </c>
      <c r="H411">
        <f>IF($X411="","",IF(ABS($F411-$G411)&lt;0.01,"일치","불일치(차이 "&amp;TEXT($G411-$F411,"0.00")&amp;")"))</f>
        <v/>
      </c>
      <c r="I411" s="20">
        <f>IF($X411="","",SUMIFS(상세표[기록 시간외],상세표[사번키],INDEX(합계표[사번키],$X411),상세표[기록월],대상월키,상세표[반영월],"&lt;&gt;"&amp;대상월키))</f>
        <v/>
      </c>
      <c r="J411" s="20">
        <f>IF($X411="","",SUMIFS(상세표[기록 시간외],상세표[사번키],INDEX(합계표[사번키],$X411),상세표[기록월],"&lt;&gt;"&amp;대상월키,상세표[반영월],대상월키))</f>
        <v/>
      </c>
      <c r="K411" s="20">
        <f>IF($X411="","",SUMIFS(상세표[기록 시간외],상세표[사번키],INDEX(합계표[사번키],$X411),상세표[반영월],대상월키))</f>
        <v/>
      </c>
      <c r="L411">
        <f>IF($X411="","",IFERROR(INDEX(월별근무지표[적용 급여병원],MATCH(INDEX(합계표[사번키],$X411)&amp;"|"&amp;대상월키,월별근무지표[키],0))&amp;"",IF(COUNTIF(기관표[사번키],INDEX(합계표[사번키],$X411))+COUNTIF(월별근무지표[사번키],INDEX(합계표[사번키],$X411))&gt;0,IFERROR(INDEX(기관표[급여지급병원(기준월)],MATCH(INDEX(합계표[사번키],$X411)&amp;"|"&amp;대상월키,기관표[키],0))&amp;"","—"),"—")))</f>
        <v/>
      </c>
      <c r="M411">
        <f>IF($X411="","",IF(NOT(COUNTIF(기관표[사번키],INDEX(합계표[사번키],$X411))+COUNTIF(월별근무지표[사번키],INDEX(합계표[사번키],$X411))&gt;0),"기관명단에 없음(다른 병원으로 발송)",IF($L411="서울병원","해당",IF(N($R411)&gt;0,"해당(말일 근무)",IF($L411="—","대상월 기관명단 없음(추가 필요)","비해당")))))</f>
        <v/>
      </c>
      <c r="N411" s="20">
        <f>IF($X411="","",SUMIFS(상세표[06~07시],상세표[사번키],INDEX(합계표[사번키],$X411),상세표[반영월],대상월키,상세표[반영 기관],"서울병원"))</f>
        <v/>
      </c>
      <c r="O411" s="20">
        <f>IF($X411="","",SUMIFS(상세표[07~18시],상세표[사번키],INDEX(합계표[사번키],$X411),상세표[반영월],대상월키,상세표[반영 기관],"서울병원"))</f>
        <v/>
      </c>
      <c r="P411" s="20">
        <f>IF($X411="","",SUMIFS(상세표[18~22시],상세표[사번키],INDEX(합계표[사번키],$X411),상세표[반영월],대상월키,상세표[반영 기관],"서울병원"))</f>
        <v/>
      </c>
      <c r="Q411" s="20">
        <f>IF($X411="","",SUMIFS(상세표[22~06시],상세표[사번키],INDEX(합계표[사번키],$X411),상세표[반영월],대상월키,상세표[반영 기관],"서울병원"))</f>
        <v/>
      </c>
      <c r="R411" s="20">
        <f>IF($X411="","",SUM($N411:$Q411))</f>
        <v/>
      </c>
      <c r="S411">
        <f>IF($X411="","",COUNTIFS(상세표[사번키],INDEX(합계표[사번키],$X411),상세표[반영월],대상월키,상세표[야간당직],1,상세표[야간 구분],"평일"))</f>
        <v/>
      </c>
      <c r="T411">
        <f>IF($X411="","",COUNTIFS(상세표[사번키],INDEX(합계표[사번키],$X411),상세표[반영월],대상월키,상세표[야간당직],1,상세표[야간 구분],"휴일"))</f>
        <v/>
      </c>
      <c r="U411">
        <f>IF($X411="","",COUNTIFS(상세표[사번키],INDEX(합계표[사번키],$X411),상세표[반영월],대상월키,상세표[야간당직],1,상세표[야간 구분],"평일",상세표[반영 기관],"서울병원"))</f>
        <v/>
      </c>
      <c r="V411">
        <f>IF($X411="","",COUNTIFS(상세표[사번키],INDEX(합계표[사번키],$X411),상세표[반영월],대상월키,상세표[야간당직],1,상세표[야간 구분],"휴일",상세표[반영 기관],"서울병원"))</f>
        <v/>
      </c>
      <c r="W411">
        <f>IF($X411="","",IF(ISNUMBER(MATCH(INDEX(합계표[사번키],$X411)&amp;"|"&amp;대상월키,월별근무지표[키],0)),"직접 입력",IF($L411="—","—","기관명단")))</f>
        <v/>
      </c>
      <c r="X411" s="4">
        <f>IFERROR(MATCH(406,합계표[판정순번],0),"")</f>
        <v/>
      </c>
    </row>
    <row r="412">
      <c r="A412">
        <f>IF($X412="","",INDEX(합계표[사번],$X412)&amp;"")</f>
        <v/>
      </c>
      <c r="B412">
        <f>IF($X412="","",INDEX(합계표[성명],$X412)&amp;"")</f>
        <v/>
      </c>
      <c r="C412">
        <f>IF($X412="","",INDEX(합계표[부서],$X412)&amp;"")</f>
        <v/>
      </c>
      <c r="D412">
        <f>IF($X412="","",INDEX(합계표[직위(요약)],$X412)&amp;"")</f>
        <v/>
      </c>
      <c r="E412">
        <f>IF($X412="","",INDEX(합계표[직급 공존],$X412)&amp;"")</f>
        <v/>
      </c>
      <c r="F412" s="20">
        <f>IF($X412="","",SUMIFS(합계표[시스템 합계],합계표[사번키],INDEX(합계표[사번키],$X412)))</f>
        <v/>
      </c>
      <c r="G412" s="20">
        <f>IF($X412="","",SUMIFS(상세표[기록 시간외],상세표[사번키],INDEX(합계표[사번키],$X412),상세표[기록월],대상월키))</f>
        <v/>
      </c>
      <c r="H412">
        <f>IF($X412="","",IF(ABS($F412-$G412)&lt;0.01,"일치","불일치(차이 "&amp;TEXT($G412-$F412,"0.00")&amp;")"))</f>
        <v/>
      </c>
      <c r="I412" s="20">
        <f>IF($X412="","",SUMIFS(상세표[기록 시간외],상세표[사번키],INDEX(합계표[사번키],$X412),상세표[기록월],대상월키,상세표[반영월],"&lt;&gt;"&amp;대상월키))</f>
        <v/>
      </c>
      <c r="J412" s="20">
        <f>IF($X412="","",SUMIFS(상세표[기록 시간외],상세표[사번키],INDEX(합계표[사번키],$X412),상세표[기록월],"&lt;&gt;"&amp;대상월키,상세표[반영월],대상월키))</f>
        <v/>
      </c>
      <c r="K412" s="20">
        <f>IF($X412="","",SUMIFS(상세표[기록 시간외],상세표[사번키],INDEX(합계표[사번키],$X412),상세표[반영월],대상월키))</f>
        <v/>
      </c>
      <c r="L412">
        <f>IF($X412="","",IFERROR(INDEX(월별근무지표[적용 급여병원],MATCH(INDEX(합계표[사번키],$X412)&amp;"|"&amp;대상월키,월별근무지표[키],0))&amp;"",IF(COUNTIF(기관표[사번키],INDEX(합계표[사번키],$X412))+COUNTIF(월별근무지표[사번키],INDEX(합계표[사번키],$X412))&gt;0,IFERROR(INDEX(기관표[급여지급병원(기준월)],MATCH(INDEX(합계표[사번키],$X412)&amp;"|"&amp;대상월키,기관표[키],0))&amp;"","—"),"—")))</f>
        <v/>
      </c>
      <c r="M412">
        <f>IF($X412="","",IF(NOT(COUNTIF(기관표[사번키],INDEX(합계표[사번키],$X412))+COUNTIF(월별근무지표[사번키],INDEX(합계표[사번키],$X412))&gt;0),"기관명단에 없음(다른 병원으로 발송)",IF($L412="서울병원","해당",IF(N($R412)&gt;0,"해당(말일 근무)",IF($L412="—","대상월 기관명단 없음(추가 필요)","비해당")))))</f>
        <v/>
      </c>
      <c r="N412" s="20">
        <f>IF($X412="","",SUMIFS(상세표[06~07시],상세표[사번키],INDEX(합계표[사번키],$X412),상세표[반영월],대상월키,상세표[반영 기관],"서울병원"))</f>
        <v/>
      </c>
      <c r="O412" s="20">
        <f>IF($X412="","",SUMIFS(상세표[07~18시],상세표[사번키],INDEX(합계표[사번키],$X412),상세표[반영월],대상월키,상세표[반영 기관],"서울병원"))</f>
        <v/>
      </c>
      <c r="P412" s="20">
        <f>IF($X412="","",SUMIFS(상세표[18~22시],상세표[사번키],INDEX(합계표[사번키],$X412),상세표[반영월],대상월키,상세표[반영 기관],"서울병원"))</f>
        <v/>
      </c>
      <c r="Q412" s="20">
        <f>IF($X412="","",SUMIFS(상세표[22~06시],상세표[사번키],INDEX(합계표[사번키],$X412),상세표[반영월],대상월키,상세표[반영 기관],"서울병원"))</f>
        <v/>
      </c>
      <c r="R412" s="20">
        <f>IF($X412="","",SUM($N412:$Q412))</f>
        <v/>
      </c>
      <c r="S412">
        <f>IF($X412="","",COUNTIFS(상세표[사번키],INDEX(합계표[사번키],$X412),상세표[반영월],대상월키,상세표[야간당직],1,상세표[야간 구분],"평일"))</f>
        <v/>
      </c>
      <c r="T412">
        <f>IF($X412="","",COUNTIFS(상세표[사번키],INDEX(합계표[사번키],$X412),상세표[반영월],대상월키,상세표[야간당직],1,상세표[야간 구분],"휴일"))</f>
        <v/>
      </c>
      <c r="U412">
        <f>IF($X412="","",COUNTIFS(상세표[사번키],INDEX(합계표[사번키],$X412),상세표[반영월],대상월키,상세표[야간당직],1,상세표[야간 구분],"평일",상세표[반영 기관],"서울병원"))</f>
        <v/>
      </c>
      <c r="V412">
        <f>IF($X412="","",COUNTIFS(상세표[사번키],INDEX(합계표[사번키],$X412),상세표[반영월],대상월키,상세표[야간당직],1,상세표[야간 구분],"휴일",상세표[반영 기관],"서울병원"))</f>
        <v/>
      </c>
      <c r="W412">
        <f>IF($X412="","",IF(ISNUMBER(MATCH(INDEX(합계표[사번키],$X412)&amp;"|"&amp;대상월키,월별근무지표[키],0)),"직접 입력",IF($L412="—","—","기관명단")))</f>
        <v/>
      </c>
      <c r="X412" s="4">
        <f>IFERROR(MATCH(407,합계표[판정순번],0),"")</f>
        <v/>
      </c>
    </row>
    <row r="413">
      <c r="A413">
        <f>IF($X413="","",INDEX(합계표[사번],$X413)&amp;"")</f>
        <v/>
      </c>
      <c r="B413">
        <f>IF($X413="","",INDEX(합계표[성명],$X413)&amp;"")</f>
        <v/>
      </c>
      <c r="C413">
        <f>IF($X413="","",INDEX(합계표[부서],$X413)&amp;"")</f>
        <v/>
      </c>
      <c r="D413">
        <f>IF($X413="","",INDEX(합계표[직위(요약)],$X413)&amp;"")</f>
        <v/>
      </c>
      <c r="E413">
        <f>IF($X413="","",INDEX(합계표[직급 공존],$X413)&amp;"")</f>
        <v/>
      </c>
      <c r="F413" s="20">
        <f>IF($X413="","",SUMIFS(합계표[시스템 합계],합계표[사번키],INDEX(합계표[사번키],$X413)))</f>
        <v/>
      </c>
      <c r="G413" s="20">
        <f>IF($X413="","",SUMIFS(상세표[기록 시간외],상세표[사번키],INDEX(합계표[사번키],$X413),상세표[기록월],대상월키))</f>
        <v/>
      </c>
      <c r="H413">
        <f>IF($X413="","",IF(ABS($F413-$G413)&lt;0.01,"일치","불일치(차이 "&amp;TEXT($G413-$F413,"0.00")&amp;")"))</f>
        <v/>
      </c>
      <c r="I413" s="20">
        <f>IF($X413="","",SUMIFS(상세표[기록 시간외],상세표[사번키],INDEX(합계표[사번키],$X413),상세표[기록월],대상월키,상세표[반영월],"&lt;&gt;"&amp;대상월키))</f>
        <v/>
      </c>
      <c r="J413" s="20">
        <f>IF($X413="","",SUMIFS(상세표[기록 시간외],상세표[사번키],INDEX(합계표[사번키],$X413),상세표[기록월],"&lt;&gt;"&amp;대상월키,상세표[반영월],대상월키))</f>
        <v/>
      </c>
      <c r="K413" s="20">
        <f>IF($X413="","",SUMIFS(상세표[기록 시간외],상세표[사번키],INDEX(합계표[사번키],$X413),상세표[반영월],대상월키))</f>
        <v/>
      </c>
      <c r="L413">
        <f>IF($X413="","",IFERROR(INDEX(월별근무지표[적용 급여병원],MATCH(INDEX(합계표[사번키],$X413)&amp;"|"&amp;대상월키,월별근무지표[키],0))&amp;"",IF(COUNTIF(기관표[사번키],INDEX(합계표[사번키],$X413))+COUNTIF(월별근무지표[사번키],INDEX(합계표[사번키],$X413))&gt;0,IFERROR(INDEX(기관표[급여지급병원(기준월)],MATCH(INDEX(합계표[사번키],$X413)&amp;"|"&amp;대상월키,기관표[키],0))&amp;"","—"),"—")))</f>
        <v/>
      </c>
      <c r="M413">
        <f>IF($X413="","",IF(NOT(COUNTIF(기관표[사번키],INDEX(합계표[사번키],$X413))+COUNTIF(월별근무지표[사번키],INDEX(합계표[사번키],$X413))&gt;0),"기관명단에 없음(다른 병원으로 발송)",IF($L413="서울병원","해당",IF(N($R413)&gt;0,"해당(말일 근무)",IF($L413="—","대상월 기관명단 없음(추가 필요)","비해당")))))</f>
        <v/>
      </c>
      <c r="N413" s="20">
        <f>IF($X413="","",SUMIFS(상세표[06~07시],상세표[사번키],INDEX(합계표[사번키],$X413),상세표[반영월],대상월키,상세표[반영 기관],"서울병원"))</f>
        <v/>
      </c>
      <c r="O413" s="20">
        <f>IF($X413="","",SUMIFS(상세표[07~18시],상세표[사번키],INDEX(합계표[사번키],$X413),상세표[반영월],대상월키,상세표[반영 기관],"서울병원"))</f>
        <v/>
      </c>
      <c r="P413" s="20">
        <f>IF($X413="","",SUMIFS(상세표[18~22시],상세표[사번키],INDEX(합계표[사번키],$X413),상세표[반영월],대상월키,상세표[반영 기관],"서울병원"))</f>
        <v/>
      </c>
      <c r="Q413" s="20">
        <f>IF($X413="","",SUMIFS(상세표[22~06시],상세표[사번키],INDEX(합계표[사번키],$X413),상세표[반영월],대상월키,상세표[반영 기관],"서울병원"))</f>
        <v/>
      </c>
      <c r="R413" s="20">
        <f>IF($X413="","",SUM($N413:$Q413))</f>
        <v/>
      </c>
      <c r="S413">
        <f>IF($X413="","",COUNTIFS(상세표[사번키],INDEX(합계표[사번키],$X413),상세표[반영월],대상월키,상세표[야간당직],1,상세표[야간 구분],"평일"))</f>
        <v/>
      </c>
      <c r="T413">
        <f>IF($X413="","",COUNTIFS(상세표[사번키],INDEX(합계표[사번키],$X413),상세표[반영월],대상월키,상세표[야간당직],1,상세표[야간 구분],"휴일"))</f>
        <v/>
      </c>
      <c r="U413">
        <f>IF($X413="","",COUNTIFS(상세표[사번키],INDEX(합계표[사번키],$X413),상세표[반영월],대상월키,상세표[야간당직],1,상세표[야간 구분],"평일",상세표[반영 기관],"서울병원"))</f>
        <v/>
      </c>
      <c r="V413">
        <f>IF($X413="","",COUNTIFS(상세표[사번키],INDEX(합계표[사번키],$X413),상세표[반영월],대상월키,상세표[야간당직],1,상세표[야간 구분],"휴일",상세표[반영 기관],"서울병원"))</f>
        <v/>
      </c>
      <c r="W413">
        <f>IF($X413="","",IF(ISNUMBER(MATCH(INDEX(합계표[사번키],$X413)&amp;"|"&amp;대상월키,월별근무지표[키],0)),"직접 입력",IF($L413="—","—","기관명단")))</f>
        <v/>
      </c>
      <c r="X413" s="4">
        <f>IFERROR(MATCH(408,합계표[판정순번],0),"")</f>
        <v/>
      </c>
    </row>
    <row r="414">
      <c r="A414">
        <f>IF($X414="","",INDEX(합계표[사번],$X414)&amp;"")</f>
        <v/>
      </c>
      <c r="B414">
        <f>IF($X414="","",INDEX(합계표[성명],$X414)&amp;"")</f>
        <v/>
      </c>
      <c r="C414">
        <f>IF($X414="","",INDEX(합계표[부서],$X414)&amp;"")</f>
        <v/>
      </c>
      <c r="D414">
        <f>IF($X414="","",INDEX(합계표[직위(요약)],$X414)&amp;"")</f>
        <v/>
      </c>
      <c r="E414">
        <f>IF($X414="","",INDEX(합계표[직급 공존],$X414)&amp;"")</f>
        <v/>
      </c>
      <c r="F414" s="20">
        <f>IF($X414="","",SUMIFS(합계표[시스템 합계],합계표[사번키],INDEX(합계표[사번키],$X414)))</f>
        <v/>
      </c>
      <c r="G414" s="20">
        <f>IF($X414="","",SUMIFS(상세표[기록 시간외],상세표[사번키],INDEX(합계표[사번키],$X414),상세표[기록월],대상월키))</f>
        <v/>
      </c>
      <c r="H414">
        <f>IF($X414="","",IF(ABS($F414-$G414)&lt;0.01,"일치","불일치(차이 "&amp;TEXT($G414-$F414,"0.00")&amp;")"))</f>
        <v/>
      </c>
      <c r="I414" s="20">
        <f>IF($X414="","",SUMIFS(상세표[기록 시간외],상세표[사번키],INDEX(합계표[사번키],$X414),상세표[기록월],대상월키,상세표[반영월],"&lt;&gt;"&amp;대상월키))</f>
        <v/>
      </c>
      <c r="J414" s="20">
        <f>IF($X414="","",SUMIFS(상세표[기록 시간외],상세표[사번키],INDEX(합계표[사번키],$X414),상세표[기록월],"&lt;&gt;"&amp;대상월키,상세표[반영월],대상월키))</f>
        <v/>
      </c>
      <c r="K414" s="20">
        <f>IF($X414="","",SUMIFS(상세표[기록 시간외],상세표[사번키],INDEX(합계표[사번키],$X414),상세표[반영월],대상월키))</f>
        <v/>
      </c>
      <c r="L414">
        <f>IF($X414="","",IFERROR(INDEX(월별근무지표[적용 급여병원],MATCH(INDEX(합계표[사번키],$X414)&amp;"|"&amp;대상월키,월별근무지표[키],0))&amp;"",IF(COUNTIF(기관표[사번키],INDEX(합계표[사번키],$X414))+COUNTIF(월별근무지표[사번키],INDEX(합계표[사번키],$X414))&gt;0,IFERROR(INDEX(기관표[급여지급병원(기준월)],MATCH(INDEX(합계표[사번키],$X414)&amp;"|"&amp;대상월키,기관표[키],0))&amp;"","—"),"—")))</f>
        <v/>
      </c>
      <c r="M414">
        <f>IF($X414="","",IF(NOT(COUNTIF(기관표[사번키],INDEX(합계표[사번키],$X414))+COUNTIF(월별근무지표[사번키],INDEX(합계표[사번키],$X414))&gt;0),"기관명단에 없음(다른 병원으로 발송)",IF($L414="서울병원","해당",IF(N($R414)&gt;0,"해당(말일 근무)",IF($L414="—","대상월 기관명단 없음(추가 필요)","비해당")))))</f>
        <v/>
      </c>
      <c r="N414" s="20">
        <f>IF($X414="","",SUMIFS(상세표[06~07시],상세표[사번키],INDEX(합계표[사번키],$X414),상세표[반영월],대상월키,상세표[반영 기관],"서울병원"))</f>
        <v/>
      </c>
      <c r="O414" s="20">
        <f>IF($X414="","",SUMIFS(상세표[07~18시],상세표[사번키],INDEX(합계표[사번키],$X414),상세표[반영월],대상월키,상세표[반영 기관],"서울병원"))</f>
        <v/>
      </c>
      <c r="P414" s="20">
        <f>IF($X414="","",SUMIFS(상세표[18~22시],상세표[사번키],INDEX(합계표[사번키],$X414),상세표[반영월],대상월키,상세표[반영 기관],"서울병원"))</f>
        <v/>
      </c>
      <c r="Q414" s="20">
        <f>IF($X414="","",SUMIFS(상세표[22~06시],상세표[사번키],INDEX(합계표[사번키],$X414),상세표[반영월],대상월키,상세표[반영 기관],"서울병원"))</f>
        <v/>
      </c>
      <c r="R414" s="20">
        <f>IF($X414="","",SUM($N414:$Q414))</f>
        <v/>
      </c>
      <c r="S414">
        <f>IF($X414="","",COUNTIFS(상세표[사번키],INDEX(합계표[사번키],$X414),상세표[반영월],대상월키,상세표[야간당직],1,상세표[야간 구분],"평일"))</f>
        <v/>
      </c>
      <c r="T414">
        <f>IF($X414="","",COUNTIFS(상세표[사번키],INDEX(합계표[사번키],$X414),상세표[반영월],대상월키,상세표[야간당직],1,상세표[야간 구분],"휴일"))</f>
        <v/>
      </c>
      <c r="U414">
        <f>IF($X414="","",COUNTIFS(상세표[사번키],INDEX(합계표[사번키],$X414),상세표[반영월],대상월키,상세표[야간당직],1,상세표[야간 구분],"평일",상세표[반영 기관],"서울병원"))</f>
        <v/>
      </c>
      <c r="V414">
        <f>IF($X414="","",COUNTIFS(상세표[사번키],INDEX(합계표[사번키],$X414),상세표[반영월],대상월키,상세표[야간당직],1,상세표[야간 구분],"휴일",상세표[반영 기관],"서울병원"))</f>
        <v/>
      </c>
      <c r="W414">
        <f>IF($X414="","",IF(ISNUMBER(MATCH(INDEX(합계표[사번키],$X414)&amp;"|"&amp;대상월키,월별근무지표[키],0)),"직접 입력",IF($L414="—","—","기관명단")))</f>
        <v/>
      </c>
      <c r="X414" s="4">
        <f>IFERROR(MATCH(409,합계표[판정순번],0),"")</f>
        <v/>
      </c>
    </row>
    <row r="415">
      <c r="A415">
        <f>IF($X415="","",INDEX(합계표[사번],$X415)&amp;"")</f>
        <v/>
      </c>
      <c r="B415">
        <f>IF($X415="","",INDEX(합계표[성명],$X415)&amp;"")</f>
        <v/>
      </c>
      <c r="C415">
        <f>IF($X415="","",INDEX(합계표[부서],$X415)&amp;"")</f>
        <v/>
      </c>
      <c r="D415">
        <f>IF($X415="","",INDEX(합계표[직위(요약)],$X415)&amp;"")</f>
        <v/>
      </c>
      <c r="E415">
        <f>IF($X415="","",INDEX(합계표[직급 공존],$X415)&amp;"")</f>
        <v/>
      </c>
      <c r="F415" s="20">
        <f>IF($X415="","",SUMIFS(합계표[시스템 합계],합계표[사번키],INDEX(합계표[사번키],$X415)))</f>
        <v/>
      </c>
      <c r="G415" s="20">
        <f>IF($X415="","",SUMIFS(상세표[기록 시간외],상세표[사번키],INDEX(합계표[사번키],$X415),상세표[기록월],대상월키))</f>
        <v/>
      </c>
      <c r="H415">
        <f>IF($X415="","",IF(ABS($F415-$G415)&lt;0.01,"일치","불일치(차이 "&amp;TEXT($G415-$F415,"0.00")&amp;")"))</f>
        <v/>
      </c>
      <c r="I415" s="20">
        <f>IF($X415="","",SUMIFS(상세표[기록 시간외],상세표[사번키],INDEX(합계표[사번키],$X415),상세표[기록월],대상월키,상세표[반영월],"&lt;&gt;"&amp;대상월키))</f>
        <v/>
      </c>
      <c r="J415" s="20">
        <f>IF($X415="","",SUMIFS(상세표[기록 시간외],상세표[사번키],INDEX(합계표[사번키],$X415),상세표[기록월],"&lt;&gt;"&amp;대상월키,상세표[반영월],대상월키))</f>
        <v/>
      </c>
      <c r="K415" s="20">
        <f>IF($X415="","",SUMIFS(상세표[기록 시간외],상세표[사번키],INDEX(합계표[사번키],$X415),상세표[반영월],대상월키))</f>
        <v/>
      </c>
      <c r="L415">
        <f>IF($X415="","",IFERROR(INDEX(월별근무지표[적용 급여병원],MATCH(INDEX(합계표[사번키],$X415)&amp;"|"&amp;대상월키,월별근무지표[키],0))&amp;"",IF(COUNTIF(기관표[사번키],INDEX(합계표[사번키],$X415))+COUNTIF(월별근무지표[사번키],INDEX(합계표[사번키],$X415))&gt;0,IFERROR(INDEX(기관표[급여지급병원(기준월)],MATCH(INDEX(합계표[사번키],$X415)&amp;"|"&amp;대상월키,기관표[키],0))&amp;"","—"),"—")))</f>
        <v/>
      </c>
      <c r="M415">
        <f>IF($X415="","",IF(NOT(COUNTIF(기관표[사번키],INDEX(합계표[사번키],$X415))+COUNTIF(월별근무지표[사번키],INDEX(합계표[사번키],$X415))&gt;0),"기관명단에 없음(다른 병원으로 발송)",IF($L415="서울병원","해당",IF(N($R415)&gt;0,"해당(말일 근무)",IF($L415="—","대상월 기관명단 없음(추가 필요)","비해당")))))</f>
        <v/>
      </c>
      <c r="N415" s="20">
        <f>IF($X415="","",SUMIFS(상세표[06~07시],상세표[사번키],INDEX(합계표[사번키],$X415),상세표[반영월],대상월키,상세표[반영 기관],"서울병원"))</f>
        <v/>
      </c>
      <c r="O415" s="20">
        <f>IF($X415="","",SUMIFS(상세표[07~18시],상세표[사번키],INDEX(합계표[사번키],$X415),상세표[반영월],대상월키,상세표[반영 기관],"서울병원"))</f>
        <v/>
      </c>
      <c r="P415" s="20">
        <f>IF($X415="","",SUMIFS(상세표[18~22시],상세표[사번키],INDEX(합계표[사번키],$X415),상세표[반영월],대상월키,상세표[반영 기관],"서울병원"))</f>
        <v/>
      </c>
      <c r="Q415" s="20">
        <f>IF($X415="","",SUMIFS(상세표[22~06시],상세표[사번키],INDEX(합계표[사번키],$X415),상세표[반영월],대상월키,상세표[반영 기관],"서울병원"))</f>
        <v/>
      </c>
      <c r="R415" s="20">
        <f>IF($X415="","",SUM($N415:$Q415))</f>
        <v/>
      </c>
      <c r="S415">
        <f>IF($X415="","",COUNTIFS(상세표[사번키],INDEX(합계표[사번키],$X415),상세표[반영월],대상월키,상세표[야간당직],1,상세표[야간 구분],"평일"))</f>
        <v/>
      </c>
      <c r="T415">
        <f>IF($X415="","",COUNTIFS(상세표[사번키],INDEX(합계표[사번키],$X415),상세표[반영월],대상월키,상세표[야간당직],1,상세표[야간 구분],"휴일"))</f>
        <v/>
      </c>
      <c r="U415">
        <f>IF($X415="","",COUNTIFS(상세표[사번키],INDEX(합계표[사번키],$X415),상세표[반영월],대상월키,상세표[야간당직],1,상세표[야간 구분],"평일",상세표[반영 기관],"서울병원"))</f>
        <v/>
      </c>
      <c r="V415">
        <f>IF($X415="","",COUNTIFS(상세표[사번키],INDEX(합계표[사번키],$X415),상세표[반영월],대상월키,상세표[야간당직],1,상세표[야간 구분],"휴일",상세표[반영 기관],"서울병원"))</f>
        <v/>
      </c>
      <c r="W415">
        <f>IF($X415="","",IF(ISNUMBER(MATCH(INDEX(합계표[사번키],$X415)&amp;"|"&amp;대상월키,월별근무지표[키],0)),"직접 입력",IF($L415="—","—","기관명단")))</f>
        <v/>
      </c>
      <c r="X415" s="4">
        <f>IFERROR(MATCH(410,합계표[판정순번],0),"")</f>
        <v/>
      </c>
    </row>
    <row r="416">
      <c r="A416">
        <f>IF($X416="","",INDEX(합계표[사번],$X416)&amp;"")</f>
        <v/>
      </c>
      <c r="B416">
        <f>IF($X416="","",INDEX(합계표[성명],$X416)&amp;"")</f>
        <v/>
      </c>
      <c r="C416">
        <f>IF($X416="","",INDEX(합계표[부서],$X416)&amp;"")</f>
        <v/>
      </c>
      <c r="D416">
        <f>IF($X416="","",INDEX(합계표[직위(요약)],$X416)&amp;"")</f>
        <v/>
      </c>
      <c r="E416">
        <f>IF($X416="","",INDEX(합계표[직급 공존],$X416)&amp;"")</f>
        <v/>
      </c>
      <c r="F416" s="20">
        <f>IF($X416="","",SUMIFS(합계표[시스템 합계],합계표[사번키],INDEX(합계표[사번키],$X416)))</f>
        <v/>
      </c>
      <c r="G416" s="20">
        <f>IF($X416="","",SUMIFS(상세표[기록 시간외],상세표[사번키],INDEX(합계표[사번키],$X416),상세표[기록월],대상월키))</f>
        <v/>
      </c>
      <c r="H416">
        <f>IF($X416="","",IF(ABS($F416-$G416)&lt;0.01,"일치","불일치(차이 "&amp;TEXT($G416-$F416,"0.00")&amp;")"))</f>
        <v/>
      </c>
      <c r="I416" s="20">
        <f>IF($X416="","",SUMIFS(상세표[기록 시간외],상세표[사번키],INDEX(합계표[사번키],$X416),상세표[기록월],대상월키,상세표[반영월],"&lt;&gt;"&amp;대상월키))</f>
        <v/>
      </c>
      <c r="J416" s="20">
        <f>IF($X416="","",SUMIFS(상세표[기록 시간외],상세표[사번키],INDEX(합계표[사번키],$X416),상세표[기록월],"&lt;&gt;"&amp;대상월키,상세표[반영월],대상월키))</f>
        <v/>
      </c>
      <c r="K416" s="20">
        <f>IF($X416="","",SUMIFS(상세표[기록 시간외],상세표[사번키],INDEX(합계표[사번키],$X416),상세표[반영월],대상월키))</f>
        <v/>
      </c>
      <c r="L416">
        <f>IF($X416="","",IFERROR(INDEX(월별근무지표[적용 급여병원],MATCH(INDEX(합계표[사번키],$X416)&amp;"|"&amp;대상월키,월별근무지표[키],0))&amp;"",IF(COUNTIF(기관표[사번키],INDEX(합계표[사번키],$X416))+COUNTIF(월별근무지표[사번키],INDEX(합계표[사번키],$X416))&gt;0,IFERROR(INDEX(기관표[급여지급병원(기준월)],MATCH(INDEX(합계표[사번키],$X416)&amp;"|"&amp;대상월키,기관표[키],0))&amp;"","—"),"—")))</f>
        <v/>
      </c>
      <c r="M416">
        <f>IF($X416="","",IF(NOT(COUNTIF(기관표[사번키],INDEX(합계표[사번키],$X416))+COUNTIF(월별근무지표[사번키],INDEX(합계표[사번키],$X416))&gt;0),"기관명단에 없음(다른 병원으로 발송)",IF($L416="서울병원","해당",IF(N($R416)&gt;0,"해당(말일 근무)",IF($L416="—","대상월 기관명단 없음(추가 필요)","비해당")))))</f>
        <v/>
      </c>
      <c r="N416" s="20">
        <f>IF($X416="","",SUMIFS(상세표[06~07시],상세표[사번키],INDEX(합계표[사번키],$X416),상세표[반영월],대상월키,상세표[반영 기관],"서울병원"))</f>
        <v/>
      </c>
      <c r="O416" s="20">
        <f>IF($X416="","",SUMIFS(상세표[07~18시],상세표[사번키],INDEX(합계표[사번키],$X416),상세표[반영월],대상월키,상세표[반영 기관],"서울병원"))</f>
        <v/>
      </c>
      <c r="P416" s="20">
        <f>IF($X416="","",SUMIFS(상세표[18~22시],상세표[사번키],INDEX(합계표[사번키],$X416),상세표[반영월],대상월키,상세표[반영 기관],"서울병원"))</f>
        <v/>
      </c>
      <c r="Q416" s="20">
        <f>IF($X416="","",SUMIFS(상세표[22~06시],상세표[사번키],INDEX(합계표[사번키],$X416),상세표[반영월],대상월키,상세표[반영 기관],"서울병원"))</f>
        <v/>
      </c>
      <c r="R416" s="20">
        <f>IF($X416="","",SUM($N416:$Q416))</f>
        <v/>
      </c>
      <c r="S416">
        <f>IF($X416="","",COUNTIFS(상세표[사번키],INDEX(합계표[사번키],$X416),상세표[반영월],대상월키,상세표[야간당직],1,상세표[야간 구분],"평일"))</f>
        <v/>
      </c>
      <c r="T416">
        <f>IF($X416="","",COUNTIFS(상세표[사번키],INDEX(합계표[사번키],$X416),상세표[반영월],대상월키,상세표[야간당직],1,상세표[야간 구분],"휴일"))</f>
        <v/>
      </c>
      <c r="U416">
        <f>IF($X416="","",COUNTIFS(상세표[사번키],INDEX(합계표[사번키],$X416),상세표[반영월],대상월키,상세표[야간당직],1,상세표[야간 구분],"평일",상세표[반영 기관],"서울병원"))</f>
        <v/>
      </c>
      <c r="V416">
        <f>IF($X416="","",COUNTIFS(상세표[사번키],INDEX(합계표[사번키],$X416),상세표[반영월],대상월키,상세표[야간당직],1,상세표[야간 구분],"휴일",상세표[반영 기관],"서울병원"))</f>
        <v/>
      </c>
      <c r="W416">
        <f>IF($X416="","",IF(ISNUMBER(MATCH(INDEX(합계표[사번키],$X416)&amp;"|"&amp;대상월키,월별근무지표[키],0)),"직접 입력",IF($L416="—","—","기관명단")))</f>
        <v/>
      </c>
      <c r="X416" s="4">
        <f>IFERROR(MATCH(411,합계표[판정순번],0),"")</f>
        <v/>
      </c>
    </row>
    <row r="417">
      <c r="A417">
        <f>IF($X417="","",INDEX(합계표[사번],$X417)&amp;"")</f>
        <v/>
      </c>
      <c r="B417">
        <f>IF($X417="","",INDEX(합계표[성명],$X417)&amp;"")</f>
        <v/>
      </c>
      <c r="C417">
        <f>IF($X417="","",INDEX(합계표[부서],$X417)&amp;"")</f>
        <v/>
      </c>
      <c r="D417">
        <f>IF($X417="","",INDEX(합계표[직위(요약)],$X417)&amp;"")</f>
        <v/>
      </c>
      <c r="E417">
        <f>IF($X417="","",INDEX(합계표[직급 공존],$X417)&amp;"")</f>
        <v/>
      </c>
      <c r="F417" s="20">
        <f>IF($X417="","",SUMIFS(합계표[시스템 합계],합계표[사번키],INDEX(합계표[사번키],$X417)))</f>
        <v/>
      </c>
      <c r="G417" s="20">
        <f>IF($X417="","",SUMIFS(상세표[기록 시간외],상세표[사번키],INDEX(합계표[사번키],$X417),상세표[기록월],대상월키))</f>
        <v/>
      </c>
      <c r="H417">
        <f>IF($X417="","",IF(ABS($F417-$G417)&lt;0.01,"일치","불일치(차이 "&amp;TEXT($G417-$F417,"0.00")&amp;")"))</f>
        <v/>
      </c>
      <c r="I417" s="20">
        <f>IF($X417="","",SUMIFS(상세표[기록 시간외],상세표[사번키],INDEX(합계표[사번키],$X417),상세표[기록월],대상월키,상세표[반영월],"&lt;&gt;"&amp;대상월키))</f>
        <v/>
      </c>
      <c r="J417" s="20">
        <f>IF($X417="","",SUMIFS(상세표[기록 시간외],상세표[사번키],INDEX(합계표[사번키],$X417),상세표[기록월],"&lt;&gt;"&amp;대상월키,상세표[반영월],대상월키))</f>
        <v/>
      </c>
      <c r="K417" s="20">
        <f>IF($X417="","",SUMIFS(상세표[기록 시간외],상세표[사번키],INDEX(합계표[사번키],$X417),상세표[반영월],대상월키))</f>
        <v/>
      </c>
      <c r="L417">
        <f>IF($X417="","",IFERROR(INDEX(월별근무지표[적용 급여병원],MATCH(INDEX(합계표[사번키],$X417)&amp;"|"&amp;대상월키,월별근무지표[키],0))&amp;"",IF(COUNTIF(기관표[사번키],INDEX(합계표[사번키],$X417))+COUNTIF(월별근무지표[사번키],INDEX(합계표[사번키],$X417))&gt;0,IFERROR(INDEX(기관표[급여지급병원(기준월)],MATCH(INDEX(합계표[사번키],$X417)&amp;"|"&amp;대상월키,기관표[키],0))&amp;"","—"),"—")))</f>
        <v/>
      </c>
      <c r="M417">
        <f>IF($X417="","",IF(NOT(COUNTIF(기관표[사번키],INDEX(합계표[사번키],$X417))+COUNTIF(월별근무지표[사번키],INDEX(합계표[사번키],$X417))&gt;0),"기관명단에 없음(다른 병원으로 발송)",IF($L417="서울병원","해당",IF(N($R417)&gt;0,"해당(말일 근무)",IF($L417="—","대상월 기관명단 없음(추가 필요)","비해당")))))</f>
        <v/>
      </c>
      <c r="N417" s="20">
        <f>IF($X417="","",SUMIFS(상세표[06~07시],상세표[사번키],INDEX(합계표[사번키],$X417),상세표[반영월],대상월키,상세표[반영 기관],"서울병원"))</f>
        <v/>
      </c>
      <c r="O417" s="20">
        <f>IF($X417="","",SUMIFS(상세표[07~18시],상세표[사번키],INDEX(합계표[사번키],$X417),상세표[반영월],대상월키,상세표[반영 기관],"서울병원"))</f>
        <v/>
      </c>
      <c r="P417" s="20">
        <f>IF($X417="","",SUMIFS(상세표[18~22시],상세표[사번키],INDEX(합계표[사번키],$X417),상세표[반영월],대상월키,상세표[반영 기관],"서울병원"))</f>
        <v/>
      </c>
      <c r="Q417" s="20">
        <f>IF($X417="","",SUMIFS(상세표[22~06시],상세표[사번키],INDEX(합계표[사번키],$X417),상세표[반영월],대상월키,상세표[반영 기관],"서울병원"))</f>
        <v/>
      </c>
      <c r="R417" s="20">
        <f>IF($X417="","",SUM($N417:$Q417))</f>
        <v/>
      </c>
      <c r="S417">
        <f>IF($X417="","",COUNTIFS(상세표[사번키],INDEX(합계표[사번키],$X417),상세표[반영월],대상월키,상세표[야간당직],1,상세표[야간 구분],"평일"))</f>
        <v/>
      </c>
      <c r="T417">
        <f>IF($X417="","",COUNTIFS(상세표[사번키],INDEX(합계표[사번키],$X417),상세표[반영월],대상월키,상세표[야간당직],1,상세표[야간 구분],"휴일"))</f>
        <v/>
      </c>
      <c r="U417">
        <f>IF($X417="","",COUNTIFS(상세표[사번키],INDEX(합계표[사번키],$X417),상세표[반영월],대상월키,상세표[야간당직],1,상세표[야간 구분],"평일",상세표[반영 기관],"서울병원"))</f>
        <v/>
      </c>
      <c r="V417">
        <f>IF($X417="","",COUNTIFS(상세표[사번키],INDEX(합계표[사번키],$X417),상세표[반영월],대상월키,상세표[야간당직],1,상세표[야간 구분],"휴일",상세표[반영 기관],"서울병원"))</f>
        <v/>
      </c>
      <c r="W417">
        <f>IF($X417="","",IF(ISNUMBER(MATCH(INDEX(합계표[사번키],$X417)&amp;"|"&amp;대상월키,월별근무지표[키],0)),"직접 입력",IF($L417="—","—","기관명단")))</f>
        <v/>
      </c>
      <c r="X417" s="4">
        <f>IFERROR(MATCH(412,합계표[판정순번],0),"")</f>
        <v/>
      </c>
    </row>
    <row r="418">
      <c r="A418">
        <f>IF($X418="","",INDEX(합계표[사번],$X418)&amp;"")</f>
        <v/>
      </c>
      <c r="B418">
        <f>IF($X418="","",INDEX(합계표[성명],$X418)&amp;"")</f>
        <v/>
      </c>
      <c r="C418">
        <f>IF($X418="","",INDEX(합계표[부서],$X418)&amp;"")</f>
        <v/>
      </c>
      <c r="D418">
        <f>IF($X418="","",INDEX(합계표[직위(요약)],$X418)&amp;"")</f>
        <v/>
      </c>
      <c r="E418">
        <f>IF($X418="","",INDEX(합계표[직급 공존],$X418)&amp;"")</f>
        <v/>
      </c>
      <c r="F418" s="20">
        <f>IF($X418="","",SUMIFS(합계표[시스템 합계],합계표[사번키],INDEX(합계표[사번키],$X418)))</f>
        <v/>
      </c>
      <c r="G418" s="20">
        <f>IF($X418="","",SUMIFS(상세표[기록 시간외],상세표[사번키],INDEX(합계표[사번키],$X418),상세표[기록월],대상월키))</f>
        <v/>
      </c>
      <c r="H418">
        <f>IF($X418="","",IF(ABS($F418-$G418)&lt;0.01,"일치","불일치(차이 "&amp;TEXT($G418-$F418,"0.00")&amp;")"))</f>
        <v/>
      </c>
      <c r="I418" s="20">
        <f>IF($X418="","",SUMIFS(상세표[기록 시간외],상세표[사번키],INDEX(합계표[사번키],$X418),상세표[기록월],대상월키,상세표[반영월],"&lt;&gt;"&amp;대상월키))</f>
        <v/>
      </c>
      <c r="J418" s="20">
        <f>IF($X418="","",SUMIFS(상세표[기록 시간외],상세표[사번키],INDEX(합계표[사번키],$X418),상세표[기록월],"&lt;&gt;"&amp;대상월키,상세표[반영월],대상월키))</f>
        <v/>
      </c>
      <c r="K418" s="20">
        <f>IF($X418="","",SUMIFS(상세표[기록 시간외],상세표[사번키],INDEX(합계표[사번키],$X418),상세표[반영월],대상월키))</f>
        <v/>
      </c>
      <c r="L418">
        <f>IF($X418="","",IFERROR(INDEX(월별근무지표[적용 급여병원],MATCH(INDEX(합계표[사번키],$X418)&amp;"|"&amp;대상월키,월별근무지표[키],0))&amp;"",IF(COUNTIF(기관표[사번키],INDEX(합계표[사번키],$X418))+COUNTIF(월별근무지표[사번키],INDEX(합계표[사번키],$X418))&gt;0,IFERROR(INDEX(기관표[급여지급병원(기준월)],MATCH(INDEX(합계표[사번키],$X418)&amp;"|"&amp;대상월키,기관표[키],0))&amp;"","—"),"—")))</f>
        <v/>
      </c>
      <c r="M418">
        <f>IF($X418="","",IF(NOT(COUNTIF(기관표[사번키],INDEX(합계표[사번키],$X418))+COUNTIF(월별근무지표[사번키],INDEX(합계표[사번키],$X418))&gt;0),"기관명단에 없음(다른 병원으로 발송)",IF($L418="서울병원","해당",IF(N($R418)&gt;0,"해당(말일 근무)",IF($L418="—","대상월 기관명단 없음(추가 필요)","비해당")))))</f>
        <v/>
      </c>
      <c r="N418" s="20">
        <f>IF($X418="","",SUMIFS(상세표[06~07시],상세표[사번키],INDEX(합계표[사번키],$X418),상세표[반영월],대상월키,상세표[반영 기관],"서울병원"))</f>
        <v/>
      </c>
      <c r="O418" s="20">
        <f>IF($X418="","",SUMIFS(상세표[07~18시],상세표[사번키],INDEX(합계표[사번키],$X418),상세표[반영월],대상월키,상세표[반영 기관],"서울병원"))</f>
        <v/>
      </c>
      <c r="P418" s="20">
        <f>IF($X418="","",SUMIFS(상세표[18~22시],상세표[사번키],INDEX(합계표[사번키],$X418),상세표[반영월],대상월키,상세표[반영 기관],"서울병원"))</f>
        <v/>
      </c>
      <c r="Q418" s="20">
        <f>IF($X418="","",SUMIFS(상세표[22~06시],상세표[사번키],INDEX(합계표[사번키],$X418),상세표[반영월],대상월키,상세표[반영 기관],"서울병원"))</f>
        <v/>
      </c>
      <c r="R418" s="20">
        <f>IF($X418="","",SUM($N418:$Q418))</f>
        <v/>
      </c>
      <c r="S418">
        <f>IF($X418="","",COUNTIFS(상세표[사번키],INDEX(합계표[사번키],$X418),상세표[반영월],대상월키,상세표[야간당직],1,상세표[야간 구분],"평일"))</f>
        <v/>
      </c>
      <c r="T418">
        <f>IF($X418="","",COUNTIFS(상세표[사번키],INDEX(합계표[사번키],$X418),상세표[반영월],대상월키,상세표[야간당직],1,상세표[야간 구분],"휴일"))</f>
        <v/>
      </c>
      <c r="U418">
        <f>IF($X418="","",COUNTIFS(상세표[사번키],INDEX(합계표[사번키],$X418),상세표[반영월],대상월키,상세표[야간당직],1,상세표[야간 구분],"평일",상세표[반영 기관],"서울병원"))</f>
        <v/>
      </c>
      <c r="V418">
        <f>IF($X418="","",COUNTIFS(상세표[사번키],INDEX(합계표[사번키],$X418),상세표[반영월],대상월키,상세표[야간당직],1,상세표[야간 구분],"휴일",상세표[반영 기관],"서울병원"))</f>
        <v/>
      </c>
      <c r="W418">
        <f>IF($X418="","",IF(ISNUMBER(MATCH(INDEX(합계표[사번키],$X418)&amp;"|"&amp;대상월키,월별근무지표[키],0)),"직접 입력",IF($L418="—","—","기관명단")))</f>
        <v/>
      </c>
      <c r="X418" s="4">
        <f>IFERROR(MATCH(413,합계표[판정순번],0),"")</f>
        <v/>
      </c>
    </row>
    <row r="419">
      <c r="A419">
        <f>IF($X419="","",INDEX(합계표[사번],$X419)&amp;"")</f>
        <v/>
      </c>
      <c r="B419">
        <f>IF($X419="","",INDEX(합계표[성명],$X419)&amp;"")</f>
        <v/>
      </c>
      <c r="C419">
        <f>IF($X419="","",INDEX(합계표[부서],$X419)&amp;"")</f>
        <v/>
      </c>
      <c r="D419">
        <f>IF($X419="","",INDEX(합계표[직위(요약)],$X419)&amp;"")</f>
        <v/>
      </c>
      <c r="E419">
        <f>IF($X419="","",INDEX(합계표[직급 공존],$X419)&amp;"")</f>
        <v/>
      </c>
      <c r="F419" s="20">
        <f>IF($X419="","",SUMIFS(합계표[시스템 합계],합계표[사번키],INDEX(합계표[사번키],$X419)))</f>
        <v/>
      </c>
      <c r="G419" s="20">
        <f>IF($X419="","",SUMIFS(상세표[기록 시간외],상세표[사번키],INDEX(합계표[사번키],$X419),상세표[기록월],대상월키))</f>
        <v/>
      </c>
      <c r="H419">
        <f>IF($X419="","",IF(ABS($F419-$G419)&lt;0.01,"일치","불일치(차이 "&amp;TEXT($G419-$F419,"0.00")&amp;")"))</f>
        <v/>
      </c>
      <c r="I419" s="20">
        <f>IF($X419="","",SUMIFS(상세표[기록 시간외],상세표[사번키],INDEX(합계표[사번키],$X419),상세표[기록월],대상월키,상세표[반영월],"&lt;&gt;"&amp;대상월키))</f>
        <v/>
      </c>
      <c r="J419" s="20">
        <f>IF($X419="","",SUMIFS(상세표[기록 시간외],상세표[사번키],INDEX(합계표[사번키],$X419),상세표[기록월],"&lt;&gt;"&amp;대상월키,상세표[반영월],대상월키))</f>
        <v/>
      </c>
      <c r="K419" s="20">
        <f>IF($X419="","",SUMIFS(상세표[기록 시간외],상세표[사번키],INDEX(합계표[사번키],$X419),상세표[반영월],대상월키))</f>
        <v/>
      </c>
      <c r="L419">
        <f>IF($X419="","",IFERROR(INDEX(월별근무지표[적용 급여병원],MATCH(INDEX(합계표[사번키],$X419)&amp;"|"&amp;대상월키,월별근무지표[키],0))&amp;"",IF(COUNTIF(기관표[사번키],INDEX(합계표[사번키],$X419))+COUNTIF(월별근무지표[사번키],INDEX(합계표[사번키],$X419))&gt;0,IFERROR(INDEX(기관표[급여지급병원(기준월)],MATCH(INDEX(합계표[사번키],$X419)&amp;"|"&amp;대상월키,기관표[키],0))&amp;"","—"),"—")))</f>
        <v/>
      </c>
      <c r="M419">
        <f>IF($X419="","",IF(NOT(COUNTIF(기관표[사번키],INDEX(합계표[사번키],$X419))+COUNTIF(월별근무지표[사번키],INDEX(합계표[사번키],$X419))&gt;0),"기관명단에 없음(다른 병원으로 발송)",IF($L419="서울병원","해당",IF(N($R419)&gt;0,"해당(말일 근무)",IF($L419="—","대상월 기관명단 없음(추가 필요)","비해당")))))</f>
        <v/>
      </c>
      <c r="N419" s="20">
        <f>IF($X419="","",SUMIFS(상세표[06~07시],상세표[사번키],INDEX(합계표[사번키],$X419),상세표[반영월],대상월키,상세표[반영 기관],"서울병원"))</f>
        <v/>
      </c>
      <c r="O419" s="20">
        <f>IF($X419="","",SUMIFS(상세표[07~18시],상세표[사번키],INDEX(합계표[사번키],$X419),상세표[반영월],대상월키,상세표[반영 기관],"서울병원"))</f>
        <v/>
      </c>
      <c r="P419" s="20">
        <f>IF($X419="","",SUMIFS(상세표[18~22시],상세표[사번키],INDEX(합계표[사번키],$X419),상세표[반영월],대상월키,상세표[반영 기관],"서울병원"))</f>
        <v/>
      </c>
      <c r="Q419" s="20">
        <f>IF($X419="","",SUMIFS(상세표[22~06시],상세표[사번키],INDEX(합계표[사번키],$X419),상세표[반영월],대상월키,상세표[반영 기관],"서울병원"))</f>
        <v/>
      </c>
      <c r="R419" s="20">
        <f>IF($X419="","",SUM($N419:$Q419))</f>
        <v/>
      </c>
      <c r="S419">
        <f>IF($X419="","",COUNTIFS(상세표[사번키],INDEX(합계표[사번키],$X419),상세표[반영월],대상월키,상세표[야간당직],1,상세표[야간 구분],"평일"))</f>
        <v/>
      </c>
      <c r="T419">
        <f>IF($X419="","",COUNTIFS(상세표[사번키],INDEX(합계표[사번키],$X419),상세표[반영월],대상월키,상세표[야간당직],1,상세표[야간 구분],"휴일"))</f>
        <v/>
      </c>
      <c r="U419">
        <f>IF($X419="","",COUNTIFS(상세표[사번키],INDEX(합계표[사번키],$X419),상세표[반영월],대상월키,상세표[야간당직],1,상세표[야간 구분],"평일",상세표[반영 기관],"서울병원"))</f>
        <v/>
      </c>
      <c r="V419">
        <f>IF($X419="","",COUNTIFS(상세표[사번키],INDEX(합계표[사번키],$X419),상세표[반영월],대상월키,상세표[야간당직],1,상세표[야간 구분],"휴일",상세표[반영 기관],"서울병원"))</f>
        <v/>
      </c>
      <c r="W419">
        <f>IF($X419="","",IF(ISNUMBER(MATCH(INDEX(합계표[사번키],$X419)&amp;"|"&amp;대상월키,월별근무지표[키],0)),"직접 입력",IF($L419="—","—","기관명단")))</f>
        <v/>
      </c>
      <c r="X419" s="4">
        <f>IFERROR(MATCH(414,합계표[판정순번],0),"")</f>
        <v/>
      </c>
    </row>
    <row r="420">
      <c r="A420">
        <f>IF($X420="","",INDEX(합계표[사번],$X420)&amp;"")</f>
        <v/>
      </c>
      <c r="B420">
        <f>IF($X420="","",INDEX(합계표[성명],$X420)&amp;"")</f>
        <v/>
      </c>
      <c r="C420">
        <f>IF($X420="","",INDEX(합계표[부서],$X420)&amp;"")</f>
        <v/>
      </c>
      <c r="D420">
        <f>IF($X420="","",INDEX(합계표[직위(요약)],$X420)&amp;"")</f>
        <v/>
      </c>
      <c r="E420">
        <f>IF($X420="","",INDEX(합계표[직급 공존],$X420)&amp;"")</f>
        <v/>
      </c>
      <c r="F420" s="20">
        <f>IF($X420="","",SUMIFS(합계표[시스템 합계],합계표[사번키],INDEX(합계표[사번키],$X420)))</f>
        <v/>
      </c>
      <c r="G420" s="20">
        <f>IF($X420="","",SUMIFS(상세표[기록 시간외],상세표[사번키],INDEX(합계표[사번키],$X420),상세표[기록월],대상월키))</f>
        <v/>
      </c>
      <c r="H420">
        <f>IF($X420="","",IF(ABS($F420-$G420)&lt;0.01,"일치","불일치(차이 "&amp;TEXT($G420-$F420,"0.00")&amp;")"))</f>
        <v/>
      </c>
      <c r="I420" s="20">
        <f>IF($X420="","",SUMIFS(상세표[기록 시간외],상세표[사번키],INDEX(합계표[사번키],$X420),상세표[기록월],대상월키,상세표[반영월],"&lt;&gt;"&amp;대상월키))</f>
        <v/>
      </c>
      <c r="J420" s="20">
        <f>IF($X420="","",SUMIFS(상세표[기록 시간외],상세표[사번키],INDEX(합계표[사번키],$X420),상세표[기록월],"&lt;&gt;"&amp;대상월키,상세표[반영월],대상월키))</f>
        <v/>
      </c>
      <c r="K420" s="20">
        <f>IF($X420="","",SUMIFS(상세표[기록 시간외],상세표[사번키],INDEX(합계표[사번키],$X420),상세표[반영월],대상월키))</f>
        <v/>
      </c>
      <c r="L420">
        <f>IF($X420="","",IFERROR(INDEX(월별근무지표[적용 급여병원],MATCH(INDEX(합계표[사번키],$X420)&amp;"|"&amp;대상월키,월별근무지표[키],0))&amp;"",IF(COUNTIF(기관표[사번키],INDEX(합계표[사번키],$X420))+COUNTIF(월별근무지표[사번키],INDEX(합계표[사번키],$X420))&gt;0,IFERROR(INDEX(기관표[급여지급병원(기준월)],MATCH(INDEX(합계표[사번키],$X420)&amp;"|"&amp;대상월키,기관표[키],0))&amp;"","—"),"—")))</f>
        <v/>
      </c>
      <c r="M420">
        <f>IF($X420="","",IF(NOT(COUNTIF(기관표[사번키],INDEX(합계표[사번키],$X420))+COUNTIF(월별근무지표[사번키],INDEX(합계표[사번키],$X420))&gt;0),"기관명단에 없음(다른 병원으로 발송)",IF($L420="서울병원","해당",IF(N($R420)&gt;0,"해당(말일 근무)",IF($L420="—","대상월 기관명단 없음(추가 필요)","비해당")))))</f>
        <v/>
      </c>
      <c r="N420" s="20">
        <f>IF($X420="","",SUMIFS(상세표[06~07시],상세표[사번키],INDEX(합계표[사번키],$X420),상세표[반영월],대상월키,상세표[반영 기관],"서울병원"))</f>
        <v/>
      </c>
      <c r="O420" s="20">
        <f>IF($X420="","",SUMIFS(상세표[07~18시],상세표[사번키],INDEX(합계표[사번키],$X420),상세표[반영월],대상월키,상세표[반영 기관],"서울병원"))</f>
        <v/>
      </c>
      <c r="P420" s="20">
        <f>IF($X420="","",SUMIFS(상세표[18~22시],상세표[사번키],INDEX(합계표[사번키],$X420),상세표[반영월],대상월키,상세표[반영 기관],"서울병원"))</f>
        <v/>
      </c>
      <c r="Q420" s="20">
        <f>IF($X420="","",SUMIFS(상세표[22~06시],상세표[사번키],INDEX(합계표[사번키],$X420),상세표[반영월],대상월키,상세표[반영 기관],"서울병원"))</f>
        <v/>
      </c>
      <c r="R420" s="20">
        <f>IF($X420="","",SUM($N420:$Q420))</f>
        <v/>
      </c>
      <c r="S420">
        <f>IF($X420="","",COUNTIFS(상세표[사번키],INDEX(합계표[사번키],$X420),상세표[반영월],대상월키,상세표[야간당직],1,상세표[야간 구분],"평일"))</f>
        <v/>
      </c>
      <c r="T420">
        <f>IF($X420="","",COUNTIFS(상세표[사번키],INDEX(합계표[사번키],$X420),상세표[반영월],대상월키,상세표[야간당직],1,상세표[야간 구분],"휴일"))</f>
        <v/>
      </c>
      <c r="U420">
        <f>IF($X420="","",COUNTIFS(상세표[사번키],INDEX(합계표[사번키],$X420),상세표[반영월],대상월키,상세표[야간당직],1,상세표[야간 구분],"평일",상세표[반영 기관],"서울병원"))</f>
        <v/>
      </c>
      <c r="V420">
        <f>IF($X420="","",COUNTIFS(상세표[사번키],INDEX(합계표[사번키],$X420),상세표[반영월],대상월키,상세표[야간당직],1,상세표[야간 구분],"휴일",상세표[반영 기관],"서울병원"))</f>
        <v/>
      </c>
      <c r="W420">
        <f>IF($X420="","",IF(ISNUMBER(MATCH(INDEX(합계표[사번키],$X420)&amp;"|"&amp;대상월키,월별근무지표[키],0)),"직접 입력",IF($L420="—","—","기관명단")))</f>
        <v/>
      </c>
      <c r="X420" s="4">
        <f>IFERROR(MATCH(415,합계표[판정순번],0),"")</f>
        <v/>
      </c>
    </row>
    <row r="421">
      <c r="A421">
        <f>IF($X421="","",INDEX(합계표[사번],$X421)&amp;"")</f>
        <v/>
      </c>
      <c r="B421">
        <f>IF($X421="","",INDEX(합계표[성명],$X421)&amp;"")</f>
        <v/>
      </c>
      <c r="C421">
        <f>IF($X421="","",INDEX(합계표[부서],$X421)&amp;"")</f>
        <v/>
      </c>
      <c r="D421">
        <f>IF($X421="","",INDEX(합계표[직위(요약)],$X421)&amp;"")</f>
        <v/>
      </c>
      <c r="E421">
        <f>IF($X421="","",INDEX(합계표[직급 공존],$X421)&amp;"")</f>
        <v/>
      </c>
      <c r="F421" s="20">
        <f>IF($X421="","",SUMIFS(합계표[시스템 합계],합계표[사번키],INDEX(합계표[사번키],$X421)))</f>
        <v/>
      </c>
      <c r="G421" s="20">
        <f>IF($X421="","",SUMIFS(상세표[기록 시간외],상세표[사번키],INDEX(합계표[사번키],$X421),상세표[기록월],대상월키))</f>
        <v/>
      </c>
      <c r="H421">
        <f>IF($X421="","",IF(ABS($F421-$G421)&lt;0.01,"일치","불일치(차이 "&amp;TEXT($G421-$F421,"0.00")&amp;")"))</f>
        <v/>
      </c>
      <c r="I421" s="20">
        <f>IF($X421="","",SUMIFS(상세표[기록 시간외],상세표[사번키],INDEX(합계표[사번키],$X421),상세표[기록월],대상월키,상세표[반영월],"&lt;&gt;"&amp;대상월키))</f>
        <v/>
      </c>
      <c r="J421" s="20">
        <f>IF($X421="","",SUMIFS(상세표[기록 시간외],상세표[사번키],INDEX(합계표[사번키],$X421),상세표[기록월],"&lt;&gt;"&amp;대상월키,상세표[반영월],대상월키))</f>
        <v/>
      </c>
      <c r="K421" s="20">
        <f>IF($X421="","",SUMIFS(상세표[기록 시간외],상세표[사번키],INDEX(합계표[사번키],$X421),상세표[반영월],대상월키))</f>
        <v/>
      </c>
      <c r="L421">
        <f>IF($X421="","",IFERROR(INDEX(월별근무지표[적용 급여병원],MATCH(INDEX(합계표[사번키],$X421)&amp;"|"&amp;대상월키,월별근무지표[키],0))&amp;"",IF(COUNTIF(기관표[사번키],INDEX(합계표[사번키],$X421))+COUNTIF(월별근무지표[사번키],INDEX(합계표[사번키],$X421))&gt;0,IFERROR(INDEX(기관표[급여지급병원(기준월)],MATCH(INDEX(합계표[사번키],$X421)&amp;"|"&amp;대상월키,기관표[키],0))&amp;"","—"),"—")))</f>
        <v/>
      </c>
      <c r="M421">
        <f>IF($X421="","",IF(NOT(COUNTIF(기관표[사번키],INDEX(합계표[사번키],$X421))+COUNTIF(월별근무지표[사번키],INDEX(합계표[사번키],$X421))&gt;0),"기관명단에 없음(다른 병원으로 발송)",IF($L421="서울병원","해당",IF(N($R421)&gt;0,"해당(말일 근무)",IF($L421="—","대상월 기관명단 없음(추가 필요)","비해당")))))</f>
        <v/>
      </c>
      <c r="N421" s="20">
        <f>IF($X421="","",SUMIFS(상세표[06~07시],상세표[사번키],INDEX(합계표[사번키],$X421),상세표[반영월],대상월키,상세표[반영 기관],"서울병원"))</f>
        <v/>
      </c>
      <c r="O421" s="20">
        <f>IF($X421="","",SUMIFS(상세표[07~18시],상세표[사번키],INDEX(합계표[사번키],$X421),상세표[반영월],대상월키,상세표[반영 기관],"서울병원"))</f>
        <v/>
      </c>
      <c r="P421" s="20">
        <f>IF($X421="","",SUMIFS(상세표[18~22시],상세표[사번키],INDEX(합계표[사번키],$X421),상세표[반영월],대상월키,상세표[반영 기관],"서울병원"))</f>
        <v/>
      </c>
      <c r="Q421" s="20">
        <f>IF($X421="","",SUMIFS(상세표[22~06시],상세표[사번키],INDEX(합계표[사번키],$X421),상세표[반영월],대상월키,상세표[반영 기관],"서울병원"))</f>
        <v/>
      </c>
      <c r="R421" s="20">
        <f>IF($X421="","",SUM($N421:$Q421))</f>
        <v/>
      </c>
      <c r="S421">
        <f>IF($X421="","",COUNTIFS(상세표[사번키],INDEX(합계표[사번키],$X421),상세표[반영월],대상월키,상세표[야간당직],1,상세표[야간 구분],"평일"))</f>
        <v/>
      </c>
      <c r="T421">
        <f>IF($X421="","",COUNTIFS(상세표[사번키],INDEX(합계표[사번키],$X421),상세표[반영월],대상월키,상세표[야간당직],1,상세표[야간 구분],"휴일"))</f>
        <v/>
      </c>
      <c r="U421">
        <f>IF($X421="","",COUNTIFS(상세표[사번키],INDEX(합계표[사번키],$X421),상세표[반영월],대상월키,상세표[야간당직],1,상세표[야간 구분],"평일",상세표[반영 기관],"서울병원"))</f>
        <v/>
      </c>
      <c r="V421">
        <f>IF($X421="","",COUNTIFS(상세표[사번키],INDEX(합계표[사번키],$X421),상세표[반영월],대상월키,상세표[야간당직],1,상세표[야간 구분],"휴일",상세표[반영 기관],"서울병원"))</f>
        <v/>
      </c>
      <c r="W421">
        <f>IF($X421="","",IF(ISNUMBER(MATCH(INDEX(합계표[사번키],$X421)&amp;"|"&amp;대상월키,월별근무지표[키],0)),"직접 입력",IF($L421="—","—","기관명단")))</f>
        <v/>
      </c>
      <c r="X421" s="4">
        <f>IFERROR(MATCH(416,합계표[판정순번],0),"")</f>
        <v/>
      </c>
    </row>
    <row r="422">
      <c r="A422">
        <f>IF($X422="","",INDEX(합계표[사번],$X422)&amp;"")</f>
        <v/>
      </c>
      <c r="B422">
        <f>IF($X422="","",INDEX(합계표[성명],$X422)&amp;"")</f>
        <v/>
      </c>
      <c r="C422">
        <f>IF($X422="","",INDEX(합계표[부서],$X422)&amp;"")</f>
        <v/>
      </c>
      <c r="D422">
        <f>IF($X422="","",INDEX(합계표[직위(요약)],$X422)&amp;"")</f>
        <v/>
      </c>
      <c r="E422">
        <f>IF($X422="","",INDEX(합계표[직급 공존],$X422)&amp;"")</f>
        <v/>
      </c>
      <c r="F422" s="20">
        <f>IF($X422="","",SUMIFS(합계표[시스템 합계],합계표[사번키],INDEX(합계표[사번키],$X422)))</f>
        <v/>
      </c>
      <c r="G422" s="20">
        <f>IF($X422="","",SUMIFS(상세표[기록 시간외],상세표[사번키],INDEX(합계표[사번키],$X422),상세표[기록월],대상월키))</f>
        <v/>
      </c>
      <c r="H422">
        <f>IF($X422="","",IF(ABS($F422-$G422)&lt;0.01,"일치","불일치(차이 "&amp;TEXT($G422-$F422,"0.00")&amp;")"))</f>
        <v/>
      </c>
      <c r="I422" s="20">
        <f>IF($X422="","",SUMIFS(상세표[기록 시간외],상세표[사번키],INDEX(합계표[사번키],$X422),상세표[기록월],대상월키,상세표[반영월],"&lt;&gt;"&amp;대상월키))</f>
        <v/>
      </c>
      <c r="J422" s="20">
        <f>IF($X422="","",SUMIFS(상세표[기록 시간외],상세표[사번키],INDEX(합계표[사번키],$X422),상세표[기록월],"&lt;&gt;"&amp;대상월키,상세표[반영월],대상월키))</f>
        <v/>
      </c>
      <c r="K422" s="20">
        <f>IF($X422="","",SUMIFS(상세표[기록 시간외],상세표[사번키],INDEX(합계표[사번키],$X422),상세표[반영월],대상월키))</f>
        <v/>
      </c>
      <c r="L422">
        <f>IF($X422="","",IFERROR(INDEX(월별근무지표[적용 급여병원],MATCH(INDEX(합계표[사번키],$X422)&amp;"|"&amp;대상월키,월별근무지표[키],0))&amp;"",IF(COUNTIF(기관표[사번키],INDEX(합계표[사번키],$X422))+COUNTIF(월별근무지표[사번키],INDEX(합계표[사번키],$X422))&gt;0,IFERROR(INDEX(기관표[급여지급병원(기준월)],MATCH(INDEX(합계표[사번키],$X422)&amp;"|"&amp;대상월키,기관표[키],0))&amp;"","—"),"—")))</f>
        <v/>
      </c>
      <c r="M422">
        <f>IF($X422="","",IF(NOT(COUNTIF(기관표[사번키],INDEX(합계표[사번키],$X422))+COUNTIF(월별근무지표[사번키],INDEX(합계표[사번키],$X422))&gt;0),"기관명단에 없음(다른 병원으로 발송)",IF($L422="서울병원","해당",IF(N($R422)&gt;0,"해당(말일 근무)",IF($L422="—","대상월 기관명단 없음(추가 필요)","비해당")))))</f>
        <v/>
      </c>
      <c r="N422" s="20">
        <f>IF($X422="","",SUMIFS(상세표[06~07시],상세표[사번키],INDEX(합계표[사번키],$X422),상세표[반영월],대상월키,상세표[반영 기관],"서울병원"))</f>
        <v/>
      </c>
      <c r="O422" s="20">
        <f>IF($X422="","",SUMIFS(상세표[07~18시],상세표[사번키],INDEX(합계표[사번키],$X422),상세표[반영월],대상월키,상세표[반영 기관],"서울병원"))</f>
        <v/>
      </c>
      <c r="P422" s="20">
        <f>IF($X422="","",SUMIFS(상세표[18~22시],상세표[사번키],INDEX(합계표[사번키],$X422),상세표[반영월],대상월키,상세표[반영 기관],"서울병원"))</f>
        <v/>
      </c>
      <c r="Q422" s="20">
        <f>IF($X422="","",SUMIFS(상세표[22~06시],상세표[사번키],INDEX(합계표[사번키],$X422),상세표[반영월],대상월키,상세표[반영 기관],"서울병원"))</f>
        <v/>
      </c>
      <c r="R422" s="20">
        <f>IF($X422="","",SUM($N422:$Q422))</f>
        <v/>
      </c>
      <c r="S422">
        <f>IF($X422="","",COUNTIFS(상세표[사번키],INDEX(합계표[사번키],$X422),상세표[반영월],대상월키,상세표[야간당직],1,상세표[야간 구분],"평일"))</f>
        <v/>
      </c>
      <c r="T422">
        <f>IF($X422="","",COUNTIFS(상세표[사번키],INDEX(합계표[사번키],$X422),상세표[반영월],대상월키,상세표[야간당직],1,상세표[야간 구분],"휴일"))</f>
        <v/>
      </c>
      <c r="U422">
        <f>IF($X422="","",COUNTIFS(상세표[사번키],INDEX(합계표[사번키],$X422),상세표[반영월],대상월키,상세표[야간당직],1,상세표[야간 구분],"평일",상세표[반영 기관],"서울병원"))</f>
        <v/>
      </c>
      <c r="V422">
        <f>IF($X422="","",COUNTIFS(상세표[사번키],INDEX(합계표[사번키],$X422),상세표[반영월],대상월키,상세표[야간당직],1,상세표[야간 구분],"휴일",상세표[반영 기관],"서울병원"))</f>
        <v/>
      </c>
      <c r="W422">
        <f>IF($X422="","",IF(ISNUMBER(MATCH(INDEX(합계표[사번키],$X422)&amp;"|"&amp;대상월키,월별근무지표[키],0)),"직접 입력",IF($L422="—","—","기관명단")))</f>
        <v/>
      </c>
      <c r="X422" s="4">
        <f>IFERROR(MATCH(417,합계표[판정순번],0),"")</f>
        <v/>
      </c>
    </row>
    <row r="423">
      <c r="A423">
        <f>IF($X423="","",INDEX(합계표[사번],$X423)&amp;"")</f>
        <v/>
      </c>
      <c r="B423">
        <f>IF($X423="","",INDEX(합계표[성명],$X423)&amp;"")</f>
        <v/>
      </c>
      <c r="C423">
        <f>IF($X423="","",INDEX(합계표[부서],$X423)&amp;"")</f>
        <v/>
      </c>
      <c r="D423">
        <f>IF($X423="","",INDEX(합계표[직위(요약)],$X423)&amp;"")</f>
        <v/>
      </c>
      <c r="E423">
        <f>IF($X423="","",INDEX(합계표[직급 공존],$X423)&amp;"")</f>
        <v/>
      </c>
      <c r="F423" s="20">
        <f>IF($X423="","",SUMIFS(합계표[시스템 합계],합계표[사번키],INDEX(합계표[사번키],$X423)))</f>
        <v/>
      </c>
      <c r="G423" s="20">
        <f>IF($X423="","",SUMIFS(상세표[기록 시간외],상세표[사번키],INDEX(합계표[사번키],$X423),상세표[기록월],대상월키))</f>
        <v/>
      </c>
      <c r="H423">
        <f>IF($X423="","",IF(ABS($F423-$G423)&lt;0.01,"일치","불일치(차이 "&amp;TEXT($G423-$F423,"0.00")&amp;")"))</f>
        <v/>
      </c>
      <c r="I423" s="20">
        <f>IF($X423="","",SUMIFS(상세표[기록 시간외],상세표[사번키],INDEX(합계표[사번키],$X423),상세표[기록월],대상월키,상세표[반영월],"&lt;&gt;"&amp;대상월키))</f>
        <v/>
      </c>
      <c r="J423" s="20">
        <f>IF($X423="","",SUMIFS(상세표[기록 시간외],상세표[사번키],INDEX(합계표[사번키],$X423),상세표[기록월],"&lt;&gt;"&amp;대상월키,상세표[반영월],대상월키))</f>
        <v/>
      </c>
      <c r="K423" s="20">
        <f>IF($X423="","",SUMIFS(상세표[기록 시간외],상세표[사번키],INDEX(합계표[사번키],$X423),상세표[반영월],대상월키))</f>
        <v/>
      </c>
      <c r="L423">
        <f>IF($X423="","",IFERROR(INDEX(월별근무지표[적용 급여병원],MATCH(INDEX(합계표[사번키],$X423)&amp;"|"&amp;대상월키,월별근무지표[키],0))&amp;"",IF(COUNTIF(기관표[사번키],INDEX(합계표[사번키],$X423))+COUNTIF(월별근무지표[사번키],INDEX(합계표[사번키],$X423))&gt;0,IFERROR(INDEX(기관표[급여지급병원(기준월)],MATCH(INDEX(합계표[사번키],$X423)&amp;"|"&amp;대상월키,기관표[키],0))&amp;"","—"),"—")))</f>
        <v/>
      </c>
      <c r="M423">
        <f>IF($X423="","",IF(NOT(COUNTIF(기관표[사번키],INDEX(합계표[사번키],$X423))+COUNTIF(월별근무지표[사번키],INDEX(합계표[사번키],$X423))&gt;0),"기관명단에 없음(다른 병원으로 발송)",IF($L423="서울병원","해당",IF(N($R423)&gt;0,"해당(말일 근무)",IF($L423="—","대상월 기관명단 없음(추가 필요)","비해당")))))</f>
        <v/>
      </c>
      <c r="N423" s="20">
        <f>IF($X423="","",SUMIFS(상세표[06~07시],상세표[사번키],INDEX(합계표[사번키],$X423),상세표[반영월],대상월키,상세표[반영 기관],"서울병원"))</f>
        <v/>
      </c>
      <c r="O423" s="20">
        <f>IF($X423="","",SUMIFS(상세표[07~18시],상세표[사번키],INDEX(합계표[사번키],$X423),상세표[반영월],대상월키,상세표[반영 기관],"서울병원"))</f>
        <v/>
      </c>
      <c r="P423" s="20">
        <f>IF($X423="","",SUMIFS(상세표[18~22시],상세표[사번키],INDEX(합계표[사번키],$X423),상세표[반영월],대상월키,상세표[반영 기관],"서울병원"))</f>
        <v/>
      </c>
      <c r="Q423" s="20">
        <f>IF($X423="","",SUMIFS(상세표[22~06시],상세표[사번키],INDEX(합계표[사번키],$X423),상세표[반영월],대상월키,상세표[반영 기관],"서울병원"))</f>
        <v/>
      </c>
      <c r="R423" s="20">
        <f>IF($X423="","",SUM($N423:$Q423))</f>
        <v/>
      </c>
      <c r="S423">
        <f>IF($X423="","",COUNTIFS(상세표[사번키],INDEX(합계표[사번키],$X423),상세표[반영월],대상월키,상세표[야간당직],1,상세표[야간 구분],"평일"))</f>
        <v/>
      </c>
      <c r="T423">
        <f>IF($X423="","",COUNTIFS(상세표[사번키],INDEX(합계표[사번키],$X423),상세표[반영월],대상월키,상세표[야간당직],1,상세표[야간 구분],"휴일"))</f>
        <v/>
      </c>
      <c r="U423">
        <f>IF($X423="","",COUNTIFS(상세표[사번키],INDEX(합계표[사번키],$X423),상세표[반영월],대상월키,상세표[야간당직],1,상세표[야간 구분],"평일",상세표[반영 기관],"서울병원"))</f>
        <v/>
      </c>
      <c r="V423">
        <f>IF($X423="","",COUNTIFS(상세표[사번키],INDEX(합계표[사번키],$X423),상세표[반영월],대상월키,상세표[야간당직],1,상세표[야간 구분],"휴일",상세표[반영 기관],"서울병원"))</f>
        <v/>
      </c>
      <c r="W423">
        <f>IF($X423="","",IF(ISNUMBER(MATCH(INDEX(합계표[사번키],$X423)&amp;"|"&amp;대상월키,월별근무지표[키],0)),"직접 입력",IF($L423="—","—","기관명단")))</f>
        <v/>
      </c>
      <c r="X423" s="4">
        <f>IFERROR(MATCH(418,합계표[판정순번],0),"")</f>
        <v/>
      </c>
    </row>
    <row r="424">
      <c r="A424">
        <f>IF($X424="","",INDEX(합계표[사번],$X424)&amp;"")</f>
        <v/>
      </c>
      <c r="B424">
        <f>IF($X424="","",INDEX(합계표[성명],$X424)&amp;"")</f>
        <v/>
      </c>
      <c r="C424">
        <f>IF($X424="","",INDEX(합계표[부서],$X424)&amp;"")</f>
        <v/>
      </c>
      <c r="D424">
        <f>IF($X424="","",INDEX(합계표[직위(요약)],$X424)&amp;"")</f>
        <v/>
      </c>
      <c r="E424">
        <f>IF($X424="","",INDEX(합계표[직급 공존],$X424)&amp;"")</f>
        <v/>
      </c>
      <c r="F424" s="20">
        <f>IF($X424="","",SUMIFS(합계표[시스템 합계],합계표[사번키],INDEX(합계표[사번키],$X424)))</f>
        <v/>
      </c>
      <c r="G424" s="20">
        <f>IF($X424="","",SUMIFS(상세표[기록 시간외],상세표[사번키],INDEX(합계표[사번키],$X424),상세표[기록월],대상월키))</f>
        <v/>
      </c>
      <c r="H424">
        <f>IF($X424="","",IF(ABS($F424-$G424)&lt;0.01,"일치","불일치(차이 "&amp;TEXT($G424-$F424,"0.00")&amp;")"))</f>
        <v/>
      </c>
      <c r="I424" s="20">
        <f>IF($X424="","",SUMIFS(상세표[기록 시간외],상세표[사번키],INDEX(합계표[사번키],$X424),상세표[기록월],대상월키,상세표[반영월],"&lt;&gt;"&amp;대상월키))</f>
        <v/>
      </c>
      <c r="J424" s="20">
        <f>IF($X424="","",SUMIFS(상세표[기록 시간외],상세표[사번키],INDEX(합계표[사번키],$X424),상세표[기록월],"&lt;&gt;"&amp;대상월키,상세표[반영월],대상월키))</f>
        <v/>
      </c>
      <c r="K424" s="20">
        <f>IF($X424="","",SUMIFS(상세표[기록 시간외],상세표[사번키],INDEX(합계표[사번키],$X424),상세표[반영월],대상월키))</f>
        <v/>
      </c>
      <c r="L424">
        <f>IF($X424="","",IFERROR(INDEX(월별근무지표[적용 급여병원],MATCH(INDEX(합계표[사번키],$X424)&amp;"|"&amp;대상월키,월별근무지표[키],0))&amp;"",IF(COUNTIF(기관표[사번키],INDEX(합계표[사번키],$X424))+COUNTIF(월별근무지표[사번키],INDEX(합계표[사번키],$X424))&gt;0,IFERROR(INDEX(기관표[급여지급병원(기준월)],MATCH(INDEX(합계표[사번키],$X424)&amp;"|"&amp;대상월키,기관표[키],0))&amp;"","—"),"—")))</f>
        <v/>
      </c>
      <c r="M424">
        <f>IF($X424="","",IF(NOT(COUNTIF(기관표[사번키],INDEX(합계표[사번키],$X424))+COUNTIF(월별근무지표[사번키],INDEX(합계표[사번키],$X424))&gt;0),"기관명단에 없음(다른 병원으로 발송)",IF($L424="서울병원","해당",IF(N($R424)&gt;0,"해당(말일 근무)",IF($L424="—","대상월 기관명단 없음(추가 필요)","비해당")))))</f>
        <v/>
      </c>
      <c r="N424" s="20">
        <f>IF($X424="","",SUMIFS(상세표[06~07시],상세표[사번키],INDEX(합계표[사번키],$X424),상세표[반영월],대상월키,상세표[반영 기관],"서울병원"))</f>
        <v/>
      </c>
      <c r="O424" s="20">
        <f>IF($X424="","",SUMIFS(상세표[07~18시],상세표[사번키],INDEX(합계표[사번키],$X424),상세표[반영월],대상월키,상세표[반영 기관],"서울병원"))</f>
        <v/>
      </c>
      <c r="P424" s="20">
        <f>IF($X424="","",SUMIFS(상세표[18~22시],상세표[사번키],INDEX(합계표[사번키],$X424),상세표[반영월],대상월키,상세표[반영 기관],"서울병원"))</f>
        <v/>
      </c>
      <c r="Q424" s="20">
        <f>IF($X424="","",SUMIFS(상세표[22~06시],상세표[사번키],INDEX(합계표[사번키],$X424),상세표[반영월],대상월키,상세표[반영 기관],"서울병원"))</f>
        <v/>
      </c>
      <c r="R424" s="20">
        <f>IF($X424="","",SUM($N424:$Q424))</f>
        <v/>
      </c>
      <c r="S424">
        <f>IF($X424="","",COUNTIFS(상세표[사번키],INDEX(합계표[사번키],$X424),상세표[반영월],대상월키,상세표[야간당직],1,상세표[야간 구분],"평일"))</f>
        <v/>
      </c>
      <c r="T424">
        <f>IF($X424="","",COUNTIFS(상세표[사번키],INDEX(합계표[사번키],$X424),상세표[반영월],대상월키,상세표[야간당직],1,상세표[야간 구분],"휴일"))</f>
        <v/>
      </c>
      <c r="U424">
        <f>IF($X424="","",COUNTIFS(상세표[사번키],INDEX(합계표[사번키],$X424),상세표[반영월],대상월키,상세표[야간당직],1,상세표[야간 구분],"평일",상세표[반영 기관],"서울병원"))</f>
        <v/>
      </c>
      <c r="V424">
        <f>IF($X424="","",COUNTIFS(상세표[사번키],INDEX(합계표[사번키],$X424),상세표[반영월],대상월키,상세표[야간당직],1,상세표[야간 구분],"휴일",상세표[반영 기관],"서울병원"))</f>
        <v/>
      </c>
      <c r="W424">
        <f>IF($X424="","",IF(ISNUMBER(MATCH(INDEX(합계표[사번키],$X424)&amp;"|"&amp;대상월키,월별근무지표[키],0)),"직접 입력",IF($L424="—","—","기관명단")))</f>
        <v/>
      </c>
      <c r="X424" s="4">
        <f>IFERROR(MATCH(419,합계표[판정순번],0),"")</f>
        <v/>
      </c>
    </row>
    <row r="425">
      <c r="A425">
        <f>IF($X425="","",INDEX(합계표[사번],$X425)&amp;"")</f>
        <v/>
      </c>
      <c r="B425">
        <f>IF($X425="","",INDEX(합계표[성명],$X425)&amp;"")</f>
        <v/>
      </c>
      <c r="C425">
        <f>IF($X425="","",INDEX(합계표[부서],$X425)&amp;"")</f>
        <v/>
      </c>
      <c r="D425">
        <f>IF($X425="","",INDEX(합계표[직위(요약)],$X425)&amp;"")</f>
        <v/>
      </c>
      <c r="E425">
        <f>IF($X425="","",INDEX(합계표[직급 공존],$X425)&amp;"")</f>
        <v/>
      </c>
      <c r="F425" s="20">
        <f>IF($X425="","",SUMIFS(합계표[시스템 합계],합계표[사번키],INDEX(합계표[사번키],$X425)))</f>
        <v/>
      </c>
      <c r="G425" s="20">
        <f>IF($X425="","",SUMIFS(상세표[기록 시간외],상세표[사번키],INDEX(합계표[사번키],$X425),상세표[기록월],대상월키))</f>
        <v/>
      </c>
      <c r="H425">
        <f>IF($X425="","",IF(ABS($F425-$G425)&lt;0.01,"일치","불일치(차이 "&amp;TEXT($G425-$F425,"0.00")&amp;")"))</f>
        <v/>
      </c>
      <c r="I425" s="20">
        <f>IF($X425="","",SUMIFS(상세표[기록 시간외],상세표[사번키],INDEX(합계표[사번키],$X425),상세표[기록월],대상월키,상세표[반영월],"&lt;&gt;"&amp;대상월키))</f>
        <v/>
      </c>
      <c r="J425" s="20">
        <f>IF($X425="","",SUMIFS(상세표[기록 시간외],상세표[사번키],INDEX(합계표[사번키],$X425),상세표[기록월],"&lt;&gt;"&amp;대상월키,상세표[반영월],대상월키))</f>
        <v/>
      </c>
      <c r="K425" s="20">
        <f>IF($X425="","",SUMIFS(상세표[기록 시간외],상세표[사번키],INDEX(합계표[사번키],$X425),상세표[반영월],대상월키))</f>
        <v/>
      </c>
      <c r="L425">
        <f>IF($X425="","",IFERROR(INDEX(월별근무지표[적용 급여병원],MATCH(INDEX(합계표[사번키],$X425)&amp;"|"&amp;대상월키,월별근무지표[키],0))&amp;"",IF(COUNTIF(기관표[사번키],INDEX(합계표[사번키],$X425))+COUNTIF(월별근무지표[사번키],INDEX(합계표[사번키],$X425))&gt;0,IFERROR(INDEX(기관표[급여지급병원(기준월)],MATCH(INDEX(합계표[사번키],$X425)&amp;"|"&amp;대상월키,기관표[키],0))&amp;"","—"),"—")))</f>
        <v/>
      </c>
      <c r="M425">
        <f>IF($X425="","",IF(NOT(COUNTIF(기관표[사번키],INDEX(합계표[사번키],$X425))+COUNTIF(월별근무지표[사번키],INDEX(합계표[사번키],$X425))&gt;0),"기관명단에 없음(다른 병원으로 발송)",IF($L425="서울병원","해당",IF(N($R425)&gt;0,"해당(말일 근무)",IF($L425="—","대상월 기관명단 없음(추가 필요)","비해당")))))</f>
        <v/>
      </c>
      <c r="N425" s="20">
        <f>IF($X425="","",SUMIFS(상세표[06~07시],상세표[사번키],INDEX(합계표[사번키],$X425),상세표[반영월],대상월키,상세표[반영 기관],"서울병원"))</f>
        <v/>
      </c>
      <c r="O425" s="20">
        <f>IF($X425="","",SUMIFS(상세표[07~18시],상세표[사번키],INDEX(합계표[사번키],$X425),상세표[반영월],대상월키,상세표[반영 기관],"서울병원"))</f>
        <v/>
      </c>
      <c r="P425" s="20">
        <f>IF($X425="","",SUMIFS(상세표[18~22시],상세표[사번키],INDEX(합계표[사번키],$X425),상세표[반영월],대상월키,상세표[반영 기관],"서울병원"))</f>
        <v/>
      </c>
      <c r="Q425" s="20">
        <f>IF($X425="","",SUMIFS(상세표[22~06시],상세표[사번키],INDEX(합계표[사번키],$X425),상세표[반영월],대상월키,상세표[반영 기관],"서울병원"))</f>
        <v/>
      </c>
      <c r="R425" s="20">
        <f>IF($X425="","",SUM($N425:$Q425))</f>
        <v/>
      </c>
      <c r="S425">
        <f>IF($X425="","",COUNTIFS(상세표[사번키],INDEX(합계표[사번키],$X425),상세표[반영월],대상월키,상세표[야간당직],1,상세표[야간 구분],"평일"))</f>
        <v/>
      </c>
      <c r="T425">
        <f>IF($X425="","",COUNTIFS(상세표[사번키],INDEX(합계표[사번키],$X425),상세표[반영월],대상월키,상세표[야간당직],1,상세표[야간 구분],"휴일"))</f>
        <v/>
      </c>
      <c r="U425">
        <f>IF($X425="","",COUNTIFS(상세표[사번키],INDEX(합계표[사번키],$X425),상세표[반영월],대상월키,상세표[야간당직],1,상세표[야간 구분],"평일",상세표[반영 기관],"서울병원"))</f>
        <v/>
      </c>
      <c r="V425">
        <f>IF($X425="","",COUNTIFS(상세표[사번키],INDEX(합계표[사번키],$X425),상세표[반영월],대상월키,상세표[야간당직],1,상세표[야간 구분],"휴일",상세표[반영 기관],"서울병원"))</f>
        <v/>
      </c>
      <c r="W425">
        <f>IF($X425="","",IF(ISNUMBER(MATCH(INDEX(합계표[사번키],$X425)&amp;"|"&amp;대상월키,월별근무지표[키],0)),"직접 입력",IF($L425="—","—","기관명단")))</f>
        <v/>
      </c>
      <c r="X425" s="4">
        <f>IFERROR(MATCH(420,합계표[판정순번],0),"")</f>
        <v/>
      </c>
    </row>
    <row r="426">
      <c r="A426">
        <f>IF($X426="","",INDEX(합계표[사번],$X426)&amp;"")</f>
        <v/>
      </c>
      <c r="B426">
        <f>IF($X426="","",INDEX(합계표[성명],$X426)&amp;"")</f>
        <v/>
      </c>
      <c r="C426">
        <f>IF($X426="","",INDEX(합계표[부서],$X426)&amp;"")</f>
        <v/>
      </c>
      <c r="D426">
        <f>IF($X426="","",INDEX(합계표[직위(요약)],$X426)&amp;"")</f>
        <v/>
      </c>
      <c r="E426">
        <f>IF($X426="","",INDEX(합계표[직급 공존],$X426)&amp;"")</f>
        <v/>
      </c>
      <c r="F426" s="20">
        <f>IF($X426="","",SUMIFS(합계표[시스템 합계],합계표[사번키],INDEX(합계표[사번키],$X426)))</f>
        <v/>
      </c>
      <c r="G426" s="20">
        <f>IF($X426="","",SUMIFS(상세표[기록 시간외],상세표[사번키],INDEX(합계표[사번키],$X426),상세표[기록월],대상월키))</f>
        <v/>
      </c>
      <c r="H426">
        <f>IF($X426="","",IF(ABS($F426-$G426)&lt;0.01,"일치","불일치(차이 "&amp;TEXT($G426-$F426,"0.00")&amp;")"))</f>
        <v/>
      </c>
      <c r="I426" s="20">
        <f>IF($X426="","",SUMIFS(상세표[기록 시간외],상세표[사번키],INDEX(합계표[사번키],$X426),상세표[기록월],대상월키,상세표[반영월],"&lt;&gt;"&amp;대상월키))</f>
        <v/>
      </c>
      <c r="J426" s="20">
        <f>IF($X426="","",SUMIFS(상세표[기록 시간외],상세표[사번키],INDEX(합계표[사번키],$X426),상세표[기록월],"&lt;&gt;"&amp;대상월키,상세표[반영월],대상월키))</f>
        <v/>
      </c>
      <c r="K426" s="20">
        <f>IF($X426="","",SUMIFS(상세표[기록 시간외],상세표[사번키],INDEX(합계표[사번키],$X426),상세표[반영월],대상월키))</f>
        <v/>
      </c>
      <c r="L426">
        <f>IF($X426="","",IFERROR(INDEX(월별근무지표[적용 급여병원],MATCH(INDEX(합계표[사번키],$X426)&amp;"|"&amp;대상월키,월별근무지표[키],0))&amp;"",IF(COUNTIF(기관표[사번키],INDEX(합계표[사번키],$X426))+COUNTIF(월별근무지표[사번키],INDEX(합계표[사번키],$X426))&gt;0,IFERROR(INDEX(기관표[급여지급병원(기준월)],MATCH(INDEX(합계표[사번키],$X426)&amp;"|"&amp;대상월키,기관표[키],0))&amp;"","—"),"—")))</f>
        <v/>
      </c>
      <c r="M426">
        <f>IF($X426="","",IF(NOT(COUNTIF(기관표[사번키],INDEX(합계표[사번키],$X426))+COUNTIF(월별근무지표[사번키],INDEX(합계표[사번키],$X426))&gt;0),"기관명단에 없음(다른 병원으로 발송)",IF($L426="서울병원","해당",IF(N($R426)&gt;0,"해당(말일 근무)",IF($L426="—","대상월 기관명단 없음(추가 필요)","비해당")))))</f>
        <v/>
      </c>
      <c r="N426" s="20">
        <f>IF($X426="","",SUMIFS(상세표[06~07시],상세표[사번키],INDEX(합계표[사번키],$X426),상세표[반영월],대상월키,상세표[반영 기관],"서울병원"))</f>
        <v/>
      </c>
      <c r="O426" s="20">
        <f>IF($X426="","",SUMIFS(상세표[07~18시],상세표[사번키],INDEX(합계표[사번키],$X426),상세표[반영월],대상월키,상세표[반영 기관],"서울병원"))</f>
        <v/>
      </c>
      <c r="P426" s="20">
        <f>IF($X426="","",SUMIFS(상세표[18~22시],상세표[사번키],INDEX(합계표[사번키],$X426),상세표[반영월],대상월키,상세표[반영 기관],"서울병원"))</f>
        <v/>
      </c>
      <c r="Q426" s="20">
        <f>IF($X426="","",SUMIFS(상세표[22~06시],상세표[사번키],INDEX(합계표[사번키],$X426),상세표[반영월],대상월키,상세표[반영 기관],"서울병원"))</f>
        <v/>
      </c>
      <c r="R426" s="20">
        <f>IF($X426="","",SUM($N426:$Q426))</f>
        <v/>
      </c>
      <c r="S426">
        <f>IF($X426="","",COUNTIFS(상세표[사번키],INDEX(합계표[사번키],$X426),상세표[반영월],대상월키,상세표[야간당직],1,상세표[야간 구분],"평일"))</f>
        <v/>
      </c>
      <c r="T426">
        <f>IF($X426="","",COUNTIFS(상세표[사번키],INDEX(합계표[사번키],$X426),상세표[반영월],대상월키,상세표[야간당직],1,상세표[야간 구분],"휴일"))</f>
        <v/>
      </c>
      <c r="U426">
        <f>IF($X426="","",COUNTIFS(상세표[사번키],INDEX(합계표[사번키],$X426),상세표[반영월],대상월키,상세표[야간당직],1,상세표[야간 구분],"평일",상세표[반영 기관],"서울병원"))</f>
        <v/>
      </c>
      <c r="V426">
        <f>IF($X426="","",COUNTIFS(상세표[사번키],INDEX(합계표[사번키],$X426),상세표[반영월],대상월키,상세표[야간당직],1,상세표[야간 구분],"휴일",상세표[반영 기관],"서울병원"))</f>
        <v/>
      </c>
      <c r="W426">
        <f>IF($X426="","",IF(ISNUMBER(MATCH(INDEX(합계표[사번키],$X426)&amp;"|"&amp;대상월키,월별근무지표[키],0)),"직접 입력",IF($L426="—","—","기관명단")))</f>
        <v/>
      </c>
      <c r="X426" s="4">
        <f>IFERROR(MATCH(421,합계표[판정순번],0),"")</f>
        <v/>
      </c>
    </row>
    <row r="427">
      <c r="A427">
        <f>IF($X427="","",INDEX(합계표[사번],$X427)&amp;"")</f>
        <v/>
      </c>
      <c r="B427">
        <f>IF($X427="","",INDEX(합계표[성명],$X427)&amp;"")</f>
        <v/>
      </c>
      <c r="C427">
        <f>IF($X427="","",INDEX(합계표[부서],$X427)&amp;"")</f>
        <v/>
      </c>
      <c r="D427">
        <f>IF($X427="","",INDEX(합계표[직위(요약)],$X427)&amp;"")</f>
        <v/>
      </c>
      <c r="E427">
        <f>IF($X427="","",INDEX(합계표[직급 공존],$X427)&amp;"")</f>
        <v/>
      </c>
      <c r="F427" s="20">
        <f>IF($X427="","",SUMIFS(합계표[시스템 합계],합계표[사번키],INDEX(합계표[사번키],$X427)))</f>
        <v/>
      </c>
      <c r="G427" s="20">
        <f>IF($X427="","",SUMIFS(상세표[기록 시간외],상세표[사번키],INDEX(합계표[사번키],$X427),상세표[기록월],대상월키))</f>
        <v/>
      </c>
      <c r="H427">
        <f>IF($X427="","",IF(ABS($F427-$G427)&lt;0.01,"일치","불일치(차이 "&amp;TEXT($G427-$F427,"0.00")&amp;")"))</f>
        <v/>
      </c>
      <c r="I427" s="20">
        <f>IF($X427="","",SUMIFS(상세표[기록 시간외],상세표[사번키],INDEX(합계표[사번키],$X427),상세표[기록월],대상월키,상세표[반영월],"&lt;&gt;"&amp;대상월키))</f>
        <v/>
      </c>
      <c r="J427" s="20">
        <f>IF($X427="","",SUMIFS(상세표[기록 시간외],상세표[사번키],INDEX(합계표[사번키],$X427),상세표[기록월],"&lt;&gt;"&amp;대상월키,상세표[반영월],대상월키))</f>
        <v/>
      </c>
      <c r="K427" s="20">
        <f>IF($X427="","",SUMIFS(상세표[기록 시간외],상세표[사번키],INDEX(합계표[사번키],$X427),상세표[반영월],대상월키))</f>
        <v/>
      </c>
      <c r="L427">
        <f>IF($X427="","",IFERROR(INDEX(월별근무지표[적용 급여병원],MATCH(INDEX(합계표[사번키],$X427)&amp;"|"&amp;대상월키,월별근무지표[키],0))&amp;"",IF(COUNTIF(기관표[사번키],INDEX(합계표[사번키],$X427))+COUNTIF(월별근무지표[사번키],INDEX(합계표[사번키],$X427))&gt;0,IFERROR(INDEX(기관표[급여지급병원(기준월)],MATCH(INDEX(합계표[사번키],$X427)&amp;"|"&amp;대상월키,기관표[키],0))&amp;"","—"),"—")))</f>
        <v/>
      </c>
      <c r="M427">
        <f>IF($X427="","",IF(NOT(COUNTIF(기관표[사번키],INDEX(합계표[사번키],$X427))+COUNTIF(월별근무지표[사번키],INDEX(합계표[사번키],$X427))&gt;0),"기관명단에 없음(다른 병원으로 발송)",IF($L427="서울병원","해당",IF(N($R427)&gt;0,"해당(말일 근무)",IF($L427="—","대상월 기관명단 없음(추가 필요)","비해당")))))</f>
        <v/>
      </c>
      <c r="N427" s="20">
        <f>IF($X427="","",SUMIFS(상세표[06~07시],상세표[사번키],INDEX(합계표[사번키],$X427),상세표[반영월],대상월키,상세표[반영 기관],"서울병원"))</f>
        <v/>
      </c>
      <c r="O427" s="20">
        <f>IF($X427="","",SUMIFS(상세표[07~18시],상세표[사번키],INDEX(합계표[사번키],$X427),상세표[반영월],대상월키,상세표[반영 기관],"서울병원"))</f>
        <v/>
      </c>
      <c r="P427" s="20">
        <f>IF($X427="","",SUMIFS(상세표[18~22시],상세표[사번키],INDEX(합계표[사번키],$X427),상세표[반영월],대상월키,상세표[반영 기관],"서울병원"))</f>
        <v/>
      </c>
      <c r="Q427" s="20">
        <f>IF($X427="","",SUMIFS(상세표[22~06시],상세표[사번키],INDEX(합계표[사번키],$X427),상세표[반영월],대상월키,상세표[반영 기관],"서울병원"))</f>
        <v/>
      </c>
      <c r="R427" s="20">
        <f>IF($X427="","",SUM($N427:$Q427))</f>
        <v/>
      </c>
      <c r="S427">
        <f>IF($X427="","",COUNTIFS(상세표[사번키],INDEX(합계표[사번키],$X427),상세표[반영월],대상월키,상세표[야간당직],1,상세표[야간 구분],"평일"))</f>
        <v/>
      </c>
      <c r="T427">
        <f>IF($X427="","",COUNTIFS(상세표[사번키],INDEX(합계표[사번키],$X427),상세표[반영월],대상월키,상세표[야간당직],1,상세표[야간 구분],"휴일"))</f>
        <v/>
      </c>
      <c r="U427">
        <f>IF($X427="","",COUNTIFS(상세표[사번키],INDEX(합계표[사번키],$X427),상세표[반영월],대상월키,상세표[야간당직],1,상세표[야간 구분],"평일",상세표[반영 기관],"서울병원"))</f>
        <v/>
      </c>
      <c r="V427">
        <f>IF($X427="","",COUNTIFS(상세표[사번키],INDEX(합계표[사번키],$X427),상세표[반영월],대상월키,상세표[야간당직],1,상세표[야간 구분],"휴일",상세표[반영 기관],"서울병원"))</f>
        <v/>
      </c>
      <c r="W427">
        <f>IF($X427="","",IF(ISNUMBER(MATCH(INDEX(합계표[사번키],$X427)&amp;"|"&amp;대상월키,월별근무지표[키],0)),"직접 입력",IF($L427="—","—","기관명단")))</f>
        <v/>
      </c>
      <c r="X427" s="4">
        <f>IFERROR(MATCH(422,합계표[판정순번],0),"")</f>
        <v/>
      </c>
    </row>
    <row r="428">
      <c r="A428">
        <f>IF($X428="","",INDEX(합계표[사번],$X428)&amp;"")</f>
        <v/>
      </c>
      <c r="B428">
        <f>IF($X428="","",INDEX(합계표[성명],$X428)&amp;"")</f>
        <v/>
      </c>
      <c r="C428">
        <f>IF($X428="","",INDEX(합계표[부서],$X428)&amp;"")</f>
        <v/>
      </c>
      <c r="D428">
        <f>IF($X428="","",INDEX(합계표[직위(요약)],$X428)&amp;"")</f>
        <v/>
      </c>
      <c r="E428">
        <f>IF($X428="","",INDEX(합계표[직급 공존],$X428)&amp;"")</f>
        <v/>
      </c>
      <c r="F428" s="20">
        <f>IF($X428="","",SUMIFS(합계표[시스템 합계],합계표[사번키],INDEX(합계표[사번키],$X428)))</f>
        <v/>
      </c>
      <c r="G428" s="20">
        <f>IF($X428="","",SUMIFS(상세표[기록 시간외],상세표[사번키],INDEX(합계표[사번키],$X428),상세표[기록월],대상월키))</f>
        <v/>
      </c>
      <c r="H428">
        <f>IF($X428="","",IF(ABS($F428-$G428)&lt;0.01,"일치","불일치(차이 "&amp;TEXT($G428-$F428,"0.00")&amp;")"))</f>
        <v/>
      </c>
      <c r="I428" s="20">
        <f>IF($X428="","",SUMIFS(상세표[기록 시간외],상세표[사번키],INDEX(합계표[사번키],$X428),상세표[기록월],대상월키,상세표[반영월],"&lt;&gt;"&amp;대상월키))</f>
        <v/>
      </c>
      <c r="J428" s="20">
        <f>IF($X428="","",SUMIFS(상세표[기록 시간외],상세표[사번키],INDEX(합계표[사번키],$X428),상세표[기록월],"&lt;&gt;"&amp;대상월키,상세표[반영월],대상월키))</f>
        <v/>
      </c>
      <c r="K428" s="20">
        <f>IF($X428="","",SUMIFS(상세표[기록 시간외],상세표[사번키],INDEX(합계표[사번키],$X428),상세표[반영월],대상월키))</f>
        <v/>
      </c>
      <c r="L428">
        <f>IF($X428="","",IFERROR(INDEX(월별근무지표[적용 급여병원],MATCH(INDEX(합계표[사번키],$X428)&amp;"|"&amp;대상월키,월별근무지표[키],0))&amp;"",IF(COUNTIF(기관표[사번키],INDEX(합계표[사번키],$X428))+COUNTIF(월별근무지표[사번키],INDEX(합계표[사번키],$X428))&gt;0,IFERROR(INDEX(기관표[급여지급병원(기준월)],MATCH(INDEX(합계표[사번키],$X428)&amp;"|"&amp;대상월키,기관표[키],0))&amp;"","—"),"—")))</f>
        <v/>
      </c>
      <c r="M428">
        <f>IF($X428="","",IF(NOT(COUNTIF(기관표[사번키],INDEX(합계표[사번키],$X428))+COUNTIF(월별근무지표[사번키],INDEX(합계표[사번키],$X428))&gt;0),"기관명단에 없음(다른 병원으로 발송)",IF($L428="서울병원","해당",IF(N($R428)&gt;0,"해당(말일 근무)",IF($L428="—","대상월 기관명단 없음(추가 필요)","비해당")))))</f>
        <v/>
      </c>
      <c r="N428" s="20">
        <f>IF($X428="","",SUMIFS(상세표[06~07시],상세표[사번키],INDEX(합계표[사번키],$X428),상세표[반영월],대상월키,상세표[반영 기관],"서울병원"))</f>
        <v/>
      </c>
      <c r="O428" s="20">
        <f>IF($X428="","",SUMIFS(상세표[07~18시],상세표[사번키],INDEX(합계표[사번키],$X428),상세표[반영월],대상월키,상세표[반영 기관],"서울병원"))</f>
        <v/>
      </c>
      <c r="P428" s="20">
        <f>IF($X428="","",SUMIFS(상세표[18~22시],상세표[사번키],INDEX(합계표[사번키],$X428),상세표[반영월],대상월키,상세표[반영 기관],"서울병원"))</f>
        <v/>
      </c>
      <c r="Q428" s="20">
        <f>IF($X428="","",SUMIFS(상세표[22~06시],상세표[사번키],INDEX(합계표[사번키],$X428),상세표[반영월],대상월키,상세표[반영 기관],"서울병원"))</f>
        <v/>
      </c>
      <c r="R428" s="20">
        <f>IF($X428="","",SUM($N428:$Q428))</f>
        <v/>
      </c>
      <c r="S428">
        <f>IF($X428="","",COUNTIFS(상세표[사번키],INDEX(합계표[사번키],$X428),상세표[반영월],대상월키,상세표[야간당직],1,상세표[야간 구분],"평일"))</f>
        <v/>
      </c>
      <c r="T428">
        <f>IF($X428="","",COUNTIFS(상세표[사번키],INDEX(합계표[사번키],$X428),상세표[반영월],대상월키,상세표[야간당직],1,상세표[야간 구분],"휴일"))</f>
        <v/>
      </c>
      <c r="U428">
        <f>IF($X428="","",COUNTIFS(상세표[사번키],INDEX(합계표[사번키],$X428),상세표[반영월],대상월키,상세표[야간당직],1,상세표[야간 구분],"평일",상세표[반영 기관],"서울병원"))</f>
        <v/>
      </c>
      <c r="V428">
        <f>IF($X428="","",COUNTIFS(상세표[사번키],INDEX(합계표[사번키],$X428),상세표[반영월],대상월키,상세표[야간당직],1,상세표[야간 구분],"휴일",상세표[반영 기관],"서울병원"))</f>
        <v/>
      </c>
      <c r="W428">
        <f>IF($X428="","",IF(ISNUMBER(MATCH(INDEX(합계표[사번키],$X428)&amp;"|"&amp;대상월키,월별근무지표[키],0)),"직접 입력",IF($L428="—","—","기관명단")))</f>
        <v/>
      </c>
      <c r="X428" s="4">
        <f>IFERROR(MATCH(423,합계표[판정순번],0),"")</f>
        <v/>
      </c>
    </row>
    <row r="429">
      <c r="A429">
        <f>IF($X429="","",INDEX(합계표[사번],$X429)&amp;"")</f>
        <v/>
      </c>
      <c r="B429">
        <f>IF($X429="","",INDEX(합계표[성명],$X429)&amp;"")</f>
        <v/>
      </c>
      <c r="C429">
        <f>IF($X429="","",INDEX(합계표[부서],$X429)&amp;"")</f>
        <v/>
      </c>
      <c r="D429">
        <f>IF($X429="","",INDEX(합계표[직위(요약)],$X429)&amp;"")</f>
        <v/>
      </c>
      <c r="E429">
        <f>IF($X429="","",INDEX(합계표[직급 공존],$X429)&amp;"")</f>
        <v/>
      </c>
      <c r="F429" s="20">
        <f>IF($X429="","",SUMIFS(합계표[시스템 합계],합계표[사번키],INDEX(합계표[사번키],$X429)))</f>
        <v/>
      </c>
      <c r="G429" s="20">
        <f>IF($X429="","",SUMIFS(상세표[기록 시간외],상세표[사번키],INDEX(합계표[사번키],$X429),상세표[기록월],대상월키))</f>
        <v/>
      </c>
      <c r="H429">
        <f>IF($X429="","",IF(ABS($F429-$G429)&lt;0.01,"일치","불일치(차이 "&amp;TEXT($G429-$F429,"0.00")&amp;")"))</f>
        <v/>
      </c>
      <c r="I429" s="20">
        <f>IF($X429="","",SUMIFS(상세표[기록 시간외],상세표[사번키],INDEX(합계표[사번키],$X429),상세표[기록월],대상월키,상세표[반영월],"&lt;&gt;"&amp;대상월키))</f>
        <v/>
      </c>
      <c r="J429" s="20">
        <f>IF($X429="","",SUMIFS(상세표[기록 시간외],상세표[사번키],INDEX(합계표[사번키],$X429),상세표[기록월],"&lt;&gt;"&amp;대상월키,상세표[반영월],대상월키))</f>
        <v/>
      </c>
      <c r="K429" s="20">
        <f>IF($X429="","",SUMIFS(상세표[기록 시간외],상세표[사번키],INDEX(합계표[사번키],$X429),상세표[반영월],대상월키))</f>
        <v/>
      </c>
      <c r="L429">
        <f>IF($X429="","",IFERROR(INDEX(월별근무지표[적용 급여병원],MATCH(INDEX(합계표[사번키],$X429)&amp;"|"&amp;대상월키,월별근무지표[키],0))&amp;"",IF(COUNTIF(기관표[사번키],INDEX(합계표[사번키],$X429))+COUNTIF(월별근무지표[사번키],INDEX(합계표[사번키],$X429))&gt;0,IFERROR(INDEX(기관표[급여지급병원(기준월)],MATCH(INDEX(합계표[사번키],$X429)&amp;"|"&amp;대상월키,기관표[키],0))&amp;"","—"),"—")))</f>
        <v/>
      </c>
      <c r="M429">
        <f>IF($X429="","",IF(NOT(COUNTIF(기관표[사번키],INDEX(합계표[사번키],$X429))+COUNTIF(월별근무지표[사번키],INDEX(합계표[사번키],$X429))&gt;0),"기관명단에 없음(다른 병원으로 발송)",IF($L429="서울병원","해당",IF(N($R429)&gt;0,"해당(말일 근무)",IF($L429="—","대상월 기관명단 없음(추가 필요)","비해당")))))</f>
        <v/>
      </c>
      <c r="N429" s="20">
        <f>IF($X429="","",SUMIFS(상세표[06~07시],상세표[사번키],INDEX(합계표[사번키],$X429),상세표[반영월],대상월키,상세표[반영 기관],"서울병원"))</f>
        <v/>
      </c>
      <c r="O429" s="20">
        <f>IF($X429="","",SUMIFS(상세표[07~18시],상세표[사번키],INDEX(합계표[사번키],$X429),상세표[반영월],대상월키,상세표[반영 기관],"서울병원"))</f>
        <v/>
      </c>
      <c r="P429" s="20">
        <f>IF($X429="","",SUMIFS(상세표[18~22시],상세표[사번키],INDEX(합계표[사번키],$X429),상세표[반영월],대상월키,상세표[반영 기관],"서울병원"))</f>
        <v/>
      </c>
      <c r="Q429" s="20">
        <f>IF($X429="","",SUMIFS(상세표[22~06시],상세표[사번키],INDEX(합계표[사번키],$X429),상세표[반영월],대상월키,상세표[반영 기관],"서울병원"))</f>
        <v/>
      </c>
      <c r="R429" s="20">
        <f>IF($X429="","",SUM($N429:$Q429))</f>
        <v/>
      </c>
      <c r="S429">
        <f>IF($X429="","",COUNTIFS(상세표[사번키],INDEX(합계표[사번키],$X429),상세표[반영월],대상월키,상세표[야간당직],1,상세표[야간 구분],"평일"))</f>
        <v/>
      </c>
      <c r="T429">
        <f>IF($X429="","",COUNTIFS(상세표[사번키],INDEX(합계표[사번키],$X429),상세표[반영월],대상월키,상세표[야간당직],1,상세표[야간 구분],"휴일"))</f>
        <v/>
      </c>
      <c r="U429">
        <f>IF($X429="","",COUNTIFS(상세표[사번키],INDEX(합계표[사번키],$X429),상세표[반영월],대상월키,상세표[야간당직],1,상세표[야간 구분],"평일",상세표[반영 기관],"서울병원"))</f>
        <v/>
      </c>
      <c r="V429">
        <f>IF($X429="","",COUNTIFS(상세표[사번키],INDEX(합계표[사번키],$X429),상세표[반영월],대상월키,상세표[야간당직],1,상세표[야간 구분],"휴일",상세표[반영 기관],"서울병원"))</f>
        <v/>
      </c>
      <c r="W429">
        <f>IF($X429="","",IF(ISNUMBER(MATCH(INDEX(합계표[사번키],$X429)&amp;"|"&amp;대상월키,월별근무지표[키],0)),"직접 입력",IF($L429="—","—","기관명단")))</f>
        <v/>
      </c>
      <c r="X429" s="4">
        <f>IFERROR(MATCH(424,합계표[판정순번],0),"")</f>
        <v/>
      </c>
    </row>
    <row r="430">
      <c r="A430">
        <f>IF($X430="","",INDEX(합계표[사번],$X430)&amp;"")</f>
        <v/>
      </c>
      <c r="B430">
        <f>IF($X430="","",INDEX(합계표[성명],$X430)&amp;"")</f>
        <v/>
      </c>
      <c r="C430">
        <f>IF($X430="","",INDEX(합계표[부서],$X430)&amp;"")</f>
        <v/>
      </c>
      <c r="D430">
        <f>IF($X430="","",INDEX(합계표[직위(요약)],$X430)&amp;"")</f>
        <v/>
      </c>
      <c r="E430">
        <f>IF($X430="","",INDEX(합계표[직급 공존],$X430)&amp;"")</f>
        <v/>
      </c>
      <c r="F430" s="20">
        <f>IF($X430="","",SUMIFS(합계표[시스템 합계],합계표[사번키],INDEX(합계표[사번키],$X430)))</f>
        <v/>
      </c>
      <c r="G430" s="20">
        <f>IF($X430="","",SUMIFS(상세표[기록 시간외],상세표[사번키],INDEX(합계표[사번키],$X430),상세표[기록월],대상월키))</f>
        <v/>
      </c>
      <c r="H430">
        <f>IF($X430="","",IF(ABS($F430-$G430)&lt;0.01,"일치","불일치(차이 "&amp;TEXT($G430-$F430,"0.00")&amp;")"))</f>
        <v/>
      </c>
      <c r="I430" s="20">
        <f>IF($X430="","",SUMIFS(상세표[기록 시간외],상세표[사번키],INDEX(합계표[사번키],$X430),상세표[기록월],대상월키,상세표[반영월],"&lt;&gt;"&amp;대상월키))</f>
        <v/>
      </c>
      <c r="J430" s="20">
        <f>IF($X430="","",SUMIFS(상세표[기록 시간외],상세표[사번키],INDEX(합계표[사번키],$X430),상세표[기록월],"&lt;&gt;"&amp;대상월키,상세표[반영월],대상월키))</f>
        <v/>
      </c>
      <c r="K430" s="20">
        <f>IF($X430="","",SUMIFS(상세표[기록 시간외],상세표[사번키],INDEX(합계표[사번키],$X430),상세표[반영월],대상월키))</f>
        <v/>
      </c>
      <c r="L430">
        <f>IF($X430="","",IFERROR(INDEX(월별근무지표[적용 급여병원],MATCH(INDEX(합계표[사번키],$X430)&amp;"|"&amp;대상월키,월별근무지표[키],0))&amp;"",IF(COUNTIF(기관표[사번키],INDEX(합계표[사번키],$X430))+COUNTIF(월별근무지표[사번키],INDEX(합계표[사번키],$X430))&gt;0,IFERROR(INDEX(기관표[급여지급병원(기준월)],MATCH(INDEX(합계표[사번키],$X430)&amp;"|"&amp;대상월키,기관표[키],0))&amp;"","—"),"—")))</f>
        <v/>
      </c>
      <c r="M430">
        <f>IF($X430="","",IF(NOT(COUNTIF(기관표[사번키],INDEX(합계표[사번키],$X430))+COUNTIF(월별근무지표[사번키],INDEX(합계표[사번키],$X430))&gt;0),"기관명단에 없음(다른 병원으로 발송)",IF($L430="서울병원","해당",IF(N($R430)&gt;0,"해당(말일 근무)",IF($L430="—","대상월 기관명단 없음(추가 필요)","비해당")))))</f>
        <v/>
      </c>
      <c r="N430" s="20">
        <f>IF($X430="","",SUMIFS(상세표[06~07시],상세표[사번키],INDEX(합계표[사번키],$X430),상세표[반영월],대상월키,상세표[반영 기관],"서울병원"))</f>
        <v/>
      </c>
      <c r="O430" s="20">
        <f>IF($X430="","",SUMIFS(상세표[07~18시],상세표[사번키],INDEX(합계표[사번키],$X430),상세표[반영월],대상월키,상세표[반영 기관],"서울병원"))</f>
        <v/>
      </c>
      <c r="P430" s="20">
        <f>IF($X430="","",SUMIFS(상세표[18~22시],상세표[사번키],INDEX(합계표[사번키],$X430),상세표[반영월],대상월키,상세표[반영 기관],"서울병원"))</f>
        <v/>
      </c>
      <c r="Q430" s="20">
        <f>IF($X430="","",SUMIFS(상세표[22~06시],상세표[사번키],INDEX(합계표[사번키],$X430),상세표[반영월],대상월키,상세표[반영 기관],"서울병원"))</f>
        <v/>
      </c>
      <c r="R430" s="20">
        <f>IF($X430="","",SUM($N430:$Q430))</f>
        <v/>
      </c>
      <c r="S430">
        <f>IF($X430="","",COUNTIFS(상세표[사번키],INDEX(합계표[사번키],$X430),상세표[반영월],대상월키,상세표[야간당직],1,상세표[야간 구분],"평일"))</f>
        <v/>
      </c>
      <c r="T430">
        <f>IF($X430="","",COUNTIFS(상세표[사번키],INDEX(합계표[사번키],$X430),상세표[반영월],대상월키,상세표[야간당직],1,상세표[야간 구분],"휴일"))</f>
        <v/>
      </c>
      <c r="U430">
        <f>IF($X430="","",COUNTIFS(상세표[사번키],INDEX(합계표[사번키],$X430),상세표[반영월],대상월키,상세표[야간당직],1,상세표[야간 구분],"평일",상세표[반영 기관],"서울병원"))</f>
        <v/>
      </c>
      <c r="V430">
        <f>IF($X430="","",COUNTIFS(상세표[사번키],INDEX(합계표[사번키],$X430),상세표[반영월],대상월키,상세표[야간당직],1,상세표[야간 구분],"휴일",상세표[반영 기관],"서울병원"))</f>
        <v/>
      </c>
      <c r="W430">
        <f>IF($X430="","",IF(ISNUMBER(MATCH(INDEX(합계표[사번키],$X430)&amp;"|"&amp;대상월키,월별근무지표[키],0)),"직접 입력",IF($L430="—","—","기관명단")))</f>
        <v/>
      </c>
      <c r="X430" s="4">
        <f>IFERROR(MATCH(425,합계표[판정순번],0),"")</f>
        <v/>
      </c>
    </row>
    <row r="431">
      <c r="A431">
        <f>IF($X431="","",INDEX(합계표[사번],$X431)&amp;"")</f>
        <v/>
      </c>
      <c r="B431">
        <f>IF($X431="","",INDEX(합계표[성명],$X431)&amp;"")</f>
        <v/>
      </c>
      <c r="C431">
        <f>IF($X431="","",INDEX(합계표[부서],$X431)&amp;"")</f>
        <v/>
      </c>
      <c r="D431">
        <f>IF($X431="","",INDEX(합계표[직위(요약)],$X431)&amp;"")</f>
        <v/>
      </c>
      <c r="E431">
        <f>IF($X431="","",INDEX(합계표[직급 공존],$X431)&amp;"")</f>
        <v/>
      </c>
      <c r="F431" s="20">
        <f>IF($X431="","",SUMIFS(합계표[시스템 합계],합계표[사번키],INDEX(합계표[사번키],$X431)))</f>
        <v/>
      </c>
      <c r="G431" s="20">
        <f>IF($X431="","",SUMIFS(상세표[기록 시간외],상세표[사번키],INDEX(합계표[사번키],$X431),상세표[기록월],대상월키))</f>
        <v/>
      </c>
      <c r="H431">
        <f>IF($X431="","",IF(ABS($F431-$G431)&lt;0.01,"일치","불일치(차이 "&amp;TEXT($G431-$F431,"0.00")&amp;")"))</f>
        <v/>
      </c>
      <c r="I431" s="20">
        <f>IF($X431="","",SUMIFS(상세표[기록 시간외],상세표[사번키],INDEX(합계표[사번키],$X431),상세표[기록월],대상월키,상세표[반영월],"&lt;&gt;"&amp;대상월키))</f>
        <v/>
      </c>
      <c r="J431" s="20">
        <f>IF($X431="","",SUMIFS(상세표[기록 시간외],상세표[사번키],INDEX(합계표[사번키],$X431),상세표[기록월],"&lt;&gt;"&amp;대상월키,상세표[반영월],대상월키))</f>
        <v/>
      </c>
      <c r="K431" s="20">
        <f>IF($X431="","",SUMIFS(상세표[기록 시간외],상세표[사번키],INDEX(합계표[사번키],$X431),상세표[반영월],대상월키))</f>
        <v/>
      </c>
      <c r="L431">
        <f>IF($X431="","",IFERROR(INDEX(월별근무지표[적용 급여병원],MATCH(INDEX(합계표[사번키],$X431)&amp;"|"&amp;대상월키,월별근무지표[키],0))&amp;"",IF(COUNTIF(기관표[사번키],INDEX(합계표[사번키],$X431))+COUNTIF(월별근무지표[사번키],INDEX(합계표[사번키],$X431))&gt;0,IFERROR(INDEX(기관표[급여지급병원(기준월)],MATCH(INDEX(합계표[사번키],$X431)&amp;"|"&amp;대상월키,기관표[키],0))&amp;"","—"),"—")))</f>
        <v/>
      </c>
      <c r="M431">
        <f>IF($X431="","",IF(NOT(COUNTIF(기관표[사번키],INDEX(합계표[사번키],$X431))+COUNTIF(월별근무지표[사번키],INDEX(합계표[사번키],$X431))&gt;0),"기관명단에 없음(다른 병원으로 발송)",IF($L431="서울병원","해당",IF(N($R431)&gt;0,"해당(말일 근무)",IF($L431="—","대상월 기관명단 없음(추가 필요)","비해당")))))</f>
        <v/>
      </c>
      <c r="N431" s="20">
        <f>IF($X431="","",SUMIFS(상세표[06~07시],상세표[사번키],INDEX(합계표[사번키],$X431),상세표[반영월],대상월키,상세표[반영 기관],"서울병원"))</f>
        <v/>
      </c>
      <c r="O431" s="20">
        <f>IF($X431="","",SUMIFS(상세표[07~18시],상세표[사번키],INDEX(합계표[사번키],$X431),상세표[반영월],대상월키,상세표[반영 기관],"서울병원"))</f>
        <v/>
      </c>
      <c r="P431" s="20">
        <f>IF($X431="","",SUMIFS(상세표[18~22시],상세표[사번키],INDEX(합계표[사번키],$X431),상세표[반영월],대상월키,상세표[반영 기관],"서울병원"))</f>
        <v/>
      </c>
      <c r="Q431" s="20">
        <f>IF($X431="","",SUMIFS(상세표[22~06시],상세표[사번키],INDEX(합계표[사번키],$X431),상세표[반영월],대상월키,상세표[반영 기관],"서울병원"))</f>
        <v/>
      </c>
      <c r="R431" s="20">
        <f>IF($X431="","",SUM($N431:$Q431))</f>
        <v/>
      </c>
      <c r="S431">
        <f>IF($X431="","",COUNTIFS(상세표[사번키],INDEX(합계표[사번키],$X431),상세표[반영월],대상월키,상세표[야간당직],1,상세표[야간 구분],"평일"))</f>
        <v/>
      </c>
      <c r="T431">
        <f>IF($X431="","",COUNTIFS(상세표[사번키],INDEX(합계표[사번키],$X431),상세표[반영월],대상월키,상세표[야간당직],1,상세표[야간 구분],"휴일"))</f>
        <v/>
      </c>
      <c r="U431">
        <f>IF($X431="","",COUNTIFS(상세표[사번키],INDEX(합계표[사번키],$X431),상세표[반영월],대상월키,상세표[야간당직],1,상세표[야간 구분],"평일",상세표[반영 기관],"서울병원"))</f>
        <v/>
      </c>
      <c r="V431">
        <f>IF($X431="","",COUNTIFS(상세표[사번키],INDEX(합계표[사번키],$X431),상세표[반영월],대상월키,상세표[야간당직],1,상세표[야간 구분],"휴일",상세표[반영 기관],"서울병원"))</f>
        <v/>
      </c>
      <c r="W431">
        <f>IF($X431="","",IF(ISNUMBER(MATCH(INDEX(합계표[사번키],$X431)&amp;"|"&amp;대상월키,월별근무지표[키],0)),"직접 입력",IF($L431="—","—","기관명단")))</f>
        <v/>
      </c>
      <c r="X431" s="4">
        <f>IFERROR(MATCH(426,합계표[판정순번],0),"")</f>
        <v/>
      </c>
    </row>
    <row r="432">
      <c r="A432">
        <f>IF($X432="","",INDEX(합계표[사번],$X432)&amp;"")</f>
        <v/>
      </c>
      <c r="B432">
        <f>IF($X432="","",INDEX(합계표[성명],$X432)&amp;"")</f>
        <v/>
      </c>
      <c r="C432">
        <f>IF($X432="","",INDEX(합계표[부서],$X432)&amp;"")</f>
        <v/>
      </c>
      <c r="D432">
        <f>IF($X432="","",INDEX(합계표[직위(요약)],$X432)&amp;"")</f>
        <v/>
      </c>
      <c r="E432">
        <f>IF($X432="","",INDEX(합계표[직급 공존],$X432)&amp;"")</f>
        <v/>
      </c>
      <c r="F432" s="20">
        <f>IF($X432="","",SUMIFS(합계표[시스템 합계],합계표[사번키],INDEX(합계표[사번키],$X432)))</f>
        <v/>
      </c>
      <c r="G432" s="20">
        <f>IF($X432="","",SUMIFS(상세표[기록 시간외],상세표[사번키],INDEX(합계표[사번키],$X432),상세표[기록월],대상월키))</f>
        <v/>
      </c>
      <c r="H432">
        <f>IF($X432="","",IF(ABS($F432-$G432)&lt;0.01,"일치","불일치(차이 "&amp;TEXT($G432-$F432,"0.00")&amp;")"))</f>
        <v/>
      </c>
      <c r="I432" s="20">
        <f>IF($X432="","",SUMIFS(상세표[기록 시간외],상세표[사번키],INDEX(합계표[사번키],$X432),상세표[기록월],대상월키,상세표[반영월],"&lt;&gt;"&amp;대상월키))</f>
        <v/>
      </c>
      <c r="J432" s="20">
        <f>IF($X432="","",SUMIFS(상세표[기록 시간외],상세표[사번키],INDEX(합계표[사번키],$X432),상세표[기록월],"&lt;&gt;"&amp;대상월키,상세표[반영월],대상월키))</f>
        <v/>
      </c>
      <c r="K432" s="20">
        <f>IF($X432="","",SUMIFS(상세표[기록 시간외],상세표[사번키],INDEX(합계표[사번키],$X432),상세표[반영월],대상월키))</f>
        <v/>
      </c>
      <c r="L432">
        <f>IF($X432="","",IFERROR(INDEX(월별근무지표[적용 급여병원],MATCH(INDEX(합계표[사번키],$X432)&amp;"|"&amp;대상월키,월별근무지표[키],0))&amp;"",IF(COUNTIF(기관표[사번키],INDEX(합계표[사번키],$X432))+COUNTIF(월별근무지표[사번키],INDEX(합계표[사번키],$X432))&gt;0,IFERROR(INDEX(기관표[급여지급병원(기준월)],MATCH(INDEX(합계표[사번키],$X432)&amp;"|"&amp;대상월키,기관표[키],0))&amp;"","—"),"—")))</f>
        <v/>
      </c>
      <c r="M432">
        <f>IF($X432="","",IF(NOT(COUNTIF(기관표[사번키],INDEX(합계표[사번키],$X432))+COUNTIF(월별근무지표[사번키],INDEX(합계표[사번키],$X432))&gt;0),"기관명단에 없음(다른 병원으로 발송)",IF($L432="서울병원","해당",IF(N($R432)&gt;0,"해당(말일 근무)",IF($L432="—","대상월 기관명단 없음(추가 필요)","비해당")))))</f>
        <v/>
      </c>
      <c r="N432" s="20">
        <f>IF($X432="","",SUMIFS(상세표[06~07시],상세표[사번키],INDEX(합계표[사번키],$X432),상세표[반영월],대상월키,상세표[반영 기관],"서울병원"))</f>
        <v/>
      </c>
      <c r="O432" s="20">
        <f>IF($X432="","",SUMIFS(상세표[07~18시],상세표[사번키],INDEX(합계표[사번키],$X432),상세표[반영월],대상월키,상세표[반영 기관],"서울병원"))</f>
        <v/>
      </c>
      <c r="P432" s="20">
        <f>IF($X432="","",SUMIFS(상세표[18~22시],상세표[사번키],INDEX(합계표[사번키],$X432),상세표[반영월],대상월키,상세표[반영 기관],"서울병원"))</f>
        <v/>
      </c>
      <c r="Q432" s="20">
        <f>IF($X432="","",SUMIFS(상세표[22~06시],상세표[사번키],INDEX(합계표[사번키],$X432),상세표[반영월],대상월키,상세표[반영 기관],"서울병원"))</f>
        <v/>
      </c>
      <c r="R432" s="20">
        <f>IF($X432="","",SUM($N432:$Q432))</f>
        <v/>
      </c>
      <c r="S432">
        <f>IF($X432="","",COUNTIFS(상세표[사번키],INDEX(합계표[사번키],$X432),상세표[반영월],대상월키,상세표[야간당직],1,상세표[야간 구분],"평일"))</f>
        <v/>
      </c>
      <c r="T432">
        <f>IF($X432="","",COUNTIFS(상세표[사번키],INDEX(합계표[사번키],$X432),상세표[반영월],대상월키,상세표[야간당직],1,상세표[야간 구분],"휴일"))</f>
        <v/>
      </c>
      <c r="U432">
        <f>IF($X432="","",COUNTIFS(상세표[사번키],INDEX(합계표[사번키],$X432),상세표[반영월],대상월키,상세표[야간당직],1,상세표[야간 구분],"평일",상세표[반영 기관],"서울병원"))</f>
        <v/>
      </c>
      <c r="V432">
        <f>IF($X432="","",COUNTIFS(상세표[사번키],INDEX(합계표[사번키],$X432),상세표[반영월],대상월키,상세표[야간당직],1,상세표[야간 구분],"휴일",상세표[반영 기관],"서울병원"))</f>
        <v/>
      </c>
      <c r="W432">
        <f>IF($X432="","",IF(ISNUMBER(MATCH(INDEX(합계표[사번키],$X432)&amp;"|"&amp;대상월키,월별근무지표[키],0)),"직접 입력",IF($L432="—","—","기관명단")))</f>
        <v/>
      </c>
      <c r="X432" s="4">
        <f>IFERROR(MATCH(427,합계표[판정순번],0),"")</f>
        <v/>
      </c>
    </row>
    <row r="433">
      <c r="A433">
        <f>IF($X433="","",INDEX(합계표[사번],$X433)&amp;"")</f>
        <v/>
      </c>
      <c r="B433">
        <f>IF($X433="","",INDEX(합계표[성명],$X433)&amp;"")</f>
        <v/>
      </c>
      <c r="C433">
        <f>IF($X433="","",INDEX(합계표[부서],$X433)&amp;"")</f>
        <v/>
      </c>
      <c r="D433">
        <f>IF($X433="","",INDEX(합계표[직위(요약)],$X433)&amp;"")</f>
        <v/>
      </c>
      <c r="E433">
        <f>IF($X433="","",INDEX(합계표[직급 공존],$X433)&amp;"")</f>
        <v/>
      </c>
      <c r="F433" s="20">
        <f>IF($X433="","",SUMIFS(합계표[시스템 합계],합계표[사번키],INDEX(합계표[사번키],$X433)))</f>
        <v/>
      </c>
      <c r="G433" s="20">
        <f>IF($X433="","",SUMIFS(상세표[기록 시간외],상세표[사번키],INDEX(합계표[사번키],$X433),상세표[기록월],대상월키))</f>
        <v/>
      </c>
      <c r="H433">
        <f>IF($X433="","",IF(ABS($F433-$G433)&lt;0.01,"일치","불일치(차이 "&amp;TEXT($G433-$F433,"0.00")&amp;")"))</f>
        <v/>
      </c>
      <c r="I433" s="20">
        <f>IF($X433="","",SUMIFS(상세표[기록 시간외],상세표[사번키],INDEX(합계표[사번키],$X433),상세표[기록월],대상월키,상세표[반영월],"&lt;&gt;"&amp;대상월키))</f>
        <v/>
      </c>
      <c r="J433" s="20">
        <f>IF($X433="","",SUMIFS(상세표[기록 시간외],상세표[사번키],INDEX(합계표[사번키],$X433),상세표[기록월],"&lt;&gt;"&amp;대상월키,상세표[반영월],대상월키))</f>
        <v/>
      </c>
      <c r="K433" s="20">
        <f>IF($X433="","",SUMIFS(상세표[기록 시간외],상세표[사번키],INDEX(합계표[사번키],$X433),상세표[반영월],대상월키))</f>
        <v/>
      </c>
      <c r="L433">
        <f>IF($X433="","",IFERROR(INDEX(월별근무지표[적용 급여병원],MATCH(INDEX(합계표[사번키],$X433)&amp;"|"&amp;대상월키,월별근무지표[키],0))&amp;"",IF(COUNTIF(기관표[사번키],INDEX(합계표[사번키],$X433))+COUNTIF(월별근무지표[사번키],INDEX(합계표[사번키],$X433))&gt;0,IFERROR(INDEX(기관표[급여지급병원(기준월)],MATCH(INDEX(합계표[사번키],$X433)&amp;"|"&amp;대상월키,기관표[키],0))&amp;"","—"),"—")))</f>
        <v/>
      </c>
      <c r="M433">
        <f>IF($X433="","",IF(NOT(COUNTIF(기관표[사번키],INDEX(합계표[사번키],$X433))+COUNTIF(월별근무지표[사번키],INDEX(합계표[사번키],$X433))&gt;0),"기관명단에 없음(다른 병원으로 발송)",IF($L433="서울병원","해당",IF(N($R433)&gt;0,"해당(말일 근무)",IF($L433="—","대상월 기관명단 없음(추가 필요)","비해당")))))</f>
        <v/>
      </c>
      <c r="N433" s="20">
        <f>IF($X433="","",SUMIFS(상세표[06~07시],상세표[사번키],INDEX(합계표[사번키],$X433),상세표[반영월],대상월키,상세표[반영 기관],"서울병원"))</f>
        <v/>
      </c>
      <c r="O433" s="20">
        <f>IF($X433="","",SUMIFS(상세표[07~18시],상세표[사번키],INDEX(합계표[사번키],$X433),상세표[반영월],대상월키,상세표[반영 기관],"서울병원"))</f>
        <v/>
      </c>
      <c r="P433" s="20">
        <f>IF($X433="","",SUMIFS(상세표[18~22시],상세표[사번키],INDEX(합계표[사번키],$X433),상세표[반영월],대상월키,상세표[반영 기관],"서울병원"))</f>
        <v/>
      </c>
      <c r="Q433" s="20">
        <f>IF($X433="","",SUMIFS(상세표[22~06시],상세표[사번키],INDEX(합계표[사번키],$X433),상세표[반영월],대상월키,상세표[반영 기관],"서울병원"))</f>
        <v/>
      </c>
      <c r="R433" s="20">
        <f>IF($X433="","",SUM($N433:$Q433))</f>
        <v/>
      </c>
      <c r="S433">
        <f>IF($X433="","",COUNTIFS(상세표[사번키],INDEX(합계표[사번키],$X433),상세표[반영월],대상월키,상세표[야간당직],1,상세표[야간 구분],"평일"))</f>
        <v/>
      </c>
      <c r="T433">
        <f>IF($X433="","",COUNTIFS(상세표[사번키],INDEX(합계표[사번키],$X433),상세표[반영월],대상월키,상세표[야간당직],1,상세표[야간 구분],"휴일"))</f>
        <v/>
      </c>
      <c r="U433">
        <f>IF($X433="","",COUNTIFS(상세표[사번키],INDEX(합계표[사번키],$X433),상세표[반영월],대상월키,상세표[야간당직],1,상세표[야간 구분],"평일",상세표[반영 기관],"서울병원"))</f>
        <v/>
      </c>
      <c r="V433">
        <f>IF($X433="","",COUNTIFS(상세표[사번키],INDEX(합계표[사번키],$X433),상세표[반영월],대상월키,상세표[야간당직],1,상세표[야간 구분],"휴일",상세표[반영 기관],"서울병원"))</f>
        <v/>
      </c>
      <c r="W433">
        <f>IF($X433="","",IF(ISNUMBER(MATCH(INDEX(합계표[사번키],$X433)&amp;"|"&amp;대상월키,월별근무지표[키],0)),"직접 입력",IF($L433="—","—","기관명단")))</f>
        <v/>
      </c>
      <c r="X433" s="4">
        <f>IFERROR(MATCH(428,합계표[판정순번],0),"")</f>
        <v/>
      </c>
    </row>
    <row r="434">
      <c r="A434">
        <f>IF($X434="","",INDEX(합계표[사번],$X434)&amp;"")</f>
        <v/>
      </c>
      <c r="B434">
        <f>IF($X434="","",INDEX(합계표[성명],$X434)&amp;"")</f>
        <v/>
      </c>
      <c r="C434">
        <f>IF($X434="","",INDEX(합계표[부서],$X434)&amp;"")</f>
        <v/>
      </c>
      <c r="D434">
        <f>IF($X434="","",INDEX(합계표[직위(요약)],$X434)&amp;"")</f>
        <v/>
      </c>
      <c r="E434">
        <f>IF($X434="","",INDEX(합계표[직급 공존],$X434)&amp;"")</f>
        <v/>
      </c>
      <c r="F434" s="20">
        <f>IF($X434="","",SUMIFS(합계표[시스템 합계],합계표[사번키],INDEX(합계표[사번키],$X434)))</f>
        <v/>
      </c>
      <c r="G434" s="20">
        <f>IF($X434="","",SUMIFS(상세표[기록 시간외],상세표[사번키],INDEX(합계표[사번키],$X434),상세표[기록월],대상월키))</f>
        <v/>
      </c>
      <c r="H434">
        <f>IF($X434="","",IF(ABS($F434-$G434)&lt;0.01,"일치","불일치(차이 "&amp;TEXT($G434-$F434,"0.00")&amp;")"))</f>
        <v/>
      </c>
      <c r="I434" s="20">
        <f>IF($X434="","",SUMIFS(상세표[기록 시간외],상세표[사번키],INDEX(합계표[사번키],$X434),상세표[기록월],대상월키,상세표[반영월],"&lt;&gt;"&amp;대상월키))</f>
        <v/>
      </c>
      <c r="J434" s="20">
        <f>IF($X434="","",SUMIFS(상세표[기록 시간외],상세표[사번키],INDEX(합계표[사번키],$X434),상세표[기록월],"&lt;&gt;"&amp;대상월키,상세표[반영월],대상월키))</f>
        <v/>
      </c>
      <c r="K434" s="20">
        <f>IF($X434="","",SUMIFS(상세표[기록 시간외],상세표[사번키],INDEX(합계표[사번키],$X434),상세표[반영월],대상월키))</f>
        <v/>
      </c>
      <c r="L434">
        <f>IF($X434="","",IFERROR(INDEX(월별근무지표[적용 급여병원],MATCH(INDEX(합계표[사번키],$X434)&amp;"|"&amp;대상월키,월별근무지표[키],0))&amp;"",IF(COUNTIF(기관표[사번키],INDEX(합계표[사번키],$X434))+COUNTIF(월별근무지표[사번키],INDEX(합계표[사번키],$X434))&gt;0,IFERROR(INDEX(기관표[급여지급병원(기준월)],MATCH(INDEX(합계표[사번키],$X434)&amp;"|"&amp;대상월키,기관표[키],0))&amp;"","—"),"—")))</f>
        <v/>
      </c>
      <c r="M434">
        <f>IF($X434="","",IF(NOT(COUNTIF(기관표[사번키],INDEX(합계표[사번키],$X434))+COUNTIF(월별근무지표[사번키],INDEX(합계표[사번키],$X434))&gt;0),"기관명단에 없음(다른 병원으로 발송)",IF($L434="서울병원","해당",IF(N($R434)&gt;0,"해당(말일 근무)",IF($L434="—","대상월 기관명단 없음(추가 필요)","비해당")))))</f>
        <v/>
      </c>
      <c r="N434" s="20">
        <f>IF($X434="","",SUMIFS(상세표[06~07시],상세표[사번키],INDEX(합계표[사번키],$X434),상세표[반영월],대상월키,상세표[반영 기관],"서울병원"))</f>
        <v/>
      </c>
      <c r="O434" s="20">
        <f>IF($X434="","",SUMIFS(상세표[07~18시],상세표[사번키],INDEX(합계표[사번키],$X434),상세표[반영월],대상월키,상세표[반영 기관],"서울병원"))</f>
        <v/>
      </c>
      <c r="P434" s="20">
        <f>IF($X434="","",SUMIFS(상세표[18~22시],상세표[사번키],INDEX(합계표[사번키],$X434),상세표[반영월],대상월키,상세표[반영 기관],"서울병원"))</f>
        <v/>
      </c>
      <c r="Q434" s="20">
        <f>IF($X434="","",SUMIFS(상세표[22~06시],상세표[사번키],INDEX(합계표[사번키],$X434),상세표[반영월],대상월키,상세표[반영 기관],"서울병원"))</f>
        <v/>
      </c>
      <c r="R434" s="20">
        <f>IF($X434="","",SUM($N434:$Q434))</f>
        <v/>
      </c>
      <c r="S434">
        <f>IF($X434="","",COUNTIFS(상세표[사번키],INDEX(합계표[사번키],$X434),상세표[반영월],대상월키,상세표[야간당직],1,상세표[야간 구분],"평일"))</f>
        <v/>
      </c>
      <c r="T434">
        <f>IF($X434="","",COUNTIFS(상세표[사번키],INDEX(합계표[사번키],$X434),상세표[반영월],대상월키,상세표[야간당직],1,상세표[야간 구분],"휴일"))</f>
        <v/>
      </c>
      <c r="U434">
        <f>IF($X434="","",COUNTIFS(상세표[사번키],INDEX(합계표[사번키],$X434),상세표[반영월],대상월키,상세표[야간당직],1,상세표[야간 구분],"평일",상세표[반영 기관],"서울병원"))</f>
        <v/>
      </c>
      <c r="V434">
        <f>IF($X434="","",COUNTIFS(상세표[사번키],INDEX(합계표[사번키],$X434),상세표[반영월],대상월키,상세표[야간당직],1,상세표[야간 구분],"휴일",상세표[반영 기관],"서울병원"))</f>
        <v/>
      </c>
      <c r="W434">
        <f>IF($X434="","",IF(ISNUMBER(MATCH(INDEX(합계표[사번키],$X434)&amp;"|"&amp;대상월키,월별근무지표[키],0)),"직접 입력",IF($L434="—","—","기관명단")))</f>
        <v/>
      </c>
      <c r="X434" s="4">
        <f>IFERROR(MATCH(429,합계표[판정순번],0),"")</f>
        <v/>
      </c>
    </row>
    <row r="435">
      <c r="A435">
        <f>IF($X435="","",INDEX(합계표[사번],$X435)&amp;"")</f>
        <v/>
      </c>
      <c r="B435">
        <f>IF($X435="","",INDEX(합계표[성명],$X435)&amp;"")</f>
        <v/>
      </c>
      <c r="C435">
        <f>IF($X435="","",INDEX(합계표[부서],$X435)&amp;"")</f>
        <v/>
      </c>
      <c r="D435">
        <f>IF($X435="","",INDEX(합계표[직위(요약)],$X435)&amp;"")</f>
        <v/>
      </c>
      <c r="E435">
        <f>IF($X435="","",INDEX(합계표[직급 공존],$X435)&amp;"")</f>
        <v/>
      </c>
      <c r="F435" s="20">
        <f>IF($X435="","",SUMIFS(합계표[시스템 합계],합계표[사번키],INDEX(합계표[사번키],$X435)))</f>
        <v/>
      </c>
      <c r="G435" s="20">
        <f>IF($X435="","",SUMIFS(상세표[기록 시간외],상세표[사번키],INDEX(합계표[사번키],$X435),상세표[기록월],대상월키))</f>
        <v/>
      </c>
      <c r="H435">
        <f>IF($X435="","",IF(ABS($F435-$G435)&lt;0.01,"일치","불일치(차이 "&amp;TEXT($G435-$F435,"0.00")&amp;")"))</f>
        <v/>
      </c>
      <c r="I435" s="20">
        <f>IF($X435="","",SUMIFS(상세표[기록 시간외],상세표[사번키],INDEX(합계표[사번키],$X435),상세표[기록월],대상월키,상세표[반영월],"&lt;&gt;"&amp;대상월키))</f>
        <v/>
      </c>
      <c r="J435" s="20">
        <f>IF($X435="","",SUMIFS(상세표[기록 시간외],상세표[사번키],INDEX(합계표[사번키],$X435),상세표[기록월],"&lt;&gt;"&amp;대상월키,상세표[반영월],대상월키))</f>
        <v/>
      </c>
      <c r="K435" s="20">
        <f>IF($X435="","",SUMIFS(상세표[기록 시간외],상세표[사번키],INDEX(합계표[사번키],$X435),상세표[반영월],대상월키))</f>
        <v/>
      </c>
      <c r="L435">
        <f>IF($X435="","",IFERROR(INDEX(월별근무지표[적용 급여병원],MATCH(INDEX(합계표[사번키],$X435)&amp;"|"&amp;대상월키,월별근무지표[키],0))&amp;"",IF(COUNTIF(기관표[사번키],INDEX(합계표[사번키],$X435))+COUNTIF(월별근무지표[사번키],INDEX(합계표[사번키],$X435))&gt;0,IFERROR(INDEX(기관표[급여지급병원(기준월)],MATCH(INDEX(합계표[사번키],$X435)&amp;"|"&amp;대상월키,기관표[키],0))&amp;"","—"),"—")))</f>
        <v/>
      </c>
      <c r="M435">
        <f>IF($X435="","",IF(NOT(COUNTIF(기관표[사번키],INDEX(합계표[사번키],$X435))+COUNTIF(월별근무지표[사번키],INDEX(합계표[사번키],$X435))&gt;0),"기관명단에 없음(다른 병원으로 발송)",IF($L435="서울병원","해당",IF(N($R435)&gt;0,"해당(말일 근무)",IF($L435="—","대상월 기관명단 없음(추가 필요)","비해당")))))</f>
        <v/>
      </c>
      <c r="N435" s="20">
        <f>IF($X435="","",SUMIFS(상세표[06~07시],상세표[사번키],INDEX(합계표[사번키],$X435),상세표[반영월],대상월키,상세표[반영 기관],"서울병원"))</f>
        <v/>
      </c>
      <c r="O435" s="20">
        <f>IF($X435="","",SUMIFS(상세표[07~18시],상세표[사번키],INDEX(합계표[사번키],$X435),상세표[반영월],대상월키,상세표[반영 기관],"서울병원"))</f>
        <v/>
      </c>
      <c r="P435" s="20">
        <f>IF($X435="","",SUMIFS(상세표[18~22시],상세표[사번키],INDEX(합계표[사번키],$X435),상세표[반영월],대상월키,상세표[반영 기관],"서울병원"))</f>
        <v/>
      </c>
      <c r="Q435" s="20">
        <f>IF($X435="","",SUMIFS(상세표[22~06시],상세표[사번키],INDEX(합계표[사번키],$X435),상세표[반영월],대상월키,상세표[반영 기관],"서울병원"))</f>
        <v/>
      </c>
      <c r="R435" s="20">
        <f>IF($X435="","",SUM($N435:$Q435))</f>
        <v/>
      </c>
      <c r="S435">
        <f>IF($X435="","",COUNTIFS(상세표[사번키],INDEX(합계표[사번키],$X435),상세표[반영월],대상월키,상세표[야간당직],1,상세표[야간 구분],"평일"))</f>
        <v/>
      </c>
      <c r="T435">
        <f>IF($X435="","",COUNTIFS(상세표[사번키],INDEX(합계표[사번키],$X435),상세표[반영월],대상월키,상세표[야간당직],1,상세표[야간 구분],"휴일"))</f>
        <v/>
      </c>
      <c r="U435">
        <f>IF($X435="","",COUNTIFS(상세표[사번키],INDEX(합계표[사번키],$X435),상세표[반영월],대상월키,상세표[야간당직],1,상세표[야간 구분],"평일",상세표[반영 기관],"서울병원"))</f>
        <v/>
      </c>
      <c r="V435">
        <f>IF($X435="","",COUNTIFS(상세표[사번키],INDEX(합계표[사번키],$X435),상세표[반영월],대상월키,상세표[야간당직],1,상세표[야간 구분],"휴일",상세표[반영 기관],"서울병원"))</f>
        <v/>
      </c>
      <c r="W435">
        <f>IF($X435="","",IF(ISNUMBER(MATCH(INDEX(합계표[사번키],$X435)&amp;"|"&amp;대상월키,월별근무지표[키],0)),"직접 입력",IF($L435="—","—","기관명단")))</f>
        <v/>
      </c>
      <c r="X435" s="4">
        <f>IFERROR(MATCH(430,합계표[판정순번],0),"")</f>
        <v/>
      </c>
    </row>
    <row r="436">
      <c r="A436">
        <f>IF($X436="","",INDEX(합계표[사번],$X436)&amp;"")</f>
        <v/>
      </c>
      <c r="B436">
        <f>IF($X436="","",INDEX(합계표[성명],$X436)&amp;"")</f>
        <v/>
      </c>
      <c r="C436">
        <f>IF($X436="","",INDEX(합계표[부서],$X436)&amp;"")</f>
        <v/>
      </c>
      <c r="D436">
        <f>IF($X436="","",INDEX(합계표[직위(요약)],$X436)&amp;"")</f>
        <v/>
      </c>
      <c r="E436">
        <f>IF($X436="","",INDEX(합계표[직급 공존],$X436)&amp;"")</f>
        <v/>
      </c>
      <c r="F436" s="20">
        <f>IF($X436="","",SUMIFS(합계표[시스템 합계],합계표[사번키],INDEX(합계표[사번키],$X436)))</f>
        <v/>
      </c>
      <c r="G436" s="20">
        <f>IF($X436="","",SUMIFS(상세표[기록 시간외],상세표[사번키],INDEX(합계표[사번키],$X436),상세표[기록월],대상월키))</f>
        <v/>
      </c>
      <c r="H436">
        <f>IF($X436="","",IF(ABS($F436-$G436)&lt;0.01,"일치","불일치(차이 "&amp;TEXT($G436-$F436,"0.00")&amp;")"))</f>
        <v/>
      </c>
      <c r="I436" s="20">
        <f>IF($X436="","",SUMIFS(상세표[기록 시간외],상세표[사번키],INDEX(합계표[사번키],$X436),상세표[기록월],대상월키,상세표[반영월],"&lt;&gt;"&amp;대상월키))</f>
        <v/>
      </c>
      <c r="J436" s="20">
        <f>IF($X436="","",SUMIFS(상세표[기록 시간외],상세표[사번키],INDEX(합계표[사번키],$X436),상세표[기록월],"&lt;&gt;"&amp;대상월키,상세표[반영월],대상월키))</f>
        <v/>
      </c>
      <c r="K436" s="20">
        <f>IF($X436="","",SUMIFS(상세표[기록 시간외],상세표[사번키],INDEX(합계표[사번키],$X436),상세표[반영월],대상월키))</f>
        <v/>
      </c>
      <c r="L436">
        <f>IF($X436="","",IFERROR(INDEX(월별근무지표[적용 급여병원],MATCH(INDEX(합계표[사번키],$X436)&amp;"|"&amp;대상월키,월별근무지표[키],0))&amp;"",IF(COUNTIF(기관표[사번키],INDEX(합계표[사번키],$X436))+COUNTIF(월별근무지표[사번키],INDEX(합계표[사번키],$X436))&gt;0,IFERROR(INDEX(기관표[급여지급병원(기준월)],MATCH(INDEX(합계표[사번키],$X436)&amp;"|"&amp;대상월키,기관표[키],0))&amp;"","—"),"—")))</f>
        <v/>
      </c>
      <c r="M436">
        <f>IF($X436="","",IF(NOT(COUNTIF(기관표[사번키],INDEX(합계표[사번키],$X436))+COUNTIF(월별근무지표[사번키],INDEX(합계표[사번키],$X436))&gt;0),"기관명단에 없음(다른 병원으로 발송)",IF($L436="서울병원","해당",IF(N($R436)&gt;0,"해당(말일 근무)",IF($L436="—","대상월 기관명단 없음(추가 필요)","비해당")))))</f>
        <v/>
      </c>
      <c r="N436" s="20">
        <f>IF($X436="","",SUMIFS(상세표[06~07시],상세표[사번키],INDEX(합계표[사번키],$X436),상세표[반영월],대상월키,상세표[반영 기관],"서울병원"))</f>
        <v/>
      </c>
      <c r="O436" s="20">
        <f>IF($X436="","",SUMIFS(상세표[07~18시],상세표[사번키],INDEX(합계표[사번키],$X436),상세표[반영월],대상월키,상세표[반영 기관],"서울병원"))</f>
        <v/>
      </c>
      <c r="P436" s="20">
        <f>IF($X436="","",SUMIFS(상세표[18~22시],상세표[사번키],INDEX(합계표[사번키],$X436),상세표[반영월],대상월키,상세표[반영 기관],"서울병원"))</f>
        <v/>
      </c>
      <c r="Q436" s="20">
        <f>IF($X436="","",SUMIFS(상세표[22~06시],상세표[사번키],INDEX(합계표[사번키],$X436),상세표[반영월],대상월키,상세표[반영 기관],"서울병원"))</f>
        <v/>
      </c>
      <c r="R436" s="20">
        <f>IF($X436="","",SUM($N436:$Q436))</f>
        <v/>
      </c>
      <c r="S436">
        <f>IF($X436="","",COUNTIFS(상세표[사번키],INDEX(합계표[사번키],$X436),상세표[반영월],대상월키,상세표[야간당직],1,상세표[야간 구분],"평일"))</f>
        <v/>
      </c>
      <c r="T436">
        <f>IF($X436="","",COUNTIFS(상세표[사번키],INDEX(합계표[사번키],$X436),상세표[반영월],대상월키,상세표[야간당직],1,상세표[야간 구분],"휴일"))</f>
        <v/>
      </c>
      <c r="U436">
        <f>IF($X436="","",COUNTIFS(상세표[사번키],INDEX(합계표[사번키],$X436),상세표[반영월],대상월키,상세표[야간당직],1,상세표[야간 구분],"평일",상세표[반영 기관],"서울병원"))</f>
        <v/>
      </c>
      <c r="V436">
        <f>IF($X436="","",COUNTIFS(상세표[사번키],INDEX(합계표[사번키],$X436),상세표[반영월],대상월키,상세표[야간당직],1,상세표[야간 구분],"휴일",상세표[반영 기관],"서울병원"))</f>
        <v/>
      </c>
      <c r="W436">
        <f>IF($X436="","",IF(ISNUMBER(MATCH(INDEX(합계표[사번키],$X436)&amp;"|"&amp;대상월키,월별근무지표[키],0)),"직접 입력",IF($L436="—","—","기관명단")))</f>
        <v/>
      </c>
      <c r="X436" s="4">
        <f>IFERROR(MATCH(431,합계표[판정순번],0),"")</f>
        <v/>
      </c>
    </row>
    <row r="437">
      <c r="A437">
        <f>IF($X437="","",INDEX(합계표[사번],$X437)&amp;"")</f>
        <v/>
      </c>
      <c r="B437">
        <f>IF($X437="","",INDEX(합계표[성명],$X437)&amp;"")</f>
        <v/>
      </c>
      <c r="C437">
        <f>IF($X437="","",INDEX(합계표[부서],$X437)&amp;"")</f>
        <v/>
      </c>
      <c r="D437">
        <f>IF($X437="","",INDEX(합계표[직위(요약)],$X437)&amp;"")</f>
        <v/>
      </c>
      <c r="E437">
        <f>IF($X437="","",INDEX(합계표[직급 공존],$X437)&amp;"")</f>
        <v/>
      </c>
      <c r="F437" s="20">
        <f>IF($X437="","",SUMIFS(합계표[시스템 합계],합계표[사번키],INDEX(합계표[사번키],$X437)))</f>
        <v/>
      </c>
      <c r="G437" s="20">
        <f>IF($X437="","",SUMIFS(상세표[기록 시간외],상세표[사번키],INDEX(합계표[사번키],$X437),상세표[기록월],대상월키))</f>
        <v/>
      </c>
      <c r="H437">
        <f>IF($X437="","",IF(ABS($F437-$G437)&lt;0.01,"일치","불일치(차이 "&amp;TEXT($G437-$F437,"0.00")&amp;")"))</f>
        <v/>
      </c>
      <c r="I437" s="20">
        <f>IF($X437="","",SUMIFS(상세표[기록 시간외],상세표[사번키],INDEX(합계표[사번키],$X437),상세표[기록월],대상월키,상세표[반영월],"&lt;&gt;"&amp;대상월키))</f>
        <v/>
      </c>
      <c r="J437" s="20">
        <f>IF($X437="","",SUMIFS(상세표[기록 시간외],상세표[사번키],INDEX(합계표[사번키],$X437),상세표[기록월],"&lt;&gt;"&amp;대상월키,상세표[반영월],대상월키))</f>
        <v/>
      </c>
      <c r="K437" s="20">
        <f>IF($X437="","",SUMIFS(상세표[기록 시간외],상세표[사번키],INDEX(합계표[사번키],$X437),상세표[반영월],대상월키))</f>
        <v/>
      </c>
      <c r="L437">
        <f>IF($X437="","",IFERROR(INDEX(월별근무지표[적용 급여병원],MATCH(INDEX(합계표[사번키],$X437)&amp;"|"&amp;대상월키,월별근무지표[키],0))&amp;"",IF(COUNTIF(기관표[사번키],INDEX(합계표[사번키],$X437))+COUNTIF(월별근무지표[사번키],INDEX(합계표[사번키],$X437))&gt;0,IFERROR(INDEX(기관표[급여지급병원(기준월)],MATCH(INDEX(합계표[사번키],$X437)&amp;"|"&amp;대상월키,기관표[키],0))&amp;"","—"),"—")))</f>
        <v/>
      </c>
      <c r="M437">
        <f>IF($X437="","",IF(NOT(COUNTIF(기관표[사번키],INDEX(합계표[사번키],$X437))+COUNTIF(월별근무지표[사번키],INDEX(합계표[사번키],$X437))&gt;0),"기관명단에 없음(다른 병원으로 발송)",IF($L437="서울병원","해당",IF(N($R437)&gt;0,"해당(말일 근무)",IF($L437="—","대상월 기관명단 없음(추가 필요)","비해당")))))</f>
        <v/>
      </c>
      <c r="N437" s="20">
        <f>IF($X437="","",SUMIFS(상세표[06~07시],상세표[사번키],INDEX(합계표[사번키],$X437),상세표[반영월],대상월키,상세표[반영 기관],"서울병원"))</f>
        <v/>
      </c>
      <c r="O437" s="20">
        <f>IF($X437="","",SUMIFS(상세표[07~18시],상세표[사번키],INDEX(합계표[사번키],$X437),상세표[반영월],대상월키,상세표[반영 기관],"서울병원"))</f>
        <v/>
      </c>
      <c r="P437" s="20">
        <f>IF($X437="","",SUMIFS(상세표[18~22시],상세표[사번키],INDEX(합계표[사번키],$X437),상세표[반영월],대상월키,상세표[반영 기관],"서울병원"))</f>
        <v/>
      </c>
      <c r="Q437" s="20">
        <f>IF($X437="","",SUMIFS(상세표[22~06시],상세표[사번키],INDEX(합계표[사번키],$X437),상세표[반영월],대상월키,상세표[반영 기관],"서울병원"))</f>
        <v/>
      </c>
      <c r="R437" s="20">
        <f>IF($X437="","",SUM($N437:$Q437))</f>
        <v/>
      </c>
      <c r="S437">
        <f>IF($X437="","",COUNTIFS(상세표[사번키],INDEX(합계표[사번키],$X437),상세표[반영월],대상월키,상세표[야간당직],1,상세표[야간 구분],"평일"))</f>
        <v/>
      </c>
      <c r="T437">
        <f>IF($X437="","",COUNTIFS(상세표[사번키],INDEX(합계표[사번키],$X437),상세표[반영월],대상월키,상세표[야간당직],1,상세표[야간 구분],"휴일"))</f>
        <v/>
      </c>
      <c r="U437">
        <f>IF($X437="","",COUNTIFS(상세표[사번키],INDEX(합계표[사번키],$X437),상세표[반영월],대상월키,상세표[야간당직],1,상세표[야간 구분],"평일",상세표[반영 기관],"서울병원"))</f>
        <v/>
      </c>
      <c r="V437">
        <f>IF($X437="","",COUNTIFS(상세표[사번키],INDEX(합계표[사번키],$X437),상세표[반영월],대상월키,상세표[야간당직],1,상세표[야간 구분],"휴일",상세표[반영 기관],"서울병원"))</f>
        <v/>
      </c>
      <c r="W437">
        <f>IF($X437="","",IF(ISNUMBER(MATCH(INDEX(합계표[사번키],$X437)&amp;"|"&amp;대상월키,월별근무지표[키],0)),"직접 입력",IF($L437="—","—","기관명단")))</f>
        <v/>
      </c>
      <c r="X437" s="4">
        <f>IFERROR(MATCH(432,합계표[판정순번],0),"")</f>
        <v/>
      </c>
    </row>
    <row r="438">
      <c r="A438">
        <f>IF($X438="","",INDEX(합계표[사번],$X438)&amp;"")</f>
        <v/>
      </c>
      <c r="B438">
        <f>IF($X438="","",INDEX(합계표[성명],$X438)&amp;"")</f>
        <v/>
      </c>
      <c r="C438">
        <f>IF($X438="","",INDEX(합계표[부서],$X438)&amp;"")</f>
        <v/>
      </c>
      <c r="D438">
        <f>IF($X438="","",INDEX(합계표[직위(요약)],$X438)&amp;"")</f>
        <v/>
      </c>
      <c r="E438">
        <f>IF($X438="","",INDEX(합계표[직급 공존],$X438)&amp;"")</f>
        <v/>
      </c>
      <c r="F438" s="20">
        <f>IF($X438="","",SUMIFS(합계표[시스템 합계],합계표[사번키],INDEX(합계표[사번키],$X438)))</f>
        <v/>
      </c>
      <c r="G438" s="20">
        <f>IF($X438="","",SUMIFS(상세표[기록 시간외],상세표[사번키],INDEX(합계표[사번키],$X438),상세표[기록월],대상월키))</f>
        <v/>
      </c>
      <c r="H438">
        <f>IF($X438="","",IF(ABS($F438-$G438)&lt;0.01,"일치","불일치(차이 "&amp;TEXT($G438-$F438,"0.00")&amp;")"))</f>
        <v/>
      </c>
      <c r="I438" s="20">
        <f>IF($X438="","",SUMIFS(상세표[기록 시간외],상세표[사번키],INDEX(합계표[사번키],$X438),상세표[기록월],대상월키,상세표[반영월],"&lt;&gt;"&amp;대상월키))</f>
        <v/>
      </c>
      <c r="J438" s="20">
        <f>IF($X438="","",SUMIFS(상세표[기록 시간외],상세표[사번키],INDEX(합계표[사번키],$X438),상세표[기록월],"&lt;&gt;"&amp;대상월키,상세표[반영월],대상월키))</f>
        <v/>
      </c>
      <c r="K438" s="20">
        <f>IF($X438="","",SUMIFS(상세표[기록 시간외],상세표[사번키],INDEX(합계표[사번키],$X438),상세표[반영월],대상월키))</f>
        <v/>
      </c>
      <c r="L438">
        <f>IF($X438="","",IFERROR(INDEX(월별근무지표[적용 급여병원],MATCH(INDEX(합계표[사번키],$X438)&amp;"|"&amp;대상월키,월별근무지표[키],0))&amp;"",IF(COUNTIF(기관표[사번키],INDEX(합계표[사번키],$X438))+COUNTIF(월별근무지표[사번키],INDEX(합계표[사번키],$X438))&gt;0,IFERROR(INDEX(기관표[급여지급병원(기준월)],MATCH(INDEX(합계표[사번키],$X438)&amp;"|"&amp;대상월키,기관표[키],0))&amp;"","—"),"—")))</f>
        <v/>
      </c>
      <c r="M438">
        <f>IF($X438="","",IF(NOT(COUNTIF(기관표[사번키],INDEX(합계표[사번키],$X438))+COUNTIF(월별근무지표[사번키],INDEX(합계표[사번키],$X438))&gt;0),"기관명단에 없음(다른 병원으로 발송)",IF($L438="서울병원","해당",IF(N($R438)&gt;0,"해당(말일 근무)",IF($L438="—","대상월 기관명단 없음(추가 필요)","비해당")))))</f>
        <v/>
      </c>
      <c r="N438" s="20">
        <f>IF($X438="","",SUMIFS(상세표[06~07시],상세표[사번키],INDEX(합계표[사번키],$X438),상세표[반영월],대상월키,상세표[반영 기관],"서울병원"))</f>
        <v/>
      </c>
      <c r="O438" s="20">
        <f>IF($X438="","",SUMIFS(상세표[07~18시],상세표[사번키],INDEX(합계표[사번키],$X438),상세표[반영월],대상월키,상세표[반영 기관],"서울병원"))</f>
        <v/>
      </c>
      <c r="P438" s="20">
        <f>IF($X438="","",SUMIFS(상세표[18~22시],상세표[사번키],INDEX(합계표[사번키],$X438),상세표[반영월],대상월키,상세표[반영 기관],"서울병원"))</f>
        <v/>
      </c>
      <c r="Q438" s="20">
        <f>IF($X438="","",SUMIFS(상세표[22~06시],상세표[사번키],INDEX(합계표[사번키],$X438),상세표[반영월],대상월키,상세표[반영 기관],"서울병원"))</f>
        <v/>
      </c>
      <c r="R438" s="20">
        <f>IF($X438="","",SUM($N438:$Q438))</f>
        <v/>
      </c>
      <c r="S438">
        <f>IF($X438="","",COUNTIFS(상세표[사번키],INDEX(합계표[사번키],$X438),상세표[반영월],대상월키,상세표[야간당직],1,상세표[야간 구분],"평일"))</f>
        <v/>
      </c>
      <c r="T438">
        <f>IF($X438="","",COUNTIFS(상세표[사번키],INDEX(합계표[사번키],$X438),상세표[반영월],대상월키,상세표[야간당직],1,상세표[야간 구분],"휴일"))</f>
        <v/>
      </c>
      <c r="U438">
        <f>IF($X438="","",COUNTIFS(상세표[사번키],INDEX(합계표[사번키],$X438),상세표[반영월],대상월키,상세표[야간당직],1,상세표[야간 구분],"평일",상세표[반영 기관],"서울병원"))</f>
        <v/>
      </c>
      <c r="V438">
        <f>IF($X438="","",COUNTIFS(상세표[사번키],INDEX(합계표[사번키],$X438),상세표[반영월],대상월키,상세표[야간당직],1,상세표[야간 구분],"휴일",상세표[반영 기관],"서울병원"))</f>
        <v/>
      </c>
      <c r="W438">
        <f>IF($X438="","",IF(ISNUMBER(MATCH(INDEX(합계표[사번키],$X438)&amp;"|"&amp;대상월키,월별근무지표[키],0)),"직접 입력",IF($L438="—","—","기관명단")))</f>
        <v/>
      </c>
      <c r="X438" s="4">
        <f>IFERROR(MATCH(433,합계표[판정순번],0),"")</f>
        <v/>
      </c>
    </row>
    <row r="439">
      <c r="A439">
        <f>IF($X439="","",INDEX(합계표[사번],$X439)&amp;"")</f>
        <v/>
      </c>
      <c r="B439">
        <f>IF($X439="","",INDEX(합계표[성명],$X439)&amp;"")</f>
        <v/>
      </c>
      <c r="C439">
        <f>IF($X439="","",INDEX(합계표[부서],$X439)&amp;"")</f>
        <v/>
      </c>
      <c r="D439">
        <f>IF($X439="","",INDEX(합계표[직위(요약)],$X439)&amp;"")</f>
        <v/>
      </c>
      <c r="E439">
        <f>IF($X439="","",INDEX(합계표[직급 공존],$X439)&amp;"")</f>
        <v/>
      </c>
      <c r="F439" s="20">
        <f>IF($X439="","",SUMIFS(합계표[시스템 합계],합계표[사번키],INDEX(합계표[사번키],$X439)))</f>
        <v/>
      </c>
      <c r="G439" s="20">
        <f>IF($X439="","",SUMIFS(상세표[기록 시간외],상세표[사번키],INDEX(합계표[사번키],$X439),상세표[기록월],대상월키))</f>
        <v/>
      </c>
      <c r="H439">
        <f>IF($X439="","",IF(ABS($F439-$G439)&lt;0.01,"일치","불일치(차이 "&amp;TEXT($G439-$F439,"0.00")&amp;")"))</f>
        <v/>
      </c>
      <c r="I439" s="20">
        <f>IF($X439="","",SUMIFS(상세표[기록 시간외],상세표[사번키],INDEX(합계표[사번키],$X439),상세표[기록월],대상월키,상세표[반영월],"&lt;&gt;"&amp;대상월키))</f>
        <v/>
      </c>
      <c r="J439" s="20">
        <f>IF($X439="","",SUMIFS(상세표[기록 시간외],상세표[사번키],INDEX(합계표[사번키],$X439),상세표[기록월],"&lt;&gt;"&amp;대상월키,상세표[반영월],대상월키))</f>
        <v/>
      </c>
      <c r="K439" s="20">
        <f>IF($X439="","",SUMIFS(상세표[기록 시간외],상세표[사번키],INDEX(합계표[사번키],$X439),상세표[반영월],대상월키))</f>
        <v/>
      </c>
      <c r="L439">
        <f>IF($X439="","",IFERROR(INDEX(월별근무지표[적용 급여병원],MATCH(INDEX(합계표[사번키],$X439)&amp;"|"&amp;대상월키,월별근무지표[키],0))&amp;"",IF(COUNTIF(기관표[사번키],INDEX(합계표[사번키],$X439))+COUNTIF(월별근무지표[사번키],INDEX(합계표[사번키],$X439))&gt;0,IFERROR(INDEX(기관표[급여지급병원(기준월)],MATCH(INDEX(합계표[사번키],$X439)&amp;"|"&amp;대상월키,기관표[키],0))&amp;"","—"),"—")))</f>
        <v/>
      </c>
      <c r="M439">
        <f>IF($X439="","",IF(NOT(COUNTIF(기관표[사번키],INDEX(합계표[사번키],$X439))+COUNTIF(월별근무지표[사번키],INDEX(합계표[사번키],$X439))&gt;0),"기관명단에 없음(다른 병원으로 발송)",IF($L439="서울병원","해당",IF(N($R439)&gt;0,"해당(말일 근무)",IF($L439="—","대상월 기관명단 없음(추가 필요)","비해당")))))</f>
        <v/>
      </c>
      <c r="N439" s="20">
        <f>IF($X439="","",SUMIFS(상세표[06~07시],상세표[사번키],INDEX(합계표[사번키],$X439),상세표[반영월],대상월키,상세표[반영 기관],"서울병원"))</f>
        <v/>
      </c>
      <c r="O439" s="20">
        <f>IF($X439="","",SUMIFS(상세표[07~18시],상세표[사번키],INDEX(합계표[사번키],$X439),상세표[반영월],대상월키,상세표[반영 기관],"서울병원"))</f>
        <v/>
      </c>
      <c r="P439" s="20">
        <f>IF($X439="","",SUMIFS(상세표[18~22시],상세표[사번키],INDEX(합계표[사번키],$X439),상세표[반영월],대상월키,상세표[반영 기관],"서울병원"))</f>
        <v/>
      </c>
      <c r="Q439" s="20">
        <f>IF($X439="","",SUMIFS(상세표[22~06시],상세표[사번키],INDEX(합계표[사번키],$X439),상세표[반영월],대상월키,상세표[반영 기관],"서울병원"))</f>
        <v/>
      </c>
      <c r="R439" s="20">
        <f>IF($X439="","",SUM($N439:$Q439))</f>
        <v/>
      </c>
      <c r="S439">
        <f>IF($X439="","",COUNTIFS(상세표[사번키],INDEX(합계표[사번키],$X439),상세표[반영월],대상월키,상세표[야간당직],1,상세표[야간 구분],"평일"))</f>
        <v/>
      </c>
      <c r="T439">
        <f>IF($X439="","",COUNTIFS(상세표[사번키],INDEX(합계표[사번키],$X439),상세표[반영월],대상월키,상세표[야간당직],1,상세표[야간 구분],"휴일"))</f>
        <v/>
      </c>
      <c r="U439">
        <f>IF($X439="","",COUNTIFS(상세표[사번키],INDEX(합계표[사번키],$X439),상세표[반영월],대상월키,상세표[야간당직],1,상세표[야간 구분],"평일",상세표[반영 기관],"서울병원"))</f>
        <v/>
      </c>
      <c r="V439">
        <f>IF($X439="","",COUNTIFS(상세표[사번키],INDEX(합계표[사번키],$X439),상세표[반영월],대상월키,상세표[야간당직],1,상세표[야간 구분],"휴일",상세표[반영 기관],"서울병원"))</f>
        <v/>
      </c>
      <c r="W439">
        <f>IF($X439="","",IF(ISNUMBER(MATCH(INDEX(합계표[사번키],$X439)&amp;"|"&amp;대상월키,월별근무지표[키],0)),"직접 입력",IF($L439="—","—","기관명단")))</f>
        <v/>
      </c>
      <c r="X439" s="4">
        <f>IFERROR(MATCH(434,합계표[판정순번],0),"")</f>
        <v/>
      </c>
    </row>
    <row r="440">
      <c r="A440">
        <f>IF($X440="","",INDEX(합계표[사번],$X440)&amp;"")</f>
        <v/>
      </c>
      <c r="B440">
        <f>IF($X440="","",INDEX(합계표[성명],$X440)&amp;"")</f>
        <v/>
      </c>
      <c r="C440">
        <f>IF($X440="","",INDEX(합계표[부서],$X440)&amp;"")</f>
        <v/>
      </c>
      <c r="D440">
        <f>IF($X440="","",INDEX(합계표[직위(요약)],$X440)&amp;"")</f>
        <v/>
      </c>
      <c r="E440">
        <f>IF($X440="","",INDEX(합계표[직급 공존],$X440)&amp;"")</f>
        <v/>
      </c>
      <c r="F440" s="20">
        <f>IF($X440="","",SUMIFS(합계표[시스템 합계],합계표[사번키],INDEX(합계표[사번키],$X440)))</f>
        <v/>
      </c>
      <c r="G440" s="20">
        <f>IF($X440="","",SUMIFS(상세표[기록 시간외],상세표[사번키],INDEX(합계표[사번키],$X440),상세표[기록월],대상월키))</f>
        <v/>
      </c>
      <c r="H440">
        <f>IF($X440="","",IF(ABS($F440-$G440)&lt;0.01,"일치","불일치(차이 "&amp;TEXT($G440-$F440,"0.00")&amp;")"))</f>
        <v/>
      </c>
      <c r="I440" s="20">
        <f>IF($X440="","",SUMIFS(상세표[기록 시간외],상세표[사번키],INDEX(합계표[사번키],$X440),상세표[기록월],대상월키,상세표[반영월],"&lt;&gt;"&amp;대상월키))</f>
        <v/>
      </c>
      <c r="J440" s="20">
        <f>IF($X440="","",SUMIFS(상세표[기록 시간외],상세표[사번키],INDEX(합계표[사번키],$X440),상세표[기록월],"&lt;&gt;"&amp;대상월키,상세표[반영월],대상월키))</f>
        <v/>
      </c>
      <c r="K440" s="20">
        <f>IF($X440="","",SUMIFS(상세표[기록 시간외],상세표[사번키],INDEX(합계표[사번키],$X440),상세표[반영월],대상월키))</f>
        <v/>
      </c>
      <c r="L440">
        <f>IF($X440="","",IFERROR(INDEX(월별근무지표[적용 급여병원],MATCH(INDEX(합계표[사번키],$X440)&amp;"|"&amp;대상월키,월별근무지표[키],0))&amp;"",IF(COUNTIF(기관표[사번키],INDEX(합계표[사번키],$X440))+COUNTIF(월별근무지표[사번키],INDEX(합계표[사번키],$X440))&gt;0,IFERROR(INDEX(기관표[급여지급병원(기준월)],MATCH(INDEX(합계표[사번키],$X440)&amp;"|"&amp;대상월키,기관표[키],0))&amp;"","—"),"—")))</f>
        <v/>
      </c>
      <c r="M440">
        <f>IF($X440="","",IF(NOT(COUNTIF(기관표[사번키],INDEX(합계표[사번키],$X440))+COUNTIF(월별근무지표[사번키],INDEX(합계표[사번키],$X440))&gt;0),"기관명단에 없음(다른 병원으로 발송)",IF($L440="서울병원","해당",IF(N($R440)&gt;0,"해당(말일 근무)",IF($L440="—","대상월 기관명단 없음(추가 필요)","비해당")))))</f>
        <v/>
      </c>
      <c r="N440" s="20">
        <f>IF($X440="","",SUMIFS(상세표[06~07시],상세표[사번키],INDEX(합계표[사번키],$X440),상세표[반영월],대상월키,상세표[반영 기관],"서울병원"))</f>
        <v/>
      </c>
      <c r="O440" s="20">
        <f>IF($X440="","",SUMIFS(상세표[07~18시],상세표[사번키],INDEX(합계표[사번키],$X440),상세표[반영월],대상월키,상세표[반영 기관],"서울병원"))</f>
        <v/>
      </c>
      <c r="P440" s="20">
        <f>IF($X440="","",SUMIFS(상세표[18~22시],상세표[사번키],INDEX(합계표[사번키],$X440),상세표[반영월],대상월키,상세표[반영 기관],"서울병원"))</f>
        <v/>
      </c>
      <c r="Q440" s="20">
        <f>IF($X440="","",SUMIFS(상세표[22~06시],상세표[사번키],INDEX(합계표[사번키],$X440),상세표[반영월],대상월키,상세표[반영 기관],"서울병원"))</f>
        <v/>
      </c>
      <c r="R440" s="20">
        <f>IF($X440="","",SUM($N440:$Q440))</f>
        <v/>
      </c>
      <c r="S440">
        <f>IF($X440="","",COUNTIFS(상세표[사번키],INDEX(합계표[사번키],$X440),상세표[반영월],대상월키,상세표[야간당직],1,상세표[야간 구분],"평일"))</f>
        <v/>
      </c>
      <c r="T440">
        <f>IF($X440="","",COUNTIFS(상세표[사번키],INDEX(합계표[사번키],$X440),상세표[반영월],대상월키,상세표[야간당직],1,상세표[야간 구분],"휴일"))</f>
        <v/>
      </c>
      <c r="U440">
        <f>IF($X440="","",COUNTIFS(상세표[사번키],INDEX(합계표[사번키],$X440),상세표[반영월],대상월키,상세표[야간당직],1,상세표[야간 구분],"평일",상세표[반영 기관],"서울병원"))</f>
        <v/>
      </c>
      <c r="V440">
        <f>IF($X440="","",COUNTIFS(상세표[사번키],INDEX(합계표[사번키],$X440),상세표[반영월],대상월키,상세표[야간당직],1,상세표[야간 구분],"휴일",상세표[반영 기관],"서울병원"))</f>
        <v/>
      </c>
      <c r="W440">
        <f>IF($X440="","",IF(ISNUMBER(MATCH(INDEX(합계표[사번키],$X440)&amp;"|"&amp;대상월키,월별근무지표[키],0)),"직접 입력",IF($L440="—","—","기관명단")))</f>
        <v/>
      </c>
      <c r="X440" s="4">
        <f>IFERROR(MATCH(435,합계표[판정순번],0),"")</f>
        <v/>
      </c>
    </row>
    <row r="441">
      <c r="A441">
        <f>IF($X441="","",INDEX(합계표[사번],$X441)&amp;"")</f>
        <v/>
      </c>
      <c r="B441">
        <f>IF($X441="","",INDEX(합계표[성명],$X441)&amp;"")</f>
        <v/>
      </c>
      <c r="C441">
        <f>IF($X441="","",INDEX(합계표[부서],$X441)&amp;"")</f>
        <v/>
      </c>
      <c r="D441">
        <f>IF($X441="","",INDEX(합계표[직위(요약)],$X441)&amp;"")</f>
        <v/>
      </c>
      <c r="E441">
        <f>IF($X441="","",INDEX(합계표[직급 공존],$X441)&amp;"")</f>
        <v/>
      </c>
      <c r="F441" s="20">
        <f>IF($X441="","",SUMIFS(합계표[시스템 합계],합계표[사번키],INDEX(합계표[사번키],$X441)))</f>
        <v/>
      </c>
      <c r="G441" s="20">
        <f>IF($X441="","",SUMIFS(상세표[기록 시간외],상세표[사번키],INDEX(합계표[사번키],$X441),상세표[기록월],대상월키))</f>
        <v/>
      </c>
      <c r="H441">
        <f>IF($X441="","",IF(ABS($F441-$G441)&lt;0.01,"일치","불일치(차이 "&amp;TEXT($G441-$F441,"0.00")&amp;")"))</f>
        <v/>
      </c>
      <c r="I441" s="20">
        <f>IF($X441="","",SUMIFS(상세표[기록 시간외],상세표[사번키],INDEX(합계표[사번키],$X441),상세표[기록월],대상월키,상세표[반영월],"&lt;&gt;"&amp;대상월키))</f>
        <v/>
      </c>
      <c r="J441" s="20">
        <f>IF($X441="","",SUMIFS(상세표[기록 시간외],상세표[사번키],INDEX(합계표[사번키],$X441),상세표[기록월],"&lt;&gt;"&amp;대상월키,상세표[반영월],대상월키))</f>
        <v/>
      </c>
      <c r="K441" s="20">
        <f>IF($X441="","",SUMIFS(상세표[기록 시간외],상세표[사번키],INDEX(합계표[사번키],$X441),상세표[반영월],대상월키))</f>
        <v/>
      </c>
      <c r="L441">
        <f>IF($X441="","",IFERROR(INDEX(월별근무지표[적용 급여병원],MATCH(INDEX(합계표[사번키],$X441)&amp;"|"&amp;대상월키,월별근무지표[키],0))&amp;"",IF(COUNTIF(기관표[사번키],INDEX(합계표[사번키],$X441))+COUNTIF(월별근무지표[사번키],INDEX(합계표[사번키],$X441))&gt;0,IFERROR(INDEX(기관표[급여지급병원(기준월)],MATCH(INDEX(합계표[사번키],$X441)&amp;"|"&amp;대상월키,기관표[키],0))&amp;"","—"),"—")))</f>
        <v/>
      </c>
      <c r="M441">
        <f>IF($X441="","",IF(NOT(COUNTIF(기관표[사번키],INDEX(합계표[사번키],$X441))+COUNTIF(월별근무지표[사번키],INDEX(합계표[사번키],$X441))&gt;0),"기관명단에 없음(다른 병원으로 발송)",IF($L441="서울병원","해당",IF(N($R441)&gt;0,"해당(말일 근무)",IF($L441="—","대상월 기관명단 없음(추가 필요)","비해당")))))</f>
        <v/>
      </c>
      <c r="N441" s="20">
        <f>IF($X441="","",SUMIFS(상세표[06~07시],상세표[사번키],INDEX(합계표[사번키],$X441),상세표[반영월],대상월키,상세표[반영 기관],"서울병원"))</f>
        <v/>
      </c>
      <c r="O441" s="20">
        <f>IF($X441="","",SUMIFS(상세표[07~18시],상세표[사번키],INDEX(합계표[사번키],$X441),상세표[반영월],대상월키,상세표[반영 기관],"서울병원"))</f>
        <v/>
      </c>
      <c r="P441" s="20">
        <f>IF($X441="","",SUMIFS(상세표[18~22시],상세표[사번키],INDEX(합계표[사번키],$X441),상세표[반영월],대상월키,상세표[반영 기관],"서울병원"))</f>
        <v/>
      </c>
      <c r="Q441" s="20">
        <f>IF($X441="","",SUMIFS(상세표[22~06시],상세표[사번키],INDEX(합계표[사번키],$X441),상세표[반영월],대상월키,상세표[반영 기관],"서울병원"))</f>
        <v/>
      </c>
      <c r="R441" s="20">
        <f>IF($X441="","",SUM($N441:$Q441))</f>
        <v/>
      </c>
      <c r="S441">
        <f>IF($X441="","",COUNTIFS(상세표[사번키],INDEX(합계표[사번키],$X441),상세표[반영월],대상월키,상세표[야간당직],1,상세표[야간 구분],"평일"))</f>
        <v/>
      </c>
      <c r="T441">
        <f>IF($X441="","",COUNTIFS(상세표[사번키],INDEX(합계표[사번키],$X441),상세표[반영월],대상월키,상세표[야간당직],1,상세표[야간 구분],"휴일"))</f>
        <v/>
      </c>
      <c r="U441">
        <f>IF($X441="","",COUNTIFS(상세표[사번키],INDEX(합계표[사번키],$X441),상세표[반영월],대상월키,상세표[야간당직],1,상세표[야간 구분],"평일",상세표[반영 기관],"서울병원"))</f>
        <v/>
      </c>
      <c r="V441">
        <f>IF($X441="","",COUNTIFS(상세표[사번키],INDEX(합계표[사번키],$X441),상세표[반영월],대상월키,상세표[야간당직],1,상세표[야간 구분],"휴일",상세표[반영 기관],"서울병원"))</f>
        <v/>
      </c>
      <c r="W441">
        <f>IF($X441="","",IF(ISNUMBER(MATCH(INDEX(합계표[사번키],$X441)&amp;"|"&amp;대상월키,월별근무지표[키],0)),"직접 입력",IF($L441="—","—","기관명단")))</f>
        <v/>
      </c>
      <c r="X441" s="4">
        <f>IFERROR(MATCH(436,합계표[판정순번],0),"")</f>
        <v/>
      </c>
    </row>
    <row r="442">
      <c r="A442">
        <f>IF($X442="","",INDEX(합계표[사번],$X442)&amp;"")</f>
        <v/>
      </c>
      <c r="B442">
        <f>IF($X442="","",INDEX(합계표[성명],$X442)&amp;"")</f>
        <v/>
      </c>
      <c r="C442">
        <f>IF($X442="","",INDEX(합계표[부서],$X442)&amp;"")</f>
        <v/>
      </c>
      <c r="D442">
        <f>IF($X442="","",INDEX(합계표[직위(요약)],$X442)&amp;"")</f>
        <v/>
      </c>
      <c r="E442">
        <f>IF($X442="","",INDEX(합계표[직급 공존],$X442)&amp;"")</f>
        <v/>
      </c>
      <c r="F442" s="20">
        <f>IF($X442="","",SUMIFS(합계표[시스템 합계],합계표[사번키],INDEX(합계표[사번키],$X442)))</f>
        <v/>
      </c>
      <c r="G442" s="20">
        <f>IF($X442="","",SUMIFS(상세표[기록 시간외],상세표[사번키],INDEX(합계표[사번키],$X442),상세표[기록월],대상월키))</f>
        <v/>
      </c>
      <c r="H442">
        <f>IF($X442="","",IF(ABS($F442-$G442)&lt;0.01,"일치","불일치(차이 "&amp;TEXT($G442-$F442,"0.00")&amp;")"))</f>
        <v/>
      </c>
      <c r="I442" s="20">
        <f>IF($X442="","",SUMIFS(상세표[기록 시간외],상세표[사번키],INDEX(합계표[사번키],$X442),상세표[기록월],대상월키,상세표[반영월],"&lt;&gt;"&amp;대상월키))</f>
        <v/>
      </c>
      <c r="J442" s="20">
        <f>IF($X442="","",SUMIFS(상세표[기록 시간외],상세표[사번키],INDEX(합계표[사번키],$X442),상세표[기록월],"&lt;&gt;"&amp;대상월키,상세표[반영월],대상월키))</f>
        <v/>
      </c>
      <c r="K442" s="20">
        <f>IF($X442="","",SUMIFS(상세표[기록 시간외],상세표[사번키],INDEX(합계표[사번키],$X442),상세표[반영월],대상월키))</f>
        <v/>
      </c>
      <c r="L442">
        <f>IF($X442="","",IFERROR(INDEX(월별근무지표[적용 급여병원],MATCH(INDEX(합계표[사번키],$X442)&amp;"|"&amp;대상월키,월별근무지표[키],0))&amp;"",IF(COUNTIF(기관표[사번키],INDEX(합계표[사번키],$X442))+COUNTIF(월별근무지표[사번키],INDEX(합계표[사번키],$X442))&gt;0,IFERROR(INDEX(기관표[급여지급병원(기준월)],MATCH(INDEX(합계표[사번키],$X442)&amp;"|"&amp;대상월키,기관표[키],0))&amp;"","—"),"—")))</f>
        <v/>
      </c>
      <c r="M442">
        <f>IF($X442="","",IF(NOT(COUNTIF(기관표[사번키],INDEX(합계표[사번키],$X442))+COUNTIF(월별근무지표[사번키],INDEX(합계표[사번키],$X442))&gt;0),"기관명단에 없음(다른 병원으로 발송)",IF($L442="서울병원","해당",IF(N($R442)&gt;0,"해당(말일 근무)",IF($L442="—","대상월 기관명단 없음(추가 필요)","비해당")))))</f>
        <v/>
      </c>
      <c r="N442" s="20">
        <f>IF($X442="","",SUMIFS(상세표[06~07시],상세표[사번키],INDEX(합계표[사번키],$X442),상세표[반영월],대상월키,상세표[반영 기관],"서울병원"))</f>
        <v/>
      </c>
      <c r="O442" s="20">
        <f>IF($X442="","",SUMIFS(상세표[07~18시],상세표[사번키],INDEX(합계표[사번키],$X442),상세표[반영월],대상월키,상세표[반영 기관],"서울병원"))</f>
        <v/>
      </c>
      <c r="P442" s="20">
        <f>IF($X442="","",SUMIFS(상세표[18~22시],상세표[사번키],INDEX(합계표[사번키],$X442),상세표[반영월],대상월키,상세표[반영 기관],"서울병원"))</f>
        <v/>
      </c>
      <c r="Q442" s="20">
        <f>IF($X442="","",SUMIFS(상세표[22~06시],상세표[사번키],INDEX(합계표[사번키],$X442),상세표[반영월],대상월키,상세표[반영 기관],"서울병원"))</f>
        <v/>
      </c>
      <c r="R442" s="20">
        <f>IF($X442="","",SUM($N442:$Q442))</f>
        <v/>
      </c>
      <c r="S442">
        <f>IF($X442="","",COUNTIFS(상세표[사번키],INDEX(합계표[사번키],$X442),상세표[반영월],대상월키,상세표[야간당직],1,상세표[야간 구분],"평일"))</f>
        <v/>
      </c>
      <c r="T442">
        <f>IF($X442="","",COUNTIFS(상세표[사번키],INDEX(합계표[사번키],$X442),상세표[반영월],대상월키,상세표[야간당직],1,상세표[야간 구분],"휴일"))</f>
        <v/>
      </c>
      <c r="U442">
        <f>IF($X442="","",COUNTIFS(상세표[사번키],INDEX(합계표[사번키],$X442),상세표[반영월],대상월키,상세표[야간당직],1,상세표[야간 구분],"평일",상세표[반영 기관],"서울병원"))</f>
        <v/>
      </c>
      <c r="V442">
        <f>IF($X442="","",COUNTIFS(상세표[사번키],INDEX(합계표[사번키],$X442),상세표[반영월],대상월키,상세표[야간당직],1,상세표[야간 구분],"휴일",상세표[반영 기관],"서울병원"))</f>
        <v/>
      </c>
      <c r="W442">
        <f>IF($X442="","",IF(ISNUMBER(MATCH(INDEX(합계표[사번키],$X442)&amp;"|"&amp;대상월키,월별근무지표[키],0)),"직접 입력",IF($L442="—","—","기관명단")))</f>
        <v/>
      </c>
      <c r="X442" s="4">
        <f>IFERROR(MATCH(437,합계표[판정순번],0),"")</f>
        <v/>
      </c>
    </row>
    <row r="443">
      <c r="A443">
        <f>IF($X443="","",INDEX(합계표[사번],$X443)&amp;"")</f>
        <v/>
      </c>
      <c r="B443">
        <f>IF($X443="","",INDEX(합계표[성명],$X443)&amp;"")</f>
        <v/>
      </c>
      <c r="C443">
        <f>IF($X443="","",INDEX(합계표[부서],$X443)&amp;"")</f>
        <v/>
      </c>
      <c r="D443">
        <f>IF($X443="","",INDEX(합계표[직위(요약)],$X443)&amp;"")</f>
        <v/>
      </c>
      <c r="E443">
        <f>IF($X443="","",INDEX(합계표[직급 공존],$X443)&amp;"")</f>
        <v/>
      </c>
      <c r="F443" s="20">
        <f>IF($X443="","",SUMIFS(합계표[시스템 합계],합계표[사번키],INDEX(합계표[사번키],$X443)))</f>
        <v/>
      </c>
      <c r="G443" s="20">
        <f>IF($X443="","",SUMIFS(상세표[기록 시간외],상세표[사번키],INDEX(합계표[사번키],$X443),상세표[기록월],대상월키))</f>
        <v/>
      </c>
      <c r="H443">
        <f>IF($X443="","",IF(ABS($F443-$G443)&lt;0.01,"일치","불일치(차이 "&amp;TEXT($G443-$F443,"0.00")&amp;")"))</f>
        <v/>
      </c>
      <c r="I443" s="20">
        <f>IF($X443="","",SUMIFS(상세표[기록 시간외],상세표[사번키],INDEX(합계표[사번키],$X443),상세표[기록월],대상월키,상세표[반영월],"&lt;&gt;"&amp;대상월키))</f>
        <v/>
      </c>
      <c r="J443" s="20">
        <f>IF($X443="","",SUMIFS(상세표[기록 시간외],상세표[사번키],INDEX(합계표[사번키],$X443),상세표[기록월],"&lt;&gt;"&amp;대상월키,상세표[반영월],대상월키))</f>
        <v/>
      </c>
      <c r="K443" s="20">
        <f>IF($X443="","",SUMIFS(상세표[기록 시간외],상세표[사번키],INDEX(합계표[사번키],$X443),상세표[반영월],대상월키))</f>
        <v/>
      </c>
      <c r="L443">
        <f>IF($X443="","",IFERROR(INDEX(월별근무지표[적용 급여병원],MATCH(INDEX(합계표[사번키],$X443)&amp;"|"&amp;대상월키,월별근무지표[키],0))&amp;"",IF(COUNTIF(기관표[사번키],INDEX(합계표[사번키],$X443))+COUNTIF(월별근무지표[사번키],INDEX(합계표[사번키],$X443))&gt;0,IFERROR(INDEX(기관표[급여지급병원(기준월)],MATCH(INDEX(합계표[사번키],$X443)&amp;"|"&amp;대상월키,기관표[키],0))&amp;"","—"),"—")))</f>
        <v/>
      </c>
      <c r="M443">
        <f>IF($X443="","",IF(NOT(COUNTIF(기관표[사번키],INDEX(합계표[사번키],$X443))+COUNTIF(월별근무지표[사번키],INDEX(합계표[사번키],$X443))&gt;0),"기관명단에 없음(다른 병원으로 발송)",IF($L443="서울병원","해당",IF(N($R443)&gt;0,"해당(말일 근무)",IF($L443="—","대상월 기관명단 없음(추가 필요)","비해당")))))</f>
        <v/>
      </c>
      <c r="N443" s="20">
        <f>IF($X443="","",SUMIFS(상세표[06~07시],상세표[사번키],INDEX(합계표[사번키],$X443),상세표[반영월],대상월키,상세표[반영 기관],"서울병원"))</f>
        <v/>
      </c>
      <c r="O443" s="20">
        <f>IF($X443="","",SUMIFS(상세표[07~18시],상세표[사번키],INDEX(합계표[사번키],$X443),상세표[반영월],대상월키,상세표[반영 기관],"서울병원"))</f>
        <v/>
      </c>
      <c r="P443" s="20">
        <f>IF($X443="","",SUMIFS(상세표[18~22시],상세표[사번키],INDEX(합계표[사번키],$X443),상세표[반영월],대상월키,상세표[반영 기관],"서울병원"))</f>
        <v/>
      </c>
      <c r="Q443" s="20">
        <f>IF($X443="","",SUMIFS(상세표[22~06시],상세표[사번키],INDEX(합계표[사번키],$X443),상세표[반영월],대상월키,상세표[반영 기관],"서울병원"))</f>
        <v/>
      </c>
      <c r="R443" s="20">
        <f>IF($X443="","",SUM($N443:$Q443))</f>
        <v/>
      </c>
      <c r="S443">
        <f>IF($X443="","",COUNTIFS(상세표[사번키],INDEX(합계표[사번키],$X443),상세표[반영월],대상월키,상세표[야간당직],1,상세표[야간 구분],"평일"))</f>
        <v/>
      </c>
      <c r="T443">
        <f>IF($X443="","",COUNTIFS(상세표[사번키],INDEX(합계표[사번키],$X443),상세표[반영월],대상월키,상세표[야간당직],1,상세표[야간 구분],"휴일"))</f>
        <v/>
      </c>
      <c r="U443">
        <f>IF($X443="","",COUNTIFS(상세표[사번키],INDEX(합계표[사번키],$X443),상세표[반영월],대상월키,상세표[야간당직],1,상세표[야간 구분],"평일",상세표[반영 기관],"서울병원"))</f>
        <v/>
      </c>
      <c r="V443">
        <f>IF($X443="","",COUNTIFS(상세표[사번키],INDEX(합계표[사번키],$X443),상세표[반영월],대상월키,상세표[야간당직],1,상세표[야간 구분],"휴일",상세표[반영 기관],"서울병원"))</f>
        <v/>
      </c>
      <c r="W443">
        <f>IF($X443="","",IF(ISNUMBER(MATCH(INDEX(합계표[사번키],$X443)&amp;"|"&amp;대상월키,월별근무지표[키],0)),"직접 입력",IF($L443="—","—","기관명단")))</f>
        <v/>
      </c>
      <c r="X443" s="4">
        <f>IFERROR(MATCH(438,합계표[판정순번],0),"")</f>
        <v/>
      </c>
    </row>
    <row r="444">
      <c r="A444">
        <f>IF($X444="","",INDEX(합계표[사번],$X444)&amp;"")</f>
        <v/>
      </c>
      <c r="B444">
        <f>IF($X444="","",INDEX(합계표[성명],$X444)&amp;"")</f>
        <v/>
      </c>
      <c r="C444">
        <f>IF($X444="","",INDEX(합계표[부서],$X444)&amp;"")</f>
        <v/>
      </c>
      <c r="D444">
        <f>IF($X444="","",INDEX(합계표[직위(요약)],$X444)&amp;"")</f>
        <v/>
      </c>
      <c r="E444">
        <f>IF($X444="","",INDEX(합계표[직급 공존],$X444)&amp;"")</f>
        <v/>
      </c>
      <c r="F444" s="20">
        <f>IF($X444="","",SUMIFS(합계표[시스템 합계],합계표[사번키],INDEX(합계표[사번키],$X444)))</f>
        <v/>
      </c>
      <c r="G444" s="20">
        <f>IF($X444="","",SUMIFS(상세표[기록 시간외],상세표[사번키],INDEX(합계표[사번키],$X444),상세표[기록월],대상월키))</f>
        <v/>
      </c>
      <c r="H444">
        <f>IF($X444="","",IF(ABS($F444-$G444)&lt;0.01,"일치","불일치(차이 "&amp;TEXT($G444-$F444,"0.00")&amp;")"))</f>
        <v/>
      </c>
      <c r="I444" s="20">
        <f>IF($X444="","",SUMIFS(상세표[기록 시간외],상세표[사번키],INDEX(합계표[사번키],$X444),상세표[기록월],대상월키,상세표[반영월],"&lt;&gt;"&amp;대상월키))</f>
        <v/>
      </c>
      <c r="J444" s="20">
        <f>IF($X444="","",SUMIFS(상세표[기록 시간외],상세표[사번키],INDEX(합계표[사번키],$X444),상세표[기록월],"&lt;&gt;"&amp;대상월키,상세표[반영월],대상월키))</f>
        <v/>
      </c>
      <c r="K444" s="20">
        <f>IF($X444="","",SUMIFS(상세표[기록 시간외],상세표[사번키],INDEX(합계표[사번키],$X444),상세표[반영월],대상월키))</f>
        <v/>
      </c>
      <c r="L444">
        <f>IF($X444="","",IFERROR(INDEX(월별근무지표[적용 급여병원],MATCH(INDEX(합계표[사번키],$X444)&amp;"|"&amp;대상월키,월별근무지표[키],0))&amp;"",IF(COUNTIF(기관표[사번키],INDEX(합계표[사번키],$X444))+COUNTIF(월별근무지표[사번키],INDEX(합계표[사번키],$X444))&gt;0,IFERROR(INDEX(기관표[급여지급병원(기준월)],MATCH(INDEX(합계표[사번키],$X444)&amp;"|"&amp;대상월키,기관표[키],0))&amp;"","—"),"—")))</f>
        <v/>
      </c>
      <c r="M444">
        <f>IF($X444="","",IF(NOT(COUNTIF(기관표[사번키],INDEX(합계표[사번키],$X444))+COUNTIF(월별근무지표[사번키],INDEX(합계표[사번키],$X444))&gt;0),"기관명단에 없음(다른 병원으로 발송)",IF($L444="서울병원","해당",IF(N($R444)&gt;0,"해당(말일 근무)",IF($L444="—","대상월 기관명단 없음(추가 필요)","비해당")))))</f>
        <v/>
      </c>
      <c r="N444" s="20">
        <f>IF($X444="","",SUMIFS(상세표[06~07시],상세표[사번키],INDEX(합계표[사번키],$X444),상세표[반영월],대상월키,상세표[반영 기관],"서울병원"))</f>
        <v/>
      </c>
      <c r="O444" s="20">
        <f>IF($X444="","",SUMIFS(상세표[07~18시],상세표[사번키],INDEX(합계표[사번키],$X444),상세표[반영월],대상월키,상세표[반영 기관],"서울병원"))</f>
        <v/>
      </c>
      <c r="P444" s="20">
        <f>IF($X444="","",SUMIFS(상세표[18~22시],상세표[사번키],INDEX(합계표[사번키],$X444),상세표[반영월],대상월키,상세표[반영 기관],"서울병원"))</f>
        <v/>
      </c>
      <c r="Q444" s="20">
        <f>IF($X444="","",SUMIFS(상세표[22~06시],상세표[사번키],INDEX(합계표[사번키],$X444),상세표[반영월],대상월키,상세표[반영 기관],"서울병원"))</f>
        <v/>
      </c>
      <c r="R444" s="20">
        <f>IF($X444="","",SUM($N444:$Q444))</f>
        <v/>
      </c>
      <c r="S444">
        <f>IF($X444="","",COUNTIFS(상세표[사번키],INDEX(합계표[사번키],$X444),상세표[반영월],대상월키,상세표[야간당직],1,상세표[야간 구분],"평일"))</f>
        <v/>
      </c>
      <c r="T444">
        <f>IF($X444="","",COUNTIFS(상세표[사번키],INDEX(합계표[사번키],$X444),상세표[반영월],대상월키,상세표[야간당직],1,상세표[야간 구분],"휴일"))</f>
        <v/>
      </c>
      <c r="U444">
        <f>IF($X444="","",COUNTIFS(상세표[사번키],INDEX(합계표[사번키],$X444),상세표[반영월],대상월키,상세표[야간당직],1,상세표[야간 구분],"평일",상세표[반영 기관],"서울병원"))</f>
        <v/>
      </c>
      <c r="V444">
        <f>IF($X444="","",COUNTIFS(상세표[사번키],INDEX(합계표[사번키],$X444),상세표[반영월],대상월키,상세표[야간당직],1,상세표[야간 구분],"휴일",상세표[반영 기관],"서울병원"))</f>
        <v/>
      </c>
      <c r="W444">
        <f>IF($X444="","",IF(ISNUMBER(MATCH(INDEX(합계표[사번키],$X444)&amp;"|"&amp;대상월키,월별근무지표[키],0)),"직접 입력",IF($L444="—","—","기관명단")))</f>
        <v/>
      </c>
      <c r="X444" s="4">
        <f>IFERROR(MATCH(439,합계표[판정순번],0),"")</f>
        <v/>
      </c>
    </row>
    <row r="445">
      <c r="A445">
        <f>IF($X445="","",INDEX(합계표[사번],$X445)&amp;"")</f>
        <v/>
      </c>
      <c r="B445">
        <f>IF($X445="","",INDEX(합계표[성명],$X445)&amp;"")</f>
        <v/>
      </c>
      <c r="C445">
        <f>IF($X445="","",INDEX(합계표[부서],$X445)&amp;"")</f>
        <v/>
      </c>
      <c r="D445">
        <f>IF($X445="","",INDEX(합계표[직위(요약)],$X445)&amp;"")</f>
        <v/>
      </c>
      <c r="E445">
        <f>IF($X445="","",INDEX(합계표[직급 공존],$X445)&amp;"")</f>
        <v/>
      </c>
      <c r="F445" s="20">
        <f>IF($X445="","",SUMIFS(합계표[시스템 합계],합계표[사번키],INDEX(합계표[사번키],$X445)))</f>
        <v/>
      </c>
      <c r="G445" s="20">
        <f>IF($X445="","",SUMIFS(상세표[기록 시간외],상세표[사번키],INDEX(합계표[사번키],$X445),상세표[기록월],대상월키))</f>
        <v/>
      </c>
      <c r="H445">
        <f>IF($X445="","",IF(ABS($F445-$G445)&lt;0.01,"일치","불일치(차이 "&amp;TEXT($G445-$F445,"0.00")&amp;")"))</f>
        <v/>
      </c>
      <c r="I445" s="20">
        <f>IF($X445="","",SUMIFS(상세표[기록 시간외],상세표[사번키],INDEX(합계표[사번키],$X445),상세표[기록월],대상월키,상세표[반영월],"&lt;&gt;"&amp;대상월키))</f>
        <v/>
      </c>
      <c r="J445" s="20">
        <f>IF($X445="","",SUMIFS(상세표[기록 시간외],상세표[사번키],INDEX(합계표[사번키],$X445),상세표[기록월],"&lt;&gt;"&amp;대상월키,상세표[반영월],대상월키))</f>
        <v/>
      </c>
      <c r="K445" s="20">
        <f>IF($X445="","",SUMIFS(상세표[기록 시간외],상세표[사번키],INDEX(합계표[사번키],$X445),상세표[반영월],대상월키))</f>
        <v/>
      </c>
      <c r="L445">
        <f>IF($X445="","",IFERROR(INDEX(월별근무지표[적용 급여병원],MATCH(INDEX(합계표[사번키],$X445)&amp;"|"&amp;대상월키,월별근무지표[키],0))&amp;"",IF(COUNTIF(기관표[사번키],INDEX(합계표[사번키],$X445))+COUNTIF(월별근무지표[사번키],INDEX(합계표[사번키],$X445))&gt;0,IFERROR(INDEX(기관표[급여지급병원(기준월)],MATCH(INDEX(합계표[사번키],$X445)&amp;"|"&amp;대상월키,기관표[키],0))&amp;"","—"),"—")))</f>
        <v/>
      </c>
      <c r="M445">
        <f>IF($X445="","",IF(NOT(COUNTIF(기관표[사번키],INDEX(합계표[사번키],$X445))+COUNTIF(월별근무지표[사번키],INDEX(합계표[사번키],$X445))&gt;0),"기관명단에 없음(다른 병원으로 발송)",IF($L445="서울병원","해당",IF(N($R445)&gt;0,"해당(말일 근무)",IF($L445="—","대상월 기관명단 없음(추가 필요)","비해당")))))</f>
        <v/>
      </c>
      <c r="N445" s="20">
        <f>IF($X445="","",SUMIFS(상세표[06~07시],상세표[사번키],INDEX(합계표[사번키],$X445),상세표[반영월],대상월키,상세표[반영 기관],"서울병원"))</f>
        <v/>
      </c>
      <c r="O445" s="20">
        <f>IF($X445="","",SUMIFS(상세표[07~18시],상세표[사번키],INDEX(합계표[사번키],$X445),상세표[반영월],대상월키,상세표[반영 기관],"서울병원"))</f>
        <v/>
      </c>
      <c r="P445" s="20">
        <f>IF($X445="","",SUMIFS(상세표[18~22시],상세표[사번키],INDEX(합계표[사번키],$X445),상세표[반영월],대상월키,상세표[반영 기관],"서울병원"))</f>
        <v/>
      </c>
      <c r="Q445" s="20">
        <f>IF($X445="","",SUMIFS(상세표[22~06시],상세표[사번키],INDEX(합계표[사번키],$X445),상세표[반영월],대상월키,상세표[반영 기관],"서울병원"))</f>
        <v/>
      </c>
      <c r="R445" s="20">
        <f>IF($X445="","",SUM($N445:$Q445))</f>
        <v/>
      </c>
      <c r="S445">
        <f>IF($X445="","",COUNTIFS(상세표[사번키],INDEX(합계표[사번키],$X445),상세표[반영월],대상월키,상세표[야간당직],1,상세표[야간 구분],"평일"))</f>
        <v/>
      </c>
      <c r="T445">
        <f>IF($X445="","",COUNTIFS(상세표[사번키],INDEX(합계표[사번키],$X445),상세표[반영월],대상월키,상세표[야간당직],1,상세표[야간 구분],"휴일"))</f>
        <v/>
      </c>
      <c r="U445">
        <f>IF($X445="","",COUNTIFS(상세표[사번키],INDEX(합계표[사번키],$X445),상세표[반영월],대상월키,상세표[야간당직],1,상세표[야간 구분],"평일",상세표[반영 기관],"서울병원"))</f>
        <v/>
      </c>
      <c r="V445">
        <f>IF($X445="","",COUNTIFS(상세표[사번키],INDEX(합계표[사번키],$X445),상세표[반영월],대상월키,상세표[야간당직],1,상세표[야간 구분],"휴일",상세표[반영 기관],"서울병원"))</f>
        <v/>
      </c>
      <c r="W445">
        <f>IF($X445="","",IF(ISNUMBER(MATCH(INDEX(합계표[사번키],$X445)&amp;"|"&amp;대상월키,월별근무지표[키],0)),"직접 입력",IF($L445="—","—","기관명단")))</f>
        <v/>
      </c>
      <c r="X445" s="4">
        <f>IFERROR(MATCH(440,합계표[판정순번],0),"")</f>
        <v/>
      </c>
    </row>
    <row r="446">
      <c r="A446">
        <f>IF($X446="","",INDEX(합계표[사번],$X446)&amp;"")</f>
        <v/>
      </c>
      <c r="B446">
        <f>IF($X446="","",INDEX(합계표[성명],$X446)&amp;"")</f>
        <v/>
      </c>
      <c r="C446">
        <f>IF($X446="","",INDEX(합계표[부서],$X446)&amp;"")</f>
        <v/>
      </c>
      <c r="D446">
        <f>IF($X446="","",INDEX(합계표[직위(요약)],$X446)&amp;"")</f>
        <v/>
      </c>
      <c r="E446">
        <f>IF($X446="","",INDEX(합계표[직급 공존],$X446)&amp;"")</f>
        <v/>
      </c>
      <c r="F446" s="20">
        <f>IF($X446="","",SUMIFS(합계표[시스템 합계],합계표[사번키],INDEX(합계표[사번키],$X446)))</f>
        <v/>
      </c>
      <c r="G446" s="20">
        <f>IF($X446="","",SUMIFS(상세표[기록 시간외],상세표[사번키],INDEX(합계표[사번키],$X446),상세표[기록월],대상월키))</f>
        <v/>
      </c>
      <c r="H446">
        <f>IF($X446="","",IF(ABS($F446-$G446)&lt;0.01,"일치","불일치(차이 "&amp;TEXT($G446-$F446,"0.00")&amp;")"))</f>
        <v/>
      </c>
      <c r="I446" s="20">
        <f>IF($X446="","",SUMIFS(상세표[기록 시간외],상세표[사번키],INDEX(합계표[사번키],$X446),상세표[기록월],대상월키,상세표[반영월],"&lt;&gt;"&amp;대상월키))</f>
        <v/>
      </c>
      <c r="J446" s="20">
        <f>IF($X446="","",SUMIFS(상세표[기록 시간외],상세표[사번키],INDEX(합계표[사번키],$X446),상세표[기록월],"&lt;&gt;"&amp;대상월키,상세표[반영월],대상월키))</f>
        <v/>
      </c>
      <c r="K446" s="20">
        <f>IF($X446="","",SUMIFS(상세표[기록 시간외],상세표[사번키],INDEX(합계표[사번키],$X446),상세표[반영월],대상월키))</f>
        <v/>
      </c>
      <c r="L446">
        <f>IF($X446="","",IFERROR(INDEX(월별근무지표[적용 급여병원],MATCH(INDEX(합계표[사번키],$X446)&amp;"|"&amp;대상월키,월별근무지표[키],0))&amp;"",IF(COUNTIF(기관표[사번키],INDEX(합계표[사번키],$X446))+COUNTIF(월별근무지표[사번키],INDEX(합계표[사번키],$X446))&gt;0,IFERROR(INDEX(기관표[급여지급병원(기준월)],MATCH(INDEX(합계표[사번키],$X446)&amp;"|"&amp;대상월키,기관표[키],0))&amp;"","—"),"—")))</f>
        <v/>
      </c>
      <c r="M446">
        <f>IF($X446="","",IF(NOT(COUNTIF(기관표[사번키],INDEX(합계표[사번키],$X446))+COUNTIF(월별근무지표[사번키],INDEX(합계표[사번키],$X446))&gt;0),"기관명단에 없음(다른 병원으로 발송)",IF($L446="서울병원","해당",IF(N($R446)&gt;0,"해당(말일 근무)",IF($L446="—","대상월 기관명단 없음(추가 필요)","비해당")))))</f>
        <v/>
      </c>
      <c r="N446" s="20">
        <f>IF($X446="","",SUMIFS(상세표[06~07시],상세표[사번키],INDEX(합계표[사번키],$X446),상세표[반영월],대상월키,상세표[반영 기관],"서울병원"))</f>
        <v/>
      </c>
      <c r="O446" s="20">
        <f>IF($X446="","",SUMIFS(상세표[07~18시],상세표[사번키],INDEX(합계표[사번키],$X446),상세표[반영월],대상월키,상세표[반영 기관],"서울병원"))</f>
        <v/>
      </c>
      <c r="P446" s="20">
        <f>IF($X446="","",SUMIFS(상세표[18~22시],상세표[사번키],INDEX(합계표[사번키],$X446),상세표[반영월],대상월키,상세표[반영 기관],"서울병원"))</f>
        <v/>
      </c>
      <c r="Q446" s="20">
        <f>IF($X446="","",SUMIFS(상세표[22~06시],상세표[사번키],INDEX(합계표[사번키],$X446),상세표[반영월],대상월키,상세표[반영 기관],"서울병원"))</f>
        <v/>
      </c>
      <c r="R446" s="20">
        <f>IF($X446="","",SUM($N446:$Q446))</f>
        <v/>
      </c>
      <c r="S446">
        <f>IF($X446="","",COUNTIFS(상세표[사번키],INDEX(합계표[사번키],$X446),상세표[반영월],대상월키,상세표[야간당직],1,상세표[야간 구분],"평일"))</f>
        <v/>
      </c>
      <c r="T446">
        <f>IF($X446="","",COUNTIFS(상세표[사번키],INDEX(합계표[사번키],$X446),상세표[반영월],대상월키,상세표[야간당직],1,상세표[야간 구분],"휴일"))</f>
        <v/>
      </c>
      <c r="U446">
        <f>IF($X446="","",COUNTIFS(상세표[사번키],INDEX(합계표[사번키],$X446),상세표[반영월],대상월키,상세표[야간당직],1,상세표[야간 구분],"평일",상세표[반영 기관],"서울병원"))</f>
        <v/>
      </c>
      <c r="V446">
        <f>IF($X446="","",COUNTIFS(상세표[사번키],INDEX(합계표[사번키],$X446),상세표[반영월],대상월키,상세표[야간당직],1,상세표[야간 구분],"휴일",상세표[반영 기관],"서울병원"))</f>
        <v/>
      </c>
      <c r="W446">
        <f>IF($X446="","",IF(ISNUMBER(MATCH(INDEX(합계표[사번키],$X446)&amp;"|"&amp;대상월키,월별근무지표[키],0)),"직접 입력",IF($L446="—","—","기관명단")))</f>
        <v/>
      </c>
      <c r="X446" s="4">
        <f>IFERROR(MATCH(441,합계표[판정순번],0),"")</f>
        <v/>
      </c>
    </row>
    <row r="447">
      <c r="A447">
        <f>IF($X447="","",INDEX(합계표[사번],$X447)&amp;"")</f>
        <v/>
      </c>
      <c r="B447">
        <f>IF($X447="","",INDEX(합계표[성명],$X447)&amp;"")</f>
        <v/>
      </c>
      <c r="C447">
        <f>IF($X447="","",INDEX(합계표[부서],$X447)&amp;"")</f>
        <v/>
      </c>
      <c r="D447">
        <f>IF($X447="","",INDEX(합계표[직위(요약)],$X447)&amp;"")</f>
        <v/>
      </c>
      <c r="E447">
        <f>IF($X447="","",INDEX(합계표[직급 공존],$X447)&amp;"")</f>
        <v/>
      </c>
      <c r="F447" s="20">
        <f>IF($X447="","",SUMIFS(합계표[시스템 합계],합계표[사번키],INDEX(합계표[사번키],$X447)))</f>
        <v/>
      </c>
      <c r="G447" s="20">
        <f>IF($X447="","",SUMIFS(상세표[기록 시간외],상세표[사번키],INDEX(합계표[사번키],$X447),상세표[기록월],대상월키))</f>
        <v/>
      </c>
      <c r="H447">
        <f>IF($X447="","",IF(ABS($F447-$G447)&lt;0.01,"일치","불일치(차이 "&amp;TEXT($G447-$F447,"0.00")&amp;")"))</f>
        <v/>
      </c>
      <c r="I447" s="20">
        <f>IF($X447="","",SUMIFS(상세표[기록 시간외],상세표[사번키],INDEX(합계표[사번키],$X447),상세표[기록월],대상월키,상세표[반영월],"&lt;&gt;"&amp;대상월키))</f>
        <v/>
      </c>
      <c r="J447" s="20">
        <f>IF($X447="","",SUMIFS(상세표[기록 시간외],상세표[사번키],INDEX(합계표[사번키],$X447),상세표[기록월],"&lt;&gt;"&amp;대상월키,상세표[반영월],대상월키))</f>
        <v/>
      </c>
      <c r="K447" s="20">
        <f>IF($X447="","",SUMIFS(상세표[기록 시간외],상세표[사번키],INDEX(합계표[사번키],$X447),상세표[반영월],대상월키))</f>
        <v/>
      </c>
      <c r="L447">
        <f>IF($X447="","",IFERROR(INDEX(월별근무지표[적용 급여병원],MATCH(INDEX(합계표[사번키],$X447)&amp;"|"&amp;대상월키,월별근무지표[키],0))&amp;"",IF(COUNTIF(기관표[사번키],INDEX(합계표[사번키],$X447))+COUNTIF(월별근무지표[사번키],INDEX(합계표[사번키],$X447))&gt;0,IFERROR(INDEX(기관표[급여지급병원(기준월)],MATCH(INDEX(합계표[사번키],$X447)&amp;"|"&amp;대상월키,기관표[키],0))&amp;"","—"),"—")))</f>
        <v/>
      </c>
      <c r="M447">
        <f>IF($X447="","",IF(NOT(COUNTIF(기관표[사번키],INDEX(합계표[사번키],$X447))+COUNTIF(월별근무지표[사번키],INDEX(합계표[사번키],$X447))&gt;0),"기관명단에 없음(다른 병원으로 발송)",IF($L447="서울병원","해당",IF(N($R447)&gt;0,"해당(말일 근무)",IF($L447="—","대상월 기관명단 없음(추가 필요)","비해당")))))</f>
        <v/>
      </c>
      <c r="N447" s="20">
        <f>IF($X447="","",SUMIFS(상세표[06~07시],상세표[사번키],INDEX(합계표[사번키],$X447),상세표[반영월],대상월키,상세표[반영 기관],"서울병원"))</f>
        <v/>
      </c>
      <c r="O447" s="20">
        <f>IF($X447="","",SUMIFS(상세표[07~18시],상세표[사번키],INDEX(합계표[사번키],$X447),상세표[반영월],대상월키,상세표[반영 기관],"서울병원"))</f>
        <v/>
      </c>
      <c r="P447" s="20">
        <f>IF($X447="","",SUMIFS(상세표[18~22시],상세표[사번키],INDEX(합계표[사번키],$X447),상세표[반영월],대상월키,상세표[반영 기관],"서울병원"))</f>
        <v/>
      </c>
      <c r="Q447" s="20">
        <f>IF($X447="","",SUMIFS(상세표[22~06시],상세표[사번키],INDEX(합계표[사번키],$X447),상세표[반영월],대상월키,상세표[반영 기관],"서울병원"))</f>
        <v/>
      </c>
      <c r="R447" s="20">
        <f>IF($X447="","",SUM($N447:$Q447))</f>
        <v/>
      </c>
      <c r="S447">
        <f>IF($X447="","",COUNTIFS(상세표[사번키],INDEX(합계표[사번키],$X447),상세표[반영월],대상월키,상세표[야간당직],1,상세표[야간 구분],"평일"))</f>
        <v/>
      </c>
      <c r="T447">
        <f>IF($X447="","",COUNTIFS(상세표[사번키],INDEX(합계표[사번키],$X447),상세표[반영월],대상월키,상세표[야간당직],1,상세표[야간 구분],"휴일"))</f>
        <v/>
      </c>
      <c r="U447">
        <f>IF($X447="","",COUNTIFS(상세표[사번키],INDEX(합계표[사번키],$X447),상세표[반영월],대상월키,상세표[야간당직],1,상세표[야간 구분],"평일",상세표[반영 기관],"서울병원"))</f>
        <v/>
      </c>
      <c r="V447">
        <f>IF($X447="","",COUNTIFS(상세표[사번키],INDEX(합계표[사번키],$X447),상세표[반영월],대상월키,상세표[야간당직],1,상세표[야간 구분],"휴일",상세표[반영 기관],"서울병원"))</f>
        <v/>
      </c>
      <c r="W447">
        <f>IF($X447="","",IF(ISNUMBER(MATCH(INDEX(합계표[사번키],$X447)&amp;"|"&amp;대상월키,월별근무지표[키],0)),"직접 입력",IF($L447="—","—","기관명단")))</f>
        <v/>
      </c>
      <c r="X447" s="4">
        <f>IFERROR(MATCH(442,합계표[판정순번],0),"")</f>
        <v/>
      </c>
    </row>
    <row r="448">
      <c r="A448">
        <f>IF($X448="","",INDEX(합계표[사번],$X448)&amp;"")</f>
        <v/>
      </c>
      <c r="B448">
        <f>IF($X448="","",INDEX(합계표[성명],$X448)&amp;"")</f>
        <v/>
      </c>
      <c r="C448">
        <f>IF($X448="","",INDEX(합계표[부서],$X448)&amp;"")</f>
        <v/>
      </c>
      <c r="D448">
        <f>IF($X448="","",INDEX(합계표[직위(요약)],$X448)&amp;"")</f>
        <v/>
      </c>
      <c r="E448">
        <f>IF($X448="","",INDEX(합계표[직급 공존],$X448)&amp;"")</f>
        <v/>
      </c>
      <c r="F448" s="20">
        <f>IF($X448="","",SUMIFS(합계표[시스템 합계],합계표[사번키],INDEX(합계표[사번키],$X448)))</f>
        <v/>
      </c>
      <c r="G448" s="20">
        <f>IF($X448="","",SUMIFS(상세표[기록 시간외],상세표[사번키],INDEX(합계표[사번키],$X448),상세표[기록월],대상월키))</f>
        <v/>
      </c>
      <c r="H448">
        <f>IF($X448="","",IF(ABS($F448-$G448)&lt;0.01,"일치","불일치(차이 "&amp;TEXT($G448-$F448,"0.00")&amp;")"))</f>
        <v/>
      </c>
      <c r="I448" s="20">
        <f>IF($X448="","",SUMIFS(상세표[기록 시간외],상세표[사번키],INDEX(합계표[사번키],$X448),상세표[기록월],대상월키,상세표[반영월],"&lt;&gt;"&amp;대상월키))</f>
        <v/>
      </c>
      <c r="J448" s="20">
        <f>IF($X448="","",SUMIFS(상세표[기록 시간외],상세표[사번키],INDEX(합계표[사번키],$X448),상세표[기록월],"&lt;&gt;"&amp;대상월키,상세표[반영월],대상월키))</f>
        <v/>
      </c>
      <c r="K448" s="20">
        <f>IF($X448="","",SUMIFS(상세표[기록 시간외],상세표[사번키],INDEX(합계표[사번키],$X448),상세표[반영월],대상월키))</f>
        <v/>
      </c>
      <c r="L448">
        <f>IF($X448="","",IFERROR(INDEX(월별근무지표[적용 급여병원],MATCH(INDEX(합계표[사번키],$X448)&amp;"|"&amp;대상월키,월별근무지표[키],0))&amp;"",IF(COUNTIF(기관표[사번키],INDEX(합계표[사번키],$X448))+COUNTIF(월별근무지표[사번키],INDEX(합계표[사번키],$X448))&gt;0,IFERROR(INDEX(기관표[급여지급병원(기준월)],MATCH(INDEX(합계표[사번키],$X448)&amp;"|"&amp;대상월키,기관표[키],0))&amp;"","—"),"—")))</f>
        <v/>
      </c>
      <c r="M448">
        <f>IF($X448="","",IF(NOT(COUNTIF(기관표[사번키],INDEX(합계표[사번키],$X448))+COUNTIF(월별근무지표[사번키],INDEX(합계표[사번키],$X448))&gt;0),"기관명단에 없음(다른 병원으로 발송)",IF($L448="서울병원","해당",IF(N($R448)&gt;0,"해당(말일 근무)",IF($L448="—","대상월 기관명단 없음(추가 필요)","비해당")))))</f>
        <v/>
      </c>
      <c r="N448" s="20">
        <f>IF($X448="","",SUMIFS(상세표[06~07시],상세표[사번키],INDEX(합계표[사번키],$X448),상세표[반영월],대상월키,상세표[반영 기관],"서울병원"))</f>
        <v/>
      </c>
      <c r="O448" s="20">
        <f>IF($X448="","",SUMIFS(상세표[07~18시],상세표[사번키],INDEX(합계표[사번키],$X448),상세표[반영월],대상월키,상세표[반영 기관],"서울병원"))</f>
        <v/>
      </c>
      <c r="P448" s="20">
        <f>IF($X448="","",SUMIFS(상세표[18~22시],상세표[사번키],INDEX(합계표[사번키],$X448),상세표[반영월],대상월키,상세표[반영 기관],"서울병원"))</f>
        <v/>
      </c>
      <c r="Q448" s="20">
        <f>IF($X448="","",SUMIFS(상세표[22~06시],상세표[사번키],INDEX(합계표[사번키],$X448),상세표[반영월],대상월키,상세표[반영 기관],"서울병원"))</f>
        <v/>
      </c>
      <c r="R448" s="20">
        <f>IF($X448="","",SUM($N448:$Q448))</f>
        <v/>
      </c>
      <c r="S448">
        <f>IF($X448="","",COUNTIFS(상세표[사번키],INDEX(합계표[사번키],$X448),상세표[반영월],대상월키,상세표[야간당직],1,상세표[야간 구분],"평일"))</f>
        <v/>
      </c>
      <c r="T448">
        <f>IF($X448="","",COUNTIFS(상세표[사번키],INDEX(합계표[사번키],$X448),상세표[반영월],대상월키,상세표[야간당직],1,상세표[야간 구분],"휴일"))</f>
        <v/>
      </c>
      <c r="U448">
        <f>IF($X448="","",COUNTIFS(상세표[사번키],INDEX(합계표[사번키],$X448),상세표[반영월],대상월키,상세표[야간당직],1,상세표[야간 구분],"평일",상세표[반영 기관],"서울병원"))</f>
        <v/>
      </c>
      <c r="V448">
        <f>IF($X448="","",COUNTIFS(상세표[사번키],INDEX(합계표[사번키],$X448),상세표[반영월],대상월키,상세표[야간당직],1,상세표[야간 구분],"휴일",상세표[반영 기관],"서울병원"))</f>
        <v/>
      </c>
      <c r="W448">
        <f>IF($X448="","",IF(ISNUMBER(MATCH(INDEX(합계표[사번키],$X448)&amp;"|"&amp;대상월키,월별근무지표[키],0)),"직접 입력",IF($L448="—","—","기관명단")))</f>
        <v/>
      </c>
      <c r="X448" s="4">
        <f>IFERROR(MATCH(443,합계표[판정순번],0),"")</f>
        <v/>
      </c>
    </row>
    <row r="449">
      <c r="A449">
        <f>IF($X449="","",INDEX(합계표[사번],$X449)&amp;"")</f>
        <v/>
      </c>
      <c r="B449">
        <f>IF($X449="","",INDEX(합계표[성명],$X449)&amp;"")</f>
        <v/>
      </c>
      <c r="C449">
        <f>IF($X449="","",INDEX(합계표[부서],$X449)&amp;"")</f>
        <v/>
      </c>
      <c r="D449">
        <f>IF($X449="","",INDEX(합계표[직위(요약)],$X449)&amp;"")</f>
        <v/>
      </c>
      <c r="E449">
        <f>IF($X449="","",INDEX(합계표[직급 공존],$X449)&amp;"")</f>
        <v/>
      </c>
      <c r="F449" s="20">
        <f>IF($X449="","",SUMIFS(합계표[시스템 합계],합계표[사번키],INDEX(합계표[사번키],$X449)))</f>
        <v/>
      </c>
      <c r="G449" s="20">
        <f>IF($X449="","",SUMIFS(상세표[기록 시간외],상세표[사번키],INDEX(합계표[사번키],$X449),상세표[기록월],대상월키))</f>
        <v/>
      </c>
      <c r="H449">
        <f>IF($X449="","",IF(ABS($F449-$G449)&lt;0.01,"일치","불일치(차이 "&amp;TEXT($G449-$F449,"0.00")&amp;")"))</f>
        <v/>
      </c>
      <c r="I449" s="20">
        <f>IF($X449="","",SUMIFS(상세표[기록 시간외],상세표[사번키],INDEX(합계표[사번키],$X449),상세표[기록월],대상월키,상세표[반영월],"&lt;&gt;"&amp;대상월키))</f>
        <v/>
      </c>
      <c r="J449" s="20">
        <f>IF($X449="","",SUMIFS(상세표[기록 시간외],상세표[사번키],INDEX(합계표[사번키],$X449),상세표[기록월],"&lt;&gt;"&amp;대상월키,상세표[반영월],대상월키))</f>
        <v/>
      </c>
      <c r="K449" s="20">
        <f>IF($X449="","",SUMIFS(상세표[기록 시간외],상세표[사번키],INDEX(합계표[사번키],$X449),상세표[반영월],대상월키))</f>
        <v/>
      </c>
      <c r="L449">
        <f>IF($X449="","",IFERROR(INDEX(월별근무지표[적용 급여병원],MATCH(INDEX(합계표[사번키],$X449)&amp;"|"&amp;대상월키,월별근무지표[키],0))&amp;"",IF(COUNTIF(기관표[사번키],INDEX(합계표[사번키],$X449))+COUNTIF(월별근무지표[사번키],INDEX(합계표[사번키],$X449))&gt;0,IFERROR(INDEX(기관표[급여지급병원(기준월)],MATCH(INDEX(합계표[사번키],$X449)&amp;"|"&amp;대상월키,기관표[키],0))&amp;"","—"),"—")))</f>
        <v/>
      </c>
      <c r="M449">
        <f>IF($X449="","",IF(NOT(COUNTIF(기관표[사번키],INDEX(합계표[사번키],$X449))+COUNTIF(월별근무지표[사번키],INDEX(합계표[사번키],$X449))&gt;0),"기관명단에 없음(다른 병원으로 발송)",IF($L449="서울병원","해당",IF(N($R449)&gt;0,"해당(말일 근무)",IF($L449="—","대상월 기관명단 없음(추가 필요)","비해당")))))</f>
        <v/>
      </c>
      <c r="N449" s="20">
        <f>IF($X449="","",SUMIFS(상세표[06~07시],상세표[사번키],INDEX(합계표[사번키],$X449),상세표[반영월],대상월키,상세표[반영 기관],"서울병원"))</f>
        <v/>
      </c>
      <c r="O449" s="20">
        <f>IF($X449="","",SUMIFS(상세표[07~18시],상세표[사번키],INDEX(합계표[사번키],$X449),상세표[반영월],대상월키,상세표[반영 기관],"서울병원"))</f>
        <v/>
      </c>
      <c r="P449" s="20">
        <f>IF($X449="","",SUMIFS(상세표[18~22시],상세표[사번키],INDEX(합계표[사번키],$X449),상세표[반영월],대상월키,상세표[반영 기관],"서울병원"))</f>
        <v/>
      </c>
      <c r="Q449" s="20">
        <f>IF($X449="","",SUMIFS(상세표[22~06시],상세표[사번키],INDEX(합계표[사번키],$X449),상세표[반영월],대상월키,상세표[반영 기관],"서울병원"))</f>
        <v/>
      </c>
      <c r="R449" s="20">
        <f>IF($X449="","",SUM($N449:$Q449))</f>
        <v/>
      </c>
      <c r="S449">
        <f>IF($X449="","",COUNTIFS(상세표[사번키],INDEX(합계표[사번키],$X449),상세표[반영월],대상월키,상세표[야간당직],1,상세표[야간 구분],"평일"))</f>
        <v/>
      </c>
      <c r="T449">
        <f>IF($X449="","",COUNTIFS(상세표[사번키],INDEX(합계표[사번키],$X449),상세표[반영월],대상월키,상세표[야간당직],1,상세표[야간 구분],"휴일"))</f>
        <v/>
      </c>
      <c r="U449">
        <f>IF($X449="","",COUNTIFS(상세표[사번키],INDEX(합계표[사번키],$X449),상세표[반영월],대상월키,상세표[야간당직],1,상세표[야간 구분],"평일",상세표[반영 기관],"서울병원"))</f>
        <v/>
      </c>
      <c r="V449">
        <f>IF($X449="","",COUNTIFS(상세표[사번키],INDEX(합계표[사번키],$X449),상세표[반영월],대상월키,상세표[야간당직],1,상세표[야간 구분],"휴일",상세표[반영 기관],"서울병원"))</f>
        <v/>
      </c>
      <c r="W449">
        <f>IF($X449="","",IF(ISNUMBER(MATCH(INDEX(합계표[사번키],$X449)&amp;"|"&amp;대상월키,월별근무지표[키],0)),"직접 입력",IF($L449="—","—","기관명단")))</f>
        <v/>
      </c>
      <c r="X449" s="4">
        <f>IFERROR(MATCH(444,합계표[판정순번],0),"")</f>
        <v/>
      </c>
    </row>
    <row r="450">
      <c r="A450">
        <f>IF($X450="","",INDEX(합계표[사번],$X450)&amp;"")</f>
        <v/>
      </c>
      <c r="B450">
        <f>IF($X450="","",INDEX(합계표[성명],$X450)&amp;"")</f>
        <v/>
      </c>
      <c r="C450">
        <f>IF($X450="","",INDEX(합계표[부서],$X450)&amp;"")</f>
        <v/>
      </c>
      <c r="D450">
        <f>IF($X450="","",INDEX(합계표[직위(요약)],$X450)&amp;"")</f>
        <v/>
      </c>
      <c r="E450">
        <f>IF($X450="","",INDEX(합계표[직급 공존],$X450)&amp;"")</f>
        <v/>
      </c>
      <c r="F450" s="20">
        <f>IF($X450="","",SUMIFS(합계표[시스템 합계],합계표[사번키],INDEX(합계표[사번키],$X450)))</f>
        <v/>
      </c>
      <c r="G450" s="20">
        <f>IF($X450="","",SUMIFS(상세표[기록 시간외],상세표[사번키],INDEX(합계표[사번키],$X450),상세표[기록월],대상월키))</f>
        <v/>
      </c>
      <c r="H450">
        <f>IF($X450="","",IF(ABS($F450-$G450)&lt;0.01,"일치","불일치(차이 "&amp;TEXT($G450-$F450,"0.00")&amp;")"))</f>
        <v/>
      </c>
      <c r="I450" s="20">
        <f>IF($X450="","",SUMIFS(상세표[기록 시간외],상세표[사번키],INDEX(합계표[사번키],$X450),상세표[기록월],대상월키,상세표[반영월],"&lt;&gt;"&amp;대상월키))</f>
        <v/>
      </c>
      <c r="J450" s="20">
        <f>IF($X450="","",SUMIFS(상세표[기록 시간외],상세표[사번키],INDEX(합계표[사번키],$X450),상세표[기록월],"&lt;&gt;"&amp;대상월키,상세표[반영월],대상월키))</f>
        <v/>
      </c>
      <c r="K450" s="20">
        <f>IF($X450="","",SUMIFS(상세표[기록 시간외],상세표[사번키],INDEX(합계표[사번키],$X450),상세표[반영월],대상월키))</f>
        <v/>
      </c>
      <c r="L450">
        <f>IF($X450="","",IFERROR(INDEX(월별근무지표[적용 급여병원],MATCH(INDEX(합계표[사번키],$X450)&amp;"|"&amp;대상월키,월별근무지표[키],0))&amp;"",IF(COUNTIF(기관표[사번키],INDEX(합계표[사번키],$X450))+COUNTIF(월별근무지표[사번키],INDEX(합계표[사번키],$X450))&gt;0,IFERROR(INDEX(기관표[급여지급병원(기준월)],MATCH(INDEX(합계표[사번키],$X450)&amp;"|"&amp;대상월키,기관표[키],0))&amp;"","—"),"—")))</f>
        <v/>
      </c>
      <c r="M450">
        <f>IF($X450="","",IF(NOT(COUNTIF(기관표[사번키],INDEX(합계표[사번키],$X450))+COUNTIF(월별근무지표[사번키],INDEX(합계표[사번키],$X450))&gt;0),"기관명단에 없음(다른 병원으로 발송)",IF($L450="서울병원","해당",IF(N($R450)&gt;0,"해당(말일 근무)",IF($L450="—","대상월 기관명단 없음(추가 필요)","비해당")))))</f>
        <v/>
      </c>
      <c r="N450" s="20">
        <f>IF($X450="","",SUMIFS(상세표[06~07시],상세표[사번키],INDEX(합계표[사번키],$X450),상세표[반영월],대상월키,상세표[반영 기관],"서울병원"))</f>
        <v/>
      </c>
      <c r="O450" s="20">
        <f>IF($X450="","",SUMIFS(상세표[07~18시],상세표[사번키],INDEX(합계표[사번키],$X450),상세표[반영월],대상월키,상세표[반영 기관],"서울병원"))</f>
        <v/>
      </c>
      <c r="P450" s="20">
        <f>IF($X450="","",SUMIFS(상세표[18~22시],상세표[사번키],INDEX(합계표[사번키],$X450),상세표[반영월],대상월키,상세표[반영 기관],"서울병원"))</f>
        <v/>
      </c>
      <c r="Q450" s="20">
        <f>IF($X450="","",SUMIFS(상세표[22~06시],상세표[사번키],INDEX(합계표[사번키],$X450),상세표[반영월],대상월키,상세표[반영 기관],"서울병원"))</f>
        <v/>
      </c>
      <c r="R450" s="20">
        <f>IF($X450="","",SUM($N450:$Q450))</f>
        <v/>
      </c>
      <c r="S450">
        <f>IF($X450="","",COUNTIFS(상세표[사번키],INDEX(합계표[사번키],$X450),상세표[반영월],대상월키,상세표[야간당직],1,상세표[야간 구분],"평일"))</f>
        <v/>
      </c>
      <c r="T450">
        <f>IF($X450="","",COUNTIFS(상세표[사번키],INDEX(합계표[사번키],$X450),상세표[반영월],대상월키,상세표[야간당직],1,상세표[야간 구분],"휴일"))</f>
        <v/>
      </c>
      <c r="U450">
        <f>IF($X450="","",COUNTIFS(상세표[사번키],INDEX(합계표[사번키],$X450),상세표[반영월],대상월키,상세표[야간당직],1,상세표[야간 구분],"평일",상세표[반영 기관],"서울병원"))</f>
        <v/>
      </c>
      <c r="V450">
        <f>IF($X450="","",COUNTIFS(상세표[사번키],INDEX(합계표[사번키],$X450),상세표[반영월],대상월키,상세표[야간당직],1,상세표[야간 구분],"휴일",상세표[반영 기관],"서울병원"))</f>
        <v/>
      </c>
      <c r="W450">
        <f>IF($X450="","",IF(ISNUMBER(MATCH(INDEX(합계표[사번키],$X450)&amp;"|"&amp;대상월키,월별근무지표[키],0)),"직접 입력",IF($L450="—","—","기관명단")))</f>
        <v/>
      </c>
      <c r="X450" s="4">
        <f>IFERROR(MATCH(445,합계표[판정순번],0),"")</f>
        <v/>
      </c>
    </row>
    <row r="451">
      <c r="A451">
        <f>IF($X451="","",INDEX(합계표[사번],$X451)&amp;"")</f>
        <v/>
      </c>
      <c r="B451">
        <f>IF($X451="","",INDEX(합계표[성명],$X451)&amp;"")</f>
        <v/>
      </c>
      <c r="C451">
        <f>IF($X451="","",INDEX(합계표[부서],$X451)&amp;"")</f>
        <v/>
      </c>
      <c r="D451">
        <f>IF($X451="","",INDEX(합계표[직위(요약)],$X451)&amp;"")</f>
        <v/>
      </c>
      <c r="E451">
        <f>IF($X451="","",INDEX(합계표[직급 공존],$X451)&amp;"")</f>
        <v/>
      </c>
      <c r="F451" s="20">
        <f>IF($X451="","",SUMIFS(합계표[시스템 합계],합계표[사번키],INDEX(합계표[사번키],$X451)))</f>
        <v/>
      </c>
      <c r="G451" s="20">
        <f>IF($X451="","",SUMIFS(상세표[기록 시간외],상세표[사번키],INDEX(합계표[사번키],$X451),상세표[기록월],대상월키))</f>
        <v/>
      </c>
      <c r="H451">
        <f>IF($X451="","",IF(ABS($F451-$G451)&lt;0.01,"일치","불일치(차이 "&amp;TEXT($G451-$F451,"0.00")&amp;")"))</f>
        <v/>
      </c>
      <c r="I451" s="20">
        <f>IF($X451="","",SUMIFS(상세표[기록 시간외],상세표[사번키],INDEX(합계표[사번키],$X451),상세표[기록월],대상월키,상세표[반영월],"&lt;&gt;"&amp;대상월키))</f>
        <v/>
      </c>
      <c r="J451" s="20">
        <f>IF($X451="","",SUMIFS(상세표[기록 시간외],상세표[사번키],INDEX(합계표[사번키],$X451),상세표[기록월],"&lt;&gt;"&amp;대상월키,상세표[반영월],대상월키))</f>
        <v/>
      </c>
      <c r="K451" s="20">
        <f>IF($X451="","",SUMIFS(상세표[기록 시간외],상세표[사번키],INDEX(합계표[사번키],$X451),상세표[반영월],대상월키))</f>
        <v/>
      </c>
      <c r="L451">
        <f>IF($X451="","",IFERROR(INDEX(월별근무지표[적용 급여병원],MATCH(INDEX(합계표[사번키],$X451)&amp;"|"&amp;대상월키,월별근무지표[키],0))&amp;"",IF(COUNTIF(기관표[사번키],INDEX(합계표[사번키],$X451))+COUNTIF(월별근무지표[사번키],INDEX(합계표[사번키],$X451))&gt;0,IFERROR(INDEX(기관표[급여지급병원(기준월)],MATCH(INDEX(합계표[사번키],$X451)&amp;"|"&amp;대상월키,기관표[키],0))&amp;"","—"),"—")))</f>
        <v/>
      </c>
      <c r="M451">
        <f>IF($X451="","",IF(NOT(COUNTIF(기관표[사번키],INDEX(합계표[사번키],$X451))+COUNTIF(월별근무지표[사번키],INDEX(합계표[사번키],$X451))&gt;0),"기관명단에 없음(다른 병원으로 발송)",IF($L451="서울병원","해당",IF(N($R451)&gt;0,"해당(말일 근무)",IF($L451="—","대상월 기관명단 없음(추가 필요)","비해당")))))</f>
        <v/>
      </c>
      <c r="N451" s="20">
        <f>IF($X451="","",SUMIFS(상세표[06~07시],상세표[사번키],INDEX(합계표[사번키],$X451),상세표[반영월],대상월키,상세표[반영 기관],"서울병원"))</f>
        <v/>
      </c>
      <c r="O451" s="20">
        <f>IF($X451="","",SUMIFS(상세표[07~18시],상세표[사번키],INDEX(합계표[사번키],$X451),상세표[반영월],대상월키,상세표[반영 기관],"서울병원"))</f>
        <v/>
      </c>
      <c r="P451" s="20">
        <f>IF($X451="","",SUMIFS(상세표[18~22시],상세표[사번키],INDEX(합계표[사번키],$X451),상세표[반영월],대상월키,상세표[반영 기관],"서울병원"))</f>
        <v/>
      </c>
      <c r="Q451" s="20">
        <f>IF($X451="","",SUMIFS(상세표[22~06시],상세표[사번키],INDEX(합계표[사번키],$X451),상세표[반영월],대상월키,상세표[반영 기관],"서울병원"))</f>
        <v/>
      </c>
      <c r="R451" s="20">
        <f>IF($X451="","",SUM($N451:$Q451))</f>
        <v/>
      </c>
      <c r="S451">
        <f>IF($X451="","",COUNTIFS(상세표[사번키],INDEX(합계표[사번키],$X451),상세표[반영월],대상월키,상세표[야간당직],1,상세표[야간 구분],"평일"))</f>
        <v/>
      </c>
      <c r="T451">
        <f>IF($X451="","",COUNTIFS(상세표[사번키],INDEX(합계표[사번키],$X451),상세표[반영월],대상월키,상세표[야간당직],1,상세표[야간 구분],"휴일"))</f>
        <v/>
      </c>
      <c r="U451">
        <f>IF($X451="","",COUNTIFS(상세표[사번키],INDEX(합계표[사번키],$X451),상세표[반영월],대상월키,상세표[야간당직],1,상세표[야간 구분],"평일",상세표[반영 기관],"서울병원"))</f>
        <v/>
      </c>
      <c r="V451">
        <f>IF($X451="","",COUNTIFS(상세표[사번키],INDEX(합계표[사번키],$X451),상세표[반영월],대상월키,상세표[야간당직],1,상세표[야간 구분],"휴일",상세표[반영 기관],"서울병원"))</f>
        <v/>
      </c>
      <c r="W451">
        <f>IF($X451="","",IF(ISNUMBER(MATCH(INDEX(합계표[사번키],$X451)&amp;"|"&amp;대상월키,월별근무지표[키],0)),"직접 입력",IF($L451="—","—","기관명단")))</f>
        <v/>
      </c>
      <c r="X451" s="4">
        <f>IFERROR(MATCH(446,합계표[판정순번],0),"")</f>
        <v/>
      </c>
    </row>
    <row r="452">
      <c r="A452">
        <f>IF($X452="","",INDEX(합계표[사번],$X452)&amp;"")</f>
        <v/>
      </c>
      <c r="B452">
        <f>IF($X452="","",INDEX(합계표[성명],$X452)&amp;"")</f>
        <v/>
      </c>
      <c r="C452">
        <f>IF($X452="","",INDEX(합계표[부서],$X452)&amp;"")</f>
        <v/>
      </c>
      <c r="D452">
        <f>IF($X452="","",INDEX(합계표[직위(요약)],$X452)&amp;"")</f>
        <v/>
      </c>
      <c r="E452">
        <f>IF($X452="","",INDEX(합계표[직급 공존],$X452)&amp;"")</f>
        <v/>
      </c>
      <c r="F452" s="20">
        <f>IF($X452="","",SUMIFS(합계표[시스템 합계],합계표[사번키],INDEX(합계표[사번키],$X452)))</f>
        <v/>
      </c>
      <c r="G452" s="20">
        <f>IF($X452="","",SUMIFS(상세표[기록 시간외],상세표[사번키],INDEX(합계표[사번키],$X452),상세표[기록월],대상월키))</f>
        <v/>
      </c>
      <c r="H452">
        <f>IF($X452="","",IF(ABS($F452-$G452)&lt;0.01,"일치","불일치(차이 "&amp;TEXT($G452-$F452,"0.00")&amp;")"))</f>
        <v/>
      </c>
      <c r="I452" s="20">
        <f>IF($X452="","",SUMIFS(상세표[기록 시간외],상세표[사번키],INDEX(합계표[사번키],$X452),상세표[기록월],대상월키,상세표[반영월],"&lt;&gt;"&amp;대상월키))</f>
        <v/>
      </c>
      <c r="J452" s="20">
        <f>IF($X452="","",SUMIFS(상세표[기록 시간외],상세표[사번키],INDEX(합계표[사번키],$X452),상세표[기록월],"&lt;&gt;"&amp;대상월키,상세표[반영월],대상월키))</f>
        <v/>
      </c>
      <c r="K452" s="20">
        <f>IF($X452="","",SUMIFS(상세표[기록 시간외],상세표[사번키],INDEX(합계표[사번키],$X452),상세표[반영월],대상월키))</f>
        <v/>
      </c>
      <c r="L452">
        <f>IF($X452="","",IFERROR(INDEX(월별근무지표[적용 급여병원],MATCH(INDEX(합계표[사번키],$X452)&amp;"|"&amp;대상월키,월별근무지표[키],0))&amp;"",IF(COUNTIF(기관표[사번키],INDEX(합계표[사번키],$X452))+COUNTIF(월별근무지표[사번키],INDEX(합계표[사번키],$X452))&gt;0,IFERROR(INDEX(기관표[급여지급병원(기준월)],MATCH(INDEX(합계표[사번키],$X452)&amp;"|"&amp;대상월키,기관표[키],0))&amp;"","—"),"—")))</f>
        <v/>
      </c>
      <c r="M452">
        <f>IF($X452="","",IF(NOT(COUNTIF(기관표[사번키],INDEX(합계표[사번키],$X452))+COUNTIF(월별근무지표[사번키],INDEX(합계표[사번키],$X452))&gt;0),"기관명단에 없음(다른 병원으로 발송)",IF($L452="서울병원","해당",IF(N($R452)&gt;0,"해당(말일 근무)",IF($L452="—","대상월 기관명단 없음(추가 필요)","비해당")))))</f>
        <v/>
      </c>
      <c r="N452" s="20">
        <f>IF($X452="","",SUMIFS(상세표[06~07시],상세표[사번키],INDEX(합계표[사번키],$X452),상세표[반영월],대상월키,상세표[반영 기관],"서울병원"))</f>
        <v/>
      </c>
      <c r="O452" s="20">
        <f>IF($X452="","",SUMIFS(상세표[07~18시],상세표[사번키],INDEX(합계표[사번키],$X452),상세표[반영월],대상월키,상세표[반영 기관],"서울병원"))</f>
        <v/>
      </c>
      <c r="P452" s="20">
        <f>IF($X452="","",SUMIFS(상세표[18~22시],상세표[사번키],INDEX(합계표[사번키],$X452),상세표[반영월],대상월키,상세표[반영 기관],"서울병원"))</f>
        <v/>
      </c>
      <c r="Q452" s="20">
        <f>IF($X452="","",SUMIFS(상세표[22~06시],상세표[사번키],INDEX(합계표[사번키],$X452),상세표[반영월],대상월키,상세표[반영 기관],"서울병원"))</f>
        <v/>
      </c>
      <c r="R452" s="20">
        <f>IF($X452="","",SUM($N452:$Q452))</f>
        <v/>
      </c>
      <c r="S452">
        <f>IF($X452="","",COUNTIFS(상세표[사번키],INDEX(합계표[사번키],$X452),상세표[반영월],대상월키,상세표[야간당직],1,상세표[야간 구분],"평일"))</f>
        <v/>
      </c>
      <c r="T452">
        <f>IF($X452="","",COUNTIFS(상세표[사번키],INDEX(합계표[사번키],$X452),상세표[반영월],대상월키,상세표[야간당직],1,상세표[야간 구분],"휴일"))</f>
        <v/>
      </c>
      <c r="U452">
        <f>IF($X452="","",COUNTIFS(상세표[사번키],INDEX(합계표[사번키],$X452),상세표[반영월],대상월키,상세표[야간당직],1,상세표[야간 구분],"평일",상세표[반영 기관],"서울병원"))</f>
        <v/>
      </c>
      <c r="V452">
        <f>IF($X452="","",COUNTIFS(상세표[사번키],INDEX(합계표[사번키],$X452),상세표[반영월],대상월키,상세표[야간당직],1,상세표[야간 구분],"휴일",상세표[반영 기관],"서울병원"))</f>
        <v/>
      </c>
      <c r="W452">
        <f>IF($X452="","",IF(ISNUMBER(MATCH(INDEX(합계표[사번키],$X452)&amp;"|"&amp;대상월키,월별근무지표[키],0)),"직접 입력",IF($L452="—","—","기관명단")))</f>
        <v/>
      </c>
      <c r="X452" s="4">
        <f>IFERROR(MATCH(447,합계표[판정순번],0),"")</f>
        <v/>
      </c>
    </row>
    <row r="453">
      <c r="A453">
        <f>IF($X453="","",INDEX(합계표[사번],$X453)&amp;"")</f>
        <v/>
      </c>
      <c r="B453">
        <f>IF($X453="","",INDEX(합계표[성명],$X453)&amp;"")</f>
        <v/>
      </c>
      <c r="C453">
        <f>IF($X453="","",INDEX(합계표[부서],$X453)&amp;"")</f>
        <v/>
      </c>
      <c r="D453">
        <f>IF($X453="","",INDEX(합계표[직위(요약)],$X453)&amp;"")</f>
        <v/>
      </c>
      <c r="E453">
        <f>IF($X453="","",INDEX(합계표[직급 공존],$X453)&amp;"")</f>
        <v/>
      </c>
      <c r="F453" s="20">
        <f>IF($X453="","",SUMIFS(합계표[시스템 합계],합계표[사번키],INDEX(합계표[사번키],$X453)))</f>
        <v/>
      </c>
      <c r="G453" s="20">
        <f>IF($X453="","",SUMIFS(상세표[기록 시간외],상세표[사번키],INDEX(합계표[사번키],$X453),상세표[기록월],대상월키))</f>
        <v/>
      </c>
      <c r="H453">
        <f>IF($X453="","",IF(ABS($F453-$G453)&lt;0.01,"일치","불일치(차이 "&amp;TEXT($G453-$F453,"0.00")&amp;")"))</f>
        <v/>
      </c>
      <c r="I453" s="20">
        <f>IF($X453="","",SUMIFS(상세표[기록 시간외],상세표[사번키],INDEX(합계표[사번키],$X453),상세표[기록월],대상월키,상세표[반영월],"&lt;&gt;"&amp;대상월키))</f>
        <v/>
      </c>
      <c r="J453" s="20">
        <f>IF($X453="","",SUMIFS(상세표[기록 시간외],상세표[사번키],INDEX(합계표[사번키],$X453),상세표[기록월],"&lt;&gt;"&amp;대상월키,상세표[반영월],대상월키))</f>
        <v/>
      </c>
      <c r="K453" s="20">
        <f>IF($X453="","",SUMIFS(상세표[기록 시간외],상세표[사번키],INDEX(합계표[사번키],$X453),상세표[반영월],대상월키))</f>
        <v/>
      </c>
      <c r="L453">
        <f>IF($X453="","",IFERROR(INDEX(월별근무지표[적용 급여병원],MATCH(INDEX(합계표[사번키],$X453)&amp;"|"&amp;대상월키,월별근무지표[키],0))&amp;"",IF(COUNTIF(기관표[사번키],INDEX(합계표[사번키],$X453))+COUNTIF(월별근무지표[사번키],INDEX(합계표[사번키],$X453))&gt;0,IFERROR(INDEX(기관표[급여지급병원(기준월)],MATCH(INDEX(합계표[사번키],$X453)&amp;"|"&amp;대상월키,기관표[키],0))&amp;"","—"),"—")))</f>
        <v/>
      </c>
      <c r="M453">
        <f>IF($X453="","",IF(NOT(COUNTIF(기관표[사번키],INDEX(합계표[사번키],$X453))+COUNTIF(월별근무지표[사번키],INDEX(합계표[사번키],$X453))&gt;0),"기관명단에 없음(다른 병원으로 발송)",IF($L453="서울병원","해당",IF(N($R453)&gt;0,"해당(말일 근무)",IF($L453="—","대상월 기관명단 없음(추가 필요)","비해당")))))</f>
        <v/>
      </c>
      <c r="N453" s="20">
        <f>IF($X453="","",SUMIFS(상세표[06~07시],상세표[사번키],INDEX(합계표[사번키],$X453),상세표[반영월],대상월키,상세표[반영 기관],"서울병원"))</f>
        <v/>
      </c>
      <c r="O453" s="20">
        <f>IF($X453="","",SUMIFS(상세표[07~18시],상세표[사번키],INDEX(합계표[사번키],$X453),상세표[반영월],대상월키,상세표[반영 기관],"서울병원"))</f>
        <v/>
      </c>
      <c r="P453" s="20">
        <f>IF($X453="","",SUMIFS(상세표[18~22시],상세표[사번키],INDEX(합계표[사번키],$X453),상세표[반영월],대상월키,상세표[반영 기관],"서울병원"))</f>
        <v/>
      </c>
      <c r="Q453" s="20">
        <f>IF($X453="","",SUMIFS(상세표[22~06시],상세표[사번키],INDEX(합계표[사번키],$X453),상세표[반영월],대상월키,상세표[반영 기관],"서울병원"))</f>
        <v/>
      </c>
      <c r="R453" s="20">
        <f>IF($X453="","",SUM($N453:$Q453))</f>
        <v/>
      </c>
      <c r="S453">
        <f>IF($X453="","",COUNTIFS(상세표[사번키],INDEX(합계표[사번키],$X453),상세표[반영월],대상월키,상세표[야간당직],1,상세표[야간 구분],"평일"))</f>
        <v/>
      </c>
      <c r="T453">
        <f>IF($X453="","",COUNTIFS(상세표[사번키],INDEX(합계표[사번키],$X453),상세표[반영월],대상월키,상세표[야간당직],1,상세표[야간 구분],"휴일"))</f>
        <v/>
      </c>
      <c r="U453">
        <f>IF($X453="","",COUNTIFS(상세표[사번키],INDEX(합계표[사번키],$X453),상세표[반영월],대상월키,상세표[야간당직],1,상세표[야간 구분],"평일",상세표[반영 기관],"서울병원"))</f>
        <v/>
      </c>
      <c r="V453">
        <f>IF($X453="","",COUNTIFS(상세표[사번키],INDEX(합계표[사번키],$X453),상세표[반영월],대상월키,상세표[야간당직],1,상세표[야간 구분],"휴일",상세표[반영 기관],"서울병원"))</f>
        <v/>
      </c>
      <c r="W453">
        <f>IF($X453="","",IF(ISNUMBER(MATCH(INDEX(합계표[사번키],$X453)&amp;"|"&amp;대상월키,월별근무지표[키],0)),"직접 입력",IF($L453="—","—","기관명단")))</f>
        <v/>
      </c>
      <c r="X453" s="4">
        <f>IFERROR(MATCH(448,합계표[판정순번],0),"")</f>
        <v/>
      </c>
    </row>
    <row r="454">
      <c r="A454">
        <f>IF($X454="","",INDEX(합계표[사번],$X454)&amp;"")</f>
        <v/>
      </c>
      <c r="B454">
        <f>IF($X454="","",INDEX(합계표[성명],$X454)&amp;"")</f>
        <v/>
      </c>
      <c r="C454">
        <f>IF($X454="","",INDEX(합계표[부서],$X454)&amp;"")</f>
        <v/>
      </c>
      <c r="D454">
        <f>IF($X454="","",INDEX(합계표[직위(요약)],$X454)&amp;"")</f>
        <v/>
      </c>
      <c r="E454">
        <f>IF($X454="","",INDEX(합계표[직급 공존],$X454)&amp;"")</f>
        <v/>
      </c>
      <c r="F454" s="20">
        <f>IF($X454="","",SUMIFS(합계표[시스템 합계],합계표[사번키],INDEX(합계표[사번키],$X454)))</f>
        <v/>
      </c>
      <c r="G454" s="20">
        <f>IF($X454="","",SUMIFS(상세표[기록 시간외],상세표[사번키],INDEX(합계표[사번키],$X454),상세표[기록월],대상월키))</f>
        <v/>
      </c>
      <c r="H454">
        <f>IF($X454="","",IF(ABS($F454-$G454)&lt;0.01,"일치","불일치(차이 "&amp;TEXT($G454-$F454,"0.00")&amp;")"))</f>
        <v/>
      </c>
      <c r="I454" s="20">
        <f>IF($X454="","",SUMIFS(상세표[기록 시간외],상세표[사번키],INDEX(합계표[사번키],$X454),상세표[기록월],대상월키,상세표[반영월],"&lt;&gt;"&amp;대상월키))</f>
        <v/>
      </c>
      <c r="J454" s="20">
        <f>IF($X454="","",SUMIFS(상세표[기록 시간외],상세표[사번키],INDEX(합계표[사번키],$X454),상세표[기록월],"&lt;&gt;"&amp;대상월키,상세표[반영월],대상월키))</f>
        <v/>
      </c>
      <c r="K454" s="20">
        <f>IF($X454="","",SUMIFS(상세표[기록 시간외],상세표[사번키],INDEX(합계표[사번키],$X454),상세표[반영월],대상월키))</f>
        <v/>
      </c>
      <c r="L454">
        <f>IF($X454="","",IFERROR(INDEX(월별근무지표[적용 급여병원],MATCH(INDEX(합계표[사번키],$X454)&amp;"|"&amp;대상월키,월별근무지표[키],0))&amp;"",IF(COUNTIF(기관표[사번키],INDEX(합계표[사번키],$X454))+COUNTIF(월별근무지표[사번키],INDEX(합계표[사번키],$X454))&gt;0,IFERROR(INDEX(기관표[급여지급병원(기준월)],MATCH(INDEX(합계표[사번키],$X454)&amp;"|"&amp;대상월키,기관표[키],0))&amp;"","—"),"—")))</f>
        <v/>
      </c>
      <c r="M454">
        <f>IF($X454="","",IF(NOT(COUNTIF(기관표[사번키],INDEX(합계표[사번키],$X454))+COUNTIF(월별근무지표[사번키],INDEX(합계표[사번키],$X454))&gt;0),"기관명단에 없음(다른 병원으로 발송)",IF($L454="서울병원","해당",IF(N($R454)&gt;0,"해당(말일 근무)",IF($L454="—","대상월 기관명단 없음(추가 필요)","비해당")))))</f>
        <v/>
      </c>
      <c r="N454" s="20">
        <f>IF($X454="","",SUMIFS(상세표[06~07시],상세표[사번키],INDEX(합계표[사번키],$X454),상세표[반영월],대상월키,상세표[반영 기관],"서울병원"))</f>
        <v/>
      </c>
      <c r="O454" s="20">
        <f>IF($X454="","",SUMIFS(상세표[07~18시],상세표[사번키],INDEX(합계표[사번키],$X454),상세표[반영월],대상월키,상세표[반영 기관],"서울병원"))</f>
        <v/>
      </c>
      <c r="P454" s="20">
        <f>IF($X454="","",SUMIFS(상세표[18~22시],상세표[사번키],INDEX(합계표[사번키],$X454),상세표[반영월],대상월키,상세표[반영 기관],"서울병원"))</f>
        <v/>
      </c>
      <c r="Q454" s="20">
        <f>IF($X454="","",SUMIFS(상세표[22~06시],상세표[사번키],INDEX(합계표[사번키],$X454),상세표[반영월],대상월키,상세표[반영 기관],"서울병원"))</f>
        <v/>
      </c>
      <c r="R454" s="20">
        <f>IF($X454="","",SUM($N454:$Q454))</f>
        <v/>
      </c>
      <c r="S454">
        <f>IF($X454="","",COUNTIFS(상세표[사번키],INDEX(합계표[사번키],$X454),상세표[반영월],대상월키,상세표[야간당직],1,상세표[야간 구분],"평일"))</f>
        <v/>
      </c>
      <c r="T454">
        <f>IF($X454="","",COUNTIFS(상세표[사번키],INDEX(합계표[사번키],$X454),상세표[반영월],대상월키,상세표[야간당직],1,상세표[야간 구분],"휴일"))</f>
        <v/>
      </c>
      <c r="U454">
        <f>IF($X454="","",COUNTIFS(상세표[사번키],INDEX(합계표[사번키],$X454),상세표[반영월],대상월키,상세표[야간당직],1,상세표[야간 구분],"평일",상세표[반영 기관],"서울병원"))</f>
        <v/>
      </c>
      <c r="V454">
        <f>IF($X454="","",COUNTIFS(상세표[사번키],INDEX(합계표[사번키],$X454),상세표[반영월],대상월키,상세표[야간당직],1,상세표[야간 구분],"휴일",상세표[반영 기관],"서울병원"))</f>
        <v/>
      </c>
      <c r="W454">
        <f>IF($X454="","",IF(ISNUMBER(MATCH(INDEX(합계표[사번키],$X454)&amp;"|"&amp;대상월키,월별근무지표[키],0)),"직접 입력",IF($L454="—","—","기관명단")))</f>
        <v/>
      </c>
      <c r="X454" s="4">
        <f>IFERROR(MATCH(449,합계표[판정순번],0),"")</f>
        <v/>
      </c>
    </row>
    <row r="455">
      <c r="A455">
        <f>IF($X455="","",INDEX(합계표[사번],$X455)&amp;"")</f>
        <v/>
      </c>
      <c r="B455">
        <f>IF($X455="","",INDEX(합계표[성명],$X455)&amp;"")</f>
        <v/>
      </c>
      <c r="C455">
        <f>IF($X455="","",INDEX(합계표[부서],$X455)&amp;"")</f>
        <v/>
      </c>
      <c r="D455">
        <f>IF($X455="","",INDEX(합계표[직위(요약)],$X455)&amp;"")</f>
        <v/>
      </c>
      <c r="E455">
        <f>IF($X455="","",INDEX(합계표[직급 공존],$X455)&amp;"")</f>
        <v/>
      </c>
      <c r="F455" s="20">
        <f>IF($X455="","",SUMIFS(합계표[시스템 합계],합계표[사번키],INDEX(합계표[사번키],$X455)))</f>
        <v/>
      </c>
      <c r="G455" s="20">
        <f>IF($X455="","",SUMIFS(상세표[기록 시간외],상세표[사번키],INDEX(합계표[사번키],$X455),상세표[기록월],대상월키))</f>
        <v/>
      </c>
      <c r="H455">
        <f>IF($X455="","",IF(ABS($F455-$G455)&lt;0.01,"일치","불일치(차이 "&amp;TEXT($G455-$F455,"0.00")&amp;")"))</f>
        <v/>
      </c>
      <c r="I455" s="20">
        <f>IF($X455="","",SUMIFS(상세표[기록 시간외],상세표[사번키],INDEX(합계표[사번키],$X455),상세표[기록월],대상월키,상세표[반영월],"&lt;&gt;"&amp;대상월키))</f>
        <v/>
      </c>
      <c r="J455" s="20">
        <f>IF($X455="","",SUMIFS(상세표[기록 시간외],상세표[사번키],INDEX(합계표[사번키],$X455),상세표[기록월],"&lt;&gt;"&amp;대상월키,상세표[반영월],대상월키))</f>
        <v/>
      </c>
      <c r="K455" s="20">
        <f>IF($X455="","",SUMIFS(상세표[기록 시간외],상세표[사번키],INDEX(합계표[사번키],$X455),상세표[반영월],대상월키))</f>
        <v/>
      </c>
      <c r="L455">
        <f>IF($X455="","",IFERROR(INDEX(월별근무지표[적용 급여병원],MATCH(INDEX(합계표[사번키],$X455)&amp;"|"&amp;대상월키,월별근무지표[키],0))&amp;"",IF(COUNTIF(기관표[사번키],INDEX(합계표[사번키],$X455))+COUNTIF(월별근무지표[사번키],INDEX(합계표[사번키],$X455))&gt;0,IFERROR(INDEX(기관표[급여지급병원(기준월)],MATCH(INDEX(합계표[사번키],$X455)&amp;"|"&amp;대상월키,기관표[키],0))&amp;"","—"),"—")))</f>
        <v/>
      </c>
      <c r="M455">
        <f>IF($X455="","",IF(NOT(COUNTIF(기관표[사번키],INDEX(합계표[사번키],$X455))+COUNTIF(월별근무지표[사번키],INDEX(합계표[사번키],$X455))&gt;0),"기관명단에 없음(다른 병원으로 발송)",IF($L455="서울병원","해당",IF(N($R455)&gt;0,"해당(말일 근무)",IF($L455="—","대상월 기관명단 없음(추가 필요)","비해당")))))</f>
        <v/>
      </c>
      <c r="N455" s="20">
        <f>IF($X455="","",SUMIFS(상세표[06~07시],상세표[사번키],INDEX(합계표[사번키],$X455),상세표[반영월],대상월키,상세표[반영 기관],"서울병원"))</f>
        <v/>
      </c>
      <c r="O455" s="20">
        <f>IF($X455="","",SUMIFS(상세표[07~18시],상세표[사번키],INDEX(합계표[사번키],$X455),상세표[반영월],대상월키,상세표[반영 기관],"서울병원"))</f>
        <v/>
      </c>
      <c r="P455" s="20">
        <f>IF($X455="","",SUMIFS(상세표[18~22시],상세표[사번키],INDEX(합계표[사번키],$X455),상세표[반영월],대상월키,상세표[반영 기관],"서울병원"))</f>
        <v/>
      </c>
      <c r="Q455" s="20">
        <f>IF($X455="","",SUMIFS(상세표[22~06시],상세표[사번키],INDEX(합계표[사번키],$X455),상세표[반영월],대상월키,상세표[반영 기관],"서울병원"))</f>
        <v/>
      </c>
      <c r="R455" s="20">
        <f>IF($X455="","",SUM($N455:$Q455))</f>
        <v/>
      </c>
      <c r="S455">
        <f>IF($X455="","",COUNTIFS(상세표[사번키],INDEX(합계표[사번키],$X455),상세표[반영월],대상월키,상세표[야간당직],1,상세표[야간 구분],"평일"))</f>
        <v/>
      </c>
      <c r="T455">
        <f>IF($X455="","",COUNTIFS(상세표[사번키],INDEX(합계표[사번키],$X455),상세표[반영월],대상월키,상세표[야간당직],1,상세표[야간 구분],"휴일"))</f>
        <v/>
      </c>
      <c r="U455">
        <f>IF($X455="","",COUNTIFS(상세표[사번키],INDEX(합계표[사번키],$X455),상세표[반영월],대상월키,상세표[야간당직],1,상세표[야간 구분],"평일",상세표[반영 기관],"서울병원"))</f>
        <v/>
      </c>
      <c r="V455">
        <f>IF($X455="","",COUNTIFS(상세표[사번키],INDEX(합계표[사번키],$X455),상세표[반영월],대상월키,상세표[야간당직],1,상세표[야간 구분],"휴일",상세표[반영 기관],"서울병원"))</f>
        <v/>
      </c>
      <c r="W455">
        <f>IF($X455="","",IF(ISNUMBER(MATCH(INDEX(합계표[사번키],$X455)&amp;"|"&amp;대상월키,월별근무지표[키],0)),"직접 입력",IF($L455="—","—","기관명단")))</f>
        <v/>
      </c>
      <c r="X455" s="4">
        <f>IFERROR(MATCH(450,합계표[판정순번],0),"")</f>
        <v/>
      </c>
    </row>
    <row r="456">
      <c r="A456">
        <f>IF($X456="","",INDEX(합계표[사번],$X456)&amp;"")</f>
        <v/>
      </c>
      <c r="B456">
        <f>IF($X456="","",INDEX(합계표[성명],$X456)&amp;"")</f>
        <v/>
      </c>
      <c r="C456">
        <f>IF($X456="","",INDEX(합계표[부서],$X456)&amp;"")</f>
        <v/>
      </c>
      <c r="D456">
        <f>IF($X456="","",INDEX(합계표[직위(요약)],$X456)&amp;"")</f>
        <v/>
      </c>
      <c r="E456">
        <f>IF($X456="","",INDEX(합계표[직급 공존],$X456)&amp;"")</f>
        <v/>
      </c>
      <c r="F456" s="20">
        <f>IF($X456="","",SUMIFS(합계표[시스템 합계],합계표[사번키],INDEX(합계표[사번키],$X456)))</f>
        <v/>
      </c>
      <c r="G456" s="20">
        <f>IF($X456="","",SUMIFS(상세표[기록 시간외],상세표[사번키],INDEX(합계표[사번키],$X456),상세표[기록월],대상월키))</f>
        <v/>
      </c>
      <c r="H456">
        <f>IF($X456="","",IF(ABS($F456-$G456)&lt;0.01,"일치","불일치(차이 "&amp;TEXT($G456-$F456,"0.00")&amp;")"))</f>
        <v/>
      </c>
      <c r="I456" s="20">
        <f>IF($X456="","",SUMIFS(상세표[기록 시간외],상세표[사번키],INDEX(합계표[사번키],$X456),상세표[기록월],대상월키,상세표[반영월],"&lt;&gt;"&amp;대상월키))</f>
        <v/>
      </c>
      <c r="J456" s="20">
        <f>IF($X456="","",SUMIFS(상세표[기록 시간외],상세표[사번키],INDEX(합계표[사번키],$X456),상세표[기록월],"&lt;&gt;"&amp;대상월키,상세표[반영월],대상월키))</f>
        <v/>
      </c>
      <c r="K456" s="20">
        <f>IF($X456="","",SUMIFS(상세표[기록 시간외],상세표[사번키],INDEX(합계표[사번키],$X456),상세표[반영월],대상월키))</f>
        <v/>
      </c>
      <c r="L456">
        <f>IF($X456="","",IFERROR(INDEX(월별근무지표[적용 급여병원],MATCH(INDEX(합계표[사번키],$X456)&amp;"|"&amp;대상월키,월별근무지표[키],0))&amp;"",IF(COUNTIF(기관표[사번키],INDEX(합계표[사번키],$X456))+COUNTIF(월별근무지표[사번키],INDEX(합계표[사번키],$X456))&gt;0,IFERROR(INDEX(기관표[급여지급병원(기준월)],MATCH(INDEX(합계표[사번키],$X456)&amp;"|"&amp;대상월키,기관표[키],0))&amp;"","—"),"—")))</f>
        <v/>
      </c>
      <c r="M456">
        <f>IF($X456="","",IF(NOT(COUNTIF(기관표[사번키],INDEX(합계표[사번키],$X456))+COUNTIF(월별근무지표[사번키],INDEX(합계표[사번키],$X456))&gt;0),"기관명단에 없음(다른 병원으로 발송)",IF($L456="서울병원","해당",IF(N($R456)&gt;0,"해당(말일 근무)",IF($L456="—","대상월 기관명단 없음(추가 필요)","비해당")))))</f>
        <v/>
      </c>
      <c r="N456" s="20">
        <f>IF($X456="","",SUMIFS(상세표[06~07시],상세표[사번키],INDEX(합계표[사번키],$X456),상세표[반영월],대상월키,상세표[반영 기관],"서울병원"))</f>
        <v/>
      </c>
      <c r="O456" s="20">
        <f>IF($X456="","",SUMIFS(상세표[07~18시],상세표[사번키],INDEX(합계표[사번키],$X456),상세표[반영월],대상월키,상세표[반영 기관],"서울병원"))</f>
        <v/>
      </c>
      <c r="P456" s="20">
        <f>IF($X456="","",SUMIFS(상세표[18~22시],상세표[사번키],INDEX(합계표[사번키],$X456),상세표[반영월],대상월키,상세표[반영 기관],"서울병원"))</f>
        <v/>
      </c>
      <c r="Q456" s="20">
        <f>IF($X456="","",SUMIFS(상세표[22~06시],상세표[사번키],INDEX(합계표[사번키],$X456),상세표[반영월],대상월키,상세표[반영 기관],"서울병원"))</f>
        <v/>
      </c>
      <c r="R456" s="20">
        <f>IF($X456="","",SUM($N456:$Q456))</f>
        <v/>
      </c>
      <c r="S456">
        <f>IF($X456="","",COUNTIFS(상세표[사번키],INDEX(합계표[사번키],$X456),상세표[반영월],대상월키,상세표[야간당직],1,상세표[야간 구분],"평일"))</f>
        <v/>
      </c>
      <c r="T456">
        <f>IF($X456="","",COUNTIFS(상세표[사번키],INDEX(합계표[사번키],$X456),상세표[반영월],대상월키,상세표[야간당직],1,상세표[야간 구분],"휴일"))</f>
        <v/>
      </c>
      <c r="U456">
        <f>IF($X456="","",COUNTIFS(상세표[사번키],INDEX(합계표[사번키],$X456),상세표[반영월],대상월키,상세표[야간당직],1,상세표[야간 구분],"평일",상세표[반영 기관],"서울병원"))</f>
        <v/>
      </c>
      <c r="V456">
        <f>IF($X456="","",COUNTIFS(상세표[사번키],INDEX(합계표[사번키],$X456),상세표[반영월],대상월키,상세표[야간당직],1,상세표[야간 구분],"휴일",상세표[반영 기관],"서울병원"))</f>
        <v/>
      </c>
      <c r="W456">
        <f>IF($X456="","",IF(ISNUMBER(MATCH(INDEX(합계표[사번키],$X456)&amp;"|"&amp;대상월키,월별근무지표[키],0)),"직접 입력",IF($L456="—","—","기관명단")))</f>
        <v/>
      </c>
      <c r="X456" s="4">
        <f>IFERROR(MATCH(451,합계표[판정순번],0),"")</f>
        <v/>
      </c>
    </row>
    <row r="457">
      <c r="A457">
        <f>IF($X457="","",INDEX(합계표[사번],$X457)&amp;"")</f>
        <v/>
      </c>
      <c r="B457">
        <f>IF($X457="","",INDEX(합계표[성명],$X457)&amp;"")</f>
        <v/>
      </c>
      <c r="C457">
        <f>IF($X457="","",INDEX(합계표[부서],$X457)&amp;"")</f>
        <v/>
      </c>
      <c r="D457">
        <f>IF($X457="","",INDEX(합계표[직위(요약)],$X457)&amp;"")</f>
        <v/>
      </c>
      <c r="E457">
        <f>IF($X457="","",INDEX(합계표[직급 공존],$X457)&amp;"")</f>
        <v/>
      </c>
      <c r="F457" s="20">
        <f>IF($X457="","",SUMIFS(합계표[시스템 합계],합계표[사번키],INDEX(합계표[사번키],$X457)))</f>
        <v/>
      </c>
      <c r="G457" s="20">
        <f>IF($X457="","",SUMIFS(상세표[기록 시간외],상세표[사번키],INDEX(합계표[사번키],$X457),상세표[기록월],대상월키))</f>
        <v/>
      </c>
      <c r="H457">
        <f>IF($X457="","",IF(ABS($F457-$G457)&lt;0.01,"일치","불일치(차이 "&amp;TEXT($G457-$F457,"0.00")&amp;")"))</f>
        <v/>
      </c>
      <c r="I457" s="20">
        <f>IF($X457="","",SUMIFS(상세표[기록 시간외],상세표[사번키],INDEX(합계표[사번키],$X457),상세표[기록월],대상월키,상세표[반영월],"&lt;&gt;"&amp;대상월키))</f>
        <v/>
      </c>
      <c r="J457" s="20">
        <f>IF($X457="","",SUMIFS(상세표[기록 시간외],상세표[사번키],INDEX(합계표[사번키],$X457),상세표[기록월],"&lt;&gt;"&amp;대상월키,상세표[반영월],대상월키))</f>
        <v/>
      </c>
      <c r="K457" s="20">
        <f>IF($X457="","",SUMIFS(상세표[기록 시간외],상세표[사번키],INDEX(합계표[사번키],$X457),상세표[반영월],대상월키))</f>
        <v/>
      </c>
      <c r="L457">
        <f>IF($X457="","",IFERROR(INDEX(월별근무지표[적용 급여병원],MATCH(INDEX(합계표[사번키],$X457)&amp;"|"&amp;대상월키,월별근무지표[키],0))&amp;"",IF(COUNTIF(기관표[사번키],INDEX(합계표[사번키],$X457))+COUNTIF(월별근무지표[사번키],INDEX(합계표[사번키],$X457))&gt;0,IFERROR(INDEX(기관표[급여지급병원(기준월)],MATCH(INDEX(합계표[사번키],$X457)&amp;"|"&amp;대상월키,기관표[키],0))&amp;"","—"),"—")))</f>
        <v/>
      </c>
      <c r="M457">
        <f>IF($X457="","",IF(NOT(COUNTIF(기관표[사번키],INDEX(합계표[사번키],$X457))+COUNTIF(월별근무지표[사번키],INDEX(합계표[사번키],$X457))&gt;0),"기관명단에 없음(다른 병원으로 발송)",IF($L457="서울병원","해당",IF(N($R457)&gt;0,"해당(말일 근무)",IF($L457="—","대상월 기관명단 없음(추가 필요)","비해당")))))</f>
        <v/>
      </c>
      <c r="N457" s="20">
        <f>IF($X457="","",SUMIFS(상세표[06~07시],상세표[사번키],INDEX(합계표[사번키],$X457),상세표[반영월],대상월키,상세표[반영 기관],"서울병원"))</f>
        <v/>
      </c>
      <c r="O457" s="20">
        <f>IF($X457="","",SUMIFS(상세표[07~18시],상세표[사번키],INDEX(합계표[사번키],$X457),상세표[반영월],대상월키,상세표[반영 기관],"서울병원"))</f>
        <v/>
      </c>
      <c r="P457" s="20">
        <f>IF($X457="","",SUMIFS(상세표[18~22시],상세표[사번키],INDEX(합계표[사번키],$X457),상세표[반영월],대상월키,상세표[반영 기관],"서울병원"))</f>
        <v/>
      </c>
      <c r="Q457" s="20">
        <f>IF($X457="","",SUMIFS(상세표[22~06시],상세표[사번키],INDEX(합계표[사번키],$X457),상세표[반영월],대상월키,상세표[반영 기관],"서울병원"))</f>
        <v/>
      </c>
      <c r="R457" s="20">
        <f>IF($X457="","",SUM($N457:$Q457))</f>
        <v/>
      </c>
      <c r="S457">
        <f>IF($X457="","",COUNTIFS(상세표[사번키],INDEX(합계표[사번키],$X457),상세표[반영월],대상월키,상세표[야간당직],1,상세표[야간 구분],"평일"))</f>
        <v/>
      </c>
      <c r="T457">
        <f>IF($X457="","",COUNTIFS(상세표[사번키],INDEX(합계표[사번키],$X457),상세표[반영월],대상월키,상세표[야간당직],1,상세표[야간 구분],"휴일"))</f>
        <v/>
      </c>
      <c r="U457">
        <f>IF($X457="","",COUNTIFS(상세표[사번키],INDEX(합계표[사번키],$X457),상세표[반영월],대상월키,상세표[야간당직],1,상세표[야간 구분],"평일",상세표[반영 기관],"서울병원"))</f>
        <v/>
      </c>
      <c r="V457">
        <f>IF($X457="","",COUNTIFS(상세표[사번키],INDEX(합계표[사번키],$X457),상세표[반영월],대상월키,상세표[야간당직],1,상세표[야간 구분],"휴일",상세표[반영 기관],"서울병원"))</f>
        <v/>
      </c>
      <c r="W457">
        <f>IF($X457="","",IF(ISNUMBER(MATCH(INDEX(합계표[사번키],$X457)&amp;"|"&amp;대상월키,월별근무지표[키],0)),"직접 입력",IF($L457="—","—","기관명단")))</f>
        <v/>
      </c>
      <c r="X457" s="4">
        <f>IFERROR(MATCH(452,합계표[판정순번],0),"")</f>
        <v/>
      </c>
    </row>
    <row r="458">
      <c r="A458">
        <f>IF($X458="","",INDEX(합계표[사번],$X458)&amp;"")</f>
        <v/>
      </c>
      <c r="B458">
        <f>IF($X458="","",INDEX(합계표[성명],$X458)&amp;"")</f>
        <v/>
      </c>
      <c r="C458">
        <f>IF($X458="","",INDEX(합계표[부서],$X458)&amp;"")</f>
        <v/>
      </c>
      <c r="D458">
        <f>IF($X458="","",INDEX(합계표[직위(요약)],$X458)&amp;"")</f>
        <v/>
      </c>
      <c r="E458">
        <f>IF($X458="","",INDEX(합계표[직급 공존],$X458)&amp;"")</f>
        <v/>
      </c>
      <c r="F458" s="20">
        <f>IF($X458="","",SUMIFS(합계표[시스템 합계],합계표[사번키],INDEX(합계표[사번키],$X458)))</f>
        <v/>
      </c>
      <c r="G458" s="20">
        <f>IF($X458="","",SUMIFS(상세표[기록 시간외],상세표[사번키],INDEX(합계표[사번키],$X458),상세표[기록월],대상월키))</f>
        <v/>
      </c>
      <c r="H458">
        <f>IF($X458="","",IF(ABS($F458-$G458)&lt;0.01,"일치","불일치(차이 "&amp;TEXT($G458-$F458,"0.00")&amp;")"))</f>
        <v/>
      </c>
      <c r="I458" s="20">
        <f>IF($X458="","",SUMIFS(상세표[기록 시간외],상세표[사번키],INDEX(합계표[사번키],$X458),상세표[기록월],대상월키,상세표[반영월],"&lt;&gt;"&amp;대상월키))</f>
        <v/>
      </c>
      <c r="J458" s="20">
        <f>IF($X458="","",SUMIFS(상세표[기록 시간외],상세표[사번키],INDEX(합계표[사번키],$X458),상세표[기록월],"&lt;&gt;"&amp;대상월키,상세표[반영월],대상월키))</f>
        <v/>
      </c>
      <c r="K458" s="20">
        <f>IF($X458="","",SUMIFS(상세표[기록 시간외],상세표[사번키],INDEX(합계표[사번키],$X458),상세표[반영월],대상월키))</f>
        <v/>
      </c>
      <c r="L458">
        <f>IF($X458="","",IFERROR(INDEX(월별근무지표[적용 급여병원],MATCH(INDEX(합계표[사번키],$X458)&amp;"|"&amp;대상월키,월별근무지표[키],0))&amp;"",IF(COUNTIF(기관표[사번키],INDEX(합계표[사번키],$X458))+COUNTIF(월별근무지표[사번키],INDEX(합계표[사번키],$X458))&gt;0,IFERROR(INDEX(기관표[급여지급병원(기준월)],MATCH(INDEX(합계표[사번키],$X458)&amp;"|"&amp;대상월키,기관표[키],0))&amp;"","—"),"—")))</f>
        <v/>
      </c>
      <c r="M458">
        <f>IF($X458="","",IF(NOT(COUNTIF(기관표[사번키],INDEX(합계표[사번키],$X458))+COUNTIF(월별근무지표[사번키],INDEX(합계표[사번키],$X458))&gt;0),"기관명단에 없음(다른 병원으로 발송)",IF($L458="서울병원","해당",IF(N($R458)&gt;0,"해당(말일 근무)",IF($L458="—","대상월 기관명단 없음(추가 필요)","비해당")))))</f>
        <v/>
      </c>
      <c r="N458" s="20">
        <f>IF($X458="","",SUMIFS(상세표[06~07시],상세표[사번키],INDEX(합계표[사번키],$X458),상세표[반영월],대상월키,상세표[반영 기관],"서울병원"))</f>
        <v/>
      </c>
      <c r="O458" s="20">
        <f>IF($X458="","",SUMIFS(상세표[07~18시],상세표[사번키],INDEX(합계표[사번키],$X458),상세표[반영월],대상월키,상세표[반영 기관],"서울병원"))</f>
        <v/>
      </c>
      <c r="P458" s="20">
        <f>IF($X458="","",SUMIFS(상세표[18~22시],상세표[사번키],INDEX(합계표[사번키],$X458),상세표[반영월],대상월키,상세표[반영 기관],"서울병원"))</f>
        <v/>
      </c>
      <c r="Q458" s="20">
        <f>IF($X458="","",SUMIFS(상세표[22~06시],상세표[사번키],INDEX(합계표[사번키],$X458),상세표[반영월],대상월키,상세표[반영 기관],"서울병원"))</f>
        <v/>
      </c>
      <c r="R458" s="20">
        <f>IF($X458="","",SUM($N458:$Q458))</f>
        <v/>
      </c>
      <c r="S458">
        <f>IF($X458="","",COUNTIFS(상세표[사번키],INDEX(합계표[사번키],$X458),상세표[반영월],대상월키,상세표[야간당직],1,상세표[야간 구분],"평일"))</f>
        <v/>
      </c>
      <c r="T458">
        <f>IF($X458="","",COUNTIFS(상세표[사번키],INDEX(합계표[사번키],$X458),상세표[반영월],대상월키,상세표[야간당직],1,상세표[야간 구분],"휴일"))</f>
        <v/>
      </c>
      <c r="U458">
        <f>IF($X458="","",COUNTIFS(상세표[사번키],INDEX(합계표[사번키],$X458),상세표[반영월],대상월키,상세표[야간당직],1,상세표[야간 구분],"평일",상세표[반영 기관],"서울병원"))</f>
        <v/>
      </c>
      <c r="V458">
        <f>IF($X458="","",COUNTIFS(상세표[사번키],INDEX(합계표[사번키],$X458),상세표[반영월],대상월키,상세표[야간당직],1,상세표[야간 구분],"휴일",상세표[반영 기관],"서울병원"))</f>
        <v/>
      </c>
      <c r="W458">
        <f>IF($X458="","",IF(ISNUMBER(MATCH(INDEX(합계표[사번키],$X458)&amp;"|"&amp;대상월키,월별근무지표[키],0)),"직접 입력",IF($L458="—","—","기관명단")))</f>
        <v/>
      </c>
      <c r="X458" s="4">
        <f>IFERROR(MATCH(453,합계표[판정순번],0),"")</f>
        <v/>
      </c>
    </row>
    <row r="459">
      <c r="A459">
        <f>IF($X459="","",INDEX(합계표[사번],$X459)&amp;"")</f>
        <v/>
      </c>
      <c r="B459">
        <f>IF($X459="","",INDEX(합계표[성명],$X459)&amp;"")</f>
        <v/>
      </c>
      <c r="C459">
        <f>IF($X459="","",INDEX(합계표[부서],$X459)&amp;"")</f>
        <v/>
      </c>
      <c r="D459">
        <f>IF($X459="","",INDEX(합계표[직위(요약)],$X459)&amp;"")</f>
        <v/>
      </c>
      <c r="E459">
        <f>IF($X459="","",INDEX(합계표[직급 공존],$X459)&amp;"")</f>
        <v/>
      </c>
      <c r="F459" s="20">
        <f>IF($X459="","",SUMIFS(합계표[시스템 합계],합계표[사번키],INDEX(합계표[사번키],$X459)))</f>
        <v/>
      </c>
      <c r="G459" s="20">
        <f>IF($X459="","",SUMIFS(상세표[기록 시간외],상세표[사번키],INDEX(합계표[사번키],$X459),상세표[기록월],대상월키))</f>
        <v/>
      </c>
      <c r="H459">
        <f>IF($X459="","",IF(ABS($F459-$G459)&lt;0.01,"일치","불일치(차이 "&amp;TEXT($G459-$F459,"0.00")&amp;")"))</f>
        <v/>
      </c>
      <c r="I459" s="20">
        <f>IF($X459="","",SUMIFS(상세표[기록 시간외],상세표[사번키],INDEX(합계표[사번키],$X459),상세표[기록월],대상월키,상세표[반영월],"&lt;&gt;"&amp;대상월키))</f>
        <v/>
      </c>
      <c r="J459" s="20">
        <f>IF($X459="","",SUMIFS(상세표[기록 시간외],상세표[사번키],INDEX(합계표[사번키],$X459),상세표[기록월],"&lt;&gt;"&amp;대상월키,상세표[반영월],대상월키))</f>
        <v/>
      </c>
      <c r="K459" s="20">
        <f>IF($X459="","",SUMIFS(상세표[기록 시간외],상세표[사번키],INDEX(합계표[사번키],$X459),상세표[반영월],대상월키))</f>
        <v/>
      </c>
      <c r="L459">
        <f>IF($X459="","",IFERROR(INDEX(월별근무지표[적용 급여병원],MATCH(INDEX(합계표[사번키],$X459)&amp;"|"&amp;대상월키,월별근무지표[키],0))&amp;"",IF(COUNTIF(기관표[사번키],INDEX(합계표[사번키],$X459))+COUNTIF(월별근무지표[사번키],INDEX(합계표[사번키],$X459))&gt;0,IFERROR(INDEX(기관표[급여지급병원(기준월)],MATCH(INDEX(합계표[사번키],$X459)&amp;"|"&amp;대상월키,기관표[키],0))&amp;"","—"),"—")))</f>
        <v/>
      </c>
      <c r="M459">
        <f>IF($X459="","",IF(NOT(COUNTIF(기관표[사번키],INDEX(합계표[사번키],$X459))+COUNTIF(월별근무지표[사번키],INDEX(합계표[사번키],$X459))&gt;0),"기관명단에 없음(다른 병원으로 발송)",IF($L459="서울병원","해당",IF(N($R459)&gt;0,"해당(말일 근무)",IF($L459="—","대상월 기관명단 없음(추가 필요)","비해당")))))</f>
        <v/>
      </c>
      <c r="N459" s="20">
        <f>IF($X459="","",SUMIFS(상세표[06~07시],상세표[사번키],INDEX(합계표[사번키],$X459),상세표[반영월],대상월키,상세표[반영 기관],"서울병원"))</f>
        <v/>
      </c>
      <c r="O459" s="20">
        <f>IF($X459="","",SUMIFS(상세표[07~18시],상세표[사번키],INDEX(합계표[사번키],$X459),상세표[반영월],대상월키,상세표[반영 기관],"서울병원"))</f>
        <v/>
      </c>
      <c r="P459" s="20">
        <f>IF($X459="","",SUMIFS(상세표[18~22시],상세표[사번키],INDEX(합계표[사번키],$X459),상세표[반영월],대상월키,상세표[반영 기관],"서울병원"))</f>
        <v/>
      </c>
      <c r="Q459" s="20">
        <f>IF($X459="","",SUMIFS(상세표[22~06시],상세표[사번키],INDEX(합계표[사번키],$X459),상세표[반영월],대상월키,상세표[반영 기관],"서울병원"))</f>
        <v/>
      </c>
      <c r="R459" s="20">
        <f>IF($X459="","",SUM($N459:$Q459))</f>
        <v/>
      </c>
      <c r="S459">
        <f>IF($X459="","",COUNTIFS(상세표[사번키],INDEX(합계표[사번키],$X459),상세표[반영월],대상월키,상세표[야간당직],1,상세표[야간 구분],"평일"))</f>
        <v/>
      </c>
      <c r="T459">
        <f>IF($X459="","",COUNTIFS(상세표[사번키],INDEX(합계표[사번키],$X459),상세표[반영월],대상월키,상세표[야간당직],1,상세표[야간 구분],"휴일"))</f>
        <v/>
      </c>
      <c r="U459">
        <f>IF($X459="","",COUNTIFS(상세표[사번키],INDEX(합계표[사번키],$X459),상세표[반영월],대상월키,상세표[야간당직],1,상세표[야간 구분],"평일",상세표[반영 기관],"서울병원"))</f>
        <v/>
      </c>
      <c r="V459">
        <f>IF($X459="","",COUNTIFS(상세표[사번키],INDEX(합계표[사번키],$X459),상세표[반영월],대상월키,상세표[야간당직],1,상세표[야간 구분],"휴일",상세표[반영 기관],"서울병원"))</f>
        <v/>
      </c>
      <c r="W459">
        <f>IF($X459="","",IF(ISNUMBER(MATCH(INDEX(합계표[사번키],$X459)&amp;"|"&amp;대상월키,월별근무지표[키],0)),"직접 입력",IF($L459="—","—","기관명단")))</f>
        <v/>
      </c>
      <c r="X459" s="4">
        <f>IFERROR(MATCH(454,합계표[판정순번],0),"")</f>
        <v/>
      </c>
    </row>
    <row r="460">
      <c r="A460">
        <f>IF($X460="","",INDEX(합계표[사번],$X460)&amp;"")</f>
        <v/>
      </c>
      <c r="B460">
        <f>IF($X460="","",INDEX(합계표[성명],$X460)&amp;"")</f>
        <v/>
      </c>
      <c r="C460">
        <f>IF($X460="","",INDEX(합계표[부서],$X460)&amp;"")</f>
        <v/>
      </c>
      <c r="D460">
        <f>IF($X460="","",INDEX(합계표[직위(요약)],$X460)&amp;"")</f>
        <v/>
      </c>
      <c r="E460">
        <f>IF($X460="","",INDEX(합계표[직급 공존],$X460)&amp;"")</f>
        <v/>
      </c>
      <c r="F460" s="20">
        <f>IF($X460="","",SUMIFS(합계표[시스템 합계],합계표[사번키],INDEX(합계표[사번키],$X460)))</f>
        <v/>
      </c>
      <c r="G460" s="20">
        <f>IF($X460="","",SUMIFS(상세표[기록 시간외],상세표[사번키],INDEX(합계표[사번키],$X460),상세표[기록월],대상월키))</f>
        <v/>
      </c>
      <c r="H460">
        <f>IF($X460="","",IF(ABS($F460-$G460)&lt;0.01,"일치","불일치(차이 "&amp;TEXT($G460-$F460,"0.00")&amp;")"))</f>
        <v/>
      </c>
      <c r="I460" s="20">
        <f>IF($X460="","",SUMIFS(상세표[기록 시간외],상세표[사번키],INDEX(합계표[사번키],$X460),상세표[기록월],대상월키,상세표[반영월],"&lt;&gt;"&amp;대상월키))</f>
        <v/>
      </c>
      <c r="J460" s="20">
        <f>IF($X460="","",SUMIFS(상세표[기록 시간외],상세표[사번키],INDEX(합계표[사번키],$X460),상세표[기록월],"&lt;&gt;"&amp;대상월키,상세표[반영월],대상월키))</f>
        <v/>
      </c>
      <c r="K460" s="20">
        <f>IF($X460="","",SUMIFS(상세표[기록 시간외],상세표[사번키],INDEX(합계표[사번키],$X460),상세표[반영월],대상월키))</f>
        <v/>
      </c>
      <c r="L460">
        <f>IF($X460="","",IFERROR(INDEX(월별근무지표[적용 급여병원],MATCH(INDEX(합계표[사번키],$X460)&amp;"|"&amp;대상월키,월별근무지표[키],0))&amp;"",IF(COUNTIF(기관표[사번키],INDEX(합계표[사번키],$X460))+COUNTIF(월별근무지표[사번키],INDEX(합계표[사번키],$X460))&gt;0,IFERROR(INDEX(기관표[급여지급병원(기준월)],MATCH(INDEX(합계표[사번키],$X460)&amp;"|"&amp;대상월키,기관표[키],0))&amp;"","—"),"—")))</f>
        <v/>
      </c>
      <c r="M460">
        <f>IF($X460="","",IF(NOT(COUNTIF(기관표[사번키],INDEX(합계표[사번키],$X460))+COUNTIF(월별근무지표[사번키],INDEX(합계표[사번키],$X460))&gt;0),"기관명단에 없음(다른 병원으로 발송)",IF($L460="서울병원","해당",IF(N($R460)&gt;0,"해당(말일 근무)",IF($L460="—","대상월 기관명단 없음(추가 필요)","비해당")))))</f>
        <v/>
      </c>
      <c r="N460" s="20">
        <f>IF($X460="","",SUMIFS(상세표[06~07시],상세표[사번키],INDEX(합계표[사번키],$X460),상세표[반영월],대상월키,상세표[반영 기관],"서울병원"))</f>
        <v/>
      </c>
      <c r="O460" s="20">
        <f>IF($X460="","",SUMIFS(상세표[07~18시],상세표[사번키],INDEX(합계표[사번키],$X460),상세표[반영월],대상월키,상세표[반영 기관],"서울병원"))</f>
        <v/>
      </c>
      <c r="P460" s="20">
        <f>IF($X460="","",SUMIFS(상세표[18~22시],상세표[사번키],INDEX(합계표[사번키],$X460),상세표[반영월],대상월키,상세표[반영 기관],"서울병원"))</f>
        <v/>
      </c>
      <c r="Q460" s="20">
        <f>IF($X460="","",SUMIFS(상세표[22~06시],상세표[사번키],INDEX(합계표[사번키],$X460),상세표[반영월],대상월키,상세표[반영 기관],"서울병원"))</f>
        <v/>
      </c>
      <c r="R460" s="20">
        <f>IF($X460="","",SUM($N460:$Q460))</f>
        <v/>
      </c>
      <c r="S460">
        <f>IF($X460="","",COUNTIFS(상세표[사번키],INDEX(합계표[사번키],$X460),상세표[반영월],대상월키,상세표[야간당직],1,상세표[야간 구분],"평일"))</f>
        <v/>
      </c>
      <c r="T460">
        <f>IF($X460="","",COUNTIFS(상세표[사번키],INDEX(합계표[사번키],$X460),상세표[반영월],대상월키,상세표[야간당직],1,상세표[야간 구분],"휴일"))</f>
        <v/>
      </c>
      <c r="U460">
        <f>IF($X460="","",COUNTIFS(상세표[사번키],INDEX(합계표[사번키],$X460),상세표[반영월],대상월키,상세표[야간당직],1,상세표[야간 구분],"평일",상세표[반영 기관],"서울병원"))</f>
        <v/>
      </c>
      <c r="V460">
        <f>IF($X460="","",COUNTIFS(상세표[사번키],INDEX(합계표[사번키],$X460),상세표[반영월],대상월키,상세표[야간당직],1,상세표[야간 구분],"휴일",상세표[반영 기관],"서울병원"))</f>
        <v/>
      </c>
      <c r="W460">
        <f>IF($X460="","",IF(ISNUMBER(MATCH(INDEX(합계표[사번키],$X460)&amp;"|"&amp;대상월키,월별근무지표[키],0)),"직접 입력",IF($L460="—","—","기관명단")))</f>
        <v/>
      </c>
      <c r="X460" s="4">
        <f>IFERROR(MATCH(455,합계표[판정순번],0),"")</f>
        <v/>
      </c>
    </row>
    <row r="461">
      <c r="A461">
        <f>IF($X461="","",INDEX(합계표[사번],$X461)&amp;"")</f>
        <v/>
      </c>
      <c r="B461">
        <f>IF($X461="","",INDEX(합계표[성명],$X461)&amp;"")</f>
        <v/>
      </c>
      <c r="C461">
        <f>IF($X461="","",INDEX(합계표[부서],$X461)&amp;"")</f>
        <v/>
      </c>
      <c r="D461">
        <f>IF($X461="","",INDEX(합계표[직위(요약)],$X461)&amp;"")</f>
        <v/>
      </c>
      <c r="E461">
        <f>IF($X461="","",INDEX(합계표[직급 공존],$X461)&amp;"")</f>
        <v/>
      </c>
      <c r="F461" s="20">
        <f>IF($X461="","",SUMIFS(합계표[시스템 합계],합계표[사번키],INDEX(합계표[사번키],$X461)))</f>
        <v/>
      </c>
      <c r="G461" s="20">
        <f>IF($X461="","",SUMIFS(상세표[기록 시간외],상세표[사번키],INDEX(합계표[사번키],$X461),상세표[기록월],대상월키))</f>
        <v/>
      </c>
      <c r="H461">
        <f>IF($X461="","",IF(ABS($F461-$G461)&lt;0.01,"일치","불일치(차이 "&amp;TEXT($G461-$F461,"0.00")&amp;")"))</f>
        <v/>
      </c>
      <c r="I461" s="20">
        <f>IF($X461="","",SUMIFS(상세표[기록 시간외],상세표[사번키],INDEX(합계표[사번키],$X461),상세표[기록월],대상월키,상세표[반영월],"&lt;&gt;"&amp;대상월키))</f>
        <v/>
      </c>
      <c r="J461" s="20">
        <f>IF($X461="","",SUMIFS(상세표[기록 시간외],상세표[사번키],INDEX(합계표[사번키],$X461),상세표[기록월],"&lt;&gt;"&amp;대상월키,상세표[반영월],대상월키))</f>
        <v/>
      </c>
      <c r="K461" s="20">
        <f>IF($X461="","",SUMIFS(상세표[기록 시간외],상세표[사번키],INDEX(합계표[사번키],$X461),상세표[반영월],대상월키))</f>
        <v/>
      </c>
      <c r="L461">
        <f>IF($X461="","",IFERROR(INDEX(월별근무지표[적용 급여병원],MATCH(INDEX(합계표[사번키],$X461)&amp;"|"&amp;대상월키,월별근무지표[키],0))&amp;"",IF(COUNTIF(기관표[사번키],INDEX(합계표[사번키],$X461))+COUNTIF(월별근무지표[사번키],INDEX(합계표[사번키],$X461))&gt;0,IFERROR(INDEX(기관표[급여지급병원(기준월)],MATCH(INDEX(합계표[사번키],$X461)&amp;"|"&amp;대상월키,기관표[키],0))&amp;"","—"),"—")))</f>
        <v/>
      </c>
      <c r="M461">
        <f>IF($X461="","",IF(NOT(COUNTIF(기관표[사번키],INDEX(합계표[사번키],$X461))+COUNTIF(월별근무지표[사번키],INDEX(합계표[사번키],$X461))&gt;0),"기관명단에 없음(다른 병원으로 발송)",IF($L461="서울병원","해당",IF(N($R461)&gt;0,"해당(말일 근무)",IF($L461="—","대상월 기관명단 없음(추가 필요)","비해당")))))</f>
        <v/>
      </c>
      <c r="N461" s="20">
        <f>IF($X461="","",SUMIFS(상세표[06~07시],상세표[사번키],INDEX(합계표[사번키],$X461),상세표[반영월],대상월키,상세표[반영 기관],"서울병원"))</f>
        <v/>
      </c>
      <c r="O461" s="20">
        <f>IF($X461="","",SUMIFS(상세표[07~18시],상세표[사번키],INDEX(합계표[사번키],$X461),상세표[반영월],대상월키,상세표[반영 기관],"서울병원"))</f>
        <v/>
      </c>
      <c r="P461" s="20">
        <f>IF($X461="","",SUMIFS(상세표[18~22시],상세표[사번키],INDEX(합계표[사번키],$X461),상세표[반영월],대상월키,상세표[반영 기관],"서울병원"))</f>
        <v/>
      </c>
      <c r="Q461" s="20">
        <f>IF($X461="","",SUMIFS(상세표[22~06시],상세표[사번키],INDEX(합계표[사번키],$X461),상세표[반영월],대상월키,상세표[반영 기관],"서울병원"))</f>
        <v/>
      </c>
      <c r="R461" s="20">
        <f>IF($X461="","",SUM($N461:$Q461))</f>
        <v/>
      </c>
      <c r="S461">
        <f>IF($X461="","",COUNTIFS(상세표[사번키],INDEX(합계표[사번키],$X461),상세표[반영월],대상월키,상세표[야간당직],1,상세표[야간 구분],"평일"))</f>
        <v/>
      </c>
      <c r="T461">
        <f>IF($X461="","",COUNTIFS(상세표[사번키],INDEX(합계표[사번키],$X461),상세표[반영월],대상월키,상세표[야간당직],1,상세표[야간 구분],"휴일"))</f>
        <v/>
      </c>
      <c r="U461">
        <f>IF($X461="","",COUNTIFS(상세표[사번키],INDEX(합계표[사번키],$X461),상세표[반영월],대상월키,상세표[야간당직],1,상세표[야간 구분],"평일",상세표[반영 기관],"서울병원"))</f>
        <v/>
      </c>
      <c r="V461">
        <f>IF($X461="","",COUNTIFS(상세표[사번키],INDEX(합계표[사번키],$X461),상세표[반영월],대상월키,상세표[야간당직],1,상세표[야간 구분],"휴일",상세표[반영 기관],"서울병원"))</f>
        <v/>
      </c>
      <c r="W461">
        <f>IF($X461="","",IF(ISNUMBER(MATCH(INDEX(합계표[사번키],$X461)&amp;"|"&amp;대상월키,월별근무지표[키],0)),"직접 입력",IF($L461="—","—","기관명단")))</f>
        <v/>
      </c>
      <c r="X461" s="4">
        <f>IFERROR(MATCH(456,합계표[판정순번],0),"")</f>
        <v/>
      </c>
    </row>
    <row r="462">
      <c r="A462">
        <f>IF($X462="","",INDEX(합계표[사번],$X462)&amp;"")</f>
        <v/>
      </c>
      <c r="B462">
        <f>IF($X462="","",INDEX(합계표[성명],$X462)&amp;"")</f>
        <v/>
      </c>
      <c r="C462">
        <f>IF($X462="","",INDEX(합계표[부서],$X462)&amp;"")</f>
        <v/>
      </c>
      <c r="D462">
        <f>IF($X462="","",INDEX(합계표[직위(요약)],$X462)&amp;"")</f>
        <v/>
      </c>
      <c r="E462">
        <f>IF($X462="","",INDEX(합계표[직급 공존],$X462)&amp;"")</f>
        <v/>
      </c>
      <c r="F462" s="20">
        <f>IF($X462="","",SUMIFS(합계표[시스템 합계],합계표[사번키],INDEX(합계표[사번키],$X462)))</f>
        <v/>
      </c>
      <c r="G462" s="20">
        <f>IF($X462="","",SUMIFS(상세표[기록 시간외],상세표[사번키],INDEX(합계표[사번키],$X462),상세표[기록월],대상월키))</f>
        <v/>
      </c>
      <c r="H462">
        <f>IF($X462="","",IF(ABS($F462-$G462)&lt;0.01,"일치","불일치(차이 "&amp;TEXT($G462-$F462,"0.00")&amp;")"))</f>
        <v/>
      </c>
      <c r="I462" s="20">
        <f>IF($X462="","",SUMIFS(상세표[기록 시간외],상세표[사번키],INDEX(합계표[사번키],$X462),상세표[기록월],대상월키,상세표[반영월],"&lt;&gt;"&amp;대상월키))</f>
        <v/>
      </c>
      <c r="J462" s="20">
        <f>IF($X462="","",SUMIFS(상세표[기록 시간외],상세표[사번키],INDEX(합계표[사번키],$X462),상세표[기록월],"&lt;&gt;"&amp;대상월키,상세표[반영월],대상월키))</f>
        <v/>
      </c>
      <c r="K462" s="20">
        <f>IF($X462="","",SUMIFS(상세표[기록 시간외],상세표[사번키],INDEX(합계표[사번키],$X462),상세표[반영월],대상월키))</f>
        <v/>
      </c>
      <c r="L462">
        <f>IF($X462="","",IFERROR(INDEX(월별근무지표[적용 급여병원],MATCH(INDEX(합계표[사번키],$X462)&amp;"|"&amp;대상월키,월별근무지표[키],0))&amp;"",IF(COUNTIF(기관표[사번키],INDEX(합계표[사번키],$X462))+COUNTIF(월별근무지표[사번키],INDEX(합계표[사번키],$X462))&gt;0,IFERROR(INDEX(기관표[급여지급병원(기준월)],MATCH(INDEX(합계표[사번키],$X462)&amp;"|"&amp;대상월키,기관표[키],0))&amp;"","—"),"—")))</f>
        <v/>
      </c>
      <c r="M462">
        <f>IF($X462="","",IF(NOT(COUNTIF(기관표[사번키],INDEX(합계표[사번키],$X462))+COUNTIF(월별근무지표[사번키],INDEX(합계표[사번키],$X462))&gt;0),"기관명단에 없음(다른 병원으로 발송)",IF($L462="서울병원","해당",IF(N($R462)&gt;0,"해당(말일 근무)",IF($L462="—","대상월 기관명단 없음(추가 필요)","비해당")))))</f>
        <v/>
      </c>
      <c r="N462" s="20">
        <f>IF($X462="","",SUMIFS(상세표[06~07시],상세표[사번키],INDEX(합계표[사번키],$X462),상세표[반영월],대상월키,상세표[반영 기관],"서울병원"))</f>
        <v/>
      </c>
      <c r="O462" s="20">
        <f>IF($X462="","",SUMIFS(상세표[07~18시],상세표[사번키],INDEX(합계표[사번키],$X462),상세표[반영월],대상월키,상세표[반영 기관],"서울병원"))</f>
        <v/>
      </c>
      <c r="P462" s="20">
        <f>IF($X462="","",SUMIFS(상세표[18~22시],상세표[사번키],INDEX(합계표[사번키],$X462),상세표[반영월],대상월키,상세표[반영 기관],"서울병원"))</f>
        <v/>
      </c>
      <c r="Q462" s="20">
        <f>IF($X462="","",SUMIFS(상세표[22~06시],상세표[사번키],INDEX(합계표[사번키],$X462),상세표[반영월],대상월키,상세표[반영 기관],"서울병원"))</f>
        <v/>
      </c>
      <c r="R462" s="20">
        <f>IF($X462="","",SUM($N462:$Q462))</f>
        <v/>
      </c>
      <c r="S462">
        <f>IF($X462="","",COUNTIFS(상세표[사번키],INDEX(합계표[사번키],$X462),상세표[반영월],대상월키,상세표[야간당직],1,상세표[야간 구분],"평일"))</f>
        <v/>
      </c>
      <c r="T462">
        <f>IF($X462="","",COUNTIFS(상세표[사번키],INDEX(합계표[사번키],$X462),상세표[반영월],대상월키,상세표[야간당직],1,상세표[야간 구분],"휴일"))</f>
        <v/>
      </c>
      <c r="U462">
        <f>IF($X462="","",COUNTIFS(상세표[사번키],INDEX(합계표[사번키],$X462),상세표[반영월],대상월키,상세표[야간당직],1,상세표[야간 구분],"평일",상세표[반영 기관],"서울병원"))</f>
        <v/>
      </c>
      <c r="V462">
        <f>IF($X462="","",COUNTIFS(상세표[사번키],INDEX(합계표[사번키],$X462),상세표[반영월],대상월키,상세표[야간당직],1,상세표[야간 구분],"휴일",상세표[반영 기관],"서울병원"))</f>
        <v/>
      </c>
      <c r="W462">
        <f>IF($X462="","",IF(ISNUMBER(MATCH(INDEX(합계표[사번키],$X462)&amp;"|"&amp;대상월키,월별근무지표[키],0)),"직접 입력",IF($L462="—","—","기관명단")))</f>
        <v/>
      </c>
      <c r="X462" s="4">
        <f>IFERROR(MATCH(457,합계표[판정순번],0),"")</f>
        <v/>
      </c>
    </row>
    <row r="463">
      <c r="A463">
        <f>IF($X463="","",INDEX(합계표[사번],$X463)&amp;"")</f>
        <v/>
      </c>
      <c r="B463">
        <f>IF($X463="","",INDEX(합계표[성명],$X463)&amp;"")</f>
        <v/>
      </c>
      <c r="C463">
        <f>IF($X463="","",INDEX(합계표[부서],$X463)&amp;"")</f>
        <v/>
      </c>
      <c r="D463">
        <f>IF($X463="","",INDEX(합계표[직위(요약)],$X463)&amp;"")</f>
        <v/>
      </c>
      <c r="E463">
        <f>IF($X463="","",INDEX(합계표[직급 공존],$X463)&amp;"")</f>
        <v/>
      </c>
      <c r="F463" s="20">
        <f>IF($X463="","",SUMIFS(합계표[시스템 합계],합계표[사번키],INDEX(합계표[사번키],$X463)))</f>
        <v/>
      </c>
      <c r="G463" s="20">
        <f>IF($X463="","",SUMIFS(상세표[기록 시간외],상세표[사번키],INDEX(합계표[사번키],$X463),상세표[기록월],대상월키))</f>
        <v/>
      </c>
      <c r="H463">
        <f>IF($X463="","",IF(ABS($F463-$G463)&lt;0.01,"일치","불일치(차이 "&amp;TEXT($G463-$F463,"0.00")&amp;")"))</f>
        <v/>
      </c>
      <c r="I463" s="20">
        <f>IF($X463="","",SUMIFS(상세표[기록 시간외],상세표[사번키],INDEX(합계표[사번키],$X463),상세표[기록월],대상월키,상세표[반영월],"&lt;&gt;"&amp;대상월키))</f>
        <v/>
      </c>
      <c r="J463" s="20">
        <f>IF($X463="","",SUMIFS(상세표[기록 시간외],상세표[사번키],INDEX(합계표[사번키],$X463),상세표[기록월],"&lt;&gt;"&amp;대상월키,상세표[반영월],대상월키))</f>
        <v/>
      </c>
      <c r="K463" s="20">
        <f>IF($X463="","",SUMIFS(상세표[기록 시간외],상세표[사번키],INDEX(합계표[사번키],$X463),상세표[반영월],대상월키))</f>
        <v/>
      </c>
      <c r="L463">
        <f>IF($X463="","",IFERROR(INDEX(월별근무지표[적용 급여병원],MATCH(INDEX(합계표[사번키],$X463)&amp;"|"&amp;대상월키,월별근무지표[키],0))&amp;"",IF(COUNTIF(기관표[사번키],INDEX(합계표[사번키],$X463))+COUNTIF(월별근무지표[사번키],INDEX(합계표[사번키],$X463))&gt;0,IFERROR(INDEX(기관표[급여지급병원(기준월)],MATCH(INDEX(합계표[사번키],$X463)&amp;"|"&amp;대상월키,기관표[키],0))&amp;"","—"),"—")))</f>
        <v/>
      </c>
      <c r="M463">
        <f>IF($X463="","",IF(NOT(COUNTIF(기관표[사번키],INDEX(합계표[사번키],$X463))+COUNTIF(월별근무지표[사번키],INDEX(합계표[사번키],$X463))&gt;0),"기관명단에 없음(다른 병원으로 발송)",IF($L463="서울병원","해당",IF(N($R463)&gt;0,"해당(말일 근무)",IF($L463="—","대상월 기관명단 없음(추가 필요)","비해당")))))</f>
        <v/>
      </c>
      <c r="N463" s="20">
        <f>IF($X463="","",SUMIFS(상세표[06~07시],상세표[사번키],INDEX(합계표[사번키],$X463),상세표[반영월],대상월키,상세표[반영 기관],"서울병원"))</f>
        <v/>
      </c>
      <c r="O463" s="20">
        <f>IF($X463="","",SUMIFS(상세표[07~18시],상세표[사번키],INDEX(합계표[사번키],$X463),상세표[반영월],대상월키,상세표[반영 기관],"서울병원"))</f>
        <v/>
      </c>
      <c r="P463" s="20">
        <f>IF($X463="","",SUMIFS(상세표[18~22시],상세표[사번키],INDEX(합계표[사번키],$X463),상세표[반영월],대상월키,상세표[반영 기관],"서울병원"))</f>
        <v/>
      </c>
      <c r="Q463" s="20">
        <f>IF($X463="","",SUMIFS(상세표[22~06시],상세표[사번키],INDEX(합계표[사번키],$X463),상세표[반영월],대상월키,상세표[반영 기관],"서울병원"))</f>
        <v/>
      </c>
      <c r="R463" s="20">
        <f>IF($X463="","",SUM($N463:$Q463))</f>
        <v/>
      </c>
      <c r="S463">
        <f>IF($X463="","",COUNTIFS(상세표[사번키],INDEX(합계표[사번키],$X463),상세표[반영월],대상월키,상세표[야간당직],1,상세표[야간 구분],"평일"))</f>
        <v/>
      </c>
      <c r="T463">
        <f>IF($X463="","",COUNTIFS(상세표[사번키],INDEX(합계표[사번키],$X463),상세표[반영월],대상월키,상세표[야간당직],1,상세표[야간 구분],"휴일"))</f>
        <v/>
      </c>
      <c r="U463">
        <f>IF($X463="","",COUNTIFS(상세표[사번키],INDEX(합계표[사번키],$X463),상세표[반영월],대상월키,상세표[야간당직],1,상세표[야간 구분],"평일",상세표[반영 기관],"서울병원"))</f>
        <v/>
      </c>
      <c r="V463">
        <f>IF($X463="","",COUNTIFS(상세표[사번키],INDEX(합계표[사번키],$X463),상세표[반영월],대상월키,상세표[야간당직],1,상세표[야간 구분],"휴일",상세표[반영 기관],"서울병원"))</f>
        <v/>
      </c>
      <c r="W463">
        <f>IF($X463="","",IF(ISNUMBER(MATCH(INDEX(합계표[사번키],$X463)&amp;"|"&amp;대상월키,월별근무지표[키],0)),"직접 입력",IF($L463="—","—","기관명단")))</f>
        <v/>
      </c>
      <c r="X463" s="4">
        <f>IFERROR(MATCH(458,합계표[판정순번],0),"")</f>
        <v/>
      </c>
    </row>
    <row r="464">
      <c r="A464">
        <f>IF($X464="","",INDEX(합계표[사번],$X464)&amp;"")</f>
        <v/>
      </c>
      <c r="B464">
        <f>IF($X464="","",INDEX(합계표[성명],$X464)&amp;"")</f>
        <v/>
      </c>
      <c r="C464">
        <f>IF($X464="","",INDEX(합계표[부서],$X464)&amp;"")</f>
        <v/>
      </c>
      <c r="D464">
        <f>IF($X464="","",INDEX(합계표[직위(요약)],$X464)&amp;"")</f>
        <v/>
      </c>
      <c r="E464">
        <f>IF($X464="","",INDEX(합계표[직급 공존],$X464)&amp;"")</f>
        <v/>
      </c>
      <c r="F464" s="20">
        <f>IF($X464="","",SUMIFS(합계표[시스템 합계],합계표[사번키],INDEX(합계표[사번키],$X464)))</f>
        <v/>
      </c>
      <c r="G464" s="20">
        <f>IF($X464="","",SUMIFS(상세표[기록 시간외],상세표[사번키],INDEX(합계표[사번키],$X464),상세표[기록월],대상월키))</f>
        <v/>
      </c>
      <c r="H464">
        <f>IF($X464="","",IF(ABS($F464-$G464)&lt;0.01,"일치","불일치(차이 "&amp;TEXT($G464-$F464,"0.00")&amp;")"))</f>
        <v/>
      </c>
      <c r="I464" s="20">
        <f>IF($X464="","",SUMIFS(상세표[기록 시간외],상세표[사번키],INDEX(합계표[사번키],$X464),상세표[기록월],대상월키,상세표[반영월],"&lt;&gt;"&amp;대상월키))</f>
        <v/>
      </c>
      <c r="J464" s="20">
        <f>IF($X464="","",SUMIFS(상세표[기록 시간외],상세표[사번키],INDEX(합계표[사번키],$X464),상세표[기록월],"&lt;&gt;"&amp;대상월키,상세표[반영월],대상월키))</f>
        <v/>
      </c>
      <c r="K464" s="20">
        <f>IF($X464="","",SUMIFS(상세표[기록 시간외],상세표[사번키],INDEX(합계표[사번키],$X464),상세표[반영월],대상월키))</f>
        <v/>
      </c>
      <c r="L464">
        <f>IF($X464="","",IFERROR(INDEX(월별근무지표[적용 급여병원],MATCH(INDEX(합계표[사번키],$X464)&amp;"|"&amp;대상월키,월별근무지표[키],0))&amp;"",IF(COUNTIF(기관표[사번키],INDEX(합계표[사번키],$X464))+COUNTIF(월별근무지표[사번키],INDEX(합계표[사번키],$X464))&gt;0,IFERROR(INDEX(기관표[급여지급병원(기준월)],MATCH(INDEX(합계표[사번키],$X464)&amp;"|"&amp;대상월키,기관표[키],0))&amp;"","—"),"—")))</f>
        <v/>
      </c>
      <c r="M464">
        <f>IF($X464="","",IF(NOT(COUNTIF(기관표[사번키],INDEX(합계표[사번키],$X464))+COUNTIF(월별근무지표[사번키],INDEX(합계표[사번키],$X464))&gt;0),"기관명단에 없음(다른 병원으로 발송)",IF($L464="서울병원","해당",IF(N($R464)&gt;0,"해당(말일 근무)",IF($L464="—","대상월 기관명단 없음(추가 필요)","비해당")))))</f>
        <v/>
      </c>
      <c r="N464" s="20">
        <f>IF($X464="","",SUMIFS(상세표[06~07시],상세표[사번키],INDEX(합계표[사번키],$X464),상세표[반영월],대상월키,상세표[반영 기관],"서울병원"))</f>
        <v/>
      </c>
      <c r="O464" s="20">
        <f>IF($X464="","",SUMIFS(상세표[07~18시],상세표[사번키],INDEX(합계표[사번키],$X464),상세표[반영월],대상월키,상세표[반영 기관],"서울병원"))</f>
        <v/>
      </c>
      <c r="P464" s="20">
        <f>IF($X464="","",SUMIFS(상세표[18~22시],상세표[사번키],INDEX(합계표[사번키],$X464),상세표[반영월],대상월키,상세표[반영 기관],"서울병원"))</f>
        <v/>
      </c>
      <c r="Q464" s="20">
        <f>IF($X464="","",SUMIFS(상세표[22~06시],상세표[사번키],INDEX(합계표[사번키],$X464),상세표[반영월],대상월키,상세표[반영 기관],"서울병원"))</f>
        <v/>
      </c>
      <c r="R464" s="20">
        <f>IF($X464="","",SUM($N464:$Q464))</f>
        <v/>
      </c>
      <c r="S464">
        <f>IF($X464="","",COUNTIFS(상세표[사번키],INDEX(합계표[사번키],$X464),상세표[반영월],대상월키,상세표[야간당직],1,상세표[야간 구분],"평일"))</f>
        <v/>
      </c>
      <c r="T464">
        <f>IF($X464="","",COUNTIFS(상세표[사번키],INDEX(합계표[사번키],$X464),상세표[반영월],대상월키,상세표[야간당직],1,상세표[야간 구분],"휴일"))</f>
        <v/>
      </c>
      <c r="U464">
        <f>IF($X464="","",COUNTIFS(상세표[사번키],INDEX(합계표[사번키],$X464),상세표[반영월],대상월키,상세표[야간당직],1,상세표[야간 구분],"평일",상세표[반영 기관],"서울병원"))</f>
        <v/>
      </c>
      <c r="V464">
        <f>IF($X464="","",COUNTIFS(상세표[사번키],INDEX(합계표[사번키],$X464),상세표[반영월],대상월키,상세표[야간당직],1,상세표[야간 구분],"휴일",상세표[반영 기관],"서울병원"))</f>
        <v/>
      </c>
      <c r="W464">
        <f>IF($X464="","",IF(ISNUMBER(MATCH(INDEX(합계표[사번키],$X464)&amp;"|"&amp;대상월키,월별근무지표[키],0)),"직접 입력",IF($L464="—","—","기관명단")))</f>
        <v/>
      </c>
      <c r="X464" s="4">
        <f>IFERROR(MATCH(459,합계표[판정순번],0),"")</f>
        <v/>
      </c>
    </row>
    <row r="465">
      <c r="A465">
        <f>IF($X465="","",INDEX(합계표[사번],$X465)&amp;"")</f>
        <v/>
      </c>
      <c r="B465">
        <f>IF($X465="","",INDEX(합계표[성명],$X465)&amp;"")</f>
        <v/>
      </c>
      <c r="C465">
        <f>IF($X465="","",INDEX(합계표[부서],$X465)&amp;"")</f>
        <v/>
      </c>
      <c r="D465">
        <f>IF($X465="","",INDEX(합계표[직위(요약)],$X465)&amp;"")</f>
        <v/>
      </c>
      <c r="E465">
        <f>IF($X465="","",INDEX(합계표[직급 공존],$X465)&amp;"")</f>
        <v/>
      </c>
      <c r="F465" s="20">
        <f>IF($X465="","",SUMIFS(합계표[시스템 합계],합계표[사번키],INDEX(합계표[사번키],$X465)))</f>
        <v/>
      </c>
      <c r="G465" s="20">
        <f>IF($X465="","",SUMIFS(상세표[기록 시간외],상세표[사번키],INDEX(합계표[사번키],$X465),상세표[기록월],대상월키))</f>
        <v/>
      </c>
      <c r="H465">
        <f>IF($X465="","",IF(ABS($F465-$G465)&lt;0.01,"일치","불일치(차이 "&amp;TEXT($G465-$F465,"0.00")&amp;")"))</f>
        <v/>
      </c>
      <c r="I465" s="20">
        <f>IF($X465="","",SUMIFS(상세표[기록 시간외],상세표[사번키],INDEX(합계표[사번키],$X465),상세표[기록월],대상월키,상세표[반영월],"&lt;&gt;"&amp;대상월키))</f>
        <v/>
      </c>
      <c r="J465" s="20">
        <f>IF($X465="","",SUMIFS(상세표[기록 시간외],상세표[사번키],INDEX(합계표[사번키],$X465),상세표[기록월],"&lt;&gt;"&amp;대상월키,상세표[반영월],대상월키))</f>
        <v/>
      </c>
      <c r="K465" s="20">
        <f>IF($X465="","",SUMIFS(상세표[기록 시간외],상세표[사번키],INDEX(합계표[사번키],$X465),상세표[반영월],대상월키))</f>
        <v/>
      </c>
      <c r="L465">
        <f>IF($X465="","",IFERROR(INDEX(월별근무지표[적용 급여병원],MATCH(INDEX(합계표[사번키],$X465)&amp;"|"&amp;대상월키,월별근무지표[키],0))&amp;"",IF(COUNTIF(기관표[사번키],INDEX(합계표[사번키],$X465))+COUNTIF(월별근무지표[사번키],INDEX(합계표[사번키],$X465))&gt;0,IFERROR(INDEX(기관표[급여지급병원(기준월)],MATCH(INDEX(합계표[사번키],$X465)&amp;"|"&amp;대상월키,기관표[키],0))&amp;"","—"),"—")))</f>
        <v/>
      </c>
      <c r="M465">
        <f>IF($X465="","",IF(NOT(COUNTIF(기관표[사번키],INDEX(합계표[사번키],$X465))+COUNTIF(월별근무지표[사번키],INDEX(합계표[사번키],$X465))&gt;0),"기관명단에 없음(다른 병원으로 발송)",IF($L465="서울병원","해당",IF(N($R465)&gt;0,"해당(말일 근무)",IF($L465="—","대상월 기관명단 없음(추가 필요)","비해당")))))</f>
        <v/>
      </c>
      <c r="N465" s="20">
        <f>IF($X465="","",SUMIFS(상세표[06~07시],상세표[사번키],INDEX(합계표[사번키],$X465),상세표[반영월],대상월키,상세표[반영 기관],"서울병원"))</f>
        <v/>
      </c>
      <c r="O465" s="20">
        <f>IF($X465="","",SUMIFS(상세표[07~18시],상세표[사번키],INDEX(합계표[사번키],$X465),상세표[반영월],대상월키,상세표[반영 기관],"서울병원"))</f>
        <v/>
      </c>
      <c r="P465" s="20">
        <f>IF($X465="","",SUMIFS(상세표[18~22시],상세표[사번키],INDEX(합계표[사번키],$X465),상세표[반영월],대상월키,상세표[반영 기관],"서울병원"))</f>
        <v/>
      </c>
      <c r="Q465" s="20">
        <f>IF($X465="","",SUMIFS(상세표[22~06시],상세표[사번키],INDEX(합계표[사번키],$X465),상세표[반영월],대상월키,상세표[반영 기관],"서울병원"))</f>
        <v/>
      </c>
      <c r="R465" s="20">
        <f>IF($X465="","",SUM($N465:$Q465))</f>
        <v/>
      </c>
      <c r="S465">
        <f>IF($X465="","",COUNTIFS(상세표[사번키],INDEX(합계표[사번키],$X465),상세표[반영월],대상월키,상세표[야간당직],1,상세표[야간 구분],"평일"))</f>
        <v/>
      </c>
      <c r="T465">
        <f>IF($X465="","",COUNTIFS(상세표[사번키],INDEX(합계표[사번키],$X465),상세표[반영월],대상월키,상세표[야간당직],1,상세표[야간 구분],"휴일"))</f>
        <v/>
      </c>
      <c r="U465">
        <f>IF($X465="","",COUNTIFS(상세표[사번키],INDEX(합계표[사번키],$X465),상세표[반영월],대상월키,상세표[야간당직],1,상세표[야간 구분],"평일",상세표[반영 기관],"서울병원"))</f>
        <v/>
      </c>
      <c r="V465">
        <f>IF($X465="","",COUNTIFS(상세표[사번키],INDEX(합계표[사번키],$X465),상세표[반영월],대상월키,상세표[야간당직],1,상세표[야간 구분],"휴일",상세표[반영 기관],"서울병원"))</f>
        <v/>
      </c>
      <c r="W465">
        <f>IF($X465="","",IF(ISNUMBER(MATCH(INDEX(합계표[사번키],$X465)&amp;"|"&amp;대상월키,월별근무지표[키],0)),"직접 입력",IF($L465="—","—","기관명단")))</f>
        <v/>
      </c>
      <c r="X465" s="4">
        <f>IFERROR(MATCH(460,합계표[판정순번],0),"")</f>
        <v/>
      </c>
    </row>
    <row r="466">
      <c r="A466">
        <f>IF($X466="","",INDEX(합계표[사번],$X466)&amp;"")</f>
        <v/>
      </c>
      <c r="B466">
        <f>IF($X466="","",INDEX(합계표[성명],$X466)&amp;"")</f>
        <v/>
      </c>
      <c r="C466">
        <f>IF($X466="","",INDEX(합계표[부서],$X466)&amp;"")</f>
        <v/>
      </c>
      <c r="D466">
        <f>IF($X466="","",INDEX(합계표[직위(요약)],$X466)&amp;"")</f>
        <v/>
      </c>
      <c r="E466">
        <f>IF($X466="","",INDEX(합계표[직급 공존],$X466)&amp;"")</f>
        <v/>
      </c>
      <c r="F466" s="20">
        <f>IF($X466="","",SUMIFS(합계표[시스템 합계],합계표[사번키],INDEX(합계표[사번키],$X466)))</f>
        <v/>
      </c>
      <c r="G466" s="20">
        <f>IF($X466="","",SUMIFS(상세표[기록 시간외],상세표[사번키],INDEX(합계표[사번키],$X466),상세표[기록월],대상월키))</f>
        <v/>
      </c>
      <c r="H466">
        <f>IF($X466="","",IF(ABS($F466-$G466)&lt;0.01,"일치","불일치(차이 "&amp;TEXT($G466-$F466,"0.00")&amp;")"))</f>
        <v/>
      </c>
      <c r="I466" s="20">
        <f>IF($X466="","",SUMIFS(상세표[기록 시간외],상세표[사번키],INDEX(합계표[사번키],$X466),상세표[기록월],대상월키,상세표[반영월],"&lt;&gt;"&amp;대상월키))</f>
        <v/>
      </c>
      <c r="J466" s="20">
        <f>IF($X466="","",SUMIFS(상세표[기록 시간외],상세표[사번키],INDEX(합계표[사번키],$X466),상세표[기록월],"&lt;&gt;"&amp;대상월키,상세표[반영월],대상월키))</f>
        <v/>
      </c>
      <c r="K466" s="20">
        <f>IF($X466="","",SUMIFS(상세표[기록 시간외],상세표[사번키],INDEX(합계표[사번키],$X466),상세표[반영월],대상월키))</f>
        <v/>
      </c>
      <c r="L466">
        <f>IF($X466="","",IFERROR(INDEX(월별근무지표[적용 급여병원],MATCH(INDEX(합계표[사번키],$X466)&amp;"|"&amp;대상월키,월별근무지표[키],0))&amp;"",IF(COUNTIF(기관표[사번키],INDEX(합계표[사번키],$X466))+COUNTIF(월별근무지표[사번키],INDEX(합계표[사번키],$X466))&gt;0,IFERROR(INDEX(기관표[급여지급병원(기준월)],MATCH(INDEX(합계표[사번키],$X466)&amp;"|"&amp;대상월키,기관표[키],0))&amp;"","—"),"—")))</f>
        <v/>
      </c>
      <c r="M466">
        <f>IF($X466="","",IF(NOT(COUNTIF(기관표[사번키],INDEX(합계표[사번키],$X466))+COUNTIF(월별근무지표[사번키],INDEX(합계표[사번키],$X466))&gt;0),"기관명단에 없음(다른 병원으로 발송)",IF($L466="서울병원","해당",IF(N($R466)&gt;0,"해당(말일 근무)",IF($L466="—","대상월 기관명단 없음(추가 필요)","비해당")))))</f>
        <v/>
      </c>
      <c r="N466" s="20">
        <f>IF($X466="","",SUMIFS(상세표[06~07시],상세표[사번키],INDEX(합계표[사번키],$X466),상세표[반영월],대상월키,상세표[반영 기관],"서울병원"))</f>
        <v/>
      </c>
      <c r="O466" s="20">
        <f>IF($X466="","",SUMIFS(상세표[07~18시],상세표[사번키],INDEX(합계표[사번키],$X466),상세표[반영월],대상월키,상세표[반영 기관],"서울병원"))</f>
        <v/>
      </c>
      <c r="P466" s="20">
        <f>IF($X466="","",SUMIFS(상세표[18~22시],상세표[사번키],INDEX(합계표[사번키],$X466),상세표[반영월],대상월키,상세표[반영 기관],"서울병원"))</f>
        <v/>
      </c>
      <c r="Q466" s="20">
        <f>IF($X466="","",SUMIFS(상세표[22~06시],상세표[사번키],INDEX(합계표[사번키],$X466),상세표[반영월],대상월키,상세표[반영 기관],"서울병원"))</f>
        <v/>
      </c>
      <c r="R466" s="20">
        <f>IF($X466="","",SUM($N466:$Q466))</f>
        <v/>
      </c>
      <c r="S466">
        <f>IF($X466="","",COUNTIFS(상세표[사번키],INDEX(합계표[사번키],$X466),상세표[반영월],대상월키,상세표[야간당직],1,상세표[야간 구분],"평일"))</f>
        <v/>
      </c>
      <c r="T466">
        <f>IF($X466="","",COUNTIFS(상세표[사번키],INDEX(합계표[사번키],$X466),상세표[반영월],대상월키,상세표[야간당직],1,상세표[야간 구분],"휴일"))</f>
        <v/>
      </c>
      <c r="U466">
        <f>IF($X466="","",COUNTIFS(상세표[사번키],INDEX(합계표[사번키],$X466),상세표[반영월],대상월키,상세표[야간당직],1,상세표[야간 구분],"평일",상세표[반영 기관],"서울병원"))</f>
        <v/>
      </c>
      <c r="V466">
        <f>IF($X466="","",COUNTIFS(상세표[사번키],INDEX(합계표[사번키],$X466),상세표[반영월],대상월키,상세표[야간당직],1,상세표[야간 구분],"휴일",상세표[반영 기관],"서울병원"))</f>
        <v/>
      </c>
      <c r="W466">
        <f>IF($X466="","",IF(ISNUMBER(MATCH(INDEX(합계표[사번키],$X466)&amp;"|"&amp;대상월키,월별근무지표[키],0)),"직접 입력",IF($L466="—","—","기관명단")))</f>
        <v/>
      </c>
      <c r="X466" s="4">
        <f>IFERROR(MATCH(461,합계표[판정순번],0),"")</f>
        <v/>
      </c>
    </row>
    <row r="467">
      <c r="A467">
        <f>IF($X467="","",INDEX(합계표[사번],$X467)&amp;"")</f>
        <v/>
      </c>
      <c r="B467">
        <f>IF($X467="","",INDEX(합계표[성명],$X467)&amp;"")</f>
        <v/>
      </c>
      <c r="C467">
        <f>IF($X467="","",INDEX(합계표[부서],$X467)&amp;"")</f>
        <v/>
      </c>
      <c r="D467">
        <f>IF($X467="","",INDEX(합계표[직위(요약)],$X467)&amp;"")</f>
        <v/>
      </c>
      <c r="E467">
        <f>IF($X467="","",INDEX(합계표[직급 공존],$X467)&amp;"")</f>
        <v/>
      </c>
      <c r="F467" s="20">
        <f>IF($X467="","",SUMIFS(합계표[시스템 합계],합계표[사번키],INDEX(합계표[사번키],$X467)))</f>
        <v/>
      </c>
      <c r="G467" s="20">
        <f>IF($X467="","",SUMIFS(상세표[기록 시간외],상세표[사번키],INDEX(합계표[사번키],$X467),상세표[기록월],대상월키))</f>
        <v/>
      </c>
      <c r="H467">
        <f>IF($X467="","",IF(ABS($F467-$G467)&lt;0.01,"일치","불일치(차이 "&amp;TEXT($G467-$F467,"0.00")&amp;")"))</f>
        <v/>
      </c>
      <c r="I467" s="20">
        <f>IF($X467="","",SUMIFS(상세표[기록 시간외],상세표[사번키],INDEX(합계표[사번키],$X467),상세표[기록월],대상월키,상세표[반영월],"&lt;&gt;"&amp;대상월키))</f>
        <v/>
      </c>
      <c r="J467" s="20">
        <f>IF($X467="","",SUMIFS(상세표[기록 시간외],상세표[사번키],INDEX(합계표[사번키],$X467),상세표[기록월],"&lt;&gt;"&amp;대상월키,상세표[반영월],대상월키))</f>
        <v/>
      </c>
      <c r="K467" s="20">
        <f>IF($X467="","",SUMIFS(상세표[기록 시간외],상세표[사번키],INDEX(합계표[사번키],$X467),상세표[반영월],대상월키))</f>
        <v/>
      </c>
      <c r="L467">
        <f>IF($X467="","",IFERROR(INDEX(월별근무지표[적용 급여병원],MATCH(INDEX(합계표[사번키],$X467)&amp;"|"&amp;대상월키,월별근무지표[키],0))&amp;"",IF(COUNTIF(기관표[사번키],INDEX(합계표[사번키],$X467))+COUNTIF(월별근무지표[사번키],INDEX(합계표[사번키],$X467))&gt;0,IFERROR(INDEX(기관표[급여지급병원(기준월)],MATCH(INDEX(합계표[사번키],$X467)&amp;"|"&amp;대상월키,기관표[키],0))&amp;"","—"),"—")))</f>
        <v/>
      </c>
      <c r="M467">
        <f>IF($X467="","",IF(NOT(COUNTIF(기관표[사번키],INDEX(합계표[사번키],$X467))+COUNTIF(월별근무지표[사번키],INDEX(합계표[사번키],$X467))&gt;0),"기관명단에 없음(다른 병원으로 발송)",IF($L467="서울병원","해당",IF(N($R467)&gt;0,"해당(말일 근무)",IF($L467="—","대상월 기관명단 없음(추가 필요)","비해당")))))</f>
        <v/>
      </c>
      <c r="N467" s="20">
        <f>IF($X467="","",SUMIFS(상세표[06~07시],상세표[사번키],INDEX(합계표[사번키],$X467),상세표[반영월],대상월키,상세표[반영 기관],"서울병원"))</f>
        <v/>
      </c>
      <c r="O467" s="20">
        <f>IF($X467="","",SUMIFS(상세표[07~18시],상세표[사번키],INDEX(합계표[사번키],$X467),상세표[반영월],대상월키,상세표[반영 기관],"서울병원"))</f>
        <v/>
      </c>
      <c r="P467" s="20">
        <f>IF($X467="","",SUMIFS(상세표[18~22시],상세표[사번키],INDEX(합계표[사번키],$X467),상세표[반영월],대상월키,상세표[반영 기관],"서울병원"))</f>
        <v/>
      </c>
      <c r="Q467" s="20">
        <f>IF($X467="","",SUMIFS(상세표[22~06시],상세표[사번키],INDEX(합계표[사번키],$X467),상세표[반영월],대상월키,상세표[반영 기관],"서울병원"))</f>
        <v/>
      </c>
      <c r="R467" s="20">
        <f>IF($X467="","",SUM($N467:$Q467))</f>
        <v/>
      </c>
      <c r="S467">
        <f>IF($X467="","",COUNTIFS(상세표[사번키],INDEX(합계표[사번키],$X467),상세표[반영월],대상월키,상세표[야간당직],1,상세표[야간 구분],"평일"))</f>
        <v/>
      </c>
      <c r="T467">
        <f>IF($X467="","",COUNTIFS(상세표[사번키],INDEX(합계표[사번키],$X467),상세표[반영월],대상월키,상세표[야간당직],1,상세표[야간 구분],"휴일"))</f>
        <v/>
      </c>
      <c r="U467">
        <f>IF($X467="","",COUNTIFS(상세표[사번키],INDEX(합계표[사번키],$X467),상세표[반영월],대상월키,상세표[야간당직],1,상세표[야간 구분],"평일",상세표[반영 기관],"서울병원"))</f>
        <v/>
      </c>
      <c r="V467">
        <f>IF($X467="","",COUNTIFS(상세표[사번키],INDEX(합계표[사번키],$X467),상세표[반영월],대상월키,상세표[야간당직],1,상세표[야간 구분],"휴일",상세표[반영 기관],"서울병원"))</f>
        <v/>
      </c>
      <c r="W467">
        <f>IF($X467="","",IF(ISNUMBER(MATCH(INDEX(합계표[사번키],$X467)&amp;"|"&amp;대상월키,월별근무지표[키],0)),"직접 입력",IF($L467="—","—","기관명단")))</f>
        <v/>
      </c>
      <c r="X467" s="4">
        <f>IFERROR(MATCH(462,합계표[판정순번],0),"")</f>
        <v/>
      </c>
    </row>
    <row r="468">
      <c r="A468">
        <f>IF($X468="","",INDEX(합계표[사번],$X468)&amp;"")</f>
        <v/>
      </c>
      <c r="B468">
        <f>IF($X468="","",INDEX(합계표[성명],$X468)&amp;"")</f>
        <v/>
      </c>
      <c r="C468">
        <f>IF($X468="","",INDEX(합계표[부서],$X468)&amp;"")</f>
        <v/>
      </c>
      <c r="D468">
        <f>IF($X468="","",INDEX(합계표[직위(요약)],$X468)&amp;"")</f>
        <v/>
      </c>
      <c r="E468">
        <f>IF($X468="","",INDEX(합계표[직급 공존],$X468)&amp;"")</f>
        <v/>
      </c>
      <c r="F468" s="20">
        <f>IF($X468="","",SUMIFS(합계표[시스템 합계],합계표[사번키],INDEX(합계표[사번키],$X468)))</f>
        <v/>
      </c>
      <c r="G468" s="20">
        <f>IF($X468="","",SUMIFS(상세표[기록 시간외],상세표[사번키],INDEX(합계표[사번키],$X468),상세표[기록월],대상월키))</f>
        <v/>
      </c>
      <c r="H468">
        <f>IF($X468="","",IF(ABS($F468-$G468)&lt;0.01,"일치","불일치(차이 "&amp;TEXT($G468-$F468,"0.00")&amp;")"))</f>
        <v/>
      </c>
      <c r="I468" s="20">
        <f>IF($X468="","",SUMIFS(상세표[기록 시간외],상세표[사번키],INDEX(합계표[사번키],$X468),상세표[기록월],대상월키,상세표[반영월],"&lt;&gt;"&amp;대상월키))</f>
        <v/>
      </c>
      <c r="J468" s="20">
        <f>IF($X468="","",SUMIFS(상세표[기록 시간외],상세표[사번키],INDEX(합계표[사번키],$X468),상세표[기록월],"&lt;&gt;"&amp;대상월키,상세표[반영월],대상월키))</f>
        <v/>
      </c>
      <c r="K468" s="20">
        <f>IF($X468="","",SUMIFS(상세표[기록 시간외],상세표[사번키],INDEX(합계표[사번키],$X468),상세표[반영월],대상월키))</f>
        <v/>
      </c>
      <c r="L468">
        <f>IF($X468="","",IFERROR(INDEX(월별근무지표[적용 급여병원],MATCH(INDEX(합계표[사번키],$X468)&amp;"|"&amp;대상월키,월별근무지표[키],0))&amp;"",IF(COUNTIF(기관표[사번키],INDEX(합계표[사번키],$X468))+COUNTIF(월별근무지표[사번키],INDEX(합계표[사번키],$X468))&gt;0,IFERROR(INDEX(기관표[급여지급병원(기준월)],MATCH(INDEX(합계표[사번키],$X468)&amp;"|"&amp;대상월키,기관표[키],0))&amp;"","—"),"—")))</f>
        <v/>
      </c>
      <c r="M468">
        <f>IF($X468="","",IF(NOT(COUNTIF(기관표[사번키],INDEX(합계표[사번키],$X468))+COUNTIF(월별근무지표[사번키],INDEX(합계표[사번키],$X468))&gt;0),"기관명단에 없음(다른 병원으로 발송)",IF($L468="서울병원","해당",IF(N($R468)&gt;0,"해당(말일 근무)",IF($L468="—","대상월 기관명단 없음(추가 필요)","비해당")))))</f>
        <v/>
      </c>
      <c r="N468" s="20">
        <f>IF($X468="","",SUMIFS(상세표[06~07시],상세표[사번키],INDEX(합계표[사번키],$X468),상세표[반영월],대상월키,상세표[반영 기관],"서울병원"))</f>
        <v/>
      </c>
      <c r="O468" s="20">
        <f>IF($X468="","",SUMIFS(상세표[07~18시],상세표[사번키],INDEX(합계표[사번키],$X468),상세표[반영월],대상월키,상세표[반영 기관],"서울병원"))</f>
        <v/>
      </c>
      <c r="P468" s="20">
        <f>IF($X468="","",SUMIFS(상세표[18~22시],상세표[사번키],INDEX(합계표[사번키],$X468),상세표[반영월],대상월키,상세표[반영 기관],"서울병원"))</f>
        <v/>
      </c>
      <c r="Q468" s="20">
        <f>IF($X468="","",SUMIFS(상세표[22~06시],상세표[사번키],INDEX(합계표[사번키],$X468),상세표[반영월],대상월키,상세표[반영 기관],"서울병원"))</f>
        <v/>
      </c>
      <c r="R468" s="20">
        <f>IF($X468="","",SUM($N468:$Q468))</f>
        <v/>
      </c>
      <c r="S468">
        <f>IF($X468="","",COUNTIFS(상세표[사번키],INDEX(합계표[사번키],$X468),상세표[반영월],대상월키,상세표[야간당직],1,상세표[야간 구분],"평일"))</f>
        <v/>
      </c>
      <c r="T468">
        <f>IF($X468="","",COUNTIFS(상세표[사번키],INDEX(합계표[사번키],$X468),상세표[반영월],대상월키,상세표[야간당직],1,상세표[야간 구분],"휴일"))</f>
        <v/>
      </c>
      <c r="U468">
        <f>IF($X468="","",COUNTIFS(상세표[사번키],INDEX(합계표[사번키],$X468),상세표[반영월],대상월키,상세표[야간당직],1,상세표[야간 구분],"평일",상세표[반영 기관],"서울병원"))</f>
        <v/>
      </c>
      <c r="V468">
        <f>IF($X468="","",COUNTIFS(상세표[사번키],INDEX(합계표[사번키],$X468),상세표[반영월],대상월키,상세표[야간당직],1,상세표[야간 구분],"휴일",상세표[반영 기관],"서울병원"))</f>
        <v/>
      </c>
      <c r="W468">
        <f>IF($X468="","",IF(ISNUMBER(MATCH(INDEX(합계표[사번키],$X468)&amp;"|"&amp;대상월키,월별근무지표[키],0)),"직접 입력",IF($L468="—","—","기관명단")))</f>
        <v/>
      </c>
      <c r="X468" s="4">
        <f>IFERROR(MATCH(463,합계표[판정순번],0),"")</f>
        <v/>
      </c>
    </row>
    <row r="469">
      <c r="A469">
        <f>IF($X469="","",INDEX(합계표[사번],$X469)&amp;"")</f>
        <v/>
      </c>
      <c r="B469">
        <f>IF($X469="","",INDEX(합계표[성명],$X469)&amp;"")</f>
        <v/>
      </c>
      <c r="C469">
        <f>IF($X469="","",INDEX(합계표[부서],$X469)&amp;"")</f>
        <v/>
      </c>
      <c r="D469">
        <f>IF($X469="","",INDEX(합계표[직위(요약)],$X469)&amp;"")</f>
        <v/>
      </c>
      <c r="E469">
        <f>IF($X469="","",INDEX(합계표[직급 공존],$X469)&amp;"")</f>
        <v/>
      </c>
      <c r="F469" s="20">
        <f>IF($X469="","",SUMIFS(합계표[시스템 합계],합계표[사번키],INDEX(합계표[사번키],$X469)))</f>
        <v/>
      </c>
      <c r="G469" s="20">
        <f>IF($X469="","",SUMIFS(상세표[기록 시간외],상세표[사번키],INDEX(합계표[사번키],$X469),상세표[기록월],대상월키))</f>
        <v/>
      </c>
      <c r="H469">
        <f>IF($X469="","",IF(ABS($F469-$G469)&lt;0.01,"일치","불일치(차이 "&amp;TEXT($G469-$F469,"0.00")&amp;")"))</f>
        <v/>
      </c>
      <c r="I469" s="20">
        <f>IF($X469="","",SUMIFS(상세표[기록 시간외],상세표[사번키],INDEX(합계표[사번키],$X469),상세표[기록월],대상월키,상세표[반영월],"&lt;&gt;"&amp;대상월키))</f>
        <v/>
      </c>
      <c r="J469" s="20">
        <f>IF($X469="","",SUMIFS(상세표[기록 시간외],상세표[사번키],INDEX(합계표[사번키],$X469),상세표[기록월],"&lt;&gt;"&amp;대상월키,상세표[반영월],대상월키))</f>
        <v/>
      </c>
      <c r="K469" s="20">
        <f>IF($X469="","",SUMIFS(상세표[기록 시간외],상세표[사번키],INDEX(합계표[사번키],$X469),상세표[반영월],대상월키))</f>
        <v/>
      </c>
      <c r="L469">
        <f>IF($X469="","",IFERROR(INDEX(월별근무지표[적용 급여병원],MATCH(INDEX(합계표[사번키],$X469)&amp;"|"&amp;대상월키,월별근무지표[키],0))&amp;"",IF(COUNTIF(기관표[사번키],INDEX(합계표[사번키],$X469))+COUNTIF(월별근무지표[사번키],INDEX(합계표[사번키],$X469))&gt;0,IFERROR(INDEX(기관표[급여지급병원(기준월)],MATCH(INDEX(합계표[사번키],$X469)&amp;"|"&amp;대상월키,기관표[키],0))&amp;"","—"),"—")))</f>
        <v/>
      </c>
      <c r="M469">
        <f>IF($X469="","",IF(NOT(COUNTIF(기관표[사번키],INDEX(합계표[사번키],$X469))+COUNTIF(월별근무지표[사번키],INDEX(합계표[사번키],$X469))&gt;0),"기관명단에 없음(다른 병원으로 발송)",IF($L469="서울병원","해당",IF(N($R469)&gt;0,"해당(말일 근무)",IF($L469="—","대상월 기관명단 없음(추가 필요)","비해당")))))</f>
        <v/>
      </c>
      <c r="N469" s="20">
        <f>IF($X469="","",SUMIFS(상세표[06~07시],상세표[사번키],INDEX(합계표[사번키],$X469),상세표[반영월],대상월키,상세표[반영 기관],"서울병원"))</f>
        <v/>
      </c>
      <c r="O469" s="20">
        <f>IF($X469="","",SUMIFS(상세표[07~18시],상세표[사번키],INDEX(합계표[사번키],$X469),상세표[반영월],대상월키,상세표[반영 기관],"서울병원"))</f>
        <v/>
      </c>
      <c r="P469" s="20">
        <f>IF($X469="","",SUMIFS(상세표[18~22시],상세표[사번키],INDEX(합계표[사번키],$X469),상세표[반영월],대상월키,상세표[반영 기관],"서울병원"))</f>
        <v/>
      </c>
      <c r="Q469" s="20">
        <f>IF($X469="","",SUMIFS(상세표[22~06시],상세표[사번키],INDEX(합계표[사번키],$X469),상세표[반영월],대상월키,상세표[반영 기관],"서울병원"))</f>
        <v/>
      </c>
      <c r="R469" s="20">
        <f>IF($X469="","",SUM($N469:$Q469))</f>
        <v/>
      </c>
      <c r="S469">
        <f>IF($X469="","",COUNTIFS(상세표[사번키],INDEX(합계표[사번키],$X469),상세표[반영월],대상월키,상세표[야간당직],1,상세표[야간 구분],"평일"))</f>
        <v/>
      </c>
      <c r="T469">
        <f>IF($X469="","",COUNTIFS(상세표[사번키],INDEX(합계표[사번키],$X469),상세표[반영월],대상월키,상세표[야간당직],1,상세표[야간 구분],"휴일"))</f>
        <v/>
      </c>
      <c r="U469">
        <f>IF($X469="","",COUNTIFS(상세표[사번키],INDEX(합계표[사번키],$X469),상세표[반영월],대상월키,상세표[야간당직],1,상세표[야간 구분],"평일",상세표[반영 기관],"서울병원"))</f>
        <v/>
      </c>
      <c r="V469">
        <f>IF($X469="","",COUNTIFS(상세표[사번키],INDEX(합계표[사번키],$X469),상세표[반영월],대상월키,상세표[야간당직],1,상세표[야간 구분],"휴일",상세표[반영 기관],"서울병원"))</f>
        <v/>
      </c>
      <c r="W469">
        <f>IF($X469="","",IF(ISNUMBER(MATCH(INDEX(합계표[사번키],$X469)&amp;"|"&amp;대상월키,월별근무지표[키],0)),"직접 입력",IF($L469="—","—","기관명단")))</f>
        <v/>
      </c>
      <c r="X469" s="4">
        <f>IFERROR(MATCH(464,합계표[판정순번],0),"")</f>
        <v/>
      </c>
    </row>
    <row r="470">
      <c r="A470">
        <f>IF($X470="","",INDEX(합계표[사번],$X470)&amp;"")</f>
        <v/>
      </c>
      <c r="B470">
        <f>IF($X470="","",INDEX(합계표[성명],$X470)&amp;"")</f>
        <v/>
      </c>
      <c r="C470">
        <f>IF($X470="","",INDEX(합계표[부서],$X470)&amp;"")</f>
        <v/>
      </c>
      <c r="D470">
        <f>IF($X470="","",INDEX(합계표[직위(요약)],$X470)&amp;"")</f>
        <v/>
      </c>
      <c r="E470">
        <f>IF($X470="","",INDEX(합계표[직급 공존],$X470)&amp;"")</f>
        <v/>
      </c>
      <c r="F470" s="20">
        <f>IF($X470="","",SUMIFS(합계표[시스템 합계],합계표[사번키],INDEX(합계표[사번키],$X470)))</f>
        <v/>
      </c>
      <c r="G470" s="20">
        <f>IF($X470="","",SUMIFS(상세표[기록 시간외],상세표[사번키],INDEX(합계표[사번키],$X470),상세표[기록월],대상월키))</f>
        <v/>
      </c>
      <c r="H470">
        <f>IF($X470="","",IF(ABS($F470-$G470)&lt;0.01,"일치","불일치(차이 "&amp;TEXT($G470-$F470,"0.00")&amp;")"))</f>
        <v/>
      </c>
      <c r="I470" s="20">
        <f>IF($X470="","",SUMIFS(상세표[기록 시간외],상세표[사번키],INDEX(합계표[사번키],$X470),상세표[기록월],대상월키,상세표[반영월],"&lt;&gt;"&amp;대상월키))</f>
        <v/>
      </c>
      <c r="J470" s="20">
        <f>IF($X470="","",SUMIFS(상세표[기록 시간외],상세표[사번키],INDEX(합계표[사번키],$X470),상세표[기록월],"&lt;&gt;"&amp;대상월키,상세표[반영월],대상월키))</f>
        <v/>
      </c>
      <c r="K470" s="20">
        <f>IF($X470="","",SUMIFS(상세표[기록 시간외],상세표[사번키],INDEX(합계표[사번키],$X470),상세표[반영월],대상월키))</f>
        <v/>
      </c>
      <c r="L470">
        <f>IF($X470="","",IFERROR(INDEX(월별근무지표[적용 급여병원],MATCH(INDEX(합계표[사번키],$X470)&amp;"|"&amp;대상월키,월별근무지표[키],0))&amp;"",IF(COUNTIF(기관표[사번키],INDEX(합계표[사번키],$X470))+COUNTIF(월별근무지표[사번키],INDEX(합계표[사번키],$X470))&gt;0,IFERROR(INDEX(기관표[급여지급병원(기준월)],MATCH(INDEX(합계표[사번키],$X470)&amp;"|"&amp;대상월키,기관표[키],0))&amp;"","—"),"—")))</f>
        <v/>
      </c>
      <c r="M470">
        <f>IF($X470="","",IF(NOT(COUNTIF(기관표[사번키],INDEX(합계표[사번키],$X470))+COUNTIF(월별근무지표[사번키],INDEX(합계표[사번키],$X470))&gt;0),"기관명단에 없음(다른 병원으로 발송)",IF($L470="서울병원","해당",IF(N($R470)&gt;0,"해당(말일 근무)",IF($L470="—","대상월 기관명단 없음(추가 필요)","비해당")))))</f>
        <v/>
      </c>
      <c r="N470" s="20">
        <f>IF($X470="","",SUMIFS(상세표[06~07시],상세표[사번키],INDEX(합계표[사번키],$X470),상세표[반영월],대상월키,상세표[반영 기관],"서울병원"))</f>
        <v/>
      </c>
      <c r="O470" s="20">
        <f>IF($X470="","",SUMIFS(상세표[07~18시],상세표[사번키],INDEX(합계표[사번키],$X470),상세표[반영월],대상월키,상세표[반영 기관],"서울병원"))</f>
        <v/>
      </c>
      <c r="P470" s="20">
        <f>IF($X470="","",SUMIFS(상세표[18~22시],상세표[사번키],INDEX(합계표[사번키],$X470),상세표[반영월],대상월키,상세표[반영 기관],"서울병원"))</f>
        <v/>
      </c>
      <c r="Q470" s="20">
        <f>IF($X470="","",SUMIFS(상세표[22~06시],상세표[사번키],INDEX(합계표[사번키],$X470),상세표[반영월],대상월키,상세표[반영 기관],"서울병원"))</f>
        <v/>
      </c>
      <c r="R470" s="20">
        <f>IF($X470="","",SUM($N470:$Q470))</f>
        <v/>
      </c>
      <c r="S470">
        <f>IF($X470="","",COUNTIFS(상세표[사번키],INDEX(합계표[사번키],$X470),상세표[반영월],대상월키,상세표[야간당직],1,상세표[야간 구분],"평일"))</f>
        <v/>
      </c>
      <c r="T470">
        <f>IF($X470="","",COUNTIFS(상세표[사번키],INDEX(합계표[사번키],$X470),상세표[반영월],대상월키,상세표[야간당직],1,상세표[야간 구분],"휴일"))</f>
        <v/>
      </c>
      <c r="U470">
        <f>IF($X470="","",COUNTIFS(상세표[사번키],INDEX(합계표[사번키],$X470),상세표[반영월],대상월키,상세표[야간당직],1,상세표[야간 구분],"평일",상세표[반영 기관],"서울병원"))</f>
        <v/>
      </c>
      <c r="V470">
        <f>IF($X470="","",COUNTIFS(상세표[사번키],INDEX(합계표[사번키],$X470),상세표[반영월],대상월키,상세표[야간당직],1,상세표[야간 구분],"휴일",상세표[반영 기관],"서울병원"))</f>
        <v/>
      </c>
      <c r="W470">
        <f>IF($X470="","",IF(ISNUMBER(MATCH(INDEX(합계표[사번키],$X470)&amp;"|"&amp;대상월키,월별근무지표[키],0)),"직접 입력",IF($L470="—","—","기관명단")))</f>
        <v/>
      </c>
      <c r="X470" s="4">
        <f>IFERROR(MATCH(465,합계표[판정순번],0),"")</f>
        <v/>
      </c>
    </row>
    <row r="471">
      <c r="A471">
        <f>IF($X471="","",INDEX(합계표[사번],$X471)&amp;"")</f>
        <v/>
      </c>
      <c r="B471">
        <f>IF($X471="","",INDEX(합계표[성명],$X471)&amp;"")</f>
        <v/>
      </c>
      <c r="C471">
        <f>IF($X471="","",INDEX(합계표[부서],$X471)&amp;"")</f>
        <v/>
      </c>
      <c r="D471">
        <f>IF($X471="","",INDEX(합계표[직위(요약)],$X471)&amp;"")</f>
        <v/>
      </c>
      <c r="E471">
        <f>IF($X471="","",INDEX(합계표[직급 공존],$X471)&amp;"")</f>
        <v/>
      </c>
      <c r="F471" s="20">
        <f>IF($X471="","",SUMIFS(합계표[시스템 합계],합계표[사번키],INDEX(합계표[사번키],$X471)))</f>
        <v/>
      </c>
      <c r="G471" s="20">
        <f>IF($X471="","",SUMIFS(상세표[기록 시간외],상세표[사번키],INDEX(합계표[사번키],$X471),상세표[기록월],대상월키))</f>
        <v/>
      </c>
      <c r="H471">
        <f>IF($X471="","",IF(ABS($F471-$G471)&lt;0.01,"일치","불일치(차이 "&amp;TEXT($G471-$F471,"0.00")&amp;")"))</f>
        <v/>
      </c>
      <c r="I471" s="20">
        <f>IF($X471="","",SUMIFS(상세표[기록 시간외],상세표[사번키],INDEX(합계표[사번키],$X471),상세표[기록월],대상월키,상세표[반영월],"&lt;&gt;"&amp;대상월키))</f>
        <v/>
      </c>
      <c r="J471" s="20">
        <f>IF($X471="","",SUMIFS(상세표[기록 시간외],상세표[사번키],INDEX(합계표[사번키],$X471),상세표[기록월],"&lt;&gt;"&amp;대상월키,상세표[반영월],대상월키))</f>
        <v/>
      </c>
      <c r="K471" s="20">
        <f>IF($X471="","",SUMIFS(상세표[기록 시간외],상세표[사번키],INDEX(합계표[사번키],$X471),상세표[반영월],대상월키))</f>
        <v/>
      </c>
      <c r="L471">
        <f>IF($X471="","",IFERROR(INDEX(월별근무지표[적용 급여병원],MATCH(INDEX(합계표[사번키],$X471)&amp;"|"&amp;대상월키,월별근무지표[키],0))&amp;"",IF(COUNTIF(기관표[사번키],INDEX(합계표[사번키],$X471))+COUNTIF(월별근무지표[사번키],INDEX(합계표[사번키],$X471))&gt;0,IFERROR(INDEX(기관표[급여지급병원(기준월)],MATCH(INDEX(합계표[사번키],$X471)&amp;"|"&amp;대상월키,기관표[키],0))&amp;"","—"),"—")))</f>
        <v/>
      </c>
      <c r="M471">
        <f>IF($X471="","",IF(NOT(COUNTIF(기관표[사번키],INDEX(합계표[사번키],$X471))+COUNTIF(월별근무지표[사번키],INDEX(합계표[사번키],$X471))&gt;0),"기관명단에 없음(다른 병원으로 발송)",IF($L471="서울병원","해당",IF(N($R471)&gt;0,"해당(말일 근무)",IF($L471="—","대상월 기관명단 없음(추가 필요)","비해당")))))</f>
        <v/>
      </c>
      <c r="N471" s="20">
        <f>IF($X471="","",SUMIFS(상세표[06~07시],상세표[사번키],INDEX(합계표[사번키],$X471),상세표[반영월],대상월키,상세표[반영 기관],"서울병원"))</f>
        <v/>
      </c>
      <c r="O471" s="20">
        <f>IF($X471="","",SUMIFS(상세표[07~18시],상세표[사번키],INDEX(합계표[사번키],$X471),상세표[반영월],대상월키,상세표[반영 기관],"서울병원"))</f>
        <v/>
      </c>
      <c r="P471" s="20">
        <f>IF($X471="","",SUMIFS(상세표[18~22시],상세표[사번키],INDEX(합계표[사번키],$X471),상세표[반영월],대상월키,상세표[반영 기관],"서울병원"))</f>
        <v/>
      </c>
      <c r="Q471" s="20">
        <f>IF($X471="","",SUMIFS(상세표[22~06시],상세표[사번키],INDEX(합계표[사번키],$X471),상세표[반영월],대상월키,상세표[반영 기관],"서울병원"))</f>
        <v/>
      </c>
      <c r="R471" s="20">
        <f>IF($X471="","",SUM($N471:$Q471))</f>
        <v/>
      </c>
      <c r="S471">
        <f>IF($X471="","",COUNTIFS(상세표[사번키],INDEX(합계표[사번키],$X471),상세표[반영월],대상월키,상세표[야간당직],1,상세표[야간 구분],"평일"))</f>
        <v/>
      </c>
      <c r="T471">
        <f>IF($X471="","",COUNTIFS(상세표[사번키],INDEX(합계표[사번키],$X471),상세표[반영월],대상월키,상세표[야간당직],1,상세표[야간 구분],"휴일"))</f>
        <v/>
      </c>
      <c r="U471">
        <f>IF($X471="","",COUNTIFS(상세표[사번키],INDEX(합계표[사번키],$X471),상세표[반영월],대상월키,상세표[야간당직],1,상세표[야간 구분],"평일",상세표[반영 기관],"서울병원"))</f>
        <v/>
      </c>
      <c r="V471">
        <f>IF($X471="","",COUNTIFS(상세표[사번키],INDEX(합계표[사번키],$X471),상세표[반영월],대상월키,상세표[야간당직],1,상세표[야간 구분],"휴일",상세표[반영 기관],"서울병원"))</f>
        <v/>
      </c>
      <c r="W471">
        <f>IF($X471="","",IF(ISNUMBER(MATCH(INDEX(합계표[사번키],$X471)&amp;"|"&amp;대상월키,월별근무지표[키],0)),"직접 입력",IF($L471="—","—","기관명단")))</f>
        <v/>
      </c>
      <c r="X471" s="4">
        <f>IFERROR(MATCH(466,합계표[판정순번],0),"")</f>
        <v/>
      </c>
    </row>
    <row r="472">
      <c r="A472">
        <f>IF($X472="","",INDEX(합계표[사번],$X472)&amp;"")</f>
        <v/>
      </c>
      <c r="B472">
        <f>IF($X472="","",INDEX(합계표[성명],$X472)&amp;"")</f>
        <v/>
      </c>
      <c r="C472">
        <f>IF($X472="","",INDEX(합계표[부서],$X472)&amp;"")</f>
        <v/>
      </c>
      <c r="D472">
        <f>IF($X472="","",INDEX(합계표[직위(요약)],$X472)&amp;"")</f>
        <v/>
      </c>
      <c r="E472">
        <f>IF($X472="","",INDEX(합계표[직급 공존],$X472)&amp;"")</f>
        <v/>
      </c>
      <c r="F472" s="20">
        <f>IF($X472="","",SUMIFS(합계표[시스템 합계],합계표[사번키],INDEX(합계표[사번키],$X472)))</f>
        <v/>
      </c>
      <c r="G472" s="20">
        <f>IF($X472="","",SUMIFS(상세표[기록 시간외],상세표[사번키],INDEX(합계표[사번키],$X472),상세표[기록월],대상월키))</f>
        <v/>
      </c>
      <c r="H472">
        <f>IF($X472="","",IF(ABS($F472-$G472)&lt;0.01,"일치","불일치(차이 "&amp;TEXT($G472-$F472,"0.00")&amp;")"))</f>
        <v/>
      </c>
      <c r="I472" s="20">
        <f>IF($X472="","",SUMIFS(상세표[기록 시간외],상세표[사번키],INDEX(합계표[사번키],$X472),상세표[기록월],대상월키,상세표[반영월],"&lt;&gt;"&amp;대상월키))</f>
        <v/>
      </c>
      <c r="J472" s="20">
        <f>IF($X472="","",SUMIFS(상세표[기록 시간외],상세표[사번키],INDEX(합계표[사번키],$X472),상세표[기록월],"&lt;&gt;"&amp;대상월키,상세표[반영월],대상월키))</f>
        <v/>
      </c>
      <c r="K472" s="20">
        <f>IF($X472="","",SUMIFS(상세표[기록 시간외],상세표[사번키],INDEX(합계표[사번키],$X472),상세표[반영월],대상월키))</f>
        <v/>
      </c>
      <c r="L472">
        <f>IF($X472="","",IFERROR(INDEX(월별근무지표[적용 급여병원],MATCH(INDEX(합계표[사번키],$X472)&amp;"|"&amp;대상월키,월별근무지표[키],0))&amp;"",IF(COUNTIF(기관표[사번키],INDEX(합계표[사번키],$X472))+COUNTIF(월별근무지표[사번키],INDEX(합계표[사번키],$X472))&gt;0,IFERROR(INDEX(기관표[급여지급병원(기준월)],MATCH(INDEX(합계표[사번키],$X472)&amp;"|"&amp;대상월키,기관표[키],0))&amp;"","—"),"—")))</f>
        <v/>
      </c>
      <c r="M472">
        <f>IF($X472="","",IF(NOT(COUNTIF(기관표[사번키],INDEX(합계표[사번키],$X472))+COUNTIF(월별근무지표[사번키],INDEX(합계표[사번키],$X472))&gt;0),"기관명단에 없음(다른 병원으로 발송)",IF($L472="서울병원","해당",IF(N($R472)&gt;0,"해당(말일 근무)",IF($L472="—","대상월 기관명단 없음(추가 필요)","비해당")))))</f>
        <v/>
      </c>
      <c r="N472" s="20">
        <f>IF($X472="","",SUMIFS(상세표[06~07시],상세표[사번키],INDEX(합계표[사번키],$X472),상세표[반영월],대상월키,상세표[반영 기관],"서울병원"))</f>
        <v/>
      </c>
      <c r="O472" s="20">
        <f>IF($X472="","",SUMIFS(상세표[07~18시],상세표[사번키],INDEX(합계표[사번키],$X472),상세표[반영월],대상월키,상세표[반영 기관],"서울병원"))</f>
        <v/>
      </c>
      <c r="P472" s="20">
        <f>IF($X472="","",SUMIFS(상세표[18~22시],상세표[사번키],INDEX(합계표[사번키],$X472),상세표[반영월],대상월키,상세표[반영 기관],"서울병원"))</f>
        <v/>
      </c>
      <c r="Q472" s="20">
        <f>IF($X472="","",SUMIFS(상세표[22~06시],상세표[사번키],INDEX(합계표[사번키],$X472),상세표[반영월],대상월키,상세표[반영 기관],"서울병원"))</f>
        <v/>
      </c>
      <c r="R472" s="20">
        <f>IF($X472="","",SUM($N472:$Q472))</f>
        <v/>
      </c>
      <c r="S472">
        <f>IF($X472="","",COUNTIFS(상세표[사번키],INDEX(합계표[사번키],$X472),상세표[반영월],대상월키,상세표[야간당직],1,상세표[야간 구분],"평일"))</f>
        <v/>
      </c>
      <c r="T472">
        <f>IF($X472="","",COUNTIFS(상세표[사번키],INDEX(합계표[사번키],$X472),상세표[반영월],대상월키,상세표[야간당직],1,상세표[야간 구분],"휴일"))</f>
        <v/>
      </c>
      <c r="U472">
        <f>IF($X472="","",COUNTIFS(상세표[사번키],INDEX(합계표[사번키],$X472),상세표[반영월],대상월키,상세표[야간당직],1,상세표[야간 구분],"평일",상세표[반영 기관],"서울병원"))</f>
        <v/>
      </c>
      <c r="V472">
        <f>IF($X472="","",COUNTIFS(상세표[사번키],INDEX(합계표[사번키],$X472),상세표[반영월],대상월키,상세표[야간당직],1,상세표[야간 구분],"휴일",상세표[반영 기관],"서울병원"))</f>
        <v/>
      </c>
      <c r="W472">
        <f>IF($X472="","",IF(ISNUMBER(MATCH(INDEX(합계표[사번키],$X472)&amp;"|"&amp;대상월키,월별근무지표[키],0)),"직접 입력",IF($L472="—","—","기관명단")))</f>
        <v/>
      </c>
      <c r="X472" s="4">
        <f>IFERROR(MATCH(467,합계표[판정순번],0),"")</f>
        <v/>
      </c>
    </row>
    <row r="473">
      <c r="A473">
        <f>IF($X473="","",INDEX(합계표[사번],$X473)&amp;"")</f>
        <v/>
      </c>
      <c r="B473">
        <f>IF($X473="","",INDEX(합계표[성명],$X473)&amp;"")</f>
        <v/>
      </c>
      <c r="C473">
        <f>IF($X473="","",INDEX(합계표[부서],$X473)&amp;"")</f>
        <v/>
      </c>
      <c r="D473">
        <f>IF($X473="","",INDEX(합계표[직위(요약)],$X473)&amp;"")</f>
        <v/>
      </c>
      <c r="E473">
        <f>IF($X473="","",INDEX(합계표[직급 공존],$X473)&amp;"")</f>
        <v/>
      </c>
      <c r="F473" s="20">
        <f>IF($X473="","",SUMIFS(합계표[시스템 합계],합계표[사번키],INDEX(합계표[사번키],$X473)))</f>
        <v/>
      </c>
      <c r="G473" s="20">
        <f>IF($X473="","",SUMIFS(상세표[기록 시간외],상세표[사번키],INDEX(합계표[사번키],$X473),상세표[기록월],대상월키))</f>
        <v/>
      </c>
      <c r="H473">
        <f>IF($X473="","",IF(ABS($F473-$G473)&lt;0.01,"일치","불일치(차이 "&amp;TEXT($G473-$F473,"0.00")&amp;")"))</f>
        <v/>
      </c>
      <c r="I473" s="20">
        <f>IF($X473="","",SUMIFS(상세표[기록 시간외],상세표[사번키],INDEX(합계표[사번키],$X473),상세표[기록월],대상월키,상세표[반영월],"&lt;&gt;"&amp;대상월키))</f>
        <v/>
      </c>
      <c r="J473" s="20">
        <f>IF($X473="","",SUMIFS(상세표[기록 시간외],상세표[사번키],INDEX(합계표[사번키],$X473),상세표[기록월],"&lt;&gt;"&amp;대상월키,상세표[반영월],대상월키))</f>
        <v/>
      </c>
      <c r="K473" s="20">
        <f>IF($X473="","",SUMIFS(상세표[기록 시간외],상세표[사번키],INDEX(합계표[사번키],$X473),상세표[반영월],대상월키))</f>
        <v/>
      </c>
      <c r="L473">
        <f>IF($X473="","",IFERROR(INDEX(월별근무지표[적용 급여병원],MATCH(INDEX(합계표[사번키],$X473)&amp;"|"&amp;대상월키,월별근무지표[키],0))&amp;"",IF(COUNTIF(기관표[사번키],INDEX(합계표[사번키],$X473))+COUNTIF(월별근무지표[사번키],INDEX(합계표[사번키],$X473))&gt;0,IFERROR(INDEX(기관표[급여지급병원(기준월)],MATCH(INDEX(합계표[사번키],$X473)&amp;"|"&amp;대상월키,기관표[키],0))&amp;"","—"),"—")))</f>
        <v/>
      </c>
      <c r="M473">
        <f>IF($X473="","",IF(NOT(COUNTIF(기관표[사번키],INDEX(합계표[사번키],$X473))+COUNTIF(월별근무지표[사번키],INDEX(합계표[사번키],$X473))&gt;0),"기관명단에 없음(다른 병원으로 발송)",IF($L473="서울병원","해당",IF(N($R473)&gt;0,"해당(말일 근무)",IF($L473="—","대상월 기관명단 없음(추가 필요)","비해당")))))</f>
        <v/>
      </c>
      <c r="N473" s="20">
        <f>IF($X473="","",SUMIFS(상세표[06~07시],상세표[사번키],INDEX(합계표[사번키],$X473),상세표[반영월],대상월키,상세표[반영 기관],"서울병원"))</f>
        <v/>
      </c>
      <c r="O473" s="20">
        <f>IF($X473="","",SUMIFS(상세표[07~18시],상세표[사번키],INDEX(합계표[사번키],$X473),상세표[반영월],대상월키,상세표[반영 기관],"서울병원"))</f>
        <v/>
      </c>
      <c r="P473" s="20">
        <f>IF($X473="","",SUMIFS(상세표[18~22시],상세표[사번키],INDEX(합계표[사번키],$X473),상세표[반영월],대상월키,상세표[반영 기관],"서울병원"))</f>
        <v/>
      </c>
      <c r="Q473" s="20">
        <f>IF($X473="","",SUMIFS(상세표[22~06시],상세표[사번키],INDEX(합계표[사번키],$X473),상세표[반영월],대상월키,상세표[반영 기관],"서울병원"))</f>
        <v/>
      </c>
      <c r="R473" s="20">
        <f>IF($X473="","",SUM($N473:$Q473))</f>
        <v/>
      </c>
      <c r="S473">
        <f>IF($X473="","",COUNTIFS(상세표[사번키],INDEX(합계표[사번키],$X473),상세표[반영월],대상월키,상세표[야간당직],1,상세표[야간 구분],"평일"))</f>
        <v/>
      </c>
      <c r="T473">
        <f>IF($X473="","",COUNTIFS(상세표[사번키],INDEX(합계표[사번키],$X473),상세표[반영월],대상월키,상세표[야간당직],1,상세표[야간 구분],"휴일"))</f>
        <v/>
      </c>
      <c r="U473">
        <f>IF($X473="","",COUNTIFS(상세표[사번키],INDEX(합계표[사번키],$X473),상세표[반영월],대상월키,상세표[야간당직],1,상세표[야간 구분],"평일",상세표[반영 기관],"서울병원"))</f>
        <v/>
      </c>
      <c r="V473">
        <f>IF($X473="","",COUNTIFS(상세표[사번키],INDEX(합계표[사번키],$X473),상세표[반영월],대상월키,상세표[야간당직],1,상세표[야간 구분],"휴일",상세표[반영 기관],"서울병원"))</f>
        <v/>
      </c>
      <c r="W473">
        <f>IF($X473="","",IF(ISNUMBER(MATCH(INDEX(합계표[사번키],$X473)&amp;"|"&amp;대상월키,월별근무지표[키],0)),"직접 입력",IF($L473="—","—","기관명단")))</f>
        <v/>
      </c>
      <c r="X473" s="4">
        <f>IFERROR(MATCH(468,합계표[판정순번],0),"")</f>
        <v/>
      </c>
    </row>
    <row r="474">
      <c r="A474">
        <f>IF($X474="","",INDEX(합계표[사번],$X474)&amp;"")</f>
        <v/>
      </c>
      <c r="B474">
        <f>IF($X474="","",INDEX(합계표[성명],$X474)&amp;"")</f>
        <v/>
      </c>
      <c r="C474">
        <f>IF($X474="","",INDEX(합계표[부서],$X474)&amp;"")</f>
        <v/>
      </c>
      <c r="D474">
        <f>IF($X474="","",INDEX(합계표[직위(요약)],$X474)&amp;"")</f>
        <v/>
      </c>
      <c r="E474">
        <f>IF($X474="","",INDEX(합계표[직급 공존],$X474)&amp;"")</f>
        <v/>
      </c>
      <c r="F474" s="20">
        <f>IF($X474="","",SUMIFS(합계표[시스템 합계],합계표[사번키],INDEX(합계표[사번키],$X474)))</f>
        <v/>
      </c>
      <c r="G474" s="20">
        <f>IF($X474="","",SUMIFS(상세표[기록 시간외],상세표[사번키],INDEX(합계표[사번키],$X474),상세표[기록월],대상월키))</f>
        <v/>
      </c>
      <c r="H474">
        <f>IF($X474="","",IF(ABS($F474-$G474)&lt;0.01,"일치","불일치(차이 "&amp;TEXT($G474-$F474,"0.00")&amp;")"))</f>
        <v/>
      </c>
      <c r="I474" s="20">
        <f>IF($X474="","",SUMIFS(상세표[기록 시간외],상세표[사번키],INDEX(합계표[사번키],$X474),상세표[기록월],대상월키,상세표[반영월],"&lt;&gt;"&amp;대상월키))</f>
        <v/>
      </c>
      <c r="J474" s="20">
        <f>IF($X474="","",SUMIFS(상세표[기록 시간외],상세표[사번키],INDEX(합계표[사번키],$X474),상세표[기록월],"&lt;&gt;"&amp;대상월키,상세표[반영월],대상월키))</f>
        <v/>
      </c>
      <c r="K474" s="20">
        <f>IF($X474="","",SUMIFS(상세표[기록 시간외],상세표[사번키],INDEX(합계표[사번키],$X474),상세표[반영월],대상월키))</f>
        <v/>
      </c>
      <c r="L474">
        <f>IF($X474="","",IFERROR(INDEX(월별근무지표[적용 급여병원],MATCH(INDEX(합계표[사번키],$X474)&amp;"|"&amp;대상월키,월별근무지표[키],0))&amp;"",IF(COUNTIF(기관표[사번키],INDEX(합계표[사번키],$X474))+COUNTIF(월별근무지표[사번키],INDEX(합계표[사번키],$X474))&gt;0,IFERROR(INDEX(기관표[급여지급병원(기준월)],MATCH(INDEX(합계표[사번키],$X474)&amp;"|"&amp;대상월키,기관표[키],0))&amp;"","—"),"—")))</f>
        <v/>
      </c>
      <c r="M474">
        <f>IF($X474="","",IF(NOT(COUNTIF(기관표[사번키],INDEX(합계표[사번키],$X474))+COUNTIF(월별근무지표[사번키],INDEX(합계표[사번키],$X474))&gt;0),"기관명단에 없음(다른 병원으로 발송)",IF($L474="서울병원","해당",IF(N($R474)&gt;0,"해당(말일 근무)",IF($L474="—","대상월 기관명단 없음(추가 필요)","비해당")))))</f>
        <v/>
      </c>
      <c r="N474" s="20">
        <f>IF($X474="","",SUMIFS(상세표[06~07시],상세표[사번키],INDEX(합계표[사번키],$X474),상세표[반영월],대상월키,상세표[반영 기관],"서울병원"))</f>
        <v/>
      </c>
      <c r="O474" s="20">
        <f>IF($X474="","",SUMIFS(상세표[07~18시],상세표[사번키],INDEX(합계표[사번키],$X474),상세표[반영월],대상월키,상세표[반영 기관],"서울병원"))</f>
        <v/>
      </c>
      <c r="P474" s="20">
        <f>IF($X474="","",SUMIFS(상세표[18~22시],상세표[사번키],INDEX(합계표[사번키],$X474),상세표[반영월],대상월키,상세표[반영 기관],"서울병원"))</f>
        <v/>
      </c>
      <c r="Q474" s="20">
        <f>IF($X474="","",SUMIFS(상세표[22~06시],상세표[사번키],INDEX(합계표[사번키],$X474),상세표[반영월],대상월키,상세표[반영 기관],"서울병원"))</f>
        <v/>
      </c>
      <c r="R474" s="20">
        <f>IF($X474="","",SUM($N474:$Q474))</f>
        <v/>
      </c>
      <c r="S474">
        <f>IF($X474="","",COUNTIFS(상세표[사번키],INDEX(합계표[사번키],$X474),상세표[반영월],대상월키,상세표[야간당직],1,상세표[야간 구분],"평일"))</f>
        <v/>
      </c>
      <c r="T474">
        <f>IF($X474="","",COUNTIFS(상세표[사번키],INDEX(합계표[사번키],$X474),상세표[반영월],대상월키,상세표[야간당직],1,상세표[야간 구분],"휴일"))</f>
        <v/>
      </c>
      <c r="U474">
        <f>IF($X474="","",COUNTIFS(상세표[사번키],INDEX(합계표[사번키],$X474),상세표[반영월],대상월키,상세표[야간당직],1,상세표[야간 구분],"평일",상세표[반영 기관],"서울병원"))</f>
        <v/>
      </c>
      <c r="V474">
        <f>IF($X474="","",COUNTIFS(상세표[사번키],INDEX(합계표[사번키],$X474),상세표[반영월],대상월키,상세표[야간당직],1,상세표[야간 구분],"휴일",상세표[반영 기관],"서울병원"))</f>
        <v/>
      </c>
      <c r="W474">
        <f>IF($X474="","",IF(ISNUMBER(MATCH(INDEX(합계표[사번키],$X474)&amp;"|"&amp;대상월키,월별근무지표[키],0)),"직접 입력",IF($L474="—","—","기관명단")))</f>
        <v/>
      </c>
      <c r="X474" s="4">
        <f>IFERROR(MATCH(469,합계표[판정순번],0),"")</f>
        <v/>
      </c>
    </row>
    <row r="475">
      <c r="A475">
        <f>IF($X475="","",INDEX(합계표[사번],$X475)&amp;"")</f>
        <v/>
      </c>
      <c r="B475">
        <f>IF($X475="","",INDEX(합계표[성명],$X475)&amp;"")</f>
        <v/>
      </c>
      <c r="C475">
        <f>IF($X475="","",INDEX(합계표[부서],$X475)&amp;"")</f>
        <v/>
      </c>
      <c r="D475">
        <f>IF($X475="","",INDEX(합계표[직위(요약)],$X475)&amp;"")</f>
        <v/>
      </c>
      <c r="E475">
        <f>IF($X475="","",INDEX(합계표[직급 공존],$X475)&amp;"")</f>
        <v/>
      </c>
      <c r="F475" s="20">
        <f>IF($X475="","",SUMIFS(합계표[시스템 합계],합계표[사번키],INDEX(합계표[사번키],$X475)))</f>
        <v/>
      </c>
      <c r="G475" s="20">
        <f>IF($X475="","",SUMIFS(상세표[기록 시간외],상세표[사번키],INDEX(합계표[사번키],$X475),상세표[기록월],대상월키))</f>
        <v/>
      </c>
      <c r="H475">
        <f>IF($X475="","",IF(ABS($F475-$G475)&lt;0.01,"일치","불일치(차이 "&amp;TEXT($G475-$F475,"0.00")&amp;")"))</f>
        <v/>
      </c>
      <c r="I475" s="20">
        <f>IF($X475="","",SUMIFS(상세표[기록 시간외],상세표[사번키],INDEX(합계표[사번키],$X475),상세표[기록월],대상월키,상세표[반영월],"&lt;&gt;"&amp;대상월키))</f>
        <v/>
      </c>
      <c r="J475" s="20">
        <f>IF($X475="","",SUMIFS(상세표[기록 시간외],상세표[사번키],INDEX(합계표[사번키],$X475),상세표[기록월],"&lt;&gt;"&amp;대상월키,상세표[반영월],대상월키))</f>
        <v/>
      </c>
      <c r="K475" s="20">
        <f>IF($X475="","",SUMIFS(상세표[기록 시간외],상세표[사번키],INDEX(합계표[사번키],$X475),상세표[반영월],대상월키))</f>
        <v/>
      </c>
      <c r="L475">
        <f>IF($X475="","",IFERROR(INDEX(월별근무지표[적용 급여병원],MATCH(INDEX(합계표[사번키],$X475)&amp;"|"&amp;대상월키,월별근무지표[키],0))&amp;"",IF(COUNTIF(기관표[사번키],INDEX(합계표[사번키],$X475))+COUNTIF(월별근무지표[사번키],INDEX(합계표[사번키],$X475))&gt;0,IFERROR(INDEX(기관표[급여지급병원(기준월)],MATCH(INDEX(합계표[사번키],$X475)&amp;"|"&amp;대상월키,기관표[키],0))&amp;"","—"),"—")))</f>
        <v/>
      </c>
      <c r="M475">
        <f>IF($X475="","",IF(NOT(COUNTIF(기관표[사번키],INDEX(합계표[사번키],$X475))+COUNTIF(월별근무지표[사번키],INDEX(합계표[사번키],$X475))&gt;0),"기관명단에 없음(다른 병원으로 발송)",IF($L475="서울병원","해당",IF(N($R475)&gt;0,"해당(말일 근무)",IF($L475="—","대상월 기관명단 없음(추가 필요)","비해당")))))</f>
        <v/>
      </c>
      <c r="N475" s="20">
        <f>IF($X475="","",SUMIFS(상세표[06~07시],상세표[사번키],INDEX(합계표[사번키],$X475),상세표[반영월],대상월키,상세표[반영 기관],"서울병원"))</f>
        <v/>
      </c>
      <c r="O475" s="20">
        <f>IF($X475="","",SUMIFS(상세표[07~18시],상세표[사번키],INDEX(합계표[사번키],$X475),상세표[반영월],대상월키,상세표[반영 기관],"서울병원"))</f>
        <v/>
      </c>
      <c r="P475" s="20">
        <f>IF($X475="","",SUMIFS(상세표[18~22시],상세표[사번키],INDEX(합계표[사번키],$X475),상세표[반영월],대상월키,상세표[반영 기관],"서울병원"))</f>
        <v/>
      </c>
      <c r="Q475" s="20">
        <f>IF($X475="","",SUMIFS(상세표[22~06시],상세표[사번키],INDEX(합계표[사번키],$X475),상세표[반영월],대상월키,상세표[반영 기관],"서울병원"))</f>
        <v/>
      </c>
      <c r="R475" s="20">
        <f>IF($X475="","",SUM($N475:$Q475))</f>
        <v/>
      </c>
      <c r="S475">
        <f>IF($X475="","",COUNTIFS(상세표[사번키],INDEX(합계표[사번키],$X475),상세표[반영월],대상월키,상세표[야간당직],1,상세표[야간 구분],"평일"))</f>
        <v/>
      </c>
      <c r="T475">
        <f>IF($X475="","",COUNTIFS(상세표[사번키],INDEX(합계표[사번키],$X475),상세표[반영월],대상월키,상세표[야간당직],1,상세표[야간 구분],"휴일"))</f>
        <v/>
      </c>
      <c r="U475">
        <f>IF($X475="","",COUNTIFS(상세표[사번키],INDEX(합계표[사번키],$X475),상세표[반영월],대상월키,상세표[야간당직],1,상세표[야간 구분],"평일",상세표[반영 기관],"서울병원"))</f>
        <v/>
      </c>
      <c r="V475">
        <f>IF($X475="","",COUNTIFS(상세표[사번키],INDEX(합계표[사번키],$X475),상세표[반영월],대상월키,상세표[야간당직],1,상세표[야간 구분],"휴일",상세표[반영 기관],"서울병원"))</f>
        <v/>
      </c>
      <c r="W475">
        <f>IF($X475="","",IF(ISNUMBER(MATCH(INDEX(합계표[사번키],$X475)&amp;"|"&amp;대상월키,월별근무지표[키],0)),"직접 입력",IF($L475="—","—","기관명단")))</f>
        <v/>
      </c>
      <c r="X475" s="4">
        <f>IFERROR(MATCH(470,합계표[판정순번],0),"")</f>
        <v/>
      </c>
    </row>
    <row r="476">
      <c r="A476">
        <f>IF($X476="","",INDEX(합계표[사번],$X476)&amp;"")</f>
        <v/>
      </c>
      <c r="B476">
        <f>IF($X476="","",INDEX(합계표[성명],$X476)&amp;"")</f>
        <v/>
      </c>
      <c r="C476">
        <f>IF($X476="","",INDEX(합계표[부서],$X476)&amp;"")</f>
        <v/>
      </c>
      <c r="D476">
        <f>IF($X476="","",INDEX(합계표[직위(요약)],$X476)&amp;"")</f>
        <v/>
      </c>
      <c r="E476">
        <f>IF($X476="","",INDEX(합계표[직급 공존],$X476)&amp;"")</f>
        <v/>
      </c>
      <c r="F476" s="20">
        <f>IF($X476="","",SUMIFS(합계표[시스템 합계],합계표[사번키],INDEX(합계표[사번키],$X476)))</f>
        <v/>
      </c>
      <c r="G476" s="20">
        <f>IF($X476="","",SUMIFS(상세표[기록 시간외],상세표[사번키],INDEX(합계표[사번키],$X476),상세표[기록월],대상월키))</f>
        <v/>
      </c>
      <c r="H476">
        <f>IF($X476="","",IF(ABS($F476-$G476)&lt;0.01,"일치","불일치(차이 "&amp;TEXT($G476-$F476,"0.00")&amp;")"))</f>
        <v/>
      </c>
      <c r="I476" s="20">
        <f>IF($X476="","",SUMIFS(상세표[기록 시간외],상세표[사번키],INDEX(합계표[사번키],$X476),상세표[기록월],대상월키,상세표[반영월],"&lt;&gt;"&amp;대상월키))</f>
        <v/>
      </c>
      <c r="J476" s="20">
        <f>IF($X476="","",SUMIFS(상세표[기록 시간외],상세표[사번키],INDEX(합계표[사번키],$X476),상세표[기록월],"&lt;&gt;"&amp;대상월키,상세표[반영월],대상월키))</f>
        <v/>
      </c>
      <c r="K476" s="20">
        <f>IF($X476="","",SUMIFS(상세표[기록 시간외],상세표[사번키],INDEX(합계표[사번키],$X476),상세표[반영월],대상월키))</f>
        <v/>
      </c>
      <c r="L476">
        <f>IF($X476="","",IFERROR(INDEX(월별근무지표[적용 급여병원],MATCH(INDEX(합계표[사번키],$X476)&amp;"|"&amp;대상월키,월별근무지표[키],0))&amp;"",IF(COUNTIF(기관표[사번키],INDEX(합계표[사번키],$X476))+COUNTIF(월별근무지표[사번키],INDEX(합계표[사번키],$X476))&gt;0,IFERROR(INDEX(기관표[급여지급병원(기준월)],MATCH(INDEX(합계표[사번키],$X476)&amp;"|"&amp;대상월키,기관표[키],0))&amp;"","—"),"—")))</f>
        <v/>
      </c>
      <c r="M476">
        <f>IF($X476="","",IF(NOT(COUNTIF(기관표[사번키],INDEX(합계표[사번키],$X476))+COUNTIF(월별근무지표[사번키],INDEX(합계표[사번키],$X476))&gt;0),"기관명단에 없음(다른 병원으로 발송)",IF($L476="서울병원","해당",IF(N($R476)&gt;0,"해당(말일 근무)",IF($L476="—","대상월 기관명단 없음(추가 필요)","비해당")))))</f>
        <v/>
      </c>
      <c r="N476" s="20">
        <f>IF($X476="","",SUMIFS(상세표[06~07시],상세표[사번키],INDEX(합계표[사번키],$X476),상세표[반영월],대상월키,상세표[반영 기관],"서울병원"))</f>
        <v/>
      </c>
      <c r="O476" s="20">
        <f>IF($X476="","",SUMIFS(상세표[07~18시],상세표[사번키],INDEX(합계표[사번키],$X476),상세표[반영월],대상월키,상세표[반영 기관],"서울병원"))</f>
        <v/>
      </c>
      <c r="P476" s="20">
        <f>IF($X476="","",SUMIFS(상세표[18~22시],상세표[사번키],INDEX(합계표[사번키],$X476),상세표[반영월],대상월키,상세표[반영 기관],"서울병원"))</f>
        <v/>
      </c>
      <c r="Q476" s="20">
        <f>IF($X476="","",SUMIFS(상세표[22~06시],상세표[사번키],INDEX(합계표[사번키],$X476),상세표[반영월],대상월키,상세표[반영 기관],"서울병원"))</f>
        <v/>
      </c>
      <c r="R476" s="20">
        <f>IF($X476="","",SUM($N476:$Q476))</f>
        <v/>
      </c>
      <c r="S476">
        <f>IF($X476="","",COUNTIFS(상세표[사번키],INDEX(합계표[사번키],$X476),상세표[반영월],대상월키,상세표[야간당직],1,상세표[야간 구분],"평일"))</f>
        <v/>
      </c>
      <c r="T476">
        <f>IF($X476="","",COUNTIFS(상세표[사번키],INDEX(합계표[사번키],$X476),상세표[반영월],대상월키,상세표[야간당직],1,상세표[야간 구분],"휴일"))</f>
        <v/>
      </c>
      <c r="U476">
        <f>IF($X476="","",COUNTIFS(상세표[사번키],INDEX(합계표[사번키],$X476),상세표[반영월],대상월키,상세표[야간당직],1,상세표[야간 구분],"평일",상세표[반영 기관],"서울병원"))</f>
        <v/>
      </c>
      <c r="V476">
        <f>IF($X476="","",COUNTIFS(상세표[사번키],INDEX(합계표[사번키],$X476),상세표[반영월],대상월키,상세표[야간당직],1,상세표[야간 구분],"휴일",상세표[반영 기관],"서울병원"))</f>
        <v/>
      </c>
      <c r="W476">
        <f>IF($X476="","",IF(ISNUMBER(MATCH(INDEX(합계표[사번키],$X476)&amp;"|"&amp;대상월키,월별근무지표[키],0)),"직접 입력",IF($L476="—","—","기관명단")))</f>
        <v/>
      </c>
      <c r="X476" s="4">
        <f>IFERROR(MATCH(471,합계표[판정순번],0),"")</f>
        <v/>
      </c>
    </row>
    <row r="477">
      <c r="A477">
        <f>IF($X477="","",INDEX(합계표[사번],$X477)&amp;"")</f>
        <v/>
      </c>
      <c r="B477">
        <f>IF($X477="","",INDEX(합계표[성명],$X477)&amp;"")</f>
        <v/>
      </c>
      <c r="C477">
        <f>IF($X477="","",INDEX(합계표[부서],$X477)&amp;"")</f>
        <v/>
      </c>
      <c r="D477">
        <f>IF($X477="","",INDEX(합계표[직위(요약)],$X477)&amp;"")</f>
        <v/>
      </c>
      <c r="E477">
        <f>IF($X477="","",INDEX(합계표[직급 공존],$X477)&amp;"")</f>
        <v/>
      </c>
      <c r="F477" s="20">
        <f>IF($X477="","",SUMIFS(합계표[시스템 합계],합계표[사번키],INDEX(합계표[사번키],$X477)))</f>
        <v/>
      </c>
      <c r="G477" s="20">
        <f>IF($X477="","",SUMIFS(상세표[기록 시간외],상세표[사번키],INDEX(합계표[사번키],$X477),상세표[기록월],대상월키))</f>
        <v/>
      </c>
      <c r="H477">
        <f>IF($X477="","",IF(ABS($F477-$G477)&lt;0.01,"일치","불일치(차이 "&amp;TEXT($G477-$F477,"0.00")&amp;")"))</f>
        <v/>
      </c>
      <c r="I477" s="20">
        <f>IF($X477="","",SUMIFS(상세표[기록 시간외],상세표[사번키],INDEX(합계표[사번키],$X477),상세표[기록월],대상월키,상세표[반영월],"&lt;&gt;"&amp;대상월키))</f>
        <v/>
      </c>
      <c r="J477" s="20">
        <f>IF($X477="","",SUMIFS(상세표[기록 시간외],상세표[사번키],INDEX(합계표[사번키],$X477),상세표[기록월],"&lt;&gt;"&amp;대상월키,상세표[반영월],대상월키))</f>
        <v/>
      </c>
      <c r="K477" s="20">
        <f>IF($X477="","",SUMIFS(상세표[기록 시간외],상세표[사번키],INDEX(합계표[사번키],$X477),상세표[반영월],대상월키))</f>
        <v/>
      </c>
      <c r="L477">
        <f>IF($X477="","",IFERROR(INDEX(월별근무지표[적용 급여병원],MATCH(INDEX(합계표[사번키],$X477)&amp;"|"&amp;대상월키,월별근무지표[키],0))&amp;"",IF(COUNTIF(기관표[사번키],INDEX(합계표[사번키],$X477))+COUNTIF(월별근무지표[사번키],INDEX(합계표[사번키],$X477))&gt;0,IFERROR(INDEX(기관표[급여지급병원(기준월)],MATCH(INDEX(합계표[사번키],$X477)&amp;"|"&amp;대상월키,기관표[키],0))&amp;"","—"),"—")))</f>
        <v/>
      </c>
      <c r="M477">
        <f>IF($X477="","",IF(NOT(COUNTIF(기관표[사번키],INDEX(합계표[사번키],$X477))+COUNTIF(월별근무지표[사번키],INDEX(합계표[사번키],$X477))&gt;0),"기관명단에 없음(다른 병원으로 발송)",IF($L477="서울병원","해당",IF(N($R477)&gt;0,"해당(말일 근무)",IF($L477="—","대상월 기관명단 없음(추가 필요)","비해당")))))</f>
        <v/>
      </c>
      <c r="N477" s="20">
        <f>IF($X477="","",SUMIFS(상세표[06~07시],상세표[사번키],INDEX(합계표[사번키],$X477),상세표[반영월],대상월키,상세표[반영 기관],"서울병원"))</f>
        <v/>
      </c>
      <c r="O477" s="20">
        <f>IF($X477="","",SUMIFS(상세표[07~18시],상세표[사번키],INDEX(합계표[사번키],$X477),상세표[반영월],대상월키,상세표[반영 기관],"서울병원"))</f>
        <v/>
      </c>
      <c r="P477" s="20">
        <f>IF($X477="","",SUMIFS(상세표[18~22시],상세표[사번키],INDEX(합계표[사번키],$X477),상세표[반영월],대상월키,상세표[반영 기관],"서울병원"))</f>
        <v/>
      </c>
      <c r="Q477" s="20">
        <f>IF($X477="","",SUMIFS(상세표[22~06시],상세표[사번키],INDEX(합계표[사번키],$X477),상세표[반영월],대상월키,상세표[반영 기관],"서울병원"))</f>
        <v/>
      </c>
      <c r="R477" s="20">
        <f>IF($X477="","",SUM($N477:$Q477))</f>
        <v/>
      </c>
      <c r="S477">
        <f>IF($X477="","",COUNTIFS(상세표[사번키],INDEX(합계표[사번키],$X477),상세표[반영월],대상월키,상세표[야간당직],1,상세표[야간 구분],"평일"))</f>
        <v/>
      </c>
      <c r="T477">
        <f>IF($X477="","",COUNTIFS(상세표[사번키],INDEX(합계표[사번키],$X477),상세표[반영월],대상월키,상세표[야간당직],1,상세표[야간 구분],"휴일"))</f>
        <v/>
      </c>
      <c r="U477">
        <f>IF($X477="","",COUNTIFS(상세표[사번키],INDEX(합계표[사번키],$X477),상세표[반영월],대상월키,상세표[야간당직],1,상세표[야간 구분],"평일",상세표[반영 기관],"서울병원"))</f>
        <v/>
      </c>
      <c r="V477">
        <f>IF($X477="","",COUNTIFS(상세표[사번키],INDEX(합계표[사번키],$X477),상세표[반영월],대상월키,상세표[야간당직],1,상세표[야간 구분],"휴일",상세표[반영 기관],"서울병원"))</f>
        <v/>
      </c>
      <c r="W477">
        <f>IF($X477="","",IF(ISNUMBER(MATCH(INDEX(합계표[사번키],$X477)&amp;"|"&amp;대상월키,월별근무지표[키],0)),"직접 입력",IF($L477="—","—","기관명단")))</f>
        <v/>
      </c>
      <c r="X477" s="4">
        <f>IFERROR(MATCH(472,합계표[판정순번],0),"")</f>
        <v/>
      </c>
    </row>
    <row r="478">
      <c r="A478">
        <f>IF($X478="","",INDEX(합계표[사번],$X478)&amp;"")</f>
        <v/>
      </c>
      <c r="B478">
        <f>IF($X478="","",INDEX(합계표[성명],$X478)&amp;"")</f>
        <v/>
      </c>
      <c r="C478">
        <f>IF($X478="","",INDEX(합계표[부서],$X478)&amp;"")</f>
        <v/>
      </c>
      <c r="D478">
        <f>IF($X478="","",INDEX(합계표[직위(요약)],$X478)&amp;"")</f>
        <v/>
      </c>
      <c r="E478">
        <f>IF($X478="","",INDEX(합계표[직급 공존],$X478)&amp;"")</f>
        <v/>
      </c>
      <c r="F478" s="20">
        <f>IF($X478="","",SUMIFS(합계표[시스템 합계],합계표[사번키],INDEX(합계표[사번키],$X478)))</f>
        <v/>
      </c>
      <c r="G478" s="20">
        <f>IF($X478="","",SUMIFS(상세표[기록 시간외],상세표[사번키],INDEX(합계표[사번키],$X478),상세표[기록월],대상월키))</f>
        <v/>
      </c>
      <c r="H478">
        <f>IF($X478="","",IF(ABS($F478-$G478)&lt;0.01,"일치","불일치(차이 "&amp;TEXT($G478-$F478,"0.00")&amp;")"))</f>
        <v/>
      </c>
      <c r="I478" s="20">
        <f>IF($X478="","",SUMIFS(상세표[기록 시간외],상세표[사번키],INDEX(합계표[사번키],$X478),상세표[기록월],대상월키,상세표[반영월],"&lt;&gt;"&amp;대상월키))</f>
        <v/>
      </c>
      <c r="J478" s="20">
        <f>IF($X478="","",SUMIFS(상세표[기록 시간외],상세표[사번키],INDEX(합계표[사번키],$X478),상세표[기록월],"&lt;&gt;"&amp;대상월키,상세표[반영월],대상월키))</f>
        <v/>
      </c>
      <c r="K478" s="20">
        <f>IF($X478="","",SUMIFS(상세표[기록 시간외],상세표[사번키],INDEX(합계표[사번키],$X478),상세표[반영월],대상월키))</f>
        <v/>
      </c>
      <c r="L478">
        <f>IF($X478="","",IFERROR(INDEX(월별근무지표[적용 급여병원],MATCH(INDEX(합계표[사번키],$X478)&amp;"|"&amp;대상월키,월별근무지표[키],0))&amp;"",IF(COUNTIF(기관표[사번키],INDEX(합계표[사번키],$X478))+COUNTIF(월별근무지표[사번키],INDEX(합계표[사번키],$X478))&gt;0,IFERROR(INDEX(기관표[급여지급병원(기준월)],MATCH(INDEX(합계표[사번키],$X478)&amp;"|"&amp;대상월키,기관표[키],0))&amp;"","—"),"—")))</f>
        <v/>
      </c>
      <c r="M478">
        <f>IF($X478="","",IF(NOT(COUNTIF(기관표[사번키],INDEX(합계표[사번키],$X478))+COUNTIF(월별근무지표[사번키],INDEX(합계표[사번키],$X478))&gt;0),"기관명단에 없음(다른 병원으로 발송)",IF($L478="서울병원","해당",IF(N($R478)&gt;0,"해당(말일 근무)",IF($L478="—","대상월 기관명단 없음(추가 필요)","비해당")))))</f>
        <v/>
      </c>
      <c r="N478" s="20">
        <f>IF($X478="","",SUMIFS(상세표[06~07시],상세표[사번키],INDEX(합계표[사번키],$X478),상세표[반영월],대상월키,상세표[반영 기관],"서울병원"))</f>
        <v/>
      </c>
      <c r="O478" s="20">
        <f>IF($X478="","",SUMIFS(상세표[07~18시],상세표[사번키],INDEX(합계표[사번키],$X478),상세표[반영월],대상월키,상세표[반영 기관],"서울병원"))</f>
        <v/>
      </c>
      <c r="P478" s="20">
        <f>IF($X478="","",SUMIFS(상세표[18~22시],상세표[사번키],INDEX(합계표[사번키],$X478),상세표[반영월],대상월키,상세표[반영 기관],"서울병원"))</f>
        <v/>
      </c>
      <c r="Q478" s="20">
        <f>IF($X478="","",SUMIFS(상세표[22~06시],상세표[사번키],INDEX(합계표[사번키],$X478),상세표[반영월],대상월키,상세표[반영 기관],"서울병원"))</f>
        <v/>
      </c>
      <c r="R478" s="20">
        <f>IF($X478="","",SUM($N478:$Q478))</f>
        <v/>
      </c>
      <c r="S478">
        <f>IF($X478="","",COUNTIFS(상세표[사번키],INDEX(합계표[사번키],$X478),상세표[반영월],대상월키,상세표[야간당직],1,상세표[야간 구분],"평일"))</f>
        <v/>
      </c>
      <c r="T478">
        <f>IF($X478="","",COUNTIFS(상세표[사번키],INDEX(합계표[사번키],$X478),상세표[반영월],대상월키,상세표[야간당직],1,상세표[야간 구분],"휴일"))</f>
        <v/>
      </c>
      <c r="U478">
        <f>IF($X478="","",COUNTIFS(상세표[사번키],INDEX(합계표[사번키],$X478),상세표[반영월],대상월키,상세표[야간당직],1,상세표[야간 구분],"평일",상세표[반영 기관],"서울병원"))</f>
        <v/>
      </c>
      <c r="V478">
        <f>IF($X478="","",COUNTIFS(상세표[사번키],INDEX(합계표[사번키],$X478),상세표[반영월],대상월키,상세표[야간당직],1,상세표[야간 구분],"휴일",상세표[반영 기관],"서울병원"))</f>
        <v/>
      </c>
      <c r="W478">
        <f>IF($X478="","",IF(ISNUMBER(MATCH(INDEX(합계표[사번키],$X478)&amp;"|"&amp;대상월키,월별근무지표[키],0)),"직접 입력",IF($L478="—","—","기관명단")))</f>
        <v/>
      </c>
      <c r="X478" s="4">
        <f>IFERROR(MATCH(473,합계표[판정순번],0),"")</f>
        <v/>
      </c>
    </row>
    <row r="479">
      <c r="A479">
        <f>IF($X479="","",INDEX(합계표[사번],$X479)&amp;"")</f>
        <v/>
      </c>
      <c r="B479">
        <f>IF($X479="","",INDEX(합계표[성명],$X479)&amp;"")</f>
        <v/>
      </c>
      <c r="C479">
        <f>IF($X479="","",INDEX(합계표[부서],$X479)&amp;"")</f>
        <v/>
      </c>
      <c r="D479">
        <f>IF($X479="","",INDEX(합계표[직위(요약)],$X479)&amp;"")</f>
        <v/>
      </c>
      <c r="E479">
        <f>IF($X479="","",INDEX(합계표[직급 공존],$X479)&amp;"")</f>
        <v/>
      </c>
      <c r="F479" s="20">
        <f>IF($X479="","",SUMIFS(합계표[시스템 합계],합계표[사번키],INDEX(합계표[사번키],$X479)))</f>
        <v/>
      </c>
      <c r="G479" s="20">
        <f>IF($X479="","",SUMIFS(상세표[기록 시간외],상세표[사번키],INDEX(합계표[사번키],$X479),상세표[기록월],대상월키))</f>
        <v/>
      </c>
      <c r="H479">
        <f>IF($X479="","",IF(ABS($F479-$G479)&lt;0.01,"일치","불일치(차이 "&amp;TEXT($G479-$F479,"0.00")&amp;")"))</f>
        <v/>
      </c>
      <c r="I479" s="20">
        <f>IF($X479="","",SUMIFS(상세표[기록 시간외],상세표[사번키],INDEX(합계표[사번키],$X479),상세표[기록월],대상월키,상세표[반영월],"&lt;&gt;"&amp;대상월키))</f>
        <v/>
      </c>
      <c r="J479" s="20">
        <f>IF($X479="","",SUMIFS(상세표[기록 시간외],상세표[사번키],INDEX(합계표[사번키],$X479),상세표[기록월],"&lt;&gt;"&amp;대상월키,상세표[반영월],대상월키))</f>
        <v/>
      </c>
      <c r="K479" s="20">
        <f>IF($X479="","",SUMIFS(상세표[기록 시간외],상세표[사번키],INDEX(합계표[사번키],$X479),상세표[반영월],대상월키))</f>
        <v/>
      </c>
      <c r="L479">
        <f>IF($X479="","",IFERROR(INDEX(월별근무지표[적용 급여병원],MATCH(INDEX(합계표[사번키],$X479)&amp;"|"&amp;대상월키,월별근무지표[키],0))&amp;"",IF(COUNTIF(기관표[사번키],INDEX(합계표[사번키],$X479))+COUNTIF(월별근무지표[사번키],INDEX(합계표[사번키],$X479))&gt;0,IFERROR(INDEX(기관표[급여지급병원(기준월)],MATCH(INDEX(합계표[사번키],$X479)&amp;"|"&amp;대상월키,기관표[키],0))&amp;"","—"),"—")))</f>
        <v/>
      </c>
      <c r="M479">
        <f>IF($X479="","",IF(NOT(COUNTIF(기관표[사번키],INDEX(합계표[사번키],$X479))+COUNTIF(월별근무지표[사번키],INDEX(합계표[사번키],$X479))&gt;0),"기관명단에 없음(다른 병원으로 발송)",IF($L479="서울병원","해당",IF(N($R479)&gt;0,"해당(말일 근무)",IF($L479="—","대상월 기관명단 없음(추가 필요)","비해당")))))</f>
        <v/>
      </c>
      <c r="N479" s="20">
        <f>IF($X479="","",SUMIFS(상세표[06~07시],상세표[사번키],INDEX(합계표[사번키],$X479),상세표[반영월],대상월키,상세표[반영 기관],"서울병원"))</f>
        <v/>
      </c>
      <c r="O479" s="20">
        <f>IF($X479="","",SUMIFS(상세표[07~18시],상세표[사번키],INDEX(합계표[사번키],$X479),상세표[반영월],대상월키,상세표[반영 기관],"서울병원"))</f>
        <v/>
      </c>
      <c r="P479" s="20">
        <f>IF($X479="","",SUMIFS(상세표[18~22시],상세표[사번키],INDEX(합계표[사번키],$X479),상세표[반영월],대상월키,상세표[반영 기관],"서울병원"))</f>
        <v/>
      </c>
      <c r="Q479" s="20">
        <f>IF($X479="","",SUMIFS(상세표[22~06시],상세표[사번키],INDEX(합계표[사번키],$X479),상세표[반영월],대상월키,상세표[반영 기관],"서울병원"))</f>
        <v/>
      </c>
      <c r="R479" s="20">
        <f>IF($X479="","",SUM($N479:$Q479))</f>
        <v/>
      </c>
      <c r="S479">
        <f>IF($X479="","",COUNTIFS(상세표[사번키],INDEX(합계표[사번키],$X479),상세표[반영월],대상월키,상세표[야간당직],1,상세표[야간 구분],"평일"))</f>
        <v/>
      </c>
      <c r="T479">
        <f>IF($X479="","",COUNTIFS(상세표[사번키],INDEX(합계표[사번키],$X479),상세표[반영월],대상월키,상세표[야간당직],1,상세표[야간 구분],"휴일"))</f>
        <v/>
      </c>
      <c r="U479">
        <f>IF($X479="","",COUNTIFS(상세표[사번키],INDEX(합계표[사번키],$X479),상세표[반영월],대상월키,상세표[야간당직],1,상세표[야간 구분],"평일",상세표[반영 기관],"서울병원"))</f>
        <v/>
      </c>
      <c r="V479">
        <f>IF($X479="","",COUNTIFS(상세표[사번키],INDEX(합계표[사번키],$X479),상세표[반영월],대상월키,상세표[야간당직],1,상세표[야간 구분],"휴일",상세표[반영 기관],"서울병원"))</f>
        <v/>
      </c>
      <c r="W479">
        <f>IF($X479="","",IF(ISNUMBER(MATCH(INDEX(합계표[사번키],$X479)&amp;"|"&amp;대상월키,월별근무지표[키],0)),"직접 입력",IF($L479="—","—","기관명단")))</f>
        <v/>
      </c>
      <c r="X479" s="4">
        <f>IFERROR(MATCH(474,합계표[판정순번],0),"")</f>
        <v/>
      </c>
    </row>
    <row r="480">
      <c r="A480">
        <f>IF($X480="","",INDEX(합계표[사번],$X480)&amp;"")</f>
        <v/>
      </c>
      <c r="B480">
        <f>IF($X480="","",INDEX(합계표[성명],$X480)&amp;"")</f>
        <v/>
      </c>
      <c r="C480">
        <f>IF($X480="","",INDEX(합계표[부서],$X480)&amp;"")</f>
        <v/>
      </c>
      <c r="D480">
        <f>IF($X480="","",INDEX(합계표[직위(요약)],$X480)&amp;"")</f>
        <v/>
      </c>
      <c r="E480">
        <f>IF($X480="","",INDEX(합계표[직급 공존],$X480)&amp;"")</f>
        <v/>
      </c>
      <c r="F480" s="20">
        <f>IF($X480="","",SUMIFS(합계표[시스템 합계],합계표[사번키],INDEX(합계표[사번키],$X480)))</f>
        <v/>
      </c>
      <c r="G480" s="20">
        <f>IF($X480="","",SUMIFS(상세표[기록 시간외],상세표[사번키],INDEX(합계표[사번키],$X480),상세표[기록월],대상월키))</f>
        <v/>
      </c>
      <c r="H480">
        <f>IF($X480="","",IF(ABS($F480-$G480)&lt;0.01,"일치","불일치(차이 "&amp;TEXT($G480-$F480,"0.00")&amp;")"))</f>
        <v/>
      </c>
      <c r="I480" s="20">
        <f>IF($X480="","",SUMIFS(상세표[기록 시간외],상세표[사번키],INDEX(합계표[사번키],$X480),상세표[기록월],대상월키,상세표[반영월],"&lt;&gt;"&amp;대상월키))</f>
        <v/>
      </c>
      <c r="J480" s="20">
        <f>IF($X480="","",SUMIFS(상세표[기록 시간외],상세표[사번키],INDEX(합계표[사번키],$X480),상세표[기록월],"&lt;&gt;"&amp;대상월키,상세표[반영월],대상월키))</f>
        <v/>
      </c>
      <c r="K480" s="20">
        <f>IF($X480="","",SUMIFS(상세표[기록 시간외],상세표[사번키],INDEX(합계표[사번키],$X480),상세표[반영월],대상월키))</f>
        <v/>
      </c>
      <c r="L480">
        <f>IF($X480="","",IFERROR(INDEX(월별근무지표[적용 급여병원],MATCH(INDEX(합계표[사번키],$X480)&amp;"|"&amp;대상월키,월별근무지표[키],0))&amp;"",IF(COUNTIF(기관표[사번키],INDEX(합계표[사번키],$X480))+COUNTIF(월별근무지표[사번키],INDEX(합계표[사번키],$X480))&gt;0,IFERROR(INDEX(기관표[급여지급병원(기준월)],MATCH(INDEX(합계표[사번키],$X480)&amp;"|"&amp;대상월키,기관표[키],0))&amp;"","—"),"—")))</f>
        <v/>
      </c>
      <c r="M480">
        <f>IF($X480="","",IF(NOT(COUNTIF(기관표[사번키],INDEX(합계표[사번키],$X480))+COUNTIF(월별근무지표[사번키],INDEX(합계표[사번키],$X480))&gt;0),"기관명단에 없음(다른 병원으로 발송)",IF($L480="서울병원","해당",IF(N($R480)&gt;0,"해당(말일 근무)",IF($L480="—","대상월 기관명단 없음(추가 필요)","비해당")))))</f>
        <v/>
      </c>
      <c r="N480" s="20">
        <f>IF($X480="","",SUMIFS(상세표[06~07시],상세표[사번키],INDEX(합계표[사번키],$X480),상세표[반영월],대상월키,상세표[반영 기관],"서울병원"))</f>
        <v/>
      </c>
      <c r="O480" s="20">
        <f>IF($X480="","",SUMIFS(상세표[07~18시],상세표[사번키],INDEX(합계표[사번키],$X480),상세표[반영월],대상월키,상세표[반영 기관],"서울병원"))</f>
        <v/>
      </c>
      <c r="P480" s="20">
        <f>IF($X480="","",SUMIFS(상세표[18~22시],상세표[사번키],INDEX(합계표[사번키],$X480),상세표[반영월],대상월키,상세표[반영 기관],"서울병원"))</f>
        <v/>
      </c>
      <c r="Q480" s="20">
        <f>IF($X480="","",SUMIFS(상세표[22~06시],상세표[사번키],INDEX(합계표[사번키],$X480),상세표[반영월],대상월키,상세표[반영 기관],"서울병원"))</f>
        <v/>
      </c>
      <c r="R480" s="20">
        <f>IF($X480="","",SUM($N480:$Q480))</f>
        <v/>
      </c>
      <c r="S480">
        <f>IF($X480="","",COUNTIFS(상세표[사번키],INDEX(합계표[사번키],$X480),상세표[반영월],대상월키,상세표[야간당직],1,상세표[야간 구분],"평일"))</f>
        <v/>
      </c>
      <c r="T480">
        <f>IF($X480="","",COUNTIFS(상세표[사번키],INDEX(합계표[사번키],$X480),상세표[반영월],대상월키,상세표[야간당직],1,상세표[야간 구분],"휴일"))</f>
        <v/>
      </c>
      <c r="U480">
        <f>IF($X480="","",COUNTIFS(상세표[사번키],INDEX(합계표[사번키],$X480),상세표[반영월],대상월키,상세표[야간당직],1,상세표[야간 구분],"평일",상세표[반영 기관],"서울병원"))</f>
        <v/>
      </c>
      <c r="V480">
        <f>IF($X480="","",COUNTIFS(상세표[사번키],INDEX(합계표[사번키],$X480),상세표[반영월],대상월키,상세표[야간당직],1,상세표[야간 구분],"휴일",상세표[반영 기관],"서울병원"))</f>
        <v/>
      </c>
      <c r="W480">
        <f>IF($X480="","",IF(ISNUMBER(MATCH(INDEX(합계표[사번키],$X480)&amp;"|"&amp;대상월키,월별근무지표[키],0)),"직접 입력",IF($L480="—","—","기관명단")))</f>
        <v/>
      </c>
      <c r="X480" s="4">
        <f>IFERROR(MATCH(475,합계표[판정순번],0),"")</f>
        <v/>
      </c>
    </row>
    <row r="481">
      <c r="A481">
        <f>IF($X481="","",INDEX(합계표[사번],$X481)&amp;"")</f>
        <v/>
      </c>
      <c r="B481">
        <f>IF($X481="","",INDEX(합계표[성명],$X481)&amp;"")</f>
        <v/>
      </c>
      <c r="C481">
        <f>IF($X481="","",INDEX(합계표[부서],$X481)&amp;"")</f>
        <v/>
      </c>
      <c r="D481">
        <f>IF($X481="","",INDEX(합계표[직위(요약)],$X481)&amp;"")</f>
        <v/>
      </c>
      <c r="E481">
        <f>IF($X481="","",INDEX(합계표[직급 공존],$X481)&amp;"")</f>
        <v/>
      </c>
      <c r="F481" s="20">
        <f>IF($X481="","",SUMIFS(합계표[시스템 합계],합계표[사번키],INDEX(합계표[사번키],$X481)))</f>
        <v/>
      </c>
      <c r="G481" s="20">
        <f>IF($X481="","",SUMIFS(상세표[기록 시간외],상세표[사번키],INDEX(합계표[사번키],$X481),상세표[기록월],대상월키))</f>
        <v/>
      </c>
      <c r="H481">
        <f>IF($X481="","",IF(ABS($F481-$G481)&lt;0.01,"일치","불일치(차이 "&amp;TEXT($G481-$F481,"0.00")&amp;")"))</f>
        <v/>
      </c>
      <c r="I481" s="20">
        <f>IF($X481="","",SUMIFS(상세표[기록 시간외],상세표[사번키],INDEX(합계표[사번키],$X481),상세표[기록월],대상월키,상세표[반영월],"&lt;&gt;"&amp;대상월키))</f>
        <v/>
      </c>
      <c r="J481" s="20">
        <f>IF($X481="","",SUMIFS(상세표[기록 시간외],상세표[사번키],INDEX(합계표[사번키],$X481),상세표[기록월],"&lt;&gt;"&amp;대상월키,상세표[반영월],대상월키))</f>
        <v/>
      </c>
      <c r="K481" s="20">
        <f>IF($X481="","",SUMIFS(상세표[기록 시간외],상세표[사번키],INDEX(합계표[사번키],$X481),상세표[반영월],대상월키))</f>
        <v/>
      </c>
      <c r="L481">
        <f>IF($X481="","",IFERROR(INDEX(월별근무지표[적용 급여병원],MATCH(INDEX(합계표[사번키],$X481)&amp;"|"&amp;대상월키,월별근무지표[키],0))&amp;"",IF(COUNTIF(기관표[사번키],INDEX(합계표[사번키],$X481))+COUNTIF(월별근무지표[사번키],INDEX(합계표[사번키],$X481))&gt;0,IFERROR(INDEX(기관표[급여지급병원(기준월)],MATCH(INDEX(합계표[사번키],$X481)&amp;"|"&amp;대상월키,기관표[키],0))&amp;"","—"),"—")))</f>
        <v/>
      </c>
      <c r="M481">
        <f>IF($X481="","",IF(NOT(COUNTIF(기관표[사번키],INDEX(합계표[사번키],$X481))+COUNTIF(월별근무지표[사번키],INDEX(합계표[사번키],$X481))&gt;0),"기관명단에 없음(다른 병원으로 발송)",IF($L481="서울병원","해당",IF(N($R481)&gt;0,"해당(말일 근무)",IF($L481="—","대상월 기관명단 없음(추가 필요)","비해당")))))</f>
        <v/>
      </c>
      <c r="N481" s="20">
        <f>IF($X481="","",SUMIFS(상세표[06~07시],상세표[사번키],INDEX(합계표[사번키],$X481),상세표[반영월],대상월키,상세표[반영 기관],"서울병원"))</f>
        <v/>
      </c>
      <c r="O481" s="20">
        <f>IF($X481="","",SUMIFS(상세표[07~18시],상세표[사번키],INDEX(합계표[사번키],$X481),상세표[반영월],대상월키,상세표[반영 기관],"서울병원"))</f>
        <v/>
      </c>
      <c r="P481" s="20">
        <f>IF($X481="","",SUMIFS(상세표[18~22시],상세표[사번키],INDEX(합계표[사번키],$X481),상세표[반영월],대상월키,상세표[반영 기관],"서울병원"))</f>
        <v/>
      </c>
      <c r="Q481" s="20">
        <f>IF($X481="","",SUMIFS(상세표[22~06시],상세표[사번키],INDEX(합계표[사번키],$X481),상세표[반영월],대상월키,상세표[반영 기관],"서울병원"))</f>
        <v/>
      </c>
      <c r="R481" s="20">
        <f>IF($X481="","",SUM($N481:$Q481))</f>
        <v/>
      </c>
      <c r="S481">
        <f>IF($X481="","",COUNTIFS(상세표[사번키],INDEX(합계표[사번키],$X481),상세표[반영월],대상월키,상세표[야간당직],1,상세표[야간 구분],"평일"))</f>
        <v/>
      </c>
      <c r="T481">
        <f>IF($X481="","",COUNTIFS(상세표[사번키],INDEX(합계표[사번키],$X481),상세표[반영월],대상월키,상세표[야간당직],1,상세표[야간 구분],"휴일"))</f>
        <v/>
      </c>
      <c r="U481">
        <f>IF($X481="","",COUNTIFS(상세표[사번키],INDEX(합계표[사번키],$X481),상세표[반영월],대상월키,상세표[야간당직],1,상세표[야간 구분],"평일",상세표[반영 기관],"서울병원"))</f>
        <v/>
      </c>
      <c r="V481">
        <f>IF($X481="","",COUNTIFS(상세표[사번키],INDEX(합계표[사번키],$X481),상세표[반영월],대상월키,상세표[야간당직],1,상세표[야간 구분],"휴일",상세표[반영 기관],"서울병원"))</f>
        <v/>
      </c>
      <c r="W481">
        <f>IF($X481="","",IF(ISNUMBER(MATCH(INDEX(합계표[사번키],$X481)&amp;"|"&amp;대상월키,월별근무지표[키],0)),"직접 입력",IF($L481="—","—","기관명단")))</f>
        <v/>
      </c>
      <c r="X481" s="4">
        <f>IFERROR(MATCH(476,합계표[판정순번],0),"")</f>
        <v/>
      </c>
    </row>
    <row r="482">
      <c r="A482">
        <f>IF($X482="","",INDEX(합계표[사번],$X482)&amp;"")</f>
        <v/>
      </c>
      <c r="B482">
        <f>IF($X482="","",INDEX(합계표[성명],$X482)&amp;"")</f>
        <v/>
      </c>
      <c r="C482">
        <f>IF($X482="","",INDEX(합계표[부서],$X482)&amp;"")</f>
        <v/>
      </c>
      <c r="D482">
        <f>IF($X482="","",INDEX(합계표[직위(요약)],$X482)&amp;"")</f>
        <v/>
      </c>
      <c r="E482">
        <f>IF($X482="","",INDEX(합계표[직급 공존],$X482)&amp;"")</f>
        <v/>
      </c>
      <c r="F482" s="20">
        <f>IF($X482="","",SUMIFS(합계표[시스템 합계],합계표[사번키],INDEX(합계표[사번키],$X482)))</f>
        <v/>
      </c>
      <c r="G482" s="20">
        <f>IF($X482="","",SUMIFS(상세표[기록 시간외],상세표[사번키],INDEX(합계표[사번키],$X482),상세표[기록월],대상월키))</f>
        <v/>
      </c>
      <c r="H482">
        <f>IF($X482="","",IF(ABS($F482-$G482)&lt;0.01,"일치","불일치(차이 "&amp;TEXT($G482-$F482,"0.00")&amp;")"))</f>
        <v/>
      </c>
      <c r="I482" s="20">
        <f>IF($X482="","",SUMIFS(상세표[기록 시간외],상세표[사번키],INDEX(합계표[사번키],$X482),상세표[기록월],대상월키,상세표[반영월],"&lt;&gt;"&amp;대상월키))</f>
        <v/>
      </c>
      <c r="J482" s="20">
        <f>IF($X482="","",SUMIFS(상세표[기록 시간외],상세표[사번키],INDEX(합계표[사번키],$X482),상세표[기록월],"&lt;&gt;"&amp;대상월키,상세표[반영월],대상월키))</f>
        <v/>
      </c>
      <c r="K482" s="20">
        <f>IF($X482="","",SUMIFS(상세표[기록 시간외],상세표[사번키],INDEX(합계표[사번키],$X482),상세표[반영월],대상월키))</f>
        <v/>
      </c>
      <c r="L482">
        <f>IF($X482="","",IFERROR(INDEX(월별근무지표[적용 급여병원],MATCH(INDEX(합계표[사번키],$X482)&amp;"|"&amp;대상월키,월별근무지표[키],0))&amp;"",IF(COUNTIF(기관표[사번키],INDEX(합계표[사번키],$X482))+COUNTIF(월별근무지표[사번키],INDEX(합계표[사번키],$X482))&gt;0,IFERROR(INDEX(기관표[급여지급병원(기준월)],MATCH(INDEX(합계표[사번키],$X482)&amp;"|"&amp;대상월키,기관표[키],0))&amp;"","—"),"—")))</f>
        <v/>
      </c>
      <c r="M482">
        <f>IF($X482="","",IF(NOT(COUNTIF(기관표[사번키],INDEX(합계표[사번키],$X482))+COUNTIF(월별근무지표[사번키],INDEX(합계표[사번키],$X482))&gt;0),"기관명단에 없음(다른 병원으로 발송)",IF($L482="서울병원","해당",IF(N($R482)&gt;0,"해당(말일 근무)",IF($L482="—","대상월 기관명단 없음(추가 필요)","비해당")))))</f>
        <v/>
      </c>
      <c r="N482" s="20">
        <f>IF($X482="","",SUMIFS(상세표[06~07시],상세표[사번키],INDEX(합계표[사번키],$X482),상세표[반영월],대상월키,상세표[반영 기관],"서울병원"))</f>
        <v/>
      </c>
      <c r="O482" s="20">
        <f>IF($X482="","",SUMIFS(상세표[07~18시],상세표[사번키],INDEX(합계표[사번키],$X482),상세표[반영월],대상월키,상세표[반영 기관],"서울병원"))</f>
        <v/>
      </c>
      <c r="P482" s="20">
        <f>IF($X482="","",SUMIFS(상세표[18~22시],상세표[사번키],INDEX(합계표[사번키],$X482),상세표[반영월],대상월키,상세표[반영 기관],"서울병원"))</f>
        <v/>
      </c>
      <c r="Q482" s="20">
        <f>IF($X482="","",SUMIFS(상세표[22~06시],상세표[사번키],INDEX(합계표[사번키],$X482),상세표[반영월],대상월키,상세표[반영 기관],"서울병원"))</f>
        <v/>
      </c>
      <c r="R482" s="20">
        <f>IF($X482="","",SUM($N482:$Q482))</f>
        <v/>
      </c>
      <c r="S482">
        <f>IF($X482="","",COUNTIFS(상세표[사번키],INDEX(합계표[사번키],$X482),상세표[반영월],대상월키,상세표[야간당직],1,상세표[야간 구분],"평일"))</f>
        <v/>
      </c>
      <c r="T482">
        <f>IF($X482="","",COUNTIFS(상세표[사번키],INDEX(합계표[사번키],$X482),상세표[반영월],대상월키,상세표[야간당직],1,상세표[야간 구분],"휴일"))</f>
        <v/>
      </c>
      <c r="U482">
        <f>IF($X482="","",COUNTIFS(상세표[사번키],INDEX(합계표[사번키],$X482),상세표[반영월],대상월키,상세표[야간당직],1,상세표[야간 구분],"평일",상세표[반영 기관],"서울병원"))</f>
        <v/>
      </c>
      <c r="V482">
        <f>IF($X482="","",COUNTIFS(상세표[사번키],INDEX(합계표[사번키],$X482),상세표[반영월],대상월키,상세표[야간당직],1,상세표[야간 구분],"휴일",상세표[반영 기관],"서울병원"))</f>
        <v/>
      </c>
      <c r="W482">
        <f>IF($X482="","",IF(ISNUMBER(MATCH(INDEX(합계표[사번키],$X482)&amp;"|"&amp;대상월키,월별근무지표[키],0)),"직접 입력",IF($L482="—","—","기관명단")))</f>
        <v/>
      </c>
      <c r="X482" s="4">
        <f>IFERROR(MATCH(477,합계표[판정순번],0),"")</f>
        <v/>
      </c>
    </row>
    <row r="483">
      <c r="A483">
        <f>IF($X483="","",INDEX(합계표[사번],$X483)&amp;"")</f>
        <v/>
      </c>
      <c r="B483">
        <f>IF($X483="","",INDEX(합계표[성명],$X483)&amp;"")</f>
        <v/>
      </c>
      <c r="C483">
        <f>IF($X483="","",INDEX(합계표[부서],$X483)&amp;"")</f>
        <v/>
      </c>
      <c r="D483">
        <f>IF($X483="","",INDEX(합계표[직위(요약)],$X483)&amp;"")</f>
        <v/>
      </c>
      <c r="E483">
        <f>IF($X483="","",INDEX(합계표[직급 공존],$X483)&amp;"")</f>
        <v/>
      </c>
      <c r="F483" s="20">
        <f>IF($X483="","",SUMIFS(합계표[시스템 합계],합계표[사번키],INDEX(합계표[사번키],$X483)))</f>
        <v/>
      </c>
      <c r="G483" s="20">
        <f>IF($X483="","",SUMIFS(상세표[기록 시간외],상세표[사번키],INDEX(합계표[사번키],$X483),상세표[기록월],대상월키))</f>
        <v/>
      </c>
      <c r="H483">
        <f>IF($X483="","",IF(ABS($F483-$G483)&lt;0.01,"일치","불일치(차이 "&amp;TEXT($G483-$F483,"0.00")&amp;")"))</f>
        <v/>
      </c>
      <c r="I483" s="20">
        <f>IF($X483="","",SUMIFS(상세표[기록 시간외],상세표[사번키],INDEX(합계표[사번키],$X483),상세표[기록월],대상월키,상세표[반영월],"&lt;&gt;"&amp;대상월키))</f>
        <v/>
      </c>
      <c r="J483" s="20">
        <f>IF($X483="","",SUMIFS(상세표[기록 시간외],상세표[사번키],INDEX(합계표[사번키],$X483),상세표[기록월],"&lt;&gt;"&amp;대상월키,상세표[반영월],대상월키))</f>
        <v/>
      </c>
      <c r="K483" s="20">
        <f>IF($X483="","",SUMIFS(상세표[기록 시간외],상세표[사번키],INDEX(합계표[사번키],$X483),상세표[반영월],대상월키))</f>
        <v/>
      </c>
      <c r="L483">
        <f>IF($X483="","",IFERROR(INDEX(월별근무지표[적용 급여병원],MATCH(INDEX(합계표[사번키],$X483)&amp;"|"&amp;대상월키,월별근무지표[키],0))&amp;"",IF(COUNTIF(기관표[사번키],INDEX(합계표[사번키],$X483))+COUNTIF(월별근무지표[사번키],INDEX(합계표[사번키],$X483))&gt;0,IFERROR(INDEX(기관표[급여지급병원(기준월)],MATCH(INDEX(합계표[사번키],$X483)&amp;"|"&amp;대상월키,기관표[키],0))&amp;"","—"),"—")))</f>
        <v/>
      </c>
      <c r="M483">
        <f>IF($X483="","",IF(NOT(COUNTIF(기관표[사번키],INDEX(합계표[사번키],$X483))+COUNTIF(월별근무지표[사번키],INDEX(합계표[사번키],$X483))&gt;0),"기관명단에 없음(다른 병원으로 발송)",IF($L483="서울병원","해당",IF(N($R483)&gt;0,"해당(말일 근무)",IF($L483="—","대상월 기관명단 없음(추가 필요)","비해당")))))</f>
        <v/>
      </c>
      <c r="N483" s="20">
        <f>IF($X483="","",SUMIFS(상세표[06~07시],상세표[사번키],INDEX(합계표[사번키],$X483),상세표[반영월],대상월키,상세표[반영 기관],"서울병원"))</f>
        <v/>
      </c>
      <c r="O483" s="20">
        <f>IF($X483="","",SUMIFS(상세표[07~18시],상세표[사번키],INDEX(합계표[사번키],$X483),상세표[반영월],대상월키,상세표[반영 기관],"서울병원"))</f>
        <v/>
      </c>
      <c r="P483" s="20">
        <f>IF($X483="","",SUMIFS(상세표[18~22시],상세표[사번키],INDEX(합계표[사번키],$X483),상세표[반영월],대상월키,상세표[반영 기관],"서울병원"))</f>
        <v/>
      </c>
      <c r="Q483" s="20">
        <f>IF($X483="","",SUMIFS(상세표[22~06시],상세표[사번키],INDEX(합계표[사번키],$X483),상세표[반영월],대상월키,상세표[반영 기관],"서울병원"))</f>
        <v/>
      </c>
      <c r="R483" s="20">
        <f>IF($X483="","",SUM($N483:$Q483))</f>
        <v/>
      </c>
      <c r="S483">
        <f>IF($X483="","",COUNTIFS(상세표[사번키],INDEX(합계표[사번키],$X483),상세표[반영월],대상월키,상세표[야간당직],1,상세표[야간 구분],"평일"))</f>
        <v/>
      </c>
      <c r="T483">
        <f>IF($X483="","",COUNTIFS(상세표[사번키],INDEX(합계표[사번키],$X483),상세표[반영월],대상월키,상세표[야간당직],1,상세표[야간 구분],"휴일"))</f>
        <v/>
      </c>
      <c r="U483">
        <f>IF($X483="","",COUNTIFS(상세표[사번키],INDEX(합계표[사번키],$X483),상세표[반영월],대상월키,상세표[야간당직],1,상세표[야간 구분],"평일",상세표[반영 기관],"서울병원"))</f>
        <v/>
      </c>
      <c r="V483">
        <f>IF($X483="","",COUNTIFS(상세표[사번키],INDEX(합계표[사번키],$X483),상세표[반영월],대상월키,상세표[야간당직],1,상세표[야간 구분],"휴일",상세표[반영 기관],"서울병원"))</f>
        <v/>
      </c>
      <c r="W483">
        <f>IF($X483="","",IF(ISNUMBER(MATCH(INDEX(합계표[사번키],$X483)&amp;"|"&amp;대상월키,월별근무지표[키],0)),"직접 입력",IF($L483="—","—","기관명단")))</f>
        <v/>
      </c>
      <c r="X483" s="4">
        <f>IFERROR(MATCH(478,합계표[판정순번],0),"")</f>
        <v/>
      </c>
    </row>
    <row r="484">
      <c r="A484">
        <f>IF($X484="","",INDEX(합계표[사번],$X484)&amp;"")</f>
        <v/>
      </c>
      <c r="B484">
        <f>IF($X484="","",INDEX(합계표[성명],$X484)&amp;"")</f>
        <v/>
      </c>
      <c r="C484">
        <f>IF($X484="","",INDEX(합계표[부서],$X484)&amp;"")</f>
        <v/>
      </c>
      <c r="D484">
        <f>IF($X484="","",INDEX(합계표[직위(요약)],$X484)&amp;"")</f>
        <v/>
      </c>
      <c r="E484">
        <f>IF($X484="","",INDEX(합계표[직급 공존],$X484)&amp;"")</f>
        <v/>
      </c>
      <c r="F484" s="20">
        <f>IF($X484="","",SUMIFS(합계표[시스템 합계],합계표[사번키],INDEX(합계표[사번키],$X484)))</f>
        <v/>
      </c>
      <c r="G484" s="20">
        <f>IF($X484="","",SUMIFS(상세표[기록 시간외],상세표[사번키],INDEX(합계표[사번키],$X484),상세표[기록월],대상월키))</f>
        <v/>
      </c>
      <c r="H484">
        <f>IF($X484="","",IF(ABS($F484-$G484)&lt;0.01,"일치","불일치(차이 "&amp;TEXT($G484-$F484,"0.00")&amp;")"))</f>
        <v/>
      </c>
      <c r="I484" s="20">
        <f>IF($X484="","",SUMIFS(상세표[기록 시간외],상세표[사번키],INDEX(합계표[사번키],$X484),상세표[기록월],대상월키,상세표[반영월],"&lt;&gt;"&amp;대상월키))</f>
        <v/>
      </c>
      <c r="J484" s="20">
        <f>IF($X484="","",SUMIFS(상세표[기록 시간외],상세표[사번키],INDEX(합계표[사번키],$X484),상세표[기록월],"&lt;&gt;"&amp;대상월키,상세표[반영월],대상월키))</f>
        <v/>
      </c>
      <c r="K484" s="20">
        <f>IF($X484="","",SUMIFS(상세표[기록 시간외],상세표[사번키],INDEX(합계표[사번키],$X484),상세표[반영월],대상월키))</f>
        <v/>
      </c>
      <c r="L484">
        <f>IF($X484="","",IFERROR(INDEX(월별근무지표[적용 급여병원],MATCH(INDEX(합계표[사번키],$X484)&amp;"|"&amp;대상월키,월별근무지표[키],0))&amp;"",IF(COUNTIF(기관표[사번키],INDEX(합계표[사번키],$X484))+COUNTIF(월별근무지표[사번키],INDEX(합계표[사번키],$X484))&gt;0,IFERROR(INDEX(기관표[급여지급병원(기준월)],MATCH(INDEX(합계표[사번키],$X484)&amp;"|"&amp;대상월키,기관표[키],0))&amp;"","—"),"—")))</f>
        <v/>
      </c>
      <c r="M484">
        <f>IF($X484="","",IF(NOT(COUNTIF(기관표[사번키],INDEX(합계표[사번키],$X484))+COUNTIF(월별근무지표[사번키],INDEX(합계표[사번키],$X484))&gt;0),"기관명단에 없음(다른 병원으로 발송)",IF($L484="서울병원","해당",IF(N($R484)&gt;0,"해당(말일 근무)",IF($L484="—","대상월 기관명단 없음(추가 필요)","비해당")))))</f>
        <v/>
      </c>
      <c r="N484" s="20">
        <f>IF($X484="","",SUMIFS(상세표[06~07시],상세표[사번키],INDEX(합계표[사번키],$X484),상세표[반영월],대상월키,상세표[반영 기관],"서울병원"))</f>
        <v/>
      </c>
      <c r="O484" s="20">
        <f>IF($X484="","",SUMIFS(상세표[07~18시],상세표[사번키],INDEX(합계표[사번키],$X484),상세표[반영월],대상월키,상세표[반영 기관],"서울병원"))</f>
        <v/>
      </c>
      <c r="P484" s="20">
        <f>IF($X484="","",SUMIFS(상세표[18~22시],상세표[사번키],INDEX(합계표[사번키],$X484),상세표[반영월],대상월키,상세표[반영 기관],"서울병원"))</f>
        <v/>
      </c>
      <c r="Q484" s="20">
        <f>IF($X484="","",SUMIFS(상세표[22~06시],상세표[사번키],INDEX(합계표[사번키],$X484),상세표[반영월],대상월키,상세표[반영 기관],"서울병원"))</f>
        <v/>
      </c>
      <c r="R484" s="20">
        <f>IF($X484="","",SUM($N484:$Q484))</f>
        <v/>
      </c>
      <c r="S484">
        <f>IF($X484="","",COUNTIFS(상세표[사번키],INDEX(합계표[사번키],$X484),상세표[반영월],대상월키,상세표[야간당직],1,상세표[야간 구분],"평일"))</f>
        <v/>
      </c>
      <c r="T484">
        <f>IF($X484="","",COUNTIFS(상세표[사번키],INDEX(합계표[사번키],$X484),상세표[반영월],대상월키,상세표[야간당직],1,상세표[야간 구분],"휴일"))</f>
        <v/>
      </c>
      <c r="U484">
        <f>IF($X484="","",COUNTIFS(상세표[사번키],INDEX(합계표[사번키],$X484),상세표[반영월],대상월키,상세표[야간당직],1,상세표[야간 구분],"평일",상세표[반영 기관],"서울병원"))</f>
        <v/>
      </c>
      <c r="V484">
        <f>IF($X484="","",COUNTIFS(상세표[사번키],INDEX(합계표[사번키],$X484),상세표[반영월],대상월키,상세표[야간당직],1,상세표[야간 구분],"휴일",상세표[반영 기관],"서울병원"))</f>
        <v/>
      </c>
      <c r="W484">
        <f>IF($X484="","",IF(ISNUMBER(MATCH(INDEX(합계표[사번키],$X484)&amp;"|"&amp;대상월키,월별근무지표[키],0)),"직접 입력",IF($L484="—","—","기관명단")))</f>
        <v/>
      </c>
      <c r="X484" s="4">
        <f>IFERROR(MATCH(479,합계표[판정순번],0),"")</f>
        <v/>
      </c>
    </row>
    <row r="485">
      <c r="A485">
        <f>IF($X485="","",INDEX(합계표[사번],$X485)&amp;"")</f>
        <v/>
      </c>
      <c r="B485">
        <f>IF($X485="","",INDEX(합계표[성명],$X485)&amp;"")</f>
        <v/>
      </c>
      <c r="C485">
        <f>IF($X485="","",INDEX(합계표[부서],$X485)&amp;"")</f>
        <v/>
      </c>
      <c r="D485">
        <f>IF($X485="","",INDEX(합계표[직위(요약)],$X485)&amp;"")</f>
        <v/>
      </c>
      <c r="E485">
        <f>IF($X485="","",INDEX(합계표[직급 공존],$X485)&amp;"")</f>
        <v/>
      </c>
      <c r="F485" s="20">
        <f>IF($X485="","",SUMIFS(합계표[시스템 합계],합계표[사번키],INDEX(합계표[사번키],$X485)))</f>
        <v/>
      </c>
      <c r="G485" s="20">
        <f>IF($X485="","",SUMIFS(상세표[기록 시간외],상세표[사번키],INDEX(합계표[사번키],$X485),상세표[기록월],대상월키))</f>
        <v/>
      </c>
      <c r="H485">
        <f>IF($X485="","",IF(ABS($F485-$G485)&lt;0.01,"일치","불일치(차이 "&amp;TEXT($G485-$F485,"0.00")&amp;")"))</f>
        <v/>
      </c>
      <c r="I485" s="20">
        <f>IF($X485="","",SUMIFS(상세표[기록 시간외],상세표[사번키],INDEX(합계표[사번키],$X485),상세표[기록월],대상월키,상세표[반영월],"&lt;&gt;"&amp;대상월키))</f>
        <v/>
      </c>
      <c r="J485" s="20">
        <f>IF($X485="","",SUMIFS(상세표[기록 시간외],상세표[사번키],INDEX(합계표[사번키],$X485),상세표[기록월],"&lt;&gt;"&amp;대상월키,상세표[반영월],대상월키))</f>
        <v/>
      </c>
      <c r="K485" s="20">
        <f>IF($X485="","",SUMIFS(상세표[기록 시간외],상세표[사번키],INDEX(합계표[사번키],$X485),상세표[반영월],대상월키))</f>
        <v/>
      </c>
      <c r="L485">
        <f>IF($X485="","",IFERROR(INDEX(월별근무지표[적용 급여병원],MATCH(INDEX(합계표[사번키],$X485)&amp;"|"&amp;대상월키,월별근무지표[키],0))&amp;"",IF(COUNTIF(기관표[사번키],INDEX(합계표[사번키],$X485))+COUNTIF(월별근무지표[사번키],INDEX(합계표[사번키],$X485))&gt;0,IFERROR(INDEX(기관표[급여지급병원(기준월)],MATCH(INDEX(합계표[사번키],$X485)&amp;"|"&amp;대상월키,기관표[키],0))&amp;"","—"),"—")))</f>
        <v/>
      </c>
      <c r="M485">
        <f>IF($X485="","",IF(NOT(COUNTIF(기관표[사번키],INDEX(합계표[사번키],$X485))+COUNTIF(월별근무지표[사번키],INDEX(합계표[사번키],$X485))&gt;0),"기관명단에 없음(다른 병원으로 발송)",IF($L485="서울병원","해당",IF(N($R485)&gt;0,"해당(말일 근무)",IF($L485="—","대상월 기관명단 없음(추가 필요)","비해당")))))</f>
        <v/>
      </c>
      <c r="N485" s="20">
        <f>IF($X485="","",SUMIFS(상세표[06~07시],상세표[사번키],INDEX(합계표[사번키],$X485),상세표[반영월],대상월키,상세표[반영 기관],"서울병원"))</f>
        <v/>
      </c>
      <c r="O485" s="20">
        <f>IF($X485="","",SUMIFS(상세표[07~18시],상세표[사번키],INDEX(합계표[사번키],$X485),상세표[반영월],대상월키,상세표[반영 기관],"서울병원"))</f>
        <v/>
      </c>
      <c r="P485" s="20">
        <f>IF($X485="","",SUMIFS(상세표[18~22시],상세표[사번키],INDEX(합계표[사번키],$X485),상세표[반영월],대상월키,상세표[반영 기관],"서울병원"))</f>
        <v/>
      </c>
      <c r="Q485" s="20">
        <f>IF($X485="","",SUMIFS(상세표[22~06시],상세표[사번키],INDEX(합계표[사번키],$X485),상세표[반영월],대상월키,상세표[반영 기관],"서울병원"))</f>
        <v/>
      </c>
      <c r="R485" s="20">
        <f>IF($X485="","",SUM($N485:$Q485))</f>
        <v/>
      </c>
      <c r="S485">
        <f>IF($X485="","",COUNTIFS(상세표[사번키],INDEX(합계표[사번키],$X485),상세표[반영월],대상월키,상세표[야간당직],1,상세표[야간 구분],"평일"))</f>
        <v/>
      </c>
      <c r="T485">
        <f>IF($X485="","",COUNTIFS(상세표[사번키],INDEX(합계표[사번키],$X485),상세표[반영월],대상월키,상세표[야간당직],1,상세표[야간 구분],"휴일"))</f>
        <v/>
      </c>
      <c r="U485">
        <f>IF($X485="","",COUNTIFS(상세표[사번키],INDEX(합계표[사번키],$X485),상세표[반영월],대상월키,상세표[야간당직],1,상세표[야간 구분],"평일",상세표[반영 기관],"서울병원"))</f>
        <v/>
      </c>
      <c r="V485">
        <f>IF($X485="","",COUNTIFS(상세표[사번키],INDEX(합계표[사번키],$X485),상세표[반영월],대상월키,상세표[야간당직],1,상세표[야간 구분],"휴일",상세표[반영 기관],"서울병원"))</f>
        <v/>
      </c>
      <c r="W485">
        <f>IF($X485="","",IF(ISNUMBER(MATCH(INDEX(합계표[사번키],$X485)&amp;"|"&amp;대상월키,월별근무지표[키],0)),"직접 입력",IF($L485="—","—","기관명단")))</f>
        <v/>
      </c>
      <c r="X485" s="4">
        <f>IFERROR(MATCH(480,합계표[판정순번],0),"")</f>
        <v/>
      </c>
    </row>
    <row r="486">
      <c r="A486">
        <f>IF($X486="","",INDEX(합계표[사번],$X486)&amp;"")</f>
        <v/>
      </c>
      <c r="B486">
        <f>IF($X486="","",INDEX(합계표[성명],$X486)&amp;"")</f>
        <v/>
      </c>
      <c r="C486">
        <f>IF($X486="","",INDEX(합계표[부서],$X486)&amp;"")</f>
        <v/>
      </c>
      <c r="D486">
        <f>IF($X486="","",INDEX(합계표[직위(요약)],$X486)&amp;"")</f>
        <v/>
      </c>
      <c r="E486">
        <f>IF($X486="","",INDEX(합계표[직급 공존],$X486)&amp;"")</f>
        <v/>
      </c>
      <c r="F486" s="20">
        <f>IF($X486="","",SUMIFS(합계표[시스템 합계],합계표[사번키],INDEX(합계표[사번키],$X486)))</f>
        <v/>
      </c>
      <c r="G486" s="20">
        <f>IF($X486="","",SUMIFS(상세표[기록 시간외],상세표[사번키],INDEX(합계표[사번키],$X486),상세표[기록월],대상월키))</f>
        <v/>
      </c>
      <c r="H486">
        <f>IF($X486="","",IF(ABS($F486-$G486)&lt;0.01,"일치","불일치(차이 "&amp;TEXT($G486-$F486,"0.00")&amp;")"))</f>
        <v/>
      </c>
      <c r="I486" s="20">
        <f>IF($X486="","",SUMIFS(상세표[기록 시간외],상세표[사번키],INDEX(합계표[사번키],$X486),상세표[기록월],대상월키,상세표[반영월],"&lt;&gt;"&amp;대상월키))</f>
        <v/>
      </c>
      <c r="J486" s="20">
        <f>IF($X486="","",SUMIFS(상세표[기록 시간외],상세표[사번키],INDEX(합계표[사번키],$X486),상세표[기록월],"&lt;&gt;"&amp;대상월키,상세표[반영월],대상월키))</f>
        <v/>
      </c>
      <c r="K486" s="20">
        <f>IF($X486="","",SUMIFS(상세표[기록 시간외],상세표[사번키],INDEX(합계표[사번키],$X486),상세표[반영월],대상월키))</f>
        <v/>
      </c>
      <c r="L486">
        <f>IF($X486="","",IFERROR(INDEX(월별근무지표[적용 급여병원],MATCH(INDEX(합계표[사번키],$X486)&amp;"|"&amp;대상월키,월별근무지표[키],0))&amp;"",IF(COUNTIF(기관표[사번키],INDEX(합계표[사번키],$X486))+COUNTIF(월별근무지표[사번키],INDEX(합계표[사번키],$X486))&gt;0,IFERROR(INDEX(기관표[급여지급병원(기준월)],MATCH(INDEX(합계표[사번키],$X486)&amp;"|"&amp;대상월키,기관표[키],0))&amp;"","—"),"—")))</f>
        <v/>
      </c>
      <c r="M486">
        <f>IF($X486="","",IF(NOT(COUNTIF(기관표[사번키],INDEX(합계표[사번키],$X486))+COUNTIF(월별근무지표[사번키],INDEX(합계표[사번키],$X486))&gt;0),"기관명단에 없음(다른 병원으로 발송)",IF($L486="서울병원","해당",IF(N($R486)&gt;0,"해당(말일 근무)",IF($L486="—","대상월 기관명단 없음(추가 필요)","비해당")))))</f>
        <v/>
      </c>
      <c r="N486" s="20">
        <f>IF($X486="","",SUMIFS(상세표[06~07시],상세표[사번키],INDEX(합계표[사번키],$X486),상세표[반영월],대상월키,상세표[반영 기관],"서울병원"))</f>
        <v/>
      </c>
      <c r="O486" s="20">
        <f>IF($X486="","",SUMIFS(상세표[07~18시],상세표[사번키],INDEX(합계표[사번키],$X486),상세표[반영월],대상월키,상세표[반영 기관],"서울병원"))</f>
        <v/>
      </c>
      <c r="P486" s="20">
        <f>IF($X486="","",SUMIFS(상세표[18~22시],상세표[사번키],INDEX(합계표[사번키],$X486),상세표[반영월],대상월키,상세표[반영 기관],"서울병원"))</f>
        <v/>
      </c>
      <c r="Q486" s="20">
        <f>IF($X486="","",SUMIFS(상세표[22~06시],상세표[사번키],INDEX(합계표[사번키],$X486),상세표[반영월],대상월키,상세표[반영 기관],"서울병원"))</f>
        <v/>
      </c>
      <c r="R486" s="20">
        <f>IF($X486="","",SUM($N486:$Q486))</f>
        <v/>
      </c>
      <c r="S486">
        <f>IF($X486="","",COUNTIFS(상세표[사번키],INDEX(합계표[사번키],$X486),상세표[반영월],대상월키,상세표[야간당직],1,상세표[야간 구분],"평일"))</f>
        <v/>
      </c>
      <c r="T486">
        <f>IF($X486="","",COUNTIFS(상세표[사번키],INDEX(합계표[사번키],$X486),상세표[반영월],대상월키,상세표[야간당직],1,상세표[야간 구분],"휴일"))</f>
        <v/>
      </c>
      <c r="U486">
        <f>IF($X486="","",COUNTIFS(상세표[사번키],INDEX(합계표[사번키],$X486),상세표[반영월],대상월키,상세표[야간당직],1,상세표[야간 구분],"평일",상세표[반영 기관],"서울병원"))</f>
        <v/>
      </c>
      <c r="V486">
        <f>IF($X486="","",COUNTIFS(상세표[사번키],INDEX(합계표[사번키],$X486),상세표[반영월],대상월키,상세표[야간당직],1,상세표[야간 구분],"휴일",상세표[반영 기관],"서울병원"))</f>
        <v/>
      </c>
      <c r="W486">
        <f>IF($X486="","",IF(ISNUMBER(MATCH(INDEX(합계표[사번키],$X486)&amp;"|"&amp;대상월키,월별근무지표[키],0)),"직접 입력",IF($L486="—","—","기관명단")))</f>
        <v/>
      </c>
      <c r="X486" s="4">
        <f>IFERROR(MATCH(481,합계표[판정순번],0),"")</f>
        <v/>
      </c>
    </row>
    <row r="487">
      <c r="A487">
        <f>IF($X487="","",INDEX(합계표[사번],$X487)&amp;"")</f>
        <v/>
      </c>
      <c r="B487">
        <f>IF($X487="","",INDEX(합계표[성명],$X487)&amp;"")</f>
        <v/>
      </c>
      <c r="C487">
        <f>IF($X487="","",INDEX(합계표[부서],$X487)&amp;"")</f>
        <v/>
      </c>
      <c r="D487">
        <f>IF($X487="","",INDEX(합계표[직위(요약)],$X487)&amp;"")</f>
        <v/>
      </c>
      <c r="E487">
        <f>IF($X487="","",INDEX(합계표[직급 공존],$X487)&amp;"")</f>
        <v/>
      </c>
      <c r="F487" s="20">
        <f>IF($X487="","",SUMIFS(합계표[시스템 합계],합계표[사번키],INDEX(합계표[사번키],$X487)))</f>
        <v/>
      </c>
      <c r="G487" s="20">
        <f>IF($X487="","",SUMIFS(상세표[기록 시간외],상세표[사번키],INDEX(합계표[사번키],$X487),상세표[기록월],대상월키))</f>
        <v/>
      </c>
      <c r="H487">
        <f>IF($X487="","",IF(ABS($F487-$G487)&lt;0.01,"일치","불일치(차이 "&amp;TEXT($G487-$F487,"0.00")&amp;")"))</f>
        <v/>
      </c>
      <c r="I487" s="20">
        <f>IF($X487="","",SUMIFS(상세표[기록 시간외],상세표[사번키],INDEX(합계표[사번키],$X487),상세표[기록월],대상월키,상세표[반영월],"&lt;&gt;"&amp;대상월키))</f>
        <v/>
      </c>
      <c r="J487" s="20">
        <f>IF($X487="","",SUMIFS(상세표[기록 시간외],상세표[사번키],INDEX(합계표[사번키],$X487),상세표[기록월],"&lt;&gt;"&amp;대상월키,상세표[반영월],대상월키))</f>
        <v/>
      </c>
      <c r="K487" s="20">
        <f>IF($X487="","",SUMIFS(상세표[기록 시간외],상세표[사번키],INDEX(합계표[사번키],$X487),상세표[반영월],대상월키))</f>
        <v/>
      </c>
      <c r="L487">
        <f>IF($X487="","",IFERROR(INDEX(월별근무지표[적용 급여병원],MATCH(INDEX(합계표[사번키],$X487)&amp;"|"&amp;대상월키,월별근무지표[키],0))&amp;"",IF(COUNTIF(기관표[사번키],INDEX(합계표[사번키],$X487))+COUNTIF(월별근무지표[사번키],INDEX(합계표[사번키],$X487))&gt;0,IFERROR(INDEX(기관표[급여지급병원(기준월)],MATCH(INDEX(합계표[사번키],$X487)&amp;"|"&amp;대상월키,기관표[키],0))&amp;"","—"),"—")))</f>
        <v/>
      </c>
      <c r="M487">
        <f>IF($X487="","",IF(NOT(COUNTIF(기관표[사번키],INDEX(합계표[사번키],$X487))+COUNTIF(월별근무지표[사번키],INDEX(합계표[사번키],$X487))&gt;0),"기관명단에 없음(다른 병원으로 발송)",IF($L487="서울병원","해당",IF(N($R487)&gt;0,"해당(말일 근무)",IF($L487="—","대상월 기관명단 없음(추가 필요)","비해당")))))</f>
        <v/>
      </c>
      <c r="N487" s="20">
        <f>IF($X487="","",SUMIFS(상세표[06~07시],상세표[사번키],INDEX(합계표[사번키],$X487),상세표[반영월],대상월키,상세표[반영 기관],"서울병원"))</f>
        <v/>
      </c>
      <c r="O487" s="20">
        <f>IF($X487="","",SUMIFS(상세표[07~18시],상세표[사번키],INDEX(합계표[사번키],$X487),상세표[반영월],대상월키,상세표[반영 기관],"서울병원"))</f>
        <v/>
      </c>
      <c r="P487" s="20">
        <f>IF($X487="","",SUMIFS(상세표[18~22시],상세표[사번키],INDEX(합계표[사번키],$X487),상세표[반영월],대상월키,상세표[반영 기관],"서울병원"))</f>
        <v/>
      </c>
      <c r="Q487" s="20">
        <f>IF($X487="","",SUMIFS(상세표[22~06시],상세표[사번키],INDEX(합계표[사번키],$X487),상세표[반영월],대상월키,상세표[반영 기관],"서울병원"))</f>
        <v/>
      </c>
      <c r="R487" s="20">
        <f>IF($X487="","",SUM($N487:$Q487))</f>
        <v/>
      </c>
      <c r="S487">
        <f>IF($X487="","",COUNTIFS(상세표[사번키],INDEX(합계표[사번키],$X487),상세표[반영월],대상월키,상세표[야간당직],1,상세표[야간 구분],"평일"))</f>
        <v/>
      </c>
      <c r="T487">
        <f>IF($X487="","",COUNTIFS(상세표[사번키],INDEX(합계표[사번키],$X487),상세표[반영월],대상월키,상세표[야간당직],1,상세표[야간 구분],"휴일"))</f>
        <v/>
      </c>
      <c r="U487">
        <f>IF($X487="","",COUNTIFS(상세표[사번키],INDEX(합계표[사번키],$X487),상세표[반영월],대상월키,상세표[야간당직],1,상세표[야간 구분],"평일",상세표[반영 기관],"서울병원"))</f>
        <v/>
      </c>
      <c r="V487">
        <f>IF($X487="","",COUNTIFS(상세표[사번키],INDEX(합계표[사번키],$X487),상세표[반영월],대상월키,상세표[야간당직],1,상세표[야간 구분],"휴일",상세표[반영 기관],"서울병원"))</f>
        <v/>
      </c>
      <c r="W487">
        <f>IF($X487="","",IF(ISNUMBER(MATCH(INDEX(합계표[사번키],$X487)&amp;"|"&amp;대상월키,월별근무지표[키],0)),"직접 입력",IF($L487="—","—","기관명단")))</f>
        <v/>
      </c>
      <c r="X487" s="4">
        <f>IFERROR(MATCH(482,합계표[판정순번],0),"")</f>
        <v/>
      </c>
    </row>
    <row r="488">
      <c r="A488">
        <f>IF($X488="","",INDEX(합계표[사번],$X488)&amp;"")</f>
        <v/>
      </c>
      <c r="B488">
        <f>IF($X488="","",INDEX(합계표[성명],$X488)&amp;"")</f>
        <v/>
      </c>
      <c r="C488">
        <f>IF($X488="","",INDEX(합계표[부서],$X488)&amp;"")</f>
        <v/>
      </c>
      <c r="D488">
        <f>IF($X488="","",INDEX(합계표[직위(요약)],$X488)&amp;"")</f>
        <v/>
      </c>
      <c r="E488">
        <f>IF($X488="","",INDEX(합계표[직급 공존],$X488)&amp;"")</f>
        <v/>
      </c>
      <c r="F488" s="20">
        <f>IF($X488="","",SUMIFS(합계표[시스템 합계],합계표[사번키],INDEX(합계표[사번키],$X488)))</f>
        <v/>
      </c>
      <c r="G488" s="20">
        <f>IF($X488="","",SUMIFS(상세표[기록 시간외],상세표[사번키],INDEX(합계표[사번키],$X488),상세표[기록월],대상월키))</f>
        <v/>
      </c>
      <c r="H488">
        <f>IF($X488="","",IF(ABS($F488-$G488)&lt;0.01,"일치","불일치(차이 "&amp;TEXT($G488-$F488,"0.00")&amp;")"))</f>
        <v/>
      </c>
      <c r="I488" s="20">
        <f>IF($X488="","",SUMIFS(상세표[기록 시간외],상세표[사번키],INDEX(합계표[사번키],$X488),상세표[기록월],대상월키,상세표[반영월],"&lt;&gt;"&amp;대상월키))</f>
        <v/>
      </c>
      <c r="J488" s="20">
        <f>IF($X488="","",SUMIFS(상세표[기록 시간외],상세표[사번키],INDEX(합계표[사번키],$X488),상세표[기록월],"&lt;&gt;"&amp;대상월키,상세표[반영월],대상월키))</f>
        <v/>
      </c>
      <c r="K488" s="20">
        <f>IF($X488="","",SUMIFS(상세표[기록 시간외],상세표[사번키],INDEX(합계표[사번키],$X488),상세표[반영월],대상월키))</f>
        <v/>
      </c>
      <c r="L488">
        <f>IF($X488="","",IFERROR(INDEX(월별근무지표[적용 급여병원],MATCH(INDEX(합계표[사번키],$X488)&amp;"|"&amp;대상월키,월별근무지표[키],0))&amp;"",IF(COUNTIF(기관표[사번키],INDEX(합계표[사번키],$X488))+COUNTIF(월별근무지표[사번키],INDEX(합계표[사번키],$X488))&gt;0,IFERROR(INDEX(기관표[급여지급병원(기준월)],MATCH(INDEX(합계표[사번키],$X488)&amp;"|"&amp;대상월키,기관표[키],0))&amp;"","—"),"—")))</f>
        <v/>
      </c>
      <c r="M488">
        <f>IF($X488="","",IF(NOT(COUNTIF(기관표[사번키],INDEX(합계표[사번키],$X488))+COUNTIF(월별근무지표[사번키],INDEX(합계표[사번키],$X488))&gt;0),"기관명단에 없음(다른 병원으로 발송)",IF($L488="서울병원","해당",IF(N($R488)&gt;0,"해당(말일 근무)",IF($L488="—","대상월 기관명단 없음(추가 필요)","비해당")))))</f>
        <v/>
      </c>
      <c r="N488" s="20">
        <f>IF($X488="","",SUMIFS(상세표[06~07시],상세표[사번키],INDEX(합계표[사번키],$X488),상세표[반영월],대상월키,상세표[반영 기관],"서울병원"))</f>
        <v/>
      </c>
      <c r="O488" s="20">
        <f>IF($X488="","",SUMIFS(상세표[07~18시],상세표[사번키],INDEX(합계표[사번키],$X488),상세표[반영월],대상월키,상세표[반영 기관],"서울병원"))</f>
        <v/>
      </c>
      <c r="P488" s="20">
        <f>IF($X488="","",SUMIFS(상세표[18~22시],상세표[사번키],INDEX(합계표[사번키],$X488),상세표[반영월],대상월키,상세표[반영 기관],"서울병원"))</f>
        <v/>
      </c>
      <c r="Q488" s="20">
        <f>IF($X488="","",SUMIFS(상세표[22~06시],상세표[사번키],INDEX(합계표[사번키],$X488),상세표[반영월],대상월키,상세표[반영 기관],"서울병원"))</f>
        <v/>
      </c>
      <c r="R488" s="20">
        <f>IF($X488="","",SUM($N488:$Q488))</f>
        <v/>
      </c>
      <c r="S488">
        <f>IF($X488="","",COUNTIFS(상세표[사번키],INDEX(합계표[사번키],$X488),상세표[반영월],대상월키,상세표[야간당직],1,상세표[야간 구분],"평일"))</f>
        <v/>
      </c>
      <c r="T488">
        <f>IF($X488="","",COUNTIFS(상세표[사번키],INDEX(합계표[사번키],$X488),상세표[반영월],대상월키,상세표[야간당직],1,상세표[야간 구분],"휴일"))</f>
        <v/>
      </c>
      <c r="U488">
        <f>IF($X488="","",COUNTIFS(상세표[사번키],INDEX(합계표[사번키],$X488),상세표[반영월],대상월키,상세표[야간당직],1,상세표[야간 구분],"평일",상세표[반영 기관],"서울병원"))</f>
        <v/>
      </c>
      <c r="V488">
        <f>IF($X488="","",COUNTIFS(상세표[사번키],INDEX(합계표[사번키],$X488),상세표[반영월],대상월키,상세표[야간당직],1,상세표[야간 구분],"휴일",상세표[반영 기관],"서울병원"))</f>
        <v/>
      </c>
      <c r="W488">
        <f>IF($X488="","",IF(ISNUMBER(MATCH(INDEX(합계표[사번키],$X488)&amp;"|"&amp;대상월키,월별근무지표[키],0)),"직접 입력",IF($L488="—","—","기관명단")))</f>
        <v/>
      </c>
      <c r="X488" s="4">
        <f>IFERROR(MATCH(483,합계표[판정순번],0),"")</f>
        <v/>
      </c>
    </row>
    <row r="489">
      <c r="A489">
        <f>IF($X489="","",INDEX(합계표[사번],$X489)&amp;"")</f>
        <v/>
      </c>
      <c r="B489">
        <f>IF($X489="","",INDEX(합계표[성명],$X489)&amp;"")</f>
        <v/>
      </c>
      <c r="C489">
        <f>IF($X489="","",INDEX(합계표[부서],$X489)&amp;"")</f>
        <v/>
      </c>
      <c r="D489">
        <f>IF($X489="","",INDEX(합계표[직위(요약)],$X489)&amp;"")</f>
        <v/>
      </c>
      <c r="E489">
        <f>IF($X489="","",INDEX(합계표[직급 공존],$X489)&amp;"")</f>
        <v/>
      </c>
      <c r="F489" s="20">
        <f>IF($X489="","",SUMIFS(합계표[시스템 합계],합계표[사번키],INDEX(합계표[사번키],$X489)))</f>
        <v/>
      </c>
      <c r="G489" s="20">
        <f>IF($X489="","",SUMIFS(상세표[기록 시간외],상세표[사번키],INDEX(합계표[사번키],$X489),상세표[기록월],대상월키))</f>
        <v/>
      </c>
      <c r="H489">
        <f>IF($X489="","",IF(ABS($F489-$G489)&lt;0.01,"일치","불일치(차이 "&amp;TEXT($G489-$F489,"0.00")&amp;")"))</f>
        <v/>
      </c>
      <c r="I489" s="20">
        <f>IF($X489="","",SUMIFS(상세표[기록 시간외],상세표[사번키],INDEX(합계표[사번키],$X489),상세표[기록월],대상월키,상세표[반영월],"&lt;&gt;"&amp;대상월키))</f>
        <v/>
      </c>
      <c r="J489" s="20">
        <f>IF($X489="","",SUMIFS(상세표[기록 시간외],상세표[사번키],INDEX(합계표[사번키],$X489),상세표[기록월],"&lt;&gt;"&amp;대상월키,상세표[반영월],대상월키))</f>
        <v/>
      </c>
      <c r="K489" s="20">
        <f>IF($X489="","",SUMIFS(상세표[기록 시간외],상세표[사번키],INDEX(합계표[사번키],$X489),상세표[반영월],대상월키))</f>
        <v/>
      </c>
      <c r="L489">
        <f>IF($X489="","",IFERROR(INDEX(월별근무지표[적용 급여병원],MATCH(INDEX(합계표[사번키],$X489)&amp;"|"&amp;대상월키,월별근무지표[키],0))&amp;"",IF(COUNTIF(기관표[사번키],INDEX(합계표[사번키],$X489))+COUNTIF(월별근무지표[사번키],INDEX(합계표[사번키],$X489))&gt;0,IFERROR(INDEX(기관표[급여지급병원(기준월)],MATCH(INDEX(합계표[사번키],$X489)&amp;"|"&amp;대상월키,기관표[키],0))&amp;"","—"),"—")))</f>
        <v/>
      </c>
      <c r="M489">
        <f>IF($X489="","",IF(NOT(COUNTIF(기관표[사번키],INDEX(합계표[사번키],$X489))+COUNTIF(월별근무지표[사번키],INDEX(합계표[사번키],$X489))&gt;0),"기관명단에 없음(다른 병원으로 발송)",IF($L489="서울병원","해당",IF(N($R489)&gt;0,"해당(말일 근무)",IF($L489="—","대상월 기관명단 없음(추가 필요)","비해당")))))</f>
        <v/>
      </c>
      <c r="N489" s="20">
        <f>IF($X489="","",SUMIFS(상세표[06~07시],상세표[사번키],INDEX(합계표[사번키],$X489),상세표[반영월],대상월키,상세표[반영 기관],"서울병원"))</f>
        <v/>
      </c>
      <c r="O489" s="20">
        <f>IF($X489="","",SUMIFS(상세표[07~18시],상세표[사번키],INDEX(합계표[사번키],$X489),상세표[반영월],대상월키,상세표[반영 기관],"서울병원"))</f>
        <v/>
      </c>
      <c r="P489" s="20">
        <f>IF($X489="","",SUMIFS(상세표[18~22시],상세표[사번키],INDEX(합계표[사번키],$X489),상세표[반영월],대상월키,상세표[반영 기관],"서울병원"))</f>
        <v/>
      </c>
      <c r="Q489" s="20">
        <f>IF($X489="","",SUMIFS(상세표[22~06시],상세표[사번키],INDEX(합계표[사번키],$X489),상세표[반영월],대상월키,상세표[반영 기관],"서울병원"))</f>
        <v/>
      </c>
      <c r="R489" s="20">
        <f>IF($X489="","",SUM($N489:$Q489))</f>
        <v/>
      </c>
      <c r="S489">
        <f>IF($X489="","",COUNTIFS(상세표[사번키],INDEX(합계표[사번키],$X489),상세표[반영월],대상월키,상세표[야간당직],1,상세표[야간 구분],"평일"))</f>
        <v/>
      </c>
      <c r="T489">
        <f>IF($X489="","",COUNTIFS(상세표[사번키],INDEX(합계표[사번키],$X489),상세표[반영월],대상월키,상세표[야간당직],1,상세표[야간 구분],"휴일"))</f>
        <v/>
      </c>
      <c r="U489">
        <f>IF($X489="","",COUNTIFS(상세표[사번키],INDEX(합계표[사번키],$X489),상세표[반영월],대상월키,상세표[야간당직],1,상세표[야간 구분],"평일",상세표[반영 기관],"서울병원"))</f>
        <v/>
      </c>
      <c r="V489">
        <f>IF($X489="","",COUNTIFS(상세표[사번키],INDEX(합계표[사번키],$X489),상세표[반영월],대상월키,상세표[야간당직],1,상세표[야간 구분],"휴일",상세표[반영 기관],"서울병원"))</f>
        <v/>
      </c>
      <c r="W489">
        <f>IF($X489="","",IF(ISNUMBER(MATCH(INDEX(합계표[사번키],$X489)&amp;"|"&amp;대상월키,월별근무지표[키],0)),"직접 입력",IF($L489="—","—","기관명단")))</f>
        <v/>
      </c>
      <c r="X489" s="4">
        <f>IFERROR(MATCH(484,합계표[판정순번],0),"")</f>
        <v/>
      </c>
    </row>
    <row r="490">
      <c r="A490">
        <f>IF($X490="","",INDEX(합계표[사번],$X490)&amp;"")</f>
        <v/>
      </c>
      <c r="B490">
        <f>IF($X490="","",INDEX(합계표[성명],$X490)&amp;"")</f>
        <v/>
      </c>
      <c r="C490">
        <f>IF($X490="","",INDEX(합계표[부서],$X490)&amp;"")</f>
        <v/>
      </c>
      <c r="D490">
        <f>IF($X490="","",INDEX(합계표[직위(요약)],$X490)&amp;"")</f>
        <v/>
      </c>
      <c r="E490">
        <f>IF($X490="","",INDEX(합계표[직급 공존],$X490)&amp;"")</f>
        <v/>
      </c>
      <c r="F490" s="20">
        <f>IF($X490="","",SUMIFS(합계표[시스템 합계],합계표[사번키],INDEX(합계표[사번키],$X490)))</f>
        <v/>
      </c>
      <c r="G490" s="20">
        <f>IF($X490="","",SUMIFS(상세표[기록 시간외],상세표[사번키],INDEX(합계표[사번키],$X490),상세표[기록월],대상월키))</f>
        <v/>
      </c>
      <c r="H490">
        <f>IF($X490="","",IF(ABS($F490-$G490)&lt;0.01,"일치","불일치(차이 "&amp;TEXT($G490-$F490,"0.00")&amp;")"))</f>
        <v/>
      </c>
      <c r="I490" s="20">
        <f>IF($X490="","",SUMIFS(상세표[기록 시간외],상세표[사번키],INDEX(합계표[사번키],$X490),상세표[기록월],대상월키,상세표[반영월],"&lt;&gt;"&amp;대상월키))</f>
        <v/>
      </c>
      <c r="J490" s="20">
        <f>IF($X490="","",SUMIFS(상세표[기록 시간외],상세표[사번키],INDEX(합계표[사번키],$X490),상세표[기록월],"&lt;&gt;"&amp;대상월키,상세표[반영월],대상월키))</f>
        <v/>
      </c>
      <c r="K490" s="20">
        <f>IF($X490="","",SUMIFS(상세표[기록 시간외],상세표[사번키],INDEX(합계표[사번키],$X490),상세표[반영월],대상월키))</f>
        <v/>
      </c>
      <c r="L490">
        <f>IF($X490="","",IFERROR(INDEX(월별근무지표[적용 급여병원],MATCH(INDEX(합계표[사번키],$X490)&amp;"|"&amp;대상월키,월별근무지표[키],0))&amp;"",IF(COUNTIF(기관표[사번키],INDEX(합계표[사번키],$X490))+COUNTIF(월별근무지표[사번키],INDEX(합계표[사번키],$X490))&gt;0,IFERROR(INDEX(기관표[급여지급병원(기준월)],MATCH(INDEX(합계표[사번키],$X490)&amp;"|"&amp;대상월키,기관표[키],0))&amp;"","—"),"—")))</f>
        <v/>
      </c>
      <c r="M490">
        <f>IF($X490="","",IF(NOT(COUNTIF(기관표[사번키],INDEX(합계표[사번키],$X490))+COUNTIF(월별근무지표[사번키],INDEX(합계표[사번키],$X490))&gt;0),"기관명단에 없음(다른 병원으로 발송)",IF($L490="서울병원","해당",IF(N($R490)&gt;0,"해당(말일 근무)",IF($L490="—","대상월 기관명단 없음(추가 필요)","비해당")))))</f>
        <v/>
      </c>
      <c r="N490" s="20">
        <f>IF($X490="","",SUMIFS(상세표[06~07시],상세표[사번키],INDEX(합계표[사번키],$X490),상세표[반영월],대상월키,상세표[반영 기관],"서울병원"))</f>
        <v/>
      </c>
      <c r="O490" s="20">
        <f>IF($X490="","",SUMIFS(상세표[07~18시],상세표[사번키],INDEX(합계표[사번키],$X490),상세표[반영월],대상월키,상세표[반영 기관],"서울병원"))</f>
        <v/>
      </c>
      <c r="P490" s="20">
        <f>IF($X490="","",SUMIFS(상세표[18~22시],상세표[사번키],INDEX(합계표[사번키],$X490),상세표[반영월],대상월키,상세표[반영 기관],"서울병원"))</f>
        <v/>
      </c>
      <c r="Q490" s="20">
        <f>IF($X490="","",SUMIFS(상세표[22~06시],상세표[사번키],INDEX(합계표[사번키],$X490),상세표[반영월],대상월키,상세표[반영 기관],"서울병원"))</f>
        <v/>
      </c>
      <c r="R490" s="20">
        <f>IF($X490="","",SUM($N490:$Q490))</f>
        <v/>
      </c>
      <c r="S490">
        <f>IF($X490="","",COUNTIFS(상세표[사번키],INDEX(합계표[사번키],$X490),상세표[반영월],대상월키,상세표[야간당직],1,상세표[야간 구분],"평일"))</f>
        <v/>
      </c>
      <c r="T490">
        <f>IF($X490="","",COUNTIFS(상세표[사번키],INDEX(합계표[사번키],$X490),상세표[반영월],대상월키,상세표[야간당직],1,상세표[야간 구분],"휴일"))</f>
        <v/>
      </c>
      <c r="U490">
        <f>IF($X490="","",COUNTIFS(상세표[사번키],INDEX(합계표[사번키],$X490),상세표[반영월],대상월키,상세표[야간당직],1,상세표[야간 구분],"평일",상세표[반영 기관],"서울병원"))</f>
        <v/>
      </c>
      <c r="V490">
        <f>IF($X490="","",COUNTIFS(상세표[사번키],INDEX(합계표[사번키],$X490),상세표[반영월],대상월키,상세표[야간당직],1,상세표[야간 구분],"휴일",상세표[반영 기관],"서울병원"))</f>
        <v/>
      </c>
      <c r="W490">
        <f>IF($X490="","",IF(ISNUMBER(MATCH(INDEX(합계표[사번키],$X490)&amp;"|"&amp;대상월키,월별근무지표[키],0)),"직접 입력",IF($L490="—","—","기관명단")))</f>
        <v/>
      </c>
      <c r="X490" s="4">
        <f>IFERROR(MATCH(485,합계표[판정순번],0),"")</f>
        <v/>
      </c>
    </row>
    <row r="491">
      <c r="A491">
        <f>IF($X491="","",INDEX(합계표[사번],$X491)&amp;"")</f>
        <v/>
      </c>
      <c r="B491">
        <f>IF($X491="","",INDEX(합계표[성명],$X491)&amp;"")</f>
        <v/>
      </c>
      <c r="C491">
        <f>IF($X491="","",INDEX(합계표[부서],$X491)&amp;"")</f>
        <v/>
      </c>
      <c r="D491">
        <f>IF($X491="","",INDEX(합계표[직위(요약)],$X491)&amp;"")</f>
        <v/>
      </c>
      <c r="E491">
        <f>IF($X491="","",INDEX(합계표[직급 공존],$X491)&amp;"")</f>
        <v/>
      </c>
      <c r="F491" s="20">
        <f>IF($X491="","",SUMIFS(합계표[시스템 합계],합계표[사번키],INDEX(합계표[사번키],$X491)))</f>
        <v/>
      </c>
      <c r="G491" s="20">
        <f>IF($X491="","",SUMIFS(상세표[기록 시간외],상세표[사번키],INDEX(합계표[사번키],$X491),상세표[기록월],대상월키))</f>
        <v/>
      </c>
      <c r="H491">
        <f>IF($X491="","",IF(ABS($F491-$G491)&lt;0.01,"일치","불일치(차이 "&amp;TEXT($G491-$F491,"0.00")&amp;")"))</f>
        <v/>
      </c>
      <c r="I491" s="20">
        <f>IF($X491="","",SUMIFS(상세표[기록 시간외],상세표[사번키],INDEX(합계표[사번키],$X491),상세표[기록월],대상월키,상세표[반영월],"&lt;&gt;"&amp;대상월키))</f>
        <v/>
      </c>
      <c r="J491" s="20">
        <f>IF($X491="","",SUMIFS(상세표[기록 시간외],상세표[사번키],INDEX(합계표[사번키],$X491),상세표[기록월],"&lt;&gt;"&amp;대상월키,상세표[반영월],대상월키))</f>
        <v/>
      </c>
      <c r="K491" s="20">
        <f>IF($X491="","",SUMIFS(상세표[기록 시간외],상세표[사번키],INDEX(합계표[사번키],$X491),상세표[반영월],대상월키))</f>
        <v/>
      </c>
      <c r="L491">
        <f>IF($X491="","",IFERROR(INDEX(월별근무지표[적용 급여병원],MATCH(INDEX(합계표[사번키],$X491)&amp;"|"&amp;대상월키,월별근무지표[키],0))&amp;"",IF(COUNTIF(기관표[사번키],INDEX(합계표[사번키],$X491))+COUNTIF(월별근무지표[사번키],INDEX(합계표[사번키],$X491))&gt;0,IFERROR(INDEX(기관표[급여지급병원(기준월)],MATCH(INDEX(합계표[사번키],$X491)&amp;"|"&amp;대상월키,기관표[키],0))&amp;"","—"),"—")))</f>
        <v/>
      </c>
      <c r="M491">
        <f>IF($X491="","",IF(NOT(COUNTIF(기관표[사번키],INDEX(합계표[사번키],$X491))+COUNTIF(월별근무지표[사번키],INDEX(합계표[사번키],$X491))&gt;0),"기관명단에 없음(다른 병원으로 발송)",IF($L491="서울병원","해당",IF(N($R491)&gt;0,"해당(말일 근무)",IF($L491="—","대상월 기관명단 없음(추가 필요)","비해당")))))</f>
        <v/>
      </c>
      <c r="N491" s="20">
        <f>IF($X491="","",SUMIFS(상세표[06~07시],상세표[사번키],INDEX(합계표[사번키],$X491),상세표[반영월],대상월키,상세표[반영 기관],"서울병원"))</f>
        <v/>
      </c>
      <c r="O491" s="20">
        <f>IF($X491="","",SUMIFS(상세표[07~18시],상세표[사번키],INDEX(합계표[사번키],$X491),상세표[반영월],대상월키,상세표[반영 기관],"서울병원"))</f>
        <v/>
      </c>
      <c r="P491" s="20">
        <f>IF($X491="","",SUMIFS(상세표[18~22시],상세표[사번키],INDEX(합계표[사번키],$X491),상세표[반영월],대상월키,상세표[반영 기관],"서울병원"))</f>
        <v/>
      </c>
      <c r="Q491" s="20">
        <f>IF($X491="","",SUMIFS(상세표[22~06시],상세표[사번키],INDEX(합계표[사번키],$X491),상세표[반영월],대상월키,상세표[반영 기관],"서울병원"))</f>
        <v/>
      </c>
      <c r="R491" s="20">
        <f>IF($X491="","",SUM($N491:$Q491))</f>
        <v/>
      </c>
      <c r="S491">
        <f>IF($X491="","",COUNTIFS(상세표[사번키],INDEX(합계표[사번키],$X491),상세표[반영월],대상월키,상세표[야간당직],1,상세표[야간 구분],"평일"))</f>
        <v/>
      </c>
      <c r="T491">
        <f>IF($X491="","",COUNTIFS(상세표[사번키],INDEX(합계표[사번키],$X491),상세표[반영월],대상월키,상세표[야간당직],1,상세표[야간 구분],"휴일"))</f>
        <v/>
      </c>
      <c r="U491">
        <f>IF($X491="","",COUNTIFS(상세표[사번키],INDEX(합계표[사번키],$X491),상세표[반영월],대상월키,상세표[야간당직],1,상세표[야간 구분],"평일",상세표[반영 기관],"서울병원"))</f>
        <v/>
      </c>
      <c r="V491">
        <f>IF($X491="","",COUNTIFS(상세표[사번키],INDEX(합계표[사번키],$X491),상세표[반영월],대상월키,상세표[야간당직],1,상세표[야간 구분],"휴일",상세표[반영 기관],"서울병원"))</f>
        <v/>
      </c>
      <c r="W491">
        <f>IF($X491="","",IF(ISNUMBER(MATCH(INDEX(합계표[사번키],$X491)&amp;"|"&amp;대상월키,월별근무지표[키],0)),"직접 입력",IF($L491="—","—","기관명단")))</f>
        <v/>
      </c>
      <c r="X491" s="4">
        <f>IFERROR(MATCH(486,합계표[판정순번],0),"")</f>
        <v/>
      </c>
    </row>
    <row r="492">
      <c r="A492">
        <f>IF($X492="","",INDEX(합계표[사번],$X492)&amp;"")</f>
        <v/>
      </c>
      <c r="B492">
        <f>IF($X492="","",INDEX(합계표[성명],$X492)&amp;"")</f>
        <v/>
      </c>
      <c r="C492">
        <f>IF($X492="","",INDEX(합계표[부서],$X492)&amp;"")</f>
        <v/>
      </c>
      <c r="D492">
        <f>IF($X492="","",INDEX(합계표[직위(요약)],$X492)&amp;"")</f>
        <v/>
      </c>
      <c r="E492">
        <f>IF($X492="","",INDEX(합계표[직급 공존],$X492)&amp;"")</f>
        <v/>
      </c>
      <c r="F492" s="20">
        <f>IF($X492="","",SUMIFS(합계표[시스템 합계],합계표[사번키],INDEX(합계표[사번키],$X492)))</f>
        <v/>
      </c>
      <c r="G492" s="20">
        <f>IF($X492="","",SUMIFS(상세표[기록 시간외],상세표[사번키],INDEX(합계표[사번키],$X492),상세표[기록월],대상월키))</f>
        <v/>
      </c>
      <c r="H492">
        <f>IF($X492="","",IF(ABS($F492-$G492)&lt;0.01,"일치","불일치(차이 "&amp;TEXT($G492-$F492,"0.00")&amp;")"))</f>
        <v/>
      </c>
      <c r="I492" s="20">
        <f>IF($X492="","",SUMIFS(상세표[기록 시간외],상세표[사번키],INDEX(합계표[사번키],$X492),상세표[기록월],대상월키,상세표[반영월],"&lt;&gt;"&amp;대상월키))</f>
        <v/>
      </c>
      <c r="J492" s="20">
        <f>IF($X492="","",SUMIFS(상세표[기록 시간외],상세표[사번키],INDEX(합계표[사번키],$X492),상세표[기록월],"&lt;&gt;"&amp;대상월키,상세표[반영월],대상월키))</f>
        <v/>
      </c>
      <c r="K492" s="20">
        <f>IF($X492="","",SUMIFS(상세표[기록 시간외],상세표[사번키],INDEX(합계표[사번키],$X492),상세표[반영월],대상월키))</f>
        <v/>
      </c>
      <c r="L492">
        <f>IF($X492="","",IFERROR(INDEX(월별근무지표[적용 급여병원],MATCH(INDEX(합계표[사번키],$X492)&amp;"|"&amp;대상월키,월별근무지표[키],0))&amp;"",IF(COUNTIF(기관표[사번키],INDEX(합계표[사번키],$X492))+COUNTIF(월별근무지표[사번키],INDEX(합계표[사번키],$X492))&gt;0,IFERROR(INDEX(기관표[급여지급병원(기준월)],MATCH(INDEX(합계표[사번키],$X492)&amp;"|"&amp;대상월키,기관표[키],0))&amp;"","—"),"—")))</f>
        <v/>
      </c>
      <c r="M492">
        <f>IF($X492="","",IF(NOT(COUNTIF(기관표[사번키],INDEX(합계표[사번키],$X492))+COUNTIF(월별근무지표[사번키],INDEX(합계표[사번키],$X492))&gt;0),"기관명단에 없음(다른 병원으로 발송)",IF($L492="서울병원","해당",IF(N($R492)&gt;0,"해당(말일 근무)",IF($L492="—","대상월 기관명단 없음(추가 필요)","비해당")))))</f>
        <v/>
      </c>
      <c r="N492" s="20">
        <f>IF($X492="","",SUMIFS(상세표[06~07시],상세표[사번키],INDEX(합계표[사번키],$X492),상세표[반영월],대상월키,상세표[반영 기관],"서울병원"))</f>
        <v/>
      </c>
      <c r="O492" s="20">
        <f>IF($X492="","",SUMIFS(상세표[07~18시],상세표[사번키],INDEX(합계표[사번키],$X492),상세표[반영월],대상월키,상세표[반영 기관],"서울병원"))</f>
        <v/>
      </c>
      <c r="P492" s="20">
        <f>IF($X492="","",SUMIFS(상세표[18~22시],상세표[사번키],INDEX(합계표[사번키],$X492),상세표[반영월],대상월키,상세표[반영 기관],"서울병원"))</f>
        <v/>
      </c>
      <c r="Q492" s="20">
        <f>IF($X492="","",SUMIFS(상세표[22~06시],상세표[사번키],INDEX(합계표[사번키],$X492),상세표[반영월],대상월키,상세표[반영 기관],"서울병원"))</f>
        <v/>
      </c>
      <c r="R492" s="20">
        <f>IF($X492="","",SUM($N492:$Q492))</f>
        <v/>
      </c>
      <c r="S492">
        <f>IF($X492="","",COUNTIFS(상세표[사번키],INDEX(합계표[사번키],$X492),상세표[반영월],대상월키,상세표[야간당직],1,상세표[야간 구분],"평일"))</f>
        <v/>
      </c>
      <c r="T492">
        <f>IF($X492="","",COUNTIFS(상세표[사번키],INDEX(합계표[사번키],$X492),상세표[반영월],대상월키,상세표[야간당직],1,상세표[야간 구분],"휴일"))</f>
        <v/>
      </c>
      <c r="U492">
        <f>IF($X492="","",COUNTIFS(상세표[사번키],INDEX(합계표[사번키],$X492),상세표[반영월],대상월키,상세표[야간당직],1,상세표[야간 구분],"평일",상세표[반영 기관],"서울병원"))</f>
        <v/>
      </c>
      <c r="V492">
        <f>IF($X492="","",COUNTIFS(상세표[사번키],INDEX(합계표[사번키],$X492),상세표[반영월],대상월키,상세표[야간당직],1,상세표[야간 구분],"휴일",상세표[반영 기관],"서울병원"))</f>
        <v/>
      </c>
      <c r="W492">
        <f>IF($X492="","",IF(ISNUMBER(MATCH(INDEX(합계표[사번키],$X492)&amp;"|"&amp;대상월키,월별근무지표[키],0)),"직접 입력",IF($L492="—","—","기관명단")))</f>
        <v/>
      </c>
      <c r="X492" s="4">
        <f>IFERROR(MATCH(487,합계표[판정순번],0),"")</f>
        <v/>
      </c>
    </row>
    <row r="493">
      <c r="A493">
        <f>IF($X493="","",INDEX(합계표[사번],$X493)&amp;"")</f>
        <v/>
      </c>
      <c r="B493">
        <f>IF($X493="","",INDEX(합계표[성명],$X493)&amp;"")</f>
        <v/>
      </c>
      <c r="C493">
        <f>IF($X493="","",INDEX(합계표[부서],$X493)&amp;"")</f>
        <v/>
      </c>
      <c r="D493">
        <f>IF($X493="","",INDEX(합계표[직위(요약)],$X493)&amp;"")</f>
        <v/>
      </c>
      <c r="E493">
        <f>IF($X493="","",INDEX(합계표[직급 공존],$X493)&amp;"")</f>
        <v/>
      </c>
      <c r="F493" s="20">
        <f>IF($X493="","",SUMIFS(합계표[시스템 합계],합계표[사번키],INDEX(합계표[사번키],$X493)))</f>
        <v/>
      </c>
      <c r="G493" s="20">
        <f>IF($X493="","",SUMIFS(상세표[기록 시간외],상세표[사번키],INDEX(합계표[사번키],$X493),상세표[기록월],대상월키))</f>
        <v/>
      </c>
      <c r="H493">
        <f>IF($X493="","",IF(ABS($F493-$G493)&lt;0.01,"일치","불일치(차이 "&amp;TEXT($G493-$F493,"0.00")&amp;")"))</f>
        <v/>
      </c>
      <c r="I493" s="20">
        <f>IF($X493="","",SUMIFS(상세표[기록 시간외],상세표[사번키],INDEX(합계표[사번키],$X493),상세표[기록월],대상월키,상세표[반영월],"&lt;&gt;"&amp;대상월키))</f>
        <v/>
      </c>
      <c r="J493" s="20">
        <f>IF($X493="","",SUMIFS(상세표[기록 시간외],상세표[사번키],INDEX(합계표[사번키],$X493),상세표[기록월],"&lt;&gt;"&amp;대상월키,상세표[반영월],대상월키))</f>
        <v/>
      </c>
      <c r="K493" s="20">
        <f>IF($X493="","",SUMIFS(상세표[기록 시간외],상세표[사번키],INDEX(합계표[사번키],$X493),상세표[반영월],대상월키))</f>
        <v/>
      </c>
      <c r="L493">
        <f>IF($X493="","",IFERROR(INDEX(월별근무지표[적용 급여병원],MATCH(INDEX(합계표[사번키],$X493)&amp;"|"&amp;대상월키,월별근무지표[키],0))&amp;"",IF(COUNTIF(기관표[사번키],INDEX(합계표[사번키],$X493))+COUNTIF(월별근무지표[사번키],INDEX(합계표[사번키],$X493))&gt;0,IFERROR(INDEX(기관표[급여지급병원(기준월)],MATCH(INDEX(합계표[사번키],$X493)&amp;"|"&amp;대상월키,기관표[키],0))&amp;"","—"),"—")))</f>
        <v/>
      </c>
      <c r="M493">
        <f>IF($X493="","",IF(NOT(COUNTIF(기관표[사번키],INDEX(합계표[사번키],$X493))+COUNTIF(월별근무지표[사번키],INDEX(합계표[사번키],$X493))&gt;0),"기관명단에 없음(다른 병원으로 발송)",IF($L493="서울병원","해당",IF(N($R493)&gt;0,"해당(말일 근무)",IF($L493="—","대상월 기관명단 없음(추가 필요)","비해당")))))</f>
        <v/>
      </c>
      <c r="N493" s="20">
        <f>IF($X493="","",SUMIFS(상세표[06~07시],상세표[사번키],INDEX(합계표[사번키],$X493),상세표[반영월],대상월키,상세표[반영 기관],"서울병원"))</f>
        <v/>
      </c>
      <c r="O493" s="20">
        <f>IF($X493="","",SUMIFS(상세표[07~18시],상세표[사번키],INDEX(합계표[사번키],$X493),상세표[반영월],대상월키,상세표[반영 기관],"서울병원"))</f>
        <v/>
      </c>
      <c r="P493" s="20">
        <f>IF($X493="","",SUMIFS(상세표[18~22시],상세표[사번키],INDEX(합계표[사번키],$X493),상세표[반영월],대상월키,상세표[반영 기관],"서울병원"))</f>
        <v/>
      </c>
      <c r="Q493" s="20">
        <f>IF($X493="","",SUMIFS(상세표[22~06시],상세표[사번키],INDEX(합계표[사번키],$X493),상세표[반영월],대상월키,상세표[반영 기관],"서울병원"))</f>
        <v/>
      </c>
      <c r="R493" s="20">
        <f>IF($X493="","",SUM($N493:$Q493))</f>
        <v/>
      </c>
      <c r="S493">
        <f>IF($X493="","",COUNTIFS(상세표[사번키],INDEX(합계표[사번키],$X493),상세표[반영월],대상월키,상세표[야간당직],1,상세표[야간 구분],"평일"))</f>
        <v/>
      </c>
      <c r="T493">
        <f>IF($X493="","",COUNTIFS(상세표[사번키],INDEX(합계표[사번키],$X493),상세표[반영월],대상월키,상세표[야간당직],1,상세표[야간 구분],"휴일"))</f>
        <v/>
      </c>
      <c r="U493">
        <f>IF($X493="","",COUNTIFS(상세표[사번키],INDEX(합계표[사번키],$X493),상세표[반영월],대상월키,상세표[야간당직],1,상세표[야간 구분],"평일",상세표[반영 기관],"서울병원"))</f>
        <v/>
      </c>
      <c r="V493">
        <f>IF($X493="","",COUNTIFS(상세표[사번키],INDEX(합계표[사번키],$X493),상세표[반영월],대상월키,상세표[야간당직],1,상세표[야간 구분],"휴일",상세표[반영 기관],"서울병원"))</f>
        <v/>
      </c>
      <c r="W493">
        <f>IF($X493="","",IF(ISNUMBER(MATCH(INDEX(합계표[사번키],$X493)&amp;"|"&amp;대상월키,월별근무지표[키],0)),"직접 입력",IF($L493="—","—","기관명단")))</f>
        <v/>
      </c>
      <c r="X493" s="4">
        <f>IFERROR(MATCH(488,합계표[판정순번],0),"")</f>
        <v/>
      </c>
    </row>
    <row r="494">
      <c r="A494">
        <f>IF($X494="","",INDEX(합계표[사번],$X494)&amp;"")</f>
        <v/>
      </c>
      <c r="B494">
        <f>IF($X494="","",INDEX(합계표[성명],$X494)&amp;"")</f>
        <v/>
      </c>
      <c r="C494">
        <f>IF($X494="","",INDEX(합계표[부서],$X494)&amp;"")</f>
        <v/>
      </c>
      <c r="D494">
        <f>IF($X494="","",INDEX(합계표[직위(요약)],$X494)&amp;"")</f>
        <v/>
      </c>
      <c r="E494">
        <f>IF($X494="","",INDEX(합계표[직급 공존],$X494)&amp;"")</f>
        <v/>
      </c>
      <c r="F494" s="20">
        <f>IF($X494="","",SUMIFS(합계표[시스템 합계],합계표[사번키],INDEX(합계표[사번키],$X494)))</f>
        <v/>
      </c>
      <c r="G494" s="20">
        <f>IF($X494="","",SUMIFS(상세표[기록 시간외],상세표[사번키],INDEX(합계표[사번키],$X494),상세표[기록월],대상월키))</f>
        <v/>
      </c>
      <c r="H494">
        <f>IF($X494="","",IF(ABS($F494-$G494)&lt;0.01,"일치","불일치(차이 "&amp;TEXT($G494-$F494,"0.00")&amp;")"))</f>
        <v/>
      </c>
      <c r="I494" s="20">
        <f>IF($X494="","",SUMIFS(상세표[기록 시간외],상세표[사번키],INDEX(합계표[사번키],$X494),상세표[기록월],대상월키,상세표[반영월],"&lt;&gt;"&amp;대상월키))</f>
        <v/>
      </c>
      <c r="J494" s="20">
        <f>IF($X494="","",SUMIFS(상세표[기록 시간외],상세표[사번키],INDEX(합계표[사번키],$X494),상세표[기록월],"&lt;&gt;"&amp;대상월키,상세표[반영월],대상월키))</f>
        <v/>
      </c>
      <c r="K494" s="20">
        <f>IF($X494="","",SUMIFS(상세표[기록 시간외],상세표[사번키],INDEX(합계표[사번키],$X494),상세표[반영월],대상월키))</f>
        <v/>
      </c>
      <c r="L494">
        <f>IF($X494="","",IFERROR(INDEX(월별근무지표[적용 급여병원],MATCH(INDEX(합계표[사번키],$X494)&amp;"|"&amp;대상월키,월별근무지표[키],0))&amp;"",IF(COUNTIF(기관표[사번키],INDEX(합계표[사번키],$X494))+COUNTIF(월별근무지표[사번키],INDEX(합계표[사번키],$X494))&gt;0,IFERROR(INDEX(기관표[급여지급병원(기준월)],MATCH(INDEX(합계표[사번키],$X494)&amp;"|"&amp;대상월키,기관표[키],0))&amp;"","—"),"—")))</f>
        <v/>
      </c>
      <c r="M494">
        <f>IF($X494="","",IF(NOT(COUNTIF(기관표[사번키],INDEX(합계표[사번키],$X494))+COUNTIF(월별근무지표[사번키],INDEX(합계표[사번키],$X494))&gt;0),"기관명단에 없음(다른 병원으로 발송)",IF($L494="서울병원","해당",IF(N($R494)&gt;0,"해당(말일 근무)",IF($L494="—","대상월 기관명단 없음(추가 필요)","비해당")))))</f>
        <v/>
      </c>
      <c r="N494" s="20">
        <f>IF($X494="","",SUMIFS(상세표[06~07시],상세표[사번키],INDEX(합계표[사번키],$X494),상세표[반영월],대상월키,상세표[반영 기관],"서울병원"))</f>
        <v/>
      </c>
      <c r="O494" s="20">
        <f>IF($X494="","",SUMIFS(상세표[07~18시],상세표[사번키],INDEX(합계표[사번키],$X494),상세표[반영월],대상월키,상세표[반영 기관],"서울병원"))</f>
        <v/>
      </c>
      <c r="P494" s="20">
        <f>IF($X494="","",SUMIFS(상세표[18~22시],상세표[사번키],INDEX(합계표[사번키],$X494),상세표[반영월],대상월키,상세표[반영 기관],"서울병원"))</f>
        <v/>
      </c>
      <c r="Q494" s="20">
        <f>IF($X494="","",SUMIFS(상세표[22~06시],상세표[사번키],INDEX(합계표[사번키],$X494),상세표[반영월],대상월키,상세표[반영 기관],"서울병원"))</f>
        <v/>
      </c>
      <c r="R494" s="20">
        <f>IF($X494="","",SUM($N494:$Q494))</f>
        <v/>
      </c>
      <c r="S494">
        <f>IF($X494="","",COUNTIFS(상세표[사번키],INDEX(합계표[사번키],$X494),상세표[반영월],대상월키,상세표[야간당직],1,상세표[야간 구분],"평일"))</f>
        <v/>
      </c>
      <c r="T494">
        <f>IF($X494="","",COUNTIFS(상세표[사번키],INDEX(합계표[사번키],$X494),상세표[반영월],대상월키,상세표[야간당직],1,상세표[야간 구분],"휴일"))</f>
        <v/>
      </c>
      <c r="U494">
        <f>IF($X494="","",COUNTIFS(상세표[사번키],INDEX(합계표[사번키],$X494),상세표[반영월],대상월키,상세표[야간당직],1,상세표[야간 구분],"평일",상세표[반영 기관],"서울병원"))</f>
        <v/>
      </c>
      <c r="V494">
        <f>IF($X494="","",COUNTIFS(상세표[사번키],INDEX(합계표[사번키],$X494),상세표[반영월],대상월키,상세표[야간당직],1,상세표[야간 구분],"휴일",상세표[반영 기관],"서울병원"))</f>
        <v/>
      </c>
      <c r="W494">
        <f>IF($X494="","",IF(ISNUMBER(MATCH(INDEX(합계표[사번키],$X494)&amp;"|"&amp;대상월키,월별근무지표[키],0)),"직접 입력",IF($L494="—","—","기관명단")))</f>
        <v/>
      </c>
      <c r="X494" s="4">
        <f>IFERROR(MATCH(489,합계표[판정순번],0),"")</f>
        <v/>
      </c>
    </row>
    <row r="495">
      <c r="A495">
        <f>IF($X495="","",INDEX(합계표[사번],$X495)&amp;"")</f>
        <v/>
      </c>
      <c r="B495">
        <f>IF($X495="","",INDEX(합계표[성명],$X495)&amp;"")</f>
        <v/>
      </c>
      <c r="C495">
        <f>IF($X495="","",INDEX(합계표[부서],$X495)&amp;"")</f>
        <v/>
      </c>
      <c r="D495">
        <f>IF($X495="","",INDEX(합계표[직위(요약)],$X495)&amp;"")</f>
        <v/>
      </c>
      <c r="E495">
        <f>IF($X495="","",INDEX(합계표[직급 공존],$X495)&amp;"")</f>
        <v/>
      </c>
      <c r="F495" s="20">
        <f>IF($X495="","",SUMIFS(합계표[시스템 합계],합계표[사번키],INDEX(합계표[사번키],$X495)))</f>
        <v/>
      </c>
      <c r="G495" s="20">
        <f>IF($X495="","",SUMIFS(상세표[기록 시간외],상세표[사번키],INDEX(합계표[사번키],$X495),상세표[기록월],대상월키))</f>
        <v/>
      </c>
      <c r="H495">
        <f>IF($X495="","",IF(ABS($F495-$G495)&lt;0.01,"일치","불일치(차이 "&amp;TEXT($G495-$F495,"0.00")&amp;")"))</f>
        <v/>
      </c>
      <c r="I495" s="20">
        <f>IF($X495="","",SUMIFS(상세표[기록 시간외],상세표[사번키],INDEX(합계표[사번키],$X495),상세표[기록월],대상월키,상세표[반영월],"&lt;&gt;"&amp;대상월키))</f>
        <v/>
      </c>
      <c r="J495" s="20">
        <f>IF($X495="","",SUMIFS(상세표[기록 시간외],상세표[사번키],INDEX(합계표[사번키],$X495),상세표[기록월],"&lt;&gt;"&amp;대상월키,상세표[반영월],대상월키))</f>
        <v/>
      </c>
      <c r="K495" s="20">
        <f>IF($X495="","",SUMIFS(상세표[기록 시간외],상세표[사번키],INDEX(합계표[사번키],$X495),상세표[반영월],대상월키))</f>
        <v/>
      </c>
      <c r="L495">
        <f>IF($X495="","",IFERROR(INDEX(월별근무지표[적용 급여병원],MATCH(INDEX(합계표[사번키],$X495)&amp;"|"&amp;대상월키,월별근무지표[키],0))&amp;"",IF(COUNTIF(기관표[사번키],INDEX(합계표[사번키],$X495))+COUNTIF(월별근무지표[사번키],INDEX(합계표[사번키],$X495))&gt;0,IFERROR(INDEX(기관표[급여지급병원(기준월)],MATCH(INDEX(합계표[사번키],$X495)&amp;"|"&amp;대상월키,기관표[키],0))&amp;"","—"),"—")))</f>
        <v/>
      </c>
      <c r="M495">
        <f>IF($X495="","",IF(NOT(COUNTIF(기관표[사번키],INDEX(합계표[사번키],$X495))+COUNTIF(월별근무지표[사번키],INDEX(합계표[사번키],$X495))&gt;0),"기관명단에 없음(다른 병원으로 발송)",IF($L495="서울병원","해당",IF(N($R495)&gt;0,"해당(말일 근무)",IF($L495="—","대상월 기관명단 없음(추가 필요)","비해당")))))</f>
        <v/>
      </c>
      <c r="N495" s="20">
        <f>IF($X495="","",SUMIFS(상세표[06~07시],상세표[사번키],INDEX(합계표[사번키],$X495),상세표[반영월],대상월키,상세표[반영 기관],"서울병원"))</f>
        <v/>
      </c>
      <c r="O495" s="20">
        <f>IF($X495="","",SUMIFS(상세표[07~18시],상세표[사번키],INDEX(합계표[사번키],$X495),상세표[반영월],대상월키,상세표[반영 기관],"서울병원"))</f>
        <v/>
      </c>
      <c r="P495" s="20">
        <f>IF($X495="","",SUMIFS(상세표[18~22시],상세표[사번키],INDEX(합계표[사번키],$X495),상세표[반영월],대상월키,상세표[반영 기관],"서울병원"))</f>
        <v/>
      </c>
      <c r="Q495" s="20">
        <f>IF($X495="","",SUMIFS(상세표[22~06시],상세표[사번키],INDEX(합계표[사번키],$X495),상세표[반영월],대상월키,상세표[반영 기관],"서울병원"))</f>
        <v/>
      </c>
      <c r="R495" s="20">
        <f>IF($X495="","",SUM($N495:$Q495))</f>
        <v/>
      </c>
      <c r="S495">
        <f>IF($X495="","",COUNTIFS(상세표[사번키],INDEX(합계표[사번키],$X495),상세표[반영월],대상월키,상세표[야간당직],1,상세표[야간 구분],"평일"))</f>
        <v/>
      </c>
      <c r="T495">
        <f>IF($X495="","",COUNTIFS(상세표[사번키],INDEX(합계표[사번키],$X495),상세표[반영월],대상월키,상세표[야간당직],1,상세표[야간 구분],"휴일"))</f>
        <v/>
      </c>
      <c r="U495">
        <f>IF($X495="","",COUNTIFS(상세표[사번키],INDEX(합계표[사번키],$X495),상세표[반영월],대상월키,상세표[야간당직],1,상세표[야간 구분],"평일",상세표[반영 기관],"서울병원"))</f>
        <v/>
      </c>
      <c r="V495">
        <f>IF($X495="","",COUNTIFS(상세표[사번키],INDEX(합계표[사번키],$X495),상세표[반영월],대상월키,상세표[야간당직],1,상세표[야간 구분],"휴일",상세표[반영 기관],"서울병원"))</f>
        <v/>
      </c>
      <c r="W495">
        <f>IF($X495="","",IF(ISNUMBER(MATCH(INDEX(합계표[사번키],$X495)&amp;"|"&amp;대상월키,월별근무지표[키],0)),"직접 입력",IF($L495="—","—","기관명단")))</f>
        <v/>
      </c>
      <c r="X495" s="4">
        <f>IFERROR(MATCH(490,합계표[판정순번],0),"")</f>
        <v/>
      </c>
    </row>
    <row r="496">
      <c r="A496">
        <f>IF($X496="","",INDEX(합계표[사번],$X496)&amp;"")</f>
        <v/>
      </c>
      <c r="B496">
        <f>IF($X496="","",INDEX(합계표[성명],$X496)&amp;"")</f>
        <v/>
      </c>
      <c r="C496">
        <f>IF($X496="","",INDEX(합계표[부서],$X496)&amp;"")</f>
        <v/>
      </c>
      <c r="D496">
        <f>IF($X496="","",INDEX(합계표[직위(요약)],$X496)&amp;"")</f>
        <v/>
      </c>
      <c r="E496">
        <f>IF($X496="","",INDEX(합계표[직급 공존],$X496)&amp;"")</f>
        <v/>
      </c>
      <c r="F496" s="20">
        <f>IF($X496="","",SUMIFS(합계표[시스템 합계],합계표[사번키],INDEX(합계표[사번키],$X496)))</f>
        <v/>
      </c>
      <c r="G496" s="20">
        <f>IF($X496="","",SUMIFS(상세표[기록 시간외],상세표[사번키],INDEX(합계표[사번키],$X496),상세표[기록월],대상월키))</f>
        <v/>
      </c>
      <c r="H496">
        <f>IF($X496="","",IF(ABS($F496-$G496)&lt;0.01,"일치","불일치(차이 "&amp;TEXT($G496-$F496,"0.00")&amp;")"))</f>
        <v/>
      </c>
      <c r="I496" s="20">
        <f>IF($X496="","",SUMIFS(상세표[기록 시간외],상세표[사번키],INDEX(합계표[사번키],$X496),상세표[기록월],대상월키,상세표[반영월],"&lt;&gt;"&amp;대상월키))</f>
        <v/>
      </c>
      <c r="J496" s="20">
        <f>IF($X496="","",SUMIFS(상세표[기록 시간외],상세표[사번키],INDEX(합계표[사번키],$X496),상세표[기록월],"&lt;&gt;"&amp;대상월키,상세표[반영월],대상월키))</f>
        <v/>
      </c>
      <c r="K496" s="20">
        <f>IF($X496="","",SUMIFS(상세표[기록 시간외],상세표[사번키],INDEX(합계표[사번키],$X496),상세표[반영월],대상월키))</f>
        <v/>
      </c>
      <c r="L496">
        <f>IF($X496="","",IFERROR(INDEX(월별근무지표[적용 급여병원],MATCH(INDEX(합계표[사번키],$X496)&amp;"|"&amp;대상월키,월별근무지표[키],0))&amp;"",IF(COUNTIF(기관표[사번키],INDEX(합계표[사번키],$X496))+COUNTIF(월별근무지표[사번키],INDEX(합계표[사번키],$X496))&gt;0,IFERROR(INDEX(기관표[급여지급병원(기준월)],MATCH(INDEX(합계표[사번키],$X496)&amp;"|"&amp;대상월키,기관표[키],0))&amp;"","—"),"—")))</f>
        <v/>
      </c>
      <c r="M496">
        <f>IF($X496="","",IF(NOT(COUNTIF(기관표[사번키],INDEX(합계표[사번키],$X496))+COUNTIF(월별근무지표[사번키],INDEX(합계표[사번키],$X496))&gt;0),"기관명단에 없음(다른 병원으로 발송)",IF($L496="서울병원","해당",IF(N($R496)&gt;0,"해당(말일 근무)",IF($L496="—","대상월 기관명단 없음(추가 필요)","비해당")))))</f>
        <v/>
      </c>
      <c r="N496" s="20">
        <f>IF($X496="","",SUMIFS(상세표[06~07시],상세표[사번키],INDEX(합계표[사번키],$X496),상세표[반영월],대상월키,상세표[반영 기관],"서울병원"))</f>
        <v/>
      </c>
      <c r="O496" s="20">
        <f>IF($X496="","",SUMIFS(상세표[07~18시],상세표[사번키],INDEX(합계표[사번키],$X496),상세표[반영월],대상월키,상세표[반영 기관],"서울병원"))</f>
        <v/>
      </c>
      <c r="P496" s="20">
        <f>IF($X496="","",SUMIFS(상세표[18~22시],상세표[사번키],INDEX(합계표[사번키],$X496),상세표[반영월],대상월키,상세표[반영 기관],"서울병원"))</f>
        <v/>
      </c>
      <c r="Q496" s="20">
        <f>IF($X496="","",SUMIFS(상세표[22~06시],상세표[사번키],INDEX(합계표[사번키],$X496),상세표[반영월],대상월키,상세표[반영 기관],"서울병원"))</f>
        <v/>
      </c>
      <c r="R496" s="20">
        <f>IF($X496="","",SUM($N496:$Q496))</f>
        <v/>
      </c>
      <c r="S496">
        <f>IF($X496="","",COUNTIFS(상세표[사번키],INDEX(합계표[사번키],$X496),상세표[반영월],대상월키,상세표[야간당직],1,상세표[야간 구분],"평일"))</f>
        <v/>
      </c>
      <c r="T496">
        <f>IF($X496="","",COUNTIFS(상세표[사번키],INDEX(합계표[사번키],$X496),상세표[반영월],대상월키,상세표[야간당직],1,상세표[야간 구분],"휴일"))</f>
        <v/>
      </c>
      <c r="U496">
        <f>IF($X496="","",COUNTIFS(상세표[사번키],INDEX(합계표[사번키],$X496),상세표[반영월],대상월키,상세표[야간당직],1,상세표[야간 구분],"평일",상세표[반영 기관],"서울병원"))</f>
        <v/>
      </c>
      <c r="V496">
        <f>IF($X496="","",COUNTIFS(상세표[사번키],INDEX(합계표[사번키],$X496),상세표[반영월],대상월키,상세표[야간당직],1,상세표[야간 구분],"휴일",상세표[반영 기관],"서울병원"))</f>
        <v/>
      </c>
      <c r="W496">
        <f>IF($X496="","",IF(ISNUMBER(MATCH(INDEX(합계표[사번키],$X496)&amp;"|"&amp;대상월키,월별근무지표[키],0)),"직접 입력",IF($L496="—","—","기관명단")))</f>
        <v/>
      </c>
      <c r="X496" s="4">
        <f>IFERROR(MATCH(491,합계표[판정순번],0),"")</f>
        <v/>
      </c>
    </row>
    <row r="497">
      <c r="A497">
        <f>IF($X497="","",INDEX(합계표[사번],$X497)&amp;"")</f>
        <v/>
      </c>
      <c r="B497">
        <f>IF($X497="","",INDEX(합계표[성명],$X497)&amp;"")</f>
        <v/>
      </c>
      <c r="C497">
        <f>IF($X497="","",INDEX(합계표[부서],$X497)&amp;"")</f>
        <v/>
      </c>
      <c r="D497">
        <f>IF($X497="","",INDEX(합계표[직위(요약)],$X497)&amp;"")</f>
        <v/>
      </c>
      <c r="E497">
        <f>IF($X497="","",INDEX(합계표[직급 공존],$X497)&amp;"")</f>
        <v/>
      </c>
      <c r="F497" s="20">
        <f>IF($X497="","",SUMIFS(합계표[시스템 합계],합계표[사번키],INDEX(합계표[사번키],$X497)))</f>
        <v/>
      </c>
      <c r="G497" s="20">
        <f>IF($X497="","",SUMIFS(상세표[기록 시간외],상세표[사번키],INDEX(합계표[사번키],$X497),상세표[기록월],대상월키))</f>
        <v/>
      </c>
      <c r="H497">
        <f>IF($X497="","",IF(ABS($F497-$G497)&lt;0.01,"일치","불일치(차이 "&amp;TEXT($G497-$F497,"0.00")&amp;")"))</f>
        <v/>
      </c>
      <c r="I497" s="20">
        <f>IF($X497="","",SUMIFS(상세표[기록 시간외],상세표[사번키],INDEX(합계표[사번키],$X497),상세표[기록월],대상월키,상세표[반영월],"&lt;&gt;"&amp;대상월키))</f>
        <v/>
      </c>
      <c r="J497" s="20">
        <f>IF($X497="","",SUMIFS(상세표[기록 시간외],상세표[사번키],INDEX(합계표[사번키],$X497),상세표[기록월],"&lt;&gt;"&amp;대상월키,상세표[반영월],대상월키))</f>
        <v/>
      </c>
      <c r="K497" s="20">
        <f>IF($X497="","",SUMIFS(상세표[기록 시간외],상세표[사번키],INDEX(합계표[사번키],$X497),상세표[반영월],대상월키))</f>
        <v/>
      </c>
      <c r="L497">
        <f>IF($X497="","",IFERROR(INDEX(월별근무지표[적용 급여병원],MATCH(INDEX(합계표[사번키],$X497)&amp;"|"&amp;대상월키,월별근무지표[키],0))&amp;"",IF(COUNTIF(기관표[사번키],INDEX(합계표[사번키],$X497))+COUNTIF(월별근무지표[사번키],INDEX(합계표[사번키],$X497))&gt;0,IFERROR(INDEX(기관표[급여지급병원(기준월)],MATCH(INDEX(합계표[사번키],$X497)&amp;"|"&amp;대상월키,기관표[키],0))&amp;"","—"),"—")))</f>
        <v/>
      </c>
      <c r="M497">
        <f>IF($X497="","",IF(NOT(COUNTIF(기관표[사번키],INDEX(합계표[사번키],$X497))+COUNTIF(월별근무지표[사번키],INDEX(합계표[사번키],$X497))&gt;0),"기관명단에 없음(다른 병원으로 발송)",IF($L497="서울병원","해당",IF(N($R497)&gt;0,"해당(말일 근무)",IF($L497="—","대상월 기관명단 없음(추가 필요)","비해당")))))</f>
        <v/>
      </c>
      <c r="N497" s="20">
        <f>IF($X497="","",SUMIFS(상세표[06~07시],상세표[사번키],INDEX(합계표[사번키],$X497),상세표[반영월],대상월키,상세표[반영 기관],"서울병원"))</f>
        <v/>
      </c>
      <c r="O497" s="20">
        <f>IF($X497="","",SUMIFS(상세표[07~18시],상세표[사번키],INDEX(합계표[사번키],$X497),상세표[반영월],대상월키,상세표[반영 기관],"서울병원"))</f>
        <v/>
      </c>
      <c r="P497" s="20">
        <f>IF($X497="","",SUMIFS(상세표[18~22시],상세표[사번키],INDEX(합계표[사번키],$X497),상세표[반영월],대상월키,상세표[반영 기관],"서울병원"))</f>
        <v/>
      </c>
      <c r="Q497" s="20">
        <f>IF($X497="","",SUMIFS(상세표[22~06시],상세표[사번키],INDEX(합계표[사번키],$X497),상세표[반영월],대상월키,상세표[반영 기관],"서울병원"))</f>
        <v/>
      </c>
      <c r="R497" s="20">
        <f>IF($X497="","",SUM($N497:$Q497))</f>
        <v/>
      </c>
      <c r="S497">
        <f>IF($X497="","",COUNTIFS(상세표[사번키],INDEX(합계표[사번키],$X497),상세표[반영월],대상월키,상세표[야간당직],1,상세표[야간 구분],"평일"))</f>
        <v/>
      </c>
      <c r="T497">
        <f>IF($X497="","",COUNTIFS(상세표[사번키],INDEX(합계표[사번키],$X497),상세표[반영월],대상월키,상세표[야간당직],1,상세표[야간 구분],"휴일"))</f>
        <v/>
      </c>
      <c r="U497">
        <f>IF($X497="","",COUNTIFS(상세표[사번키],INDEX(합계표[사번키],$X497),상세표[반영월],대상월키,상세표[야간당직],1,상세표[야간 구분],"평일",상세표[반영 기관],"서울병원"))</f>
        <v/>
      </c>
      <c r="V497">
        <f>IF($X497="","",COUNTIFS(상세표[사번키],INDEX(합계표[사번키],$X497),상세표[반영월],대상월키,상세표[야간당직],1,상세표[야간 구분],"휴일",상세표[반영 기관],"서울병원"))</f>
        <v/>
      </c>
      <c r="W497">
        <f>IF($X497="","",IF(ISNUMBER(MATCH(INDEX(합계표[사번키],$X497)&amp;"|"&amp;대상월키,월별근무지표[키],0)),"직접 입력",IF($L497="—","—","기관명단")))</f>
        <v/>
      </c>
      <c r="X497" s="4">
        <f>IFERROR(MATCH(492,합계표[판정순번],0),"")</f>
        <v/>
      </c>
    </row>
    <row r="498">
      <c r="A498">
        <f>IF($X498="","",INDEX(합계표[사번],$X498)&amp;"")</f>
        <v/>
      </c>
      <c r="B498">
        <f>IF($X498="","",INDEX(합계표[성명],$X498)&amp;"")</f>
        <v/>
      </c>
      <c r="C498">
        <f>IF($X498="","",INDEX(합계표[부서],$X498)&amp;"")</f>
        <v/>
      </c>
      <c r="D498">
        <f>IF($X498="","",INDEX(합계표[직위(요약)],$X498)&amp;"")</f>
        <v/>
      </c>
      <c r="E498">
        <f>IF($X498="","",INDEX(합계표[직급 공존],$X498)&amp;"")</f>
        <v/>
      </c>
      <c r="F498" s="20">
        <f>IF($X498="","",SUMIFS(합계표[시스템 합계],합계표[사번키],INDEX(합계표[사번키],$X498)))</f>
        <v/>
      </c>
      <c r="G498" s="20">
        <f>IF($X498="","",SUMIFS(상세표[기록 시간외],상세표[사번키],INDEX(합계표[사번키],$X498),상세표[기록월],대상월키))</f>
        <v/>
      </c>
      <c r="H498">
        <f>IF($X498="","",IF(ABS($F498-$G498)&lt;0.01,"일치","불일치(차이 "&amp;TEXT($G498-$F498,"0.00")&amp;")"))</f>
        <v/>
      </c>
      <c r="I498" s="20">
        <f>IF($X498="","",SUMIFS(상세표[기록 시간외],상세표[사번키],INDEX(합계표[사번키],$X498),상세표[기록월],대상월키,상세표[반영월],"&lt;&gt;"&amp;대상월키))</f>
        <v/>
      </c>
      <c r="J498" s="20">
        <f>IF($X498="","",SUMIFS(상세표[기록 시간외],상세표[사번키],INDEX(합계표[사번키],$X498),상세표[기록월],"&lt;&gt;"&amp;대상월키,상세표[반영월],대상월키))</f>
        <v/>
      </c>
      <c r="K498" s="20">
        <f>IF($X498="","",SUMIFS(상세표[기록 시간외],상세표[사번키],INDEX(합계표[사번키],$X498),상세표[반영월],대상월키))</f>
        <v/>
      </c>
      <c r="L498">
        <f>IF($X498="","",IFERROR(INDEX(월별근무지표[적용 급여병원],MATCH(INDEX(합계표[사번키],$X498)&amp;"|"&amp;대상월키,월별근무지표[키],0))&amp;"",IF(COUNTIF(기관표[사번키],INDEX(합계표[사번키],$X498))+COUNTIF(월별근무지표[사번키],INDEX(합계표[사번키],$X498))&gt;0,IFERROR(INDEX(기관표[급여지급병원(기준월)],MATCH(INDEX(합계표[사번키],$X498)&amp;"|"&amp;대상월키,기관표[키],0))&amp;"","—"),"—")))</f>
        <v/>
      </c>
      <c r="M498">
        <f>IF($X498="","",IF(NOT(COUNTIF(기관표[사번키],INDEX(합계표[사번키],$X498))+COUNTIF(월별근무지표[사번키],INDEX(합계표[사번키],$X498))&gt;0),"기관명단에 없음(다른 병원으로 발송)",IF($L498="서울병원","해당",IF(N($R498)&gt;0,"해당(말일 근무)",IF($L498="—","대상월 기관명단 없음(추가 필요)","비해당")))))</f>
        <v/>
      </c>
      <c r="N498" s="20">
        <f>IF($X498="","",SUMIFS(상세표[06~07시],상세표[사번키],INDEX(합계표[사번키],$X498),상세표[반영월],대상월키,상세표[반영 기관],"서울병원"))</f>
        <v/>
      </c>
      <c r="O498" s="20">
        <f>IF($X498="","",SUMIFS(상세표[07~18시],상세표[사번키],INDEX(합계표[사번키],$X498),상세표[반영월],대상월키,상세표[반영 기관],"서울병원"))</f>
        <v/>
      </c>
      <c r="P498" s="20">
        <f>IF($X498="","",SUMIFS(상세표[18~22시],상세표[사번키],INDEX(합계표[사번키],$X498),상세표[반영월],대상월키,상세표[반영 기관],"서울병원"))</f>
        <v/>
      </c>
      <c r="Q498" s="20">
        <f>IF($X498="","",SUMIFS(상세표[22~06시],상세표[사번키],INDEX(합계표[사번키],$X498),상세표[반영월],대상월키,상세표[반영 기관],"서울병원"))</f>
        <v/>
      </c>
      <c r="R498" s="20">
        <f>IF($X498="","",SUM($N498:$Q498))</f>
        <v/>
      </c>
      <c r="S498">
        <f>IF($X498="","",COUNTIFS(상세표[사번키],INDEX(합계표[사번키],$X498),상세표[반영월],대상월키,상세표[야간당직],1,상세표[야간 구분],"평일"))</f>
        <v/>
      </c>
      <c r="T498">
        <f>IF($X498="","",COUNTIFS(상세표[사번키],INDEX(합계표[사번키],$X498),상세표[반영월],대상월키,상세표[야간당직],1,상세표[야간 구분],"휴일"))</f>
        <v/>
      </c>
      <c r="U498">
        <f>IF($X498="","",COUNTIFS(상세표[사번키],INDEX(합계표[사번키],$X498),상세표[반영월],대상월키,상세표[야간당직],1,상세표[야간 구분],"평일",상세표[반영 기관],"서울병원"))</f>
        <v/>
      </c>
      <c r="V498">
        <f>IF($X498="","",COUNTIFS(상세표[사번키],INDEX(합계표[사번키],$X498),상세표[반영월],대상월키,상세표[야간당직],1,상세표[야간 구분],"휴일",상세표[반영 기관],"서울병원"))</f>
        <v/>
      </c>
      <c r="W498">
        <f>IF($X498="","",IF(ISNUMBER(MATCH(INDEX(합계표[사번키],$X498)&amp;"|"&amp;대상월키,월별근무지표[키],0)),"직접 입력",IF($L498="—","—","기관명단")))</f>
        <v/>
      </c>
      <c r="X498" s="4">
        <f>IFERROR(MATCH(493,합계표[판정순번],0),"")</f>
        <v/>
      </c>
    </row>
    <row r="499">
      <c r="A499">
        <f>IF($X499="","",INDEX(합계표[사번],$X499)&amp;"")</f>
        <v/>
      </c>
      <c r="B499">
        <f>IF($X499="","",INDEX(합계표[성명],$X499)&amp;"")</f>
        <v/>
      </c>
      <c r="C499">
        <f>IF($X499="","",INDEX(합계표[부서],$X499)&amp;"")</f>
        <v/>
      </c>
      <c r="D499">
        <f>IF($X499="","",INDEX(합계표[직위(요약)],$X499)&amp;"")</f>
        <v/>
      </c>
      <c r="E499">
        <f>IF($X499="","",INDEX(합계표[직급 공존],$X499)&amp;"")</f>
        <v/>
      </c>
      <c r="F499" s="20">
        <f>IF($X499="","",SUMIFS(합계표[시스템 합계],합계표[사번키],INDEX(합계표[사번키],$X499)))</f>
        <v/>
      </c>
      <c r="G499" s="20">
        <f>IF($X499="","",SUMIFS(상세표[기록 시간외],상세표[사번키],INDEX(합계표[사번키],$X499),상세표[기록월],대상월키))</f>
        <v/>
      </c>
      <c r="H499">
        <f>IF($X499="","",IF(ABS($F499-$G499)&lt;0.01,"일치","불일치(차이 "&amp;TEXT($G499-$F499,"0.00")&amp;")"))</f>
        <v/>
      </c>
      <c r="I499" s="20">
        <f>IF($X499="","",SUMIFS(상세표[기록 시간외],상세표[사번키],INDEX(합계표[사번키],$X499),상세표[기록월],대상월키,상세표[반영월],"&lt;&gt;"&amp;대상월키))</f>
        <v/>
      </c>
      <c r="J499" s="20">
        <f>IF($X499="","",SUMIFS(상세표[기록 시간외],상세표[사번키],INDEX(합계표[사번키],$X499),상세표[기록월],"&lt;&gt;"&amp;대상월키,상세표[반영월],대상월키))</f>
        <v/>
      </c>
      <c r="K499" s="20">
        <f>IF($X499="","",SUMIFS(상세표[기록 시간외],상세표[사번키],INDEX(합계표[사번키],$X499),상세표[반영월],대상월키))</f>
        <v/>
      </c>
      <c r="L499">
        <f>IF($X499="","",IFERROR(INDEX(월별근무지표[적용 급여병원],MATCH(INDEX(합계표[사번키],$X499)&amp;"|"&amp;대상월키,월별근무지표[키],0))&amp;"",IF(COUNTIF(기관표[사번키],INDEX(합계표[사번키],$X499))+COUNTIF(월별근무지표[사번키],INDEX(합계표[사번키],$X499))&gt;0,IFERROR(INDEX(기관표[급여지급병원(기준월)],MATCH(INDEX(합계표[사번키],$X499)&amp;"|"&amp;대상월키,기관표[키],0))&amp;"","—"),"—")))</f>
        <v/>
      </c>
      <c r="M499">
        <f>IF($X499="","",IF(NOT(COUNTIF(기관표[사번키],INDEX(합계표[사번키],$X499))+COUNTIF(월별근무지표[사번키],INDEX(합계표[사번키],$X499))&gt;0),"기관명단에 없음(다른 병원으로 발송)",IF($L499="서울병원","해당",IF(N($R499)&gt;0,"해당(말일 근무)",IF($L499="—","대상월 기관명단 없음(추가 필요)","비해당")))))</f>
        <v/>
      </c>
      <c r="N499" s="20">
        <f>IF($X499="","",SUMIFS(상세표[06~07시],상세표[사번키],INDEX(합계표[사번키],$X499),상세표[반영월],대상월키,상세표[반영 기관],"서울병원"))</f>
        <v/>
      </c>
      <c r="O499" s="20">
        <f>IF($X499="","",SUMIFS(상세표[07~18시],상세표[사번키],INDEX(합계표[사번키],$X499),상세표[반영월],대상월키,상세표[반영 기관],"서울병원"))</f>
        <v/>
      </c>
      <c r="P499" s="20">
        <f>IF($X499="","",SUMIFS(상세표[18~22시],상세표[사번키],INDEX(합계표[사번키],$X499),상세표[반영월],대상월키,상세표[반영 기관],"서울병원"))</f>
        <v/>
      </c>
      <c r="Q499" s="20">
        <f>IF($X499="","",SUMIFS(상세표[22~06시],상세표[사번키],INDEX(합계표[사번키],$X499),상세표[반영월],대상월키,상세표[반영 기관],"서울병원"))</f>
        <v/>
      </c>
      <c r="R499" s="20">
        <f>IF($X499="","",SUM($N499:$Q499))</f>
        <v/>
      </c>
      <c r="S499">
        <f>IF($X499="","",COUNTIFS(상세표[사번키],INDEX(합계표[사번키],$X499),상세표[반영월],대상월키,상세표[야간당직],1,상세표[야간 구분],"평일"))</f>
        <v/>
      </c>
      <c r="T499">
        <f>IF($X499="","",COUNTIFS(상세표[사번키],INDEX(합계표[사번키],$X499),상세표[반영월],대상월키,상세표[야간당직],1,상세표[야간 구분],"휴일"))</f>
        <v/>
      </c>
      <c r="U499">
        <f>IF($X499="","",COUNTIFS(상세표[사번키],INDEX(합계표[사번키],$X499),상세표[반영월],대상월키,상세표[야간당직],1,상세표[야간 구분],"평일",상세표[반영 기관],"서울병원"))</f>
        <v/>
      </c>
      <c r="V499">
        <f>IF($X499="","",COUNTIFS(상세표[사번키],INDEX(합계표[사번키],$X499),상세표[반영월],대상월키,상세표[야간당직],1,상세표[야간 구분],"휴일",상세표[반영 기관],"서울병원"))</f>
        <v/>
      </c>
      <c r="W499">
        <f>IF($X499="","",IF(ISNUMBER(MATCH(INDEX(합계표[사번키],$X499)&amp;"|"&amp;대상월키,월별근무지표[키],0)),"직접 입력",IF($L499="—","—","기관명단")))</f>
        <v/>
      </c>
      <c r="X499" s="4">
        <f>IFERROR(MATCH(494,합계표[판정순번],0),"")</f>
        <v/>
      </c>
    </row>
    <row r="500">
      <c r="A500">
        <f>IF($X500="","",INDEX(합계표[사번],$X500)&amp;"")</f>
        <v/>
      </c>
      <c r="B500">
        <f>IF($X500="","",INDEX(합계표[성명],$X500)&amp;"")</f>
        <v/>
      </c>
      <c r="C500">
        <f>IF($X500="","",INDEX(합계표[부서],$X500)&amp;"")</f>
        <v/>
      </c>
      <c r="D500">
        <f>IF($X500="","",INDEX(합계표[직위(요약)],$X500)&amp;"")</f>
        <v/>
      </c>
      <c r="E500">
        <f>IF($X500="","",INDEX(합계표[직급 공존],$X500)&amp;"")</f>
        <v/>
      </c>
      <c r="F500" s="20">
        <f>IF($X500="","",SUMIFS(합계표[시스템 합계],합계표[사번키],INDEX(합계표[사번키],$X500)))</f>
        <v/>
      </c>
      <c r="G500" s="20">
        <f>IF($X500="","",SUMIFS(상세표[기록 시간외],상세표[사번키],INDEX(합계표[사번키],$X500),상세표[기록월],대상월키))</f>
        <v/>
      </c>
      <c r="H500">
        <f>IF($X500="","",IF(ABS($F500-$G500)&lt;0.01,"일치","불일치(차이 "&amp;TEXT($G500-$F500,"0.00")&amp;")"))</f>
        <v/>
      </c>
      <c r="I500" s="20">
        <f>IF($X500="","",SUMIFS(상세표[기록 시간외],상세표[사번키],INDEX(합계표[사번키],$X500),상세표[기록월],대상월키,상세표[반영월],"&lt;&gt;"&amp;대상월키))</f>
        <v/>
      </c>
      <c r="J500" s="20">
        <f>IF($X500="","",SUMIFS(상세표[기록 시간외],상세표[사번키],INDEX(합계표[사번키],$X500),상세표[기록월],"&lt;&gt;"&amp;대상월키,상세표[반영월],대상월키))</f>
        <v/>
      </c>
      <c r="K500" s="20">
        <f>IF($X500="","",SUMIFS(상세표[기록 시간외],상세표[사번키],INDEX(합계표[사번키],$X500),상세표[반영월],대상월키))</f>
        <v/>
      </c>
      <c r="L500">
        <f>IF($X500="","",IFERROR(INDEX(월별근무지표[적용 급여병원],MATCH(INDEX(합계표[사번키],$X500)&amp;"|"&amp;대상월키,월별근무지표[키],0))&amp;"",IF(COUNTIF(기관표[사번키],INDEX(합계표[사번키],$X500))+COUNTIF(월별근무지표[사번키],INDEX(합계표[사번키],$X500))&gt;0,IFERROR(INDEX(기관표[급여지급병원(기준월)],MATCH(INDEX(합계표[사번키],$X500)&amp;"|"&amp;대상월키,기관표[키],0))&amp;"","—"),"—")))</f>
        <v/>
      </c>
      <c r="M500">
        <f>IF($X500="","",IF(NOT(COUNTIF(기관표[사번키],INDEX(합계표[사번키],$X500))+COUNTIF(월별근무지표[사번키],INDEX(합계표[사번키],$X500))&gt;0),"기관명단에 없음(다른 병원으로 발송)",IF($L500="서울병원","해당",IF(N($R500)&gt;0,"해당(말일 근무)",IF($L500="—","대상월 기관명단 없음(추가 필요)","비해당")))))</f>
        <v/>
      </c>
      <c r="N500" s="20">
        <f>IF($X500="","",SUMIFS(상세표[06~07시],상세표[사번키],INDEX(합계표[사번키],$X500),상세표[반영월],대상월키,상세표[반영 기관],"서울병원"))</f>
        <v/>
      </c>
      <c r="O500" s="20">
        <f>IF($X500="","",SUMIFS(상세표[07~18시],상세표[사번키],INDEX(합계표[사번키],$X500),상세표[반영월],대상월키,상세표[반영 기관],"서울병원"))</f>
        <v/>
      </c>
      <c r="P500" s="20">
        <f>IF($X500="","",SUMIFS(상세표[18~22시],상세표[사번키],INDEX(합계표[사번키],$X500),상세표[반영월],대상월키,상세표[반영 기관],"서울병원"))</f>
        <v/>
      </c>
      <c r="Q500" s="20">
        <f>IF($X500="","",SUMIFS(상세표[22~06시],상세표[사번키],INDEX(합계표[사번키],$X500),상세표[반영월],대상월키,상세표[반영 기관],"서울병원"))</f>
        <v/>
      </c>
      <c r="R500" s="20">
        <f>IF($X500="","",SUM($N500:$Q500))</f>
        <v/>
      </c>
      <c r="S500">
        <f>IF($X500="","",COUNTIFS(상세표[사번키],INDEX(합계표[사번키],$X500),상세표[반영월],대상월키,상세표[야간당직],1,상세표[야간 구분],"평일"))</f>
        <v/>
      </c>
      <c r="T500">
        <f>IF($X500="","",COUNTIFS(상세표[사번키],INDEX(합계표[사번키],$X500),상세표[반영월],대상월키,상세표[야간당직],1,상세표[야간 구분],"휴일"))</f>
        <v/>
      </c>
      <c r="U500">
        <f>IF($X500="","",COUNTIFS(상세표[사번키],INDEX(합계표[사번키],$X500),상세표[반영월],대상월키,상세표[야간당직],1,상세표[야간 구분],"평일",상세표[반영 기관],"서울병원"))</f>
        <v/>
      </c>
      <c r="V500">
        <f>IF($X500="","",COUNTIFS(상세표[사번키],INDEX(합계표[사번키],$X500),상세표[반영월],대상월키,상세표[야간당직],1,상세표[야간 구분],"휴일",상세표[반영 기관],"서울병원"))</f>
        <v/>
      </c>
      <c r="W500">
        <f>IF($X500="","",IF(ISNUMBER(MATCH(INDEX(합계표[사번키],$X500)&amp;"|"&amp;대상월키,월별근무지표[키],0)),"직접 입력",IF($L500="—","—","기관명단")))</f>
        <v/>
      </c>
      <c r="X500" s="4">
        <f>IFERROR(MATCH(495,합계표[판정순번],0),"")</f>
        <v/>
      </c>
    </row>
    <row r="501">
      <c r="A501">
        <f>IF($X501="","",INDEX(합계표[사번],$X501)&amp;"")</f>
        <v/>
      </c>
      <c r="B501">
        <f>IF($X501="","",INDEX(합계표[성명],$X501)&amp;"")</f>
        <v/>
      </c>
      <c r="C501">
        <f>IF($X501="","",INDEX(합계표[부서],$X501)&amp;"")</f>
        <v/>
      </c>
      <c r="D501">
        <f>IF($X501="","",INDEX(합계표[직위(요약)],$X501)&amp;"")</f>
        <v/>
      </c>
      <c r="E501">
        <f>IF($X501="","",INDEX(합계표[직급 공존],$X501)&amp;"")</f>
        <v/>
      </c>
      <c r="F501" s="20">
        <f>IF($X501="","",SUMIFS(합계표[시스템 합계],합계표[사번키],INDEX(합계표[사번키],$X501)))</f>
        <v/>
      </c>
      <c r="G501" s="20">
        <f>IF($X501="","",SUMIFS(상세표[기록 시간외],상세표[사번키],INDEX(합계표[사번키],$X501),상세표[기록월],대상월키))</f>
        <v/>
      </c>
      <c r="H501">
        <f>IF($X501="","",IF(ABS($F501-$G501)&lt;0.01,"일치","불일치(차이 "&amp;TEXT($G501-$F501,"0.00")&amp;")"))</f>
        <v/>
      </c>
      <c r="I501" s="20">
        <f>IF($X501="","",SUMIFS(상세표[기록 시간외],상세표[사번키],INDEX(합계표[사번키],$X501),상세표[기록월],대상월키,상세표[반영월],"&lt;&gt;"&amp;대상월키))</f>
        <v/>
      </c>
      <c r="J501" s="20">
        <f>IF($X501="","",SUMIFS(상세표[기록 시간외],상세표[사번키],INDEX(합계표[사번키],$X501),상세표[기록월],"&lt;&gt;"&amp;대상월키,상세표[반영월],대상월키))</f>
        <v/>
      </c>
      <c r="K501" s="20">
        <f>IF($X501="","",SUMIFS(상세표[기록 시간외],상세표[사번키],INDEX(합계표[사번키],$X501),상세표[반영월],대상월키))</f>
        <v/>
      </c>
      <c r="L501">
        <f>IF($X501="","",IFERROR(INDEX(월별근무지표[적용 급여병원],MATCH(INDEX(합계표[사번키],$X501)&amp;"|"&amp;대상월키,월별근무지표[키],0))&amp;"",IF(COUNTIF(기관표[사번키],INDEX(합계표[사번키],$X501))+COUNTIF(월별근무지표[사번키],INDEX(합계표[사번키],$X501))&gt;0,IFERROR(INDEX(기관표[급여지급병원(기준월)],MATCH(INDEX(합계표[사번키],$X501)&amp;"|"&amp;대상월키,기관표[키],0))&amp;"","—"),"—")))</f>
        <v/>
      </c>
      <c r="M501">
        <f>IF($X501="","",IF(NOT(COUNTIF(기관표[사번키],INDEX(합계표[사번키],$X501))+COUNTIF(월별근무지표[사번키],INDEX(합계표[사번키],$X501))&gt;0),"기관명단에 없음(다른 병원으로 발송)",IF($L501="서울병원","해당",IF(N($R501)&gt;0,"해당(말일 근무)",IF($L501="—","대상월 기관명단 없음(추가 필요)","비해당")))))</f>
        <v/>
      </c>
      <c r="N501" s="20">
        <f>IF($X501="","",SUMIFS(상세표[06~07시],상세표[사번키],INDEX(합계표[사번키],$X501),상세표[반영월],대상월키,상세표[반영 기관],"서울병원"))</f>
        <v/>
      </c>
      <c r="O501" s="20">
        <f>IF($X501="","",SUMIFS(상세표[07~18시],상세표[사번키],INDEX(합계표[사번키],$X501),상세표[반영월],대상월키,상세표[반영 기관],"서울병원"))</f>
        <v/>
      </c>
      <c r="P501" s="20">
        <f>IF($X501="","",SUMIFS(상세표[18~22시],상세표[사번키],INDEX(합계표[사번키],$X501),상세표[반영월],대상월키,상세표[반영 기관],"서울병원"))</f>
        <v/>
      </c>
      <c r="Q501" s="20">
        <f>IF($X501="","",SUMIFS(상세표[22~06시],상세표[사번키],INDEX(합계표[사번키],$X501),상세표[반영월],대상월키,상세표[반영 기관],"서울병원"))</f>
        <v/>
      </c>
      <c r="R501" s="20">
        <f>IF($X501="","",SUM($N501:$Q501))</f>
        <v/>
      </c>
      <c r="S501">
        <f>IF($X501="","",COUNTIFS(상세표[사번키],INDEX(합계표[사번키],$X501),상세표[반영월],대상월키,상세표[야간당직],1,상세표[야간 구분],"평일"))</f>
        <v/>
      </c>
      <c r="T501">
        <f>IF($X501="","",COUNTIFS(상세표[사번키],INDEX(합계표[사번키],$X501),상세표[반영월],대상월키,상세표[야간당직],1,상세표[야간 구분],"휴일"))</f>
        <v/>
      </c>
      <c r="U501">
        <f>IF($X501="","",COUNTIFS(상세표[사번키],INDEX(합계표[사번키],$X501),상세표[반영월],대상월키,상세표[야간당직],1,상세표[야간 구분],"평일",상세표[반영 기관],"서울병원"))</f>
        <v/>
      </c>
      <c r="V501">
        <f>IF($X501="","",COUNTIFS(상세표[사번키],INDEX(합계표[사번키],$X501),상세표[반영월],대상월키,상세표[야간당직],1,상세표[야간 구분],"휴일",상세표[반영 기관],"서울병원"))</f>
        <v/>
      </c>
      <c r="W501">
        <f>IF($X501="","",IF(ISNUMBER(MATCH(INDEX(합계표[사번키],$X501)&amp;"|"&amp;대상월키,월별근무지표[키],0)),"직접 입력",IF($L501="—","—","기관명단")))</f>
        <v/>
      </c>
      <c r="X501" s="4">
        <f>IFERROR(MATCH(496,합계표[판정순번],0),"")</f>
        <v/>
      </c>
    </row>
    <row r="502">
      <c r="A502">
        <f>IF($X502="","",INDEX(합계표[사번],$X502)&amp;"")</f>
        <v/>
      </c>
      <c r="B502">
        <f>IF($X502="","",INDEX(합계표[성명],$X502)&amp;"")</f>
        <v/>
      </c>
      <c r="C502">
        <f>IF($X502="","",INDEX(합계표[부서],$X502)&amp;"")</f>
        <v/>
      </c>
      <c r="D502">
        <f>IF($X502="","",INDEX(합계표[직위(요약)],$X502)&amp;"")</f>
        <v/>
      </c>
      <c r="E502">
        <f>IF($X502="","",INDEX(합계표[직급 공존],$X502)&amp;"")</f>
        <v/>
      </c>
      <c r="F502" s="20">
        <f>IF($X502="","",SUMIFS(합계표[시스템 합계],합계표[사번키],INDEX(합계표[사번키],$X502)))</f>
        <v/>
      </c>
      <c r="G502" s="20">
        <f>IF($X502="","",SUMIFS(상세표[기록 시간외],상세표[사번키],INDEX(합계표[사번키],$X502),상세표[기록월],대상월키))</f>
        <v/>
      </c>
      <c r="H502">
        <f>IF($X502="","",IF(ABS($F502-$G502)&lt;0.01,"일치","불일치(차이 "&amp;TEXT($G502-$F502,"0.00")&amp;")"))</f>
        <v/>
      </c>
      <c r="I502" s="20">
        <f>IF($X502="","",SUMIFS(상세표[기록 시간외],상세표[사번키],INDEX(합계표[사번키],$X502),상세표[기록월],대상월키,상세표[반영월],"&lt;&gt;"&amp;대상월키))</f>
        <v/>
      </c>
      <c r="J502" s="20">
        <f>IF($X502="","",SUMIFS(상세표[기록 시간외],상세표[사번키],INDEX(합계표[사번키],$X502),상세표[기록월],"&lt;&gt;"&amp;대상월키,상세표[반영월],대상월키))</f>
        <v/>
      </c>
      <c r="K502" s="20">
        <f>IF($X502="","",SUMIFS(상세표[기록 시간외],상세표[사번키],INDEX(합계표[사번키],$X502),상세표[반영월],대상월키))</f>
        <v/>
      </c>
      <c r="L502">
        <f>IF($X502="","",IFERROR(INDEX(월별근무지표[적용 급여병원],MATCH(INDEX(합계표[사번키],$X502)&amp;"|"&amp;대상월키,월별근무지표[키],0))&amp;"",IF(COUNTIF(기관표[사번키],INDEX(합계표[사번키],$X502))+COUNTIF(월별근무지표[사번키],INDEX(합계표[사번키],$X502))&gt;0,IFERROR(INDEX(기관표[급여지급병원(기준월)],MATCH(INDEX(합계표[사번키],$X502)&amp;"|"&amp;대상월키,기관표[키],0))&amp;"","—"),"—")))</f>
        <v/>
      </c>
      <c r="M502">
        <f>IF($X502="","",IF(NOT(COUNTIF(기관표[사번키],INDEX(합계표[사번키],$X502))+COUNTIF(월별근무지표[사번키],INDEX(합계표[사번키],$X502))&gt;0),"기관명단에 없음(다른 병원으로 발송)",IF($L502="서울병원","해당",IF(N($R502)&gt;0,"해당(말일 근무)",IF($L502="—","대상월 기관명단 없음(추가 필요)","비해당")))))</f>
        <v/>
      </c>
      <c r="N502" s="20">
        <f>IF($X502="","",SUMIFS(상세표[06~07시],상세표[사번키],INDEX(합계표[사번키],$X502),상세표[반영월],대상월키,상세표[반영 기관],"서울병원"))</f>
        <v/>
      </c>
      <c r="O502" s="20">
        <f>IF($X502="","",SUMIFS(상세표[07~18시],상세표[사번키],INDEX(합계표[사번키],$X502),상세표[반영월],대상월키,상세표[반영 기관],"서울병원"))</f>
        <v/>
      </c>
      <c r="P502" s="20">
        <f>IF($X502="","",SUMIFS(상세표[18~22시],상세표[사번키],INDEX(합계표[사번키],$X502),상세표[반영월],대상월키,상세표[반영 기관],"서울병원"))</f>
        <v/>
      </c>
      <c r="Q502" s="20">
        <f>IF($X502="","",SUMIFS(상세표[22~06시],상세표[사번키],INDEX(합계표[사번키],$X502),상세표[반영월],대상월키,상세표[반영 기관],"서울병원"))</f>
        <v/>
      </c>
      <c r="R502" s="20">
        <f>IF($X502="","",SUM($N502:$Q502))</f>
        <v/>
      </c>
      <c r="S502">
        <f>IF($X502="","",COUNTIFS(상세표[사번키],INDEX(합계표[사번키],$X502),상세표[반영월],대상월키,상세표[야간당직],1,상세표[야간 구분],"평일"))</f>
        <v/>
      </c>
      <c r="T502">
        <f>IF($X502="","",COUNTIFS(상세표[사번키],INDEX(합계표[사번키],$X502),상세표[반영월],대상월키,상세표[야간당직],1,상세표[야간 구분],"휴일"))</f>
        <v/>
      </c>
      <c r="U502">
        <f>IF($X502="","",COUNTIFS(상세표[사번키],INDEX(합계표[사번키],$X502),상세표[반영월],대상월키,상세표[야간당직],1,상세표[야간 구분],"평일",상세표[반영 기관],"서울병원"))</f>
        <v/>
      </c>
      <c r="V502">
        <f>IF($X502="","",COUNTIFS(상세표[사번키],INDEX(합계표[사번키],$X502),상세표[반영월],대상월키,상세표[야간당직],1,상세표[야간 구분],"휴일",상세표[반영 기관],"서울병원"))</f>
        <v/>
      </c>
      <c r="W502">
        <f>IF($X502="","",IF(ISNUMBER(MATCH(INDEX(합계표[사번키],$X502)&amp;"|"&amp;대상월키,월별근무지표[키],0)),"직접 입력",IF($L502="—","—","기관명단")))</f>
        <v/>
      </c>
      <c r="X502" s="4">
        <f>IFERROR(MATCH(497,합계표[판정순번],0),"")</f>
        <v/>
      </c>
    </row>
    <row r="503">
      <c r="A503">
        <f>IF($X503="","",INDEX(합계표[사번],$X503)&amp;"")</f>
        <v/>
      </c>
      <c r="B503">
        <f>IF($X503="","",INDEX(합계표[성명],$X503)&amp;"")</f>
        <v/>
      </c>
      <c r="C503">
        <f>IF($X503="","",INDEX(합계표[부서],$X503)&amp;"")</f>
        <v/>
      </c>
      <c r="D503">
        <f>IF($X503="","",INDEX(합계표[직위(요약)],$X503)&amp;"")</f>
        <v/>
      </c>
      <c r="E503">
        <f>IF($X503="","",INDEX(합계표[직급 공존],$X503)&amp;"")</f>
        <v/>
      </c>
      <c r="F503" s="20">
        <f>IF($X503="","",SUMIFS(합계표[시스템 합계],합계표[사번키],INDEX(합계표[사번키],$X503)))</f>
        <v/>
      </c>
      <c r="G503" s="20">
        <f>IF($X503="","",SUMIFS(상세표[기록 시간외],상세표[사번키],INDEX(합계표[사번키],$X503),상세표[기록월],대상월키))</f>
        <v/>
      </c>
      <c r="H503">
        <f>IF($X503="","",IF(ABS($F503-$G503)&lt;0.01,"일치","불일치(차이 "&amp;TEXT($G503-$F503,"0.00")&amp;")"))</f>
        <v/>
      </c>
      <c r="I503" s="20">
        <f>IF($X503="","",SUMIFS(상세표[기록 시간외],상세표[사번키],INDEX(합계표[사번키],$X503),상세표[기록월],대상월키,상세표[반영월],"&lt;&gt;"&amp;대상월키))</f>
        <v/>
      </c>
      <c r="J503" s="20">
        <f>IF($X503="","",SUMIFS(상세표[기록 시간외],상세표[사번키],INDEX(합계표[사번키],$X503),상세표[기록월],"&lt;&gt;"&amp;대상월키,상세표[반영월],대상월키))</f>
        <v/>
      </c>
      <c r="K503" s="20">
        <f>IF($X503="","",SUMIFS(상세표[기록 시간외],상세표[사번키],INDEX(합계표[사번키],$X503),상세표[반영월],대상월키))</f>
        <v/>
      </c>
      <c r="L503">
        <f>IF($X503="","",IFERROR(INDEX(월별근무지표[적용 급여병원],MATCH(INDEX(합계표[사번키],$X503)&amp;"|"&amp;대상월키,월별근무지표[키],0))&amp;"",IF(COUNTIF(기관표[사번키],INDEX(합계표[사번키],$X503))+COUNTIF(월별근무지표[사번키],INDEX(합계표[사번키],$X503))&gt;0,IFERROR(INDEX(기관표[급여지급병원(기준월)],MATCH(INDEX(합계표[사번키],$X503)&amp;"|"&amp;대상월키,기관표[키],0))&amp;"","—"),"—")))</f>
        <v/>
      </c>
      <c r="M503">
        <f>IF($X503="","",IF(NOT(COUNTIF(기관표[사번키],INDEX(합계표[사번키],$X503))+COUNTIF(월별근무지표[사번키],INDEX(합계표[사번키],$X503))&gt;0),"기관명단에 없음(다른 병원으로 발송)",IF($L503="서울병원","해당",IF(N($R503)&gt;0,"해당(말일 근무)",IF($L503="—","대상월 기관명단 없음(추가 필요)","비해당")))))</f>
        <v/>
      </c>
      <c r="N503" s="20">
        <f>IF($X503="","",SUMIFS(상세표[06~07시],상세표[사번키],INDEX(합계표[사번키],$X503),상세표[반영월],대상월키,상세표[반영 기관],"서울병원"))</f>
        <v/>
      </c>
      <c r="O503" s="20">
        <f>IF($X503="","",SUMIFS(상세표[07~18시],상세표[사번키],INDEX(합계표[사번키],$X503),상세표[반영월],대상월키,상세표[반영 기관],"서울병원"))</f>
        <v/>
      </c>
      <c r="P503" s="20">
        <f>IF($X503="","",SUMIFS(상세표[18~22시],상세표[사번키],INDEX(합계표[사번키],$X503),상세표[반영월],대상월키,상세표[반영 기관],"서울병원"))</f>
        <v/>
      </c>
      <c r="Q503" s="20">
        <f>IF($X503="","",SUMIFS(상세표[22~06시],상세표[사번키],INDEX(합계표[사번키],$X503),상세표[반영월],대상월키,상세표[반영 기관],"서울병원"))</f>
        <v/>
      </c>
      <c r="R503" s="20">
        <f>IF($X503="","",SUM($N503:$Q503))</f>
        <v/>
      </c>
      <c r="S503">
        <f>IF($X503="","",COUNTIFS(상세표[사번키],INDEX(합계표[사번키],$X503),상세표[반영월],대상월키,상세표[야간당직],1,상세표[야간 구분],"평일"))</f>
        <v/>
      </c>
      <c r="T503">
        <f>IF($X503="","",COUNTIFS(상세표[사번키],INDEX(합계표[사번키],$X503),상세표[반영월],대상월키,상세표[야간당직],1,상세표[야간 구분],"휴일"))</f>
        <v/>
      </c>
      <c r="U503">
        <f>IF($X503="","",COUNTIFS(상세표[사번키],INDEX(합계표[사번키],$X503),상세표[반영월],대상월키,상세표[야간당직],1,상세표[야간 구분],"평일",상세표[반영 기관],"서울병원"))</f>
        <v/>
      </c>
      <c r="V503">
        <f>IF($X503="","",COUNTIFS(상세표[사번키],INDEX(합계표[사번키],$X503),상세표[반영월],대상월키,상세표[야간당직],1,상세표[야간 구분],"휴일",상세표[반영 기관],"서울병원"))</f>
        <v/>
      </c>
      <c r="W503">
        <f>IF($X503="","",IF(ISNUMBER(MATCH(INDEX(합계표[사번키],$X503)&amp;"|"&amp;대상월키,월별근무지표[키],0)),"직접 입력",IF($L503="—","—","기관명단")))</f>
        <v/>
      </c>
      <c r="X503" s="4">
        <f>IFERROR(MATCH(498,합계표[판정순번],0),"")</f>
        <v/>
      </c>
    </row>
    <row r="504">
      <c r="A504">
        <f>IF($X504="","",INDEX(합계표[사번],$X504)&amp;"")</f>
        <v/>
      </c>
      <c r="B504">
        <f>IF($X504="","",INDEX(합계표[성명],$X504)&amp;"")</f>
        <v/>
      </c>
      <c r="C504">
        <f>IF($X504="","",INDEX(합계표[부서],$X504)&amp;"")</f>
        <v/>
      </c>
      <c r="D504">
        <f>IF($X504="","",INDEX(합계표[직위(요약)],$X504)&amp;"")</f>
        <v/>
      </c>
      <c r="E504">
        <f>IF($X504="","",INDEX(합계표[직급 공존],$X504)&amp;"")</f>
        <v/>
      </c>
      <c r="F504" s="20">
        <f>IF($X504="","",SUMIFS(합계표[시스템 합계],합계표[사번키],INDEX(합계표[사번키],$X504)))</f>
        <v/>
      </c>
      <c r="G504" s="20">
        <f>IF($X504="","",SUMIFS(상세표[기록 시간외],상세표[사번키],INDEX(합계표[사번키],$X504),상세표[기록월],대상월키))</f>
        <v/>
      </c>
      <c r="H504">
        <f>IF($X504="","",IF(ABS($F504-$G504)&lt;0.01,"일치","불일치(차이 "&amp;TEXT($G504-$F504,"0.00")&amp;")"))</f>
        <v/>
      </c>
      <c r="I504" s="20">
        <f>IF($X504="","",SUMIFS(상세표[기록 시간외],상세표[사번키],INDEX(합계표[사번키],$X504),상세표[기록월],대상월키,상세표[반영월],"&lt;&gt;"&amp;대상월키))</f>
        <v/>
      </c>
      <c r="J504" s="20">
        <f>IF($X504="","",SUMIFS(상세표[기록 시간외],상세표[사번키],INDEX(합계표[사번키],$X504),상세표[기록월],"&lt;&gt;"&amp;대상월키,상세표[반영월],대상월키))</f>
        <v/>
      </c>
      <c r="K504" s="20">
        <f>IF($X504="","",SUMIFS(상세표[기록 시간외],상세표[사번키],INDEX(합계표[사번키],$X504),상세표[반영월],대상월키))</f>
        <v/>
      </c>
      <c r="L504">
        <f>IF($X504="","",IFERROR(INDEX(월별근무지표[적용 급여병원],MATCH(INDEX(합계표[사번키],$X504)&amp;"|"&amp;대상월키,월별근무지표[키],0))&amp;"",IF(COUNTIF(기관표[사번키],INDEX(합계표[사번키],$X504))+COUNTIF(월별근무지표[사번키],INDEX(합계표[사번키],$X504))&gt;0,IFERROR(INDEX(기관표[급여지급병원(기준월)],MATCH(INDEX(합계표[사번키],$X504)&amp;"|"&amp;대상월키,기관표[키],0))&amp;"","—"),"—")))</f>
        <v/>
      </c>
      <c r="M504">
        <f>IF($X504="","",IF(NOT(COUNTIF(기관표[사번키],INDEX(합계표[사번키],$X504))+COUNTIF(월별근무지표[사번키],INDEX(합계표[사번키],$X504))&gt;0),"기관명단에 없음(다른 병원으로 발송)",IF($L504="서울병원","해당",IF(N($R504)&gt;0,"해당(말일 근무)",IF($L504="—","대상월 기관명단 없음(추가 필요)","비해당")))))</f>
        <v/>
      </c>
      <c r="N504" s="20">
        <f>IF($X504="","",SUMIFS(상세표[06~07시],상세표[사번키],INDEX(합계표[사번키],$X504),상세표[반영월],대상월키,상세표[반영 기관],"서울병원"))</f>
        <v/>
      </c>
      <c r="O504" s="20">
        <f>IF($X504="","",SUMIFS(상세표[07~18시],상세표[사번키],INDEX(합계표[사번키],$X504),상세표[반영월],대상월키,상세표[반영 기관],"서울병원"))</f>
        <v/>
      </c>
      <c r="P504" s="20">
        <f>IF($X504="","",SUMIFS(상세표[18~22시],상세표[사번키],INDEX(합계표[사번키],$X504),상세표[반영월],대상월키,상세표[반영 기관],"서울병원"))</f>
        <v/>
      </c>
      <c r="Q504" s="20">
        <f>IF($X504="","",SUMIFS(상세표[22~06시],상세표[사번키],INDEX(합계표[사번키],$X504),상세표[반영월],대상월키,상세표[반영 기관],"서울병원"))</f>
        <v/>
      </c>
      <c r="R504" s="20">
        <f>IF($X504="","",SUM($N504:$Q504))</f>
        <v/>
      </c>
      <c r="S504">
        <f>IF($X504="","",COUNTIFS(상세표[사번키],INDEX(합계표[사번키],$X504),상세표[반영월],대상월키,상세표[야간당직],1,상세표[야간 구분],"평일"))</f>
        <v/>
      </c>
      <c r="T504">
        <f>IF($X504="","",COUNTIFS(상세표[사번키],INDEX(합계표[사번키],$X504),상세표[반영월],대상월키,상세표[야간당직],1,상세표[야간 구분],"휴일"))</f>
        <v/>
      </c>
      <c r="U504">
        <f>IF($X504="","",COUNTIFS(상세표[사번키],INDEX(합계표[사번키],$X504),상세표[반영월],대상월키,상세표[야간당직],1,상세표[야간 구분],"평일",상세표[반영 기관],"서울병원"))</f>
        <v/>
      </c>
      <c r="V504">
        <f>IF($X504="","",COUNTIFS(상세표[사번키],INDEX(합계표[사번키],$X504),상세표[반영월],대상월키,상세표[야간당직],1,상세표[야간 구분],"휴일",상세표[반영 기관],"서울병원"))</f>
        <v/>
      </c>
      <c r="W504">
        <f>IF($X504="","",IF(ISNUMBER(MATCH(INDEX(합계표[사번키],$X504)&amp;"|"&amp;대상월키,월별근무지표[키],0)),"직접 입력",IF($L504="—","—","기관명단")))</f>
        <v/>
      </c>
      <c r="X504" s="4">
        <f>IFERROR(MATCH(499,합계표[판정순번],0),"")</f>
        <v/>
      </c>
    </row>
    <row r="505">
      <c r="A505">
        <f>IF($X505="","",INDEX(합계표[사번],$X505)&amp;"")</f>
        <v/>
      </c>
      <c r="B505">
        <f>IF($X505="","",INDEX(합계표[성명],$X505)&amp;"")</f>
        <v/>
      </c>
      <c r="C505">
        <f>IF($X505="","",INDEX(합계표[부서],$X505)&amp;"")</f>
        <v/>
      </c>
      <c r="D505">
        <f>IF($X505="","",INDEX(합계표[직위(요약)],$X505)&amp;"")</f>
        <v/>
      </c>
      <c r="E505">
        <f>IF($X505="","",INDEX(합계표[직급 공존],$X505)&amp;"")</f>
        <v/>
      </c>
      <c r="F505" s="20">
        <f>IF($X505="","",SUMIFS(합계표[시스템 합계],합계표[사번키],INDEX(합계표[사번키],$X505)))</f>
        <v/>
      </c>
      <c r="G505" s="20">
        <f>IF($X505="","",SUMIFS(상세표[기록 시간외],상세표[사번키],INDEX(합계표[사번키],$X505),상세표[기록월],대상월키))</f>
        <v/>
      </c>
      <c r="H505">
        <f>IF($X505="","",IF(ABS($F505-$G505)&lt;0.01,"일치","불일치(차이 "&amp;TEXT($G505-$F505,"0.00")&amp;")"))</f>
        <v/>
      </c>
      <c r="I505" s="20">
        <f>IF($X505="","",SUMIFS(상세표[기록 시간외],상세표[사번키],INDEX(합계표[사번키],$X505),상세표[기록월],대상월키,상세표[반영월],"&lt;&gt;"&amp;대상월키))</f>
        <v/>
      </c>
      <c r="J505" s="20">
        <f>IF($X505="","",SUMIFS(상세표[기록 시간외],상세표[사번키],INDEX(합계표[사번키],$X505),상세표[기록월],"&lt;&gt;"&amp;대상월키,상세표[반영월],대상월키))</f>
        <v/>
      </c>
      <c r="K505" s="20">
        <f>IF($X505="","",SUMIFS(상세표[기록 시간외],상세표[사번키],INDEX(합계표[사번키],$X505),상세표[반영월],대상월키))</f>
        <v/>
      </c>
      <c r="L505">
        <f>IF($X505="","",IFERROR(INDEX(월별근무지표[적용 급여병원],MATCH(INDEX(합계표[사번키],$X505)&amp;"|"&amp;대상월키,월별근무지표[키],0))&amp;"",IF(COUNTIF(기관표[사번키],INDEX(합계표[사번키],$X505))+COUNTIF(월별근무지표[사번키],INDEX(합계표[사번키],$X505))&gt;0,IFERROR(INDEX(기관표[급여지급병원(기준월)],MATCH(INDEX(합계표[사번키],$X505)&amp;"|"&amp;대상월키,기관표[키],0))&amp;"","—"),"—")))</f>
        <v/>
      </c>
      <c r="M505">
        <f>IF($X505="","",IF(NOT(COUNTIF(기관표[사번키],INDEX(합계표[사번키],$X505))+COUNTIF(월별근무지표[사번키],INDEX(합계표[사번키],$X505))&gt;0),"기관명단에 없음(다른 병원으로 발송)",IF($L505="서울병원","해당",IF(N($R505)&gt;0,"해당(말일 근무)",IF($L505="—","대상월 기관명단 없음(추가 필요)","비해당")))))</f>
        <v/>
      </c>
      <c r="N505" s="20">
        <f>IF($X505="","",SUMIFS(상세표[06~07시],상세표[사번키],INDEX(합계표[사번키],$X505),상세표[반영월],대상월키,상세표[반영 기관],"서울병원"))</f>
        <v/>
      </c>
      <c r="O505" s="20">
        <f>IF($X505="","",SUMIFS(상세표[07~18시],상세표[사번키],INDEX(합계표[사번키],$X505),상세표[반영월],대상월키,상세표[반영 기관],"서울병원"))</f>
        <v/>
      </c>
      <c r="P505" s="20">
        <f>IF($X505="","",SUMIFS(상세표[18~22시],상세표[사번키],INDEX(합계표[사번키],$X505),상세표[반영월],대상월키,상세표[반영 기관],"서울병원"))</f>
        <v/>
      </c>
      <c r="Q505" s="20">
        <f>IF($X505="","",SUMIFS(상세표[22~06시],상세표[사번키],INDEX(합계표[사번키],$X505),상세표[반영월],대상월키,상세표[반영 기관],"서울병원"))</f>
        <v/>
      </c>
      <c r="R505" s="20">
        <f>IF($X505="","",SUM($N505:$Q505))</f>
        <v/>
      </c>
      <c r="S505">
        <f>IF($X505="","",COUNTIFS(상세표[사번키],INDEX(합계표[사번키],$X505),상세표[반영월],대상월키,상세표[야간당직],1,상세표[야간 구분],"평일"))</f>
        <v/>
      </c>
      <c r="T505">
        <f>IF($X505="","",COUNTIFS(상세표[사번키],INDEX(합계표[사번키],$X505),상세표[반영월],대상월키,상세표[야간당직],1,상세표[야간 구분],"휴일"))</f>
        <v/>
      </c>
      <c r="U505">
        <f>IF($X505="","",COUNTIFS(상세표[사번키],INDEX(합계표[사번키],$X505),상세표[반영월],대상월키,상세표[야간당직],1,상세표[야간 구분],"평일",상세표[반영 기관],"서울병원"))</f>
        <v/>
      </c>
      <c r="V505">
        <f>IF($X505="","",COUNTIFS(상세표[사번키],INDEX(합계표[사번키],$X505),상세표[반영월],대상월키,상세표[야간당직],1,상세표[야간 구분],"휴일",상세표[반영 기관],"서울병원"))</f>
        <v/>
      </c>
      <c r="W505">
        <f>IF($X505="","",IF(ISNUMBER(MATCH(INDEX(합계표[사번키],$X505)&amp;"|"&amp;대상월키,월별근무지표[키],0)),"직접 입력",IF($L505="—","—","기관명단")))</f>
        <v/>
      </c>
      <c r="X505" s="4">
        <f>IFERROR(MATCH(500,합계표[판정순번],0),"")</f>
        <v/>
      </c>
    </row>
    <row r="506">
      <c r="A506">
        <f>IF($X506="","",INDEX(합계표[사번],$X506)&amp;"")</f>
        <v/>
      </c>
      <c r="B506">
        <f>IF($X506="","",INDEX(합계표[성명],$X506)&amp;"")</f>
        <v/>
      </c>
      <c r="C506">
        <f>IF($X506="","",INDEX(합계표[부서],$X506)&amp;"")</f>
        <v/>
      </c>
      <c r="D506">
        <f>IF($X506="","",INDEX(합계표[직위(요약)],$X506)&amp;"")</f>
        <v/>
      </c>
      <c r="E506">
        <f>IF($X506="","",INDEX(합계표[직급 공존],$X506)&amp;"")</f>
        <v/>
      </c>
      <c r="F506" s="20">
        <f>IF($X506="","",SUMIFS(합계표[시스템 합계],합계표[사번키],INDEX(합계표[사번키],$X506)))</f>
        <v/>
      </c>
      <c r="G506" s="20">
        <f>IF($X506="","",SUMIFS(상세표[기록 시간외],상세표[사번키],INDEX(합계표[사번키],$X506),상세표[기록월],대상월키))</f>
        <v/>
      </c>
      <c r="H506">
        <f>IF($X506="","",IF(ABS($F506-$G506)&lt;0.01,"일치","불일치(차이 "&amp;TEXT($G506-$F506,"0.00")&amp;")"))</f>
        <v/>
      </c>
      <c r="I506" s="20">
        <f>IF($X506="","",SUMIFS(상세표[기록 시간외],상세표[사번키],INDEX(합계표[사번키],$X506),상세표[기록월],대상월키,상세표[반영월],"&lt;&gt;"&amp;대상월키))</f>
        <v/>
      </c>
      <c r="J506" s="20">
        <f>IF($X506="","",SUMIFS(상세표[기록 시간외],상세표[사번키],INDEX(합계표[사번키],$X506),상세표[기록월],"&lt;&gt;"&amp;대상월키,상세표[반영월],대상월키))</f>
        <v/>
      </c>
      <c r="K506" s="20">
        <f>IF($X506="","",SUMIFS(상세표[기록 시간외],상세표[사번키],INDEX(합계표[사번키],$X506),상세표[반영월],대상월키))</f>
        <v/>
      </c>
      <c r="L506">
        <f>IF($X506="","",IFERROR(INDEX(월별근무지표[적용 급여병원],MATCH(INDEX(합계표[사번키],$X506)&amp;"|"&amp;대상월키,월별근무지표[키],0))&amp;"",IF(COUNTIF(기관표[사번키],INDEX(합계표[사번키],$X506))+COUNTIF(월별근무지표[사번키],INDEX(합계표[사번키],$X506))&gt;0,IFERROR(INDEX(기관표[급여지급병원(기준월)],MATCH(INDEX(합계표[사번키],$X506)&amp;"|"&amp;대상월키,기관표[키],0))&amp;"","—"),"—")))</f>
        <v/>
      </c>
      <c r="M506">
        <f>IF($X506="","",IF(NOT(COUNTIF(기관표[사번키],INDEX(합계표[사번키],$X506))+COUNTIF(월별근무지표[사번키],INDEX(합계표[사번키],$X506))&gt;0),"기관명단에 없음(다른 병원으로 발송)",IF($L506="서울병원","해당",IF(N($R506)&gt;0,"해당(말일 근무)",IF($L506="—","대상월 기관명단 없음(추가 필요)","비해당")))))</f>
        <v/>
      </c>
      <c r="N506" s="20">
        <f>IF($X506="","",SUMIFS(상세표[06~07시],상세표[사번키],INDEX(합계표[사번키],$X506),상세표[반영월],대상월키,상세표[반영 기관],"서울병원"))</f>
        <v/>
      </c>
      <c r="O506" s="20">
        <f>IF($X506="","",SUMIFS(상세표[07~18시],상세표[사번키],INDEX(합계표[사번키],$X506),상세표[반영월],대상월키,상세표[반영 기관],"서울병원"))</f>
        <v/>
      </c>
      <c r="P506" s="20">
        <f>IF($X506="","",SUMIFS(상세표[18~22시],상세표[사번키],INDEX(합계표[사번키],$X506),상세표[반영월],대상월키,상세표[반영 기관],"서울병원"))</f>
        <v/>
      </c>
      <c r="Q506" s="20">
        <f>IF($X506="","",SUMIFS(상세표[22~06시],상세표[사번키],INDEX(합계표[사번키],$X506),상세표[반영월],대상월키,상세표[반영 기관],"서울병원"))</f>
        <v/>
      </c>
      <c r="R506" s="20">
        <f>IF($X506="","",SUM($N506:$Q506))</f>
        <v/>
      </c>
      <c r="S506">
        <f>IF($X506="","",COUNTIFS(상세표[사번키],INDEX(합계표[사번키],$X506),상세표[반영월],대상월키,상세표[야간당직],1,상세표[야간 구분],"평일"))</f>
        <v/>
      </c>
      <c r="T506">
        <f>IF($X506="","",COUNTIFS(상세표[사번키],INDEX(합계표[사번키],$X506),상세표[반영월],대상월키,상세표[야간당직],1,상세표[야간 구분],"휴일"))</f>
        <v/>
      </c>
      <c r="U506">
        <f>IF($X506="","",COUNTIFS(상세표[사번키],INDEX(합계표[사번키],$X506),상세표[반영월],대상월키,상세표[야간당직],1,상세표[야간 구분],"평일",상세표[반영 기관],"서울병원"))</f>
        <v/>
      </c>
      <c r="V506">
        <f>IF($X506="","",COUNTIFS(상세표[사번키],INDEX(합계표[사번키],$X506),상세표[반영월],대상월키,상세표[야간당직],1,상세표[야간 구분],"휴일",상세표[반영 기관],"서울병원"))</f>
        <v/>
      </c>
      <c r="W506">
        <f>IF($X506="","",IF(ISNUMBER(MATCH(INDEX(합계표[사번키],$X506)&amp;"|"&amp;대상월키,월별근무지표[키],0)),"직접 입력",IF($L506="—","—","기관명단")))</f>
        <v/>
      </c>
      <c r="X506" s="4">
        <f>IFERROR(MATCH(501,합계표[판정순번],0),"")</f>
        <v/>
      </c>
    </row>
    <row r="507">
      <c r="A507">
        <f>IF($X507="","",INDEX(합계표[사번],$X507)&amp;"")</f>
        <v/>
      </c>
      <c r="B507">
        <f>IF($X507="","",INDEX(합계표[성명],$X507)&amp;"")</f>
        <v/>
      </c>
      <c r="C507">
        <f>IF($X507="","",INDEX(합계표[부서],$X507)&amp;"")</f>
        <v/>
      </c>
      <c r="D507">
        <f>IF($X507="","",INDEX(합계표[직위(요약)],$X507)&amp;"")</f>
        <v/>
      </c>
      <c r="E507">
        <f>IF($X507="","",INDEX(합계표[직급 공존],$X507)&amp;"")</f>
        <v/>
      </c>
      <c r="F507" s="20">
        <f>IF($X507="","",SUMIFS(합계표[시스템 합계],합계표[사번키],INDEX(합계표[사번키],$X507)))</f>
        <v/>
      </c>
      <c r="G507" s="20">
        <f>IF($X507="","",SUMIFS(상세표[기록 시간외],상세표[사번키],INDEX(합계표[사번키],$X507),상세표[기록월],대상월키))</f>
        <v/>
      </c>
      <c r="H507">
        <f>IF($X507="","",IF(ABS($F507-$G507)&lt;0.01,"일치","불일치(차이 "&amp;TEXT($G507-$F507,"0.00")&amp;")"))</f>
        <v/>
      </c>
      <c r="I507" s="20">
        <f>IF($X507="","",SUMIFS(상세표[기록 시간외],상세표[사번키],INDEX(합계표[사번키],$X507),상세표[기록월],대상월키,상세표[반영월],"&lt;&gt;"&amp;대상월키))</f>
        <v/>
      </c>
      <c r="J507" s="20">
        <f>IF($X507="","",SUMIFS(상세표[기록 시간외],상세표[사번키],INDEX(합계표[사번키],$X507),상세표[기록월],"&lt;&gt;"&amp;대상월키,상세표[반영월],대상월키))</f>
        <v/>
      </c>
      <c r="K507" s="20">
        <f>IF($X507="","",SUMIFS(상세표[기록 시간외],상세표[사번키],INDEX(합계표[사번키],$X507),상세표[반영월],대상월키))</f>
        <v/>
      </c>
      <c r="L507">
        <f>IF($X507="","",IFERROR(INDEX(월별근무지표[적용 급여병원],MATCH(INDEX(합계표[사번키],$X507)&amp;"|"&amp;대상월키,월별근무지표[키],0))&amp;"",IF(COUNTIF(기관표[사번키],INDEX(합계표[사번키],$X507))+COUNTIF(월별근무지표[사번키],INDEX(합계표[사번키],$X507))&gt;0,IFERROR(INDEX(기관표[급여지급병원(기준월)],MATCH(INDEX(합계표[사번키],$X507)&amp;"|"&amp;대상월키,기관표[키],0))&amp;"","—"),"—")))</f>
        <v/>
      </c>
      <c r="M507">
        <f>IF($X507="","",IF(NOT(COUNTIF(기관표[사번키],INDEX(합계표[사번키],$X507))+COUNTIF(월별근무지표[사번키],INDEX(합계표[사번키],$X507))&gt;0),"기관명단에 없음(다른 병원으로 발송)",IF($L507="서울병원","해당",IF(N($R507)&gt;0,"해당(말일 근무)",IF($L507="—","대상월 기관명단 없음(추가 필요)","비해당")))))</f>
        <v/>
      </c>
      <c r="N507" s="20">
        <f>IF($X507="","",SUMIFS(상세표[06~07시],상세표[사번키],INDEX(합계표[사번키],$X507),상세표[반영월],대상월키,상세표[반영 기관],"서울병원"))</f>
        <v/>
      </c>
      <c r="O507" s="20">
        <f>IF($X507="","",SUMIFS(상세표[07~18시],상세표[사번키],INDEX(합계표[사번키],$X507),상세표[반영월],대상월키,상세표[반영 기관],"서울병원"))</f>
        <v/>
      </c>
      <c r="P507" s="20">
        <f>IF($X507="","",SUMIFS(상세표[18~22시],상세표[사번키],INDEX(합계표[사번키],$X507),상세표[반영월],대상월키,상세표[반영 기관],"서울병원"))</f>
        <v/>
      </c>
      <c r="Q507" s="20">
        <f>IF($X507="","",SUMIFS(상세표[22~06시],상세표[사번키],INDEX(합계표[사번키],$X507),상세표[반영월],대상월키,상세표[반영 기관],"서울병원"))</f>
        <v/>
      </c>
      <c r="R507" s="20">
        <f>IF($X507="","",SUM($N507:$Q507))</f>
        <v/>
      </c>
      <c r="S507">
        <f>IF($X507="","",COUNTIFS(상세표[사번키],INDEX(합계표[사번키],$X507),상세표[반영월],대상월키,상세표[야간당직],1,상세표[야간 구분],"평일"))</f>
        <v/>
      </c>
      <c r="T507">
        <f>IF($X507="","",COUNTIFS(상세표[사번키],INDEX(합계표[사번키],$X507),상세표[반영월],대상월키,상세표[야간당직],1,상세표[야간 구분],"휴일"))</f>
        <v/>
      </c>
      <c r="U507">
        <f>IF($X507="","",COUNTIFS(상세표[사번키],INDEX(합계표[사번키],$X507),상세표[반영월],대상월키,상세표[야간당직],1,상세표[야간 구분],"평일",상세표[반영 기관],"서울병원"))</f>
        <v/>
      </c>
      <c r="V507">
        <f>IF($X507="","",COUNTIFS(상세표[사번키],INDEX(합계표[사번키],$X507),상세표[반영월],대상월키,상세표[야간당직],1,상세표[야간 구분],"휴일",상세표[반영 기관],"서울병원"))</f>
        <v/>
      </c>
      <c r="W507">
        <f>IF($X507="","",IF(ISNUMBER(MATCH(INDEX(합계표[사번키],$X507)&amp;"|"&amp;대상월키,월별근무지표[키],0)),"직접 입력",IF($L507="—","—","기관명단")))</f>
        <v/>
      </c>
      <c r="X507" s="4">
        <f>IFERROR(MATCH(502,합계표[판정순번],0),"")</f>
        <v/>
      </c>
    </row>
    <row r="508">
      <c r="A508">
        <f>IF($X508="","",INDEX(합계표[사번],$X508)&amp;"")</f>
        <v/>
      </c>
      <c r="B508">
        <f>IF($X508="","",INDEX(합계표[성명],$X508)&amp;"")</f>
        <v/>
      </c>
      <c r="C508">
        <f>IF($X508="","",INDEX(합계표[부서],$X508)&amp;"")</f>
        <v/>
      </c>
      <c r="D508">
        <f>IF($X508="","",INDEX(합계표[직위(요약)],$X508)&amp;"")</f>
        <v/>
      </c>
      <c r="E508">
        <f>IF($X508="","",INDEX(합계표[직급 공존],$X508)&amp;"")</f>
        <v/>
      </c>
      <c r="F508" s="20">
        <f>IF($X508="","",SUMIFS(합계표[시스템 합계],합계표[사번키],INDEX(합계표[사번키],$X508)))</f>
        <v/>
      </c>
      <c r="G508" s="20">
        <f>IF($X508="","",SUMIFS(상세표[기록 시간외],상세표[사번키],INDEX(합계표[사번키],$X508),상세표[기록월],대상월키))</f>
        <v/>
      </c>
      <c r="H508">
        <f>IF($X508="","",IF(ABS($F508-$G508)&lt;0.01,"일치","불일치(차이 "&amp;TEXT($G508-$F508,"0.00")&amp;")"))</f>
        <v/>
      </c>
      <c r="I508" s="20">
        <f>IF($X508="","",SUMIFS(상세표[기록 시간외],상세표[사번키],INDEX(합계표[사번키],$X508),상세표[기록월],대상월키,상세표[반영월],"&lt;&gt;"&amp;대상월키))</f>
        <v/>
      </c>
      <c r="J508" s="20">
        <f>IF($X508="","",SUMIFS(상세표[기록 시간외],상세표[사번키],INDEX(합계표[사번키],$X508),상세표[기록월],"&lt;&gt;"&amp;대상월키,상세표[반영월],대상월키))</f>
        <v/>
      </c>
      <c r="K508" s="20">
        <f>IF($X508="","",SUMIFS(상세표[기록 시간외],상세표[사번키],INDEX(합계표[사번키],$X508),상세표[반영월],대상월키))</f>
        <v/>
      </c>
      <c r="L508">
        <f>IF($X508="","",IFERROR(INDEX(월별근무지표[적용 급여병원],MATCH(INDEX(합계표[사번키],$X508)&amp;"|"&amp;대상월키,월별근무지표[키],0))&amp;"",IF(COUNTIF(기관표[사번키],INDEX(합계표[사번키],$X508))+COUNTIF(월별근무지표[사번키],INDEX(합계표[사번키],$X508))&gt;0,IFERROR(INDEX(기관표[급여지급병원(기준월)],MATCH(INDEX(합계표[사번키],$X508)&amp;"|"&amp;대상월키,기관표[키],0))&amp;"","—"),"—")))</f>
        <v/>
      </c>
      <c r="M508">
        <f>IF($X508="","",IF(NOT(COUNTIF(기관표[사번키],INDEX(합계표[사번키],$X508))+COUNTIF(월별근무지표[사번키],INDEX(합계표[사번키],$X508))&gt;0),"기관명단에 없음(다른 병원으로 발송)",IF($L508="서울병원","해당",IF(N($R508)&gt;0,"해당(말일 근무)",IF($L508="—","대상월 기관명단 없음(추가 필요)","비해당")))))</f>
        <v/>
      </c>
      <c r="N508" s="20">
        <f>IF($X508="","",SUMIFS(상세표[06~07시],상세표[사번키],INDEX(합계표[사번키],$X508),상세표[반영월],대상월키,상세표[반영 기관],"서울병원"))</f>
        <v/>
      </c>
      <c r="O508" s="20">
        <f>IF($X508="","",SUMIFS(상세표[07~18시],상세표[사번키],INDEX(합계표[사번키],$X508),상세표[반영월],대상월키,상세표[반영 기관],"서울병원"))</f>
        <v/>
      </c>
      <c r="P508" s="20">
        <f>IF($X508="","",SUMIFS(상세표[18~22시],상세표[사번키],INDEX(합계표[사번키],$X508),상세표[반영월],대상월키,상세표[반영 기관],"서울병원"))</f>
        <v/>
      </c>
      <c r="Q508" s="20">
        <f>IF($X508="","",SUMIFS(상세표[22~06시],상세표[사번키],INDEX(합계표[사번키],$X508),상세표[반영월],대상월키,상세표[반영 기관],"서울병원"))</f>
        <v/>
      </c>
      <c r="R508" s="20">
        <f>IF($X508="","",SUM($N508:$Q508))</f>
        <v/>
      </c>
      <c r="S508">
        <f>IF($X508="","",COUNTIFS(상세표[사번키],INDEX(합계표[사번키],$X508),상세표[반영월],대상월키,상세표[야간당직],1,상세표[야간 구분],"평일"))</f>
        <v/>
      </c>
      <c r="T508">
        <f>IF($X508="","",COUNTIFS(상세표[사번키],INDEX(합계표[사번키],$X508),상세표[반영월],대상월키,상세표[야간당직],1,상세표[야간 구분],"휴일"))</f>
        <v/>
      </c>
      <c r="U508">
        <f>IF($X508="","",COUNTIFS(상세표[사번키],INDEX(합계표[사번키],$X508),상세표[반영월],대상월키,상세표[야간당직],1,상세표[야간 구분],"평일",상세표[반영 기관],"서울병원"))</f>
        <v/>
      </c>
      <c r="V508">
        <f>IF($X508="","",COUNTIFS(상세표[사번키],INDEX(합계표[사번키],$X508),상세표[반영월],대상월키,상세표[야간당직],1,상세표[야간 구분],"휴일",상세표[반영 기관],"서울병원"))</f>
        <v/>
      </c>
      <c r="W508">
        <f>IF($X508="","",IF(ISNUMBER(MATCH(INDEX(합계표[사번키],$X508)&amp;"|"&amp;대상월키,월별근무지표[키],0)),"직접 입력",IF($L508="—","—","기관명단")))</f>
        <v/>
      </c>
      <c r="X508" s="4">
        <f>IFERROR(MATCH(503,합계표[판정순번],0),"")</f>
        <v/>
      </c>
    </row>
    <row r="509">
      <c r="A509">
        <f>IF($X509="","",INDEX(합계표[사번],$X509)&amp;"")</f>
        <v/>
      </c>
      <c r="B509">
        <f>IF($X509="","",INDEX(합계표[성명],$X509)&amp;"")</f>
        <v/>
      </c>
      <c r="C509">
        <f>IF($X509="","",INDEX(합계표[부서],$X509)&amp;"")</f>
        <v/>
      </c>
      <c r="D509">
        <f>IF($X509="","",INDEX(합계표[직위(요약)],$X509)&amp;"")</f>
        <v/>
      </c>
      <c r="E509">
        <f>IF($X509="","",INDEX(합계표[직급 공존],$X509)&amp;"")</f>
        <v/>
      </c>
      <c r="F509" s="20">
        <f>IF($X509="","",SUMIFS(합계표[시스템 합계],합계표[사번키],INDEX(합계표[사번키],$X509)))</f>
        <v/>
      </c>
      <c r="G509" s="20">
        <f>IF($X509="","",SUMIFS(상세표[기록 시간외],상세표[사번키],INDEX(합계표[사번키],$X509),상세표[기록월],대상월키))</f>
        <v/>
      </c>
      <c r="H509">
        <f>IF($X509="","",IF(ABS($F509-$G509)&lt;0.01,"일치","불일치(차이 "&amp;TEXT($G509-$F509,"0.00")&amp;")"))</f>
        <v/>
      </c>
      <c r="I509" s="20">
        <f>IF($X509="","",SUMIFS(상세표[기록 시간외],상세표[사번키],INDEX(합계표[사번키],$X509),상세표[기록월],대상월키,상세표[반영월],"&lt;&gt;"&amp;대상월키))</f>
        <v/>
      </c>
      <c r="J509" s="20">
        <f>IF($X509="","",SUMIFS(상세표[기록 시간외],상세표[사번키],INDEX(합계표[사번키],$X509),상세표[기록월],"&lt;&gt;"&amp;대상월키,상세표[반영월],대상월키))</f>
        <v/>
      </c>
      <c r="K509" s="20">
        <f>IF($X509="","",SUMIFS(상세표[기록 시간외],상세표[사번키],INDEX(합계표[사번키],$X509),상세표[반영월],대상월키))</f>
        <v/>
      </c>
      <c r="L509">
        <f>IF($X509="","",IFERROR(INDEX(월별근무지표[적용 급여병원],MATCH(INDEX(합계표[사번키],$X509)&amp;"|"&amp;대상월키,월별근무지표[키],0))&amp;"",IF(COUNTIF(기관표[사번키],INDEX(합계표[사번키],$X509))+COUNTIF(월별근무지표[사번키],INDEX(합계표[사번키],$X509))&gt;0,IFERROR(INDEX(기관표[급여지급병원(기준월)],MATCH(INDEX(합계표[사번키],$X509)&amp;"|"&amp;대상월키,기관표[키],0))&amp;"","—"),"—")))</f>
        <v/>
      </c>
      <c r="M509">
        <f>IF($X509="","",IF(NOT(COUNTIF(기관표[사번키],INDEX(합계표[사번키],$X509))+COUNTIF(월별근무지표[사번키],INDEX(합계표[사번키],$X509))&gt;0),"기관명단에 없음(다른 병원으로 발송)",IF($L509="서울병원","해당",IF(N($R509)&gt;0,"해당(말일 근무)",IF($L509="—","대상월 기관명단 없음(추가 필요)","비해당")))))</f>
        <v/>
      </c>
      <c r="N509" s="20">
        <f>IF($X509="","",SUMIFS(상세표[06~07시],상세표[사번키],INDEX(합계표[사번키],$X509),상세표[반영월],대상월키,상세표[반영 기관],"서울병원"))</f>
        <v/>
      </c>
      <c r="O509" s="20">
        <f>IF($X509="","",SUMIFS(상세표[07~18시],상세표[사번키],INDEX(합계표[사번키],$X509),상세표[반영월],대상월키,상세표[반영 기관],"서울병원"))</f>
        <v/>
      </c>
      <c r="P509" s="20">
        <f>IF($X509="","",SUMIFS(상세표[18~22시],상세표[사번키],INDEX(합계표[사번키],$X509),상세표[반영월],대상월키,상세표[반영 기관],"서울병원"))</f>
        <v/>
      </c>
      <c r="Q509" s="20">
        <f>IF($X509="","",SUMIFS(상세표[22~06시],상세표[사번키],INDEX(합계표[사번키],$X509),상세표[반영월],대상월키,상세표[반영 기관],"서울병원"))</f>
        <v/>
      </c>
      <c r="R509" s="20">
        <f>IF($X509="","",SUM($N509:$Q509))</f>
        <v/>
      </c>
      <c r="S509">
        <f>IF($X509="","",COUNTIFS(상세표[사번키],INDEX(합계표[사번키],$X509),상세표[반영월],대상월키,상세표[야간당직],1,상세표[야간 구분],"평일"))</f>
        <v/>
      </c>
      <c r="T509">
        <f>IF($X509="","",COUNTIFS(상세표[사번키],INDEX(합계표[사번키],$X509),상세표[반영월],대상월키,상세표[야간당직],1,상세표[야간 구분],"휴일"))</f>
        <v/>
      </c>
      <c r="U509">
        <f>IF($X509="","",COUNTIFS(상세표[사번키],INDEX(합계표[사번키],$X509),상세표[반영월],대상월키,상세표[야간당직],1,상세표[야간 구분],"평일",상세표[반영 기관],"서울병원"))</f>
        <v/>
      </c>
      <c r="V509">
        <f>IF($X509="","",COUNTIFS(상세표[사번키],INDEX(합계표[사번키],$X509),상세표[반영월],대상월키,상세표[야간당직],1,상세표[야간 구분],"휴일",상세표[반영 기관],"서울병원"))</f>
        <v/>
      </c>
      <c r="W509">
        <f>IF($X509="","",IF(ISNUMBER(MATCH(INDEX(합계표[사번키],$X509)&amp;"|"&amp;대상월키,월별근무지표[키],0)),"직접 입력",IF($L509="—","—","기관명단")))</f>
        <v/>
      </c>
      <c r="X509" s="4">
        <f>IFERROR(MATCH(504,합계표[판정순번],0),"")</f>
        <v/>
      </c>
    </row>
    <row r="510">
      <c r="A510">
        <f>IF($X510="","",INDEX(합계표[사번],$X510)&amp;"")</f>
        <v/>
      </c>
      <c r="B510">
        <f>IF($X510="","",INDEX(합계표[성명],$X510)&amp;"")</f>
        <v/>
      </c>
      <c r="C510">
        <f>IF($X510="","",INDEX(합계표[부서],$X510)&amp;"")</f>
        <v/>
      </c>
      <c r="D510">
        <f>IF($X510="","",INDEX(합계표[직위(요약)],$X510)&amp;"")</f>
        <v/>
      </c>
      <c r="E510">
        <f>IF($X510="","",INDEX(합계표[직급 공존],$X510)&amp;"")</f>
        <v/>
      </c>
      <c r="F510" s="20">
        <f>IF($X510="","",SUMIFS(합계표[시스템 합계],합계표[사번키],INDEX(합계표[사번키],$X510)))</f>
        <v/>
      </c>
      <c r="G510" s="20">
        <f>IF($X510="","",SUMIFS(상세표[기록 시간외],상세표[사번키],INDEX(합계표[사번키],$X510),상세표[기록월],대상월키))</f>
        <v/>
      </c>
      <c r="H510">
        <f>IF($X510="","",IF(ABS($F510-$G510)&lt;0.01,"일치","불일치(차이 "&amp;TEXT($G510-$F510,"0.00")&amp;")"))</f>
        <v/>
      </c>
      <c r="I510" s="20">
        <f>IF($X510="","",SUMIFS(상세표[기록 시간외],상세표[사번키],INDEX(합계표[사번키],$X510),상세표[기록월],대상월키,상세표[반영월],"&lt;&gt;"&amp;대상월키))</f>
        <v/>
      </c>
      <c r="J510" s="20">
        <f>IF($X510="","",SUMIFS(상세표[기록 시간외],상세표[사번키],INDEX(합계표[사번키],$X510),상세표[기록월],"&lt;&gt;"&amp;대상월키,상세표[반영월],대상월키))</f>
        <v/>
      </c>
      <c r="K510" s="20">
        <f>IF($X510="","",SUMIFS(상세표[기록 시간외],상세표[사번키],INDEX(합계표[사번키],$X510),상세표[반영월],대상월키))</f>
        <v/>
      </c>
      <c r="L510">
        <f>IF($X510="","",IFERROR(INDEX(월별근무지표[적용 급여병원],MATCH(INDEX(합계표[사번키],$X510)&amp;"|"&amp;대상월키,월별근무지표[키],0))&amp;"",IF(COUNTIF(기관표[사번키],INDEX(합계표[사번키],$X510))+COUNTIF(월별근무지표[사번키],INDEX(합계표[사번키],$X510))&gt;0,IFERROR(INDEX(기관표[급여지급병원(기준월)],MATCH(INDEX(합계표[사번키],$X510)&amp;"|"&amp;대상월키,기관표[키],0))&amp;"","—"),"—")))</f>
        <v/>
      </c>
      <c r="M510">
        <f>IF($X510="","",IF(NOT(COUNTIF(기관표[사번키],INDEX(합계표[사번키],$X510))+COUNTIF(월별근무지표[사번키],INDEX(합계표[사번키],$X510))&gt;0),"기관명단에 없음(다른 병원으로 발송)",IF($L510="서울병원","해당",IF(N($R510)&gt;0,"해당(말일 근무)",IF($L510="—","대상월 기관명단 없음(추가 필요)","비해당")))))</f>
        <v/>
      </c>
      <c r="N510" s="20">
        <f>IF($X510="","",SUMIFS(상세표[06~07시],상세표[사번키],INDEX(합계표[사번키],$X510),상세표[반영월],대상월키,상세표[반영 기관],"서울병원"))</f>
        <v/>
      </c>
      <c r="O510" s="20">
        <f>IF($X510="","",SUMIFS(상세표[07~18시],상세표[사번키],INDEX(합계표[사번키],$X510),상세표[반영월],대상월키,상세표[반영 기관],"서울병원"))</f>
        <v/>
      </c>
      <c r="P510" s="20">
        <f>IF($X510="","",SUMIFS(상세표[18~22시],상세표[사번키],INDEX(합계표[사번키],$X510),상세표[반영월],대상월키,상세표[반영 기관],"서울병원"))</f>
        <v/>
      </c>
      <c r="Q510" s="20">
        <f>IF($X510="","",SUMIFS(상세표[22~06시],상세표[사번키],INDEX(합계표[사번키],$X510),상세표[반영월],대상월키,상세표[반영 기관],"서울병원"))</f>
        <v/>
      </c>
      <c r="R510" s="20">
        <f>IF($X510="","",SUM($N510:$Q510))</f>
        <v/>
      </c>
      <c r="S510">
        <f>IF($X510="","",COUNTIFS(상세표[사번키],INDEX(합계표[사번키],$X510),상세표[반영월],대상월키,상세표[야간당직],1,상세표[야간 구분],"평일"))</f>
        <v/>
      </c>
      <c r="T510">
        <f>IF($X510="","",COUNTIFS(상세표[사번키],INDEX(합계표[사번키],$X510),상세표[반영월],대상월키,상세표[야간당직],1,상세표[야간 구분],"휴일"))</f>
        <v/>
      </c>
      <c r="U510">
        <f>IF($X510="","",COUNTIFS(상세표[사번키],INDEX(합계표[사번키],$X510),상세표[반영월],대상월키,상세표[야간당직],1,상세표[야간 구분],"평일",상세표[반영 기관],"서울병원"))</f>
        <v/>
      </c>
      <c r="V510">
        <f>IF($X510="","",COUNTIFS(상세표[사번키],INDEX(합계표[사번키],$X510),상세표[반영월],대상월키,상세표[야간당직],1,상세표[야간 구분],"휴일",상세표[반영 기관],"서울병원"))</f>
        <v/>
      </c>
      <c r="W510">
        <f>IF($X510="","",IF(ISNUMBER(MATCH(INDEX(합계표[사번키],$X510)&amp;"|"&amp;대상월키,월별근무지표[키],0)),"직접 입력",IF($L510="—","—","기관명단")))</f>
        <v/>
      </c>
      <c r="X510" s="4">
        <f>IFERROR(MATCH(505,합계표[판정순번],0),"")</f>
        <v/>
      </c>
    </row>
    <row r="511">
      <c r="A511">
        <f>IF($X511="","",INDEX(합계표[사번],$X511)&amp;"")</f>
        <v/>
      </c>
      <c r="B511">
        <f>IF($X511="","",INDEX(합계표[성명],$X511)&amp;"")</f>
        <v/>
      </c>
      <c r="C511">
        <f>IF($X511="","",INDEX(합계표[부서],$X511)&amp;"")</f>
        <v/>
      </c>
      <c r="D511">
        <f>IF($X511="","",INDEX(합계표[직위(요약)],$X511)&amp;"")</f>
        <v/>
      </c>
      <c r="E511">
        <f>IF($X511="","",INDEX(합계표[직급 공존],$X511)&amp;"")</f>
        <v/>
      </c>
      <c r="F511" s="20">
        <f>IF($X511="","",SUMIFS(합계표[시스템 합계],합계표[사번키],INDEX(합계표[사번키],$X511)))</f>
        <v/>
      </c>
      <c r="G511" s="20">
        <f>IF($X511="","",SUMIFS(상세표[기록 시간외],상세표[사번키],INDEX(합계표[사번키],$X511),상세표[기록월],대상월키))</f>
        <v/>
      </c>
      <c r="H511">
        <f>IF($X511="","",IF(ABS($F511-$G511)&lt;0.01,"일치","불일치(차이 "&amp;TEXT($G511-$F511,"0.00")&amp;")"))</f>
        <v/>
      </c>
      <c r="I511" s="20">
        <f>IF($X511="","",SUMIFS(상세표[기록 시간외],상세표[사번키],INDEX(합계표[사번키],$X511),상세표[기록월],대상월키,상세표[반영월],"&lt;&gt;"&amp;대상월키))</f>
        <v/>
      </c>
      <c r="J511" s="20">
        <f>IF($X511="","",SUMIFS(상세표[기록 시간외],상세표[사번키],INDEX(합계표[사번키],$X511),상세표[기록월],"&lt;&gt;"&amp;대상월키,상세표[반영월],대상월키))</f>
        <v/>
      </c>
      <c r="K511" s="20">
        <f>IF($X511="","",SUMIFS(상세표[기록 시간외],상세표[사번키],INDEX(합계표[사번키],$X511),상세표[반영월],대상월키))</f>
        <v/>
      </c>
      <c r="L511">
        <f>IF($X511="","",IFERROR(INDEX(월별근무지표[적용 급여병원],MATCH(INDEX(합계표[사번키],$X511)&amp;"|"&amp;대상월키,월별근무지표[키],0))&amp;"",IF(COUNTIF(기관표[사번키],INDEX(합계표[사번키],$X511))+COUNTIF(월별근무지표[사번키],INDEX(합계표[사번키],$X511))&gt;0,IFERROR(INDEX(기관표[급여지급병원(기준월)],MATCH(INDEX(합계표[사번키],$X511)&amp;"|"&amp;대상월키,기관표[키],0))&amp;"","—"),"—")))</f>
        <v/>
      </c>
      <c r="M511">
        <f>IF($X511="","",IF(NOT(COUNTIF(기관표[사번키],INDEX(합계표[사번키],$X511))+COUNTIF(월별근무지표[사번키],INDEX(합계표[사번키],$X511))&gt;0),"기관명단에 없음(다른 병원으로 발송)",IF($L511="서울병원","해당",IF(N($R511)&gt;0,"해당(말일 근무)",IF($L511="—","대상월 기관명단 없음(추가 필요)","비해당")))))</f>
        <v/>
      </c>
      <c r="N511" s="20">
        <f>IF($X511="","",SUMIFS(상세표[06~07시],상세표[사번키],INDEX(합계표[사번키],$X511),상세표[반영월],대상월키,상세표[반영 기관],"서울병원"))</f>
        <v/>
      </c>
      <c r="O511" s="20">
        <f>IF($X511="","",SUMIFS(상세표[07~18시],상세표[사번키],INDEX(합계표[사번키],$X511),상세표[반영월],대상월키,상세표[반영 기관],"서울병원"))</f>
        <v/>
      </c>
      <c r="P511" s="20">
        <f>IF($X511="","",SUMIFS(상세표[18~22시],상세표[사번키],INDEX(합계표[사번키],$X511),상세표[반영월],대상월키,상세표[반영 기관],"서울병원"))</f>
        <v/>
      </c>
      <c r="Q511" s="20">
        <f>IF($X511="","",SUMIFS(상세표[22~06시],상세표[사번키],INDEX(합계표[사번키],$X511),상세표[반영월],대상월키,상세표[반영 기관],"서울병원"))</f>
        <v/>
      </c>
      <c r="R511" s="20">
        <f>IF($X511="","",SUM($N511:$Q511))</f>
        <v/>
      </c>
      <c r="S511">
        <f>IF($X511="","",COUNTIFS(상세표[사번키],INDEX(합계표[사번키],$X511),상세표[반영월],대상월키,상세표[야간당직],1,상세표[야간 구분],"평일"))</f>
        <v/>
      </c>
      <c r="T511">
        <f>IF($X511="","",COUNTIFS(상세표[사번키],INDEX(합계표[사번키],$X511),상세표[반영월],대상월키,상세표[야간당직],1,상세표[야간 구분],"휴일"))</f>
        <v/>
      </c>
      <c r="U511">
        <f>IF($X511="","",COUNTIFS(상세표[사번키],INDEX(합계표[사번키],$X511),상세표[반영월],대상월키,상세표[야간당직],1,상세표[야간 구분],"평일",상세표[반영 기관],"서울병원"))</f>
        <v/>
      </c>
      <c r="V511">
        <f>IF($X511="","",COUNTIFS(상세표[사번키],INDEX(합계표[사번키],$X511),상세표[반영월],대상월키,상세표[야간당직],1,상세표[야간 구분],"휴일",상세표[반영 기관],"서울병원"))</f>
        <v/>
      </c>
      <c r="W511">
        <f>IF($X511="","",IF(ISNUMBER(MATCH(INDEX(합계표[사번키],$X511)&amp;"|"&amp;대상월키,월별근무지표[키],0)),"직접 입력",IF($L511="—","—","기관명단")))</f>
        <v/>
      </c>
      <c r="X511" s="4">
        <f>IFERROR(MATCH(506,합계표[판정순번],0),"")</f>
        <v/>
      </c>
    </row>
    <row r="512">
      <c r="A512">
        <f>IF($X512="","",INDEX(합계표[사번],$X512)&amp;"")</f>
        <v/>
      </c>
      <c r="B512">
        <f>IF($X512="","",INDEX(합계표[성명],$X512)&amp;"")</f>
        <v/>
      </c>
      <c r="C512">
        <f>IF($X512="","",INDEX(합계표[부서],$X512)&amp;"")</f>
        <v/>
      </c>
      <c r="D512">
        <f>IF($X512="","",INDEX(합계표[직위(요약)],$X512)&amp;"")</f>
        <v/>
      </c>
      <c r="E512">
        <f>IF($X512="","",INDEX(합계표[직급 공존],$X512)&amp;"")</f>
        <v/>
      </c>
      <c r="F512" s="20">
        <f>IF($X512="","",SUMIFS(합계표[시스템 합계],합계표[사번키],INDEX(합계표[사번키],$X512)))</f>
        <v/>
      </c>
      <c r="G512" s="20">
        <f>IF($X512="","",SUMIFS(상세표[기록 시간외],상세표[사번키],INDEX(합계표[사번키],$X512),상세표[기록월],대상월키))</f>
        <v/>
      </c>
      <c r="H512">
        <f>IF($X512="","",IF(ABS($F512-$G512)&lt;0.01,"일치","불일치(차이 "&amp;TEXT($G512-$F512,"0.00")&amp;")"))</f>
        <v/>
      </c>
      <c r="I512" s="20">
        <f>IF($X512="","",SUMIFS(상세표[기록 시간외],상세표[사번키],INDEX(합계표[사번키],$X512),상세표[기록월],대상월키,상세표[반영월],"&lt;&gt;"&amp;대상월키))</f>
        <v/>
      </c>
      <c r="J512" s="20">
        <f>IF($X512="","",SUMIFS(상세표[기록 시간외],상세표[사번키],INDEX(합계표[사번키],$X512),상세표[기록월],"&lt;&gt;"&amp;대상월키,상세표[반영월],대상월키))</f>
        <v/>
      </c>
      <c r="K512" s="20">
        <f>IF($X512="","",SUMIFS(상세표[기록 시간외],상세표[사번키],INDEX(합계표[사번키],$X512),상세표[반영월],대상월키))</f>
        <v/>
      </c>
      <c r="L512">
        <f>IF($X512="","",IFERROR(INDEX(월별근무지표[적용 급여병원],MATCH(INDEX(합계표[사번키],$X512)&amp;"|"&amp;대상월키,월별근무지표[키],0))&amp;"",IF(COUNTIF(기관표[사번키],INDEX(합계표[사번키],$X512))+COUNTIF(월별근무지표[사번키],INDEX(합계표[사번키],$X512))&gt;0,IFERROR(INDEX(기관표[급여지급병원(기준월)],MATCH(INDEX(합계표[사번키],$X512)&amp;"|"&amp;대상월키,기관표[키],0))&amp;"","—"),"—")))</f>
        <v/>
      </c>
      <c r="M512">
        <f>IF($X512="","",IF(NOT(COUNTIF(기관표[사번키],INDEX(합계표[사번키],$X512))+COUNTIF(월별근무지표[사번키],INDEX(합계표[사번키],$X512))&gt;0),"기관명단에 없음(다른 병원으로 발송)",IF($L512="서울병원","해당",IF(N($R512)&gt;0,"해당(말일 근무)",IF($L512="—","대상월 기관명단 없음(추가 필요)","비해당")))))</f>
        <v/>
      </c>
      <c r="N512" s="20">
        <f>IF($X512="","",SUMIFS(상세표[06~07시],상세표[사번키],INDEX(합계표[사번키],$X512),상세표[반영월],대상월키,상세표[반영 기관],"서울병원"))</f>
        <v/>
      </c>
      <c r="O512" s="20">
        <f>IF($X512="","",SUMIFS(상세표[07~18시],상세표[사번키],INDEX(합계표[사번키],$X512),상세표[반영월],대상월키,상세표[반영 기관],"서울병원"))</f>
        <v/>
      </c>
      <c r="P512" s="20">
        <f>IF($X512="","",SUMIFS(상세표[18~22시],상세표[사번키],INDEX(합계표[사번키],$X512),상세표[반영월],대상월키,상세표[반영 기관],"서울병원"))</f>
        <v/>
      </c>
      <c r="Q512" s="20">
        <f>IF($X512="","",SUMIFS(상세표[22~06시],상세표[사번키],INDEX(합계표[사번키],$X512),상세표[반영월],대상월키,상세표[반영 기관],"서울병원"))</f>
        <v/>
      </c>
      <c r="R512" s="20">
        <f>IF($X512="","",SUM($N512:$Q512))</f>
        <v/>
      </c>
      <c r="S512">
        <f>IF($X512="","",COUNTIFS(상세표[사번키],INDEX(합계표[사번키],$X512),상세표[반영월],대상월키,상세표[야간당직],1,상세표[야간 구분],"평일"))</f>
        <v/>
      </c>
      <c r="T512">
        <f>IF($X512="","",COUNTIFS(상세표[사번키],INDEX(합계표[사번키],$X512),상세표[반영월],대상월키,상세표[야간당직],1,상세표[야간 구분],"휴일"))</f>
        <v/>
      </c>
      <c r="U512">
        <f>IF($X512="","",COUNTIFS(상세표[사번키],INDEX(합계표[사번키],$X512),상세표[반영월],대상월키,상세표[야간당직],1,상세표[야간 구분],"평일",상세표[반영 기관],"서울병원"))</f>
        <v/>
      </c>
      <c r="V512">
        <f>IF($X512="","",COUNTIFS(상세표[사번키],INDEX(합계표[사번키],$X512),상세표[반영월],대상월키,상세표[야간당직],1,상세표[야간 구분],"휴일",상세표[반영 기관],"서울병원"))</f>
        <v/>
      </c>
      <c r="W512">
        <f>IF($X512="","",IF(ISNUMBER(MATCH(INDEX(합계표[사번키],$X512)&amp;"|"&amp;대상월키,월별근무지표[키],0)),"직접 입력",IF($L512="—","—","기관명단")))</f>
        <v/>
      </c>
      <c r="X512" s="4">
        <f>IFERROR(MATCH(507,합계표[판정순번],0),"")</f>
        <v/>
      </c>
    </row>
    <row r="513">
      <c r="A513">
        <f>IF($X513="","",INDEX(합계표[사번],$X513)&amp;"")</f>
        <v/>
      </c>
      <c r="B513">
        <f>IF($X513="","",INDEX(합계표[성명],$X513)&amp;"")</f>
        <v/>
      </c>
      <c r="C513">
        <f>IF($X513="","",INDEX(합계표[부서],$X513)&amp;"")</f>
        <v/>
      </c>
      <c r="D513">
        <f>IF($X513="","",INDEX(합계표[직위(요약)],$X513)&amp;"")</f>
        <v/>
      </c>
      <c r="E513">
        <f>IF($X513="","",INDEX(합계표[직급 공존],$X513)&amp;"")</f>
        <v/>
      </c>
      <c r="F513" s="20">
        <f>IF($X513="","",SUMIFS(합계표[시스템 합계],합계표[사번키],INDEX(합계표[사번키],$X513)))</f>
        <v/>
      </c>
      <c r="G513" s="20">
        <f>IF($X513="","",SUMIFS(상세표[기록 시간외],상세표[사번키],INDEX(합계표[사번키],$X513),상세표[기록월],대상월키))</f>
        <v/>
      </c>
      <c r="H513">
        <f>IF($X513="","",IF(ABS($F513-$G513)&lt;0.01,"일치","불일치(차이 "&amp;TEXT($G513-$F513,"0.00")&amp;")"))</f>
        <v/>
      </c>
      <c r="I513" s="20">
        <f>IF($X513="","",SUMIFS(상세표[기록 시간외],상세표[사번키],INDEX(합계표[사번키],$X513),상세표[기록월],대상월키,상세표[반영월],"&lt;&gt;"&amp;대상월키))</f>
        <v/>
      </c>
      <c r="J513" s="20">
        <f>IF($X513="","",SUMIFS(상세표[기록 시간외],상세표[사번키],INDEX(합계표[사번키],$X513),상세표[기록월],"&lt;&gt;"&amp;대상월키,상세표[반영월],대상월키))</f>
        <v/>
      </c>
      <c r="K513" s="20">
        <f>IF($X513="","",SUMIFS(상세표[기록 시간외],상세표[사번키],INDEX(합계표[사번키],$X513),상세표[반영월],대상월키))</f>
        <v/>
      </c>
      <c r="L513">
        <f>IF($X513="","",IFERROR(INDEX(월별근무지표[적용 급여병원],MATCH(INDEX(합계표[사번키],$X513)&amp;"|"&amp;대상월키,월별근무지표[키],0))&amp;"",IF(COUNTIF(기관표[사번키],INDEX(합계표[사번키],$X513))+COUNTIF(월별근무지표[사번키],INDEX(합계표[사번키],$X513))&gt;0,IFERROR(INDEX(기관표[급여지급병원(기준월)],MATCH(INDEX(합계표[사번키],$X513)&amp;"|"&amp;대상월키,기관표[키],0))&amp;"","—"),"—")))</f>
        <v/>
      </c>
      <c r="M513">
        <f>IF($X513="","",IF(NOT(COUNTIF(기관표[사번키],INDEX(합계표[사번키],$X513))+COUNTIF(월별근무지표[사번키],INDEX(합계표[사번키],$X513))&gt;0),"기관명단에 없음(다른 병원으로 발송)",IF($L513="서울병원","해당",IF(N($R513)&gt;0,"해당(말일 근무)",IF($L513="—","대상월 기관명단 없음(추가 필요)","비해당")))))</f>
        <v/>
      </c>
      <c r="N513" s="20">
        <f>IF($X513="","",SUMIFS(상세표[06~07시],상세표[사번키],INDEX(합계표[사번키],$X513),상세표[반영월],대상월키,상세표[반영 기관],"서울병원"))</f>
        <v/>
      </c>
      <c r="O513" s="20">
        <f>IF($X513="","",SUMIFS(상세표[07~18시],상세표[사번키],INDEX(합계표[사번키],$X513),상세표[반영월],대상월키,상세표[반영 기관],"서울병원"))</f>
        <v/>
      </c>
      <c r="P513" s="20">
        <f>IF($X513="","",SUMIFS(상세표[18~22시],상세표[사번키],INDEX(합계표[사번키],$X513),상세표[반영월],대상월키,상세표[반영 기관],"서울병원"))</f>
        <v/>
      </c>
      <c r="Q513" s="20">
        <f>IF($X513="","",SUMIFS(상세표[22~06시],상세표[사번키],INDEX(합계표[사번키],$X513),상세표[반영월],대상월키,상세표[반영 기관],"서울병원"))</f>
        <v/>
      </c>
      <c r="R513" s="20">
        <f>IF($X513="","",SUM($N513:$Q513))</f>
        <v/>
      </c>
      <c r="S513">
        <f>IF($X513="","",COUNTIFS(상세표[사번키],INDEX(합계표[사번키],$X513),상세표[반영월],대상월키,상세표[야간당직],1,상세표[야간 구분],"평일"))</f>
        <v/>
      </c>
      <c r="T513">
        <f>IF($X513="","",COUNTIFS(상세표[사번키],INDEX(합계표[사번키],$X513),상세표[반영월],대상월키,상세표[야간당직],1,상세표[야간 구분],"휴일"))</f>
        <v/>
      </c>
      <c r="U513">
        <f>IF($X513="","",COUNTIFS(상세표[사번키],INDEX(합계표[사번키],$X513),상세표[반영월],대상월키,상세표[야간당직],1,상세표[야간 구분],"평일",상세표[반영 기관],"서울병원"))</f>
        <v/>
      </c>
      <c r="V513">
        <f>IF($X513="","",COUNTIFS(상세표[사번키],INDEX(합계표[사번키],$X513),상세표[반영월],대상월키,상세표[야간당직],1,상세표[야간 구분],"휴일",상세표[반영 기관],"서울병원"))</f>
        <v/>
      </c>
      <c r="W513">
        <f>IF($X513="","",IF(ISNUMBER(MATCH(INDEX(합계표[사번키],$X513)&amp;"|"&amp;대상월키,월별근무지표[키],0)),"직접 입력",IF($L513="—","—","기관명단")))</f>
        <v/>
      </c>
      <c r="X513" s="4">
        <f>IFERROR(MATCH(508,합계표[판정순번],0),"")</f>
        <v/>
      </c>
    </row>
    <row r="514">
      <c r="A514">
        <f>IF($X514="","",INDEX(합계표[사번],$X514)&amp;"")</f>
        <v/>
      </c>
      <c r="B514">
        <f>IF($X514="","",INDEX(합계표[성명],$X514)&amp;"")</f>
        <v/>
      </c>
      <c r="C514">
        <f>IF($X514="","",INDEX(합계표[부서],$X514)&amp;"")</f>
        <v/>
      </c>
      <c r="D514">
        <f>IF($X514="","",INDEX(합계표[직위(요약)],$X514)&amp;"")</f>
        <v/>
      </c>
      <c r="E514">
        <f>IF($X514="","",INDEX(합계표[직급 공존],$X514)&amp;"")</f>
        <v/>
      </c>
      <c r="F514" s="20">
        <f>IF($X514="","",SUMIFS(합계표[시스템 합계],합계표[사번키],INDEX(합계표[사번키],$X514)))</f>
        <v/>
      </c>
      <c r="G514" s="20">
        <f>IF($X514="","",SUMIFS(상세표[기록 시간외],상세표[사번키],INDEX(합계표[사번키],$X514),상세표[기록월],대상월키))</f>
        <v/>
      </c>
      <c r="H514">
        <f>IF($X514="","",IF(ABS($F514-$G514)&lt;0.01,"일치","불일치(차이 "&amp;TEXT($G514-$F514,"0.00")&amp;")"))</f>
        <v/>
      </c>
      <c r="I514" s="20">
        <f>IF($X514="","",SUMIFS(상세표[기록 시간외],상세표[사번키],INDEX(합계표[사번키],$X514),상세표[기록월],대상월키,상세표[반영월],"&lt;&gt;"&amp;대상월키))</f>
        <v/>
      </c>
      <c r="J514" s="20">
        <f>IF($X514="","",SUMIFS(상세표[기록 시간외],상세표[사번키],INDEX(합계표[사번키],$X514),상세표[기록월],"&lt;&gt;"&amp;대상월키,상세표[반영월],대상월키))</f>
        <v/>
      </c>
      <c r="K514" s="20">
        <f>IF($X514="","",SUMIFS(상세표[기록 시간외],상세표[사번키],INDEX(합계표[사번키],$X514),상세표[반영월],대상월키))</f>
        <v/>
      </c>
      <c r="L514">
        <f>IF($X514="","",IFERROR(INDEX(월별근무지표[적용 급여병원],MATCH(INDEX(합계표[사번키],$X514)&amp;"|"&amp;대상월키,월별근무지표[키],0))&amp;"",IF(COUNTIF(기관표[사번키],INDEX(합계표[사번키],$X514))+COUNTIF(월별근무지표[사번키],INDEX(합계표[사번키],$X514))&gt;0,IFERROR(INDEX(기관표[급여지급병원(기준월)],MATCH(INDEX(합계표[사번키],$X514)&amp;"|"&amp;대상월키,기관표[키],0))&amp;"","—"),"—")))</f>
        <v/>
      </c>
      <c r="M514">
        <f>IF($X514="","",IF(NOT(COUNTIF(기관표[사번키],INDEX(합계표[사번키],$X514))+COUNTIF(월별근무지표[사번키],INDEX(합계표[사번키],$X514))&gt;0),"기관명단에 없음(다른 병원으로 발송)",IF($L514="서울병원","해당",IF(N($R514)&gt;0,"해당(말일 근무)",IF($L514="—","대상월 기관명단 없음(추가 필요)","비해당")))))</f>
        <v/>
      </c>
      <c r="N514" s="20">
        <f>IF($X514="","",SUMIFS(상세표[06~07시],상세표[사번키],INDEX(합계표[사번키],$X514),상세표[반영월],대상월키,상세표[반영 기관],"서울병원"))</f>
        <v/>
      </c>
      <c r="O514" s="20">
        <f>IF($X514="","",SUMIFS(상세표[07~18시],상세표[사번키],INDEX(합계표[사번키],$X514),상세표[반영월],대상월키,상세표[반영 기관],"서울병원"))</f>
        <v/>
      </c>
      <c r="P514" s="20">
        <f>IF($X514="","",SUMIFS(상세표[18~22시],상세표[사번키],INDEX(합계표[사번키],$X514),상세표[반영월],대상월키,상세표[반영 기관],"서울병원"))</f>
        <v/>
      </c>
      <c r="Q514" s="20">
        <f>IF($X514="","",SUMIFS(상세표[22~06시],상세표[사번키],INDEX(합계표[사번키],$X514),상세표[반영월],대상월키,상세표[반영 기관],"서울병원"))</f>
        <v/>
      </c>
      <c r="R514" s="20">
        <f>IF($X514="","",SUM($N514:$Q514))</f>
        <v/>
      </c>
      <c r="S514">
        <f>IF($X514="","",COUNTIFS(상세표[사번키],INDEX(합계표[사번키],$X514),상세표[반영월],대상월키,상세표[야간당직],1,상세표[야간 구분],"평일"))</f>
        <v/>
      </c>
      <c r="T514">
        <f>IF($X514="","",COUNTIFS(상세표[사번키],INDEX(합계표[사번키],$X514),상세표[반영월],대상월키,상세표[야간당직],1,상세표[야간 구분],"휴일"))</f>
        <v/>
      </c>
      <c r="U514">
        <f>IF($X514="","",COUNTIFS(상세표[사번키],INDEX(합계표[사번키],$X514),상세표[반영월],대상월키,상세표[야간당직],1,상세표[야간 구분],"평일",상세표[반영 기관],"서울병원"))</f>
        <v/>
      </c>
      <c r="V514">
        <f>IF($X514="","",COUNTIFS(상세표[사번키],INDEX(합계표[사번키],$X514),상세표[반영월],대상월키,상세표[야간당직],1,상세표[야간 구분],"휴일",상세표[반영 기관],"서울병원"))</f>
        <v/>
      </c>
      <c r="W514">
        <f>IF($X514="","",IF(ISNUMBER(MATCH(INDEX(합계표[사번키],$X514)&amp;"|"&amp;대상월키,월별근무지표[키],0)),"직접 입력",IF($L514="—","—","기관명단")))</f>
        <v/>
      </c>
      <c r="X514" s="4">
        <f>IFERROR(MATCH(509,합계표[판정순번],0),"")</f>
        <v/>
      </c>
    </row>
    <row r="515">
      <c r="A515">
        <f>IF($X515="","",INDEX(합계표[사번],$X515)&amp;"")</f>
        <v/>
      </c>
      <c r="B515">
        <f>IF($X515="","",INDEX(합계표[성명],$X515)&amp;"")</f>
        <v/>
      </c>
      <c r="C515">
        <f>IF($X515="","",INDEX(합계표[부서],$X515)&amp;"")</f>
        <v/>
      </c>
      <c r="D515">
        <f>IF($X515="","",INDEX(합계표[직위(요약)],$X515)&amp;"")</f>
        <v/>
      </c>
      <c r="E515">
        <f>IF($X515="","",INDEX(합계표[직급 공존],$X515)&amp;"")</f>
        <v/>
      </c>
      <c r="F515" s="20">
        <f>IF($X515="","",SUMIFS(합계표[시스템 합계],합계표[사번키],INDEX(합계표[사번키],$X515)))</f>
        <v/>
      </c>
      <c r="G515" s="20">
        <f>IF($X515="","",SUMIFS(상세표[기록 시간외],상세표[사번키],INDEX(합계표[사번키],$X515),상세표[기록월],대상월키))</f>
        <v/>
      </c>
      <c r="H515">
        <f>IF($X515="","",IF(ABS($F515-$G515)&lt;0.01,"일치","불일치(차이 "&amp;TEXT($G515-$F515,"0.00")&amp;")"))</f>
        <v/>
      </c>
      <c r="I515" s="20">
        <f>IF($X515="","",SUMIFS(상세표[기록 시간외],상세표[사번키],INDEX(합계표[사번키],$X515),상세표[기록월],대상월키,상세표[반영월],"&lt;&gt;"&amp;대상월키))</f>
        <v/>
      </c>
      <c r="J515" s="20">
        <f>IF($X515="","",SUMIFS(상세표[기록 시간외],상세표[사번키],INDEX(합계표[사번키],$X515),상세표[기록월],"&lt;&gt;"&amp;대상월키,상세표[반영월],대상월키))</f>
        <v/>
      </c>
      <c r="K515" s="20">
        <f>IF($X515="","",SUMIFS(상세표[기록 시간외],상세표[사번키],INDEX(합계표[사번키],$X515),상세표[반영월],대상월키))</f>
        <v/>
      </c>
      <c r="L515">
        <f>IF($X515="","",IFERROR(INDEX(월별근무지표[적용 급여병원],MATCH(INDEX(합계표[사번키],$X515)&amp;"|"&amp;대상월키,월별근무지표[키],0))&amp;"",IF(COUNTIF(기관표[사번키],INDEX(합계표[사번키],$X515))+COUNTIF(월별근무지표[사번키],INDEX(합계표[사번키],$X515))&gt;0,IFERROR(INDEX(기관표[급여지급병원(기준월)],MATCH(INDEX(합계표[사번키],$X515)&amp;"|"&amp;대상월키,기관표[키],0))&amp;"","—"),"—")))</f>
        <v/>
      </c>
      <c r="M515">
        <f>IF($X515="","",IF(NOT(COUNTIF(기관표[사번키],INDEX(합계표[사번키],$X515))+COUNTIF(월별근무지표[사번키],INDEX(합계표[사번키],$X515))&gt;0),"기관명단에 없음(다른 병원으로 발송)",IF($L515="서울병원","해당",IF(N($R515)&gt;0,"해당(말일 근무)",IF($L515="—","대상월 기관명단 없음(추가 필요)","비해당")))))</f>
        <v/>
      </c>
      <c r="N515" s="20">
        <f>IF($X515="","",SUMIFS(상세표[06~07시],상세표[사번키],INDEX(합계표[사번키],$X515),상세표[반영월],대상월키,상세표[반영 기관],"서울병원"))</f>
        <v/>
      </c>
      <c r="O515" s="20">
        <f>IF($X515="","",SUMIFS(상세표[07~18시],상세표[사번키],INDEX(합계표[사번키],$X515),상세표[반영월],대상월키,상세표[반영 기관],"서울병원"))</f>
        <v/>
      </c>
      <c r="P515" s="20">
        <f>IF($X515="","",SUMIFS(상세표[18~22시],상세표[사번키],INDEX(합계표[사번키],$X515),상세표[반영월],대상월키,상세표[반영 기관],"서울병원"))</f>
        <v/>
      </c>
      <c r="Q515" s="20">
        <f>IF($X515="","",SUMIFS(상세표[22~06시],상세표[사번키],INDEX(합계표[사번키],$X515),상세표[반영월],대상월키,상세표[반영 기관],"서울병원"))</f>
        <v/>
      </c>
      <c r="R515" s="20">
        <f>IF($X515="","",SUM($N515:$Q515))</f>
        <v/>
      </c>
      <c r="S515">
        <f>IF($X515="","",COUNTIFS(상세표[사번키],INDEX(합계표[사번키],$X515),상세표[반영월],대상월키,상세표[야간당직],1,상세표[야간 구분],"평일"))</f>
        <v/>
      </c>
      <c r="T515">
        <f>IF($X515="","",COUNTIFS(상세표[사번키],INDEX(합계표[사번키],$X515),상세표[반영월],대상월키,상세표[야간당직],1,상세표[야간 구분],"휴일"))</f>
        <v/>
      </c>
      <c r="U515">
        <f>IF($X515="","",COUNTIFS(상세표[사번키],INDEX(합계표[사번키],$X515),상세표[반영월],대상월키,상세표[야간당직],1,상세표[야간 구분],"평일",상세표[반영 기관],"서울병원"))</f>
        <v/>
      </c>
      <c r="V515">
        <f>IF($X515="","",COUNTIFS(상세표[사번키],INDEX(합계표[사번키],$X515),상세표[반영월],대상월키,상세표[야간당직],1,상세표[야간 구분],"휴일",상세표[반영 기관],"서울병원"))</f>
        <v/>
      </c>
      <c r="W515">
        <f>IF($X515="","",IF(ISNUMBER(MATCH(INDEX(합계표[사번키],$X515)&amp;"|"&amp;대상월키,월별근무지표[키],0)),"직접 입력",IF($L515="—","—","기관명단")))</f>
        <v/>
      </c>
      <c r="X515" s="4">
        <f>IFERROR(MATCH(510,합계표[판정순번],0),"")</f>
        <v/>
      </c>
    </row>
    <row r="516">
      <c r="A516">
        <f>IF($X516="","",INDEX(합계표[사번],$X516)&amp;"")</f>
        <v/>
      </c>
      <c r="B516">
        <f>IF($X516="","",INDEX(합계표[성명],$X516)&amp;"")</f>
        <v/>
      </c>
      <c r="C516">
        <f>IF($X516="","",INDEX(합계표[부서],$X516)&amp;"")</f>
        <v/>
      </c>
      <c r="D516">
        <f>IF($X516="","",INDEX(합계표[직위(요약)],$X516)&amp;"")</f>
        <v/>
      </c>
      <c r="E516">
        <f>IF($X516="","",INDEX(합계표[직급 공존],$X516)&amp;"")</f>
        <v/>
      </c>
      <c r="F516" s="20">
        <f>IF($X516="","",SUMIFS(합계표[시스템 합계],합계표[사번키],INDEX(합계표[사번키],$X516)))</f>
        <v/>
      </c>
      <c r="G516" s="20">
        <f>IF($X516="","",SUMIFS(상세표[기록 시간외],상세표[사번키],INDEX(합계표[사번키],$X516),상세표[기록월],대상월키))</f>
        <v/>
      </c>
      <c r="H516">
        <f>IF($X516="","",IF(ABS($F516-$G516)&lt;0.01,"일치","불일치(차이 "&amp;TEXT($G516-$F516,"0.00")&amp;")"))</f>
        <v/>
      </c>
      <c r="I516" s="20">
        <f>IF($X516="","",SUMIFS(상세표[기록 시간외],상세표[사번키],INDEX(합계표[사번키],$X516),상세표[기록월],대상월키,상세표[반영월],"&lt;&gt;"&amp;대상월키))</f>
        <v/>
      </c>
      <c r="J516" s="20">
        <f>IF($X516="","",SUMIFS(상세표[기록 시간외],상세표[사번키],INDEX(합계표[사번키],$X516),상세표[기록월],"&lt;&gt;"&amp;대상월키,상세표[반영월],대상월키))</f>
        <v/>
      </c>
      <c r="K516" s="20">
        <f>IF($X516="","",SUMIFS(상세표[기록 시간외],상세표[사번키],INDEX(합계표[사번키],$X516),상세표[반영월],대상월키))</f>
        <v/>
      </c>
      <c r="L516">
        <f>IF($X516="","",IFERROR(INDEX(월별근무지표[적용 급여병원],MATCH(INDEX(합계표[사번키],$X516)&amp;"|"&amp;대상월키,월별근무지표[키],0))&amp;"",IF(COUNTIF(기관표[사번키],INDEX(합계표[사번키],$X516))+COUNTIF(월별근무지표[사번키],INDEX(합계표[사번키],$X516))&gt;0,IFERROR(INDEX(기관표[급여지급병원(기준월)],MATCH(INDEX(합계표[사번키],$X516)&amp;"|"&amp;대상월키,기관표[키],0))&amp;"","—"),"—")))</f>
        <v/>
      </c>
      <c r="M516">
        <f>IF($X516="","",IF(NOT(COUNTIF(기관표[사번키],INDEX(합계표[사번키],$X516))+COUNTIF(월별근무지표[사번키],INDEX(합계표[사번키],$X516))&gt;0),"기관명단에 없음(다른 병원으로 발송)",IF($L516="서울병원","해당",IF(N($R516)&gt;0,"해당(말일 근무)",IF($L516="—","대상월 기관명단 없음(추가 필요)","비해당")))))</f>
        <v/>
      </c>
      <c r="N516" s="20">
        <f>IF($X516="","",SUMIFS(상세표[06~07시],상세표[사번키],INDEX(합계표[사번키],$X516),상세표[반영월],대상월키,상세표[반영 기관],"서울병원"))</f>
        <v/>
      </c>
      <c r="O516" s="20">
        <f>IF($X516="","",SUMIFS(상세표[07~18시],상세표[사번키],INDEX(합계표[사번키],$X516),상세표[반영월],대상월키,상세표[반영 기관],"서울병원"))</f>
        <v/>
      </c>
      <c r="P516" s="20">
        <f>IF($X516="","",SUMIFS(상세표[18~22시],상세표[사번키],INDEX(합계표[사번키],$X516),상세표[반영월],대상월키,상세표[반영 기관],"서울병원"))</f>
        <v/>
      </c>
      <c r="Q516" s="20">
        <f>IF($X516="","",SUMIFS(상세표[22~06시],상세표[사번키],INDEX(합계표[사번키],$X516),상세표[반영월],대상월키,상세표[반영 기관],"서울병원"))</f>
        <v/>
      </c>
      <c r="R516" s="20">
        <f>IF($X516="","",SUM($N516:$Q516))</f>
        <v/>
      </c>
      <c r="S516">
        <f>IF($X516="","",COUNTIFS(상세표[사번키],INDEX(합계표[사번키],$X516),상세표[반영월],대상월키,상세표[야간당직],1,상세표[야간 구분],"평일"))</f>
        <v/>
      </c>
      <c r="T516">
        <f>IF($X516="","",COUNTIFS(상세표[사번키],INDEX(합계표[사번키],$X516),상세표[반영월],대상월키,상세표[야간당직],1,상세표[야간 구분],"휴일"))</f>
        <v/>
      </c>
      <c r="U516">
        <f>IF($X516="","",COUNTIFS(상세표[사번키],INDEX(합계표[사번키],$X516),상세표[반영월],대상월키,상세표[야간당직],1,상세표[야간 구분],"평일",상세표[반영 기관],"서울병원"))</f>
        <v/>
      </c>
      <c r="V516">
        <f>IF($X516="","",COUNTIFS(상세표[사번키],INDEX(합계표[사번키],$X516),상세표[반영월],대상월키,상세표[야간당직],1,상세표[야간 구분],"휴일",상세표[반영 기관],"서울병원"))</f>
        <v/>
      </c>
      <c r="W516">
        <f>IF($X516="","",IF(ISNUMBER(MATCH(INDEX(합계표[사번키],$X516)&amp;"|"&amp;대상월키,월별근무지표[키],0)),"직접 입력",IF($L516="—","—","기관명단")))</f>
        <v/>
      </c>
      <c r="X516" s="4">
        <f>IFERROR(MATCH(511,합계표[판정순번],0),"")</f>
        <v/>
      </c>
    </row>
    <row r="517">
      <c r="A517">
        <f>IF($X517="","",INDEX(합계표[사번],$X517)&amp;"")</f>
        <v/>
      </c>
      <c r="B517">
        <f>IF($X517="","",INDEX(합계표[성명],$X517)&amp;"")</f>
        <v/>
      </c>
      <c r="C517">
        <f>IF($X517="","",INDEX(합계표[부서],$X517)&amp;"")</f>
        <v/>
      </c>
      <c r="D517">
        <f>IF($X517="","",INDEX(합계표[직위(요약)],$X517)&amp;"")</f>
        <v/>
      </c>
      <c r="E517">
        <f>IF($X517="","",INDEX(합계표[직급 공존],$X517)&amp;"")</f>
        <v/>
      </c>
      <c r="F517" s="20">
        <f>IF($X517="","",SUMIFS(합계표[시스템 합계],합계표[사번키],INDEX(합계표[사번키],$X517)))</f>
        <v/>
      </c>
      <c r="G517" s="20">
        <f>IF($X517="","",SUMIFS(상세표[기록 시간외],상세표[사번키],INDEX(합계표[사번키],$X517),상세표[기록월],대상월키))</f>
        <v/>
      </c>
      <c r="H517">
        <f>IF($X517="","",IF(ABS($F517-$G517)&lt;0.01,"일치","불일치(차이 "&amp;TEXT($G517-$F517,"0.00")&amp;")"))</f>
        <v/>
      </c>
      <c r="I517" s="20">
        <f>IF($X517="","",SUMIFS(상세표[기록 시간외],상세표[사번키],INDEX(합계표[사번키],$X517),상세표[기록월],대상월키,상세표[반영월],"&lt;&gt;"&amp;대상월키))</f>
        <v/>
      </c>
      <c r="J517" s="20">
        <f>IF($X517="","",SUMIFS(상세표[기록 시간외],상세표[사번키],INDEX(합계표[사번키],$X517),상세표[기록월],"&lt;&gt;"&amp;대상월키,상세표[반영월],대상월키))</f>
        <v/>
      </c>
      <c r="K517" s="20">
        <f>IF($X517="","",SUMIFS(상세표[기록 시간외],상세표[사번키],INDEX(합계표[사번키],$X517),상세표[반영월],대상월키))</f>
        <v/>
      </c>
      <c r="L517">
        <f>IF($X517="","",IFERROR(INDEX(월별근무지표[적용 급여병원],MATCH(INDEX(합계표[사번키],$X517)&amp;"|"&amp;대상월키,월별근무지표[키],0))&amp;"",IF(COUNTIF(기관표[사번키],INDEX(합계표[사번키],$X517))+COUNTIF(월별근무지표[사번키],INDEX(합계표[사번키],$X517))&gt;0,IFERROR(INDEX(기관표[급여지급병원(기준월)],MATCH(INDEX(합계표[사번키],$X517)&amp;"|"&amp;대상월키,기관표[키],0))&amp;"","—"),"—")))</f>
        <v/>
      </c>
      <c r="M517">
        <f>IF($X517="","",IF(NOT(COUNTIF(기관표[사번키],INDEX(합계표[사번키],$X517))+COUNTIF(월별근무지표[사번키],INDEX(합계표[사번키],$X517))&gt;0),"기관명단에 없음(다른 병원으로 발송)",IF($L517="서울병원","해당",IF(N($R517)&gt;0,"해당(말일 근무)",IF($L517="—","대상월 기관명단 없음(추가 필요)","비해당")))))</f>
        <v/>
      </c>
      <c r="N517" s="20">
        <f>IF($X517="","",SUMIFS(상세표[06~07시],상세표[사번키],INDEX(합계표[사번키],$X517),상세표[반영월],대상월키,상세표[반영 기관],"서울병원"))</f>
        <v/>
      </c>
      <c r="O517" s="20">
        <f>IF($X517="","",SUMIFS(상세표[07~18시],상세표[사번키],INDEX(합계표[사번키],$X517),상세표[반영월],대상월키,상세표[반영 기관],"서울병원"))</f>
        <v/>
      </c>
      <c r="P517" s="20">
        <f>IF($X517="","",SUMIFS(상세표[18~22시],상세표[사번키],INDEX(합계표[사번키],$X517),상세표[반영월],대상월키,상세표[반영 기관],"서울병원"))</f>
        <v/>
      </c>
      <c r="Q517" s="20">
        <f>IF($X517="","",SUMIFS(상세표[22~06시],상세표[사번키],INDEX(합계표[사번키],$X517),상세표[반영월],대상월키,상세표[반영 기관],"서울병원"))</f>
        <v/>
      </c>
      <c r="R517" s="20">
        <f>IF($X517="","",SUM($N517:$Q517))</f>
        <v/>
      </c>
      <c r="S517">
        <f>IF($X517="","",COUNTIFS(상세표[사번키],INDEX(합계표[사번키],$X517),상세표[반영월],대상월키,상세표[야간당직],1,상세표[야간 구분],"평일"))</f>
        <v/>
      </c>
      <c r="T517">
        <f>IF($X517="","",COUNTIFS(상세표[사번키],INDEX(합계표[사번키],$X517),상세표[반영월],대상월키,상세표[야간당직],1,상세표[야간 구분],"휴일"))</f>
        <v/>
      </c>
      <c r="U517">
        <f>IF($X517="","",COUNTIFS(상세표[사번키],INDEX(합계표[사번키],$X517),상세표[반영월],대상월키,상세표[야간당직],1,상세표[야간 구분],"평일",상세표[반영 기관],"서울병원"))</f>
        <v/>
      </c>
      <c r="V517">
        <f>IF($X517="","",COUNTIFS(상세표[사번키],INDEX(합계표[사번키],$X517),상세표[반영월],대상월키,상세표[야간당직],1,상세표[야간 구분],"휴일",상세표[반영 기관],"서울병원"))</f>
        <v/>
      </c>
      <c r="W517">
        <f>IF($X517="","",IF(ISNUMBER(MATCH(INDEX(합계표[사번키],$X517)&amp;"|"&amp;대상월키,월별근무지표[키],0)),"직접 입력",IF($L517="—","—","기관명단")))</f>
        <v/>
      </c>
      <c r="X517" s="4">
        <f>IFERROR(MATCH(512,합계표[판정순번],0),"")</f>
        <v/>
      </c>
    </row>
    <row r="518">
      <c r="A518">
        <f>IF($X518="","",INDEX(합계표[사번],$X518)&amp;"")</f>
        <v/>
      </c>
      <c r="B518">
        <f>IF($X518="","",INDEX(합계표[성명],$X518)&amp;"")</f>
        <v/>
      </c>
      <c r="C518">
        <f>IF($X518="","",INDEX(합계표[부서],$X518)&amp;"")</f>
        <v/>
      </c>
      <c r="D518">
        <f>IF($X518="","",INDEX(합계표[직위(요약)],$X518)&amp;"")</f>
        <v/>
      </c>
      <c r="E518">
        <f>IF($X518="","",INDEX(합계표[직급 공존],$X518)&amp;"")</f>
        <v/>
      </c>
      <c r="F518" s="20">
        <f>IF($X518="","",SUMIFS(합계표[시스템 합계],합계표[사번키],INDEX(합계표[사번키],$X518)))</f>
        <v/>
      </c>
      <c r="G518" s="20">
        <f>IF($X518="","",SUMIFS(상세표[기록 시간외],상세표[사번키],INDEX(합계표[사번키],$X518),상세표[기록월],대상월키))</f>
        <v/>
      </c>
      <c r="H518">
        <f>IF($X518="","",IF(ABS($F518-$G518)&lt;0.01,"일치","불일치(차이 "&amp;TEXT($G518-$F518,"0.00")&amp;")"))</f>
        <v/>
      </c>
      <c r="I518" s="20">
        <f>IF($X518="","",SUMIFS(상세표[기록 시간외],상세표[사번키],INDEX(합계표[사번키],$X518),상세표[기록월],대상월키,상세표[반영월],"&lt;&gt;"&amp;대상월키))</f>
        <v/>
      </c>
      <c r="J518" s="20">
        <f>IF($X518="","",SUMIFS(상세표[기록 시간외],상세표[사번키],INDEX(합계표[사번키],$X518),상세표[기록월],"&lt;&gt;"&amp;대상월키,상세표[반영월],대상월키))</f>
        <v/>
      </c>
      <c r="K518" s="20">
        <f>IF($X518="","",SUMIFS(상세표[기록 시간외],상세표[사번키],INDEX(합계표[사번키],$X518),상세표[반영월],대상월키))</f>
        <v/>
      </c>
      <c r="L518">
        <f>IF($X518="","",IFERROR(INDEX(월별근무지표[적용 급여병원],MATCH(INDEX(합계표[사번키],$X518)&amp;"|"&amp;대상월키,월별근무지표[키],0))&amp;"",IF(COUNTIF(기관표[사번키],INDEX(합계표[사번키],$X518))+COUNTIF(월별근무지표[사번키],INDEX(합계표[사번키],$X518))&gt;0,IFERROR(INDEX(기관표[급여지급병원(기준월)],MATCH(INDEX(합계표[사번키],$X518)&amp;"|"&amp;대상월키,기관표[키],0))&amp;"","—"),"—")))</f>
        <v/>
      </c>
      <c r="M518">
        <f>IF($X518="","",IF(NOT(COUNTIF(기관표[사번키],INDEX(합계표[사번키],$X518))+COUNTIF(월별근무지표[사번키],INDEX(합계표[사번키],$X518))&gt;0),"기관명단에 없음(다른 병원으로 발송)",IF($L518="서울병원","해당",IF(N($R518)&gt;0,"해당(말일 근무)",IF($L518="—","대상월 기관명단 없음(추가 필요)","비해당")))))</f>
        <v/>
      </c>
      <c r="N518" s="20">
        <f>IF($X518="","",SUMIFS(상세표[06~07시],상세표[사번키],INDEX(합계표[사번키],$X518),상세표[반영월],대상월키,상세표[반영 기관],"서울병원"))</f>
        <v/>
      </c>
      <c r="O518" s="20">
        <f>IF($X518="","",SUMIFS(상세표[07~18시],상세표[사번키],INDEX(합계표[사번키],$X518),상세표[반영월],대상월키,상세표[반영 기관],"서울병원"))</f>
        <v/>
      </c>
      <c r="P518" s="20">
        <f>IF($X518="","",SUMIFS(상세표[18~22시],상세표[사번키],INDEX(합계표[사번키],$X518),상세표[반영월],대상월키,상세표[반영 기관],"서울병원"))</f>
        <v/>
      </c>
      <c r="Q518" s="20">
        <f>IF($X518="","",SUMIFS(상세표[22~06시],상세표[사번키],INDEX(합계표[사번키],$X518),상세표[반영월],대상월키,상세표[반영 기관],"서울병원"))</f>
        <v/>
      </c>
      <c r="R518" s="20">
        <f>IF($X518="","",SUM($N518:$Q518))</f>
        <v/>
      </c>
      <c r="S518">
        <f>IF($X518="","",COUNTIFS(상세표[사번키],INDEX(합계표[사번키],$X518),상세표[반영월],대상월키,상세표[야간당직],1,상세표[야간 구분],"평일"))</f>
        <v/>
      </c>
      <c r="T518">
        <f>IF($X518="","",COUNTIFS(상세표[사번키],INDEX(합계표[사번키],$X518),상세표[반영월],대상월키,상세표[야간당직],1,상세표[야간 구분],"휴일"))</f>
        <v/>
      </c>
      <c r="U518">
        <f>IF($X518="","",COUNTIFS(상세표[사번키],INDEX(합계표[사번키],$X518),상세표[반영월],대상월키,상세표[야간당직],1,상세표[야간 구분],"평일",상세표[반영 기관],"서울병원"))</f>
        <v/>
      </c>
      <c r="V518">
        <f>IF($X518="","",COUNTIFS(상세표[사번키],INDEX(합계표[사번키],$X518),상세표[반영월],대상월키,상세표[야간당직],1,상세표[야간 구분],"휴일",상세표[반영 기관],"서울병원"))</f>
        <v/>
      </c>
      <c r="W518">
        <f>IF($X518="","",IF(ISNUMBER(MATCH(INDEX(합계표[사번키],$X518)&amp;"|"&amp;대상월키,월별근무지표[키],0)),"직접 입력",IF($L518="—","—","기관명단")))</f>
        <v/>
      </c>
      <c r="X518" s="4">
        <f>IFERROR(MATCH(513,합계표[판정순번],0),"")</f>
        <v/>
      </c>
    </row>
    <row r="519">
      <c r="A519">
        <f>IF($X519="","",INDEX(합계표[사번],$X519)&amp;"")</f>
        <v/>
      </c>
      <c r="B519">
        <f>IF($X519="","",INDEX(합계표[성명],$X519)&amp;"")</f>
        <v/>
      </c>
      <c r="C519">
        <f>IF($X519="","",INDEX(합계표[부서],$X519)&amp;"")</f>
        <v/>
      </c>
      <c r="D519">
        <f>IF($X519="","",INDEX(합계표[직위(요약)],$X519)&amp;"")</f>
        <v/>
      </c>
      <c r="E519">
        <f>IF($X519="","",INDEX(합계표[직급 공존],$X519)&amp;"")</f>
        <v/>
      </c>
      <c r="F519" s="20">
        <f>IF($X519="","",SUMIFS(합계표[시스템 합계],합계표[사번키],INDEX(합계표[사번키],$X519)))</f>
        <v/>
      </c>
      <c r="G519" s="20">
        <f>IF($X519="","",SUMIFS(상세표[기록 시간외],상세표[사번키],INDEX(합계표[사번키],$X519),상세표[기록월],대상월키))</f>
        <v/>
      </c>
      <c r="H519">
        <f>IF($X519="","",IF(ABS($F519-$G519)&lt;0.01,"일치","불일치(차이 "&amp;TEXT($G519-$F519,"0.00")&amp;")"))</f>
        <v/>
      </c>
      <c r="I519" s="20">
        <f>IF($X519="","",SUMIFS(상세표[기록 시간외],상세표[사번키],INDEX(합계표[사번키],$X519),상세표[기록월],대상월키,상세표[반영월],"&lt;&gt;"&amp;대상월키))</f>
        <v/>
      </c>
      <c r="J519" s="20">
        <f>IF($X519="","",SUMIFS(상세표[기록 시간외],상세표[사번키],INDEX(합계표[사번키],$X519),상세표[기록월],"&lt;&gt;"&amp;대상월키,상세표[반영월],대상월키))</f>
        <v/>
      </c>
      <c r="K519" s="20">
        <f>IF($X519="","",SUMIFS(상세표[기록 시간외],상세표[사번키],INDEX(합계표[사번키],$X519),상세표[반영월],대상월키))</f>
        <v/>
      </c>
      <c r="L519">
        <f>IF($X519="","",IFERROR(INDEX(월별근무지표[적용 급여병원],MATCH(INDEX(합계표[사번키],$X519)&amp;"|"&amp;대상월키,월별근무지표[키],0))&amp;"",IF(COUNTIF(기관표[사번키],INDEX(합계표[사번키],$X519))+COUNTIF(월별근무지표[사번키],INDEX(합계표[사번키],$X519))&gt;0,IFERROR(INDEX(기관표[급여지급병원(기준월)],MATCH(INDEX(합계표[사번키],$X519)&amp;"|"&amp;대상월키,기관표[키],0))&amp;"","—"),"—")))</f>
        <v/>
      </c>
      <c r="M519">
        <f>IF($X519="","",IF(NOT(COUNTIF(기관표[사번키],INDEX(합계표[사번키],$X519))+COUNTIF(월별근무지표[사번키],INDEX(합계표[사번키],$X519))&gt;0),"기관명단에 없음(다른 병원으로 발송)",IF($L519="서울병원","해당",IF(N($R519)&gt;0,"해당(말일 근무)",IF($L519="—","대상월 기관명단 없음(추가 필요)","비해당")))))</f>
        <v/>
      </c>
      <c r="N519" s="20">
        <f>IF($X519="","",SUMIFS(상세표[06~07시],상세표[사번키],INDEX(합계표[사번키],$X519),상세표[반영월],대상월키,상세표[반영 기관],"서울병원"))</f>
        <v/>
      </c>
      <c r="O519" s="20">
        <f>IF($X519="","",SUMIFS(상세표[07~18시],상세표[사번키],INDEX(합계표[사번키],$X519),상세표[반영월],대상월키,상세표[반영 기관],"서울병원"))</f>
        <v/>
      </c>
      <c r="P519" s="20">
        <f>IF($X519="","",SUMIFS(상세표[18~22시],상세표[사번키],INDEX(합계표[사번키],$X519),상세표[반영월],대상월키,상세표[반영 기관],"서울병원"))</f>
        <v/>
      </c>
      <c r="Q519" s="20">
        <f>IF($X519="","",SUMIFS(상세표[22~06시],상세표[사번키],INDEX(합계표[사번키],$X519),상세표[반영월],대상월키,상세표[반영 기관],"서울병원"))</f>
        <v/>
      </c>
      <c r="R519" s="20">
        <f>IF($X519="","",SUM($N519:$Q519))</f>
        <v/>
      </c>
      <c r="S519">
        <f>IF($X519="","",COUNTIFS(상세표[사번키],INDEX(합계표[사번키],$X519),상세표[반영월],대상월키,상세표[야간당직],1,상세표[야간 구분],"평일"))</f>
        <v/>
      </c>
      <c r="T519">
        <f>IF($X519="","",COUNTIFS(상세표[사번키],INDEX(합계표[사번키],$X519),상세표[반영월],대상월키,상세표[야간당직],1,상세표[야간 구분],"휴일"))</f>
        <v/>
      </c>
      <c r="U519">
        <f>IF($X519="","",COUNTIFS(상세표[사번키],INDEX(합계표[사번키],$X519),상세표[반영월],대상월키,상세표[야간당직],1,상세표[야간 구분],"평일",상세표[반영 기관],"서울병원"))</f>
        <v/>
      </c>
      <c r="V519">
        <f>IF($X519="","",COUNTIFS(상세표[사번키],INDEX(합계표[사번키],$X519),상세표[반영월],대상월키,상세표[야간당직],1,상세표[야간 구분],"휴일",상세표[반영 기관],"서울병원"))</f>
        <v/>
      </c>
      <c r="W519">
        <f>IF($X519="","",IF(ISNUMBER(MATCH(INDEX(합계표[사번키],$X519)&amp;"|"&amp;대상월키,월별근무지표[키],0)),"직접 입력",IF($L519="—","—","기관명단")))</f>
        <v/>
      </c>
      <c r="X519" s="4">
        <f>IFERROR(MATCH(514,합계표[판정순번],0),"")</f>
        <v/>
      </c>
    </row>
    <row r="520">
      <c r="A520">
        <f>IF($X520="","",INDEX(합계표[사번],$X520)&amp;"")</f>
        <v/>
      </c>
      <c r="B520">
        <f>IF($X520="","",INDEX(합계표[성명],$X520)&amp;"")</f>
        <v/>
      </c>
      <c r="C520">
        <f>IF($X520="","",INDEX(합계표[부서],$X520)&amp;"")</f>
        <v/>
      </c>
      <c r="D520">
        <f>IF($X520="","",INDEX(합계표[직위(요약)],$X520)&amp;"")</f>
        <v/>
      </c>
      <c r="E520">
        <f>IF($X520="","",INDEX(합계표[직급 공존],$X520)&amp;"")</f>
        <v/>
      </c>
      <c r="F520" s="20">
        <f>IF($X520="","",SUMIFS(합계표[시스템 합계],합계표[사번키],INDEX(합계표[사번키],$X520)))</f>
        <v/>
      </c>
      <c r="G520" s="20">
        <f>IF($X520="","",SUMIFS(상세표[기록 시간외],상세표[사번키],INDEX(합계표[사번키],$X520),상세표[기록월],대상월키))</f>
        <v/>
      </c>
      <c r="H520">
        <f>IF($X520="","",IF(ABS($F520-$G520)&lt;0.01,"일치","불일치(차이 "&amp;TEXT($G520-$F520,"0.00")&amp;")"))</f>
        <v/>
      </c>
      <c r="I520" s="20">
        <f>IF($X520="","",SUMIFS(상세표[기록 시간외],상세표[사번키],INDEX(합계표[사번키],$X520),상세표[기록월],대상월키,상세표[반영월],"&lt;&gt;"&amp;대상월키))</f>
        <v/>
      </c>
      <c r="J520" s="20">
        <f>IF($X520="","",SUMIFS(상세표[기록 시간외],상세표[사번키],INDEX(합계표[사번키],$X520),상세표[기록월],"&lt;&gt;"&amp;대상월키,상세표[반영월],대상월키))</f>
        <v/>
      </c>
      <c r="K520" s="20">
        <f>IF($X520="","",SUMIFS(상세표[기록 시간외],상세표[사번키],INDEX(합계표[사번키],$X520),상세표[반영월],대상월키))</f>
        <v/>
      </c>
      <c r="L520">
        <f>IF($X520="","",IFERROR(INDEX(월별근무지표[적용 급여병원],MATCH(INDEX(합계표[사번키],$X520)&amp;"|"&amp;대상월키,월별근무지표[키],0))&amp;"",IF(COUNTIF(기관표[사번키],INDEX(합계표[사번키],$X520))+COUNTIF(월별근무지표[사번키],INDEX(합계표[사번키],$X520))&gt;0,IFERROR(INDEX(기관표[급여지급병원(기준월)],MATCH(INDEX(합계표[사번키],$X520)&amp;"|"&amp;대상월키,기관표[키],0))&amp;"","—"),"—")))</f>
        <v/>
      </c>
      <c r="M520">
        <f>IF($X520="","",IF(NOT(COUNTIF(기관표[사번키],INDEX(합계표[사번키],$X520))+COUNTIF(월별근무지표[사번키],INDEX(합계표[사번키],$X520))&gt;0),"기관명단에 없음(다른 병원으로 발송)",IF($L520="서울병원","해당",IF(N($R520)&gt;0,"해당(말일 근무)",IF($L520="—","대상월 기관명단 없음(추가 필요)","비해당")))))</f>
        <v/>
      </c>
      <c r="N520" s="20">
        <f>IF($X520="","",SUMIFS(상세표[06~07시],상세표[사번키],INDEX(합계표[사번키],$X520),상세표[반영월],대상월키,상세표[반영 기관],"서울병원"))</f>
        <v/>
      </c>
      <c r="O520" s="20">
        <f>IF($X520="","",SUMIFS(상세표[07~18시],상세표[사번키],INDEX(합계표[사번키],$X520),상세표[반영월],대상월키,상세표[반영 기관],"서울병원"))</f>
        <v/>
      </c>
      <c r="P520" s="20">
        <f>IF($X520="","",SUMIFS(상세표[18~22시],상세표[사번키],INDEX(합계표[사번키],$X520),상세표[반영월],대상월키,상세표[반영 기관],"서울병원"))</f>
        <v/>
      </c>
      <c r="Q520" s="20">
        <f>IF($X520="","",SUMIFS(상세표[22~06시],상세표[사번키],INDEX(합계표[사번키],$X520),상세표[반영월],대상월키,상세표[반영 기관],"서울병원"))</f>
        <v/>
      </c>
      <c r="R520" s="20">
        <f>IF($X520="","",SUM($N520:$Q520))</f>
        <v/>
      </c>
      <c r="S520">
        <f>IF($X520="","",COUNTIFS(상세표[사번키],INDEX(합계표[사번키],$X520),상세표[반영월],대상월키,상세표[야간당직],1,상세표[야간 구분],"평일"))</f>
        <v/>
      </c>
      <c r="T520">
        <f>IF($X520="","",COUNTIFS(상세표[사번키],INDEX(합계표[사번키],$X520),상세표[반영월],대상월키,상세표[야간당직],1,상세표[야간 구분],"휴일"))</f>
        <v/>
      </c>
      <c r="U520">
        <f>IF($X520="","",COUNTIFS(상세표[사번키],INDEX(합계표[사번키],$X520),상세표[반영월],대상월키,상세표[야간당직],1,상세표[야간 구분],"평일",상세표[반영 기관],"서울병원"))</f>
        <v/>
      </c>
      <c r="V520">
        <f>IF($X520="","",COUNTIFS(상세표[사번키],INDEX(합계표[사번키],$X520),상세표[반영월],대상월키,상세표[야간당직],1,상세표[야간 구분],"휴일",상세표[반영 기관],"서울병원"))</f>
        <v/>
      </c>
      <c r="W520">
        <f>IF($X520="","",IF(ISNUMBER(MATCH(INDEX(합계표[사번키],$X520)&amp;"|"&amp;대상월키,월별근무지표[키],0)),"직접 입력",IF($L520="—","—","기관명단")))</f>
        <v/>
      </c>
      <c r="X520" s="4">
        <f>IFERROR(MATCH(515,합계표[판정순번],0),"")</f>
        <v/>
      </c>
    </row>
    <row r="521">
      <c r="A521">
        <f>IF($X521="","",INDEX(합계표[사번],$X521)&amp;"")</f>
        <v/>
      </c>
      <c r="B521">
        <f>IF($X521="","",INDEX(합계표[성명],$X521)&amp;"")</f>
        <v/>
      </c>
      <c r="C521">
        <f>IF($X521="","",INDEX(합계표[부서],$X521)&amp;"")</f>
        <v/>
      </c>
      <c r="D521">
        <f>IF($X521="","",INDEX(합계표[직위(요약)],$X521)&amp;"")</f>
        <v/>
      </c>
      <c r="E521">
        <f>IF($X521="","",INDEX(합계표[직급 공존],$X521)&amp;"")</f>
        <v/>
      </c>
      <c r="F521" s="20">
        <f>IF($X521="","",SUMIFS(합계표[시스템 합계],합계표[사번키],INDEX(합계표[사번키],$X521)))</f>
        <v/>
      </c>
      <c r="G521" s="20">
        <f>IF($X521="","",SUMIFS(상세표[기록 시간외],상세표[사번키],INDEX(합계표[사번키],$X521),상세표[기록월],대상월키))</f>
        <v/>
      </c>
      <c r="H521">
        <f>IF($X521="","",IF(ABS($F521-$G521)&lt;0.01,"일치","불일치(차이 "&amp;TEXT($G521-$F521,"0.00")&amp;")"))</f>
        <v/>
      </c>
      <c r="I521" s="20">
        <f>IF($X521="","",SUMIFS(상세표[기록 시간외],상세표[사번키],INDEX(합계표[사번키],$X521),상세표[기록월],대상월키,상세표[반영월],"&lt;&gt;"&amp;대상월키))</f>
        <v/>
      </c>
      <c r="J521" s="20">
        <f>IF($X521="","",SUMIFS(상세표[기록 시간외],상세표[사번키],INDEX(합계표[사번키],$X521),상세표[기록월],"&lt;&gt;"&amp;대상월키,상세표[반영월],대상월키))</f>
        <v/>
      </c>
      <c r="K521" s="20">
        <f>IF($X521="","",SUMIFS(상세표[기록 시간외],상세표[사번키],INDEX(합계표[사번키],$X521),상세표[반영월],대상월키))</f>
        <v/>
      </c>
      <c r="L521">
        <f>IF($X521="","",IFERROR(INDEX(월별근무지표[적용 급여병원],MATCH(INDEX(합계표[사번키],$X521)&amp;"|"&amp;대상월키,월별근무지표[키],0))&amp;"",IF(COUNTIF(기관표[사번키],INDEX(합계표[사번키],$X521))+COUNTIF(월별근무지표[사번키],INDEX(합계표[사번키],$X521))&gt;0,IFERROR(INDEX(기관표[급여지급병원(기준월)],MATCH(INDEX(합계표[사번키],$X521)&amp;"|"&amp;대상월키,기관표[키],0))&amp;"","—"),"—")))</f>
        <v/>
      </c>
      <c r="M521">
        <f>IF($X521="","",IF(NOT(COUNTIF(기관표[사번키],INDEX(합계표[사번키],$X521))+COUNTIF(월별근무지표[사번키],INDEX(합계표[사번키],$X521))&gt;0),"기관명단에 없음(다른 병원으로 발송)",IF($L521="서울병원","해당",IF(N($R521)&gt;0,"해당(말일 근무)",IF($L521="—","대상월 기관명단 없음(추가 필요)","비해당")))))</f>
        <v/>
      </c>
      <c r="N521" s="20">
        <f>IF($X521="","",SUMIFS(상세표[06~07시],상세표[사번키],INDEX(합계표[사번키],$X521),상세표[반영월],대상월키,상세표[반영 기관],"서울병원"))</f>
        <v/>
      </c>
      <c r="O521" s="20">
        <f>IF($X521="","",SUMIFS(상세표[07~18시],상세표[사번키],INDEX(합계표[사번키],$X521),상세표[반영월],대상월키,상세표[반영 기관],"서울병원"))</f>
        <v/>
      </c>
      <c r="P521" s="20">
        <f>IF($X521="","",SUMIFS(상세표[18~22시],상세표[사번키],INDEX(합계표[사번키],$X521),상세표[반영월],대상월키,상세표[반영 기관],"서울병원"))</f>
        <v/>
      </c>
      <c r="Q521" s="20">
        <f>IF($X521="","",SUMIFS(상세표[22~06시],상세표[사번키],INDEX(합계표[사번키],$X521),상세표[반영월],대상월키,상세표[반영 기관],"서울병원"))</f>
        <v/>
      </c>
      <c r="R521" s="20">
        <f>IF($X521="","",SUM($N521:$Q521))</f>
        <v/>
      </c>
      <c r="S521">
        <f>IF($X521="","",COUNTIFS(상세표[사번키],INDEX(합계표[사번키],$X521),상세표[반영월],대상월키,상세표[야간당직],1,상세표[야간 구분],"평일"))</f>
        <v/>
      </c>
      <c r="T521">
        <f>IF($X521="","",COUNTIFS(상세표[사번키],INDEX(합계표[사번키],$X521),상세표[반영월],대상월키,상세표[야간당직],1,상세표[야간 구분],"휴일"))</f>
        <v/>
      </c>
      <c r="U521">
        <f>IF($X521="","",COUNTIFS(상세표[사번키],INDEX(합계표[사번키],$X521),상세표[반영월],대상월키,상세표[야간당직],1,상세표[야간 구분],"평일",상세표[반영 기관],"서울병원"))</f>
        <v/>
      </c>
      <c r="V521">
        <f>IF($X521="","",COUNTIFS(상세표[사번키],INDEX(합계표[사번키],$X521),상세표[반영월],대상월키,상세표[야간당직],1,상세표[야간 구분],"휴일",상세표[반영 기관],"서울병원"))</f>
        <v/>
      </c>
      <c r="W521">
        <f>IF($X521="","",IF(ISNUMBER(MATCH(INDEX(합계표[사번키],$X521)&amp;"|"&amp;대상월키,월별근무지표[키],0)),"직접 입력",IF($L521="—","—","기관명단")))</f>
        <v/>
      </c>
      <c r="X521" s="4">
        <f>IFERROR(MATCH(516,합계표[판정순번],0),"")</f>
        <v/>
      </c>
    </row>
    <row r="522">
      <c r="A522">
        <f>IF($X522="","",INDEX(합계표[사번],$X522)&amp;"")</f>
        <v/>
      </c>
      <c r="B522">
        <f>IF($X522="","",INDEX(합계표[성명],$X522)&amp;"")</f>
        <v/>
      </c>
      <c r="C522">
        <f>IF($X522="","",INDEX(합계표[부서],$X522)&amp;"")</f>
        <v/>
      </c>
      <c r="D522">
        <f>IF($X522="","",INDEX(합계표[직위(요약)],$X522)&amp;"")</f>
        <v/>
      </c>
      <c r="E522">
        <f>IF($X522="","",INDEX(합계표[직급 공존],$X522)&amp;"")</f>
        <v/>
      </c>
      <c r="F522" s="20">
        <f>IF($X522="","",SUMIFS(합계표[시스템 합계],합계표[사번키],INDEX(합계표[사번키],$X522)))</f>
        <v/>
      </c>
      <c r="G522" s="20">
        <f>IF($X522="","",SUMIFS(상세표[기록 시간외],상세표[사번키],INDEX(합계표[사번키],$X522),상세표[기록월],대상월키))</f>
        <v/>
      </c>
      <c r="H522">
        <f>IF($X522="","",IF(ABS($F522-$G522)&lt;0.01,"일치","불일치(차이 "&amp;TEXT($G522-$F522,"0.00")&amp;")"))</f>
        <v/>
      </c>
      <c r="I522" s="20">
        <f>IF($X522="","",SUMIFS(상세표[기록 시간외],상세표[사번키],INDEX(합계표[사번키],$X522),상세표[기록월],대상월키,상세표[반영월],"&lt;&gt;"&amp;대상월키))</f>
        <v/>
      </c>
      <c r="J522" s="20">
        <f>IF($X522="","",SUMIFS(상세표[기록 시간외],상세표[사번키],INDEX(합계표[사번키],$X522),상세표[기록월],"&lt;&gt;"&amp;대상월키,상세표[반영월],대상월키))</f>
        <v/>
      </c>
      <c r="K522" s="20">
        <f>IF($X522="","",SUMIFS(상세표[기록 시간외],상세표[사번키],INDEX(합계표[사번키],$X522),상세표[반영월],대상월키))</f>
        <v/>
      </c>
      <c r="L522">
        <f>IF($X522="","",IFERROR(INDEX(월별근무지표[적용 급여병원],MATCH(INDEX(합계표[사번키],$X522)&amp;"|"&amp;대상월키,월별근무지표[키],0))&amp;"",IF(COUNTIF(기관표[사번키],INDEX(합계표[사번키],$X522))+COUNTIF(월별근무지표[사번키],INDEX(합계표[사번키],$X522))&gt;0,IFERROR(INDEX(기관표[급여지급병원(기준월)],MATCH(INDEX(합계표[사번키],$X522)&amp;"|"&amp;대상월키,기관표[키],0))&amp;"","—"),"—")))</f>
        <v/>
      </c>
      <c r="M522">
        <f>IF($X522="","",IF(NOT(COUNTIF(기관표[사번키],INDEX(합계표[사번키],$X522))+COUNTIF(월별근무지표[사번키],INDEX(합계표[사번키],$X522))&gt;0),"기관명단에 없음(다른 병원으로 발송)",IF($L522="서울병원","해당",IF(N($R522)&gt;0,"해당(말일 근무)",IF($L522="—","대상월 기관명단 없음(추가 필요)","비해당")))))</f>
        <v/>
      </c>
      <c r="N522" s="20">
        <f>IF($X522="","",SUMIFS(상세표[06~07시],상세표[사번키],INDEX(합계표[사번키],$X522),상세표[반영월],대상월키,상세표[반영 기관],"서울병원"))</f>
        <v/>
      </c>
      <c r="O522" s="20">
        <f>IF($X522="","",SUMIFS(상세표[07~18시],상세표[사번키],INDEX(합계표[사번키],$X522),상세표[반영월],대상월키,상세표[반영 기관],"서울병원"))</f>
        <v/>
      </c>
      <c r="P522" s="20">
        <f>IF($X522="","",SUMIFS(상세표[18~22시],상세표[사번키],INDEX(합계표[사번키],$X522),상세표[반영월],대상월키,상세표[반영 기관],"서울병원"))</f>
        <v/>
      </c>
      <c r="Q522" s="20">
        <f>IF($X522="","",SUMIFS(상세표[22~06시],상세표[사번키],INDEX(합계표[사번키],$X522),상세표[반영월],대상월키,상세표[반영 기관],"서울병원"))</f>
        <v/>
      </c>
      <c r="R522" s="20">
        <f>IF($X522="","",SUM($N522:$Q522))</f>
        <v/>
      </c>
      <c r="S522">
        <f>IF($X522="","",COUNTIFS(상세표[사번키],INDEX(합계표[사번키],$X522),상세표[반영월],대상월키,상세표[야간당직],1,상세표[야간 구분],"평일"))</f>
        <v/>
      </c>
      <c r="T522">
        <f>IF($X522="","",COUNTIFS(상세표[사번키],INDEX(합계표[사번키],$X522),상세표[반영월],대상월키,상세표[야간당직],1,상세표[야간 구분],"휴일"))</f>
        <v/>
      </c>
      <c r="U522">
        <f>IF($X522="","",COUNTIFS(상세표[사번키],INDEX(합계표[사번키],$X522),상세표[반영월],대상월키,상세표[야간당직],1,상세표[야간 구분],"평일",상세표[반영 기관],"서울병원"))</f>
        <v/>
      </c>
      <c r="V522">
        <f>IF($X522="","",COUNTIFS(상세표[사번키],INDEX(합계표[사번키],$X522),상세표[반영월],대상월키,상세표[야간당직],1,상세표[야간 구분],"휴일",상세표[반영 기관],"서울병원"))</f>
        <v/>
      </c>
      <c r="W522">
        <f>IF($X522="","",IF(ISNUMBER(MATCH(INDEX(합계표[사번키],$X522)&amp;"|"&amp;대상월키,월별근무지표[키],0)),"직접 입력",IF($L522="—","—","기관명단")))</f>
        <v/>
      </c>
      <c r="X522" s="4">
        <f>IFERROR(MATCH(517,합계표[판정순번],0),"")</f>
        <v/>
      </c>
    </row>
    <row r="523">
      <c r="A523">
        <f>IF($X523="","",INDEX(합계표[사번],$X523)&amp;"")</f>
        <v/>
      </c>
      <c r="B523">
        <f>IF($X523="","",INDEX(합계표[성명],$X523)&amp;"")</f>
        <v/>
      </c>
      <c r="C523">
        <f>IF($X523="","",INDEX(합계표[부서],$X523)&amp;"")</f>
        <v/>
      </c>
      <c r="D523">
        <f>IF($X523="","",INDEX(합계표[직위(요약)],$X523)&amp;"")</f>
        <v/>
      </c>
      <c r="E523">
        <f>IF($X523="","",INDEX(합계표[직급 공존],$X523)&amp;"")</f>
        <v/>
      </c>
      <c r="F523" s="20">
        <f>IF($X523="","",SUMIFS(합계표[시스템 합계],합계표[사번키],INDEX(합계표[사번키],$X523)))</f>
        <v/>
      </c>
      <c r="G523" s="20">
        <f>IF($X523="","",SUMIFS(상세표[기록 시간외],상세표[사번키],INDEX(합계표[사번키],$X523),상세표[기록월],대상월키))</f>
        <v/>
      </c>
      <c r="H523">
        <f>IF($X523="","",IF(ABS($F523-$G523)&lt;0.01,"일치","불일치(차이 "&amp;TEXT($G523-$F523,"0.00")&amp;")"))</f>
        <v/>
      </c>
      <c r="I523" s="20">
        <f>IF($X523="","",SUMIFS(상세표[기록 시간외],상세표[사번키],INDEX(합계표[사번키],$X523),상세표[기록월],대상월키,상세표[반영월],"&lt;&gt;"&amp;대상월키))</f>
        <v/>
      </c>
      <c r="J523" s="20">
        <f>IF($X523="","",SUMIFS(상세표[기록 시간외],상세표[사번키],INDEX(합계표[사번키],$X523),상세표[기록월],"&lt;&gt;"&amp;대상월키,상세표[반영월],대상월키))</f>
        <v/>
      </c>
      <c r="K523" s="20">
        <f>IF($X523="","",SUMIFS(상세표[기록 시간외],상세표[사번키],INDEX(합계표[사번키],$X523),상세표[반영월],대상월키))</f>
        <v/>
      </c>
      <c r="L523">
        <f>IF($X523="","",IFERROR(INDEX(월별근무지표[적용 급여병원],MATCH(INDEX(합계표[사번키],$X523)&amp;"|"&amp;대상월키,월별근무지표[키],0))&amp;"",IF(COUNTIF(기관표[사번키],INDEX(합계표[사번키],$X523))+COUNTIF(월별근무지표[사번키],INDEX(합계표[사번키],$X523))&gt;0,IFERROR(INDEX(기관표[급여지급병원(기준월)],MATCH(INDEX(합계표[사번키],$X523)&amp;"|"&amp;대상월키,기관표[키],0))&amp;"","—"),"—")))</f>
        <v/>
      </c>
      <c r="M523">
        <f>IF($X523="","",IF(NOT(COUNTIF(기관표[사번키],INDEX(합계표[사번키],$X523))+COUNTIF(월별근무지표[사번키],INDEX(합계표[사번키],$X523))&gt;0),"기관명단에 없음(다른 병원으로 발송)",IF($L523="서울병원","해당",IF(N($R523)&gt;0,"해당(말일 근무)",IF($L523="—","대상월 기관명단 없음(추가 필요)","비해당")))))</f>
        <v/>
      </c>
      <c r="N523" s="20">
        <f>IF($X523="","",SUMIFS(상세표[06~07시],상세표[사번키],INDEX(합계표[사번키],$X523),상세표[반영월],대상월키,상세표[반영 기관],"서울병원"))</f>
        <v/>
      </c>
      <c r="O523" s="20">
        <f>IF($X523="","",SUMIFS(상세표[07~18시],상세표[사번키],INDEX(합계표[사번키],$X523),상세표[반영월],대상월키,상세표[반영 기관],"서울병원"))</f>
        <v/>
      </c>
      <c r="P523" s="20">
        <f>IF($X523="","",SUMIFS(상세표[18~22시],상세표[사번키],INDEX(합계표[사번키],$X523),상세표[반영월],대상월키,상세표[반영 기관],"서울병원"))</f>
        <v/>
      </c>
      <c r="Q523" s="20">
        <f>IF($X523="","",SUMIFS(상세표[22~06시],상세표[사번키],INDEX(합계표[사번키],$X523),상세표[반영월],대상월키,상세표[반영 기관],"서울병원"))</f>
        <v/>
      </c>
      <c r="R523" s="20">
        <f>IF($X523="","",SUM($N523:$Q523))</f>
        <v/>
      </c>
      <c r="S523">
        <f>IF($X523="","",COUNTIFS(상세표[사번키],INDEX(합계표[사번키],$X523),상세표[반영월],대상월키,상세표[야간당직],1,상세표[야간 구분],"평일"))</f>
        <v/>
      </c>
      <c r="T523">
        <f>IF($X523="","",COUNTIFS(상세표[사번키],INDEX(합계표[사번키],$X523),상세표[반영월],대상월키,상세표[야간당직],1,상세표[야간 구분],"휴일"))</f>
        <v/>
      </c>
      <c r="U523">
        <f>IF($X523="","",COUNTIFS(상세표[사번키],INDEX(합계표[사번키],$X523),상세표[반영월],대상월키,상세표[야간당직],1,상세표[야간 구분],"평일",상세표[반영 기관],"서울병원"))</f>
        <v/>
      </c>
      <c r="V523">
        <f>IF($X523="","",COUNTIFS(상세표[사번키],INDEX(합계표[사번키],$X523),상세표[반영월],대상월키,상세표[야간당직],1,상세표[야간 구분],"휴일",상세표[반영 기관],"서울병원"))</f>
        <v/>
      </c>
      <c r="W523">
        <f>IF($X523="","",IF(ISNUMBER(MATCH(INDEX(합계표[사번키],$X523)&amp;"|"&amp;대상월키,월별근무지표[키],0)),"직접 입력",IF($L523="—","—","기관명단")))</f>
        <v/>
      </c>
      <c r="X523" s="4">
        <f>IFERROR(MATCH(518,합계표[판정순번],0),"")</f>
        <v/>
      </c>
    </row>
    <row r="524">
      <c r="A524">
        <f>IF($X524="","",INDEX(합계표[사번],$X524)&amp;"")</f>
        <v/>
      </c>
      <c r="B524">
        <f>IF($X524="","",INDEX(합계표[성명],$X524)&amp;"")</f>
        <v/>
      </c>
      <c r="C524">
        <f>IF($X524="","",INDEX(합계표[부서],$X524)&amp;"")</f>
        <v/>
      </c>
      <c r="D524">
        <f>IF($X524="","",INDEX(합계표[직위(요약)],$X524)&amp;"")</f>
        <v/>
      </c>
      <c r="E524">
        <f>IF($X524="","",INDEX(합계표[직급 공존],$X524)&amp;"")</f>
        <v/>
      </c>
      <c r="F524" s="20">
        <f>IF($X524="","",SUMIFS(합계표[시스템 합계],합계표[사번키],INDEX(합계표[사번키],$X524)))</f>
        <v/>
      </c>
      <c r="G524" s="20">
        <f>IF($X524="","",SUMIFS(상세표[기록 시간외],상세표[사번키],INDEX(합계표[사번키],$X524),상세표[기록월],대상월키))</f>
        <v/>
      </c>
      <c r="H524">
        <f>IF($X524="","",IF(ABS($F524-$G524)&lt;0.01,"일치","불일치(차이 "&amp;TEXT($G524-$F524,"0.00")&amp;")"))</f>
        <v/>
      </c>
      <c r="I524" s="20">
        <f>IF($X524="","",SUMIFS(상세표[기록 시간외],상세표[사번키],INDEX(합계표[사번키],$X524),상세표[기록월],대상월키,상세표[반영월],"&lt;&gt;"&amp;대상월키))</f>
        <v/>
      </c>
      <c r="J524" s="20">
        <f>IF($X524="","",SUMIFS(상세표[기록 시간외],상세표[사번키],INDEX(합계표[사번키],$X524),상세표[기록월],"&lt;&gt;"&amp;대상월키,상세표[반영월],대상월키))</f>
        <v/>
      </c>
      <c r="K524" s="20">
        <f>IF($X524="","",SUMIFS(상세표[기록 시간외],상세표[사번키],INDEX(합계표[사번키],$X524),상세표[반영월],대상월키))</f>
        <v/>
      </c>
      <c r="L524">
        <f>IF($X524="","",IFERROR(INDEX(월별근무지표[적용 급여병원],MATCH(INDEX(합계표[사번키],$X524)&amp;"|"&amp;대상월키,월별근무지표[키],0))&amp;"",IF(COUNTIF(기관표[사번키],INDEX(합계표[사번키],$X524))+COUNTIF(월별근무지표[사번키],INDEX(합계표[사번키],$X524))&gt;0,IFERROR(INDEX(기관표[급여지급병원(기준월)],MATCH(INDEX(합계표[사번키],$X524)&amp;"|"&amp;대상월키,기관표[키],0))&amp;"","—"),"—")))</f>
        <v/>
      </c>
      <c r="M524">
        <f>IF($X524="","",IF(NOT(COUNTIF(기관표[사번키],INDEX(합계표[사번키],$X524))+COUNTIF(월별근무지표[사번키],INDEX(합계표[사번키],$X524))&gt;0),"기관명단에 없음(다른 병원으로 발송)",IF($L524="서울병원","해당",IF(N($R524)&gt;0,"해당(말일 근무)",IF($L524="—","대상월 기관명단 없음(추가 필요)","비해당")))))</f>
        <v/>
      </c>
      <c r="N524" s="20">
        <f>IF($X524="","",SUMIFS(상세표[06~07시],상세표[사번키],INDEX(합계표[사번키],$X524),상세표[반영월],대상월키,상세표[반영 기관],"서울병원"))</f>
        <v/>
      </c>
      <c r="O524" s="20">
        <f>IF($X524="","",SUMIFS(상세표[07~18시],상세표[사번키],INDEX(합계표[사번키],$X524),상세표[반영월],대상월키,상세표[반영 기관],"서울병원"))</f>
        <v/>
      </c>
      <c r="P524" s="20">
        <f>IF($X524="","",SUMIFS(상세표[18~22시],상세표[사번키],INDEX(합계표[사번키],$X524),상세표[반영월],대상월키,상세표[반영 기관],"서울병원"))</f>
        <v/>
      </c>
      <c r="Q524" s="20">
        <f>IF($X524="","",SUMIFS(상세표[22~06시],상세표[사번키],INDEX(합계표[사번키],$X524),상세표[반영월],대상월키,상세표[반영 기관],"서울병원"))</f>
        <v/>
      </c>
      <c r="R524" s="20">
        <f>IF($X524="","",SUM($N524:$Q524))</f>
        <v/>
      </c>
      <c r="S524">
        <f>IF($X524="","",COUNTIFS(상세표[사번키],INDEX(합계표[사번키],$X524),상세표[반영월],대상월키,상세표[야간당직],1,상세표[야간 구분],"평일"))</f>
        <v/>
      </c>
      <c r="T524">
        <f>IF($X524="","",COUNTIFS(상세표[사번키],INDEX(합계표[사번키],$X524),상세표[반영월],대상월키,상세표[야간당직],1,상세표[야간 구분],"휴일"))</f>
        <v/>
      </c>
      <c r="U524">
        <f>IF($X524="","",COUNTIFS(상세표[사번키],INDEX(합계표[사번키],$X524),상세표[반영월],대상월키,상세표[야간당직],1,상세표[야간 구분],"평일",상세표[반영 기관],"서울병원"))</f>
        <v/>
      </c>
      <c r="V524">
        <f>IF($X524="","",COUNTIFS(상세표[사번키],INDEX(합계표[사번키],$X524),상세표[반영월],대상월키,상세표[야간당직],1,상세표[야간 구분],"휴일",상세표[반영 기관],"서울병원"))</f>
        <v/>
      </c>
      <c r="W524">
        <f>IF($X524="","",IF(ISNUMBER(MATCH(INDEX(합계표[사번키],$X524)&amp;"|"&amp;대상월키,월별근무지표[키],0)),"직접 입력",IF($L524="—","—","기관명단")))</f>
        <v/>
      </c>
      <c r="X524" s="4">
        <f>IFERROR(MATCH(519,합계표[판정순번],0),"")</f>
        <v/>
      </c>
    </row>
    <row r="525">
      <c r="A525">
        <f>IF($X525="","",INDEX(합계표[사번],$X525)&amp;"")</f>
        <v/>
      </c>
      <c r="B525">
        <f>IF($X525="","",INDEX(합계표[성명],$X525)&amp;"")</f>
        <v/>
      </c>
      <c r="C525">
        <f>IF($X525="","",INDEX(합계표[부서],$X525)&amp;"")</f>
        <v/>
      </c>
      <c r="D525">
        <f>IF($X525="","",INDEX(합계표[직위(요약)],$X525)&amp;"")</f>
        <v/>
      </c>
      <c r="E525">
        <f>IF($X525="","",INDEX(합계표[직급 공존],$X525)&amp;"")</f>
        <v/>
      </c>
      <c r="F525" s="20">
        <f>IF($X525="","",SUMIFS(합계표[시스템 합계],합계표[사번키],INDEX(합계표[사번키],$X525)))</f>
        <v/>
      </c>
      <c r="G525" s="20">
        <f>IF($X525="","",SUMIFS(상세표[기록 시간외],상세표[사번키],INDEX(합계표[사번키],$X525),상세표[기록월],대상월키))</f>
        <v/>
      </c>
      <c r="H525">
        <f>IF($X525="","",IF(ABS($F525-$G525)&lt;0.01,"일치","불일치(차이 "&amp;TEXT($G525-$F525,"0.00")&amp;")"))</f>
        <v/>
      </c>
      <c r="I525" s="20">
        <f>IF($X525="","",SUMIFS(상세표[기록 시간외],상세표[사번키],INDEX(합계표[사번키],$X525),상세표[기록월],대상월키,상세표[반영월],"&lt;&gt;"&amp;대상월키))</f>
        <v/>
      </c>
      <c r="J525" s="20">
        <f>IF($X525="","",SUMIFS(상세표[기록 시간외],상세표[사번키],INDEX(합계표[사번키],$X525),상세표[기록월],"&lt;&gt;"&amp;대상월키,상세표[반영월],대상월키))</f>
        <v/>
      </c>
      <c r="K525" s="20">
        <f>IF($X525="","",SUMIFS(상세표[기록 시간외],상세표[사번키],INDEX(합계표[사번키],$X525),상세표[반영월],대상월키))</f>
        <v/>
      </c>
      <c r="L525">
        <f>IF($X525="","",IFERROR(INDEX(월별근무지표[적용 급여병원],MATCH(INDEX(합계표[사번키],$X525)&amp;"|"&amp;대상월키,월별근무지표[키],0))&amp;"",IF(COUNTIF(기관표[사번키],INDEX(합계표[사번키],$X525))+COUNTIF(월별근무지표[사번키],INDEX(합계표[사번키],$X525))&gt;0,IFERROR(INDEX(기관표[급여지급병원(기준월)],MATCH(INDEX(합계표[사번키],$X525)&amp;"|"&amp;대상월키,기관표[키],0))&amp;"","—"),"—")))</f>
        <v/>
      </c>
      <c r="M525">
        <f>IF($X525="","",IF(NOT(COUNTIF(기관표[사번키],INDEX(합계표[사번키],$X525))+COUNTIF(월별근무지표[사번키],INDEX(합계표[사번키],$X525))&gt;0),"기관명단에 없음(다른 병원으로 발송)",IF($L525="서울병원","해당",IF(N($R525)&gt;0,"해당(말일 근무)",IF($L525="—","대상월 기관명단 없음(추가 필요)","비해당")))))</f>
        <v/>
      </c>
      <c r="N525" s="20">
        <f>IF($X525="","",SUMIFS(상세표[06~07시],상세표[사번키],INDEX(합계표[사번키],$X525),상세표[반영월],대상월키,상세표[반영 기관],"서울병원"))</f>
        <v/>
      </c>
      <c r="O525" s="20">
        <f>IF($X525="","",SUMIFS(상세표[07~18시],상세표[사번키],INDEX(합계표[사번키],$X525),상세표[반영월],대상월키,상세표[반영 기관],"서울병원"))</f>
        <v/>
      </c>
      <c r="P525" s="20">
        <f>IF($X525="","",SUMIFS(상세표[18~22시],상세표[사번키],INDEX(합계표[사번키],$X525),상세표[반영월],대상월키,상세표[반영 기관],"서울병원"))</f>
        <v/>
      </c>
      <c r="Q525" s="20">
        <f>IF($X525="","",SUMIFS(상세표[22~06시],상세표[사번키],INDEX(합계표[사번키],$X525),상세표[반영월],대상월키,상세표[반영 기관],"서울병원"))</f>
        <v/>
      </c>
      <c r="R525" s="20">
        <f>IF($X525="","",SUM($N525:$Q525))</f>
        <v/>
      </c>
      <c r="S525">
        <f>IF($X525="","",COUNTIFS(상세표[사번키],INDEX(합계표[사번키],$X525),상세표[반영월],대상월키,상세표[야간당직],1,상세표[야간 구분],"평일"))</f>
        <v/>
      </c>
      <c r="T525">
        <f>IF($X525="","",COUNTIFS(상세표[사번키],INDEX(합계표[사번키],$X525),상세표[반영월],대상월키,상세표[야간당직],1,상세표[야간 구분],"휴일"))</f>
        <v/>
      </c>
      <c r="U525">
        <f>IF($X525="","",COUNTIFS(상세표[사번키],INDEX(합계표[사번키],$X525),상세표[반영월],대상월키,상세표[야간당직],1,상세표[야간 구분],"평일",상세표[반영 기관],"서울병원"))</f>
        <v/>
      </c>
      <c r="V525">
        <f>IF($X525="","",COUNTIFS(상세표[사번키],INDEX(합계표[사번키],$X525),상세표[반영월],대상월키,상세표[야간당직],1,상세표[야간 구분],"휴일",상세표[반영 기관],"서울병원"))</f>
        <v/>
      </c>
      <c r="W525">
        <f>IF($X525="","",IF(ISNUMBER(MATCH(INDEX(합계표[사번키],$X525)&amp;"|"&amp;대상월키,월별근무지표[키],0)),"직접 입력",IF($L525="—","—","기관명단")))</f>
        <v/>
      </c>
      <c r="X525" s="4">
        <f>IFERROR(MATCH(520,합계표[판정순번],0),"")</f>
        <v/>
      </c>
    </row>
    <row r="526">
      <c r="A526">
        <f>IF($X526="","",INDEX(합계표[사번],$X526)&amp;"")</f>
        <v/>
      </c>
      <c r="B526">
        <f>IF($X526="","",INDEX(합계표[성명],$X526)&amp;"")</f>
        <v/>
      </c>
      <c r="C526">
        <f>IF($X526="","",INDEX(합계표[부서],$X526)&amp;"")</f>
        <v/>
      </c>
      <c r="D526">
        <f>IF($X526="","",INDEX(합계표[직위(요약)],$X526)&amp;"")</f>
        <v/>
      </c>
      <c r="E526">
        <f>IF($X526="","",INDEX(합계표[직급 공존],$X526)&amp;"")</f>
        <v/>
      </c>
      <c r="F526" s="20">
        <f>IF($X526="","",SUMIFS(합계표[시스템 합계],합계표[사번키],INDEX(합계표[사번키],$X526)))</f>
        <v/>
      </c>
      <c r="G526" s="20">
        <f>IF($X526="","",SUMIFS(상세표[기록 시간외],상세표[사번키],INDEX(합계표[사번키],$X526),상세표[기록월],대상월키))</f>
        <v/>
      </c>
      <c r="H526">
        <f>IF($X526="","",IF(ABS($F526-$G526)&lt;0.01,"일치","불일치(차이 "&amp;TEXT($G526-$F526,"0.00")&amp;")"))</f>
        <v/>
      </c>
      <c r="I526" s="20">
        <f>IF($X526="","",SUMIFS(상세표[기록 시간외],상세표[사번키],INDEX(합계표[사번키],$X526),상세표[기록월],대상월키,상세표[반영월],"&lt;&gt;"&amp;대상월키))</f>
        <v/>
      </c>
      <c r="J526" s="20">
        <f>IF($X526="","",SUMIFS(상세표[기록 시간외],상세표[사번키],INDEX(합계표[사번키],$X526),상세표[기록월],"&lt;&gt;"&amp;대상월키,상세표[반영월],대상월키))</f>
        <v/>
      </c>
      <c r="K526" s="20">
        <f>IF($X526="","",SUMIFS(상세표[기록 시간외],상세표[사번키],INDEX(합계표[사번키],$X526),상세표[반영월],대상월키))</f>
        <v/>
      </c>
      <c r="L526">
        <f>IF($X526="","",IFERROR(INDEX(월별근무지표[적용 급여병원],MATCH(INDEX(합계표[사번키],$X526)&amp;"|"&amp;대상월키,월별근무지표[키],0))&amp;"",IF(COUNTIF(기관표[사번키],INDEX(합계표[사번키],$X526))+COUNTIF(월별근무지표[사번키],INDEX(합계표[사번키],$X526))&gt;0,IFERROR(INDEX(기관표[급여지급병원(기준월)],MATCH(INDEX(합계표[사번키],$X526)&amp;"|"&amp;대상월키,기관표[키],0))&amp;"","—"),"—")))</f>
        <v/>
      </c>
      <c r="M526">
        <f>IF($X526="","",IF(NOT(COUNTIF(기관표[사번키],INDEX(합계표[사번키],$X526))+COUNTIF(월별근무지표[사번키],INDEX(합계표[사번키],$X526))&gt;0),"기관명단에 없음(다른 병원으로 발송)",IF($L526="서울병원","해당",IF(N($R526)&gt;0,"해당(말일 근무)",IF($L526="—","대상월 기관명단 없음(추가 필요)","비해당")))))</f>
        <v/>
      </c>
      <c r="N526" s="20">
        <f>IF($X526="","",SUMIFS(상세표[06~07시],상세표[사번키],INDEX(합계표[사번키],$X526),상세표[반영월],대상월키,상세표[반영 기관],"서울병원"))</f>
        <v/>
      </c>
      <c r="O526" s="20">
        <f>IF($X526="","",SUMIFS(상세표[07~18시],상세표[사번키],INDEX(합계표[사번키],$X526),상세표[반영월],대상월키,상세표[반영 기관],"서울병원"))</f>
        <v/>
      </c>
      <c r="P526" s="20">
        <f>IF($X526="","",SUMIFS(상세표[18~22시],상세표[사번키],INDEX(합계표[사번키],$X526),상세표[반영월],대상월키,상세표[반영 기관],"서울병원"))</f>
        <v/>
      </c>
      <c r="Q526" s="20">
        <f>IF($X526="","",SUMIFS(상세표[22~06시],상세표[사번키],INDEX(합계표[사번키],$X526),상세표[반영월],대상월키,상세표[반영 기관],"서울병원"))</f>
        <v/>
      </c>
      <c r="R526" s="20">
        <f>IF($X526="","",SUM($N526:$Q526))</f>
        <v/>
      </c>
      <c r="S526">
        <f>IF($X526="","",COUNTIFS(상세표[사번키],INDEX(합계표[사번키],$X526),상세표[반영월],대상월키,상세표[야간당직],1,상세표[야간 구분],"평일"))</f>
        <v/>
      </c>
      <c r="T526">
        <f>IF($X526="","",COUNTIFS(상세표[사번키],INDEX(합계표[사번키],$X526),상세표[반영월],대상월키,상세표[야간당직],1,상세표[야간 구분],"휴일"))</f>
        <v/>
      </c>
      <c r="U526">
        <f>IF($X526="","",COUNTIFS(상세표[사번키],INDEX(합계표[사번키],$X526),상세표[반영월],대상월키,상세표[야간당직],1,상세표[야간 구분],"평일",상세표[반영 기관],"서울병원"))</f>
        <v/>
      </c>
      <c r="V526">
        <f>IF($X526="","",COUNTIFS(상세표[사번키],INDEX(합계표[사번키],$X526),상세표[반영월],대상월키,상세표[야간당직],1,상세표[야간 구분],"휴일",상세표[반영 기관],"서울병원"))</f>
        <v/>
      </c>
      <c r="W526">
        <f>IF($X526="","",IF(ISNUMBER(MATCH(INDEX(합계표[사번키],$X526)&amp;"|"&amp;대상월키,월별근무지표[키],0)),"직접 입력",IF($L526="—","—","기관명단")))</f>
        <v/>
      </c>
      <c r="X526" s="4">
        <f>IFERROR(MATCH(521,합계표[판정순번],0),"")</f>
        <v/>
      </c>
    </row>
    <row r="527">
      <c r="A527">
        <f>IF($X527="","",INDEX(합계표[사번],$X527)&amp;"")</f>
        <v/>
      </c>
      <c r="B527">
        <f>IF($X527="","",INDEX(합계표[성명],$X527)&amp;"")</f>
        <v/>
      </c>
      <c r="C527">
        <f>IF($X527="","",INDEX(합계표[부서],$X527)&amp;"")</f>
        <v/>
      </c>
      <c r="D527">
        <f>IF($X527="","",INDEX(합계표[직위(요약)],$X527)&amp;"")</f>
        <v/>
      </c>
      <c r="E527">
        <f>IF($X527="","",INDEX(합계표[직급 공존],$X527)&amp;"")</f>
        <v/>
      </c>
      <c r="F527" s="20">
        <f>IF($X527="","",SUMIFS(합계표[시스템 합계],합계표[사번키],INDEX(합계표[사번키],$X527)))</f>
        <v/>
      </c>
      <c r="G527" s="20">
        <f>IF($X527="","",SUMIFS(상세표[기록 시간외],상세표[사번키],INDEX(합계표[사번키],$X527),상세표[기록월],대상월키))</f>
        <v/>
      </c>
      <c r="H527">
        <f>IF($X527="","",IF(ABS($F527-$G527)&lt;0.01,"일치","불일치(차이 "&amp;TEXT($G527-$F527,"0.00")&amp;")"))</f>
        <v/>
      </c>
      <c r="I527" s="20">
        <f>IF($X527="","",SUMIFS(상세표[기록 시간외],상세표[사번키],INDEX(합계표[사번키],$X527),상세표[기록월],대상월키,상세표[반영월],"&lt;&gt;"&amp;대상월키))</f>
        <v/>
      </c>
      <c r="J527" s="20">
        <f>IF($X527="","",SUMIFS(상세표[기록 시간외],상세표[사번키],INDEX(합계표[사번키],$X527),상세표[기록월],"&lt;&gt;"&amp;대상월키,상세표[반영월],대상월키))</f>
        <v/>
      </c>
      <c r="K527" s="20">
        <f>IF($X527="","",SUMIFS(상세표[기록 시간외],상세표[사번키],INDEX(합계표[사번키],$X527),상세표[반영월],대상월키))</f>
        <v/>
      </c>
      <c r="L527">
        <f>IF($X527="","",IFERROR(INDEX(월별근무지표[적용 급여병원],MATCH(INDEX(합계표[사번키],$X527)&amp;"|"&amp;대상월키,월별근무지표[키],0))&amp;"",IF(COUNTIF(기관표[사번키],INDEX(합계표[사번키],$X527))+COUNTIF(월별근무지표[사번키],INDEX(합계표[사번키],$X527))&gt;0,IFERROR(INDEX(기관표[급여지급병원(기준월)],MATCH(INDEX(합계표[사번키],$X527)&amp;"|"&amp;대상월키,기관표[키],0))&amp;"","—"),"—")))</f>
        <v/>
      </c>
      <c r="M527">
        <f>IF($X527="","",IF(NOT(COUNTIF(기관표[사번키],INDEX(합계표[사번키],$X527))+COUNTIF(월별근무지표[사번키],INDEX(합계표[사번키],$X527))&gt;0),"기관명단에 없음(다른 병원으로 발송)",IF($L527="서울병원","해당",IF(N($R527)&gt;0,"해당(말일 근무)",IF($L527="—","대상월 기관명단 없음(추가 필요)","비해당")))))</f>
        <v/>
      </c>
      <c r="N527" s="20">
        <f>IF($X527="","",SUMIFS(상세표[06~07시],상세표[사번키],INDEX(합계표[사번키],$X527),상세표[반영월],대상월키,상세표[반영 기관],"서울병원"))</f>
        <v/>
      </c>
      <c r="O527" s="20">
        <f>IF($X527="","",SUMIFS(상세표[07~18시],상세표[사번키],INDEX(합계표[사번키],$X527),상세표[반영월],대상월키,상세표[반영 기관],"서울병원"))</f>
        <v/>
      </c>
      <c r="P527" s="20">
        <f>IF($X527="","",SUMIFS(상세표[18~22시],상세표[사번키],INDEX(합계표[사번키],$X527),상세표[반영월],대상월키,상세표[반영 기관],"서울병원"))</f>
        <v/>
      </c>
      <c r="Q527" s="20">
        <f>IF($X527="","",SUMIFS(상세표[22~06시],상세표[사번키],INDEX(합계표[사번키],$X527),상세표[반영월],대상월키,상세표[반영 기관],"서울병원"))</f>
        <v/>
      </c>
      <c r="R527" s="20">
        <f>IF($X527="","",SUM($N527:$Q527))</f>
        <v/>
      </c>
      <c r="S527">
        <f>IF($X527="","",COUNTIFS(상세표[사번키],INDEX(합계표[사번키],$X527),상세표[반영월],대상월키,상세표[야간당직],1,상세표[야간 구분],"평일"))</f>
        <v/>
      </c>
      <c r="T527">
        <f>IF($X527="","",COUNTIFS(상세표[사번키],INDEX(합계표[사번키],$X527),상세표[반영월],대상월키,상세표[야간당직],1,상세표[야간 구분],"휴일"))</f>
        <v/>
      </c>
      <c r="U527">
        <f>IF($X527="","",COUNTIFS(상세표[사번키],INDEX(합계표[사번키],$X527),상세표[반영월],대상월키,상세표[야간당직],1,상세표[야간 구분],"평일",상세표[반영 기관],"서울병원"))</f>
        <v/>
      </c>
      <c r="V527">
        <f>IF($X527="","",COUNTIFS(상세표[사번키],INDEX(합계표[사번키],$X527),상세표[반영월],대상월키,상세표[야간당직],1,상세표[야간 구분],"휴일",상세표[반영 기관],"서울병원"))</f>
        <v/>
      </c>
      <c r="W527">
        <f>IF($X527="","",IF(ISNUMBER(MATCH(INDEX(합계표[사번키],$X527)&amp;"|"&amp;대상월키,월별근무지표[키],0)),"직접 입력",IF($L527="—","—","기관명단")))</f>
        <v/>
      </c>
      <c r="X527" s="4">
        <f>IFERROR(MATCH(522,합계표[판정순번],0),"")</f>
        <v/>
      </c>
    </row>
    <row r="528">
      <c r="A528">
        <f>IF($X528="","",INDEX(합계표[사번],$X528)&amp;"")</f>
        <v/>
      </c>
      <c r="B528">
        <f>IF($X528="","",INDEX(합계표[성명],$X528)&amp;"")</f>
        <v/>
      </c>
      <c r="C528">
        <f>IF($X528="","",INDEX(합계표[부서],$X528)&amp;"")</f>
        <v/>
      </c>
      <c r="D528">
        <f>IF($X528="","",INDEX(합계표[직위(요약)],$X528)&amp;"")</f>
        <v/>
      </c>
      <c r="E528">
        <f>IF($X528="","",INDEX(합계표[직급 공존],$X528)&amp;"")</f>
        <v/>
      </c>
      <c r="F528" s="20">
        <f>IF($X528="","",SUMIFS(합계표[시스템 합계],합계표[사번키],INDEX(합계표[사번키],$X528)))</f>
        <v/>
      </c>
      <c r="G528" s="20">
        <f>IF($X528="","",SUMIFS(상세표[기록 시간외],상세표[사번키],INDEX(합계표[사번키],$X528),상세표[기록월],대상월키))</f>
        <v/>
      </c>
      <c r="H528">
        <f>IF($X528="","",IF(ABS($F528-$G528)&lt;0.01,"일치","불일치(차이 "&amp;TEXT($G528-$F528,"0.00")&amp;")"))</f>
        <v/>
      </c>
      <c r="I528" s="20">
        <f>IF($X528="","",SUMIFS(상세표[기록 시간외],상세표[사번키],INDEX(합계표[사번키],$X528),상세표[기록월],대상월키,상세표[반영월],"&lt;&gt;"&amp;대상월키))</f>
        <v/>
      </c>
      <c r="J528" s="20">
        <f>IF($X528="","",SUMIFS(상세표[기록 시간외],상세표[사번키],INDEX(합계표[사번키],$X528),상세표[기록월],"&lt;&gt;"&amp;대상월키,상세표[반영월],대상월키))</f>
        <v/>
      </c>
      <c r="K528" s="20">
        <f>IF($X528="","",SUMIFS(상세표[기록 시간외],상세표[사번키],INDEX(합계표[사번키],$X528),상세표[반영월],대상월키))</f>
        <v/>
      </c>
      <c r="L528">
        <f>IF($X528="","",IFERROR(INDEX(월별근무지표[적용 급여병원],MATCH(INDEX(합계표[사번키],$X528)&amp;"|"&amp;대상월키,월별근무지표[키],0))&amp;"",IF(COUNTIF(기관표[사번키],INDEX(합계표[사번키],$X528))+COUNTIF(월별근무지표[사번키],INDEX(합계표[사번키],$X528))&gt;0,IFERROR(INDEX(기관표[급여지급병원(기준월)],MATCH(INDEX(합계표[사번키],$X528)&amp;"|"&amp;대상월키,기관표[키],0))&amp;"","—"),"—")))</f>
        <v/>
      </c>
      <c r="M528">
        <f>IF($X528="","",IF(NOT(COUNTIF(기관표[사번키],INDEX(합계표[사번키],$X528))+COUNTIF(월별근무지표[사번키],INDEX(합계표[사번키],$X528))&gt;0),"기관명단에 없음(다른 병원으로 발송)",IF($L528="서울병원","해당",IF(N($R528)&gt;0,"해당(말일 근무)",IF($L528="—","대상월 기관명단 없음(추가 필요)","비해당")))))</f>
        <v/>
      </c>
      <c r="N528" s="20">
        <f>IF($X528="","",SUMIFS(상세표[06~07시],상세표[사번키],INDEX(합계표[사번키],$X528),상세표[반영월],대상월키,상세표[반영 기관],"서울병원"))</f>
        <v/>
      </c>
      <c r="O528" s="20">
        <f>IF($X528="","",SUMIFS(상세표[07~18시],상세표[사번키],INDEX(합계표[사번키],$X528),상세표[반영월],대상월키,상세표[반영 기관],"서울병원"))</f>
        <v/>
      </c>
      <c r="P528" s="20">
        <f>IF($X528="","",SUMIFS(상세표[18~22시],상세표[사번키],INDEX(합계표[사번키],$X528),상세표[반영월],대상월키,상세표[반영 기관],"서울병원"))</f>
        <v/>
      </c>
      <c r="Q528" s="20">
        <f>IF($X528="","",SUMIFS(상세표[22~06시],상세표[사번키],INDEX(합계표[사번키],$X528),상세표[반영월],대상월키,상세표[반영 기관],"서울병원"))</f>
        <v/>
      </c>
      <c r="R528" s="20">
        <f>IF($X528="","",SUM($N528:$Q528))</f>
        <v/>
      </c>
      <c r="S528">
        <f>IF($X528="","",COUNTIFS(상세표[사번키],INDEX(합계표[사번키],$X528),상세표[반영월],대상월키,상세표[야간당직],1,상세표[야간 구분],"평일"))</f>
        <v/>
      </c>
      <c r="T528">
        <f>IF($X528="","",COUNTIFS(상세표[사번키],INDEX(합계표[사번키],$X528),상세표[반영월],대상월키,상세표[야간당직],1,상세표[야간 구분],"휴일"))</f>
        <v/>
      </c>
      <c r="U528">
        <f>IF($X528="","",COUNTIFS(상세표[사번키],INDEX(합계표[사번키],$X528),상세표[반영월],대상월키,상세표[야간당직],1,상세표[야간 구분],"평일",상세표[반영 기관],"서울병원"))</f>
        <v/>
      </c>
      <c r="V528">
        <f>IF($X528="","",COUNTIFS(상세표[사번키],INDEX(합계표[사번키],$X528),상세표[반영월],대상월키,상세표[야간당직],1,상세표[야간 구분],"휴일",상세표[반영 기관],"서울병원"))</f>
        <v/>
      </c>
      <c r="W528">
        <f>IF($X528="","",IF(ISNUMBER(MATCH(INDEX(합계표[사번키],$X528)&amp;"|"&amp;대상월키,월별근무지표[키],0)),"직접 입력",IF($L528="—","—","기관명단")))</f>
        <v/>
      </c>
      <c r="X528" s="4">
        <f>IFERROR(MATCH(523,합계표[판정순번],0),"")</f>
        <v/>
      </c>
    </row>
    <row r="529">
      <c r="A529">
        <f>IF($X529="","",INDEX(합계표[사번],$X529)&amp;"")</f>
        <v/>
      </c>
      <c r="B529">
        <f>IF($X529="","",INDEX(합계표[성명],$X529)&amp;"")</f>
        <v/>
      </c>
      <c r="C529">
        <f>IF($X529="","",INDEX(합계표[부서],$X529)&amp;"")</f>
        <v/>
      </c>
      <c r="D529">
        <f>IF($X529="","",INDEX(합계표[직위(요약)],$X529)&amp;"")</f>
        <v/>
      </c>
      <c r="E529">
        <f>IF($X529="","",INDEX(합계표[직급 공존],$X529)&amp;"")</f>
        <v/>
      </c>
      <c r="F529" s="20">
        <f>IF($X529="","",SUMIFS(합계표[시스템 합계],합계표[사번키],INDEX(합계표[사번키],$X529)))</f>
        <v/>
      </c>
      <c r="G529" s="20">
        <f>IF($X529="","",SUMIFS(상세표[기록 시간외],상세표[사번키],INDEX(합계표[사번키],$X529),상세표[기록월],대상월키))</f>
        <v/>
      </c>
      <c r="H529">
        <f>IF($X529="","",IF(ABS($F529-$G529)&lt;0.01,"일치","불일치(차이 "&amp;TEXT($G529-$F529,"0.00")&amp;")"))</f>
        <v/>
      </c>
      <c r="I529" s="20">
        <f>IF($X529="","",SUMIFS(상세표[기록 시간외],상세표[사번키],INDEX(합계표[사번키],$X529),상세표[기록월],대상월키,상세표[반영월],"&lt;&gt;"&amp;대상월키))</f>
        <v/>
      </c>
      <c r="J529" s="20">
        <f>IF($X529="","",SUMIFS(상세표[기록 시간외],상세표[사번키],INDEX(합계표[사번키],$X529),상세표[기록월],"&lt;&gt;"&amp;대상월키,상세표[반영월],대상월키))</f>
        <v/>
      </c>
      <c r="K529" s="20">
        <f>IF($X529="","",SUMIFS(상세표[기록 시간외],상세표[사번키],INDEX(합계표[사번키],$X529),상세표[반영월],대상월키))</f>
        <v/>
      </c>
      <c r="L529">
        <f>IF($X529="","",IFERROR(INDEX(월별근무지표[적용 급여병원],MATCH(INDEX(합계표[사번키],$X529)&amp;"|"&amp;대상월키,월별근무지표[키],0))&amp;"",IF(COUNTIF(기관표[사번키],INDEX(합계표[사번키],$X529))+COUNTIF(월별근무지표[사번키],INDEX(합계표[사번키],$X529))&gt;0,IFERROR(INDEX(기관표[급여지급병원(기준월)],MATCH(INDEX(합계표[사번키],$X529)&amp;"|"&amp;대상월키,기관표[키],0))&amp;"","—"),"—")))</f>
        <v/>
      </c>
      <c r="M529">
        <f>IF($X529="","",IF(NOT(COUNTIF(기관표[사번키],INDEX(합계표[사번키],$X529))+COUNTIF(월별근무지표[사번키],INDEX(합계표[사번키],$X529))&gt;0),"기관명단에 없음(다른 병원으로 발송)",IF($L529="서울병원","해당",IF(N($R529)&gt;0,"해당(말일 근무)",IF($L529="—","대상월 기관명단 없음(추가 필요)","비해당")))))</f>
        <v/>
      </c>
      <c r="N529" s="20">
        <f>IF($X529="","",SUMIFS(상세표[06~07시],상세표[사번키],INDEX(합계표[사번키],$X529),상세표[반영월],대상월키,상세표[반영 기관],"서울병원"))</f>
        <v/>
      </c>
      <c r="O529" s="20">
        <f>IF($X529="","",SUMIFS(상세표[07~18시],상세표[사번키],INDEX(합계표[사번키],$X529),상세표[반영월],대상월키,상세표[반영 기관],"서울병원"))</f>
        <v/>
      </c>
      <c r="P529" s="20">
        <f>IF($X529="","",SUMIFS(상세표[18~22시],상세표[사번키],INDEX(합계표[사번키],$X529),상세표[반영월],대상월키,상세표[반영 기관],"서울병원"))</f>
        <v/>
      </c>
      <c r="Q529" s="20">
        <f>IF($X529="","",SUMIFS(상세표[22~06시],상세표[사번키],INDEX(합계표[사번키],$X529),상세표[반영월],대상월키,상세표[반영 기관],"서울병원"))</f>
        <v/>
      </c>
      <c r="R529" s="20">
        <f>IF($X529="","",SUM($N529:$Q529))</f>
        <v/>
      </c>
      <c r="S529">
        <f>IF($X529="","",COUNTIFS(상세표[사번키],INDEX(합계표[사번키],$X529),상세표[반영월],대상월키,상세표[야간당직],1,상세표[야간 구분],"평일"))</f>
        <v/>
      </c>
      <c r="T529">
        <f>IF($X529="","",COUNTIFS(상세표[사번키],INDEX(합계표[사번키],$X529),상세표[반영월],대상월키,상세표[야간당직],1,상세표[야간 구분],"휴일"))</f>
        <v/>
      </c>
      <c r="U529">
        <f>IF($X529="","",COUNTIFS(상세표[사번키],INDEX(합계표[사번키],$X529),상세표[반영월],대상월키,상세표[야간당직],1,상세표[야간 구분],"평일",상세표[반영 기관],"서울병원"))</f>
        <v/>
      </c>
      <c r="V529">
        <f>IF($X529="","",COUNTIFS(상세표[사번키],INDEX(합계표[사번키],$X529),상세표[반영월],대상월키,상세표[야간당직],1,상세표[야간 구분],"휴일",상세표[반영 기관],"서울병원"))</f>
        <v/>
      </c>
      <c r="W529">
        <f>IF($X529="","",IF(ISNUMBER(MATCH(INDEX(합계표[사번키],$X529)&amp;"|"&amp;대상월키,월별근무지표[키],0)),"직접 입력",IF($L529="—","—","기관명단")))</f>
        <v/>
      </c>
      <c r="X529" s="4">
        <f>IFERROR(MATCH(524,합계표[판정순번],0),"")</f>
        <v/>
      </c>
    </row>
    <row r="530">
      <c r="A530">
        <f>IF($X530="","",INDEX(합계표[사번],$X530)&amp;"")</f>
        <v/>
      </c>
      <c r="B530">
        <f>IF($X530="","",INDEX(합계표[성명],$X530)&amp;"")</f>
        <v/>
      </c>
      <c r="C530">
        <f>IF($X530="","",INDEX(합계표[부서],$X530)&amp;"")</f>
        <v/>
      </c>
      <c r="D530">
        <f>IF($X530="","",INDEX(합계표[직위(요약)],$X530)&amp;"")</f>
        <v/>
      </c>
      <c r="E530">
        <f>IF($X530="","",INDEX(합계표[직급 공존],$X530)&amp;"")</f>
        <v/>
      </c>
      <c r="F530" s="20">
        <f>IF($X530="","",SUMIFS(합계표[시스템 합계],합계표[사번키],INDEX(합계표[사번키],$X530)))</f>
        <v/>
      </c>
      <c r="G530" s="20">
        <f>IF($X530="","",SUMIFS(상세표[기록 시간외],상세표[사번키],INDEX(합계표[사번키],$X530),상세표[기록월],대상월키))</f>
        <v/>
      </c>
      <c r="H530">
        <f>IF($X530="","",IF(ABS($F530-$G530)&lt;0.01,"일치","불일치(차이 "&amp;TEXT($G530-$F530,"0.00")&amp;")"))</f>
        <v/>
      </c>
      <c r="I530" s="20">
        <f>IF($X530="","",SUMIFS(상세표[기록 시간외],상세표[사번키],INDEX(합계표[사번키],$X530),상세표[기록월],대상월키,상세표[반영월],"&lt;&gt;"&amp;대상월키))</f>
        <v/>
      </c>
      <c r="J530" s="20">
        <f>IF($X530="","",SUMIFS(상세표[기록 시간외],상세표[사번키],INDEX(합계표[사번키],$X530),상세표[기록월],"&lt;&gt;"&amp;대상월키,상세표[반영월],대상월키))</f>
        <v/>
      </c>
      <c r="K530" s="20">
        <f>IF($X530="","",SUMIFS(상세표[기록 시간외],상세표[사번키],INDEX(합계표[사번키],$X530),상세표[반영월],대상월키))</f>
        <v/>
      </c>
      <c r="L530">
        <f>IF($X530="","",IFERROR(INDEX(월별근무지표[적용 급여병원],MATCH(INDEX(합계표[사번키],$X530)&amp;"|"&amp;대상월키,월별근무지표[키],0))&amp;"",IF(COUNTIF(기관표[사번키],INDEX(합계표[사번키],$X530))+COUNTIF(월별근무지표[사번키],INDEX(합계표[사번키],$X530))&gt;0,IFERROR(INDEX(기관표[급여지급병원(기준월)],MATCH(INDEX(합계표[사번키],$X530)&amp;"|"&amp;대상월키,기관표[키],0))&amp;"","—"),"—")))</f>
        <v/>
      </c>
      <c r="M530">
        <f>IF($X530="","",IF(NOT(COUNTIF(기관표[사번키],INDEX(합계표[사번키],$X530))+COUNTIF(월별근무지표[사번키],INDEX(합계표[사번키],$X530))&gt;0),"기관명단에 없음(다른 병원으로 발송)",IF($L530="서울병원","해당",IF(N($R530)&gt;0,"해당(말일 근무)",IF($L530="—","대상월 기관명단 없음(추가 필요)","비해당")))))</f>
        <v/>
      </c>
      <c r="N530" s="20">
        <f>IF($X530="","",SUMIFS(상세표[06~07시],상세표[사번키],INDEX(합계표[사번키],$X530),상세표[반영월],대상월키,상세표[반영 기관],"서울병원"))</f>
        <v/>
      </c>
      <c r="O530" s="20">
        <f>IF($X530="","",SUMIFS(상세표[07~18시],상세표[사번키],INDEX(합계표[사번키],$X530),상세표[반영월],대상월키,상세표[반영 기관],"서울병원"))</f>
        <v/>
      </c>
      <c r="P530" s="20">
        <f>IF($X530="","",SUMIFS(상세표[18~22시],상세표[사번키],INDEX(합계표[사번키],$X530),상세표[반영월],대상월키,상세표[반영 기관],"서울병원"))</f>
        <v/>
      </c>
      <c r="Q530" s="20">
        <f>IF($X530="","",SUMIFS(상세표[22~06시],상세표[사번키],INDEX(합계표[사번키],$X530),상세표[반영월],대상월키,상세표[반영 기관],"서울병원"))</f>
        <v/>
      </c>
      <c r="R530" s="20">
        <f>IF($X530="","",SUM($N530:$Q530))</f>
        <v/>
      </c>
      <c r="S530">
        <f>IF($X530="","",COUNTIFS(상세표[사번키],INDEX(합계표[사번키],$X530),상세표[반영월],대상월키,상세표[야간당직],1,상세표[야간 구분],"평일"))</f>
        <v/>
      </c>
      <c r="T530">
        <f>IF($X530="","",COUNTIFS(상세표[사번키],INDEX(합계표[사번키],$X530),상세표[반영월],대상월키,상세표[야간당직],1,상세표[야간 구분],"휴일"))</f>
        <v/>
      </c>
      <c r="U530">
        <f>IF($X530="","",COUNTIFS(상세표[사번키],INDEX(합계표[사번키],$X530),상세표[반영월],대상월키,상세표[야간당직],1,상세표[야간 구분],"평일",상세표[반영 기관],"서울병원"))</f>
        <v/>
      </c>
      <c r="V530">
        <f>IF($X530="","",COUNTIFS(상세표[사번키],INDEX(합계표[사번키],$X530),상세표[반영월],대상월키,상세표[야간당직],1,상세표[야간 구분],"휴일",상세표[반영 기관],"서울병원"))</f>
        <v/>
      </c>
      <c r="W530">
        <f>IF($X530="","",IF(ISNUMBER(MATCH(INDEX(합계표[사번키],$X530)&amp;"|"&amp;대상월키,월별근무지표[키],0)),"직접 입력",IF($L530="—","—","기관명단")))</f>
        <v/>
      </c>
      <c r="X530" s="4">
        <f>IFERROR(MATCH(525,합계표[판정순번],0),"")</f>
        <v/>
      </c>
    </row>
    <row r="531">
      <c r="A531">
        <f>IF($X531="","",INDEX(합계표[사번],$X531)&amp;"")</f>
        <v/>
      </c>
      <c r="B531">
        <f>IF($X531="","",INDEX(합계표[성명],$X531)&amp;"")</f>
        <v/>
      </c>
      <c r="C531">
        <f>IF($X531="","",INDEX(합계표[부서],$X531)&amp;"")</f>
        <v/>
      </c>
      <c r="D531">
        <f>IF($X531="","",INDEX(합계표[직위(요약)],$X531)&amp;"")</f>
        <v/>
      </c>
      <c r="E531">
        <f>IF($X531="","",INDEX(합계표[직급 공존],$X531)&amp;"")</f>
        <v/>
      </c>
      <c r="F531" s="20">
        <f>IF($X531="","",SUMIFS(합계표[시스템 합계],합계표[사번키],INDEX(합계표[사번키],$X531)))</f>
        <v/>
      </c>
      <c r="G531" s="20">
        <f>IF($X531="","",SUMIFS(상세표[기록 시간외],상세표[사번키],INDEX(합계표[사번키],$X531),상세표[기록월],대상월키))</f>
        <v/>
      </c>
      <c r="H531">
        <f>IF($X531="","",IF(ABS($F531-$G531)&lt;0.01,"일치","불일치(차이 "&amp;TEXT($G531-$F531,"0.00")&amp;")"))</f>
        <v/>
      </c>
      <c r="I531" s="20">
        <f>IF($X531="","",SUMIFS(상세표[기록 시간외],상세표[사번키],INDEX(합계표[사번키],$X531),상세표[기록월],대상월키,상세표[반영월],"&lt;&gt;"&amp;대상월키))</f>
        <v/>
      </c>
      <c r="J531" s="20">
        <f>IF($X531="","",SUMIFS(상세표[기록 시간외],상세표[사번키],INDEX(합계표[사번키],$X531),상세표[기록월],"&lt;&gt;"&amp;대상월키,상세표[반영월],대상월키))</f>
        <v/>
      </c>
      <c r="K531" s="20">
        <f>IF($X531="","",SUMIFS(상세표[기록 시간외],상세표[사번키],INDEX(합계표[사번키],$X531),상세표[반영월],대상월키))</f>
        <v/>
      </c>
      <c r="L531">
        <f>IF($X531="","",IFERROR(INDEX(월별근무지표[적용 급여병원],MATCH(INDEX(합계표[사번키],$X531)&amp;"|"&amp;대상월키,월별근무지표[키],0))&amp;"",IF(COUNTIF(기관표[사번키],INDEX(합계표[사번키],$X531))+COUNTIF(월별근무지표[사번키],INDEX(합계표[사번키],$X531))&gt;0,IFERROR(INDEX(기관표[급여지급병원(기준월)],MATCH(INDEX(합계표[사번키],$X531)&amp;"|"&amp;대상월키,기관표[키],0))&amp;"","—"),"—")))</f>
        <v/>
      </c>
      <c r="M531">
        <f>IF($X531="","",IF(NOT(COUNTIF(기관표[사번키],INDEX(합계표[사번키],$X531))+COUNTIF(월별근무지표[사번키],INDEX(합계표[사번키],$X531))&gt;0),"기관명단에 없음(다른 병원으로 발송)",IF($L531="서울병원","해당",IF(N($R531)&gt;0,"해당(말일 근무)",IF($L531="—","대상월 기관명단 없음(추가 필요)","비해당")))))</f>
        <v/>
      </c>
      <c r="N531" s="20">
        <f>IF($X531="","",SUMIFS(상세표[06~07시],상세표[사번키],INDEX(합계표[사번키],$X531),상세표[반영월],대상월키,상세표[반영 기관],"서울병원"))</f>
        <v/>
      </c>
      <c r="O531" s="20">
        <f>IF($X531="","",SUMIFS(상세표[07~18시],상세표[사번키],INDEX(합계표[사번키],$X531),상세표[반영월],대상월키,상세표[반영 기관],"서울병원"))</f>
        <v/>
      </c>
      <c r="P531" s="20">
        <f>IF($X531="","",SUMIFS(상세표[18~22시],상세표[사번키],INDEX(합계표[사번키],$X531),상세표[반영월],대상월키,상세표[반영 기관],"서울병원"))</f>
        <v/>
      </c>
      <c r="Q531" s="20">
        <f>IF($X531="","",SUMIFS(상세표[22~06시],상세표[사번키],INDEX(합계표[사번키],$X531),상세표[반영월],대상월키,상세표[반영 기관],"서울병원"))</f>
        <v/>
      </c>
      <c r="R531" s="20">
        <f>IF($X531="","",SUM($N531:$Q531))</f>
        <v/>
      </c>
      <c r="S531">
        <f>IF($X531="","",COUNTIFS(상세표[사번키],INDEX(합계표[사번키],$X531),상세표[반영월],대상월키,상세표[야간당직],1,상세표[야간 구분],"평일"))</f>
        <v/>
      </c>
      <c r="T531">
        <f>IF($X531="","",COUNTIFS(상세표[사번키],INDEX(합계표[사번키],$X531),상세표[반영월],대상월키,상세표[야간당직],1,상세표[야간 구분],"휴일"))</f>
        <v/>
      </c>
      <c r="U531">
        <f>IF($X531="","",COUNTIFS(상세표[사번키],INDEX(합계표[사번키],$X531),상세표[반영월],대상월키,상세표[야간당직],1,상세표[야간 구분],"평일",상세표[반영 기관],"서울병원"))</f>
        <v/>
      </c>
      <c r="V531">
        <f>IF($X531="","",COUNTIFS(상세표[사번키],INDEX(합계표[사번키],$X531),상세표[반영월],대상월키,상세표[야간당직],1,상세표[야간 구분],"휴일",상세표[반영 기관],"서울병원"))</f>
        <v/>
      </c>
      <c r="W531">
        <f>IF($X531="","",IF(ISNUMBER(MATCH(INDEX(합계표[사번키],$X531)&amp;"|"&amp;대상월키,월별근무지표[키],0)),"직접 입력",IF($L531="—","—","기관명단")))</f>
        <v/>
      </c>
      <c r="X531" s="4">
        <f>IFERROR(MATCH(526,합계표[판정순번],0),"")</f>
        <v/>
      </c>
    </row>
    <row r="532">
      <c r="A532">
        <f>IF($X532="","",INDEX(합계표[사번],$X532)&amp;"")</f>
        <v/>
      </c>
      <c r="B532">
        <f>IF($X532="","",INDEX(합계표[성명],$X532)&amp;"")</f>
        <v/>
      </c>
      <c r="C532">
        <f>IF($X532="","",INDEX(합계표[부서],$X532)&amp;"")</f>
        <v/>
      </c>
      <c r="D532">
        <f>IF($X532="","",INDEX(합계표[직위(요약)],$X532)&amp;"")</f>
        <v/>
      </c>
      <c r="E532">
        <f>IF($X532="","",INDEX(합계표[직급 공존],$X532)&amp;"")</f>
        <v/>
      </c>
      <c r="F532" s="20">
        <f>IF($X532="","",SUMIFS(합계표[시스템 합계],합계표[사번키],INDEX(합계표[사번키],$X532)))</f>
        <v/>
      </c>
      <c r="G532" s="20">
        <f>IF($X532="","",SUMIFS(상세표[기록 시간외],상세표[사번키],INDEX(합계표[사번키],$X532),상세표[기록월],대상월키))</f>
        <v/>
      </c>
      <c r="H532">
        <f>IF($X532="","",IF(ABS($F532-$G532)&lt;0.01,"일치","불일치(차이 "&amp;TEXT($G532-$F532,"0.00")&amp;")"))</f>
        <v/>
      </c>
      <c r="I532" s="20">
        <f>IF($X532="","",SUMIFS(상세표[기록 시간외],상세표[사번키],INDEX(합계표[사번키],$X532),상세표[기록월],대상월키,상세표[반영월],"&lt;&gt;"&amp;대상월키))</f>
        <v/>
      </c>
      <c r="J532" s="20">
        <f>IF($X532="","",SUMIFS(상세표[기록 시간외],상세표[사번키],INDEX(합계표[사번키],$X532),상세표[기록월],"&lt;&gt;"&amp;대상월키,상세표[반영월],대상월키))</f>
        <v/>
      </c>
      <c r="K532" s="20">
        <f>IF($X532="","",SUMIFS(상세표[기록 시간외],상세표[사번키],INDEX(합계표[사번키],$X532),상세표[반영월],대상월키))</f>
        <v/>
      </c>
      <c r="L532">
        <f>IF($X532="","",IFERROR(INDEX(월별근무지표[적용 급여병원],MATCH(INDEX(합계표[사번키],$X532)&amp;"|"&amp;대상월키,월별근무지표[키],0))&amp;"",IF(COUNTIF(기관표[사번키],INDEX(합계표[사번키],$X532))+COUNTIF(월별근무지표[사번키],INDEX(합계표[사번키],$X532))&gt;0,IFERROR(INDEX(기관표[급여지급병원(기준월)],MATCH(INDEX(합계표[사번키],$X532)&amp;"|"&amp;대상월키,기관표[키],0))&amp;"","—"),"—")))</f>
        <v/>
      </c>
      <c r="M532">
        <f>IF($X532="","",IF(NOT(COUNTIF(기관표[사번키],INDEX(합계표[사번키],$X532))+COUNTIF(월별근무지표[사번키],INDEX(합계표[사번키],$X532))&gt;0),"기관명단에 없음(다른 병원으로 발송)",IF($L532="서울병원","해당",IF(N($R532)&gt;0,"해당(말일 근무)",IF($L532="—","대상월 기관명단 없음(추가 필요)","비해당")))))</f>
        <v/>
      </c>
      <c r="N532" s="20">
        <f>IF($X532="","",SUMIFS(상세표[06~07시],상세표[사번키],INDEX(합계표[사번키],$X532),상세표[반영월],대상월키,상세표[반영 기관],"서울병원"))</f>
        <v/>
      </c>
      <c r="O532" s="20">
        <f>IF($X532="","",SUMIFS(상세표[07~18시],상세표[사번키],INDEX(합계표[사번키],$X532),상세표[반영월],대상월키,상세표[반영 기관],"서울병원"))</f>
        <v/>
      </c>
      <c r="P532" s="20">
        <f>IF($X532="","",SUMIFS(상세표[18~22시],상세표[사번키],INDEX(합계표[사번키],$X532),상세표[반영월],대상월키,상세표[반영 기관],"서울병원"))</f>
        <v/>
      </c>
      <c r="Q532" s="20">
        <f>IF($X532="","",SUMIFS(상세표[22~06시],상세표[사번키],INDEX(합계표[사번키],$X532),상세표[반영월],대상월키,상세표[반영 기관],"서울병원"))</f>
        <v/>
      </c>
      <c r="R532" s="20">
        <f>IF($X532="","",SUM($N532:$Q532))</f>
        <v/>
      </c>
      <c r="S532">
        <f>IF($X532="","",COUNTIFS(상세표[사번키],INDEX(합계표[사번키],$X532),상세표[반영월],대상월키,상세표[야간당직],1,상세표[야간 구분],"평일"))</f>
        <v/>
      </c>
      <c r="T532">
        <f>IF($X532="","",COUNTIFS(상세표[사번키],INDEX(합계표[사번키],$X532),상세표[반영월],대상월키,상세표[야간당직],1,상세표[야간 구분],"휴일"))</f>
        <v/>
      </c>
      <c r="U532">
        <f>IF($X532="","",COUNTIFS(상세표[사번키],INDEX(합계표[사번키],$X532),상세표[반영월],대상월키,상세표[야간당직],1,상세표[야간 구분],"평일",상세표[반영 기관],"서울병원"))</f>
        <v/>
      </c>
      <c r="V532">
        <f>IF($X532="","",COUNTIFS(상세표[사번키],INDEX(합계표[사번키],$X532),상세표[반영월],대상월키,상세표[야간당직],1,상세표[야간 구분],"휴일",상세표[반영 기관],"서울병원"))</f>
        <v/>
      </c>
      <c r="W532">
        <f>IF($X532="","",IF(ISNUMBER(MATCH(INDEX(합계표[사번키],$X532)&amp;"|"&amp;대상월키,월별근무지표[키],0)),"직접 입력",IF($L532="—","—","기관명단")))</f>
        <v/>
      </c>
      <c r="X532" s="4">
        <f>IFERROR(MATCH(527,합계표[판정순번],0),"")</f>
        <v/>
      </c>
    </row>
    <row r="533">
      <c r="A533">
        <f>IF($X533="","",INDEX(합계표[사번],$X533)&amp;"")</f>
        <v/>
      </c>
      <c r="B533">
        <f>IF($X533="","",INDEX(합계표[성명],$X533)&amp;"")</f>
        <v/>
      </c>
      <c r="C533">
        <f>IF($X533="","",INDEX(합계표[부서],$X533)&amp;"")</f>
        <v/>
      </c>
      <c r="D533">
        <f>IF($X533="","",INDEX(합계표[직위(요약)],$X533)&amp;"")</f>
        <v/>
      </c>
      <c r="E533">
        <f>IF($X533="","",INDEX(합계표[직급 공존],$X533)&amp;"")</f>
        <v/>
      </c>
      <c r="F533" s="20">
        <f>IF($X533="","",SUMIFS(합계표[시스템 합계],합계표[사번키],INDEX(합계표[사번키],$X533)))</f>
        <v/>
      </c>
      <c r="G533" s="20">
        <f>IF($X533="","",SUMIFS(상세표[기록 시간외],상세표[사번키],INDEX(합계표[사번키],$X533),상세표[기록월],대상월키))</f>
        <v/>
      </c>
      <c r="H533">
        <f>IF($X533="","",IF(ABS($F533-$G533)&lt;0.01,"일치","불일치(차이 "&amp;TEXT($G533-$F533,"0.00")&amp;")"))</f>
        <v/>
      </c>
      <c r="I533" s="20">
        <f>IF($X533="","",SUMIFS(상세표[기록 시간외],상세표[사번키],INDEX(합계표[사번키],$X533),상세표[기록월],대상월키,상세표[반영월],"&lt;&gt;"&amp;대상월키))</f>
        <v/>
      </c>
      <c r="J533" s="20">
        <f>IF($X533="","",SUMIFS(상세표[기록 시간외],상세표[사번키],INDEX(합계표[사번키],$X533),상세표[기록월],"&lt;&gt;"&amp;대상월키,상세표[반영월],대상월키))</f>
        <v/>
      </c>
      <c r="K533" s="20">
        <f>IF($X533="","",SUMIFS(상세표[기록 시간외],상세표[사번키],INDEX(합계표[사번키],$X533),상세표[반영월],대상월키))</f>
        <v/>
      </c>
      <c r="L533">
        <f>IF($X533="","",IFERROR(INDEX(월별근무지표[적용 급여병원],MATCH(INDEX(합계표[사번키],$X533)&amp;"|"&amp;대상월키,월별근무지표[키],0))&amp;"",IF(COUNTIF(기관표[사번키],INDEX(합계표[사번키],$X533))+COUNTIF(월별근무지표[사번키],INDEX(합계표[사번키],$X533))&gt;0,IFERROR(INDEX(기관표[급여지급병원(기준월)],MATCH(INDEX(합계표[사번키],$X533)&amp;"|"&amp;대상월키,기관표[키],0))&amp;"","—"),"—")))</f>
        <v/>
      </c>
      <c r="M533">
        <f>IF($X533="","",IF(NOT(COUNTIF(기관표[사번키],INDEX(합계표[사번키],$X533))+COUNTIF(월별근무지표[사번키],INDEX(합계표[사번키],$X533))&gt;0),"기관명단에 없음(다른 병원으로 발송)",IF($L533="서울병원","해당",IF(N($R533)&gt;0,"해당(말일 근무)",IF($L533="—","대상월 기관명단 없음(추가 필요)","비해당")))))</f>
        <v/>
      </c>
      <c r="N533" s="20">
        <f>IF($X533="","",SUMIFS(상세표[06~07시],상세표[사번키],INDEX(합계표[사번키],$X533),상세표[반영월],대상월키,상세표[반영 기관],"서울병원"))</f>
        <v/>
      </c>
      <c r="O533" s="20">
        <f>IF($X533="","",SUMIFS(상세표[07~18시],상세표[사번키],INDEX(합계표[사번키],$X533),상세표[반영월],대상월키,상세표[반영 기관],"서울병원"))</f>
        <v/>
      </c>
      <c r="P533" s="20">
        <f>IF($X533="","",SUMIFS(상세표[18~22시],상세표[사번키],INDEX(합계표[사번키],$X533),상세표[반영월],대상월키,상세표[반영 기관],"서울병원"))</f>
        <v/>
      </c>
      <c r="Q533" s="20">
        <f>IF($X533="","",SUMIFS(상세표[22~06시],상세표[사번키],INDEX(합계표[사번키],$X533),상세표[반영월],대상월키,상세표[반영 기관],"서울병원"))</f>
        <v/>
      </c>
      <c r="R533" s="20">
        <f>IF($X533="","",SUM($N533:$Q533))</f>
        <v/>
      </c>
      <c r="S533">
        <f>IF($X533="","",COUNTIFS(상세표[사번키],INDEX(합계표[사번키],$X533),상세표[반영월],대상월키,상세표[야간당직],1,상세표[야간 구분],"평일"))</f>
        <v/>
      </c>
      <c r="T533">
        <f>IF($X533="","",COUNTIFS(상세표[사번키],INDEX(합계표[사번키],$X533),상세표[반영월],대상월키,상세표[야간당직],1,상세표[야간 구분],"휴일"))</f>
        <v/>
      </c>
      <c r="U533">
        <f>IF($X533="","",COUNTIFS(상세표[사번키],INDEX(합계표[사번키],$X533),상세표[반영월],대상월키,상세표[야간당직],1,상세표[야간 구분],"평일",상세표[반영 기관],"서울병원"))</f>
        <v/>
      </c>
      <c r="V533">
        <f>IF($X533="","",COUNTIFS(상세표[사번키],INDEX(합계표[사번키],$X533),상세표[반영월],대상월키,상세표[야간당직],1,상세표[야간 구분],"휴일",상세표[반영 기관],"서울병원"))</f>
        <v/>
      </c>
      <c r="W533">
        <f>IF($X533="","",IF(ISNUMBER(MATCH(INDEX(합계표[사번키],$X533)&amp;"|"&amp;대상월키,월별근무지표[키],0)),"직접 입력",IF($L533="—","—","기관명단")))</f>
        <v/>
      </c>
      <c r="X533" s="4">
        <f>IFERROR(MATCH(528,합계표[판정순번],0),"")</f>
        <v/>
      </c>
    </row>
    <row r="534">
      <c r="A534">
        <f>IF($X534="","",INDEX(합계표[사번],$X534)&amp;"")</f>
        <v/>
      </c>
      <c r="B534">
        <f>IF($X534="","",INDEX(합계표[성명],$X534)&amp;"")</f>
        <v/>
      </c>
      <c r="C534">
        <f>IF($X534="","",INDEX(합계표[부서],$X534)&amp;"")</f>
        <v/>
      </c>
      <c r="D534">
        <f>IF($X534="","",INDEX(합계표[직위(요약)],$X534)&amp;"")</f>
        <v/>
      </c>
      <c r="E534">
        <f>IF($X534="","",INDEX(합계표[직급 공존],$X534)&amp;"")</f>
        <v/>
      </c>
      <c r="F534" s="20">
        <f>IF($X534="","",SUMIFS(합계표[시스템 합계],합계표[사번키],INDEX(합계표[사번키],$X534)))</f>
        <v/>
      </c>
      <c r="G534" s="20">
        <f>IF($X534="","",SUMIFS(상세표[기록 시간외],상세표[사번키],INDEX(합계표[사번키],$X534),상세표[기록월],대상월키))</f>
        <v/>
      </c>
      <c r="H534">
        <f>IF($X534="","",IF(ABS($F534-$G534)&lt;0.01,"일치","불일치(차이 "&amp;TEXT($G534-$F534,"0.00")&amp;")"))</f>
        <v/>
      </c>
      <c r="I534" s="20">
        <f>IF($X534="","",SUMIFS(상세표[기록 시간외],상세표[사번키],INDEX(합계표[사번키],$X534),상세표[기록월],대상월키,상세표[반영월],"&lt;&gt;"&amp;대상월키))</f>
        <v/>
      </c>
      <c r="J534" s="20">
        <f>IF($X534="","",SUMIFS(상세표[기록 시간외],상세표[사번키],INDEX(합계표[사번키],$X534),상세표[기록월],"&lt;&gt;"&amp;대상월키,상세표[반영월],대상월키))</f>
        <v/>
      </c>
      <c r="K534" s="20">
        <f>IF($X534="","",SUMIFS(상세표[기록 시간외],상세표[사번키],INDEX(합계표[사번키],$X534),상세표[반영월],대상월키))</f>
        <v/>
      </c>
      <c r="L534">
        <f>IF($X534="","",IFERROR(INDEX(월별근무지표[적용 급여병원],MATCH(INDEX(합계표[사번키],$X534)&amp;"|"&amp;대상월키,월별근무지표[키],0))&amp;"",IF(COUNTIF(기관표[사번키],INDEX(합계표[사번키],$X534))+COUNTIF(월별근무지표[사번키],INDEX(합계표[사번키],$X534))&gt;0,IFERROR(INDEX(기관표[급여지급병원(기준월)],MATCH(INDEX(합계표[사번키],$X534)&amp;"|"&amp;대상월키,기관표[키],0))&amp;"","—"),"—")))</f>
        <v/>
      </c>
      <c r="M534">
        <f>IF($X534="","",IF(NOT(COUNTIF(기관표[사번키],INDEX(합계표[사번키],$X534))+COUNTIF(월별근무지표[사번키],INDEX(합계표[사번키],$X534))&gt;0),"기관명단에 없음(다른 병원으로 발송)",IF($L534="서울병원","해당",IF(N($R534)&gt;0,"해당(말일 근무)",IF($L534="—","대상월 기관명단 없음(추가 필요)","비해당")))))</f>
        <v/>
      </c>
      <c r="N534" s="20">
        <f>IF($X534="","",SUMIFS(상세표[06~07시],상세표[사번키],INDEX(합계표[사번키],$X534),상세표[반영월],대상월키,상세표[반영 기관],"서울병원"))</f>
        <v/>
      </c>
      <c r="O534" s="20">
        <f>IF($X534="","",SUMIFS(상세표[07~18시],상세표[사번키],INDEX(합계표[사번키],$X534),상세표[반영월],대상월키,상세표[반영 기관],"서울병원"))</f>
        <v/>
      </c>
      <c r="P534" s="20">
        <f>IF($X534="","",SUMIFS(상세표[18~22시],상세표[사번키],INDEX(합계표[사번키],$X534),상세표[반영월],대상월키,상세표[반영 기관],"서울병원"))</f>
        <v/>
      </c>
      <c r="Q534" s="20">
        <f>IF($X534="","",SUMIFS(상세표[22~06시],상세표[사번키],INDEX(합계표[사번키],$X534),상세표[반영월],대상월키,상세표[반영 기관],"서울병원"))</f>
        <v/>
      </c>
      <c r="R534" s="20">
        <f>IF($X534="","",SUM($N534:$Q534))</f>
        <v/>
      </c>
      <c r="S534">
        <f>IF($X534="","",COUNTIFS(상세표[사번키],INDEX(합계표[사번키],$X534),상세표[반영월],대상월키,상세표[야간당직],1,상세표[야간 구분],"평일"))</f>
        <v/>
      </c>
      <c r="T534">
        <f>IF($X534="","",COUNTIFS(상세표[사번키],INDEX(합계표[사번키],$X534),상세표[반영월],대상월키,상세표[야간당직],1,상세표[야간 구분],"휴일"))</f>
        <v/>
      </c>
      <c r="U534">
        <f>IF($X534="","",COUNTIFS(상세표[사번키],INDEX(합계표[사번키],$X534),상세표[반영월],대상월키,상세표[야간당직],1,상세표[야간 구분],"평일",상세표[반영 기관],"서울병원"))</f>
        <v/>
      </c>
      <c r="V534">
        <f>IF($X534="","",COUNTIFS(상세표[사번키],INDEX(합계표[사번키],$X534),상세표[반영월],대상월키,상세표[야간당직],1,상세표[야간 구분],"휴일",상세표[반영 기관],"서울병원"))</f>
        <v/>
      </c>
      <c r="W534">
        <f>IF($X534="","",IF(ISNUMBER(MATCH(INDEX(합계표[사번키],$X534)&amp;"|"&amp;대상월키,월별근무지표[키],0)),"직접 입력",IF($L534="—","—","기관명단")))</f>
        <v/>
      </c>
      <c r="X534" s="4">
        <f>IFERROR(MATCH(529,합계표[판정순번],0),"")</f>
        <v/>
      </c>
    </row>
    <row r="535">
      <c r="A535">
        <f>IF($X535="","",INDEX(합계표[사번],$X535)&amp;"")</f>
        <v/>
      </c>
      <c r="B535">
        <f>IF($X535="","",INDEX(합계표[성명],$X535)&amp;"")</f>
        <v/>
      </c>
      <c r="C535">
        <f>IF($X535="","",INDEX(합계표[부서],$X535)&amp;"")</f>
        <v/>
      </c>
      <c r="D535">
        <f>IF($X535="","",INDEX(합계표[직위(요약)],$X535)&amp;"")</f>
        <v/>
      </c>
      <c r="E535">
        <f>IF($X535="","",INDEX(합계표[직급 공존],$X535)&amp;"")</f>
        <v/>
      </c>
      <c r="F535" s="20">
        <f>IF($X535="","",SUMIFS(합계표[시스템 합계],합계표[사번키],INDEX(합계표[사번키],$X535)))</f>
        <v/>
      </c>
      <c r="G535" s="20">
        <f>IF($X535="","",SUMIFS(상세표[기록 시간외],상세표[사번키],INDEX(합계표[사번키],$X535),상세표[기록월],대상월키))</f>
        <v/>
      </c>
      <c r="H535">
        <f>IF($X535="","",IF(ABS($F535-$G535)&lt;0.01,"일치","불일치(차이 "&amp;TEXT($G535-$F535,"0.00")&amp;")"))</f>
        <v/>
      </c>
      <c r="I535" s="20">
        <f>IF($X535="","",SUMIFS(상세표[기록 시간외],상세표[사번키],INDEX(합계표[사번키],$X535),상세표[기록월],대상월키,상세표[반영월],"&lt;&gt;"&amp;대상월키))</f>
        <v/>
      </c>
      <c r="J535" s="20">
        <f>IF($X535="","",SUMIFS(상세표[기록 시간외],상세표[사번키],INDEX(합계표[사번키],$X535),상세표[기록월],"&lt;&gt;"&amp;대상월키,상세표[반영월],대상월키))</f>
        <v/>
      </c>
      <c r="K535" s="20">
        <f>IF($X535="","",SUMIFS(상세표[기록 시간외],상세표[사번키],INDEX(합계표[사번키],$X535),상세표[반영월],대상월키))</f>
        <v/>
      </c>
      <c r="L535">
        <f>IF($X535="","",IFERROR(INDEX(월별근무지표[적용 급여병원],MATCH(INDEX(합계표[사번키],$X535)&amp;"|"&amp;대상월키,월별근무지표[키],0))&amp;"",IF(COUNTIF(기관표[사번키],INDEX(합계표[사번키],$X535))+COUNTIF(월별근무지표[사번키],INDEX(합계표[사번키],$X535))&gt;0,IFERROR(INDEX(기관표[급여지급병원(기준월)],MATCH(INDEX(합계표[사번키],$X535)&amp;"|"&amp;대상월키,기관표[키],0))&amp;"","—"),"—")))</f>
        <v/>
      </c>
      <c r="M535">
        <f>IF($X535="","",IF(NOT(COUNTIF(기관표[사번키],INDEX(합계표[사번키],$X535))+COUNTIF(월별근무지표[사번키],INDEX(합계표[사번키],$X535))&gt;0),"기관명단에 없음(다른 병원으로 발송)",IF($L535="서울병원","해당",IF(N($R535)&gt;0,"해당(말일 근무)",IF($L535="—","대상월 기관명단 없음(추가 필요)","비해당")))))</f>
        <v/>
      </c>
      <c r="N535" s="20">
        <f>IF($X535="","",SUMIFS(상세표[06~07시],상세표[사번키],INDEX(합계표[사번키],$X535),상세표[반영월],대상월키,상세표[반영 기관],"서울병원"))</f>
        <v/>
      </c>
      <c r="O535" s="20">
        <f>IF($X535="","",SUMIFS(상세표[07~18시],상세표[사번키],INDEX(합계표[사번키],$X535),상세표[반영월],대상월키,상세표[반영 기관],"서울병원"))</f>
        <v/>
      </c>
      <c r="P535" s="20">
        <f>IF($X535="","",SUMIFS(상세표[18~22시],상세표[사번키],INDEX(합계표[사번키],$X535),상세표[반영월],대상월키,상세표[반영 기관],"서울병원"))</f>
        <v/>
      </c>
      <c r="Q535" s="20">
        <f>IF($X535="","",SUMIFS(상세표[22~06시],상세표[사번키],INDEX(합계표[사번키],$X535),상세표[반영월],대상월키,상세표[반영 기관],"서울병원"))</f>
        <v/>
      </c>
      <c r="R535" s="20">
        <f>IF($X535="","",SUM($N535:$Q535))</f>
        <v/>
      </c>
      <c r="S535">
        <f>IF($X535="","",COUNTIFS(상세표[사번키],INDEX(합계표[사번키],$X535),상세표[반영월],대상월키,상세표[야간당직],1,상세표[야간 구분],"평일"))</f>
        <v/>
      </c>
      <c r="T535">
        <f>IF($X535="","",COUNTIFS(상세표[사번키],INDEX(합계표[사번키],$X535),상세표[반영월],대상월키,상세표[야간당직],1,상세표[야간 구분],"휴일"))</f>
        <v/>
      </c>
      <c r="U535">
        <f>IF($X535="","",COUNTIFS(상세표[사번키],INDEX(합계표[사번키],$X535),상세표[반영월],대상월키,상세표[야간당직],1,상세표[야간 구분],"평일",상세표[반영 기관],"서울병원"))</f>
        <v/>
      </c>
      <c r="V535">
        <f>IF($X535="","",COUNTIFS(상세표[사번키],INDEX(합계표[사번키],$X535),상세표[반영월],대상월키,상세표[야간당직],1,상세표[야간 구분],"휴일",상세표[반영 기관],"서울병원"))</f>
        <v/>
      </c>
      <c r="W535">
        <f>IF($X535="","",IF(ISNUMBER(MATCH(INDEX(합계표[사번키],$X535)&amp;"|"&amp;대상월키,월별근무지표[키],0)),"직접 입력",IF($L535="—","—","기관명단")))</f>
        <v/>
      </c>
      <c r="X535" s="4">
        <f>IFERROR(MATCH(530,합계표[판정순번],0),"")</f>
        <v/>
      </c>
    </row>
    <row r="536">
      <c r="A536">
        <f>IF($X536="","",INDEX(합계표[사번],$X536)&amp;"")</f>
        <v/>
      </c>
      <c r="B536">
        <f>IF($X536="","",INDEX(합계표[성명],$X536)&amp;"")</f>
        <v/>
      </c>
      <c r="C536">
        <f>IF($X536="","",INDEX(합계표[부서],$X536)&amp;"")</f>
        <v/>
      </c>
      <c r="D536">
        <f>IF($X536="","",INDEX(합계표[직위(요약)],$X536)&amp;"")</f>
        <v/>
      </c>
      <c r="E536">
        <f>IF($X536="","",INDEX(합계표[직급 공존],$X536)&amp;"")</f>
        <v/>
      </c>
      <c r="F536" s="20">
        <f>IF($X536="","",SUMIFS(합계표[시스템 합계],합계표[사번키],INDEX(합계표[사번키],$X536)))</f>
        <v/>
      </c>
      <c r="G536" s="20">
        <f>IF($X536="","",SUMIFS(상세표[기록 시간외],상세표[사번키],INDEX(합계표[사번키],$X536),상세표[기록월],대상월키))</f>
        <v/>
      </c>
      <c r="H536">
        <f>IF($X536="","",IF(ABS($F536-$G536)&lt;0.01,"일치","불일치(차이 "&amp;TEXT($G536-$F536,"0.00")&amp;")"))</f>
        <v/>
      </c>
      <c r="I536" s="20">
        <f>IF($X536="","",SUMIFS(상세표[기록 시간외],상세표[사번키],INDEX(합계표[사번키],$X536),상세표[기록월],대상월키,상세표[반영월],"&lt;&gt;"&amp;대상월키))</f>
        <v/>
      </c>
      <c r="J536" s="20">
        <f>IF($X536="","",SUMIFS(상세표[기록 시간외],상세표[사번키],INDEX(합계표[사번키],$X536),상세표[기록월],"&lt;&gt;"&amp;대상월키,상세표[반영월],대상월키))</f>
        <v/>
      </c>
      <c r="K536" s="20">
        <f>IF($X536="","",SUMIFS(상세표[기록 시간외],상세표[사번키],INDEX(합계표[사번키],$X536),상세표[반영월],대상월키))</f>
        <v/>
      </c>
      <c r="L536">
        <f>IF($X536="","",IFERROR(INDEX(월별근무지표[적용 급여병원],MATCH(INDEX(합계표[사번키],$X536)&amp;"|"&amp;대상월키,월별근무지표[키],0))&amp;"",IF(COUNTIF(기관표[사번키],INDEX(합계표[사번키],$X536))+COUNTIF(월별근무지표[사번키],INDEX(합계표[사번키],$X536))&gt;0,IFERROR(INDEX(기관표[급여지급병원(기준월)],MATCH(INDEX(합계표[사번키],$X536)&amp;"|"&amp;대상월키,기관표[키],0))&amp;"","—"),"—")))</f>
        <v/>
      </c>
      <c r="M536">
        <f>IF($X536="","",IF(NOT(COUNTIF(기관표[사번키],INDEX(합계표[사번키],$X536))+COUNTIF(월별근무지표[사번키],INDEX(합계표[사번키],$X536))&gt;0),"기관명단에 없음(다른 병원으로 발송)",IF($L536="서울병원","해당",IF(N($R536)&gt;0,"해당(말일 근무)",IF($L536="—","대상월 기관명단 없음(추가 필요)","비해당")))))</f>
        <v/>
      </c>
      <c r="N536" s="20">
        <f>IF($X536="","",SUMIFS(상세표[06~07시],상세표[사번키],INDEX(합계표[사번키],$X536),상세표[반영월],대상월키,상세표[반영 기관],"서울병원"))</f>
        <v/>
      </c>
      <c r="O536" s="20">
        <f>IF($X536="","",SUMIFS(상세표[07~18시],상세표[사번키],INDEX(합계표[사번키],$X536),상세표[반영월],대상월키,상세표[반영 기관],"서울병원"))</f>
        <v/>
      </c>
      <c r="P536" s="20">
        <f>IF($X536="","",SUMIFS(상세표[18~22시],상세표[사번키],INDEX(합계표[사번키],$X536),상세표[반영월],대상월키,상세표[반영 기관],"서울병원"))</f>
        <v/>
      </c>
      <c r="Q536" s="20">
        <f>IF($X536="","",SUMIFS(상세표[22~06시],상세표[사번키],INDEX(합계표[사번키],$X536),상세표[반영월],대상월키,상세표[반영 기관],"서울병원"))</f>
        <v/>
      </c>
      <c r="R536" s="20">
        <f>IF($X536="","",SUM($N536:$Q536))</f>
        <v/>
      </c>
      <c r="S536">
        <f>IF($X536="","",COUNTIFS(상세표[사번키],INDEX(합계표[사번키],$X536),상세표[반영월],대상월키,상세표[야간당직],1,상세표[야간 구분],"평일"))</f>
        <v/>
      </c>
      <c r="T536">
        <f>IF($X536="","",COUNTIFS(상세표[사번키],INDEX(합계표[사번키],$X536),상세표[반영월],대상월키,상세표[야간당직],1,상세표[야간 구분],"휴일"))</f>
        <v/>
      </c>
      <c r="U536">
        <f>IF($X536="","",COUNTIFS(상세표[사번키],INDEX(합계표[사번키],$X536),상세표[반영월],대상월키,상세표[야간당직],1,상세표[야간 구분],"평일",상세표[반영 기관],"서울병원"))</f>
        <v/>
      </c>
      <c r="V536">
        <f>IF($X536="","",COUNTIFS(상세표[사번키],INDEX(합계표[사번키],$X536),상세표[반영월],대상월키,상세표[야간당직],1,상세표[야간 구분],"휴일",상세표[반영 기관],"서울병원"))</f>
        <v/>
      </c>
      <c r="W536">
        <f>IF($X536="","",IF(ISNUMBER(MATCH(INDEX(합계표[사번키],$X536)&amp;"|"&amp;대상월키,월별근무지표[키],0)),"직접 입력",IF($L536="—","—","기관명단")))</f>
        <v/>
      </c>
      <c r="X536" s="4">
        <f>IFERROR(MATCH(531,합계표[판정순번],0),"")</f>
        <v/>
      </c>
    </row>
    <row r="537">
      <c r="A537">
        <f>IF($X537="","",INDEX(합계표[사번],$X537)&amp;"")</f>
        <v/>
      </c>
      <c r="B537">
        <f>IF($X537="","",INDEX(합계표[성명],$X537)&amp;"")</f>
        <v/>
      </c>
      <c r="C537">
        <f>IF($X537="","",INDEX(합계표[부서],$X537)&amp;"")</f>
        <v/>
      </c>
      <c r="D537">
        <f>IF($X537="","",INDEX(합계표[직위(요약)],$X537)&amp;"")</f>
        <v/>
      </c>
      <c r="E537">
        <f>IF($X537="","",INDEX(합계표[직급 공존],$X537)&amp;"")</f>
        <v/>
      </c>
      <c r="F537" s="20">
        <f>IF($X537="","",SUMIFS(합계표[시스템 합계],합계표[사번키],INDEX(합계표[사번키],$X537)))</f>
        <v/>
      </c>
      <c r="G537" s="20">
        <f>IF($X537="","",SUMIFS(상세표[기록 시간외],상세표[사번키],INDEX(합계표[사번키],$X537),상세표[기록월],대상월키))</f>
        <v/>
      </c>
      <c r="H537">
        <f>IF($X537="","",IF(ABS($F537-$G537)&lt;0.01,"일치","불일치(차이 "&amp;TEXT($G537-$F537,"0.00")&amp;")"))</f>
        <v/>
      </c>
      <c r="I537" s="20">
        <f>IF($X537="","",SUMIFS(상세표[기록 시간외],상세표[사번키],INDEX(합계표[사번키],$X537),상세표[기록월],대상월키,상세표[반영월],"&lt;&gt;"&amp;대상월키))</f>
        <v/>
      </c>
      <c r="J537" s="20">
        <f>IF($X537="","",SUMIFS(상세표[기록 시간외],상세표[사번키],INDEX(합계표[사번키],$X537),상세표[기록월],"&lt;&gt;"&amp;대상월키,상세표[반영월],대상월키))</f>
        <v/>
      </c>
      <c r="K537" s="20">
        <f>IF($X537="","",SUMIFS(상세표[기록 시간외],상세표[사번키],INDEX(합계표[사번키],$X537),상세표[반영월],대상월키))</f>
        <v/>
      </c>
      <c r="L537">
        <f>IF($X537="","",IFERROR(INDEX(월별근무지표[적용 급여병원],MATCH(INDEX(합계표[사번키],$X537)&amp;"|"&amp;대상월키,월별근무지표[키],0))&amp;"",IF(COUNTIF(기관표[사번키],INDEX(합계표[사번키],$X537))+COUNTIF(월별근무지표[사번키],INDEX(합계표[사번키],$X537))&gt;0,IFERROR(INDEX(기관표[급여지급병원(기준월)],MATCH(INDEX(합계표[사번키],$X537)&amp;"|"&amp;대상월키,기관표[키],0))&amp;"","—"),"—")))</f>
        <v/>
      </c>
      <c r="M537">
        <f>IF($X537="","",IF(NOT(COUNTIF(기관표[사번키],INDEX(합계표[사번키],$X537))+COUNTIF(월별근무지표[사번키],INDEX(합계표[사번키],$X537))&gt;0),"기관명단에 없음(다른 병원으로 발송)",IF($L537="서울병원","해당",IF(N($R537)&gt;0,"해당(말일 근무)",IF($L537="—","대상월 기관명단 없음(추가 필요)","비해당")))))</f>
        <v/>
      </c>
      <c r="N537" s="20">
        <f>IF($X537="","",SUMIFS(상세표[06~07시],상세표[사번키],INDEX(합계표[사번키],$X537),상세표[반영월],대상월키,상세표[반영 기관],"서울병원"))</f>
        <v/>
      </c>
      <c r="O537" s="20">
        <f>IF($X537="","",SUMIFS(상세표[07~18시],상세표[사번키],INDEX(합계표[사번키],$X537),상세표[반영월],대상월키,상세표[반영 기관],"서울병원"))</f>
        <v/>
      </c>
      <c r="P537" s="20">
        <f>IF($X537="","",SUMIFS(상세표[18~22시],상세표[사번키],INDEX(합계표[사번키],$X537),상세표[반영월],대상월키,상세표[반영 기관],"서울병원"))</f>
        <v/>
      </c>
      <c r="Q537" s="20">
        <f>IF($X537="","",SUMIFS(상세표[22~06시],상세표[사번키],INDEX(합계표[사번키],$X537),상세표[반영월],대상월키,상세표[반영 기관],"서울병원"))</f>
        <v/>
      </c>
      <c r="R537" s="20">
        <f>IF($X537="","",SUM($N537:$Q537))</f>
        <v/>
      </c>
      <c r="S537">
        <f>IF($X537="","",COUNTIFS(상세표[사번키],INDEX(합계표[사번키],$X537),상세표[반영월],대상월키,상세표[야간당직],1,상세표[야간 구분],"평일"))</f>
        <v/>
      </c>
      <c r="T537">
        <f>IF($X537="","",COUNTIFS(상세표[사번키],INDEX(합계표[사번키],$X537),상세표[반영월],대상월키,상세표[야간당직],1,상세표[야간 구분],"휴일"))</f>
        <v/>
      </c>
      <c r="U537">
        <f>IF($X537="","",COUNTIFS(상세표[사번키],INDEX(합계표[사번키],$X537),상세표[반영월],대상월키,상세표[야간당직],1,상세표[야간 구분],"평일",상세표[반영 기관],"서울병원"))</f>
        <v/>
      </c>
      <c r="V537">
        <f>IF($X537="","",COUNTIFS(상세표[사번키],INDEX(합계표[사번키],$X537),상세표[반영월],대상월키,상세표[야간당직],1,상세표[야간 구분],"휴일",상세표[반영 기관],"서울병원"))</f>
        <v/>
      </c>
      <c r="W537">
        <f>IF($X537="","",IF(ISNUMBER(MATCH(INDEX(합계표[사번키],$X537)&amp;"|"&amp;대상월키,월별근무지표[키],0)),"직접 입력",IF($L537="—","—","기관명단")))</f>
        <v/>
      </c>
      <c r="X537" s="4">
        <f>IFERROR(MATCH(532,합계표[판정순번],0),"")</f>
        <v/>
      </c>
    </row>
    <row r="538">
      <c r="A538">
        <f>IF($X538="","",INDEX(합계표[사번],$X538)&amp;"")</f>
        <v/>
      </c>
      <c r="B538">
        <f>IF($X538="","",INDEX(합계표[성명],$X538)&amp;"")</f>
        <v/>
      </c>
      <c r="C538">
        <f>IF($X538="","",INDEX(합계표[부서],$X538)&amp;"")</f>
        <v/>
      </c>
      <c r="D538">
        <f>IF($X538="","",INDEX(합계표[직위(요약)],$X538)&amp;"")</f>
        <v/>
      </c>
      <c r="E538">
        <f>IF($X538="","",INDEX(합계표[직급 공존],$X538)&amp;"")</f>
        <v/>
      </c>
      <c r="F538" s="20">
        <f>IF($X538="","",SUMIFS(합계표[시스템 합계],합계표[사번키],INDEX(합계표[사번키],$X538)))</f>
        <v/>
      </c>
      <c r="G538" s="20">
        <f>IF($X538="","",SUMIFS(상세표[기록 시간외],상세표[사번키],INDEX(합계표[사번키],$X538),상세표[기록월],대상월키))</f>
        <v/>
      </c>
      <c r="H538">
        <f>IF($X538="","",IF(ABS($F538-$G538)&lt;0.01,"일치","불일치(차이 "&amp;TEXT($G538-$F538,"0.00")&amp;")"))</f>
        <v/>
      </c>
      <c r="I538" s="20">
        <f>IF($X538="","",SUMIFS(상세표[기록 시간외],상세표[사번키],INDEX(합계표[사번키],$X538),상세표[기록월],대상월키,상세표[반영월],"&lt;&gt;"&amp;대상월키))</f>
        <v/>
      </c>
      <c r="J538" s="20">
        <f>IF($X538="","",SUMIFS(상세표[기록 시간외],상세표[사번키],INDEX(합계표[사번키],$X538),상세표[기록월],"&lt;&gt;"&amp;대상월키,상세표[반영월],대상월키))</f>
        <v/>
      </c>
      <c r="K538" s="20">
        <f>IF($X538="","",SUMIFS(상세표[기록 시간외],상세표[사번키],INDEX(합계표[사번키],$X538),상세표[반영월],대상월키))</f>
        <v/>
      </c>
      <c r="L538">
        <f>IF($X538="","",IFERROR(INDEX(월별근무지표[적용 급여병원],MATCH(INDEX(합계표[사번키],$X538)&amp;"|"&amp;대상월키,월별근무지표[키],0))&amp;"",IF(COUNTIF(기관표[사번키],INDEX(합계표[사번키],$X538))+COUNTIF(월별근무지표[사번키],INDEX(합계표[사번키],$X538))&gt;0,IFERROR(INDEX(기관표[급여지급병원(기준월)],MATCH(INDEX(합계표[사번키],$X538)&amp;"|"&amp;대상월키,기관표[키],0))&amp;"","—"),"—")))</f>
        <v/>
      </c>
      <c r="M538">
        <f>IF($X538="","",IF(NOT(COUNTIF(기관표[사번키],INDEX(합계표[사번키],$X538))+COUNTIF(월별근무지표[사번키],INDEX(합계표[사번키],$X538))&gt;0),"기관명단에 없음(다른 병원으로 발송)",IF($L538="서울병원","해당",IF(N($R538)&gt;0,"해당(말일 근무)",IF($L538="—","대상월 기관명단 없음(추가 필요)","비해당")))))</f>
        <v/>
      </c>
      <c r="N538" s="20">
        <f>IF($X538="","",SUMIFS(상세표[06~07시],상세표[사번키],INDEX(합계표[사번키],$X538),상세표[반영월],대상월키,상세표[반영 기관],"서울병원"))</f>
        <v/>
      </c>
      <c r="O538" s="20">
        <f>IF($X538="","",SUMIFS(상세표[07~18시],상세표[사번키],INDEX(합계표[사번키],$X538),상세표[반영월],대상월키,상세표[반영 기관],"서울병원"))</f>
        <v/>
      </c>
      <c r="P538" s="20">
        <f>IF($X538="","",SUMIFS(상세표[18~22시],상세표[사번키],INDEX(합계표[사번키],$X538),상세표[반영월],대상월키,상세표[반영 기관],"서울병원"))</f>
        <v/>
      </c>
      <c r="Q538" s="20">
        <f>IF($X538="","",SUMIFS(상세표[22~06시],상세표[사번키],INDEX(합계표[사번키],$X538),상세표[반영월],대상월키,상세표[반영 기관],"서울병원"))</f>
        <v/>
      </c>
      <c r="R538" s="20">
        <f>IF($X538="","",SUM($N538:$Q538))</f>
        <v/>
      </c>
      <c r="S538">
        <f>IF($X538="","",COUNTIFS(상세표[사번키],INDEX(합계표[사번키],$X538),상세표[반영월],대상월키,상세표[야간당직],1,상세표[야간 구분],"평일"))</f>
        <v/>
      </c>
      <c r="T538">
        <f>IF($X538="","",COUNTIFS(상세표[사번키],INDEX(합계표[사번키],$X538),상세표[반영월],대상월키,상세표[야간당직],1,상세표[야간 구분],"휴일"))</f>
        <v/>
      </c>
      <c r="U538">
        <f>IF($X538="","",COUNTIFS(상세표[사번키],INDEX(합계표[사번키],$X538),상세표[반영월],대상월키,상세표[야간당직],1,상세표[야간 구분],"평일",상세표[반영 기관],"서울병원"))</f>
        <v/>
      </c>
      <c r="V538">
        <f>IF($X538="","",COUNTIFS(상세표[사번키],INDEX(합계표[사번키],$X538),상세표[반영월],대상월키,상세표[야간당직],1,상세표[야간 구분],"휴일",상세표[반영 기관],"서울병원"))</f>
        <v/>
      </c>
      <c r="W538">
        <f>IF($X538="","",IF(ISNUMBER(MATCH(INDEX(합계표[사번키],$X538)&amp;"|"&amp;대상월키,월별근무지표[키],0)),"직접 입력",IF($L538="—","—","기관명단")))</f>
        <v/>
      </c>
      <c r="X538" s="4">
        <f>IFERROR(MATCH(533,합계표[판정순번],0),"")</f>
        <v/>
      </c>
    </row>
    <row r="539">
      <c r="A539">
        <f>IF($X539="","",INDEX(합계표[사번],$X539)&amp;"")</f>
        <v/>
      </c>
      <c r="B539">
        <f>IF($X539="","",INDEX(합계표[성명],$X539)&amp;"")</f>
        <v/>
      </c>
      <c r="C539">
        <f>IF($X539="","",INDEX(합계표[부서],$X539)&amp;"")</f>
        <v/>
      </c>
      <c r="D539">
        <f>IF($X539="","",INDEX(합계표[직위(요약)],$X539)&amp;"")</f>
        <v/>
      </c>
      <c r="E539">
        <f>IF($X539="","",INDEX(합계표[직급 공존],$X539)&amp;"")</f>
        <v/>
      </c>
      <c r="F539" s="20">
        <f>IF($X539="","",SUMIFS(합계표[시스템 합계],합계표[사번키],INDEX(합계표[사번키],$X539)))</f>
        <v/>
      </c>
      <c r="G539" s="20">
        <f>IF($X539="","",SUMIFS(상세표[기록 시간외],상세표[사번키],INDEX(합계표[사번키],$X539),상세표[기록월],대상월키))</f>
        <v/>
      </c>
      <c r="H539">
        <f>IF($X539="","",IF(ABS($F539-$G539)&lt;0.01,"일치","불일치(차이 "&amp;TEXT($G539-$F539,"0.00")&amp;")"))</f>
        <v/>
      </c>
      <c r="I539" s="20">
        <f>IF($X539="","",SUMIFS(상세표[기록 시간외],상세표[사번키],INDEX(합계표[사번키],$X539),상세표[기록월],대상월키,상세표[반영월],"&lt;&gt;"&amp;대상월키))</f>
        <v/>
      </c>
      <c r="J539" s="20">
        <f>IF($X539="","",SUMIFS(상세표[기록 시간외],상세표[사번키],INDEX(합계표[사번키],$X539),상세표[기록월],"&lt;&gt;"&amp;대상월키,상세표[반영월],대상월키))</f>
        <v/>
      </c>
      <c r="K539" s="20">
        <f>IF($X539="","",SUMIFS(상세표[기록 시간외],상세표[사번키],INDEX(합계표[사번키],$X539),상세표[반영월],대상월키))</f>
        <v/>
      </c>
      <c r="L539">
        <f>IF($X539="","",IFERROR(INDEX(월별근무지표[적용 급여병원],MATCH(INDEX(합계표[사번키],$X539)&amp;"|"&amp;대상월키,월별근무지표[키],0))&amp;"",IF(COUNTIF(기관표[사번키],INDEX(합계표[사번키],$X539))+COUNTIF(월별근무지표[사번키],INDEX(합계표[사번키],$X539))&gt;0,IFERROR(INDEX(기관표[급여지급병원(기준월)],MATCH(INDEX(합계표[사번키],$X539)&amp;"|"&amp;대상월키,기관표[키],0))&amp;"","—"),"—")))</f>
        <v/>
      </c>
      <c r="M539">
        <f>IF($X539="","",IF(NOT(COUNTIF(기관표[사번키],INDEX(합계표[사번키],$X539))+COUNTIF(월별근무지표[사번키],INDEX(합계표[사번키],$X539))&gt;0),"기관명단에 없음(다른 병원으로 발송)",IF($L539="서울병원","해당",IF(N($R539)&gt;0,"해당(말일 근무)",IF($L539="—","대상월 기관명단 없음(추가 필요)","비해당")))))</f>
        <v/>
      </c>
      <c r="N539" s="20">
        <f>IF($X539="","",SUMIFS(상세표[06~07시],상세표[사번키],INDEX(합계표[사번키],$X539),상세표[반영월],대상월키,상세표[반영 기관],"서울병원"))</f>
        <v/>
      </c>
      <c r="O539" s="20">
        <f>IF($X539="","",SUMIFS(상세표[07~18시],상세표[사번키],INDEX(합계표[사번키],$X539),상세표[반영월],대상월키,상세표[반영 기관],"서울병원"))</f>
        <v/>
      </c>
      <c r="P539" s="20">
        <f>IF($X539="","",SUMIFS(상세표[18~22시],상세표[사번키],INDEX(합계표[사번키],$X539),상세표[반영월],대상월키,상세표[반영 기관],"서울병원"))</f>
        <v/>
      </c>
      <c r="Q539" s="20">
        <f>IF($X539="","",SUMIFS(상세표[22~06시],상세표[사번키],INDEX(합계표[사번키],$X539),상세표[반영월],대상월키,상세표[반영 기관],"서울병원"))</f>
        <v/>
      </c>
      <c r="R539" s="20">
        <f>IF($X539="","",SUM($N539:$Q539))</f>
        <v/>
      </c>
      <c r="S539">
        <f>IF($X539="","",COUNTIFS(상세표[사번키],INDEX(합계표[사번키],$X539),상세표[반영월],대상월키,상세표[야간당직],1,상세표[야간 구분],"평일"))</f>
        <v/>
      </c>
      <c r="T539">
        <f>IF($X539="","",COUNTIFS(상세표[사번키],INDEX(합계표[사번키],$X539),상세표[반영월],대상월키,상세표[야간당직],1,상세표[야간 구분],"휴일"))</f>
        <v/>
      </c>
      <c r="U539">
        <f>IF($X539="","",COUNTIFS(상세표[사번키],INDEX(합계표[사번키],$X539),상세표[반영월],대상월키,상세표[야간당직],1,상세표[야간 구분],"평일",상세표[반영 기관],"서울병원"))</f>
        <v/>
      </c>
      <c r="V539">
        <f>IF($X539="","",COUNTIFS(상세표[사번키],INDEX(합계표[사번키],$X539),상세표[반영월],대상월키,상세표[야간당직],1,상세표[야간 구분],"휴일",상세표[반영 기관],"서울병원"))</f>
        <v/>
      </c>
      <c r="W539">
        <f>IF($X539="","",IF(ISNUMBER(MATCH(INDEX(합계표[사번키],$X539)&amp;"|"&amp;대상월키,월별근무지표[키],0)),"직접 입력",IF($L539="—","—","기관명단")))</f>
        <v/>
      </c>
      <c r="X539" s="4">
        <f>IFERROR(MATCH(534,합계표[판정순번],0),"")</f>
        <v/>
      </c>
    </row>
    <row r="540">
      <c r="A540">
        <f>IF($X540="","",INDEX(합계표[사번],$X540)&amp;"")</f>
        <v/>
      </c>
      <c r="B540">
        <f>IF($X540="","",INDEX(합계표[성명],$X540)&amp;"")</f>
        <v/>
      </c>
      <c r="C540">
        <f>IF($X540="","",INDEX(합계표[부서],$X540)&amp;"")</f>
        <v/>
      </c>
      <c r="D540">
        <f>IF($X540="","",INDEX(합계표[직위(요약)],$X540)&amp;"")</f>
        <v/>
      </c>
      <c r="E540">
        <f>IF($X540="","",INDEX(합계표[직급 공존],$X540)&amp;"")</f>
        <v/>
      </c>
      <c r="F540" s="20">
        <f>IF($X540="","",SUMIFS(합계표[시스템 합계],합계표[사번키],INDEX(합계표[사번키],$X540)))</f>
        <v/>
      </c>
      <c r="G540" s="20">
        <f>IF($X540="","",SUMIFS(상세표[기록 시간외],상세표[사번키],INDEX(합계표[사번키],$X540),상세표[기록월],대상월키))</f>
        <v/>
      </c>
      <c r="H540">
        <f>IF($X540="","",IF(ABS($F540-$G540)&lt;0.01,"일치","불일치(차이 "&amp;TEXT($G540-$F540,"0.00")&amp;")"))</f>
        <v/>
      </c>
      <c r="I540" s="20">
        <f>IF($X540="","",SUMIFS(상세표[기록 시간외],상세표[사번키],INDEX(합계표[사번키],$X540),상세표[기록월],대상월키,상세표[반영월],"&lt;&gt;"&amp;대상월키))</f>
        <v/>
      </c>
      <c r="J540" s="20">
        <f>IF($X540="","",SUMIFS(상세표[기록 시간외],상세표[사번키],INDEX(합계표[사번키],$X540),상세표[기록월],"&lt;&gt;"&amp;대상월키,상세표[반영월],대상월키))</f>
        <v/>
      </c>
      <c r="K540" s="20">
        <f>IF($X540="","",SUMIFS(상세표[기록 시간외],상세표[사번키],INDEX(합계표[사번키],$X540),상세표[반영월],대상월키))</f>
        <v/>
      </c>
      <c r="L540">
        <f>IF($X540="","",IFERROR(INDEX(월별근무지표[적용 급여병원],MATCH(INDEX(합계표[사번키],$X540)&amp;"|"&amp;대상월키,월별근무지표[키],0))&amp;"",IF(COUNTIF(기관표[사번키],INDEX(합계표[사번키],$X540))+COUNTIF(월별근무지표[사번키],INDEX(합계표[사번키],$X540))&gt;0,IFERROR(INDEX(기관표[급여지급병원(기준월)],MATCH(INDEX(합계표[사번키],$X540)&amp;"|"&amp;대상월키,기관표[키],0))&amp;"","—"),"—")))</f>
        <v/>
      </c>
      <c r="M540">
        <f>IF($X540="","",IF(NOT(COUNTIF(기관표[사번키],INDEX(합계표[사번키],$X540))+COUNTIF(월별근무지표[사번키],INDEX(합계표[사번키],$X540))&gt;0),"기관명단에 없음(다른 병원으로 발송)",IF($L540="서울병원","해당",IF(N($R540)&gt;0,"해당(말일 근무)",IF($L540="—","대상월 기관명단 없음(추가 필요)","비해당")))))</f>
        <v/>
      </c>
      <c r="N540" s="20">
        <f>IF($X540="","",SUMIFS(상세표[06~07시],상세표[사번키],INDEX(합계표[사번키],$X540),상세표[반영월],대상월키,상세표[반영 기관],"서울병원"))</f>
        <v/>
      </c>
      <c r="O540" s="20">
        <f>IF($X540="","",SUMIFS(상세표[07~18시],상세표[사번키],INDEX(합계표[사번키],$X540),상세표[반영월],대상월키,상세표[반영 기관],"서울병원"))</f>
        <v/>
      </c>
      <c r="P540" s="20">
        <f>IF($X540="","",SUMIFS(상세표[18~22시],상세표[사번키],INDEX(합계표[사번키],$X540),상세표[반영월],대상월키,상세표[반영 기관],"서울병원"))</f>
        <v/>
      </c>
      <c r="Q540" s="20">
        <f>IF($X540="","",SUMIFS(상세표[22~06시],상세표[사번키],INDEX(합계표[사번키],$X540),상세표[반영월],대상월키,상세표[반영 기관],"서울병원"))</f>
        <v/>
      </c>
      <c r="R540" s="20">
        <f>IF($X540="","",SUM($N540:$Q540))</f>
        <v/>
      </c>
      <c r="S540">
        <f>IF($X540="","",COUNTIFS(상세표[사번키],INDEX(합계표[사번키],$X540),상세표[반영월],대상월키,상세표[야간당직],1,상세표[야간 구분],"평일"))</f>
        <v/>
      </c>
      <c r="T540">
        <f>IF($X540="","",COUNTIFS(상세표[사번키],INDEX(합계표[사번키],$X540),상세표[반영월],대상월키,상세표[야간당직],1,상세표[야간 구분],"휴일"))</f>
        <v/>
      </c>
      <c r="U540">
        <f>IF($X540="","",COUNTIFS(상세표[사번키],INDEX(합계표[사번키],$X540),상세표[반영월],대상월키,상세표[야간당직],1,상세표[야간 구분],"평일",상세표[반영 기관],"서울병원"))</f>
        <v/>
      </c>
      <c r="V540">
        <f>IF($X540="","",COUNTIFS(상세표[사번키],INDEX(합계표[사번키],$X540),상세표[반영월],대상월키,상세표[야간당직],1,상세표[야간 구분],"휴일",상세표[반영 기관],"서울병원"))</f>
        <v/>
      </c>
      <c r="W540">
        <f>IF($X540="","",IF(ISNUMBER(MATCH(INDEX(합계표[사번키],$X540)&amp;"|"&amp;대상월키,월별근무지표[키],0)),"직접 입력",IF($L540="—","—","기관명단")))</f>
        <v/>
      </c>
      <c r="X540" s="4">
        <f>IFERROR(MATCH(535,합계표[판정순번],0),"")</f>
        <v/>
      </c>
    </row>
    <row r="541">
      <c r="A541">
        <f>IF($X541="","",INDEX(합계표[사번],$X541)&amp;"")</f>
        <v/>
      </c>
      <c r="B541">
        <f>IF($X541="","",INDEX(합계표[성명],$X541)&amp;"")</f>
        <v/>
      </c>
      <c r="C541">
        <f>IF($X541="","",INDEX(합계표[부서],$X541)&amp;"")</f>
        <v/>
      </c>
      <c r="D541">
        <f>IF($X541="","",INDEX(합계표[직위(요약)],$X541)&amp;"")</f>
        <v/>
      </c>
      <c r="E541">
        <f>IF($X541="","",INDEX(합계표[직급 공존],$X541)&amp;"")</f>
        <v/>
      </c>
      <c r="F541" s="20">
        <f>IF($X541="","",SUMIFS(합계표[시스템 합계],합계표[사번키],INDEX(합계표[사번키],$X541)))</f>
        <v/>
      </c>
      <c r="G541" s="20">
        <f>IF($X541="","",SUMIFS(상세표[기록 시간외],상세표[사번키],INDEX(합계표[사번키],$X541),상세표[기록월],대상월키))</f>
        <v/>
      </c>
      <c r="H541">
        <f>IF($X541="","",IF(ABS($F541-$G541)&lt;0.01,"일치","불일치(차이 "&amp;TEXT($G541-$F541,"0.00")&amp;")"))</f>
        <v/>
      </c>
      <c r="I541" s="20">
        <f>IF($X541="","",SUMIFS(상세표[기록 시간외],상세표[사번키],INDEX(합계표[사번키],$X541),상세표[기록월],대상월키,상세표[반영월],"&lt;&gt;"&amp;대상월키))</f>
        <v/>
      </c>
      <c r="J541" s="20">
        <f>IF($X541="","",SUMIFS(상세표[기록 시간외],상세표[사번키],INDEX(합계표[사번키],$X541),상세표[기록월],"&lt;&gt;"&amp;대상월키,상세표[반영월],대상월키))</f>
        <v/>
      </c>
      <c r="K541" s="20">
        <f>IF($X541="","",SUMIFS(상세표[기록 시간외],상세표[사번키],INDEX(합계표[사번키],$X541),상세표[반영월],대상월키))</f>
        <v/>
      </c>
      <c r="L541">
        <f>IF($X541="","",IFERROR(INDEX(월별근무지표[적용 급여병원],MATCH(INDEX(합계표[사번키],$X541)&amp;"|"&amp;대상월키,월별근무지표[키],0))&amp;"",IF(COUNTIF(기관표[사번키],INDEX(합계표[사번키],$X541))+COUNTIF(월별근무지표[사번키],INDEX(합계표[사번키],$X541))&gt;0,IFERROR(INDEX(기관표[급여지급병원(기준월)],MATCH(INDEX(합계표[사번키],$X541)&amp;"|"&amp;대상월키,기관표[키],0))&amp;"","—"),"—")))</f>
        <v/>
      </c>
      <c r="M541">
        <f>IF($X541="","",IF(NOT(COUNTIF(기관표[사번키],INDEX(합계표[사번키],$X541))+COUNTIF(월별근무지표[사번키],INDEX(합계표[사번키],$X541))&gt;0),"기관명단에 없음(다른 병원으로 발송)",IF($L541="서울병원","해당",IF(N($R541)&gt;0,"해당(말일 근무)",IF($L541="—","대상월 기관명단 없음(추가 필요)","비해당")))))</f>
        <v/>
      </c>
      <c r="N541" s="20">
        <f>IF($X541="","",SUMIFS(상세표[06~07시],상세표[사번키],INDEX(합계표[사번키],$X541),상세표[반영월],대상월키,상세표[반영 기관],"서울병원"))</f>
        <v/>
      </c>
      <c r="O541" s="20">
        <f>IF($X541="","",SUMIFS(상세표[07~18시],상세표[사번키],INDEX(합계표[사번키],$X541),상세표[반영월],대상월키,상세표[반영 기관],"서울병원"))</f>
        <v/>
      </c>
      <c r="P541" s="20">
        <f>IF($X541="","",SUMIFS(상세표[18~22시],상세표[사번키],INDEX(합계표[사번키],$X541),상세표[반영월],대상월키,상세표[반영 기관],"서울병원"))</f>
        <v/>
      </c>
      <c r="Q541" s="20">
        <f>IF($X541="","",SUMIFS(상세표[22~06시],상세표[사번키],INDEX(합계표[사번키],$X541),상세표[반영월],대상월키,상세표[반영 기관],"서울병원"))</f>
        <v/>
      </c>
      <c r="R541" s="20">
        <f>IF($X541="","",SUM($N541:$Q541))</f>
        <v/>
      </c>
      <c r="S541">
        <f>IF($X541="","",COUNTIFS(상세표[사번키],INDEX(합계표[사번키],$X541),상세표[반영월],대상월키,상세표[야간당직],1,상세표[야간 구분],"평일"))</f>
        <v/>
      </c>
      <c r="T541">
        <f>IF($X541="","",COUNTIFS(상세표[사번키],INDEX(합계표[사번키],$X541),상세표[반영월],대상월키,상세표[야간당직],1,상세표[야간 구분],"휴일"))</f>
        <v/>
      </c>
      <c r="U541">
        <f>IF($X541="","",COUNTIFS(상세표[사번키],INDEX(합계표[사번키],$X541),상세표[반영월],대상월키,상세표[야간당직],1,상세표[야간 구분],"평일",상세표[반영 기관],"서울병원"))</f>
        <v/>
      </c>
      <c r="V541">
        <f>IF($X541="","",COUNTIFS(상세표[사번키],INDEX(합계표[사번키],$X541),상세표[반영월],대상월키,상세표[야간당직],1,상세표[야간 구분],"휴일",상세표[반영 기관],"서울병원"))</f>
        <v/>
      </c>
      <c r="W541">
        <f>IF($X541="","",IF(ISNUMBER(MATCH(INDEX(합계표[사번키],$X541)&amp;"|"&amp;대상월키,월별근무지표[키],0)),"직접 입력",IF($L541="—","—","기관명단")))</f>
        <v/>
      </c>
      <c r="X541" s="4">
        <f>IFERROR(MATCH(536,합계표[판정순번],0),"")</f>
        <v/>
      </c>
    </row>
    <row r="542">
      <c r="A542">
        <f>IF($X542="","",INDEX(합계표[사번],$X542)&amp;"")</f>
        <v/>
      </c>
      <c r="B542">
        <f>IF($X542="","",INDEX(합계표[성명],$X542)&amp;"")</f>
        <v/>
      </c>
      <c r="C542">
        <f>IF($X542="","",INDEX(합계표[부서],$X542)&amp;"")</f>
        <v/>
      </c>
      <c r="D542">
        <f>IF($X542="","",INDEX(합계표[직위(요약)],$X542)&amp;"")</f>
        <v/>
      </c>
      <c r="E542">
        <f>IF($X542="","",INDEX(합계표[직급 공존],$X542)&amp;"")</f>
        <v/>
      </c>
      <c r="F542" s="20">
        <f>IF($X542="","",SUMIFS(합계표[시스템 합계],합계표[사번키],INDEX(합계표[사번키],$X542)))</f>
        <v/>
      </c>
      <c r="G542" s="20">
        <f>IF($X542="","",SUMIFS(상세표[기록 시간외],상세표[사번키],INDEX(합계표[사번키],$X542),상세표[기록월],대상월키))</f>
        <v/>
      </c>
      <c r="H542">
        <f>IF($X542="","",IF(ABS($F542-$G542)&lt;0.01,"일치","불일치(차이 "&amp;TEXT($G542-$F542,"0.00")&amp;")"))</f>
        <v/>
      </c>
      <c r="I542" s="20">
        <f>IF($X542="","",SUMIFS(상세표[기록 시간외],상세표[사번키],INDEX(합계표[사번키],$X542),상세표[기록월],대상월키,상세표[반영월],"&lt;&gt;"&amp;대상월키))</f>
        <v/>
      </c>
      <c r="J542" s="20">
        <f>IF($X542="","",SUMIFS(상세표[기록 시간외],상세표[사번키],INDEX(합계표[사번키],$X542),상세표[기록월],"&lt;&gt;"&amp;대상월키,상세표[반영월],대상월키))</f>
        <v/>
      </c>
      <c r="K542" s="20">
        <f>IF($X542="","",SUMIFS(상세표[기록 시간외],상세표[사번키],INDEX(합계표[사번키],$X542),상세표[반영월],대상월키))</f>
        <v/>
      </c>
      <c r="L542">
        <f>IF($X542="","",IFERROR(INDEX(월별근무지표[적용 급여병원],MATCH(INDEX(합계표[사번키],$X542)&amp;"|"&amp;대상월키,월별근무지표[키],0))&amp;"",IF(COUNTIF(기관표[사번키],INDEX(합계표[사번키],$X542))+COUNTIF(월별근무지표[사번키],INDEX(합계표[사번키],$X542))&gt;0,IFERROR(INDEX(기관표[급여지급병원(기준월)],MATCH(INDEX(합계표[사번키],$X542)&amp;"|"&amp;대상월키,기관표[키],0))&amp;"","—"),"—")))</f>
        <v/>
      </c>
      <c r="M542">
        <f>IF($X542="","",IF(NOT(COUNTIF(기관표[사번키],INDEX(합계표[사번키],$X542))+COUNTIF(월별근무지표[사번키],INDEX(합계표[사번키],$X542))&gt;0),"기관명단에 없음(다른 병원으로 발송)",IF($L542="서울병원","해당",IF(N($R542)&gt;0,"해당(말일 근무)",IF($L542="—","대상월 기관명단 없음(추가 필요)","비해당")))))</f>
        <v/>
      </c>
      <c r="N542" s="20">
        <f>IF($X542="","",SUMIFS(상세표[06~07시],상세표[사번키],INDEX(합계표[사번키],$X542),상세표[반영월],대상월키,상세표[반영 기관],"서울병원"))</f>
        <v/>
      </c>
      <c r="O542" s="20">
        <f>IF($X542="","",SUMIFS(상세표[07~18시],상세표[사번키],INDEX(합계표[사번키],$X542),상세표[반영월],대상월키,상세표[반영 기관],"서울병원"))</f>
        <v/>
      </c>
      <c r="P542" s="20">
        <f>IF($X542="","",SUMIFS(상세표[18~22시],상세표[사번키],INDEX(합계표[사번키],$X542),상세표[반영월],대상월키,상세표[반영 기관],"서울병원"))</f>
        <v/>
      </c>
      <c r="Q542" s="20">
        <f>IF($X542="","",SUMIFS(상세표[22~06시],상세표[사번키],INDEX(합계표[사번키],$X542),상세표[반영월],대상월키,상세표[반영 기관],"서울병원"))</f>
        <v/>
      </c>
      <c r="R542" s="20">
        <f>IF($X542="","",SUM($N542:$Q542))</f>
        <v/>
      </c>
      <c r="S542">
        <f>IF($X542="","",COUNTIFS(상세표[사번키],INDEX(합계표[사번키],$X542),상세표[반영월],대상월키,상세표[야간당직],1,상세표[야간 구분],"평일"))</f>
        <v/>
      </c>
      <c r="T542">
        <f>IF($X542="","",COUNTIFS(상세표[사번키],INDEX(합계표[사번키],$X542),상세표[반영월],대상월키,상세표[야간당직],1,상세표[야간 구분],"휴일"))</f>
        <v/>
      </c>
      <c r="U542">
        <f>IF($X542="","",COUNTIFS(상세표[사번키],INDEX(합계표[사번키],$X542),상세표[반영월],대상월키,상세표[야간당직],1,상세표[야간 구분],"평일",상세표[반영 기관],"서울병원"))</f>
        <v/>
      </c>
      <c r="V542">
        <f>IF($X542="","",COUNTIFS(상세표[사번키],INDEX(합계표[사번키],$X542),상세표[반영월],대상월키,상세표[야간당직],1,상세표[야간 구분],"휴일",상세표[반영 기관],"서울병원"))</f>
        <v/>
      </c>
      <c r="W542">
        <f>IF($X542="","",IF(ISNUMBER(MATCH(INDEX(합계표[사번키],$X542)&amp;"|"&amp;대상월키,월별근무지표[키],0)),"직접 입력",IF($L542="—","—","기관명단")))</f>
        <v/>
      </c>
      <c r="X542" s="4">
        <f>IFERROR(MATCH(537,합계표[판정순번],0),"")</f>
        <v/>
      </c>
    </row>
    <row r="543">
      <c r="A543">
        <f>IF($X543="","",INDEX(합계표[사번],$X543)&amp;"")</f>
        <v/>
      </c>
      <c r="B543">
        <f>IF($X543="","",INDEX(합계표[성명],$X543)&amp;"")</f>
        <v/>
      </c>
      <c r="C543">
        <f>IF($X543="","",INDEX(합계표[부서],$X543)&amp;"")</f>
        <v/>
      </c>
      <c r="D543">
        <f>IF($X543="","",INDEX(합계표[직위(요약)],$X543)&amp;"")</f>
        <v/>
      </c>
      <c r="E543">
        <f>IF($X543="","",INDEX(합계표[직급 공존],$X543)&amp;"")</f>
        <v/>
      </c>
      <c r="F543" s="20">
        <f>IF($X543="","",SUMIFS(합계표[시스템 합계],합계표[사번키],INDEX(합계표[사번키],$X543)))</f>
        <v/>
      </c>
      <c r="G543" s="20">
        <f>IF($X543="","",SUMIFS(상세표[기록 시간외],상세표[사번키],INDEX(합계표[사번키],$X543),상세표[기록월],대상월키))</f>
        <v/>
      </c>
      <c r="H543">
        <f>IF($X543="","",IF(ABS($F543-$G543)&lt;0.01,"일치","불일치(차이 "&amp;TEXT($G543-$F543,"0.00")&amp;")"))</f>
        <v/>
      </c>
      <c r="I543" s="20">
        <f>IF($X543="","",SUMIFS(상세표[기록 시간외],상세표[사번키],INDEX(합계표[사번키],$X543),상세표[기록월],대상월키,상세표[반영월],"&lt;&gt;"&amp;대상월키))</f>
        <v/>
      </c>
      <c r="J543" s="20">
        <f>IF($X543="","",SUMIFS(상세표[기록 시간외],상세표[사번키],INDEX(합계표[사번키],$X543),상세표[기록월],"&lt;&gt;"&amp;대상월키,상세표[반영월],대상월키))</f>
        <v/>
      </c>
      <c r="K543" s="20">
        <f>IF($X543="","",SUMIFS(상세표[기록 시간외],상세표[사번키],INDEX(합계표[사번키],$X543),상세표[반영월],대상월키))</f>
        <v/>
      </c>
      <c r="L543">
        <f>IF($X543="","",IFERROR(INDEX(월별근무지표[적용 급여병원],MATCH(INDEX(합계표[사번키],$X543)&amp;"|"&amp;대상월키,월별근무지표[키],0))&amp;"",IF(COUNTIF(기관표[사번키],INDEX(합계표[사번키],$X543))+COUNTIF(월별근무지표[사번키],INDEX(합계표[사번키],$X543))&gt;0,IFERROR(INDEX(기관표[급여지급병원(기준월)],MATCH(INDEX(합계표[사번키],$X543)&amp;"|"&amp;대상월키,기관표[키],0))&amp;"","—"),"—")))</f>
        <v/>
      </c>
      <c r="M543">
        <f>IF($X543="","",IF(NOT(COUNTIF(기관표[사번키],INDEX(합계표[사번키],$X543))+COUNTIF(월별근무지표[사번키],INDEX(합계표[사번키],$X543))&gt;0),"기관명단에 없음(다른 병원으로 발송)",IF($L543="서울병원","해당",IF(N($R543)&gt;0,"해당(말일 근무)",IF($L543="—","대상월 기관명단 없음(추가 필요)","비해당")))))</f>
        <v/>
      </c>
      <c r="N543" s="20">
        <f>IF($X543="","",SUMIFS(상세표[06~07시],상세표[사번키],INDEX(합계표[사번키],$X543),상세표[반영월],대상월키,상세표[반영 기관],"서울병원"))</f>
        <v/>
      </c>
      <c r="O543" s="20">
        <f>IF($X543="","",SUMIFS(상세표[07~18시],상세표[사번키],INDEX(합계표[사번키],$X543),상세표[반영월],대상월키,상세표[반영 기관],"서울병원"))</f>
        <v/>
      </c>
      <c r="P543" s="20">
        <f>IF($X543="","",SUMIFS(상세표[18~22시],상세표[사번키],INDEX(합계표[사번키],$X543),상세표[반영월],대상월키,상세표[반영 기관],"서울병원"))</f>
        <v/>
      </c>
      <c r="Q543" s="20">
        <f>IF($X543="","",SUMIFS(상세표[22~06시],상세표[사번키],INDEX(합계표[사번키],$X543),상세표[반영월],대상월키,상세표[반영 기관],"서울병원"))</f>
        <v/>
      </c>
      <c r="R543" s="20">
        <f>IF($X543="","",SUM($N543:$Q543))</f>
        <v/>
      </c>
      <c r="S543">
        <f>IF($X543="","",COUNTIFS(상세표[사번키],INDEX(합계표[사번키],$X543),상세표[반영월],대상월키,상세표[야간당직],1,상세표[야간 구분],"평일"))</f>
        <v/>
      </c>
      <c r="T543">
        <f>IF($X543="","",COUNTIFS(상세표[사번키],INDEX(합계표[사번키],$X543),상세표[반영월],대상월키,상세표[야간당직],1,상세표[야간 구분],"휴일"))</f>
        <v/>
      </c>
      <c r="U543">
        <f>IF($X543="","",COUNTIFS(상세표[사번키],INDEX(합계표[사번키],$X543),상세표[반영월],대상월키,상세표[야간당직],1,상세표[야간 구분],"평일",상세표[반영 기관],"서울병원"))</f>
        <v/>
      </c>
      <c r="V543">
        <f>IF($X543="","",COUNTIFS(상세표[사번키],INDEX(합계표[사번키],$X543),상세표[반영월],대상월키,상세표[야간당직],1,상세표[야간 구분],"휴일",상세표[반영 기관],"서울병원"))</f>
        <v/>
      </c>
      <c r="W543">
        <f>IF($X543="","",IF(ISNUMBER(MATCH(INDEX(합계표[사번키],$X543)&amp;"|"&amp;대상월키,월별근무지표[키],0)),"직접 입력",IF($L543="—","—","기관명단")))</f>
        <v/>
      </c>
      <c r="X543" s="4">
        <f>IFERROR(MATCH(538,합계표[판정순번],0),"")</f>
        <v/>
      </c>
    </row>
    <row r="544">
      <c r="A544">
        <f>IF($X544="","",INDEX(합계표[사번],$X544)&amp;"")</f>
        <v/>
      </c>
      <c r="B544">
        <f>IF($X544="","",INDEX(합계표[성명],$X544)&amp;"")</f>
        <v/>
      </c>
      <c r="C544">
        <f>IF($X544="","",INDEX(합계표[부서],$X544)&amp;"")</f>
        <v/>
      </c>
      <c r="D544">
        <f>IF($X544="","",INDEX(합계표[직위(요약)],$X544)&amp;"")</f>
        <v/>
      </c>
      <c r="E544">
        <f>IF($X544="","",INDEX(합계표[직급 공존],$X544)&amp;"")</f>
        <v/>
      </c>
      <c r="F544" s="20">
        <f>IF($X544="","",SUMIFS(합계표[시스템 합계],합계표[사번키],INDEX(합계표[사번키],$X544)))</f>
        <v/>
      </c>
      <c r="G544" s="20">
        <f>IF($X544="","",SUMIFS(상세표[기록 시간외],상세표[사번키],INDEX(합계표[사번키],$X544),상세표[기록월],대상월키))</f>
        <v/>
      </c>
      <c r="H544">
        <f>IF($X544="","",IF(ABS($F544-$G544)&lt;0.01,"일치","불일치(차이 "&amp;TEXT($G544-$F544,"0.00")&amp;")"))</f>
        <v/>
      </c>
      <c r="I544" s="20">
        <f>IF($X544="","",SUMIFS(상세표[기록 시간외],상세표[사번키],INDEX(합계표[사번키],$X544),상세표[기록월],대상월키,상세표[반영월],"&lt;&gt;"&amp;대상월키))</f>
        <v/>
      </c>
      <c r="J544" s="20">
        <f>IF($X544="","",SUMIFS(상세표[기록 시간외],상세표[사번키],INDEX(합계표[사번키],$X544),상세표[기록월],"&lt;&gt;"&amp;대상월키,상세표[반영월],대상월키))</f>
        <v/>
      </c>
      <c r="K544" s="20">
        <f>IF($X544="","",SUMIFS(상세표[기록 시간외],상세표[사번키],INDEX(합계표[사번키],$X544),상세표[반영월],대상월키))</f>
        <v/>
      </c>
      <c r="L544">
        <f>IF($X544="","",IFERROR(INDEX(월별근무지표[적용 급여병원],MATCH(INDEX(합계표[사번키],$X544)&amp;"|"&amp;대상월키,월별근무지표[키],0))&amp;"",IF(COUNTIF(기관표[사번키],INDEX(합계표[사번키],$X544))+COUNTIF(월별근무지표[사번키],INDEX(합계표[사번키],$X544))&gt;0,IFERROR(INDEX(기관표[급여지급병원(기준월)],MATCH(INDEX(합계표[사번키],$X544)&amp;"|"&amp;대상월키,기관표[키],0))&amp;"","—"),"—")))</f>
        <v/>
      </c>
      <c r="M544">
        <f>IF($X544="","",IF(NOT(COUNTIF(기관표[사번키],INDEX(합계표[사번키],$X544))+COUNTIF(월별근무지표[사번키],INDEX(합계표[사번키],$X544))&gt;0),"기관명단에 없음(다른 병원으로 발송)",IF($L544="서울병원","해당",IF(N($R544)&gt;0,"해당(말일 근무)",IF($L544="—","대상월 기관명단 없음(추가 필요)","비해당")))))</f>
        <v/>
      </c>
      <c r="N544" s="20">
        <f>IF($X544="","",SUMIFS(상세표[06~07시],상세표[사번키],INDEX(합계표[사번키],$X544),상세표[반영월],대상월키,상세표[반영 기관],"서울병원"))</f>
        <v/>
      </c>
      <c r="O544" s="20">
        <f>IF($X544="","",SUMIFS(상세표[07~18시],상세표[사번키],INDEX(합계표[사번키],$X544),상세표[반영월],대상월키,상세표[반영 기관],"서울병원"))</f>
        <v/>
      </c>
      <c r="P544" s="20">
        <f>IF($X544="","",SUMIFS(상세표[18~22시],상세표[사번키],INDEX(합계표[사번키],$X544),상세표[반영월],대상월키,상세표[반영 기관],"서울병원"))</f>
        <v/>
      </c>
      <c r="Q544" s="20">
        <f>IF($X544="","",SUMIFS(상세표[22~06시],상세표[사번키],INDEX(합계표[사번키],$X544),상세표[반영월],대상월키,상세표[반영 기관],"서울병원"))</f>
        <v/>
      </c>
      <c r="R544" s="20">
        <f>IF($X544="","",SUM($N544:$Q544))</f>
        <v/>
      </c>
      <c r="S544">
        <f>IF($X544="","",COUNTIFS(상세표[사번키],INDEX(합계표[사번키],$X544),상세표[반영월],대상월키,상세표[야간당직],1,상세표[야간 구분],"평일"))</f>
        <v/>
      </c>
      <c r="T544">
        <f>IF($X544="","",COUNTIFS(상세표[사번키],INDEX(합계표[사번키],$X544),상세표[반영월],대상월키,상세표[야간당직],1,상세표[야간 구분],"휴일"))</f>
        <v/>
      </c>
      <c r="U544">
        <f>IF($X544="","",COUNTIFS(상세표[사번키],INDEX(합계표[사번키],$X544),상세표[반영월],대상월키,상세표[야간당직],1,상세표[야간 구분],"평일",상세표[반영 기관],"서울병원"))</f>
        <v/>
      </c>
      <c r="V544">
        <f>IF($X544="","",COUNTIFS(상세표[사번키],INDEX(합계표[사번키],$X544),상세표[반영월],대상월키,상세표[야간당직],1,상세표[야간 구분],"휴일",상세표[반영 기관],"서울병원"))</f>
        <v/>
      </c>
      <c r="W544">
        <f>IF($X544="","",IF(ISNUMBER(MATCH(INDEX(합계표[사번키],$X544)&amp;"|"&amp;대상월키,월별근무지표[키],0)),"직접 입력",IF($L544="—","—","기관명단")))</f>
        <v/>
      </c>
      <c r="X544" s="4">
        <f>IFERROR(MATCH(539,합계표[판정순번],0),"")</f>
        <v/>
      </c>
    </row>
    <row r="545">
      <c r="A545">
        <f>IF($X545="","",INDEX(합계표[사번],$X545)&amp;"")</f>
        <v/>
      </c>
      <c r="B545">
        <f>IF($X545="","",INDEX(합계표[성명],$X545)&amp;"")</f>
        <v/>
      </c>
      <c r="C545">
        <f>IF($X545="","",INDEX(합계표[부서],$X545)&amp;"")</f>
        <v/>
      </c>
      <c r="D545">
        <f>IF($X545="","",INDEX(합계표[직위(요약)],$X545)&amp;"")</f>
        <v/>
      </c>
      <c r="E545">
        <f>IF($X545="","",INDEX(합계표[직급 공존],$X545)&amp;"")</f>
        <v/>
      </c>
      <c r="F545" s="20">
        <f>IF($X545="","",SUMIFS(합계표[시스템 합계],합계표[사번키],INDEX(합계표[사번키],$X545)))</f>
        <v/>
      </c>
      <c r="G545" s="20">
        <f>IF($X545="","",SUMIFS(상세표[기록 시간외],상세표[사번키],INDEX(합계표[사번키],$X545),상세표[기록월],대상월키))</f>
        <v/>
      </c>
      <c r="H545">
        <f>IF($X545="","",IF(ABS($F545-$G545)&lt;0.01,"일치","불일치(차이 "&amp;TEXT($G545-$F545,"0.00")&amp;")"))</f>
        <v/>
      </c>
      <c r="I545" s="20">
        <f>IF($X545="","",SUMIFS(상세표[기록 시간외],상세표[사번키],INDEX(합계표[사번키],$X545),상세표[기록월],대상월키,상세표[반영월],"&lt;&gt;"&amp;대상월키))</f>
        <v/>
      </c>
      <c r="J545" s="20">
        <f>IF($X545="","",SUMIFS(상세표[기록 시간외],상세표[사번키],INDEX(합계표[사번키],$X545),상세표[기록월],"&lt;&gt;"&amp;대상월키,상세표[반영월],대상월키))</f>
        <v/>
      </c>
      <c r="K545" s="20">
        <f>IF($X545="","",SUMIFS(상세표[기록 시간외],상세표[사번키],INDEX(합계표[사번키],$X545),상세표[반영월],대상월키))</f>
        <v/>
      </c>
      <c r="L545">
        <f>IF($X545="","",IFERROR(INDEX(월별근무지표[적용 급여병원],MATCH(INDEX(합계표[사번키],$X545)&amp;"|"&amp;대상월키,월별근무지표[키],0))&amp;"",IF(COUNTIF(기관표[사번키],INDEX(합계표[사번키],$X545))+COUNTIF(월별근무지표[사번키],INDEX(합계표[사번키],$X545))&gt;0,IFERROR(INDEX(기관표[급여지급병원(기준월)],MATCH(INDEX(합계표[사번키],$X545)&amp;"|"&amp;대상월키,기관표[키],0))&amp;"","—"),"—")))</f>
        <v/>
      </c>
      <c r="M545">
        <f>IF($X545="","",IF(NOT(COUNTIF(기관표[사번키],INDEX(합계표[사번키],$X545))+COUNTIF(월별근무지표[사번키],INDEX(합계표[사번키],$X545))&gt;0),"기관명단에 없음(다른 병원으로 발송)",IF($L545="서울병원","해당",IF(N($R545)&gt;0,"해당(말일 근무)",IF($L545="—","대상월 기관명단 없음(추가 필요)","비해당")))))</f>
        <v/>
      </c>
      <c r="N545" s="20">
        <f>IF($X545="","",SUMIFS(상세표[06~07시],상세표[사번키],INDEX(합계표[사번키],$X545),상세표[반영월],대상월키,상세표[반영 기관],"서울병원"))</f>
        <v/>
      </c>
      <c r="O545" s="20">
        <f>IF($X545="","",SUMIFS(상세표[07~18시],상세표[사번키],INDEX(합계표[사번키],$X545),상세표[반영월],대상월키,상세표[반영 기관],"서울병원"))</f>
        <v/>
      </c>
      <c r="P545" s="20">
        <f>IF($X545="","",SUMIFS(상세표[18~22시],상세표[사번키],INDEX(합계표[사번키],$X545),상세표[반영월],대상월키,상세표[반영 기관],"서울병원"))</f>
        <v/>
      </c>
      <c r="Q545" s="20">
        <f>IF($X545="","",SUMIFS(상세표[22~06시],상세표[사번키],INDEX(합계표[사번키],$X545),상세표[반영월],대상월키,상세표[반영 기관],"서울병원"))</f>
        <v/>
      </c>
      <c r="R545" s="20">
        <f>IF($X545="","",SUM($N545:$Q545))</f>
        <v/>
      </c>
      <c r="S545">
        <f>IF($X545="","",COUNTIFS(상세표[사번키],INDEX(합계표[사번키],$X545),상세표[반영월],대상월키,상세표[야간당직],1,상세표[야간 구분],"평일"))</f>
        <v/>
      </c>
      <c r="T545">
        <f>IF($X545="","",COUNTIFS(상세표[사번키],INDEX(합계표[사번키],$X545),상세표[반영월],대상월키,상세표[야간당직],1,상세표[야간 구분],"휴일"))</f>
        <v/>
      </c>
      <c r="U545">
        <f>IF($X545="","",COUNTIFS(상세표[사번키],INDEX(합계표[사번키],$X545),상세표[반영월],대상월키,상세표[야간당직],1,상세표[야간 구분],"평일",상세표[반영 기관],"서울병원"))</f>
        <v/>
      </c>
      <c r="V545">
        <f>IF($X545="","",COUNTIFS(상세표[사번키],INDEX(합계표[사번키],$X545),상세표[반영월],대상월키,상세표[야간당직],1,상세표[야간 구분],"휴일",상세표[반영 기관],"서울병원"))</f>
        <v/>
      </c>
      <c r="W545">
        <f>IF($X545="","",IF(ISNUMBER(MATCH(INDEX(합계표[사번키],$X545)&amp;"|"&amp;대상월키,월별근무지표[키],0)),"직접 입력",IF($L545="—","—","기관명단")))</f>
        <v/>
      </c>
      <c r="X545" s="4">
        <f>IFERROR(MATCH(540,합계표[판정순번],0),"")</f>
        <v/>
      </c>
    </row>
    <row r="546">
      <c r="A546">
        <f>IF($X546="","",INDEX(합계표[사번],$X546)&amp;"")</f>
        <v/>
      </c>
      <c r="B546">
        <f>IF($X546="","",INDEX(합계표[성명],$X546)&amp;"")</f>
        <v/>
      </c>
      <c r="C546">
        <f>IF($X546="","",INDEX(합계표[부서],$X546)&amp;"")</f>
        <v/>
      </c>
      <c r="D546">
        <f>IF($X546="","",INDEX(합계표[직위(요약)],$X546)&amp;"")</f>
        <v/>
      </c>
      <c r="E546">
        <f>IF($X546="","",INDEX(합계표[직급 공존],$X546)&amp;"")</f>
        <v/>
      </c>
      <c r="F546" s="20">
        <f>IF($X546="","",SUMIFS(합계표[시스템 합계],합계표[사번키],INDEX(합계표[사번키],$X546)))</f>
        <v/>
      </c>
      <c r="G546" s="20">
        <f>IF($X546="","",SUMIFS(상세표[기록 시간외],상세표[사번키],INDEX(합계표[사번키],$X546),상세표[기록월],대상월키))</f>
        <v/>
      </c>
      <c r="H546">
        <f>IF($X546="","",IF(ABS($F546-$G546)&lt;0.01,"일치","불일치(차이 "&amp;TEXT($G546-$F546,"0.00")&amp;")"))</f>
        <v/>
      </c>
      <c r="I546" s="20">
        <f>IF($X546="","",SUMIFS(상세표[기록 시간외],상세표[사번키],INDEX(합계표[사번키],$X546),상세표[기록월],대상월키,상세표[반영월],"&lt;&gt;"&amp;대상월키))</f>
        <v/>
      </c>
      <c r="J546" s="20">
        <f>IF($X546="","",SUMIFS(상세표[기록 시간외],상세표[사번키],INDEX(합계표[사번키],$X546),상세표[기록월],"&lt;&gt;"&amp;대상월키,상세표[반영월],대상월키))</f>
        <v/>
      </c>
      <c r="K546" s="20">
        <f>IF($X546="","",SUMIFS(상세표[기록 시간외],상세표[사번키],INDEX(합계표[사번키],$X546),상세표[반영월],대상월키))</f>
        <v/>
      </c>
      <c r="L546">
        <f>IF($X546="","",IFERROR(INDEX(월별근무지표[적용 급여병원],MATCH(INDEX(합계표[사번키],$X546)&amp;"|"&amp;대상월키,월별근무지표[키],0))&amp;"",IF(COUNTIF(기관표[사번키],INDEX(합계표[사번키],$X546))+COUNTIF(월별근무지표[사번키],INDEX(합계표[사번키],$X546))&gt;0,IFERROR(INDEX(기관표[급여지급병원(기준월)],MATCH(INDEX(합계표[사번키],$X546)&amp;"|"&amp;대상월키,기관표[키],0))&amp;"","—"),"—")))</f>
        <v/>
      </c>
      <c r="M546">
        <f>IF($X546="","",IF(NOT(COUNTIF(기관표[사번키],INDEX(합계표[사번키],$X546))+COUNTIF(월별근무지표[사번키],INDEX(합계표[사번키],$X546))&gt;0),"기관명단에 없음(다른 병원으로 발송)",IF($L546="서울병원","해당",IF(N($R546)&gt;0,"해당(말일 근무)",IF($L546="—","대상월 기관명단 없음(추가 필요)","비해당")))))</f>
        <v/>
      </c>
      <c r="N546" s="20">
        <f>IF($X546="","",SUMIFS(상세표[06~07시],상세표[사번키],INDEX(합계표[사번키],$X546),상세표[반영월],대상월키,상세표[반영 기관],"서울병원"))</f>
        <v/>
      </c>
      <c r="O546" s="20">
        <f>IF($X546="","",SUMIFS(상세표[07~18시],상세표[사번키],INDEX(합계표[사번키],$X546),상세표[반영월],대상월키,상세표[반영 기관],"서울병원"))</f>
        <v/>
      </c>
      <c r="P546" s="20">
        <f>IF($X546="","",SUMIFS(상세표[18~22시],상세표[사번키],INDEX(합계표[사번키],$X546),상세표[반영월],대상월키,상세표[반영 기관],"서울병원"))</f>
        <v/>
      </c>
      <c r="Q546" s="20">
        <f>IF($X546="","",SUMIFS(상세표[22~06시],상세표[사번키],INDEX(합계표[사번키],$X546),상세표[반영월],대상월키,상세표[반영 기관],"서울병원"))</f>
        <v/>
      </c>
      <c r="R546" s="20">
        <f>IF($X546="","",SUM($N546:$Q546))</f>
        <v/>
      </c>
      <c r="S546">
        <f>IF($X546="","",COUNTIFS(상세표[사번키],INDEX(합계표[사번키],$X546),상세표[반영월],대상월키,상세표[야간당직],1,상세표[야간 구분],"평일"))</f>
        <v/>
      </c>
      <c r="T546">
        <f>IF($X546="","",COUNTIFS(상세표[사번키],INDEX(합계표[사번키],$X546),상세표[반영월],대상월키,상세표[야간당직],1,상세표[야간 구분],"휴일"))</f>
        <v/>
      </c>
      <c r="U546">
        <f>IF($X546="","",COUNTIFS(상세표[사번키],INDEX(합계표[사번키],$X546),상세표[반영월],대상월키,상세표[야간당직],1,상세표[야간 구분],"평일",상세표[반영 기관],"서울병원"))</f>
        <v/>
      </c>
      <c r="V546">
        <f>IF($X546="","",COUNTIFS(상세표[사번키],INDEX(합계표[사번키],$X546),상세표[반영월],대상월키,상세표[야간당직],1,상세표[야간 구분],"휴일",상세표[반영 기관],"서울병원"))</f>
        <v/>
      </c>
      <c r="W546">
        <f>IF($X546="","",IF(ISNUMBER(MATCH(INDEX(합계표[사번키],$X546)&amp;"|"&amp;대상월키,월별근무지표[키],0)),"직접 입력",IF($L546="—","—","기관명단")))</f>
        <v/>
      </c>
      <c r="X546" s="4">
        <f>IFERROR(MATCH(541,합계표[판정순번],0),"")</f>
        <v/>
      </c>
    </row>
    <row r="547">
      <c r="A547">
        <f>IF($X547="","",INDEX(합계표[사번],$X547)&amp;"")</f>
        <v/>
      </c>
      <c r="B547">
        <f>IF($X547="","",INDEX(합계표[성명],$X547)&amp;"")</f>
        <v/>
      </c>
      <c r="C547">
        <f>IF($X547="","",INDEX(합계표[부서],$X547)&amp;"")</f>
        <v/>
      </c>
      <c r="D547">
        <f>IF($X547="","",INDEX(합계표[직위(요약)],$X547)&amp;"")</f>
        <v/>
      </c>
      <c r="E547">
        <f>IF($X547="","",INDEX(합계표[직급 공존],$X547)&amp;"")</f>
        <v/>
      </c>
      <c r="F547" s="20">
        <f>IF($X547="","",SUMIFS(합계표[시스템 합계],합계표[사번키],INDEX(합계표[사번키],$X547)))</f>
        <v/>
      </c>
      <c r="G547" s="20">
        <f>IF($X547="","",SUMIFS(상세표[기록 시간외],상세표[사번키],INDEX(합계표[사번키],$X547),상세표[기록월],대상월키))</f>
        <v/>
      </c>
      <c r="H547">
        <f>IF($X547="","",IF(ABS($F547-$G547)&lt;0.01,"일치","불일치(차이 "&amp;TEXT($G547-$F547,"0.00")&amp;")"))</f>
        <v/>
      </c>
      <c r="I547" s="20">
        <f>IF($X547="","",SUMIFS(상세표[기록 시간외],상세표[사번키],INDEX(합계표[사번키],$X547),상세표[기록월],대상월키,상세표[반영월],"&lt;&gt;"&amp;대상월키))</f>
        <v/>
      </c>
      <c r="J547" s="20">
        <f>IF($X547="","",SUMIFS(상세표[기록 시간외],상세표[사번키],INDEX(합계표[사번키],$X547),상세표[기록월],"&lt;&gt;"&amp;대상월키,상세표[반영월],대상월키))</f>
        <v/>
      </c>
      <c r="K547" s="20">
        <f>IF($X547="","",SUMIFS(상세표[기록 시간외],상세표[사번키],INDEX(합계표[사번키],$X547),상세표[반영월],대상월키))</f>
        <v/>
      </c>
      <c r="L547">
        <f>IF($X547="","",IFERROR(INDEX(월별근무지표[적용 급여병원],MATCH(INDEX(합계표[사번키],$X547)&amp;"|"&amp;대상월키,월별근무지표[키],0))&amp;"",IF(COUNTIF(기관표[사번키],INDEX(합계표[사번키],$X547))+COUNTIF(월별근무지표[사번키],INDEX(합계표[사번키],$X547))&gt;0,IFERROR(INDEX(기관표[급여지급병원(기준월)],MATCH(INDEX(합계표[사번키],$X547)&amp;"|"&amp;대상월키,기관표[키],0))&amp;"","—"),"—")))</f>
        <v/>
      </c>
      <c r="M547">
        <f>IF($X547="","",IF(NOT(COUNTIF(기관표[사번키],INDEX(합계표[사번키],$X547))+COUNTIF(월별근무지표[사번키],INDEX(합계표[사번키],$X547))&gt;0),"기관명단에 없음(다른 병원으로 발송)",IF($L547="서울병원","해당",IF(N($R547)&gt;0,"해당(말일 근무)",IF($L547="—","대상월 기관명단 없음(추가 필요)","비해당")))))</f>
        <v/>
      </c>
      <c r="N547" s="20">
        <f>IF($X547="","",SUMIFS(상세표[06~07시],상세표[사번키],INDEX(합계표[사번키],$X547),상세표[반영월],대상월키,상세표[반영 기관],"서울병원"))</f>
        <v/>
      </c>
      <c r="O547" s="20">
        <f>IF($X547="","",SUMIFS(상세표[07~18시],상세표[사번키],INDEX(합계표[사번키],$X547),상세표[반영월],대상월키,상세표[반영 기관],"서울병원"))</f>
        <v/>
      </c>
      <c r="P547" s="20">
        <f>IF($X547="","",SUMIFS(상세표[18~22시],상세표[사번키],INDEX(합계표[사번키],$X547),상세표[반영월],대상월키,상세표[반영 기관],"서울병원"))</f>
        <v/>
      </c>
      <c r="Q547" s="20">
        <f>IF($X547="","",SUMIFS(상세표[22~06시],상세표[사번키],INDEX(합계표[사번키],$X547),상세표[반영월],대상월키,상세표[반영 기관],"서울병원"))</f>
        <v/>
      </c>
      <c r="R547" s="20">
        <f>IF($X547="","",SUM($N547:$Q547))</f>
        <v/>
      </c>
      <c r="S547">
        <f>IF($X547="","",COUNTIFS(상세표[사번키],INDEX(합계표[사번키],$X547),상세표[반영월],대상월키,상세표[야간당직],1,상세표[야간 구분],"평일"))</f>
        <v/>
      </c>
      <c r="T547">
        <f>IF($X547="","",COUNTIFS(상세표[사번키],INDEX(합계표[사번키],$X547),상세표[반영월],대상월키,상세표[야간당직],1,상세표[야간 구분],"휴일"))</f>
        <v/>
      </c>
      <c r="U547">
        <f>IF($X547="","",COUNTIFS(상세표[사번키],INDEX(합계표[사번키],$X547),상세표[반영월],대상월키,상세표[야간당직],1,상세표[야간 구분],"평일",상세표[반영 기관],"서울병원"))</f>
        <v/>
      </c>
      <c r="V547">
        <f>IF($X547="","",COUNTIFS(상세표[사번키],INDEX(합계표[사번키],$X547),상세표[반영월],대상월키,상세표[야간당직],1,상세표[야간 구분],"휴일",상세표[반영 기관],"서울병원"))</f>
        <v/>
      </c>
      <c r="W547">
        <f>IF($X547="","",IF(ISNUMBER(MATCH(INDEX(합계표[사번키],$X547)&amp;"|"&amp;대상월키,월별근무지표[키],0)),"직접 입력",IF($L547="—","—","기관명단")))</f>
        <v/>
      </c>
      <c r="X547" s="4">
        <f>IFERROR(MATCH(542,합계표[판정순번],0),"")</f>
        <v/>
      </c>
    </row>
    <row r="548">
      <c r="A548">
        <f>IF($X548="","",INDEX(합계표[사번],$X548)&amp;"")</f>
        <v/>
      </c>
      <c r="B548">
        <f>IF($X548="","",INDEX(합계표[성명],$X548)&amp;"")</f>
        <v/>
      </c>
      <c r="C548">
        <f>IF($X548="","",INDEX(합계표[부서],$X548)&amp;"")</f>
        <v/>
      </c>
      <c r="D548">
        <f>IF($X548="","",INDEX(합계표[직위(요약)],$X548)&amp;"")</f>
        <v/>
      </c>
      <c r="E548">
        <f>IF($X548="","",INDEX(합계표[직급 공존],$X548)&amp;"")</f>
        <v/>
      </c>
      <c r="F548" s="20">
        <f>IF($X548="","",SUMIFS(합계표[시스템 합계],합계표[사번키],INDEX(합계표[사번키],$X548)))</f>
        <v/>
      </c>
      <c r="G548" s="20">
        <f>IF($X548="","",SUMIFS(상세표[기록 시간외],상세표[사번키],INDEX(합계표[사번키],$X548),상세표[기록월],대상월키))</f>
        <v/>
      </c>
      <c r="H548">
        <f>IF($X548="","",IF(ABS($F548-$G548)&lt;0.01,"일치","불일치(차이 "&amp;TEXT($G548-$F548,"0.00")&amp;")"))</f>
        <v/>
      </c>
      <c r="I548" s="20">
        <f>IF($X548="","",SUMIFS(상세표[기록 시간외],상세표[사번키],INDEX(합계표[사번키],$X548),상세표[기록월],대상월키,상세표[반영월],"&lt;&gt;"&amp;대상월키))</f>
        <v/>
      </c>
      <c r="J548" s="20">
        <f>IF($X548="","",SUMIFS(상세표[기록 시간외],상세표[사번키],INDEX(합계표[사번키],$X548),상세표[기록월],"&lt;&gt;"&amp;대상월키,상세표[반영월],대상월키))</f>
        <v/>
      </c>
      <c r="K548" s="20">
        <f>IF($X548="","",SUMIFS(상세표[기록 시간외],상세표[사번키],INDEX(합계표[사번키],$X548),상세표[반영월],대상월키))</f>
        <v/>
      </c>
      <c r="L548">
        <f>IF($X548="","",IFERROR(INDEX(월별근무지표[적용 급여병원],MATCH(INDEX(합계표[사번키],$X548)&amp;"|"&amp;대상월키,월별근무지표[키],0))&amp;"",IF(COUNTIF(기관표[사번키],INDEX(합계표[사번키],$X548))+COUNTIF(월별근무지표[사번키],INDEX(합계표[사번키],$X548))&gt;0,IFERROR(INDEX(기관표[급여지급병원(기준월)],MATCH(INDEX(합계표[사번키],$X548)&amp;"|"&amp;대상월키,기관표[키],0))&amp;"","—"),"—")))</f>
        <v/>
      </c>
      <c r="M548">
        <f>IF($X548="","",IF(NOT(COUNTIF(기관표[사번키],INDEX(합계표[사번키],$X548))+COUNTIF(월별근무지표[사번키],INDEX(합계표[사번키],$X548))&gt;0),"기관명단에 없음(다른 병원으로 발송)",IF($L548="서울병원","해당",IF(N($R548)&gt;0,"해당(말일 근무)",IF($L548="—","대상월 기관명단 없음(추가 필요)","비해당")))))</f>
        <v/>
      </c>
      <c r="N548" s="20">
        <f>IF($X548="","",SUMIFS(상세표[06~07시],상세표[사번키],INDEX(합계표[사번키],$X548),상세표[반영월],대상월키,상세표[반영 기관],"서울병원"))</f>
        <v/>
      </c>
      <c r="O548" s="20">
        <f>IF($X548="","",SUMIFS(상세표[07~18시],상세표[사번키],INDEX(합계표[사번키],$X548),상세표[반영월],대상월키,상세표[반영 기관],"서울병원"))</f>
        <v/>
      </c>
      <c r="P548" s="20">
        <f>IF($X548="","",SUMIFS(상세표[18~22시],상세표[사번키],INDEX(합계표[사번키],$X548),상세표[반영월],대상월키,상세표[반영 기관],"서울병원"))</f>
        <v/>
      </c>
      <c r="Q548" s="20">
        <f>IF($X548="","",SUMIFS(상세표[22~06시],상세표[사번키],INDEX(합계표[사번키],$X548),상세표[반영월],대상월키,상세표[반영 기관],"서울병원"))</f>
        <v/>
      </c>
      <c r="R548" s="20">
        <f>IF($X548="","",SUM($N548:$Q548))</f>
        <v/>
      </c>
      <c r="S548">
        <f>IF($X548="","",COUNTIFS(상세표[사번키],INDEX(합계표[사번키],$X548),상세표[반영월],대상월키,상세표[야간당직],1,상세표[야간 구분],"평일"))</f>
        <v/>
      </c>
      <c r="T548">
        <f>IF($X548="","",COUNTIFS(상세표[사번키],INDEX(합계표[사번키],$X548),상세표[반영월],대상월키,상세표[야간당직],1,상세표[야간 구분],"휴일"))</f>
        <v/>
      </c>
      <c r="U548">
        <f>IF($X548="","",COUNTIFS(상세표[사번키],INDEX(합계표[사번키],$X548),상세표[반영월],대상월키,상세표[야간당직],1,상세표[야간 구분],"평일",상세표[반영 기관],"서울병원"))</f>
        <v/>
      </c>
      <c r="V548">
        <f>IF($X548="","",COUNTIFS(상세표[사번키],INDEX(합계표[사번키],$X548),상세표[반영월],대상월키,상세표[야간당직],1,상세표[야간 구분],"휴일",상세표[반영 기관],"서울병원"))</f>
        <v/>
      </c>
      <c r="W548">
        <f>IF($X548="","",IF(ISNUMBER(MATCH(INDEX(합계표[사번키],$X548)&amp;"|"&amp;대상월키,월별근무지표[키],0)),"직접 입력",IF($L548="—","—","기관명단")))</f>
        <v/>
      </c>
      <c r="X548" s="4">
        <f>IFERROR(MATCH(543,합계표[판정순번],0),"")</f>
        <v/>
      </c>
    </row>
    <row r="549">
      <c r="A549">
        <f>IF($X549="","",INDEX(합계표[사번],$X549)&amp;"")</f>
        <v/>
      </c>
      <c r="B549">
        <f>IF($X549="","",INDEX(합계표[성명],$X549)&amp;"")</f>
        <v/>
      </c>
      <c r="C549">
        <f>IF($X549="","",INDEX(합계표[부서],$X549)&amp;"")</f>
        <v/>
      </c>
      <c r="D549">
        <f>IF($X549="","",INDEX(합계표[직위(요약)],$X549)&amp;"")</f>
        <v/>
      </c>
      <c r="E549">
        <f>IF($X549="","",INDEX(합계표[직급 공존],$X549)&amp;"")</f>
        <v/>
      </c>
      <c r="F549" s="20">
        <f>IF($X549="","",SUMIFS(합계표[시스템 합계],합계표[사번키],INDEX(합계표[사번키],$X549)))</f>
        <v/>
      </c>
      <c r="G549" s="20">
        <f>IF($X549="","",SUMIFS(상세표[기록 시간외],상세표[사번키],INDEX(합계표[사번키],$X549),상세표[기록월],대상월키))</f>
        <v/>
      </c>
      <c r="H549">
        <f>IF($X549="","",IF(ABS($F549-$G549)&lt;0.01,"일치","불일치(차이 "&amp;TEXT($G549-$F549,"0.00")&amp;")"))</f>
        <v/>
      </c>
      <c r="I549" s="20">
        <f>IF($X549="","",SUMIFS(상세표[기록 시간외],상세표[사번키],INDEX(합계표[사번키],$X549),상세표[기록월],대상월키,상세표[반영월],"&lt;&gt;"&amp;대상월키))</f>
        <v/>
      </c>
      <c r="J549" s="20">
        <f>IF($X549="","",SUMIFS(상세표[기록 시간외],상세표[사번키],INDEX(합계표[사번키],$X549),상세표[기록월],"&lt;&gt;"&amp;대상월키,상세표[반영월],대상월키))</f>
        <v/>
      </c>
      <c r="K549" s="20">
        <f>IF($X549="","",SUMIFS(상세표[기록 시간외],상세표[사번키],INDEX(합계표[사번키],$X549),상세표[반영월],대상월키))</f>
        <v/>
      </c>
      <c r="L549">
        <f>IF($X549="","",IFERROR(INDEX(월별근무지표[적용 급여병원],MATCH(INDEX(합계표[사번키],$X549)&amp;"|"&amp;대상월키,월별근무지표[키],0))&amp;"",IF(COUNTIF(기관표[사번키],INDEX(합계표[사번키],$X549))+COUNTIF(월별근무지표[사번키],INDEX(합계표[사번키],$X549))&gt;0,IFERROR(INDEX(기관표[급여지급병원(기준월)],MATCH(INDEX(합계표[사번키],$X549)&amp;"|"&amp;대상월키,기관표[키],0))&amp;"","—"),"—")))</f>
        <v/>
      </c>
      <c r="M549">
        <f>IF($X549="","",IF(NOT(COUNTIF(기관표[사번키],INDEX(합계표[사번키],$X549))+COUNTIF(월별근무지표[사번키],INDEX(합계표[사번키],$X549))&gt;0),"기관명단에 없음(다른 병원으로 발송)",IF($L549="서울병원","해당",IF(N($R549)&gt;0,"해당(말일 근무)",IF($L549="—","대상월 기관명단 없음(추가 필요)","비해당")))))</f>
        <v/>
      </c>
      <c r="N549" s="20">
        <f>IF($X549="","",SUMIFS(상세표[06~07시],상세표[사번키],INDEX(합계표[사번키],$X549),상세표[반영월],대상월키,상세표[반영 기관],"서울병원"))</f>
        <v/>
      </c>
      <c r="O549" s="20">
        <f>IF($X549="","",SUMIFS(상세표[07~18시],상세표[사번키],INDEX(합계표[사번키],$X549),상세표[반영월],대상월키,상세표[반영 기관],"서울병원"))</f>
        <v/>
      </c>
      <c r="P549" s="20">
        <f>IF($X549="","",SUMIFS(상세표[18~22시],상세표[사번키],INDEX(합계표[사번키],$X549),상세표[반영월],대상월키,상세표[반영 기관],"서울병원"))</f>
        <v/>
      </c>
      <c r="Q549" s="20">
        <f>IF($X549="","",SUMIFS(상세표[22~06시],상세표[사번키],INDEX(합계표[사번키],$X549),상세표[반영월],대상월키,상세표[반영 기관],"서울병원"))</f>
        <v/>
      </c>
      <c r="R549" s="20">
        <f>IF($X549="","",SUM($N549:$Q549))</f>
        <v/>
      </c>
      <c r="S549">
        <f>IF($X549="","",COUNTIFS(상세표[사번키],INDEX(합계표[사번키],$X549),상세표[반영월],대상월키,상세표[야간당직],1,상세표[야간 구분],"평일"))</f>
        <v/>
      </c>
      <c r="T549">
        <f>IF($X549="","",COUNTIFS(상세표[사번키],INDEX(합계표[사번키],$X549),상세표[반영월],대상월키,상세표[야간당직],1,상세표[야간 구분],"휴일"))</f>
        <v/>
      </c>
      <c r="U549">
        <f>IF($X549="","",COUNTIFS(상세표[사번키],INDEX(합계표[사번키],$X549),상세표[반영월],대상월키,상세표[야간당직],1,상세표[야간 구분],"평일",상세표[반영 기관],"서울병원"))</f>
        <v/>
      </c>
      <c r="V549">
        <f>IF($X549="","",COUNTIFS(상세표[사번키],INDEX(합계표[사번키],$X549),상세표[반영월],대상월키,상세표[야간당직],1,상세표[야간 구분],"휴일",상세표[반영 기관],"서울병원"))</f>
        <v/>
      </c>
      <c r="W549">
        <f>IF($X549="","",IF(ISNUMBER(MATCH(INDEX(합계표[사번키],$X549)&amp;"|"&amp;대상월키,월별근무지표[키],0)),"직접 입력",IF($L549="—","—","기관명단")))</f>
        <v/>
      </c>
      <c r="X549" s="4">
        <f>IFERROR(MATCH(544,합계표[판정순번],0),"")</f>
        <v/>
      </c>
    </row>
    <row r="550">
      <c r="A550">
        <f>IF($X550="","",INDEX(합계표[사번],$X550)&amp;"")</f>
        <v/>
      </c>
      <c r="B550">
        <f>IF($X550="","",INDEX(합계표[성명],$X550)&amp;"")</f>
        <v/>
      </c>
      <c r="C550">
        <f>IF($X550="","",INDEX(합계표[부서],$X550)&amp;"")</f>
        <v/>
      </c>
      <c r="D550">
        <f>IF($X550="","",INDEX(합계표[직위(요약)],$X550)&amp;"")</f>
        <v/>
      </c>
      <c r="E550">
        <f>IF($X550="","",INDEX(합계표[직급 공존],$X550)&amp;"")</f>
        <v/>
      </c>
      <c r="F550" s="20">
        <f>IF($X550="","",SUMIFS(합계표[시스템 합계],합계표[사번키],INDEX(합계표[사번키],$X550)))</f>
        <v/>
      </c>
      <c r="G550" s="20">
        <f>IF($X550="","",SUMIFS(상세표[기록 시간외],상세표[사번키],INDEX(합계표[사번키],$X550),상세표[기록월],대상월키))</f>
        <v/>
      </c>
      <c r="H550">
        <f>IF($X550="","",IF(ABS($F550-$G550)&lt;0.01,"일치","불일치(차이 "&amp;TEXT($G550-$F550,"0.00")&amp;")"))</f>
        <v/>
      </c>
      <c r="I550" s="20">
        <f>IF($X550="","",SUMIFS(상세표[기록 시간외],상세표[사번키],INDEX(합계표[사번키],$X550),상세표[기록월],대상월키,상세표[반영월],"&lt;&gt;"&amp;대상월키))</f>
        <v/>
      </c>
      <c r="J550" s="20">
        <f>IF($X550="","",SUMIFS(상세표[기록 시간외],상세표[사번키],INDEX(합계표[사번키],$X550),상세표[기록월],"&lt;&gt;"&amp;대상월키,상세표[반영월],대상월키))</f>
        <v/>
      </c>
      <c r="K550" s="20">
        <f>IF($X550="","",SUMIFS(상세표[기록 시간외],상세표[사번키],INDEX(합계표[사번키],$X550),상세표[반영월],대상월키))</f>
        <v/>
      </c>
      <c r="L550">
        <f>IF($X550="","",IFERROR(INDEX(월별근무지표[적용 급여병원],MATCH(INDEX(합계표[사번키],$X550)&amp;"|"&amp;대상월키,월별근무지표[키],0))&amp;"",IF(COUNTIF(기관표[사번키],INDEX(합계표[사번키],$X550))+COUNTIF(월별근무지표[사번키],INDEX(합계표[사번키],$X550))&gt;0,IFERROR(INDEX(기관표[급여지급병원(기준월)],MATCH(INDEX(합계표[사번키],$X550)&amp;"|"&amp;대상월키,기관표[키],0))&amp;"","—"),"—")))</f>
        <v/>
      </c>
      <c r="M550">
        <f>IF($X550="","",IF(NOT(COUNTIF(기관표[사번키],INDEX(합계표[사번키],$X550))+COUNTIF(월별근무지표[사번키],INDEX(합계표[사번키],$X550))&gt;0),"기관명단에 없음(다른 병원으로 발송)",IF($L550="서울병원","해당",IF(N($R550)&gt;0,"해당(말일 근무)",IF($L550="—","대상월 기관명단 없음(추가 필요)","비해당")))))</f>
        <v/>
      </c>
      <c r="N550" s="20">
        <f>IF($X550="","",SUMIFS(상세표[06~07시],상세표[사번키],INDEX(합계표[사번키],$X550),상세표[반영월],대상월키,상세표[반영 기관],"서울병원"))</f>
        <v/>
      </c>
      <c r="O550" s="20">
        <f>IF($X550="","",SUMIFS(상세표[07~18시],상세표[사번키],INDEX(합계표[사번키],$X550),상세표[반영월],대상월키,상세표[반영 기관],"서울병원"))</f>
        <v/>
      </c>
      <c r="P550" s="20">
        <f>IF($X550="","",SUMIFS(상세표[18~22시],상세표[사번키],INDEX(합계표[사번키],$X550),상세표[반영월],대상월키,상세표[반영 기관],"서울병원"))</f>
        <v/>
      </c>
      <c r="Q550" s="20">
        <f>IF($X550="","",SUMIFS(상세표[22~06시],상세표[사번키],INDEX(합계표[사번키],$X550),상세표[반영월],대상월키,상세표[반영 기관],"서울병원"))</f>
        <v/>
      </c>
      <c r="R550" s="20">
        <f>IF($X550="","",SUM($N550:$Q550))</f>
        <v/>
      </c>
      <c r="S550">
        <f>IF($X550="","",COUNTIFS(상세표[사번키],INDEX(합계표[사번키],$X550),상세표[반영월],대상월키,상세표[야간당직],1,상세표[야간 구분],"평일"))</f>
        <v/>
      </c>
      <c r="T550">
        <f>IF($X550="","",COUNTIFS(상세표[사번키],INDEX(합계표[사번키],$X550),상세표[반영월],대상월키,상세표[야간당직],1,상세표[야간 구분],"휴일"))</f>
        <v/>
      </c>
      <c r="U550">
        <f>IF($X550="","",COUNTIFS(상세표[사번키],INDEX(합계표[사번키],$X550),상세표[반영월],대상월키,상세표[야간당직],1,상세표[야간 구분],"평일",상세표[반영 기관],"서울병원"))</f>
        <v/>
      </c>
      <c r="V550">
        <f>IF($X550="","",COUNTIFS(상세표[사번키],INDEX(합계표[사번키],$X550),상세표[반영월],대상월키,상세표[야간당직],1,상세표[야간 구분],"휴일",상세표[반영 기관],"서울병원"))</f>
        <v/>
      </c>
      <c r="W550">
        <f>IF($X550="","",IF(ISNUMBER(MATCH(INDEX(합계표[사번키],$X550)&amp;"|"&amp;대상월키,월별근무지표[키],0)),"직접 입력",IF($L550="—","—","기관명단")))</f>
        <v/>
      </c>
      <c r="X550" s="4">
        <f>IFERROR(MATCH(545,합계표[판정순번],0),"")</f>
        <v/>
      </c>
    </row>
    <row r="551">
      <c r="A551">
        <f>IF($X551="","",INDEX(합계표[사번],$X551)&amp;"")</f>
        <v/>
      </c>
      <c r="B551">
        <f>IF($X551="","",INDEX(합계표[성명],$X551)&amp;"")</f>
        <v/>
      </c>
      <c r="C551">
        <f>IF($X551="","",INDEX(합계표[부서],$X551)&amp;"")</f>
        <v/>
      </c>
      <c r="D551">
        <f>IF($X551="","",INDEX(합계표[직위(요약)],$X551)&amp;"")</f>
        <v/>
      </c>
      <c r="E551">
        <f>IF($X551="","",INDEX(합계표[직급 공존],$X551)&amp;"")</f>
        <v/>
      </c>
      <c r="F551" s="20">
        <f>IF($X551="","",SUMIFS(합계표[시스템 합계],합계표[사번키],INDEX(합계표[사번키],$X551)))</f>
        <v/>
      </c>
      <c r="G551" s="20">
        <f>IF($X551="","",SUMIFS(상세표[기록 시간외],상세표[사번키],INDEX(합계표[사번키],$X551),상세표[기록월],대상월키))</f>
        <v/>
      </c>
      <c r="H551">
        <f>IF($X551="","",IF(ABS($F551-$G551)&lt;0.01,"일치","불일치(차이 "&amp;TEXT($G551-$F551,"0.00")&amp;")"))</f>
        <v/>
      </c>
      <c r="I551" s="20">
        <f>IF($X551="","",SUMIFS(상세표[기록 시간외],상세표[사번키],INDEX(합계표[사번키],$X551),상세표[기록월],대상월키,상세표[반영월],"&lt;&gt;"&amp;대상월키))</f>
        <v/>
      </c>
      <c r="J551" s="20">
        <f>IF($X551="","",SUMIFS(상세표[기록 시간외],상세표[사번키],INDEX(합계표[사번키],$X551),상세표[기록월],"&lt;&gt;"&amp;대상월키,상세표[반영월],대상월키))</f>
        <v/>
      </c>
      <c r="K551" s="20">
        <f>IF($X551="","",SUMIFS(상세표[기록 시간외],상세표[사번키],INDEX(합계표[사번키],$X551),상세표[반영월],대상월키))</f>
        <v/>
      </c>
      <c r="L551">
        <f>IF($X551="","",IFERROR(INDEX(월별근무지표[적용 급여병원],MATCH(INDEX(합계표[사번키],$X551)&amp;"|"&amp;대상월키,월별근무지표[키],0))&amp;"",IF(COUNTIF(기관표[사번키],INDEX(합계표[사번키],$X551))+COUNTIF(월별근무지표[사번키],INDEX(합계표[사번키],$X551))&gt;0,IFERROR(INDEX(기관표[급여지급병원(기준월)],MATCH(INDEX(합계표[사번키],$X551)&amp;"|"&amp;대상월키,기관표[키],0))&amp;"","—"),"—")))</f>
        <v/>
      </c>
      <c r="M551">
        <f>IF($X551="","",IF(NOT(COUNTIF(기관표[사번키],INDEX(합계표[사번키],$X551))+COUNTIF(월별근무지표[사번키],INDEX(합계표[사번키],$X551))&gt;0),"기관명단에 없음(다른 병원으로 발송)",IF($L551="서울병원","해당",IF(N($R551)&gt;0,"해당(말일 근무)",IF($L551="—","대상월 기관명단 없음(추가 필요)","비해당")))))</f>
        <v/>
      </c>
      <c r="N551" s="20">
        <f>IF($X551="","",SUMIFS(상세표[06~07시],상세표[사번키],INDEX(합계표[사번키],$X551),상세표[반영월],대상월키,상세표[반영 기관],"서울병원"))</f>
        <v/>
      </c>
      <c r="O551" s="20">
        <f>IF($X551="","",SUMIFS(상세표[07~18시],상세표[사번키],INDEX(합계표[사번키],$X551),상세표[반영월],대상월키,상세표[반영 기관],"서울병원"))</f>
        <v/>
      </c>
      <c r="P551" s="20">
        <f>IF($X551="","",SUMIFS(상세표[18~22시],상세표[사번키],INDEX(합계표[사번키],$X551),상세표[반영월],대상월키,상세표[반영 기관],"서울병원"))</f>
        <v/>
      </c>
      <c r="Q551" s="20">
        <f>IF($X551="","",SUMIFS(상세표[22~06시],상세표[사번키],INDEX(합계표[사번키],$X551),상세표[반영월],대상월키,상세표[반영 기관],"서울병원"))</f>
        <v/>
      </c>
      <c r="R551" s="20">
        <f>IF($X551="","",SUM($N551:$Q551))</f>
        <v/>
      </c>
      <c r="S551">
        <f>IF($X551="","",COUNTIFS(상세표[사번키],INDEX(합계표[사번키],$X551),상세표[반영월],대상월키,상세표[야간당직],1,상세표[야간 구분],"평일"))</f>
        <v/>
      </c>
      <c r="T551">
        <f>IF($X551="","",COUNTIFS(상세표[사번키],INDEX(합계표[사번키],$X551),상세표[반영월],대상월키,상세표[야간당직],1,상세표[야간 구분],"휴일"))</f>
        <v/>
      </c>
      <c r="U551">
        <f>IF($X551="","",COUNTIFS(상세표[사번키],INDEX(합계표[사번키],$X551),상세표[반영월],대상월키,상세표[야간당직],1,상세표[야간 구분],"평일",상세표[반영 기관],"서울병원"))</f>
        <v/>
      </c>
      <c r="V551">
        <f>IF($X551="","",COUNTIFS(상세표[사번키],INDEX(합계표[사번키],$X551),상세표[반영월],대상월키,상세표[야간당직],1,상세표[야간 구분],"휴일",상세표[반영 기관],"서울병원"))</f>
        <v/>
      </c>
      <c r="W551">
        <f>IF($X551="","",IF(ISNUMBER(MATCH(INDEX(합계표[사번키],$X551)&amp;"|"&amp;대상월키,월별근무지표[키],0)),"직접 입력",IF($L551="—","—","기관명단")))</f>
        <v/>
      </c>
      <c r="X551" s="4">
        <f>IFERROR(MATCH(546,합계표[판정순번],0),"")</f>
        <v/>
      </c>
    </row>
    <row r="552">
      <c r="A552">
        <f>IF($X552="","",INDEX(합계표[사번],$X552)&amp;"")</f>
        <v/>
      </c>
      <c r="B552">
        <f>IF($X552="","",INDEX(합계표[성명],$X552)&amp;"")</f>
        <v/>
      </c>
      <c r="C552">
        <f>IF($X552="","",INDEX(합계표[부서],$X552)&amp;"")</f>
        <v/>
      </c>
      <c r="D552">
        <f>IF($X552="","",INDEX(합계표[직위(요약)],$X552)&amp;"")</f>
        <v/>
      </c>
      <c r="E552">
        <f>IF($X552="","",INDEX(합계표[직급 공존],$X552)&amp;"")</f>
        <v/>
      </c>
      <c r="F552" s="20">
        <f>IF($X552="","",SUMIFS(합계표[시스템 합계],합계표[사번키],INDEX(합계표[사번키],$X552)))</f>
        <v/>
      </c>
      <c r="G552" s="20">
        <f>IF($X552="","",SUMIFS(상세표[기록 시간외],상세표[사번키],INDEX(합계표[사번키],$X552),상세표[기록월],대상월키))</f>
        <v/>
      </c>
      <c r="H552">
        <f>IF($X552="","",IF(ABS($F552-$G552)&lt;0.01,"일치","불일치(차이 "&amp;TEXT($G552-$F552,"0.00")&amp;")"))</f>
        <v/>
      </c>
      <c r="I552" s="20">
        <f>IF($X552="","",SUMIFS(상세표[기록 시간외],상세표[사번키],INDEX(합계표[사번키],$X552),상세표[기록월],대상월키,상세표[반영월],"&lt;&gt;"&amp;대상월키))</f>
        <v/>
      </c>
      <c r="J552" s="20">
        <f>IF($X552="","",SUMIFS(상세표[기록 시간외],상세표[사번키],INDEX(합계표[사번키],$X552),상세표[기록월],"&lt;&gt;"&amp;대상월키,상세표[반영월],대상월키))</f>
        <v/>
      </c>
      <c r="K552" s="20">
        <f>IF($X552="","",SUMIFS(상세표[기록 시간외],상세표[사번키],INDEX(합계표[사번키],$X552),상세표[반영월],대상월키))</f>
        <v/>
      </c>
      <c r="L552">
        <f>IF($X552="","",IFERROR(INDEX(월별근무지표[적용 급여병원],MATCH(INDEX(합계표[사번키],$X552)&amp;"|"&amp;대상월키,월별근무지표[키],0))&amp;"",IF(COUNTIF(기관표[사번키],INDEX(합계표[사번키],$X552))+COUNTIF(월별근무지표[사번키],INDEX(합계표[사번키],$X552))&gt;0,IFERROR(INDEX(기관표[급여지급병원(기준월)],MATCH(INDEX(합계표[사번키],$X552)&amp;"|"&amp;대상월키,기관표[키],0))&amp;"","—"),"—")))</f>
        <v/>
      </c>
      <c r="M552">
        <f>IF($X552="","",IF(NOT(COUNTIF(기관표[사번키],INDEX(합계표[사번키],$X552))+COUNTIF(월별근무지표[사번키],INDEX(합계표[사번키],$X552))&gt;0),"기관명단에 없음(다른 병원으로 발송)",IF($L552="서울병원","해당",IF(N($R552)&gt;0,"해당(말일 근무)",IF($L552="—","대상월 기관명단 없음(추가 필요)","비해당")))))</f>
        <v/>
      </c>
      <c r="N552" s="20">
        <f>IF($X552="","",SUMIFS(상세표[06~07시],상세표[사번키],INDEX(합계표[사번키],$X552),상세표[반영월],대상월키,상세표[반영 기관],"서울병원"))</f>
        <v/>
      </c>
      <c r="O552" s="20">
        <f>IF($X552="","",SUMIFS(상세표[07~18시],상세표[사번키],INDEX(합계표[사번키],$X552),상세표[반영월],대상월키,상세표[반영 기관],"서울병원"))</f>
        <v/>
      </c>
      <c r="P552" s="20">
        <f>IF($X552="","",SUMIFS(상세표[18~22시],상세표[사번키],INDEX(합계표[사번키],$X552),상세표[반영월],대상월키,상세표[반영 기관],"서울병원"))</f>
        <v/>
      </c>
      <c r="Q552" s="20">
        <f>IF($X552="","",SUMIFS(상세표[22~06시],상세표[사번키],INDEX(합계표[사번키],$X552),상세표[반영월],대상월키,상세표[반영 기관],"서울병원"))</f>
        <v/>
      </c>
      <c r="R552" s="20">
        <f>IF($X552="","",SUM($N552:$Q552))</f>
        <v/>
      </c>
      <c r="S552">
        <f>IF($X552="","",COUNTIFS(상세표[사번키],INDEX(합계표[사번키],$X552),상세표[반영월],대상월키,상세표[야간당직],1,상세표[야간 구분],"평일"))</f>
        <v/>
      </c>
      <c r="T552">
        <f>IF($X552="","",COUNTIFS(상세표[사번키],INDEX(합계표[사번키],$X552),상세표[반영월],대상월키,상세표[야간당직],1,상세표[야간 구분],"휴일"))</f>
        <v/>
      </c>
      <c r="U552">
        <f>IF($X552="","",COUNTIFS(상세표[사번키],INDEX(합계표[사번키],$X552),상세표[반영월],대상월키,상세표[야간당직],1,상세표[야간 구분],"평일",상세표[반영 기관],"서울병원"))</f>
        <v/>
      </c>
      <c r="V552">
        <f>IF($X552="","",COUNTIFS(상세표[사번키],INDEX(합계표[사번키],$X552),상세표[반영월],대상월키,상세표[야간당직],1,상세표[야간 구분],"휴일",상세표[반영 기관],"서울병원"))</f>
        <v/>
      </c>
      <c r="W552">
        <f>IF($X552="","",IF(ISNUMBER(MATCH(INDEX(합계표[사번키],$X552)&amp;"|"&amp;대상월키,월별근무지표[키],0)),"직접 입력",IF($L552="—","—","기관명단")))</f>
        <v/>
      </c>
      <c r="X552" s="4">
        <f>IFERROR(MATCH(547,합계표[판정순번],0),"")</f>
        <v/>
      </c>
    </row>
    <row r="553">
      <c r="A553">
        <f>IF($X553="","",INDEX(합계표[사번],$X553)&amp;"")</f>
        <v/>
      </c>
      <c r="B553">
        <f>IF($X553="","",INDEX(합계표[성명],$X553)&amp;"")</f>
        <v/>
      </c>
      <c r="C553">
        <f>IF($X553="","",INDEX(합계표[부서],$X553)&amp;"")</f>
        <v/>
      </c>
      <c r="D553">
        <f>IF($X553="","",INDEX(합계표[직위(요약)],$X553)&amp;"")</f>
        <v/>
      </c>
      <c r="E553">
        <f>IF($X553="","",INDEX(합계표[직급 공존],$X553)&amp;"")</f>
        <v/>
      </c>
      <c r="F553" s="20">
        <f>IF($X553="","",SUMIFS(합계표[시스템 합계],합계표[사번키],INDEX(합계표[사번키],$X553)))</f>
        <v/>
      </c>
      <c r="G553" s="20">
        <f>IF($X553="","",SUMIFS(상세표[기록 시간외],상세표[사번키],INDEX(합계표[사번키],$X553),상세표[기록월],대상월키))</f>
        <v/>
      </c>
      <c r="H553">
        <f>IF($X553="","",IF(ABS($F553-$G553)&lt;0.01,"일치","불일치(차이 "&amp;TEXT($G553-$F553,"0.00")&amp;")"))</f>
        <v/>
      </c>
      <c r="I553" s="20">
        <f>IF($X553="","",SUMIFS(상세표[기록 시간외],상세표[사번키],INDEX(합계표[사번키],$X553),상세표[기록월],대상월키,상세표[반영월],"&lt;&gt;"&amp;대상월키))</f>
        <v/>
      </c>
      <c r="J553" s="20">
        <f>IF($X553="","",SUMIFS(상세표[기록 시간외],상세표[사번키],INDEX(합계표[사번키],$X553),상세표[기록월],"&lt;&gt;"&amp;대상월키,상세표[반영월],대상월키))</f>
        <v/>
      </c>
      <c r="K553" s="20">
        <f>IF($X553="","",SUMIFS(상세표[기록 시간외],상세표[사번키],INDEX(합계표[사번키],$X553),상세표[반영월],대상월키))</f>
        <v/>
      </c>
      <c r="L553">
        <f>IF($X553="","",IFERROR(INDEX(월별근무지표[적용 급여병원],MATCH(INDEX(합계표[사번키],$X553)&amp;"|"&amp;대상월키,월별근무지표[키],0))&amp;"",IF(COUNTIF(기관표[사번키],INDEX(합계표[사번키],$X553))+COUNTIF(월별근무지표[사번키],INDEX(합계표[사번키],$X553))&gt;0,IFERROR(INDEX(기관표[급여지급병원(기준월)],MATCH(INDEX(합계표[사번키],$X553)&amp;"|"&amp;대상월키,기관표[키],0))&amp;"","—"),"—")))</f>
        <v/>
      </c>
      <c r="M553">
        <f>IF($X553="","",IF(NOT(COUNTIF(기관표[사번키],INDEX(합계표[사번키],$X553))+COUNTIF(월별근무지표[사번키],INDEX(합계표[사번키],$X553))&gt;0),"기관명단에 없음(다른 병원으로 발송)",IF($L553="서울병원","해당",IF(N($R553)&gt;0,"해당(말일 근무)",IF($L553="—","대상월 기관명단 없음(추가 필요)","비해당")))))</f>
        <v/>
      </c>
      <c r="N553" s="20">
        <f>IF($X553="","",SUMIFS(상세표[06~07시],상세표[사번키],INDEX(합계표[사번키],$X553),상세표[반영월],대상월키,상세표[반영 기관],"서울병원"))</f>
        <v/>
      </c>
      <c r="O553" s="20">
        <f>IF($X553="","",SUMIFS(상세표[07~18시],상세표[사번키],INDEX(합계표[사번키],$X553),상세표[반영월],대상월키,상세표[반영 기관],"서울병원"))</f>
        <v/>
      </c>
      <c r="P553" s="20">
        <f>IF($X553="","",SUMIFS(상세표[18~22시],상세표[사번키],INDEX(합계표[사번키],$X553),상세표[반영월],대상월키,상세표[반영 기관],"서울병원"))</f>
        <v/>
      </c>
      <c r="Q553" s="20">
        <f>IF($X553="","",SUMIFS(상세표[22~06시],상세표[사번키],INDEX(합계표[사번키],$X553),상세표[반영월],대상월키,상세표[반영 기관],"서울병원"))</f>
        <v/>
      </c>
      <c r="R553" s="20">
        <f>IF($X553="","",SUM($N553:$Q553))</f>
        <v/>
      </c>
      <c r="S553">
        <f>IF($X553="","",COUNTIFS(상세표[사번키],INDEX(합계표[사번키],$X553),상세표[반영월],대상월키,상세표[야간당직],1,상세표[야간 구분],"평일"))</f>
        <v/>
      </c>
      <c r="T553">
        <f>IF($X553="","",COUNTIFS(상세표[사번키],INDEX(합계표[사번키],$X553),상세표[반영월],대상월키,상세표[야간당직],1,상세표[야간 구분],"휴일"))</f>
        <v/>
      </c>
      <c r="U553">
        <f>IF($X553="","",COUNTIFS(상세표[사번키],INDEX(합계표[사번키],$X553),상세표[반영월],대상월키,상세표[야간당직],1,상세표[야간 구분],"평일",상세표[반영 기관],"서울병원"))</f>
        <v/>
      </c>
      <c r="V553">
        <f>IF($X553="","",COUNTIFS(상세표[사번키],INDEX(합계표[사번키],$X553),상세표[반영월],대상월키,상세표[야간당직],1,상세표[야간 구분],"휴일",상세표[반영 기관],"서울병원"))</f>
        <v/>
      </c>
      <c r="W553">
        <f>IF($X553="","",IF(ISNUMBER(MATCH(INDEX(합계표[사번키],$X553)&amp;"|"&amp;대상월키,월별근무지표[키],0)),"직접 입력",IF($L553="—","—","기관명단")))</f>
        <v/>
      </c>
      <c r="X553" s="4">
        <f>IFERROR(MATCH(548,합계표[판정순번],0),"")</f>
        <v/>
      </c>
    </row>
    <row r="554">
      <c r="A554">
        <f>IF($X554="","",INDEX(합계표[사번],$X554)&amp;"")</f>
        <v/>
      </c>
      <c r="B554">
        <f>IF($X554="","",INDEX(합계표[성명],$X554)&amp;"")</f>
        <v/>
      </c>
      <c r="C554">
        <f>IF($X554="","",INDEX(합계표[부서],$X554)&amp;"")</f>
        <v/>
      </c>
      <c r="D554">
        <f>IF($X554="","",INDEX(합계표[직위(요약)],$X554)&amp;"")</f>
        <v/>
      </c>
      <c r="E554">
        <f>IF($X554="","",INDEX(합계표[직급 공존],$X554)&amp;"")</f>
        <v/>
      </c>
      <c r="F554" s="20">
        <f>IF($X554="","",SUMIFS(합계표[시스템 합계],합계표[사번키],INDEX(합계표[사번키],$X554)))</f>
        <v/>
      </c>
      <c r="G554" s="20">
        <f>IF($X554="","",SUMIFS(상세표[기록 시간외],상세표[사번키],INDEX(합계표[사번키],$X554),상세표[기록월],대상월키))</f>
        <v/>
      </c>
      <c r="H554">
        <f>IF($X554="","",IF(ABS($F554-$G554)&lt;0.01,"일치","불일치(차이 "&amp;TEXT($G554-$F554,"0.00")&amp;")"))</f>
        <v/>
      </c>
      <c r="I554" s="20">
        <f>IF($X554="","",SUMIFS(상세표[기록 시간외],상세표[사번키],INDEX(합계표[사번키],$X554),상세표[기록월],대상월키,상세표[반영월],"&lt;&gt;"&amp;대상월키))</f>
        <v/>
      </c>
      <c r="J554" s="20">
        <f>IF($X554="","",SUMIFS(상세표[기록 시간외],상세표[사번키],INDEX(합계표[사번키],$X554),상세표[기록월],"&lt;&gt;"&amp;대상월키,상세표[반영월],대상월키))</f>
        <v/>
      </c>
      <c r="K554" s="20">
        <f>IF($X554="","",SUMIFS(상세표[기록 시간외],상세표[사번키],INDEX(합계표[사번키],$X554),상세표[반영월],대상월키))</f>
        <v/>
      </c>
      <c r="L554">
        <f>IF($X554="","",IFERROR(INDEX(월별근무지표[적용 급여병원],MATCH(INDEX(합계표[사번키],$X554)&amp;"|"&amp;대상월키,월별근무지표[키],0))&amp;"",IF(COUNTIF(기관표[사번키],INDEX(합계표[사번키],$X554))+COUNTIF(월별근무지표[사번키],INDEX(합계표[사번키],$X554))&gt;0,IFERROR(INDEX(기관표[급여지급병원(기준월)],MATCH(INDEX(합계표[사번키],$X554)&amp;"|"&amp;대상월키,기관표[키],0))&amp;"","—"),"—")))</f>
        <v/>
      </c>
      <c r="M554">
        <f>IF($X554="","",IF(NOT(COUNTIF(기관표[사번키],INDEX(합계표[사번키],$X554))+COUNTIF(월별근무지표[사번키],INDEX(합계표[사번키],$X554))&gt;0),"기관명단에 없음(다른 병원으로 발송)",IF($L554="서울병원","해당",IF(N($R554)&gt;0,"해당(말일 근무)",IF($L554="—","대상월 기관명단 없음(추가 필요)","비해당")))))</f>
        <v/>
      </c>
      <c r="N554" s="20">
        <f>IF($X554="","",SUMIFS(상세표[06~07시],상세표[사번키],INDEX(합계표[사번키],$X554),상세표[반영월],대상월키,상세표[반영 기관],"서울병원"))</f>
        <v/>
      </c>
      <c r="O554" s="20">
        <f>IF($X554="","",SUMIFS(상세표[07~18시],상세표[사번키],INDEX(합계표[사번키],$X554),상세표[반영월],대상월키,상세표[반영 기관],"서울병원"))</f>
        <v/>
      </c>
      <c r="P554" s="20">
        <f>IF($X554="","",SUMIFS(상세표[18~22시],상세표[사번키],INDEX(합계표[사번키],$X554),상세표[반영월],대상월키,상세표[반영 기관],"서울병원"))</f>
        <v/>
      </c>
      <c r="Q554" s="20">
        <f>IF($X554="","",SUMIFS(상세표[22~06시],상세표[사번키],INDEX(합계표[사번키],$X554),상세표[반영월],대상월키,상세표[반영 기관],"서울병원"))</f>
        <v/>
      </c>
      <c r="R554" s="20">
        <f>IF($X554="","",SUM($N554:$Q554))</f>
        <v/>
      </c>
      <c r="S554">
        <f>IF($X554="","",COUNTIFS(상세표[사번키],INDEX(합계표[사번키],$X554),상세표[반영월],대상월키,상세표[야간당직],1,상세표[야간 구분],"평일"))</f>
        <v/>
      </c>
      <c r="T554">
        <f>IF($X554="","",COUNTIFS(상세표[사번키],INDEX(합계표[사번키],$X554),상세표[반영월],대상월키,상세표[야간당직],1,상세표[야간 구분],"휴일"))</f>
        <v/>
      </c>
      <c r="U554">
        <f>IF($X554="","",COUNTIFS(상세표[사번키],INDEX(합계표[사번키],$X554),상세표[반영월],대상월키,상세표[야간당직],1,상세표[야간 구분],"평일",상세표[반영 기관],"서울병원"))</f>
        <v/>
      </c>
      <c r="V554">
        <f>IF($X554="","",COUNTIFS(상세표[사번키],INDEX(합계표[사번키],$X554),상세표[반영월],대상월키,상세표[야간당직],1,상세표[야간 구분],"휴일",상세표[반영 기관],"서울병원"))</f>
        <v/>
      </c>
      <c r="W554">
        <f>IF($X554="","",IF(ISNUMBER(MATCH(INDEX(합계표[사번키],$X554)&amp;"|"&amp;대상월키,월별근무지표[키],0)),"직접 입력",IF($L554="—","—","기관명단")))</f>
        <v/>
      </c>
      <c r="X554" s="4">
        <f>IFERROR(MATCH(549,합계표[판정순번],0),"")</f>
        <v/>
      </c>
    </row>
    <row r="555">
      <c r="A555">
        <f>IF($X555="","",INDEX(합계표[사번],$X555)&amp;"")</f>
        <v/>
      </c>
      <c r="B555">
        <f>IF($X555="","",INDEX(합계표[성명],$X555)&amp;"")</f>
        <v/>
      </c>
      <c r="C555">
        <f>IF($X555="","",INDEX(합계표[부서],$X555)&amp;"")</f>
        <v/>
      </c>
      <c r="D555">
        <f>IF($X555="","",INDEX(합계표[직위(요약)],$X555)&amp;"")</f>
        <v/>
      </c>
      <c r="E555">
        <f>IF($X555="","",INDEX(합계표[직급 공존],$X555)&amp;"")</f>
        <v/>
      </c>
      <c r="F555" s="20">
        <f>IF($X555="","",SUMIFS(합계표[시스템 합계],합계표[사번키],INDEX(합계표[사번키],$X555)))</f>
        <v/>
      </c>
      <c r="G555" s="20">
        <f>IF($X555="","",SUMIFS(상세표[기록 시간외],상세표[사번키],INDEX(합계표[사번키],$X555),상세표[기록월],대상월키))</f>
        <v/>
      </c>
      <c r="H555">
        <f>IF($X555="","",IF(ABS($F555-$G555)&lt;0.01,"일치","불일치(차이 "&amp;TEXT($G555-$F555,"0.00")&amp;")"))</f>
        <v/>
      </c>
      <c r="I555" s="20">
        <f>IF($X555="","",SUMIFS(상세표[기록 시간외],상세표[사번키],INDEX(합계표[사번키],$X555),상세표[기록월],대상월키,상세표[반영월],"&lt;&gt;"&amp;대상월키))</f>
        <v/>
      </c>
      <c r="J555" s="20">
        <f>IF($X555="","",SUMIFS(상세표[기록 시간외],상세표[사번키],INDEX(합계표[사번키],$X555),상세표[기록월],"&lt;&gt;"&amp;대상월키,상세표[반영월],대상월키))</f>
        <v/>
      </c>
      <c r="K555" s="20">
        <f>IF($X555="","",SUMIFS(상세표[기록 시간외],상세표[사번키],INDEX(합계표[사번키],$X555),상세표[반영월],대상월키))</f>
        <v/>
      </c>
      <c r="L555">
        <f>IF($X555="","",IFERROR(INDEX(월별근무지표[적용 급여병원],MATCH(INDEX(합계표[사번키],$X555)&amp;"|"&amp;대상월키,월별근무지표[키],0))&amp;"",IF(COUNTIF(기관표[사번키],INDEX(합계표[사번키],$X555))+COUNTIF(월별근무지표[사번키],INDEX(합계표[사번키],$X555))&gt;0,IFERROR(INDEX(기관표[급여지급병원(기준월)],MATCH(INDEX(합계표[사번키],$X555)&amp;"|"&amp;대상월키,기관표[키],0))&amp;"","—"),"—")))</f>
        <v/>
      </c>
      <c r="M555">
        <f>IF($X555="","",IF(NOT(COUNTIF(기관표[사번키],INDEX(합계표[사번키],$X555))+COUNTIF(월별근무지표[사번키],INDEX(합계표[사번키],$X555))&gt;0),"기관명단에 없음(다른 병원으로 발송)",IF($L555="서울병원","해당",IF(N($R555)&gt;0,"해당(말일 근무)",IF($L555="—","대상월 기관명단 없음(추가 필요)","비해당")))))</f>
        <v/>
      </c>
      <c r="N555" s="20">
        <f>IF($X555="","",SUMIFS(상세표[06~07시],상세표[사번키],INDEX(합계표[사번키],$X555),상세표[반영월],대상월키,상세표[반영 기관],"서울병원"))</f>
        <v/>
      </c>
      <c r="O555" s="20">
        <f>IF($X555="","",SUMIFS(상세표[07~18시],상세표[사번키],INDEX(합계표[사번키],$X555),상세표[반영월],대상월키,상세표[반영 기관],"서울병원"))</f>
        <v/>
      </c>
      <c r="P555" s="20">
        <f>IF($X555="","",SUMIFS(상세표[18~22시],상세표[사번키],INDEX(합계표[사번키],$X555),상세표[반영월],대상월키,상세표[반영 기관],"서울병원"))</f>
        <v/>
      </c>
      <c r="Q555" s="20">
        <f>IF($X555="","",SUMIFS(상세표[22~06시],상세표[사번키],INDEX(합계표[사번키],$X555),상세표[반영월],대상월키,상세표[반영 기관],"서울병원"))</f>
        <v/>
      </c>
      <c r="R555" s="20">
        <f>IF($X555="","",SUM($N555:$Q555))</f>
        <v/>
      </c>
      <c r="S555">
        <f>IF($X555="","",COUNTIFS(상세표[사번키],INDEX(합계표[사번키],$X555),상세표[반영월],대상월키,상세표[야간당직],1,상세표[야간 구분],"평일"))</f>
        <v/>
      </c>
      <c r="T555">
        <f>IF($X555="","",COUNTIFS(상세표[사번키],INDEX(합계표[사번키],$X555),상세표[반영월],대상월키,상세표[야간당직],1,상세표[야간 구분],"휴일"))</f>
        <v/>
      </c>
      <c r="U555">
        <f>IF($X555="","",COUNTIFS(상세표[사번키],INDEX(합계표[사번키],$X555),상세표[반영월],대상월키,상세표[야간당직],1,상세표[야간 구분],"평일",상세표[반영 기관],"서울병원"))</f>
        <v/>
      </c>
      <c r="V555">
        <f>IF($X555="","",COUNTIFS(상세표[사번키],INDEX(합계표[사번키],$X555),상세표[반영월],대상월키,상세표[야간당직],1,상세표[야간 구분],"휴일",상세표[반영 기관],"서울병원"))</f>
        <v/>
      </c>
      <c r="W555">
        <f>IF($X555="","",IF(ISNUMBER(MATCH(INDEX(합계표[사번키],$X555)&amp;"|"&amp;대상월키,월별근무지표[키],0)),"직접 입력",IF($L555="—","—","기관명단")))</f>
        <v/>
      </c>
      <c r="X555" s="4">
        <f>IFERROR(MATCH(550,합계표[판정순번],0),"")</f>
        <v/>
      </c>
    </row>
    <row r="556">
      <c r="A556">
        <f>IF($X556="","",INDEX(합계표[사번],$X556)&amp;"")</f>
        <v/>
      </c>
      <c r="B556">
        <f>IF($X556="","",INDEX(합계표[성명],$X556)&amp;"")</f>
        <v/>
      </c>
      <c r="C556">
        <f>IF($X556="","",INDEX(합계표[부서],$X556)&amp;"")</f>
        <v/>
      </c>
      <c r="D556">
        <f>IF($X556="","",INDEX(합계표[직위(요약)],$X556)&amp;"")</f>
        <v/>
      </c>
      <c r="E556">
        <f>IF($X556="","",INDEX(합계표[직급 공존],$X556)&amp;"")</f>
        <v/>
      </c>
      <c r="F556" s="20">
        <f>IF($X556="","",SUMIFS(합계표[시스템 합계],합계표[사번키],INDEX(합계표[사번키],$X556)))</f>
        <v/>
      </c>
      <c r="G556" s="20">
        <f>IF($X556="","",SUMIFS(상세표[기록 시간외],상세표[사번키],INDEX(합계표[사번키],$X556),상세표[기록월],대상월키))</f>
        <v/>
      </c>
      <c r="H556">
        <f>IF($X556="","",IF(ABS($F556-$G556)&lt;0.01,"일치","불일치(차이 "&amp;TEXT($G556-$F556,"0.00")&amp;")"))</f>
        <v/>
      </c>
      <c r="I556" s="20">
        <f>IF($X556="","",SUMIFS(상세표[기록 시간외],상세표[사번키],INDEX(합계표[사번키],$X556),상세표[기록월],대상월키,상세표[반영월],"&lt;&gt;"&amp;대상월키))</f>
        <v/>
      </c>
      <c r="J556" s="20">
        <f>IF($X556="","",SUMIFS(상세표[기록 시간외],상세표[사번키],INDEX(합계표[사번키],$X556),상세표[기록월],"&lt;&gt;"&amp;대상월키,상세표[반영월],대상월키))</f>
        <v/>
      </c>
      <c r="K556" s="20">
        <f>IF($X556="","",SUMIFS(상세표[기록 시간외],상세표[사번키],INDEX(합계표[사번키],$X556),상세표[반영월],대상월키))</f>
        <v/>
      </c>
      <c r="L556">
        <f>IF($X556="","",IFERROR(INDEX(월별근무지표[적용 급여병원],MATCH(INDEX(합계표[사번키],$X556)&amp;"|"&amp;대상월키,월별근무지표[키],0))&amp;"",IF(COUNTIF(기관표[사번키],INDEX(합계표[사번키],$X556))+COUNTIF(월별근무지표[사번키],INDEX(합계표[사번키],$X556))&gt;0,IFERROR(INDEX(기관표[급여지급병원(기준월)],MATCH(INDEX(합계표[사번키],$X556)&amp;"|"&amp;대상월키,기관표[키],0))&amp;"","—"),"—")))</f>
        <v/>
      </c>
      <c r="M556">
        <f>IF($X556="","",IF(NOT(COUNTIF(기관표[사번키],INDEX(합계표[사번키],$X556))+COUNTIF(월별근무지표[사번키],INDEX(합계표[사번키],$X556))&gt;0),"기관명단에 없음(다른 병원으로 발송)",IF($L556="서울병원","해당",IF(N($R556)&gt;0,"해당(말일 근무)",IF($L556="—","대상월 기관명단 없음(추가 필요)","비해당")))))</f>
        <v/>
      </c>
      <c r="N556" s="20">
        <f>IF($X556="","",SUMIFS(상세표[06~07시],상세표[사번키],INDEX(합계표[사번키],$X556),상세표[반영월],대상월키,상세표[반영 기관],"서울병원"))</f>
        <v/>
      </c>
      <c r="O556" s="20">
        <f>IF($X556="","",SUMIFS(상세표[07~18시],상세표[사번키],INDEX(합계표[사번키],$X556),상세표[반영월],대상월키,상세표[반영 기관],"서울병원"))</f>
        <v/>
      </c>
      <c r="P556" s="20">
        <f>IF($X556="","",SUMIFS(상세표[18~22시],상세표[사번키],INDEX(합계표[사번키],$X556),상세표[반영월],대상월키,상세표[반영 기관],"서울병원"))</f>
        <v/>
      </c>
      <c r="Q556" s="20">
        <f>IF($X556="","",SUMIFS(상세표[22~06시],상세표[사번키],INDEX(합계표[사번키],$X556),상세표[반영월],대상월키,상세표[반영 기관],"서울병원"))</f>
        <v/>
      </c>
      <c r="R556" s="20">
        <f>IF($X556="","",SUM($N556:$Q556))</f>
        <v/>
      </c>
      <c r="S556">
        <f>IF($X556="","",COUNTIFS(상세표[사번키],INDEX(합계표[사번키],$X556),상세표[반영월],대상월키,상세표[야간당직],1,상세표[야간 구분],"평일"))</f>
        <v/>
      </c>
      <c r="T556">
        <f>IF($X556="","",COUNTIFS(상세표[사번키],INDEX(합계표[사번키],$X556),상세표[반영월],대상월키,상세표[야간당직],1,상세표[야간 구분],"휴일"))</f>
        <v/>
      </c>
      <c r="U556">
        <f>IF($X556="","",COUNTIFS(상세표[사번키],INDEX(합계표[사번키],$X556),상세표[반영월],대상월키,상세표[야간당직],1,상세표[야간 구분],"평일",상세표[반영 기관],"서울병원"))</f>
        <v/>
      </c>
      <c r="V556">
        <f>IF($X556="","",COUNTIFS(상세표[사번키],INDEX(합계표[사번키],$X556),상세표[반영월],대상월키,상세표[야간당직],1,상세표[야간 구분],"휴일",상세표[반영 기관],"서울병원"))</f>
        <v/>
      </c>
      <c r="W556">
        <f>IF($X556="","",IF(ISNUMBER(MATCH(INDEX(합계표[사번키],$X556)&amp;"|"&amp;대상월키,월별근무지표[키],0)),"직접 입력",IF($L556="—","—","기관명단")))</f>
        <v/>
      </c>
      <c r="X556" s="4">
        <f>IFERROR(MATCH(551,합계표[판정순번],0),"")</f>
        <v/>
      </c>
    </row>
    <row r="557">
      <c r="A557">
        <f>IF($X557="","",INDEX(합계표[사번],$X557)&amp;"")</f>
        <v/>
      </c>
      <c r="B557">
        <f>IF($X557="","",INDEX(합계표[성명],$X557)&amp;"")</f>
        <v/>
      </c>
      <c r="C557">
        <f>IF($X557="","",INDEX(합계표[부서],$X557)&amp;"")</f>
        <v/>
      </c>
      <c r="D557">
        <f>IF($X557="","",INDEX(합계표[직위(요약)],$X557)&amp;"")</f>
        <v/>
      </c>
      <c r="E557">
        <f>IF($X557="","",INDEX(합계표[직급 공존],$X557)&amp;"")</f>
        <v/>
      </c>
      <c r="F557" s="20">
        <f>IF($X557="","",SUMIFS(합계표[시스템 합계],합계표[사번키],INDEX(합계표[사번키],$X557)))</f>
        <v/>
      </c>
      <c r="G557" s="20">
        <f>IF($X557="","",SUMIFS(상세표[기록 시간외],상세표[사번키],INDEX(합계표[사번키],$X557),상세표[기록월],대상월키))</f>
        <v/>
      </c>
      <c r="H557">
        <f>IF($X557="","",IF(ABS($F557-$G557)&lt;0.01,"일치","불일치(차이 "&amp;TEXT($G557-$F557,"0.00")&amp;")"))</f>
        <v/>
      </c>
      <c r="I557" s="20">
        <f>IF($X557="","",SUMIFS(상세표[기록 시간외],상세표[사번키],INDEX(합계표[사번키],$X557),상세표[기록월],대상월키,상세표[반영월],"&lt;&gt;"&amp;대상월키))</f>
        <v/>
      </c>
      <c r="J557" s="20">
        <f>IF($X557="","",SUMIFS(상세표[기록 시간외],상세표[사번키],INDEX(합계표[사번키],$X557),상세표[기록월],"&lt;&gt;"&amp;대상월키,상세표[반영월],대상월키))</f>
        <v/>
      </c>
      <c r="K557" s="20">
        <f>IF($X557="","",SUMIFS(상세표[기록 시간외],상세표[사번키],INDEX(합계표[사번키],$X557),상세표[반영월],대상월키))</f>
        <v/>
      </c>
      <c r="L557">
        <f>IF($X557="","",IFERROR(INDEX(월별근무지표[적용 급여병원],MATCH(INDEX(합계표[사번키],$X557)&amp;"|"&amp;대상월키,월별근무지표[키],0))&amp;"",IF(COUNTIF(기관표[사번키],INDEX(합계표[사번키],$X557))+COUNTIF(월별근무지표[사번키],INDEX(합계표[사번키],$X557))&gt;0,IFERROR(INDEX(기관표[급여지급병원(기준월)],MATCH(INDEX(합계표[사번키],$X557)&amp;"|"&amp;대상월키,기관표[키],0))&amp;"","—"),"—")))</f>
        <v/>
      </c>
      <c r="M557">
        <f>IF($X557="","",IF(NOT(COUNTIF(기관표[사번키],INDEX(합계표[사번키],$X557))+COUNTIF(월별근무지표[사번키],INDEX(합계표[사번키],$X557))&gt;0),"기관명단에 없음(다른 병원으로 발송)",IF($L557="서울병원","해당",IF(N($R557)&gt;0,"해당(말일 근무)",IF($L557="—","대상월 기관명단 없음(추가 필요)","비해당")))))</f>
        <v/>
      </c>
      <c r="N557" s="20">
        <f>IF($X557="","",SUMIFS(상세표[06~07시],상세표[사번키],INDEX(합계표[사번키],$X557),상세표[반영월],대상월키,상세표[반영 기관],"서울병원"))</f>
        <v/>
      </c>
      <c r="O557" s="20">
        <f>IF($X557="","",SUMIFS(상세표[07~18시],상세표[사번키],INDEX(합계표[사번키],$X557),상세표[반영월],대상월키,상세표[반영 기관],"서울병원"))</f>
        <v/>
      </c>
      <c r="P557" s="20">
        <f>IF($X557="","",SUMIFS(상세표[18~22시],상세표[사번키],INDEX(합계표[사번키],$X557),상세표[반영월],대상월키,상세표[반영 기관],"서울병원"))</f>
        <v/>
      </c>
      <c r="Q557" s="20">
        <f>IF($X557="","",SUMIFS(상세표[22~06시],상세표[사번키],INDEX(합계표[사번키],$X557),상세표[반영월],대상월키,상세표[반영 기관],"서울병원"))</f>
        <v/>
      </c>
      <c r="R557" s="20">
        <f>IF($X557="","",SUM($N557:$Q557))</f>
        <v/>
      </c>
      <c r="S557">
        <f>IF($X557="","",COUNTIFS(상세표[사번키],INDEX(합계표[사번키],$X557),상세표[반영월],대상월키,상세표[야간당직],1,상세표[야간 구분],"평일"))</f>
        <v/>
      </c>
      <c r="T557">
        <f>IF($X557="","",COUNTIFS(상세표[사번키],INDEX(합계표[사번키],$X557),상세표[반영월],대상월키,상세표[야간당직],1,상세표[야간 구분],"휴일"))</f>
        <v/>
      </c>
      <c r="U557">
        <f>IF($X557="","",COUNTIFS(상세표[사번키],INDEX(합계표[사번키],$X557),상세표[반영월],대상월키,상세표[야간당직],1,상세표[야간 구분],"평일",상세표[반영 기관],"서울병원"))</f>
        <v/>
      </c>
      <c r="V557">
        <f>IF($X557="","",COUNTIFS(상세표[사번키],INDEX(합계표[사번키],$X557),상세표[반영월],대상월키,상세표[야간당직],1,상세표[야간 구분],"휴일",상세표[반영 기관],"서울병원"))</f>
        <v/>
      </c>
      <c r="W557">
        <f>IF($X557="","",IF(ISNUMBER(MATCH(INDEX(합계표[사번키],$X557)&amp;"|"&amp;대상월키,월별근무지표[키],0)),"직접 입력",IF($L557="—","—","기관명단")))</f>
        <v/>
      </c>
      <c r="X557" s="4">
        <f>IFERROR(MATCH(552,합계표[판정순번],0),"")</f>
        <v/>
      </c>
    </row>
    <row r="558">
      <c r="A558">
        <f>IF($X558="","",INDEX(합계표[사번],$X558)&amp;"")</f>
        <v/>
      </c>
      <c r="B558">
        <f>IF($X558="","",INDEX(합계표[성명],$X558)&amp;"")</f>
        <v/>
      </c>
      <c r="C558">
        <f>IF($X558="","",INDEX(합계표[부서],$X558)&amp;"")</f>
        <v/>
      </c>
      <c r="D558">
        <f>IF($X558="","",INDEX(합계표[직위(요약)],$X558)&amp;"")</f>
        <v/>
      </c>
      <c r="E558">
        <f>IF($X558="","",INDEX(합계표[직급 공존],$X558)&amp;"")</f>
        <v/>
      </c>
      <c r="F558" s="20">
        <f>IF($X558="","",SUMIFS(합계표[시스템 합계],합계표[사번키],INDEX(합계표[사번키],$X558)))</f>
        <v/>
      </c>
      <c r="G558" s="20">
        <f>IF($X558="","",SUMIFS(상세표[기록 시간외],상세표[사번키],INDEX(합계표[사번키],$X558),상세표[기록월],대상월키))</f>
        <v/>
      </c>
      <c r="H558">
        <f>IF($X558="","",IF(ABS($F558-$G558)&lt;0.01,"일치","불일치(차이 "&amp;TEXT($G558-$F558,"0.00")&amp;")"))</f>
        <v/>
      </c>
      <c r="I558" s="20">
        <f>IF($X558="","",SUMIFS(상세표[기록 시간외],상세표[사번키],INDEX(합계표[사번키],$X558),상세표[기록월],대상월키,상세표[반영월],"&lt;&gt;"&amp;대상월키))</f>
        <v/>
      </c>
      <c r="J558" s="20">
        <f>IF($X558="","",SUMIFS(상세표[기록 시간외],상세표[사번키],INDEX(합계표[사번키],$X558),상세표[기록월],"&lt;&gt;"&amp;대상월키,상세표[반영월],대상월키))</f>
        <v/>
      </c>
      <c r="K558" s="20">
        <f>IF($X558="","",SUMIFS(상세표[기록 시간외],상세표[사번키],INDEX(합계표[사번키],$X558),상세표[반영월],대상월키))</f>
        <v/>
      </c>
      <c r="L558">
        <f>IF($X558="","",IFERROR(INDEX(월별근무지표[적용 급여병원],MATCH(INDEX(합계표[사번키],$X558)&amp;"|"&amp;대상월키,월별근무지표[키],0))&amp;"",IF(COUNTIF(기관표[사번키],INDEX(합계표[사번키],$X558))+COUNTIF(월별근무지표[사번키],INDEX(합계표[사번키],$X558))&gt;0,IFERROR(INDEX(기관표[급여지급병원(기준월)],MATCH(INDEX(합계표[사번키],$X558)&amp;"|"&amp;대상월키,기관표[키],0))&amp;"","—"),"—")))</f>
        <v/>
      </c>
      <c r="M558">
        <f>IF($X558="","",IF(NOT(COUNTIF(기관표[사번키],INDEX(합계표[사번키],$X558))+COUNTIF(월별근무지표[사번키],INDEX(합계표[사번키],$X558))&gt;0),"기관명단에 없음(다른 병원으로 발송)",IF($L558="서울병원","해당",IF(N($R558)&gt;0,"해당(말일 근무)",IF($L558="—","대상월 기관명단 없음(추가 필요)","비해당")))))</f>
        <v/>
      </c>
      <c r="N558" s="20">
        <f>IF($X558="","",SUMIFS(상세표[06~07시],상세표[사번키],INDEX(합계표[사번키],$X558),상세표[반영월],대상월키,상세표[반영 기관],"서울병원"))</f>
        <v/>
      </c>
      <c r="O558" s="20">
        <f>IF($X558="","",SUMIFS(상세표[07~18시],상세표[사번키],INDEX(합계표[사번키],$X558),상세표[반영월],대상월키,상세표[반영 기관],"서울병원"))</f>
        <v/>
      </c>
      <c r="P558" s="20">
        <f>IF($X558="","",SUMIFS(상세표[18~22시],상세표[사번키],INDEX(합계표[사번키],$X558),상세표[반영월],대상월키,상세표[반영 기관],"서울병원"))</f>
        <v/>
      </c>
      <c r="Q558" s="20">
        <f>IF($X558="","",SUMIFS(상세표[22~06시],상세표[사번키],INDEX(합계표[사번키],$X558),상세표[반영월],대상월키,상세표[반영 기관],"서울병원"))</f>
        <v/>
      </c>
      <c r="R558" s="20">
        <f>IF($X558="","",SUM($N558:$Q558))</f>
        <v/>
      </c>
      <c r="S558">
        <f>IF($X558="","",COUNTIFS(상세표[사번키],INDEX(합계표[사번키],$X558),상세표[반영월],대상월키,상세표[야간당직],1,상세표[야간 구분],"평일"))</f>
        <v/>
      </c>
      <c r="T558">
        <f>IF($X558="","",COUNTIFS(상세표[사번키],INDEX(합계표[사번키],$X558),상세표[반영월],대상월키,상세표[야간당직],1,상세표[야간 구분],"휴일"))</f>
        <v/>
      </c>
      <c r="U558">
        <f>IF($X558="","",COUNTIFS(상세표[사번키],INDEX(합계표[사번키],$X558),상세표[반영월],대상월키,상세표[야간당직],1,상세표[야간 구분],"평일",상세표[반영 기관],"서울병원"))</f>
        <v/>
      </c>
      <c r="V558">
        <f>IF($X558="","",COUNTIFS(상세표[사번키],INDEX(합계표[사번키],$X558),상세표[반영월],대상월키,상세표[야간당직],1,상세표[야간 구분],"휴일",상세표[반영 기관],"서울병원"))</f>
        <v/>
      </c>
      <c r="W558">
        <f>IF($X558="","",IF(ISNUMBER(MATCH(INDEX(합계표[사번키],$X558)&amp;"|"&amp;대상월키,월별근무지표[키],0)),"직접 입력",IF($L558="—","—","기관명단")))</f>
        <v/>
      </c>
      <c r="X558" s="4">
        <f>IFERROR(MATCH(553,합계표[판정순번],0),"")</f>
        <v/>
      </c>
    </row>
    <row r="559">
      <c r="A559">
        <f>IF($X559="","",INDEX(합계표[사번],$X559)&amp;"")</f>
        <v/>
      </c>
      <c r="B559">
        <f>IF($X559="","",INDEX(합계표[성명],$X559)&amp;"")</f>
        <v/>
      </c>
      <c r="C559">
        <f>IF($X559="","",INDEX(합계표[부서],$X559)&amp;"")</f>
        <v/>
      </c>
      <c r="D559">
        <f>IF($X559="","",INDEX(합계표[직위(요약)],$X559)&amp;"")</f>
        <v/>
      </c>
      <c r="E559">
        <f>IF($X559="","",INDEX(합계표[직급 공존],$X559)&amp;"")</f>
        <v/>
      </c>
      <c r="F559" s="20">
        <f>IF($X559="","",SUMIFS(합계표[시스템 합계],합계표[사번키],INDEX(합계표[사번키],$X559)))</f>
        <v/>
      </c>
      <c r="G559" s="20">
        <f>IF($X559="","",SUMIFS(상세표[기록 시간외],상세표[사번키],INDEX(합계표[사번키],$X559),상세표[기록월],대상월키))</f>
        <v/>
      </c>
      <c r="H559">
        <f>IF($X559="","",IF(ABS($F559-$G559)&lt;0.01,"일치","불일치(차이 "&amp;TEXT($G559-$F559,"0.00")&amp;")"))</f>
        <v/>
      </c>
      <c r="I559" s="20">
        <f>IF($X559="","",SUMIFS(상세표[기록 시간외],상세표[사번키],INDEX(합계표[사번키],$X559),상세표[기록월],대상월키,상세표[반영월],"&lt;&gt;"&amp;대상월키))</f>
        <v/>
      </c>
      <c r="J559" s="20">
        <f>IF($X559="","",SUMIFS(상세표[기록 시간외],상세표[사번키],INDEX(합계표[사번키],$X559),상세표[기록월],"&lt;&gt;"&amp;대상월키,상세표[반영월],대상월키))</f>
        <v/>
      </c>
      <c r="K559" s="20">
        <f>IF($X559="","",SUMIFS(상세표[기록 시간외],상세표[사번키],INDEX(합계표[사번키],$X559),상세표[반영월],대상월키))</f>
        <v/>
      </c>
      <c r="L559">
        <f>IF($X559="","",IFERROR(INDEX(월별근무지표[적용 급여병원],MATCH(INDEX(합계표[사번키],$X559)&amp;"|"&amp;대상월키,월별근무지표[키],0))&amp;"",IF(COUNTIF(기관표[사번키],INDEX(합계표[사번키],$X559))+COUNTIF(월별근무지표[사번키],INDEX(합계표[사번키],$X559))&gt;0,IFERROR(INDEX(기관표[급여지급병원(기준월)],MATCH(INDEX(합계표[사번키],$X559)&amp;"|"&amp;대상월키,기관표[키],0))&amp;"","—"),"—")))</f>
        <v/>
      </c>
      <c r="M559">
        <f>IF($X559="","",IF(NOT(COUNTIF(기관표[사번키],INDEX(합계표[사번키],$X559))+COUNTIF(월별근무지표[사번키],INDEX(합계표[사번키],$X559))&gt;0),"기관명단에 없음(다른 병원으로 발송)",IF($L559="서울병원","해당",IF(N($R559)&gt;0,"해당(말일 근무)",IF($L559="—","대상월 기관명단 없음(추가 필요)","비해당")))))</f>
        <v/>
      </c>
      <c r="N559" s="20">
        <f>IF($X559="","",SUMIFS(상세표[06~07시],상세표[사번키],INDEX(합계표[사번키],$X559),상세표[반영월],대상월키,상세표[반영 기관],"서울병원"))</f>
        <v/>
      </c>
      <c r="O559" s="20">
        <f>IF($X559="","",SUMIFS(상세표[07~18시],상세표[사번키],INDEX(합계표[사번키],$X559),상세표[반영월],대상월키,상세표[반영 기관],"서울병원"))</f>
        <v/>
      </c>
      <c r="P559" s="20">
        <f>IF($X559="","",SUMIFS(상세표[18~22시],상세표[사번키],INDEX(합계표[사번키],$X559),상세표[반영월],대상월키,상세표[반영 기관],"서울병원"))</f>
        <v/>
      </c>
      <c r="Q559" s="20">
        <f>IF($X559="","",SUMIFS(상세표[22~06시],상세표[사번키],INDEX(합계표[사번키],$X559),상세표[반영월],대상월키,상세표[반영 기관],"서울병원"))</f>
        <v/>
      </c>
      <c r="R559" s="20">
        <f>IF($X559="","",SUM($N559:$Q559))</f>
        <v/>
      </c>
      <c r="S559">
        <f>IF($X559="","",COUNTIFS(상세표[사번키],INDEX(합계표[사번키],$X559),상세표[반영월],대상월키,상세표[야간당직],1,상세표[야간 구분],"평일"))</f>
        <v/>
      </c>
      <c r="T559">
        <f>IF($X559="","",COUNTIFS(상세표[사번키],INDEX(합계표[사번키],$X559),상세표[반영월],대상월키,상세표[야간당직],1,상세표[야간 구분],"휴일"))</f>
        <v/>
      </c>
      <c r="U559">
        <f>IF($X559="","",COUNTIFS(상세표[사번키],INDEX(합계표[사번키],$X559),상세표[반영월],대상월키,상세표[야간당직],1,상세표[야간 구분],"평일",상세표[반영 기관],"서울병원"))</f>
        <v/>
      </c>
      <c r="V559">
        <f>IF($X559="","",COUNTIFS(상세표[사번키],INDEX(합계표[사번키],$X559),상세표[반영월],대상월키,상세표[야간당직],1,상세표[야간 구분],"휴일",상세표[반영 기관],"서울병원"))</f>
        <v/>
      </c>
      <c r="W559">
        <f>IF($X559="","",IF(ISNUMBER(MATCH(INDEX(합계표[사번키],$X559)&amp;"|"&amp;대상월키,월별근무지표[키],0)),"직접 입력",IF($L559="—","—","기관명단")))</f>
        <v/>
      </c>
      <c r="X559" s="4">
        <f>IFERROR(MATCH(554,합계표[판정순번],0),"")</f>
        <v/>
      </c>
    </row>
    <row r="560">
      <c r="A560">
        <f>IF($X560="","",INDEX(합계표[사번],$X560)&amp;"")</f>
        <v/>
      </c>
      <c r="B560">
        <f>IF($X560="","",INDEX(합계표[성명],$X560)&amp;"")</f>
        <v/>
      </c>
      <c r="C560">
        <f>IF($X560="","",INDEX(합계표[부서],$X560)&amp;"")</f>
        <v/>
      </c>
      <c r="D560">
        <f>IF($X560="","",INDEX(합계표[직위(요약)],$X560)&amp;"")</f>
        <v/>
      </c>
      <c r="E560">
        <f>IF($X560="","",INDEX(합계표[직급 공존],$X560)&amp;"")</f>
        <v/>
      </c>
      <c r="F560" s="20">
        <f>IF($X560="","",SUMIFS(합계표[시스템 합계],합계표[사번키],INDEX(합계표[사번키],$X560)))</f>
        <v/>
      </c>
      <c r="G560" s="20">
        <f>IF($X560="","",SUMIFS(상세표[기록 시간외],상세표[사번키],INDEX(합계표[사번키],$X560),상세표[기록월],대상월키))</f>
        <v/>
      </c>
      <c r="H560">
        <f>IF($X560="","",IF(ABS($F560-$G560)&lt;0.01,"일치","불일치(차이 "&amp;TEXT($G560-$F560,"0.00")&amp;")"))</f>
        <v/>
      </c>
      <c r="I560" s="20">
        <f>IF($X560="","",SUMIFS(상세표[기록 시간외],상세표[사번키],INDEX(합계표[사번키],$X560),상세표[기록월],대상월키,상세표[반영월],"&lt;&gt;"&amp;대상월키))</f>
        <v/>
      </c>
      <c r="J560" s="20">
        <f>IF($X560="","",SUMIFS(상세표[기록 시간외],상세표[사번키],INDEX(합계표[사번키],$X560),상세표[기록월],"&lt;&gt;"&amp;대상월키,상세표[반영월],대상월키))</f>
        <v/>
      </c>
      <c r="K560" s="20">
        <f>IF($X560="","",SUMIFS(상세표[기록 시간외],상세표[사번키],INDEX(합계표[사번키],$X560),상세표[반영월],대상월키))</f>
        <v/>
      </c>
      <c r="L560">
        <f>IF($X560="","",IFERROR(INDEX(월별근무지표[적용 급여병원],MATCH(INDEX(합계표[사번키],$X560)&amp;"|"&amp;대상월키,월별근무지표[키],0))&amp;"",IF(COUNTIF(기관표[사번키],INDEX(합계표[사번키],$X560))+COUNTIF(월별근무지표[사번키],INDEX(합계표[사번키],$X560))&gt;0,IFERROR(INDEX(기관표[급여지급병원(기준월)],MATCH(INDEX(합계표[사번키],$X560)&amp;"|"&amp;대상월키,기관표[키],0))&amp;"","—"),"—")))</f>
        <v/>
      </c>
      <c r="M560">
        <f>IF($X560="","",IF(NOT(COUNTIF(기관표[사번키],INDEX(합계표[사번키],$X560))+COUNTIF(월별근무지표[사번키],INDEX(합계표[사번키],$X560))&gt;0),"기관명단에 없음(다른 병원으로 발송)",IF($L560="서울병원","해당",IF(N($R560)&gt;0,"해당(말일 근무)",IF($L560="—","대상월 기관명단 없음(추가 필요)","비해당")))))</f>
        <v/>
      </c>
      <c r="N560" s="20">
        <f>IF($X560="","",SUMIFS(상세표[06~07시],상세표[사번키],INDEX(합계표[사번키],$X560),상세표[반영월],대상월키,상세표[반영 기관],"서울병원"))</f>
        <v/>
      </c>
      <c r="O560" s="20">
        <f>IF($X560="","",SUMIFS(상세표[07~18시],상세표[사번키],INDEX(합계표[사번키],$X560),상세표[반영월],대상월키,상세표[반영 기관],"서울병원"))</f>
        <v/>
      </c>
      <c r="P560" s="20">
        <f>IF($X560="","",SUMIFS(상세표[18~22시],상세표[사번키],INDEX(합계표[사번키],$X560),상세표[반영월],대상월키,상세표[반영 기관],"서울병원"))</f>
        <v/>
      </c>
      <c r="Q560" s="20">
        <f>IF($X560="","",SUMIFS(상세표[22~06시],상세표[사번키],INDEX(합계표[사번키],$X560),상세표[반영월],대상월키,상세표[반영 기관],"서울병원"))</f>
        <v/>
      </c>
      <c r="R560" s="20">
        <f>IF($X560="","",SUM($N560:$Q560))</f>
        <v/>
      </c>
      <c r="S560">
        <f>IF($X560="","",COUNTIFS(상세표[사번키],INDEX(합계표[사번키],$X560),상세표[반영월],대상월키,상세표[야간당직],1,상세표[야간 구분],"평일"))</f>
        <v/>
      </c>
      <c r="T560">
        <f>IF($X560="","",COUNTIFS(상세표[사번키],INDEX(합계표[사번키],$X560),상세표[반영월],대상월키,상세표[야간당직],1,상세표[야간 구분],"휴일"))</f>
        <v/>
      </c>
      <c r="U560">
        <f>IF($X560="","",COUNTIFS(상세표[사번키],INDEX(합계표[사번키],$X560),상세표[반영월],대상월키,상세표[야간당직],1,상세표[야간 구분],"평일",상세표[반영 기관],"서울병원"))</f>
        <v/>
      </c>
      <c r="V560">
        <f>IF($X560="","",COUNTIFS(상세표[사번키],INDEX(합계표[사번키],$X560),상세표[반영월],대상월키,상세표[야간당직],1,상세표[야간 구분],"휴일",상세표[반영 기관],"서울병원"))</f>
        <v/>
      </c>
      <c r="W560">
        <f>IF($X560="","",IF(ISNUMBER(MATCH(INDEX(합계표[사번키],$X560)&amp;"|"&amp;대상월키,월별근무지표[키],0)),"직접 입력",IF($L560="—","—","기관명단")))</f>
        <v/>
      </c>
      <c r="X560" s="4">
        <f>IFERROR(MATCH(555,합계표[판정순번],0),"")</f>
        <v/>
      </c>
    </row>
    <row r="561">
      <c r="A561">
        <f>IF($X561="","",INDEX(합계표[사번],$X561)&amp;"")</f>
        <v/>
      </c>
      <c r="B561">
        <f>IF($X561="","",INDEX(합계표[성명],$X561)&amp;"")</f>
        <v/>
      </c>
      <c r="C561">
        <f>IF($X561="","",INDEX(합계표[부서],$X561)&amp;"")</f>
        <v/>
      </c>
      <c r="D561">
        <f>IF($X561="","",INDEX(합계표[직위(요약)],$X561)&amp;"")</f>
        <v/>
      </c>
      <c r="E561">
        <f>IF($X561="","",INDEX(합계표[직급 공존],$X561)&amp;"")</f>
        <v/>
      </c>
      <c r="F561" s="20">
        <f>IF($X561="","",SUMIFS(합계표[시스템 합계],합계표[사번키],INDEX(합계표[사번키],$X561)))</f>
        <v/>
      </c>
      <c r="G561" s="20">
        <f>IF($X561="","",SUMIFS(상세표[기록 시간외],상세표[사번키],INDEX(합계표[사번키],$X561),상세표[기록월],대상월키))</f>
        <v/>
      </c>
      <c r="H561">
        <f>IF($X561="","",IF(ABS($F561-$G561)&lt;0.01,"일치","불일치(차이 "&amp;TEXT($G561-$F561,"0.00")&amp;")"))</f>
        <v/>
      </c>
      <c r="I561" s="20">
        <f>IF($X561="","",SUMIFS(상세표[기록 시간외],상세표[사번키],INDEX(합계표[사번키],$X561),상세표[기록월],대상월키,상세표[반영월],"&lt;&gt;"&amp;대상월키))</f>
        <v/>
      </c>
      <c r="J561" s="20">
        <f>IF($X561="","",SUMIFS(상세표[기록 시간외],상세표[사번키],INDEX(합계표[사번키],$X561),상세표[기록월],"&lt;&gt;"&amp;대상월키,상세표[반영월],대상월키))</f>
        <v/>
      </c>
      <c r="K561" s="20">
        <f>IF($X561="","",SUMIFS(상세표[기록 시간외],상세표[사번키],INDEX(합계표[사번키],$X561),상세표[반영월],대상월키))</f>
        <v/>
      </c>
      <c r="L561">
        <f>IF($X561="","",IFERROR(INDEX(월별근무지표[적용 급여병원],MATCH(INDEX(합계표[사번키],$X561)&amp;"|"&amp;대상월키,월별근무지표[키],0))&amp;"",IF(COUNTIF(기관표[사번키],INDEX(합계표[사번키],$X561))+COUNTIF(월별근무지표[사번키],INDEX(합계표[사번키],$X561))&gt;0,IFERROR(INDEX(기관표[급여지급병원(기준월)],MATCH(INDEX(합계표[사번키],$X561)&amp;"|"&amp;대상월키,기관표[키],0))&amp;"","—"),"—")))</f>
        <v/>
      </c>
      <c r="M561">
        <f>IF($X561="","",IF(NOT(COUNTIF(기관표[사번키],INDEX(합계표[사번키],$X561))+COUNTIF(월별근무지표[사번키],INDEX(합계표[사번키],$X561))&gt;0),"기관명단에 없음(다른 병원으로 발송)",IF($L561="서울병원","해당",IF(N($R561)&gt;0,"해당(말일 근무)",IF($L561="—","대상월 기관명단 없음(추가 필요)","비해당")))))</f>
        <v/>
      </c>
      <c r="N561" s="20">
        <f>IF($X561="","",SUMIFS(상세표[06~07시],상세표[사번키],INDEX(합계표[사번키],$X561),상세표[반영월],대상월키,상세표[반영 기관],"서울병원"))</f>
        <v/>
      </c>
      <c r="O561" s="20">
        <f>IF($X561="","",SUMIFS(상세표[07~18시],상세표[사번키],INDEX(합계표[사번키],$X561),상세표[반영월],대상월키,상세표[반영 기관],"서울병원"))</f>
        <v/>
      </c>
      <c r="P561" s="20">
        <f>IF($X561="","",SUMIFS(상세표[18~22시],상세표[사번키],INDEX(합계표[사번키],$X561),상세표[반영월],대상월키,상세표[반영 기관],"서울병원"))</f>
        <v/>
      </c>
      <c r="Q561" s="20">
        <f>IF($X561="","",SUMIFS(상세표[22~06시],상세표[사번키],INDEX(합계표[사번키],$X561),상세표[반영월],대상월키,상세표[반영 기관],"서울병원"))</f>
        <v/>
      </c>
      <c r="R561" s="20">
        <f>IF($X561="","",SUM($N561:$Q561))</f>
        <v/>
      </c>
      <c r="S561">
        <f>IF($X561="","",COUNTIFS(상세표[사번키],INDEX(합계표[사번키],$X561),상세표[반영월],대상월키,상세표[야간당직],1,상세표[야간 구분],"평일"))</f>
        <v/>
      </c>
      <c r="T561">
        <f>IF($X561="","",COUNTIFS(상세표[사번키],INDEX(합계표[사번키],$X561),상세표[반영월],대상월키,상세표[야간당직],1,상세표[야간 구분],"휴일"))</f>
        <v/>
      </c>
      <c r="U561">
        <f>IF($X561="","",COUNTIFS(상세표[사번키],INDEX(합계표[사번키],$X561),상세표[반영월],대상월키,상세표[야간당직],1,상세표[야간 구분],"평일",상세표[반영 기관],"서울병원"))</f>
        <v/>
      </c>
      <c r="V561">
        <f>IF($X561="","",COUNTIFS(상세표[사번키],INDEX(합계표[사번키],$X561),상세표[반영월],대상월키,상세표[야간당직],1,상세표[야간 구분],"휴일",상세표[반영 기관],"서울병원"))</f>
        <v/>
      </c>
      <c r="W561">
        <f>IF($X561="","",IF(ISNUMBER(MATCH(INDEX(합계표[사번키],$X561)&amp;"|"&amp;대상월키,월별근무지표[키],0)),"직접 입력",IF($L561="—","—","기관명단")))</f>
        <v/>
      </c>
      <c r="X561" s="4">
        <f>IFERROR(MATCH(556,합계표[판정순번],0),"")</f>
        <v/>
      </c>
    </row>
    <row r="562">
      <c r="A562">
        <f>IF($X562="","",INDEX(합계표[사번],$X562)&amp;"")</f>
        <v/>
      </c>
      <c r="B562">
        <f>IF($X562="","",INDEX(합계표[성명],$X562)&amp;"")</f>
        <v/>
      </c>
      <c r="C562">
        <f>IF($X562="","",INDEX(합계표[부서],$X562)&amp;"")</f>
        <v/>
      </c>
      <c r="D562">
        <f>IF($X562="","",INDEX(합계표[직위(요약)],$X562)&amp;"")</f>
        <v/>
      </c>
      <c r="E562">
        <f>IF($X562="","",INDEX(합계표[직급 공존],$X562)&amp;"")</f>
        <v/>
      </c>
      <c r="F562" s="20">
        <f>IF($X562="","",SUMIFS(합계표[시스템 합계],합계표[사번키],INDEX(합계표[사번키],$X562)))</f>
        <v/>
      </c>
      <c r="G562" s="20">
        <f>IF($X562="","",SUMIFS(상세표[기록 시간외],상세표[사번키],INDEX(합계표[사번키],$X562),상세표[기록월],대상월키))</f>
        <v/>
      </c>
      <c r="H562">
        <f>IF($X562="","",IF(ABS($F562-$G562)&lt;0.01,"일치","불일치(차이 "&amp;TEXT($G562-$F562,"0.00")&amp;")"))</f>
        <v/>
      </c>
      <c r="I562" s="20">
        <f>IF($X562="","",SUMIFS(상세표[기록 시간외],상세표[사번키],INDEX(합계표[사번키],$X562),상세표[기록월],대상월키,상세표[반영월],"&lt;&gt;"&amp;대상월키))</f>
        <v/>
      </c>
      <c r="J562" s="20">
        <f>IF($X562="","",SUMIFS(상세표[기록 시간외],상세표[사번키],INDEX(합계표[사번키],$X562),상세표[기록월],"&lt;&gt;"&amp;대상월키,상세표[반영월],대상월키))</f>
        <v/>
      </c>
      <c r="K562" s="20">
        <f>IF($X562="","",SUMIFS(상세표[기록 시간외],상세표[사번키],INDEX(합계표[사번키],$X562),상세표[반영월],대상월키))</f>
        <v/>
      </c>
      <c r="L562">
        <f>IF($X562="","",IFERROR(INDEX(월별근무지표[적용 급여병원],MATCH(INDEX(합계표[사번키],$X562)&amp;"|"&amp;대상월키,월별근무지표[키],0))&amp;"",IF(COUNTIF(기관표[사번키],INDEX(합계표[사번키],$X562))+COUNTIF(월별근무지표[사번키],INDEX(합계표[사번키],$X562))&gt;0,IFERROR(INDEX(기관표[급여지급병원(기준월)],MATCH(INDEX(합계표[사번키],$X562)&amp;"|"&amp;대상월키,기관표[키],0))&amp;"","—"),"—")))</f>
        <v/>
      </c>
      <c r="M562">
        <f>IF($X562="","",IF(NOT(COUNTIF(기관표[사번키],INDEX(합계표[사번키],$X562))+COUNTIF(월별근무지표[사번키],INDEX(합계표[사번키],$X562))&gt;0),"기관명단에 없음(다른 병원으로 발송)",IF($L562="서울병원","해당",IF(N($R562)&gt;0,"해당(말일 근무)",IF($L562="—","대상월 기관명단 없음(추가 필요)","비해당")))))</f>
        <v/>
      </c>
      <c r="N562" s="20">
        <f>IF($X562="","",SUMIFS(상세표[06~07시],상세표[사번키],INDEX(합계표[사번키],$X562),상세표[반영월],대상월키,상세표[반영 기관],"서울병원"))</f>
        <v/>
      </c>
      <c r="O562" s="20">
        <f>IF($X562="","",SUMIFS(상세표[07~18시],상세표[사번키],INDEX(합계표[사번키],$X562),상세표[반영월],대상월키,상세표[반영 기관],"서울병원"))</f>
        <v/>
      </c>
      <c r="P562" s="20">
        <f>IF($X562="","",SUMIFS(상세표[18~22시],상세표[사번키],INDEX(합계표[사번키],$X562),상세표[반영월],대상월키,상세표[반영 기관],"서울병원"))</f>
        <v/>
      </c>
      <c r="Q562" s="20">
        <f>IF($X562="","",SUMIFS(상세표[22~06시],상세표[사번키],INDEX(합계표[사번키],$X562),상세표[반영월],대상월키,상세표[반영 기관],"서울병원"))</f>
        <v/>
      </c>
      <c r="R562" s="20">
        <f>IF($X562="","",SUM($N562:$Q562))</f>
        <v/>
      </c>
      <c r="S562">
        <f>IF($X562="","",COUNTIFS(상세표[사번키],INDEX(합계표[사번키],$X562),상세표[반영월],대상월키,상세표[야간당직],1,상세표[야간 구분],"평일"))</f>
        <v/>
      </c>
      <c r="T562">
        <f>IF($X562="","",COUNTIFS(상세표[사번키],INDEX(합계표[사번키],$X562),상세표[반영월],대상월키,상세표[야간당직],1,상세표[야간 구분],"휴일"))</f>
        <v/>
      </c>
      <c r="U562">
        <f>IF($X562="","",COUNTIFS(상세표[사번키],INDEX(합계표[사번키],$X562),상세표[반영월],대상월키,상세표[야간당직],1,상세표[야간 구분],"평일",상세표[반영 기관],"서울병원"))</f>
        <v/>
      </c>
      <c r="V562">
        <f>IF($X562="","",COUNTIFS(상세표[사번키],INDEX(합계표[사번키],$X562),상세표[반영월],대상월키,상세표[야간당직],1,상세표[야간 구분],"휴일",상세표[반영 기관],"서울병원"))</f>
        <v/>
      </c>
      <c r="W562">
        <f>IF($X562="","",IF(ISNUMBER(MATCH(INDEX(합계표[사번키],$X562)&amp;"|"&amp;대상월키,월별근무지표[키],0)),"직접 입력",IF($L562="—","—","기관명단")))</f>
        <v/>
      </c>
      <c r="X562" s="4">
        <f>IFERROR(MATCH(557,합계표[판정순번],0),"")</f>
        <v/>
      </c>
    </row>
    <row r="563">
      <c r="A563">
        <f>IF($X563="","",INDEX(합계표[사번],$X563)&amp;"")</f>
        <v/>
      </c>
      <c r="B563">
        <f>IF($X563="","",INDEX(합계표[성명],$X563)&amp;"")</f>
        <v/>
      </c>
      <c r="C563">
        <f>IF($X563="","",INDEX(합계표[부서],$X563)&amp;"")</f>
        <v/>
      </c>
      <c r="D563">
        <f>IF($X563="","",INDEX(합계표[직위(요약)],$X563)&amp;"")</f>
        <v/>
      </c>
      <c r="E563">
        <f>IF($X563="","",INDEX(합계표[직급 공존],$X563)&amp;"")</f>
        <v/>
      </c>
      <c r="F563" s="20">
        <f>IF($X563="","",SUMIFS(합계표[시스템 합계],합계표[사번키],INDEX(합계표[사번키],$X563)))</f>
        <v/>
      </c>
      <c r="G563" s="20">
        <f>IF($X563="","",SUMIFS(상세표[기록 시간외],상세표[사번키],INDEX(합계표[사번키],$X563),상세표[기록월],대상월키))</f>
        <v/>
      </c>
      <c r="H563">
        <f>IF($X563="","",IF(ABS($F563-$G563)&lt;0.01,"일치","불일치(차이 "&amp;TEXT($G563-$F563,"0.00")&amp;")"))</f>
        <v/>
      </c>
      <c r="I563" s="20">
        <f>IF($X563="","",SUMIFS(상세표[기록 시간외],상세표[사번키],INDEX(합계표[사번키],$X563),상세표[기록월],대상월키,상세표[반영월],"&lt;&gt;"&amp;대상월키))</f>
        <v/>
      </c>
      <c r="J563" s="20">
        <f>IF($X563="","",SUMIFS(상세표[기록 시간외],상세표[사번키],INDEX(합계표[사번키],$X563),상세표[기록월],"&lt;&gt;"&amp;대상월키,상세표[반영월],대상월키))</f>
        <v/>
      </c>
      <c r="K563" s="20">
        <f>IF($X563="","",SUMIFS(상세표[기록 시간외],상세표[사번키],INDEX(합계표[사번키],$X563),상세표[반영월],대상월키))</f>
        <v/>
      </c>
      <c r="L563">
        <f>IF($X563="","",IFERROR(INDEX(월별근무지표[적용 급여병원],MATCH(INDEX(합계표[사번키],$X563)&amp;"|"&amp;대상월키,월별근무지표[키],0))&amp;"",IF(COUNTIF(기관표[사번키],INDEX(합계표[사번키],$X563))+COUNTIF(월별근무지표[사번키],INDEX(합계표[사번키],$X563))&gt;0,IFERROR(INDEX(기관표[급여지급병원(기준월)],MATCH(INDEX(합계표[사번키],$X563)&amp;"|"&amp;대상월키,기관표[키],0))&amp;"","—"),"—")))</f>
        <v/>
      </c>
      <c r="M563">
        <f>IF($X563="","",IF(NOT(COUNTIF(기관표[사번키],INDEX(합계표[사번키],$X563))+COUNTIF(월별근무지표[사번키],INDEX(합계표[사번키],$X563))&gt;0),"기관명단에 없음(다른 병원으로 발송)",IF($L563="서울병원","해당",IF(N($R563)&gt;0,"해당(말일 근무)",IF($L563="—","대상월 기관명단 없음(추가 필요)","비해당")))))</f>
        <v/>
      </c>
      <c r="N563" s="20">
        <f>IF($X563="","",SUMIFS(상세표[06~07시],상세표[사번키],INDEX(합계표[사번키],$X563),상세표[반영월],대상월키,상세표[반영 기관],"서울병원"))</f>
        <v/>
      </c>
      <c r="O563" s="20">
        <f>IF($X563="","",SUMIFS(상세표[07~18시],상세표[사번키],INDEX(합계표[사번키],$X563),상세표[반영월],대상월키,상세표[반영 기관],"서울병원"))</f>
        <v/>
      </c>
      <c r="P563" s="20">
        <f>IF($X563="","",SUMIFS(상세표[18~22시],상세표[사번키],INDEX(합계표[사번키],$X563),상세표[반영월],대상월키,상세표[반영 기관],"서울병원"))</f>
        <v/>
      </c>
      <c r="Q563" s="20">
        <f>IF($X563="","",SUMIFS(상세표[22~06시],상세표[사번키],INDEX(합계표[사번키],$X563),상세표[반영월],대상월키,상세표[반영 기관],"서울병원"))</f>
        <v/>
      </c>
      <c r="R563" s="20">
        <f>IF($X563="","",SUM($N563:$Q563))</f>
        <v/>
      </c>
      <c r="S563">
        <f>IF($X563="","",COUNTIFS(상세표[사번키],INDEX(합계표[사번키],$X563),상세표[반영월],대상월키,상세표[야간당직],1,상세표[야간 구분],"평일"))</f>
        <v/>
      </c>
      <c r="T563">
        <f>IF($X563="","",COUNTIFS(상세표[사번키],INDEX(합계표[사번키],$X563),상세표[반영월],대상월키,상세표[야간당직],1,상세표[야간 구분],"휴일"))</f>
        <v/>
      </c>
      <c r="U563">
        <f>IF($X563="","",COUNTIFS(상세표[사번키],INDEX(합계표[사번키],$X563),상세표[반영월],대상월키,상세표[야간당직],1,상세표[야간 구분],"평일",상세표[반영 기관],"서울병원"))</f>
        <v/>
      </c>
      <c r="V563">
        <f>IF($X563="","",COUNTIFS(상세표[사번키],INDEX(합계표[사번키],$X563),상세표[반영월],대상월키,상세표[야간당직],1,상세표[야간 구분],"휴일",상세표[반영 기관],"서울병원"))</f>
        <v/>
      </c>
      <c r="W563">
        <f>IF($X563="","",IF(ISNUMBER(MATCH(INDEX(합계표[사번키],$X563)&amp;"|"&amp;대상월키,월별근무지표[키],0)),"직접 입력",IF($L563="—","—","기관명단")))</f>
        <v/>
      </c>
      <c r="X563" s="4">
        <f>IFERROR(MATCH(558,합계표[판정순번],0),"")</f>
        <v/>
      </c>
    </row>
    <row r="564">
      <c r="A564">
        <f>IF($X564="","",INDEX(합계표[사번],$X564)&amp;"")</f>
        <v/>
      </c>
      <c r="B564">
        <f>IF($X564="","",INDEX(합계표[성명],$X564)&amp;"")</f>
        <v/>
      </c>
      <c r="C564">
        <f>IF($X564="","",INDEX(합계표[부서],$X564)&amp;"")</f>
        <v/>
      </c>
      <c r="D564">
        <f>IF($X564="","",INDEX(합계표[직위(요약)],$X564)&amp;"")</f>
        <v/>
      </c>
      <c r="E564">
        <f>IF($X564="","",INDEX(합계표[직급 공존],$X564)&amp;"")</f>
        <v/>
      </c>
      <c r="F564" s="20">
        <f>IF($X564="","",SUMIFS(합계표[시스템 합계],합계표[사번키],INDEX(합계표[사번키],$X564)))</f>
        <v/>
      </c>
      <c r="G564" s="20">
        <f>IF($X564="","",SUMIFS(상세표[기록 시간외],상세표[사번키],INDEX(합계표[사번키],$X564),상세표[기록월],대상월키))</f>
        <v/>
      </c>
      <c r="H564">
        <f>IF($X564="","",IF(ABS($F564-$G564)&lt;0.01,"일치","불일치(차이 "&amp;TEXT($G564-$F564,"0.00")&amp;")"))</f>
        <v/>
      </c>
      <c r="I564" s="20">
        <f>IF($X564="","",SUMIFS(상세표[기록 시간외],상세표[사번키],INDEX(합계표[사번키],$X564),상세표[기록월],대상월키,상세표[반영월],"&lt;&gt;"&amp;대상월키))</f>
        <v/>
      </c>
      <c r="J564" s="20">
        <f>IF($X564="","",SUMIFS(상세표[기록 시간외],상세표[사번키],INDEX(합계표[사번키],$X564),상세표[기록월],"&lt;&gt;"&amp;대상월키,상세표[반영월],대상월키))</f>
        <v/>
      </c>
      <c r="K564" s="20">
        <f>IF($X564="","",SUMIFS(상세표[기록 시간외],상세표[사번키],INDEX(합계표[사번키],$X564),상세표[반영월],대상월키))</f>
        <v/>
      </c>
      <c r="L564">
        <f>IF($X564="","",IFERROR(INDEX(월별근무지표[적용 급여병원],MATCH(INDEX(합계표[사번키],$X564)&amp;"|"&amp;대상월키,월별근무지표[키],0))&amp;"",IF(COUNTIF(기관표[사번키],INDEX(합계표[사번키],$X564))+COUNTIF(월별근무지표[사번키],INDEX(합계표[사번키],$X564))&gt;0,IFERROR(INDEX(기관표[급여지급병원(기준월)],MATCH(INDEX(합계표[사번키],$X564)&amp;"|"&amp;대상월키,기관표[키],0))&amp;"","—"),"—")))</f>
        <v/>
      </c>
      <c r="M564">
        <f>IF($X564="","",IF(NOT(COUNTIF(기관표[사번키],INDEX(합계표[사번키],$X564))+COUNTIF(월별근무지표[사번키],INDEX(합계표[사번키],$X564))&gt;0),"기관명단에 없음(다른 병원으로 발송)",IF($L564="서울병원","해당",IF(N($R564)&gt;0,"해당(말일 근무)",IF($L564="—","대상월 기관명단 없음(추가 필요)","비해당")))))</f>
        <v/>
      </c>
      <c r="N564" s="20">
        <f>IF($X564="","",SUMIFS(상세표[06~07시],상세표[사번키],INDEX(합계표[사번키],$X564),상세표[반영월],대상월키,상세표[반영 기관],"서울병원"))</f>
        <v/>
      </c>
      <c r="O564" s="20">
        <f>IF($X564="","",SUMIFS(상세표[07~18시],상세표[사번키],INDEX(합계표[사번키],$X564),상세표[반영월],대상월키,상세표[반영 기관],"서울병원"))</f>
        <v/>
      </c>
      <c r="P564" s="20">
        <f>IF($X564="","",SUMIFS(상세표[18~22시],상세표[사번키],INDEX(합계표[사번키],$X564),상세표[반영월],대상월키,상세표[반영 기관],"서울병원"))</f>
        <v/>
      </c>
      <c r="Q564" s="20">
        <f>IF($X564="","",SUMIFS(상세표[22~06시],상세표[사번키],INDEX(합계표[사번키],$X564),상세표[반영월],대상월키,상세표[반영 기관],"서울병원"))</f>
        <v/>
      </c>
      <c r="R564" s="20">
        <f>IF($X564="","",SUM($N564:$Q564))</f>
        <v/>
      </c>
      <c r="S564">
        <f>IF($X564="","",COUNTIFS(상세표[사번키],INDEX(합계표[사번키],$X564),상세표[반영월],대상월키,상세표[야간당직],1,상세표[야간 구분],"평일"))</f>
        <v/>
      </c>
      <c r="T564">
        <f>IF($X564="","",COUNTIFS(상세표[사번키],INDEX(합계표[사번키],$X564),상세표[반영월],대상월키,상세표[야간당직],1,상세표[야간 구분],"휴일"))</f>
        <v/>
      </c>
      <c r="U564">
        <f>IF($X564="","",COUNTIFS(상세표[사번키],INDEX(합계표[사번키],$X564),상세표[반영월],대상월키,상세표[야간당직],1,상세표[야간 구분],"평일",상세표[반영 기관],"서울병원"))</f>
        <v/>
      </c>
      <c r="V564">
        <f>IF($X564="","",COUNTIFS(상세표[사번키],INDEX(합계표[사번키],$X564),상세표[반영월],대상월키,상세표[야간당직],1,상세표[야간 구분],"휴일",상세표[반영 기관],"서울병원"))</f>
        <v/>
      </c>
      <c r="W564">
        <f>IF($X564="","",IF(ISNUMBER(MATCH(INDEX(합계표[사번키],$X564)&amp;"|"&amp;대상월키,월별근무지표[키],0)),"직접 입력",IF($L564="—","—","기관명단")))</f>
        <v/>
      </c>
      <c r="X564" s="4">
        <f>IFERROR(MATCH(559,합계표[판정순번],0),"")</f>
        <v/>
      </c>
    </row>
    <row r="565">
      <c r="A565">
        <f>IF($X565="","",INDEX(합계표[사번],$X565)&amp;"")</f>
        <v/>
      </c>
      <c r="B565">
        <f>IF($X565="","",INDEX(합계표[성명],$X565)&amp;"")</f>
        <v/>
      </c>
      <c r="C565">
        <f>IF($X565="","",INDEX(합계표[부서],$X565)&amp;"")</f>
        <v/>
      </c>
      <c r="D565">
        <f>IF($X565="","",INDEX(합계표[직위(요약)],$X565)&amp;"")</f>
        <v/>
      </c>
      <c r="E565">
        <f>IF($X565="","",INDEX(합계표[직급 공존],$X565)&amp;"")</f>
        <v/>
      </c>
      <c r="F565" s="20">
        <f>IF($X565="","",SUMIFS(합계표[시스템 합계],합계표[사번키],INDEX(합계표[사번키],$X565)))</f>
        <v/>
      </c>
      <c r="G565" s="20">
        <f>IF($X565="","",SUMIFS(상세표[기록 시간외],상세표[사번키],INDEX(합계표[사번키],$X565),상세표[기록월],대상월키))</f>
        <v/>
      </c>
      <c r="H565">
        <f>IF($X565="","",IF(ABS($F565-$G565)&lt;0.01,"일치","불일치(차이 "&amp;TEXT($G565-$F565,"0.00")&amp;")"))</f>
        <v/>
      </c>
      <c r="I565" s="20">
        <f>IF($X565="","",SUMIFS(상세표[기록 시간외],상세표[사번키],INDEX(합계표[사번키],$X565),상세표[기록월],대상월키,상세표[반영월],"&lt;&gt;"&amp;대상월키))</f>
        <v/>
      </c>
      <c r="J565" s="20">
        <f>IF($X565="","",SUMIFS(상세표[기록 시간외],상세표[사번키],INDEX(합계표[사번키],$X565),상세표[기록월],"&lt;&gt;"&amp;대상월키,상세표[반영월],대상월키))</f>
        <v/>
      </c>
      <c r="K565" s="20">
        <f>IF($X565="","",SUMIFS(상세표[기록 시간외],상세표[사번키],INDEX(합계표[사번키],$X565),상세표[반영월],대상월키))</f>
        <v/>
      </c>
      <c r="L565">
        <f>IF($X565="","",IFERROR(INDEX(월별근무지표[적용 급여병원],MATCH(INDEX(합계표[사번키],$X565)&amp;"|"&amp;대상월키,월별근무지표[키],0))&amp;"",IF(COUNTIF(기관표[사번키],INDEX(합계표[사번키],$X565))+COUNTIF(월별근무지표[사번키],INDEX(합계표[사번키],$X565))&gt;0,IFERROR(INDEX(기관표[급여지급병원(기준월)],MATCH(INDEX(합계표[사번키],$X565)&amp;"|"&amp;대상월키,기관표[키],0))&amp;"","—"),"—")))</f>
        <v/>
      </c>
      <c r="M565">
        <f>IF($X565="","",IF(NOT(COUNTIF(기관표[사번키],INDEX(합계표[사번키],$X565))+COUNTIF(월별근무지표[사번키],INDEX(합계표[사번키],$X565))&gt;0),"기관명단에 없음(다른 병원으로 발송)",IF($L565="서울병원","해당",IF(N($R565)&gt;0,"해당(말일 근무)",IF($L565="—","대상월 기관명단 없음(추가 필요)","비해당")))))</f>
        <v/>
      </c>
      <c r="N565" s="20">
        <f>IF($X565="","",SUMIFS(상세표[06~07시],상세표[사번키],INDEX(합계표[사번키],$X565),상세표[반영월],대상월키,상세표[반영 기관],"서울병원"))</f>
        <v/>
      </c>
      <c r="O565" s="20">
        <f>IF($X565="","",SUMIFS(상세표[07~18시],상세표[사번키],INDEX(합계표[사번키],$X565),상세표[반영월],대상월키,상세표[반영 기관],"서울병원"))</f>
        <v/>
      </c>
      <c r="P565" s="20">
        <f>IF($X565="","",SUMIFS(상세표[18~22시],상세표[사번키],INDEX(합계표[사번키],$X565),상세표[반영월],대상월키,상세표[반영 기관],"서울병원"))</f>
        <v/>
      </c>
      <c r="Q565" s="20">
        <f>IF($X565="","",SUMIFS(상세표[22~06시],상세표[사번키],INDEX(합계표[사번키],$X565),상세표[반영월],대상월키,상세표[반영 기관],"서울병원"))</f>
        <v/>
      </c>
      <c r="R565" s="20">
        <f>IF($X565="","",SUM($N565:$Q565))</f>
        <v/>
      </c>
      <c r="S565">
        <f>IF($X565="","",COUNTIFS(상세표[사번키],INDEX(합계표[사번키],$X565),상세표[반영월],대상월키,상세표[야간당직],1,상세표[야간 구분],"평일"))</f>
        <v/>
      </c>
      <c r="T565">
        <f>IF($X565="","",COUNTIFS(상세표[사번키],INDEX(합계표[사번키],$X565),상세표[반영월],대상월키,상세표[야간당직],1,상세표[야간 구분],"휴일"))</f>
        <v/>
      </c>
      <c r="U565">
        <f>IF($X565="","",COUNTIFS(상세표[사번키],INDEX(합계표[사번키],$X565),상세표[반영월],대상월키,상세표[야간당직],1,상세표[야간 구분],"평일",상세표[반영 기관],"서울병원"))</f>
        <v/>
      </c>
      <c r="V565">
        <f>IF($X565="","",COUNTIFS(상세표[사번키],INDEX(합계표[사번키],$X565),상세표[반영월],대상월키,상세표[야간당직],1,상세표[야간 구분],"휴일",상세표[반영 기관],"서울병원"))</f>
        <v/>
      </c>
      <c r="W565">
        <f>IF($X565="","",IF(ISNUMBER(MATCH(INDEX(합계표[사번키],$X565)&amp;"|"&amp;대상월키,월별근무지표[키],0)),"직접 입력",IF($L565="—","—","기관명단")))</f>
        <v/>
      </c>
      <c r="X565" s="4">
        <f>IFERROR(MATCH(560,합계표[판정순번],0),"")</f>
        <v/>
      </c>
    </row>
    <row r="566">
      <c r="A566">
        <f>IF($X566="","",INDEX(합계표[사번],$X566)&amp;"")</f>
        <v/>
      </c>
      <c r="B566">
        <f>IF($X566="","",INDEX(합계표[성명],$X566)&amp;"")</f>
        <v/>
      </c>
      <c r="C566">
        <f>IF($X566="","",INDEX(합계표[부서],$X566)&amp;"")</f>
        <v/>
      </c>
      <c r="D566">
        <f>IF($X566="","",INDEX(합계표[직위(요약)],$X566)&amp;"")</f>
        <v/>
      </c>
      <c r="E566">
        <f>IF($X566="","",INDEX(합계표[직급 공존],$X566)&amp;"")</f>
        <v/>
      </c>
      <c r="F566" s="20">
        <f>IF($X566="","",SUMIFS(합계표[시스템 합계],합계표[사번키],INDEX(합계표[사번키],$X566)))</f>
        <v/>
      </c>
      <c r="G566" s="20">
        <f>IF($X566="","",SUMIFS(상세표[기록 시간외],상세표[사번키],INDEX(합계표[사번키],$X566),상세표[기록월],대상월키))</f>
        <v/>
      </c>
      <c r="H566">
        <f>IF($X566="","",IF(ABS($F566-$G566)&lt;0.01,"일치","불일치(차이 "&amp;TEXT($G566-$F566,"0.00")&amp;")"))</f>
        <v/>
      </c>
      <c r="I566" s="20">
        <f>IF($X566="","",SUMIFS(상세표[기록 시간외],상세표[사번키],INDEX(합계표[사번키],$X566),상세표[기록월],대상월키,상세표[반영월],"&lt;&gt;"&amp;대상월키))</f>
        <v/>
      </c>
      <c r="J566" s="20">
        <f>IF($X566="","",SUMIFS(상세표[기록 시간외],상세표[사번키],INDEX(합계표[사번키],$X566),상세표[기록월],"&lt;&gt;"&amp;대상월키,상세표[반영월],대상월키))</f>
        <v/>
      </c>
      <c r="K566" s="20">
        <f>IF($X566="","",SUMIFS(상세표[기록 시간외],상세표[사번키],INDEX(합계표[사번키],$X566),상세표[반영월],대상월키))</f>
        <v/>
      </c>
      <c r="L566">
        <f>IF($X566="","",IFERROR(INDEX(월별근무지표[적용 급여병원],MATCH(INDEX(합계표[사번키],$X566)&amp;"|"&amp;대상월키,월별근무지표[키],0))&amp;"",IF(COUNTIF(기관표[사번키],INDEX(합계표[사번키],$X566))+COUNTIF(월별근무지표[사번키],INDEX(합계표[사번키],$X566))&gt;0,IFERROR(INDEX(기관표[급여지급병원(기준월)],MATCH(INDEX(합계표[사번키],$X566)&amp;"|"&amp;대상월키,기관표[키],0))&amp;"","—"),"—")))</f>
        <v/>
      </c>
      <c r="M566">
        <f>IF($X566="","",IF(NOT(COUNTIF(기관표[사번키],INDEX(합계표[사번키],$X566))+COUNTIF(월별근무지표[사번키],INDEX(합계표[사번키],$X566))&gt;0),"기관명단에 없음(다른 병원으로 발송)",IF($L566="서울병원","해당",IF(N($R566)&gt;0,"해당(말일 근무)",IF($L566="—","대상월 기관명단 없음(추가 필요)","비해당")))))</f>
        <v/>
      </c>
      <c r="N566" s="20">
        <f>IF($X566="","",SUMIFS(상세표[06~07시],상세표[사번키],INDEX(합계표[사번키],$X566),상세표[반영월],대상월키,상세표[반영 기관],"서울병원"))</f>
        <v/>
      </c>
      <c r="O566" s="20">
        <f>IF($X566="","",SUMIFS(상세표[07~18시],상세표[사번키],INDEX(합계표[사번키],$X566),상세표[반영월],대상월키,상세표[반영 기관],"서울병원"))</f>
        <v/>
      </c>
      <c r="P566" s="20">
        <f>IF($X566="","",SUMIFS(상세표[18~22시],상세표[사번키],INDEX(합계표[사번키],$X566),상세표[반영월],대상월키,상세표[반영 기관],"서울병원"))</f>
        <v/>
      </c>
      <c r="Q566" s="20">
        <f>IF($X566="","",SUMIFS(상세표[22~06시],상세표[사번키],INDEX(합계표[사번키],$X566),상세표[반영월],대상월키,상세표[반영 기관],"서울병원"))</f>
        <v/>
      </c>
      <c r="R566" s="20">
        <f>IF($X566="","",SUM($N566:$Q566))</f>
        <v/>
      </c>
      <c r="S566">
        <f>IF($X566="","",COUNTIFS(상세표[사번키],INDEX(합계표[사번키],$X566),상세표[반영월],대상월키,상세표[야간당직],1,상세표[야간 구분],"평일"))</f>
        <v/>
      </c>
      <c r="T566">
        <f>IF($X566="","",COUNTIFS(상세표[사번키],INDEX(합계표[사번키],$X566),상세표[반영월],대상월키,상세표[야간당직],1,상세표[야간 구분],"휴일"))</f>
        <v/>
      </c>
      <c r="U566">
        <f>IF($X566="","",COUNTIFS(상세표[사번키],INDEX(합계표[사번키],$X566),상세표[반영월],대상월키,상세표[야간당직],1,상세표[야간 구분],"평일",상세표[반영 기관],"서울병원"))</f>
        <v/>
      </c>
      <c r="V566">
        <f>IF($X566="","",COUNTIFS(상세표[사번키],INDEX(합계표[사번키],$X566),상세표[반영월],대상월키,상세표[야간당직],1,상세표[야간 구분],"휴일",상세표[반영 기관],"서울병원"))</f>
        <v/>
      </c>
      <c r="W566">
        <f>IF($X566="","",IF(ISNUMBER(MATCH(INDEX(합계표[사번키],$X566)&amp;"|"&amp;대상월키,월별근무지표[키],0)),"직접 입력",IF($L566="—","—","기관명단")))</f>
        <v/>
      </c>
      <c r="X566" s="4">
        <f>IFERROR(MATCH(561,합계표[판정순번],0),"")</f>
        <v/>
      </c>
    </row>
    <row r="567">
      <c r="A567">
        <f>IF($X567="","",INDEX(합계표[사번],$X567)&amp;"")</f>
        <v/>
      </c>
      <c r="B567">
        <f>IF($X567="","",INDEX(합계표[성명],$X567)&amp;"")</f>
        <v/>
      </c>
      <c r="C567">
        <f>IF($X567="","",INDEX(합계표[부서],$X567)&amp;"")</f>
        <v/>
      </c>
      <c r="D567">
        <f>IF($X567="","",INDEX(합계표[직위(요약)],$X567)&amp;"")</f>
        <v/>
      </c>
      <c r="E567">
        <f>IF($X567="","",INDEX(합계표[직급 공존],$X567)&amp;"")</f>
        <v/>
      </c>
      <c r="F567" s="20">
        <f>IF($X567="","",SUMIFS(합계표[시스템 합계],합계표[사번키],INDEX(합계표[사번키],$X567)))</f>
        <v/>
      </c>
      <c r="G567" s="20">
        <f>IF($X567="","",SUMIFS(상세표[기록 시간외],상세표[사번키],INDEX(합계표[사번키],$X567),상세표[기록월],대상월키))</f>
        <v/>
      </c>
      <c r="H567">
        <f>IF($X567="","",IF(ABS($F567-$G567)&lt;0.01,"일치","불일치(차이 "&amp;TEXT($G567-$F567,"0.00")&amp;")"))</f>
        <v/>
      </c>
      <c r="I567" s="20">
        <f>IF($X567="","",SUMIFS(상세표[기록 시간외],상세표[사번키],INDEX(합계표[사번키],$X567),상세표[기록월],대상월키,상세표[반영월],"&lt;&gt;"&amp;대상월키))</f>
        <v/>
      </c>
      <c r="J567" s="20">
        <f>IF($X567="","",SUMIFS(상세표[기록 시간외],상세표[사번키],INDEX(합계표[사번키],$X567),상세표[기록월],"&lt;&gt;"&amp;대상월키,상세표[반영월],대상월키))</f>
        <v/>
      </c>
      <c r="K567" s="20">
        <f>IF($X567="","",SUMIFS(상세표[기록 시간외],상세표[사번키],INDEX(합계표[사번키],$X567),상세표[반영월],대상월키))</f>
        <v/>
      </c>
      <c r="L567">
        <f>IF($X567="","",IFERROR(INDEX(월별근무지표[적용 급여병원],MATCH(INDEX(합계표[사번키],$X567)&amp;"|"&amp;대상월키,월별근무지표[키],0))&amp;"",IF(COUNTIF(기관표[사번키],INDEX(합계표[사번키],$X567))+COUNTIF(월별근무지표[사번키],INDEX(합계표[사번키],$X567))&gt;0,IFERROR(INDEX(기관표[급여지급병원(기준월)],MATCH(INDEX(합계표[사번키],$X567)&amp;"|"&amp;대상월키,기관표[키],0))&amp;"","—"),"—")))</f>
        <v/>
      </c>
      <c r="M567">
        <f>IF($X567="","",IF(NOT(COUNTIF(기관표[사번키],INDEX(합계표[사번키],$X567))+COUNTIF(월별근무지표[사번키],INDEX(합계표[사번키],$X567))&gt;0),"기관명단에 없음(다른 병원으로 발송)",IF($L567="서울병원","해당",IF(N($R567)&gt;0,"해당(말일 근무)",IF($L567="—","대상월 기관명단 없음(추가 필요)","비해당")))))</f>
        <v/>
      </c>
      <c r="N567" s="20">
        <f>IF($X567="","",SUMIFS(상세표[06~07시],상세표[사번키],INDEX(합계표[사번키],$X567),상세표[반영월],대상월키,상세표[반영 기관],"서울병원"))</f>
        <v/>
      </c>
      <c r="O567" s="20">
        <f>IF($X567="","",SUMIFS(상세표[07~18시],상세표[사번키],INDEX(합계표[사번키],$X567),상세표[반영월],대상월키,상세표[반영 기관],"서울병원"))</f>
        <v/>
      </c>
      <c r="P567" s="20">
        <f>IF($X567="","",SUMIFS(상세표[18~22시],상세표[사번키],INDEX(합계표[사번키],$X567),상세표[반영월],대상월키,상세표[반영 기관],"서울병원"))</f>
        <v/>
      </c>
      <c r="Q567" s="20">
        <f>IF($X567="","",SUMIFS(상세표[22~06시],상세표[사번키],INDEX(합계표[사번키],$X567),상세표[반영월],대상월키,상세표[반영 기관],"서울병원"))</f>
        <v/>
      </c>
      <c r="R567" s="20">
        <f>IF($X567="","",SUM($N567:$Q567))</f>
        <v/>
      </c>
      <c r="S567">
        <f>IF($X567="","",COUNTIFS(상세표[사번키],INDEX(합계표[사번키],$X567),상세표[반영월],대상월키,상세표[야간당직],1,상세표[야간 구분],"평일"))</f>
        <v/>
      </c>
      <c r="T567">
        <f>IF($X567="","",COUNTIFS(상세표[사번키],INDEX(합계표[사번키],$X567),상세표[반영월],대상월키,상세표[야간당직],1,상세표[야간 구분],"휴일"))</f>
        <v/>
      </c>
      <c r="U567">
        <f>IF($X567="","",COUNTIFS(상세표[사번키],INDEX(합계표[사번키],$X567),상세표[반영월],대상월키,상세표[야간당직],1,상세표[야간 구분],"평일",상세표[반영 기관],"서울병원"))</f>
        <v/>
      </c>
      <c r="V567">
        <f>IF($X567="","",COUNTIFS(상세표[사번키],INDEX(합계표[사번키],$X567),상세표[반영월],대상월키,상세표[야간당직],1,상세표[야간 구분],"휴일",상세표[반영 기관],"서울병원"))</f>
        <v/>
      </c>
      <c r="W567">
        <f>IF($X567="","",IF(ISNUMBER(MATCH(INDEX(합계표[사번키],$X567)&amp;"|"&amp;대상월키,월별근무지표[키],0)),"직접 입력",IF($L567="—","—","기관명단")))</f>
        <v/>
      </c>
      <c r="X567" s="4">
        <f>IFERROR(MATCH(562,합계표[판정순번],0),"")</f>
        <v/>
      </c>
    </row>
    <row r="568">
      <c r="A568">
        <f>IF($X568="","",INDEX(합계표[사번],$X568)&amp;"")</f>
        <v/>
      </c>
      <c r="B568">
        <f>IF($X568="","",INDEX(합계표[성명],$X568)&amp;"")</f>
        <v/>
      </c>
      <c r="C568">
        <f>IF($X568="","",INDEX(합계표[부서],$X568)&amp;"")</f>
        <v/>
      </c>
      <c r="D568">
        <f>IF($X568="","",INDEX(합계표[직위(요약)],$X568)&amp;"")</f>
        <v/>
      </c>
      <c r="E568">
        <f>IF($X568="","",INDEX(합계표[직급 공존],$X568)&amp;"")</f>
        <v/>
      </c>
      <c r="F568" s="20">
        <f>IF($X568="","",SUMIFS(합계표[시스템 합계],합계표[사번키],INDEX(합계표[사번키],$X568)))</f>
        <v/>
      </c>
      <c r="G568" s="20">
        <f>IF($X568="","",SUMIFS(상세표[기록 시간외],상세표[사번키],INDEX(합계표[사번키],$X568),상세표[기록월],대상월키))</f>
        <v/>
      </c>
      <c r="H568">
        <f>IF($X568="","",IF(ABS($F568-$G568)&lt;0.01,"일치","불일치(차이 "&amp;TEXT($G568-$F568,"0.00")&amp;")"))</f>
        <v/>
      </c>
      <c r="I568" s="20">
        <f>IF($X568="","",SUMIFS(상세표[기록 시간외],상세표[사번키],INDEX(합계표[사번키],$X568),상세표[기록월],대상월키,상세표[반영월],"&lt;&gt;"&amp;대상월키))</f>
        <v/>
      </c>
      <c r="J568" s="20">
        <f>IF($X568="","",SUMIFS(상세표[기록 시간외],상세표[사번키],INDEX(합계표[사번키],$X568),상세표[기록월],"&lt;&gt;"&amp;대상월키,상세표[반영월],대상월키))</f>
        <v/>
      </c>
      <c r="K568" s="20">
        <f>IF($X568="","",SUMIFS(상세표[기록 시간외],상세표[사번키],INDEX(합계표[사번키],$X568),상세표[반영월],대상월키))</f>
        <v/>
      </c>
      <c r="L568">
        <f>IF($X568="","",IFERROR(INDEX(월별근무지표[적용 급여병원],MATCH(INDEX(합계표[사번키],$X568)&amp;"|"&amp;대상월키,월별근무지표[키],0))&amp;"",IF(COUNTIF(기관표[사번키],INDEX(합계표[사번키],$X568))+COUNTIF(월별근무지표[사번키],INDEX(합계표[사번키],$X568))&gt;0,IFERROR(INDEX(기관표[급여지급병원(기준월)],MATCH(INDEX(합계표[사번키],$X568)&amp;"|"&amp;대상월키,기관표[키],0))&amp;"","—"),"—")))</f>
        <v/>
      </c>
      <c r="M568">
        <f>IF($X568="","",IF(NOT(COUNTIF(기관표[사번키],INDEX(합계표[사번키],$X568))+COUNTIF(월별근무지표[사번키],INDEX(합계표[사번키],$X568))&gt;0),"기관명단에 없음(다른 병원으로 발송)",IF($L568="서울병원","해당",IF(N($R568)&gt;0,"해당(말일 근무)",IF($L568="—","대상월 기관명단 없음(추가 필요)","비해당")))))</f>
        <v/>
      </c>
      <c r="N568" s="20">
        <f>IF($X568="","",SUMIFS(상세표[06~07시],상세표[사번키],INDEX(합계표[사번키],$X568),상세표[반영월],대상월키,상세표[반영 기관],"서울병원"))</f>
        <v/>
      </c>
      <c r="O568" s="20">
        <f>IF($X568="","",SUMIFS(상세표[07~18시],상세표[사번키],INDEX(합계표[사번키],$X568),상세표[반영월],대상월키,상세표[반영 기관],"서울병원"))</f>
        <v/>
      </c>
      <c r="P568" s="20">
        <f>IF($X568="","",SUMIFS(상세표[18~22시],상세표[사번키],INDEX(합계표[사번키],$X568),상세표[반영월],대상월키,상세표[반영 기관],"서울병원"))</f>
        <v/>
      </c>
      <c r="Q568" s="20">
        <f>IF($X568="","",SUMIFS(상세표[22~06시],상세표[사번키],INDEX(합계표[사번키],$X568),상세표[반영월],대상월키,상세표[반영 기관],"서울병원"))</f>
        <v/>
      </c>
      <c r="R568" s="20">
        <f>IF($X568="","",SUM($N568:$Q568))</f>
        <v/>
      </c>
      <c r="S568">
        <f>IF($X568="","",COUNTIFS(상세표[사번키],INDEX(합계표[사번키],$X568),상세표[반영월],대상월키,상세표[야간당직],1,상세표[야간 구분],"평일"))</f>
        <v/>
      </c>
      <c r="T568">
        <f>IF($X568="","",COUNTIFS(상세표[사번키],INDEX(합계표[사번키],$X568),상세표[반영월],대상월키,상세표[야간당직],1,상세표[야간 구분],"휴일"))</f>
        <v/>
      </c>
      <c r="U568">
        <f>IF($X568="","",COUNTIFS(상세표[사번키],INDEX(합계표[사번키],$X568),상세표[반영월],대상월키,상세표[야간당직],1,상세표[야간 구분],"평일",상세표[반영 기관],"서울병원"))</f>
        <v/>
      </c>
      <c r="V568">
        <f>IF($X568="","",COUNTIFS(상세표[사번키],INDEX(합계표[사번키],$X568),상세표[반영월],대상월키,상세표[야간당직],1,상세표[야간 구분],"휴일",상세표[반영 기관],"서울병원"))</f>
        <v/>
      </c>
      <c r="W568">
        <f>IF($X568="","",IF(ISNUMBER(MATCH(INDEX(합계표[사번키],$X568)&amp;"|"&amp;대상월키,월별근무지표[키],0)),"직접 입력",IF($L568="—","—","기관명단")))</f>
        <v/>
      </c>
      <c r="X568" s="4">
        <f>IFERROR(MATCH(563,합계표[판정순번],0),"")</f>
        <v/>
      </c>
    </row>
    <row r="569">
      <c r="A569">
        <f>IF($X569="","",INDEX(합계표[사번],$X569)&amp;"")</f>
        <v/>
      </c>
      <c r="B569">
        <f>IF($X569="","",INDEX(합계표[성명],$X569)&amp;"")</f>
        <v/>
      </c>
      <c r="C569">
        <f>IF($X569="","",INDEX(합계표[부서],$X569)&amp;"")</f>
        <v/>
      </c>
      <c r="D569">
        <f>IF($X569="","",INDEX(합계표[직위(요약)],$X569)&amp;"")</f>
        <v/>
      </c>
      <c r="E569">
        <f>IF($X569="","",INDEX(합계표[직급 공존],$X569)&amp;"")</f>
        <v/>
      </c>
      <c r="F569" s="20">
        <f>IF($X569="","",SUMIFS(합계표[시스템 합계],합계표[사번키],INDEX(합계표[사번키],$X569)))</f>
        <v/>
      </c>
      <c r="G569" s="20">
        <f>IF($X569="","",SUMIFS(상세표[기록 시간외],상세표[사번키],INDEX(합계표[사번키],$X569),상세표[기록월],대상월키))</f>
        <v/>
      </c>
      <c r="H569">
        <f>IF($X569="","",IF(ABS($F569-$G569)&lt;0.01,"일치","불일치(차이 "&amp;TEXT($G569-$F569,"0.00")&amp;")"))</f>
        <v/>
      </c>
      <c r="I569" s="20">
        <f>IF($X569="","",SUMIFS(상세표[기록 시간외],상세표[사번키],INDEX(합계표[사번키],$X569),상세표[기록월],대상월키,상세표[반영월],"&lt;&gt;"&amp;대상월키))</f>
        <v/>
      </c>
      <c r="J569" s="20">
        <f>IF($X569="","",SUMIFS(상세표[기록 시간외],상세표[사번키],INDEX(합계표[사번키],$X569),상세표[기록월],"&lt;&gt;"&amp;대상월키,상세표[반영월],대상월키))</f>
        <v/>
      </c>
      <c r="K569" s="20">
        <f>IF($X569="","",SUMIFS(상세표[기록 시간외],상세표[사번키],INDEX(합계표[사번키],$X569),상세표[반영월],대상월키))</f>
        <v/>
      </c>
      <c r="L569">
        <f>IF($X569="","",IFERROR(INDEX(월별근무지표[적용 급여병원],MATCH(INDEX(합계표[사번키],$X569)&amp;"|"&amp;대상월키,월별근무지표[키],0))&amp;"",IF(COUNTIF(기관표[사번키],INDEX(합계표[사번키],$X569))+COUNTIF(월별근무지표[사번키],INDEX(합계표[사번키],$X569))&gt;0,IFERROR(INDEX(기관표[급여지급병원(기준월)],MATCH(INDEX(합계표[사번키],$X569)&amp;"|"&amp;대상월키,기관표[키],0))&amp;"","—"),"—")))</f>
        <v/>
      </c>
      <c r="M569">
        <f>IF($X569="","",IF(NOT(COUNTIF(기관표[사번키],INDEX(합계표[사번키],$X569))+COUNTIF(월별근무지표[사번키],INDEX(합계표[사번키],$X569))&gt;0),"기관명단에 없음(다른 병원으로 발송)",IF($L569="서울병원","해당",IF(N($R569)&gt;0,"해당(말일 근무)",IF($L569="—","대상월 기관명단 없음(추가 필요)","비해당")))))</f>
        <v/>
      </c>
      <c r="N569" s="20">
        <f>IF($X569="","",SUMIFS(상세표[06~07시],상세표[사번키],INDEX(합계표[사번키],$X569),상세표[반영월],대상월키,상세표[반영 기관],"서울병원"))</f>
        <v/>
      </c>
      <c r="O569" s="20">
        <f>IF($X569="","",SUMIFS(상세표[07~18시],상세표[사번키],INDEX(합계표[사번키],$X569),상세표[반영월],대상월키,상세표[반영 기관],"서울병원"))</f>
        <v/>
      </c>
      <c r="P569" s="20">
        <f>IF($X569="","",SUMIFS(상세표[18~22시],상세표[사번키],INDEX(합계표[사번키],$X569),상세표[반영월],대상월키,상세표[반영 기관],"서울병원"))</f>
        <v/>
      </c>
      <c r="Q569" s="20">
        <f>IF($X569="","",SUMIFS(상세표[22~06시],상세표[사번키],INDEX(합계표[사번키],$X569),상세표[반영월],대상월키,상세표[반영 기관],"서울병원"))</f>
        <v/>
      </c>
      <c r="R569" s="20">
        <f>IF($X569="","",SUM($N569:$Q569))</f>
        <v/>
      </c>
      <c r="S569">
        <f>IF($X569="","",COUNTIFS(상세표[사번키],INDEX(합계표[사번키],$X569),상세표[반영월],대상월키,상세표[야간당직],1,상세표[야간 구분],"평일"))</f>
        <v/>
      </c>
      <c r="T569">
        <f>IF($X569="","",COUNTIFS(상세표[사번키],INDEX(합계표[사번키],$X569),상세표[반영월],대상월키,상세표[야간당직],1,상세표[야간 구분],"휴일"))</f>
        <v/>
      </c>
      <c r="U569">
        <f>IF($X569="","",COUNTIFS(상세표[사번키],INDEX(합계표[사번키],$X569),상세표[반영월],대상월키,상세표[야간당직],1,상세표[야간 구분],"평일",상세표[반영 기관],"서울병원"))</f>
        <v/>
      </c>
      <c r="V569">
        <f>IF($X569="","",COUNTIFS(상세표[사번키],INDEX(합계표[사번키],$X569),상세표[반영월],대상월키,상세표[야간당직],1,상세표[야간 구분],"휴일",상세표[반영 기관],"서울병원"))</f>
        <v/>
      </c>
      <c r="W569">
        <f>IF($X569="","",IF(ISNUMBER(MATCH(INDEX(합계표[사번키],$X569)&amp;"|"&amp;대상월키,월별근무지표[키],0)),"직접 입력",IF($L569="—","—","기관명단")))</f>
        <v/>
      </c>
      <c r="X569" s="4">
        <f>IFERROR(MATCH(564,합계표[판정순번],0),"")</f>
        <v/>
      </c>
    </row>
    <row r="570">
      <c r="A570">
        <f>IF($X570="","",INDEX(합계표[사번],$X570)&amp;"")</f>
        <v/>
      </c>
      <c r="B570">
        <f>IF($X570="","",INDEX(합계표[성명],$X570)&amp;"")</f>
        <v/>
      </c>
      <c r="C570">
        <f>IF($X570="","",INDEX(합계표[부서],$X570)&amp;"")</f>
        <v/>
      </c>
      <c r="D570">
        <f>IF($X570="","",INDEX(합계표[직위(요약)],$X570)&amp;"")</f>
        <v/>
      </c>
      <c r="E570">
        <f>IF($X570="","",INDEX(합계표[직급 공존],$X570)&amp;"")</f>
        <v/>
      </c>
      <c r="F570" s="20">
        <f>IF($X570="","",SUMIFS(합계표[시스템 합계],합계표[사번키],INDEX(합계표[사번키],$X570)))</f>
        <v/>
      </c>
      <c r="G570" s="20">
        <f>IF($X570="","",SUMIFS(상세표[기록 시간외],상세표[사번키],INDEX(합계표[사번키],$X570),상세표[기록월],대상월키))</f>
        <v/>
      </c>
      <c r="H570">
        <f>IF($X570="","",IF(ABS($F570-$G570)&lt;0.01,"일치","불일치(차이 "&amp;TEXT($G570-$F570,"0.00")&amp;")"))</f>
        <v/>
      </c>
      <c r="I570" s="20">
        <f>IF($X570="","",SUMIFS(상세표[기록 시간외],상세표[사번키],INDEX(합계표[사번키],$X570),상세표[기록월],대상월키,상세표[반영월],"&lt;&gt;"&amp;대상월키))</f>
        <v/>
      </c>
      <c r="J570" s="20">
        <f>IF($X570="","",SUMIFS(상세표[기록 시간외],상세표[사번키],INDEX(합계표[사번키],$X570),상세표[기록월],"&lt;&gt;"&amp;대상월키,상세표[반영월],대상월키))</f>
        <v/>
      </c>
      <c r="K570" s="20">
        <f>IF($X570="","",SUMIFS(상세표[기록 시간외],상세표[사번키],INDEX(합계표[사번키],$X570),상세표[반영월],대상월키))</f>
        <v/>
      </c>
      <c r="L570">
        <f>IF($X570="","",IFERROR(INDEX(월별근무지표[적용 급여병원],MATCH(INDEX(합계표[사번키],$X570)&amp;"|"&amp;대상월키,월별근무지표[키],0))&amp;"",IF(COUNTIF(기관표[사번키],INDEX(합계표[사번키],$X570))+COUNTIF(월별근무지표[사번키],INDEX(합계표[사번키],$X570))&gt;0,IFERROR(INDEX(기관표[급여지급병원(기준월)],MATCH(INDEX(합계표[사번키],$X570)&amp;"|"&amp;대상월키,기관표[키],0))&amp;"","—"),"—")))</f>
        <v/>
      </c>
      <c r="M570">
        <f>IF($X570="","",IF(NOT(COUNTIF(기관표[사번키],INDEX(합계표[사번키],$X570))+COUNTIF(월별근무지표[사번키],INDEX(합계표[사번키],$X570))&gt;0),"기관명단에 없음(다른 병원으로 발송)",IF($L570="서울병원","해당",IF(N($R570)&gt;0,"해당(말일 근무)",IF($L570="—","대상월 기관명단 없음(추가 필요)","비해당")))))</f>
        <v/>
      </c>
      <c r="N570" s="20">
        <f>IF($X570="","",SUMIFS(상세표[06~07시],상세표[사번키],INDEX(합계표[사번키],$X570),상세표[반영월],대상월키,상세표[반영 기관],"서울병원"))</f>
        <v/>
      </c>
      <c r="O570" s="20">
        <f>IF($X570="","",SUMIFS(상세표[07~18시],상세표[사번키],INDEX(합계표[사번키],$X570),상세표[반영월],대상월키,상세표[반영 기관],"서울병원"))</f>
        <v/>
      </c>
      <c r="P570" s="20">
        <f>IF($X570="","",SUMIFS(상세표[18~22시],상세표[사번키],INDEX(합계표[사번키],$X570),상세표[반영월],대상월키,상세표[반영 기관],"서울병원"))</f>
        <v/>
      </c>
      <c r="Q570" s="20">
        <f>IF($X570="","",SUMIFS(상세표[22~06시],상세표[사번키],INDEX(합계표[사번키],$X570),상세표[반영월],대상월키,상세표[반영 기관],"서울병원"))</f>
        <v/>
      </c>
      <c r="R570" s="20">
        <f>IF($X570="","",SUM($N570:$Q570))</f>
        <v/>
      </c>
      <c r="S570">
        <f>IF($X570="","",COUNTIFS(상세표[사번키],INDEX(합계표[사번키],$X570),상세표[반영월],대상월키,상세표[야간당직],1,상세표[야간 구분],"평일"))</f>
        <v/>
      </c>
      <c r="T570">
        <f>IF($X570="","",COUNTIFS(상세표[사번키],INDEX(합계표[사번키],$X570),상세표[반영월],대상월키,상세표[야간당직],1,상세표[야간 구분],"휴일"))</f>
        <v/>
      </c>
      <c r="U570">
        <f>IF($X570="","",COUNTIFS(상세표[사번키],INDEX(합계표[사번키],$X570),상세표[반영월],대상월키,상세표[야간당직],1,상세표[야간 구분],"평일",상세표[반영 기관],"서울병원"))</f>
        <v/>
      </c>
      <c r="V570">
        <f>IF($X570="","",COUNTIFS(상세표[사번키],INDEX(합계표[사번키],$X570),상세표[반영월],대상월키,상세표[야간당직],1,상세표[야간 구분],"휴일",상세표[반영 기관],"서울병원"))</f>
        <v/>
      </c>
      <c r="W570">
        <f>IF($X570="","",IF(ISNUMBER(MATCH(INDEX(합계표[사번키],$X570)&amp;"|"&amp;대상월키,월별근무지표[키],0)),"직접 입력",IF($L570="—","—","기관명단")))</f>
        <v/>
      </c>
      <c r="X570" s="4">
        <f>IFERROR(MATCH(565,합계표[판정순번],0),"")</f>
        <v/>
      </c>
    </row>
    <row r="571">
      <c r="A571">
        <f>IF($X571="","",INDEX(합계표[사번],$X571)&amp;"")</f>
        <v/>
      </c>
      <c r="B571">
        <f>IF($X571="","",INDEX(합계표[성명],$X571)&amp;"")</f>
        <v/>
      </c>
      <c r="C571">
        <f>IF($X571="","",INDEX(합계표[부서],$X571)&amp;"")</f>
        <v/>
      </c>
      <c r="D571">
        <f>IF($X571="","",INDEX(합계표[직위(요약)],$X571)&amp;"")</f>
        <v/>
      </c>
      <c r="E571">
        <f>IF($X571="","",INDEX(합계표[직급 공존],$X571)&amp;"")</f>
        <v/>
      </c>
      <c r="F571" s="20">
        <f>IF($X571="","",SUMIFS(합계표[시스템 합계],합계표[사번키],INDEX(합계표[사번키],$X571)))</f>
        <v/>
      </c>
      <c r="G571" s="20">
        <f>IF($X571="","",SUMIFS(상세표[기록 시간외],상세표[사번키],INDEX(합계표[사번키],$X571),상세표[기록월],대상월키))</f>
        <v/>
      </c>
      <c r="H571">
        <f>IF($X571="","",IF(ABS($F571-$G571)&lt;0.01,"일치","불일치(차이 "&amp;TEXT($G571-$F571,"0.00")&amp;")"))</f>
        <v/>
      </c>
      <c r="I571" s="20">
        <f>IF($X571="","",SUMIFS(상세표[기록 시간외],상세표[사번키],INDEX(합계표[사번키],$X571),상세표[기록월],대상월키,상세표[반영월],"&lt;&gt;"&amp;대상월키))</f>
        <v/>
      </c>
      <c r="J571" s="20">
        <f>IF($X571="","",SUMIFS(상세표[기록 시간외],상세표[사번키],INDEX(합계표[사번키],$X571),상세표[기록월],"&lt;&gt;"&amp;대상월키,상세표[반영월],대상월키))</f>
        <v/>
      </c>
      <c r="K571" s="20">
        <f>IF($X571="","",SUMIFS(상세표[기록 시간외],상세표[사번키],INDEX(합계표[사번키],$X571),상세표[반영월],대상월키))</f>
        <v/>
      </c>
      <c r="L571">
        <f>IF($X571="","",IFERROR(INDEX(월별근무지표[적용 급여병원],MATCH(INDEX(합계표[사번키],$X571)&amp;"|"&amp;대상월키,월별근무지표[키],0))&amp;"",IF(COUNTIF(기관표[사번키],INDEX(합계표[사번키],$X571))+COUNTIF(월별근무지표[사번키],INDEX(합계표[사번키],$X571))&gt;0,IFERROR(INDEX(기관표[급여지급병원(기준월)],MATCH(INDEX(합계표[사번키],$X571)&amp;"|"&amp;대상월키,기관표[키],0))&amp;"","—"),"—")))</f>
        <v/>
      </c>
      <c r="M571">
        <f>IF($X571="","",IF(NOT(COUNTIF(기관표[사번키],INDEX(합계표[사번키],$X571))+COUNTIF(월별근무지표[사번키],INDEX(합계표[사번키],$X571))&gt;0),"기관명단에 없음(다른 병원으로 발송)",IF($L571="서울병원","해당",IF(N($R571)&gt;0,"해당(말일 근무)",IF($L571="—","대상월 기관명단 없음(추가 필요)","비해당")))))</f>
        <v/>
      </c>
      <c r="N571" s="20">
        <f>IF($X571="","",SUMIFS(상세표[06~07시],상세표[사번키],INDEX(합계표[사번키],$X571),상세표[반영월],대상월키,상세표[반영 기관],"서울병원"))</f>
        <v/>
      </c>
      <c r="O571" s="20">
        <f>IF($X571="","",SUMIFS(상세표[07~18시],상세표[사번키],INDEX(합계표[사번키],$X571),상세표[반영월],대상월키,상세표[반영 기관],"서울병원"))</f>
        <v/>
      </c>
      <c r="P571" s="20">
        <f>IF($X571="","",SUMIFS(상세표[18~22시],상세표[사번키],INDEX(합계표[사번키],$X571),상세표[반영월],대상월키,상세표[반영 기관],"서울병원"))</f>
        <v/>
      </c>
      <c r="Q571" s="20">
        <f>IF($X571="","",SUMIFS(상세표[22~06시],상세표[사번키],INDEX(합계표[사번키],$X571),상세표[반영월],대상월키,상세표[반영 기관],"서울병원"))</f>
        <v/>
      </c>
      <c r="R571" s="20">
        <f>IF($X571="","",SUM($N571:$Q571))</f>
        <v/>
      </c>
      <c r="S571">
        <f>IF($X571="","",COUNTIFS(상세표[사번키],INDEX(합계표[사번키],$X571),상세표[반영월],대상월키,상세표[야간당직],1,상세표[야간 구분],"평일"))</f>
        <v/>
      </c>
      <c r="T571">
        <f>IF($X571="","",COUNTIFS(상세표[사번키],INDEX(합계표[사번키],$X571),상세표[반영월],대상월키,상세표[야간당직],1,상세표[야간 구분],"휴일"))</f>
        <v/>
      </c>
      <c r="U571">
        <f>IF($X571="","",COUNTIFS(상세표[사번키],INDEX(합계표[사번키],$X571),상세표[반영월],대상월키,상세표[야간당직],1,상세표[야간 구분],"평일",상세표[반영 기관],"서울병원"))</f>
        <v/>
      </c>
      <c r="V571">
        <f>IF($X571="","",COUNTIFS(상세표[사번키],INDEX(합계표[사번키],$X571),상세표[반영월],대상월키,상세표[야간당직],1,상세표[야간 구분],"휴일",상세표[반영 기관],"서울병원"))</f>
        <v/>
      </c>
      <c r="W571">
        <f>IF($X571="","",IF(ISNUMBER(MATCH(INDEX(합계표[사번키],$X571)&amp;"|"&amp;대상월키,월별근무지표[키],0)),"직접 입력",IF($L571="—","—","기관명단")))</f>
        <v/>
      </c>
      <c r="X571" s="4">
        <f>IFERROR(MATCH(566,합계표[판정순번],0),"")</f>
        <v/>
      </c>
    </row>
    <row r="572">
      <c r="A572">
        <f>IF($X572="","",INDEX(합계표[사번],$X572)&amp;"")</f>
        <v/>
      </c>
      <c r="B572">
        <f>IF($X572="","",INDEX(합계표[성명],$X572)&amp;"")</f>
        <v/>
      </c>
      <c r="C572">
        <f>IF($X572="","",INDEX(합계표[부서],$X572)&amp;"")</f>
        <v/>
      </c>
      <c r="D572">
        <f>IF($X572="","",INDEX(합계표[직위(요약)],$X572)&amp;"")</f>
        <v/>
      </c>
      <c r="E572">
        <f>IF($X572="","",INDEX(합계표[직급 공존],$X572)&amp;"")</f>
        <v/>
      </c>
      <c r="F572" s="20">
        <f>IF($X572="","",SUMIFS(합계표[시스템 합계],합계표[사번키],INDEX(합계표[사번키],$X572)))</f>
        <v/>
      </c>
      <c r="G572" s="20">
        <f>IF($X572="","",SUMIFS(상세표[기록 시간외],상세표[사번키],INDEX(합계표[사번키],$X572),상세표[기록월],대상월키))</f>
        <v/>
      </c>
      <c r="H572">
        <f>IF($X572="","",IF(ABS($F572-$G572)&lt;0.01,"일치","불일치(차이 "&amp;TEXT($G572-$F572,"0.00")&amp;")"))</f>
        <v/>
      </c>
      <c r="I572" s="20">
        <f>IF($X572="","",SUMIFS(상세표[기록 시간외],상세표[사번키],INDEX(합계표[사번키],$X572),상세표[기록월],대상월키,상세표[반영월],"&lt;&gt;"&amp;대상월키))</f>
        <v/>
      </c>
      <c r="J572" s="20">
        <f>IF($X572="","",SUMIFS(상세표[기록 시간외],상세표[사번키],INDEX(합계표[사번키],$X572),상세표[기록월],"&lt;&gt;"&amp;대상월키,상세표[반영월],대상월키))</f>
        <v/>
      </c>
      <c r="K572" s="20">
        <f>IF($X572="","",SUMIFS(상세표[기록 시간외],상세표[사번키],INDEX(합계표[사번키],$X572),상세표[반영월],대상월키))</f>
        <v/>
      </c>
      <c r="L572">
        <f>IF($X572="","",IFERROR(INDEX(월별근무지표[적용 급여병원],MATCH(INDEX(합계표[사번키],$X572)&amp;"|"&amp;대상월키,월별근무지표[키],0))&amp;"",IF(COUNTIF(기관표[사번키],INDEX(합계표[사번키],$X572))+COUNTIF(월별근무지표[사번키],INDEX(합계표[사번키],$X572))&gt;0,IFERROR(INDEX(기관표[급여지급병원(기준월)],MATCH(INDEX(합계표[사번키],$X572)&amp;"|"&amp;대상월키,기관표[키],0))&amp;"","—"),"—")))</f>
        <v/>
      </c>
      <c r="M572">
        <f>IF($X572="","",IF(NOT(COUNTIF(기관표[사번키],INDEX(합계표[사번키],$X572))+COUNTIF(월별근무지표[사번키],INDEX(합계표[사번키],$X572))&gt;0),"기관명단에 없음(다른 병원으로 발송)",IF($L572="서울병원","해당",IF(N($R572)&gt;0,"해당(말일 근무)",IF($L572="—","대상월 기관명단 없음(추가 필요)","비해당")))))</f>
        <v/>
      </c>
      <c r="N572" s="20">
        <f>IF($X572="","",SUMIFS(상세표[06~07시],상세표[사번키],INDEX(합계표[사번키],$X572),상세표[반영월],대상월키,상세표[반영 기관],"서울병원"))</f>
        <v/>
      </c>
      <c r="O572" s="20">
        <f>IF($X572="","",SUMIFS(상세표[07~18시],상세표[사번키],INDEX(합계표[사번키],$X572),상세표[반영월],대상월키,상세표[반영 기관],"서울병원"))</f>
        <v/>
      </c>
      <c r="P572" s="20">
        <f>IF($X572="","",SUMIFS(상세표[18~22시],상세표[사번키],INDEX(합계표[사번키],$X572),상세표[반영월],대상월키,상세표[반영 기관],"서울병원"))</f>
        <v/>
      </c>
      <c r="Q572" s="20">
        <f>IF($X572="","",SUMIFS(상세표[22~06시],상세표[사번키],INDEX(합계표[사번키],$X572),상세표[반영월],대상월키,상세표[반영 기관],"서울병원"))</f>
        <v/>
      </c>
      <c r="R572" s="20">
        <f>IF($X572="","",SUM($N572:$Q572))</f>
        <v/>
      </c>
      <c r="S572">
        <f>IF($X572="","",COUNTIFS(상세표[사번키],INDEX(합계표[사번키],$X572),상세표[반영월],대상월키,상세표[야간당직],1,상세표[야간 구분],"평일"))</f>
        <v/>
      </c>
      <c r="T572">
        <f>IF($X572="","",COUNTIFS(상세표[사번키],INDEX(합계표[사번키],$X572),상세표[반영월],대상월키,상세표[야간당직],1,상세표[야간 구분],"휴일"))</f>
        <v/>
      </c>
      <c r="U572">
        <f>IF($X572="","",COUNTIFS(상세표[사번키],INDEX(합계표[사번키],$X572),상세표[반영월],대상월키,상세표[야간당직],1,상세표[야간 구분],"평일",상세표[반영 기관],"서울병원"))</f>
        <v/>
      </c>
      <c r="V572">
        <f>IF($X572="","",COUNTIFS(상세표[사번키],INDEX(합계표[사번키],$X572),상세표[반영월],대상월키,상세표[야간당직],1,상세표[야간 구분],"휴일",상세표[반영 기관],"서울병원"))</f>
        <v/>
      </c>
      <c r="W572">
        <f>IF($X572="","",IF(ISNUMBER(MATCH(INDEX(합계표[사번키],$X572)&amp;"|"&amp;대상월키,월별근무지표[키],0)),"직접 입력",IF($L572="—","—","기관명단")))</f>
        <v/>
      </c>
      <c r="X572" s="4">
        <f>IFERROR(MATCH(567,합계표[판정순번],0),"")</f>
        <v/>
      </c>
    </row>
    <row r="573">
      <c r="A573">
        <f>IF($X573="","",INDEX(합계표[사번],$X573)&amp;"")</f>
        <v/>
      </c>
      <c r="B573">
        <f>IF($X573="","",INDEX(합계표[성명],$X573)&amp;"")</f>
        <v/>
      </c>
      <c r="C573">
        <f>IF($X573="","",INDEX(합계표[부서],$X573)&amp;"")</f>
        <v/>
      </c>
      <c r="D573">
        <f>IF($X573="","",INDEX(합계표[직위(요약)],$X573)&amp;"")</f>
        <v/>
      </c>
      <c r="E573">
        <f>IF($X573="","",INDEX(합계표[직급 공존],$X573)&amp;"")</f>
        <v/>
      </c>
      <c r="F573" s="20">
        <f>IF($X573="","",SUMIFS(합계표[시스템 합계],합계표[사번키],INDEX(합계표[사번키],$X573)))</f>
        <v/>
      </c>
      <c r="G573" s="20">
        <f>IF($X573="","",SUMIFS(상세표[기록 시간외],상세표[사번키],INDEX(합계표[사번키],$X573),상세표[기록월],대상월키))</f>
        <v/>
      </c>
      <c r="H573">
        <f>IF($X573="","",IF(ABS($F573-$G573)&lt;0.01,"일치","불일치(차이 "&amp;TEXT($G573-$F573,"0.00")&amp;")"))</f>
        <v/>
      </c>
      <c r="I573" s="20">
        <f>IF($X573="","",SUMIFS(상세표[기록 시간외],상세표[사번키],INDEX(합계표[사번키],$X573),상세표[기록월],대상월키,상세표[반영월],"&lt;&gt;"&amp;대상월키))</f>
        <v/>
      </c>
      <c r="J573" s="20">
        <f>IF($X573="","",SUMIFS(상세표[기록 시간외],상세표[사번키],INDEX(합계표[사번키],$X573),상세표[기록월],"&lt;&gt;"&amp;대상월키,상세표[반영월],대상월키))</f>
        <v/>
      </c>
      <c r="K573" s="20">
        <f>IF($X573="","",SUMIFS(상세표[기록 시간외],상세표[사번키],INDEX(합계표[사번키],$X573),상세표[반영월],대상월키))</f>
        <v/>
      </c>
      <c r="L573">
        <f>IF($X573="","",IFERROR(INDEX(월별근무지표[적용 급여병원],MATCH(INDEX(합계표[사번키],$X573)&amp;"|"&amp;대상월키,월별근무지표[키],0))&amp;"",IF(COUNTIF(기관표[사번키],INDEX(합계표[사번키],$X573))+COUNTIF(월별근무지표[사번키],INDEX(합계표[사번키],$X573))&gt;0,IFERROR(INDEX(기관표[급여지급병원(기준월)],MATCH(INDEX(합계표[사번키],$X573)&amp;"|"&amp;대상월키,기관표[키],0))&amp;"","—"),"—")))</f>
        <v/>
      </c>
      <c r="M573">
        <f>IF($X573="","",IF(NOT(COUNTIF(기관표[사번키],INDEX(합계표[사번키],$X573))+COUNTIF(월별근무지표[사번키],INDEX(합계표[사번키],$X573))&gt;0),"기관명단에 없음(다른 병원으로 발송)",IF($L573="서울병원","해당",IF(N($R573)&gt;0,"해당(말일 근무)",IF($L573="—","대상월 기관명단 없음(추가 필요)","비해당")))))</f>
        <v/>
      </c>
      <c r="N573" s="20">
        <f>IF($X573="","",SUMIFS(상세표[06~07시],상세표[사번키],INDEX(합계표[사번키],$X573),상세표[반영월],대상월키,상세표[반영 기관],"서울병원"))</f>
        <v/>
      </c>
      <c r="O573" s="20">
        <f>IF($X573="","",SUMIFS(상세표[07~18시],상세표[사번키],INDEX(합계표[사번키],$X573),상세표[반영월],대상월키,상세표[반영 기관],"서울병원"))</f>
        <v/>
      </c>
      <c r="P573" s="20">
        <f>IF($X573="","",SUMIFS(상세표[18~22시],상세표[사번키],INDEX(합계표[사번키],$X573),상세표[반영월],대상월키,상세표[반영 기관],"서울병원"))</f>
        <v/>
      </c>
      <c r="Q573" s="20">
        <f>IF($X573="","",SUMIFS(상세표[22~06시],상세표[사번키],INDEX(합계표[사번키],$X573),상세표[반영월],대상월키,상세표[반영 기관],"서울병원"))</f>
        <v/>
      </c>
      <c r="R573" s="20">
        <f>IF($X573="","",SUM($N573:$Q573))</f>
        <v/>
      </c>
      <c r="S573">
        <f>IF($X573="","",COUNTIFS(상세표[사번키],INDEX(합계표[사번키],$X573),상세표[반영월],대상월키,상세표[야간당직],1,상세표[야간 구분],"평일"))</f>
        <v/>
      </c>
      <c r="T573">
        <f>IF($X573="","",COUNTIFS(상세표[사번키],INDEX(합계표[사번키],$X573),상세표[반영월],대상월키,상세표[야간당직],1,상세표[야간 구분],"휴일"))</f>
        <v/>
      </c>
      <c r="U573">
        <f>IF($X573="","",COUNTIFS(상세표[사번키],INDEX(합계표[사번키],$X573),상세표[반영월],대상월키,상세표[야간당직],1,상세표[야간 구분],"평일",상세표[반영 기관],"서울병원"))</f>
        <v/>
      </c>
      <c r="V573">
        <f>IF($X573="","",COUNTIFS(상세표[사번키],INDEX(합계표[사번키],$X573),상세표[반영월],대상월키,상세표[야간당직],1,상세표[야간 구분],"휴일",상세표[반영 기관],"서울병원"))</f>
        <v/>
      </c>
      <c r="W573">
        <f>IF($X573="","",IF(ISNUMBER(MATCH(INDEX(합계표[사번키],$X573)&amp;"|"&amp;대상월키,월별근무지표[키],0)),"직접 입력",IF($L573="—","—","기관명단")))</f>
        <v/>
      </c>
      <c r="X573" s="4">
        <f>IFERROR(MATCH(568,합계표[판정순번],0),"")</f>
        <v/>
      </c>
    </row>
    <row r="574">
      <c r="A574">
        <f>IF($X574="","",INDEX(합계표[사번],$X574)&amp;"")</f>
        <v/>
      </c>
      <c r="B574">
        <f>IF($X574="","",INDEX(합계표[성명],$X574)&amp;"")</f>
        <v/>
      </c>
      <c r="C574">
        <f>IF($X574="","",INDEX(합계표[부서],$X574)&amp;"")</f>
        <v/>
      </c>
      <c r="D574">
        <f>IF($X574="","",INDEX(합계표[직위(요약)],$X574)&amp;"")</f>
        <v/>
      </c>
      <c r="E574">
        <f>IF($X574="","",INDEX(합계표[직급 공존],$X574)&amp;"")</f>
        <v/>
      </c>
      <c r="F574" s="20">
        <f>IF($X574="","",SUMIFS(합계표[시스템 합계],합계표[사번키],INDEX(합계표[사번키],$X574)))</f>
        <v/>
      </c>
      <c r="G574" s="20">
        <f>IF($X574="","",SUMIFS(상세표[기록 시간외],상세표[사번키],INDEX(합계표[사번키],$X574),상세표[기록월],대상월키))</f>
        <v/>
      </c>
      <c r="H574">
        <f>IF($X574="","",IF(ABS($F574-$G574)&lt;0.01,"일치","불일치(차이 "&amp;TEXT($G574-$F574,"0.00")&amp;")"))</f>
        <v/>
      </c>
      <c r="I574" s="20">
        <f>IF($X574="","",SUMIFS(상세표[기록 시간외],상세표[사번키],INDEX(합계표[사번키],$X574),상세표[기록월],대상월키,상세표[반영월],"&lt;&gt;"&amp;대상월키))</f>
        <v/>
      </c>
      <c r="J574" s="20">
        <f>IF($X574="","",SUMIFS(상세표[기록 시간외],상세표[사번키],INDEX(합계표[사번키],$X574),상세표[기록월],"&lt;&gt;"&amp;대상월키,상세표[반영월],대상월키))</f>
        <v/>
      </c>
      <c r="K574" s="20">
        <f>IF($X574="","",SUMIFS(상세표[기록 시간외],상세표[사번키],INDEX(합계표[사번키],$X574),상세표[반영월],대상월키))</f>
        <v/>
      </c>
      <c r="L574">
        <f>IF($X574="","",IFERROR(INDEX(월별근무지표[적용 급여병원],MATCH(INDEX(합계표[사번키],$X574)&amp;"|"&amp;대상월키,월별근무지표[키],0))&amp;"",IF(COUNTIF(기관표[사번키],INDEX(합계표[사번키],$X574))+COUNTIF(월별근무지표[사번키],INDEX(합계표[사번키],$X574))&gt;0,IFERROR(INDEX(기관표[급여지급병원(기준월)],MATCH(INDEX(합계표[사번키],$X574)&amp;"|"&amp;대상월키,기관표[키],0))&amp;"","—"),"—")))</f>
        <v/>
      </c>
      <c r="M574">
        <f>IF($X574="","",IF(NOT(COUNTIF(기관표[사번키],INDEX(합계표[사번키],$X574))+COUNTIF(월별근무지표[사번키],INDEX(합계표[사번키],$X574))&gt;0),"기관명단에 없음(다른 병원으로 발송)",IF($L574="서울병원","해당",IF(N($R574)&gt;0,"해당(말일 근무)",IF($L574="—","대상월 기관명단 없음(추가 필요)","비해당")))))</f>
        <v/>
      </c>
      <c r="N574" s="20">
        <f>IF($X574="","",SUMIFS(상세표[06~07시],상세표[사번키],INDEX(합계표[사번키],$X574),상세표[반영월],대상월키,상세표[반영 기관],"서울병원"))</f>
        <v/>
      </c>
      <c r="O574" s="20">
        <f>IF($X574="","",SUMIFS(상세표[07~18시],상세표[사번키],INDEX(합계표[사번키],$X574),상세표[반영월],대상월키,상세표[반영 기관],"서울병원"))</f>
        <v/>
      </c>
      <c r="P574" s="20">
        <f>IF($X574="","",SUMIFS(상세표[18~22시],상세표[사번키],INDEX(합계표[사번키],$X574),상세표[반영월],대상월키,상세표[반영 기관],"서울병원"))</f>
        <v/>
      </c>
      <c r="Q574" s="20">
        <f>IF($X574="","",SUMIFS(상세표[22~06시],상세표[사번키],INDEX(합계표[사번키],$X574),상세표[반영월],대상월키,상세표[반영 기관],"서울병원"))</f>
        <v/>
      </c>
      <c r="R574" s="20">
        <f>IF($X574="","",SUM($N574:$Q574))</f>
        <v/>
      </c>
      <c r="S574">
        <f>IF($X574="","",COUNTIFS(상세표[사번키],INDEX(합계표[사번키],$X574),상세표[반영월],대상월키,상세표[야간당직],1,상세표[야간 구분],"평일"))</f>
        <v/>
      </c>
      <c r="T574">
        <f>IF($X574="","",COUNTIFS(상세표[사번키],INDEX(합계표[사번키],$X574),상세표[반영월],대상월키,상세표[야간당직],1,상세표[야간 구분],"휴일"))</f>
        <v/>
      </c>
      <c r="U574">
        <f>IF($X574="","",COUNTIFS(상세표[사번키],INDEX(합계표[사번키],$X574),상세표[반영월],대상월키,상세표[야간당직],1,상세표[야간 구분],"평일",상세표[반영 기관],"서울병원"))</f>
        <v/>
      </c>
      <c r="V574">
        <f>IF($X574="","",COUNTIFS(상세표[사번키],INDEX(합계표[사번키],$X574),상세표[반영월],대상월키,상세표[야간당직],1,상세표[야간 구분],"휴일",상세표[반영 기관],"서울병원"))</f>
        <v/>
      </c>
      <c r="W574">
        <f>IF($X574="","",IF(ISNUMBER(MATCH(INDEX(합계표[사번키],$X574)&amp;"|"&amp;대상월키,월별근무지표[키],0)),"직접 입력",IF($L574="—","—","기관명단")))</f>
        <v/>
      </c>
      <c r="X574" s="4">
        <f>IFERROR(MATCH(569,합계표[판정순번],0),"")</f>
        <v/>
      </c>
    </row>
    <row r="575">
      <c r="A575">
        <f>IF($X575="","",INDEX(합계표[사번],$X575)&amp;"")</f>
        <v/>
      </c>
      <c r="B575">
        <f>IF($X575="","",INDEX(합계표[성명],$X575)&amp;"")</f>
        <v/>
      </c>
      <c r="C575">
        <f>IF($X575="","",INDEX(합계표[부서],$X575)&amp;"")</f>
        <v/>
      </c>
      <c r="D575">
        <f>IF($X575="","",INDEX(합계표[직위(요약)],$X575)&amp;"")</f>
        <v/>
      </c>
      <c r="E575">
        <f>IF($X575="","",INDEX(합계표[직급 공존],$X575)&amp;"")</f>
        <v/>
      </c>
      <c r="F575" s="20">
        <f>IF($X575="","",SUMIFS(합계표[시스템 합계],합계표[사번키],INDEX(합계표[사번키],$X575)))</f>
        <v/>
      </c>
      <c r="G575" s="20">
        <f>IF($X575="","",SUMIFS(상세표[기록 시간외],상세표[사번키],INDEX(합계표[사번키],$X575),상세표[기록월],대상월키))</f>
        <v/>
      </c>
      <c r="H575">
        <f>IF($X575="","",IF(ABS($F575-$G575)&lt;0.01,"일치","불일치(차이 "&amp;TEXT($G575-$F575,"0.00")&amp;")"))</f>
        <v/>
      </c>
      <c r="I575" s="20">
        <f>IF($X575="","",SUMIFS(상세표[기록 시간외],상세표[사번키],INDEX(합계표[사번키],$X575),상세표[기록월],대상월키,상세표[반영월],"&lt;&gt;"&amp;대상월키))</f>
        <v/>
      </c>
      <c r="J575" s="20">
        <f>IF($X575="","",SUMIFS(상세표[기록 시간외],상세표[사번키],INDEX(합계표[사번키],$X575),상세표[기록월],"&lt;&gt;"&amp;대상월키,상세표[반영월],대상월키))</f>
        <v/>
      </c>
      <c r="K575" s="20">
        <f>IF($X575="","",SUMIFS(상세표[기록 시간외],상세표[사번키],INDEX(합계표[사번키],$X575),상세표[반영월],대상월키))</f>
        <v/>
      </c>
      <c r="L575">
        <f>IF($X575="","",IFERROR(INDEX(월별근무지표[적용 급여병원],MATCH(INDEX(합계표[사번키],$X575)&amp;"|"&amp;대상월키,월별근무지표[키],0))&amp;"",IF(COUNTIF(기관표[사번키],INDEX(합계표[사번키],$X575))+COUNTIF(월별근무지표[사번키],INDEX(합계표[사번키],$X575))&gt;0,IFERROR(INDEX(기관표[급여지급병원(기준월)],MATCH(INDEX(합계표[사번키],$X575)&amp;"|"&amp;대상월키,기관표[키],0))&amp;"","—"),"—")))</f>
        <v/>
      </c>
      <c r="M575">
        <f>IF($X575="","",IF(NOT(COUNTIF(기관표[사번키],INDEX(합계표[사번키],$X575))+COUNTIF(월별근무지표[사번키],INDEX(합계표[사번키],$X575))&gt;0),"기관명단에 없음(다른 병원으로 발송)",IF($L575="서울병원","해당",IF(N($R575)&gt;0,"해당(말일 근무)",IF($L575="—","대상월 기관명단 없음(추가 필요)","비해당")))))</f>
        <v/>
      </c>
      <c r="N575" s="20">
        <f>IF($X575="","",SUMIFS(상세표[06~07시],상세표[사번키],INDEX(합계표[사번키],$X575),상세표[반영월],대상월키,상세표[반영 기관],"서울병원"))</f>
        <v/>
      </c>
      <c r="O575" s="20">
        <f>IF($X575="","",SUMIFS(상세표[07~18시],상세표[사번키],INDEX(합계표[사번키],$X575),상세표[반영월],대상월키,상세표[반영 기관],"서울병원"))</f>
        <v/>
      </c>
      <c r="P575" s="20">
        <f>IF($X575="","",SUMIFS(상세표[18~22시],상세표[사번키],INDEX(합계표[사번키],$X575),상세표[반영월],대상월키,상세표[반영 기관],"서울병원"))</f>
        <v/>
      </c>
      <c r="Q575" s="20">
        <f>IF($X575="","",SUMIFS(상세표[22~06시],상세표[사번키],INDEX(합계표[사번키],$X575),상세표[반영월],대상월키,상세표[반영 기관],"서울병원"))</f>
        <v/>
      </c>
      <c r="R575" s="20">
        <f>IF($X575="","",SUM($N575:$Q575))</f>
        <v/>
      </c>
      <c r="S575">
        <f>IF($X575="","",COUNTIFS(상세표[사번키],INDEX(합계표[사번키],$X575),상세표[반영월],대상월키,상세표[야간당직],1,상세표[야간 구분],"평일"))</f>
        <v/>
      </c>
      <c r="T575">
        <f>IF($X575="","",COUNTIFS(상세표[사번키],INDEX(합계표[사번키],$X575),상세표[반영월],대상월키,상세표[야간당직],1,상세표[야간 구분],"휴일"))</f>
        <v/>
      </c>
      <c r="U575">
        <f>IF($X575="","",COUNTIFS(상세표[사번키],INDEX(합계표[사번키],$X575),상세표[반영월],대상월키,상세표[야간당직],1,상세표[야간 구분],"평일",상세표[반영 기관],"서울병원"))</f>
        <v/>
      </c>
      <c r="V575">
        <f>IF($X575="","",COUNTIFS(상세표[사번키],INDEX(합계표[사번키],$X575),상세표[반영월],대상월키,상세표[야간당직],1,상세표[야간 구분],"휴일",상세표[반영 기관],"서울병원"))</f>
        <v/>
      </c>
      <c r="W575">
        <f>IF($X575="","",IF(ISNUMBER(MATCH(INDEX(합계표[사번키],$X575)&amp;"|"&amp;대상월키,월별근무지표[키],0)),"직접 입력",IF($L575="—","—","기관명단")))</f>
        <v/>
      </c>
      <c r="X575" s="4">
        <f>IFERROR(MATCH(570,합계표[판정순번],0),"")</f>
        <v/>
      </c>
    </row>
    <row r="576">
      <c r="A576">
        <f>IF($X576="","",INDEX(합계표[사번],$X576)&amp;"")</f>
        <v/>
      </c>
      <c r="B576">
        <f>IF($X576="","",INDEX(합계표[성명],$X576)&amp;"")</f>
        <v/>
      </c>
      <c r="C576">
        <f>IF($X576="","",INDEX(합계표[부서],$X576)&amp;"")</f>
        <v/>
      </c>
      <c r="D576">
        <f>IF($X576="","",INDEX(합계표[직위(요약)],$X576)&amp;"")</f>
        <v/>
      </c>
      <c r="E576">
        <f>IF($X576="","",INDEX(합계표[직급 공존],$X576)&amp;"")</f>
        <v/>
      </c>
      <c r="F576" s="20">
        <f>IF($X576="","",SUMIFS(합계표[시스템 합계],합계표[사번키],INDEX(합계표[사번키],$X576)))</f>
        <v/>
      </c>
      <c r="G576" s="20">
        <f>IF($X576="","",SUMIFS(상세표[기록 시간외],상세표[사번키],INDEX(합계표[사번키],$X576),상세표[기록월],대상월키))</f>
        <v/>
      </c>
      <c r="H576">
        <f>IF($X576="","",IF(ABS($F576-$G576)&lt;0.01,"일치","불일치(차이 "&amp;TEXT($G576-$F576,"0.00")&amp;")"))</f>
        <v/>
      </c>
      <c r="I576" s="20">
        <f>IF($X576="","",SUMIFS(상세표[기록 시간외],상세표[사번키],INDEX(합계표[사번키],$X576),상세표[기록월],대상월키,상세표[반영월],"&lt;&gt;"&amp;대상월키))</f>
        <v/>
      </c>
      <c r="J576" s="20">
        <f>IF($X576="","",SUMIFS(상세표[기록 시간외],상세표[사번키],INDEX(합계표[사번키],$X576),상세표[기록월],"&lt;&gt;"&amp;대상월키,상세표[반영월],대상월키))</f>
        <v/>
      </c>
      <c r="K576" s="20">
        <f>IF($X576="","",SUMIFS(상세표[기록 시간외],상세표[사번키],INDEX(합계표[사번키],$X576),상세표[반영월],대상월키))</f>
        <v/>
      </c>
      <c r="L576">
        <f>IF($X576="","",IFERROR(INDEX(월별근무지표[적용 급여병원],MATCH(INDEX(합계표[사번키],$X576)&amp;"|"&amp;대상월키,월별근무지표[키],0))&amp;"",IF(COUNTIF(기관표[사번키],INDEX(합계표[사번키],$X576))+COUNTIF(월별근무지표[사번키],INDEX(합계표[사번키],$X576))&gt;0,IFERROR(INDEX(기관표[급여지급병원(기준월)],MATCH(INDEX(합계표[사번키],$X576)&amp;"|"&amp;대상월키,기관표[키],0))&amp;"","—"),"—")))</f>
        <v/>
      </c>
      <c r="M576">
        <f>IF($X576="","",IF(NOT(COUNTIF(기관표[사번키],INDEX(합계표[사번키],$X576))+COUNTIF(월별근무지표[사번키],INDEX(합계표[사번키],$X576))&gt;0),"기관명단에 없음(다른 병원으로 발송)",IF($L576="서울병원","해당",IF(N($R576)&gt;0,"해당(말일 근무)",IF($L576="—","대상월 기관명단 없음(추가 필요)","비해당")))))</f>
        <v/>
      </c>
      <c r="N576" s="20">
        <f>IF($X576="","",SUMIFS(상세표[06~07시],상세표[사번키],INDEX(합계표[사번키],$X576),상세표[반영월],대상월키,상세표[반영 기관],"서울병원"))</f>
        <v/>
      </c>
      <c r="O576" s="20">
        <f>IF($X576="","",SUMIFS(상세표[07~18시],상세표[사번키],INDEX(합계표[사번키],$X576),상세표[반영월],대상월키,상세표[반영 기관],"서울병원"))</f>
        <v/>
      </c>
      <c r="P576" s="20">
        <f>IF($X576="","",SUMIFS(상세표[18~22시],상세표[사번키],INDEX(합계표[사번키],$X576),상세표[반영월],대상월키,상세표[반영 기관],"서울병원"))</f>
        <v/>
      </c>
      <c r="Q576" s="20">
        <f>IF($X576="","",SUMIFS(상세표[22~06시],상세표[사번키],INDEX(합계표[사번키],$X576),상세표[반영월],대상월키,상세표[반영 기관],"서울병원"))</f>
        <v/>
      </c>
      <c r="R576" s="20">
        <f>IF($X576="","",SUM($N576:$Q576))</f>
        <v/>
      </c>
      <c r="S576">
        <f>IF($X576="","",COUNTIFS(상세표[사번키],INDEX(합계표[사번키],$X576),상세표[반영월],대상월키,상세표[야간당직],1,상세표[야간 구분],"평일"))</f>
        <v/>
      </c>
      <c r="T576">
        <f>IF($X576="","",COUNTIFS(상세표[사번키],INDEX(합계표[사번키],$X576),상세표[반영월],대상월키,상세표[야간당직],1,상세표[야간 구분],"휴일"))</f>
        <v/>
      </c>
      <c r="U576">
        <f>IF($X576="","",COUNTIFS(상세표[사번키],INDEX(합계표[사번키],$X576),상세표[반영월],대상월키,상세표[야간당직],1,상세표[야간 구분],"평일",상세표[반영 기관],"서울병원"))</f>
        <v/>
      </c>
      <c r="V576">
        <f>IF($X576="","",COUNTIFS(상세표[사번키],INDEX(합계표[사번키],$X576),상세표[반영월],대상월키,상세표[야간당직],1,상세표[야간 구분],"휴일",상세표[반영 기관],"서울병원"))</f>
        <v/>
      </c>
      <c r="W576">
        <f>IF($X576="","",IF(ISNUMBER(MATCH(INDEX(합계표[사번키],$X576)&amp;"|"&amp;대상월키,월별근무지표[키],0)),"직접 입력",IF($L576="—","—","기관명단")))</f>
        <v/>
      </c>
      <c r="X576" s="4">
        <f>IFERROR(MATCH(571,합계표[판정순번],0),"")</f>
        <v/>
      </c>
    </row>
    <row r="577">
      <c r="A577">
        <f>IF($X577="","",INDEX(합계표[사번],$X577)&amp;"")</f>
        <v/>
      </c>
      <c r="B577">
        <f>IF($X577="","",INDEX(합계표[성명],$X577)&amp;"")</f>
        <v/>
      </c>
      <c r="C577">
        <f>IF($X577="","",INDEX(합계표[부서],$X577)&amp;"")</f>
        <v/>
      </c>
      <c r="D577">
        <f>IF($X577="","",INDEX(합계표[직위(요약)],$X577)&amp;"")</f>
        <v/>
      </c>
      <c r="E577">
        <f>IF($X577="","",INDEX(합계표[직급 공존],$X577)&amp;"")</f>
        <v/>
      </c>
      <c r="F577" s="20">
        <f>IF($X577="","",SUMIFS(합계표[시스템 합계],합계표[사번키],INDEX(합계표[사번키],$X577)))</f>
        <v/>
      </c>
      <c r="G577" s="20">
        <f>IF($X577="","",SUMIFS(상세표[기록 시간외],상세표[사번키],INDEX(합계표[사번키],$X577),상세표[기록월],대상월키))</f>
        <v/>
      </c>
      <c r="H577">
        <f>IF($X577="","",IF(ABS($F577-$G577)&lt;0.01,"일치","불일치(차이 "&amp;TEXT($G577-$F577,"0.00")&amp;")"))</f>
        <v/>
      </c>
      <c r="I577" s="20">
        <f>IF($X577="","",SUMIFS(상세표[기록 시간외],상세표[사번키],INDEX(합계표[사번키],$X577),상세표[기록월],대상월키,상세표[반영월],"&lt;&gt;"&amp;대상월키))</f>
        <v/>
      </c>
      <c r="J577" s="20">
        <f>IF($X577="","",SUMIFS(상세표[기록 시간외],상세표[사번키],INDEX(합계표[사번키],$X577),상세표[기록월],"&lt;&gt;"&amp;대상월키,상세표[반영월],대상월키))</f>
        <v/>
      </c>
      <c r="K577" s="20">
        <f>IF($X577="","",SUMIFS(상세표[기록 시간외],상세표[사번키],INDEX(합계표[사번키],$X577),상세표[반영월],대상월키))</f>
        <v/>
      </c>
      <c r="L577">
        <f>IF($X577="","",IFERROR(INDEX(월별근무지표[적용 급여병원],MATCH(INDEX(합계표[사번키],$X577)&amp;"|"&amp;대상월키,월별근무지표[키],0))&amp;"",IF(COUNTIF(기관표[사번키],INDEX(합계표[사번키],$X577))+COUNTIF(월별근무지표[사번키],INDEX(합계표[사번키],$X577))&gt;0,IFERROR(INDEX(기관표[급여지급병원(기준월)],MATCH(INDEX(합계표[사번키],$X577)&amp;"|"&amp;대상월키,기관표[키],0))&amp;"","—"),"—")))</f>
        <v/>
      </c>
      <c r="M577">
        <f>IF($X577="","",IF(NOT(COUNTIF(기관표[사번키],INDEX(합계표[사번키],$X577))+COUNTIF(월별근무지표[사번키],INDEX(합계표[사번키],$X577))&gt;0),"기관명단에 없음(다른 병원으로 발송)",IF($L577="서울병원","해당",IF(N($R577)&gt;0,"해당(말일 근무)",IF($L577="—","대상월 기관명단 없음(추가 필요)","비해당")))))</f>
        <v/>
      </c>
      <c r="N577" s="20">
        <f>IF($X577="","",SUMIFS(상세표[06~07시],상세표[사번키],INDEX(합계표[사번키],$X577),상세표[반영월],대상월키,상세표[반영 기관],"서울병원"))</f>
        <v/>
      </c>
      <c r="O577" s="20">
        <f>IF($X577="","",SUMIFS(상세표[07~18시],상세표[사번키],INDEX(합계표[사번키],$X577),상세표[반영월],대상월키,상세표[반영 기관],"서울병원"))</f>
        <v/>
      </c>
      <c r="P577" s="20">
        <f>IF($X577="","",SUMIFS(상세표[18~22시],상세표[사번키],INDEX(합계표[사번키],$X577),상세표[반영월],대상월키,상세표[반영 기관],"서울병원"))</f>
        <v/>
      </c>
      <c r="Q577" s="20">
        <f>IF($X577="","",SUMIFS(상세표[22~06시],상세표[사번키],INDEX(합계표[사번키],$X577),상세표[반영월],대상월키,상세표[반영 기관],"서울병원"))</f>
        <v/>
      </c>
      <c r="R577" s="20">
        <f>IF($X577="","",SUM($N577:$Q577))</f>
        <v/>
      </c>
      <c r="S577">
        <f>IF($X577="","",COUNTIFS(상세표[사번키],INDEX(합계표[사번키],$X577),상세표[반영월],대상월키,상세표[야간당직],1,상세표[야간 구분],"평일"))</f>
        <v/>
      </c>
      <c r="T577">
        <f>IF($X577="","",COUNTIFS(상세표[사번키],INDEX(합계표[사번키],$X577),상세표[반영월],대상월키,상세표[야간당직],1,상세표[야간 구분],"휴일"))</f>
        <v/>
      </c>
      <c r="U577">
        <f>IF($X577="","",COUNTIFS(상세표[사번키],INDEX(합계표[사번키],$X577),상세표[반영월],대상월키,상세표[야간당직],1,상세표[야간 구분],"평일",상세표[반영 기관],"서울병원"))</f>
        <v/>
      </c>
      <c r="V577">
        <f>IF($X577="","",COUNTIFS(상세표[사번키],INDEX(합계표[사번키],$X577),상세표[반영월],대상월키,상세표[야간당직],1,상세표[야간 구분],"휴일",상세표[반영 기관],"서울병원"))</f>
        <v/>
      </c>
      <c r="W577">
        <f>IF($X577="","",IF(ISNUMBER(MATCH(INDEX(합계표[사번키],$X577)&amp;"|"&amp;대상월키,월별근무지표[키],0)),"직접 입력",IF($L577="—","—","기관명단")))</f>
        <v/>
      </c>
      <c r="X577" s="4">
        <f>IFERROR(MATCH(572,합계표[판정순번],0),"")</f>
        <v/>
      </c>
    </row>
    <row r="578">
      <c r="A578">
        <f>IF($X578="","",INDEX(합계표[사번],$X578)&amp;"")</f>
        <v/>
      </c>
      <c r="B578">
        <f>IF($X578="","",INDEX(합계표[성명],$X578)&amp;"")</f>
        <v/>
      </c>
      <c r="C578">
        <f>IF($X578="","",INDEX(합계표[부서],$X578)&amp;"")</f>
        <v/>
      </c>
      <c r="D578">
        <f>IF($X578="","",INDEX(합계표[직위(요약)],$X578)&amp;"")</f>
        <v/>
      </c>
      <c r="E578">
        <f>IF($X578="","",INDEX(합계표[직급 공존],$X578)&amp;"")</f>
        <v/>
      </c>
      <c r="F578" s="20">
        <f>IF($X578="","",SUMIFS(합계표[시스템 합계],합계표[사번키],INDEX(합계표[사번키],$X578)))</f>
        <v/>
      </c>
      <c r="G578" s="20">
        <f>IF($X578="","",SUMIFS(상세표[기록 시간외],상세표[사번키],INDEX(합계표[사번키],$X578),상세표[기록월],대상월키))</f>
        <v/>
      </c>
      <c r="H578">
        <f>IF($X578="","",IF(ABS($F578-$G578)&lt;0.01,"일치","불일치(차이 "&amp;TEXT($G578-$F578,"0.00")&amp;")"))</f>
        <v/>
      </c>
      <c r="I578" s="20">
        <f>IF($X578="","",SUMIFS(상세표[기록 시간외],상세표[사번키],INDEX(합계표[사번키],$X578),상세표[기록월],대상월키,상세표[반영월],"&lt;&gt;"&amp;대상월키))</f>
        <v/>
      </c>
      <c r="J578" s="20">
        <f>IF($X578="","",SUMIFS(상세표[기록 시간외],상세표[사번키],INDEX(합계표[사번키],$X578),상세표[기록월],"&lt;&gt;"&amp;대상월키,상세표[반영월],대상월키))</f>
        <v/>
      </c>
      <c r="K578" s="20">
        <f>IF($X578="","",SUMIFS(상세표[기록 시간외],상세표[사번키],INDEX(합계표[사번키],$X578),상세표[반영월],대상월키))</f>
        <v/>
      </c>
      <c r="L578">
        <f>IF($X578="","",IFERROR(INDEX(월별근무지표[적용 급여병원],MATCH(INDEX(합계표[사번키],$X578)&amp;"|"&amp;대상월키,월별근무지표[키],0))&amp;"",IF(COUNTIF(기관표[사번키],INDEX(합계표[사번키],$X578))+COUNTIF(월별근무지표[사번키],INDEX(합계표[사번키],$X578))&gt;0,IFERROR(INDEX(기관표[급여지급병원(기준월)],MATCH(INDEX(합계표[사번키],$X578)&amp;"|"&amp;대상월키,기관표[키],0))&amp;"","—"),"—")))</f>
        <v/>
      </c>
      <c r="M578">
        <f>IF($X578="","",IF(NOT(COUNTIF(기관표[사번키],INDEX(합계표[사번키],$X578))+COUNTIF(월별근무지표[사번키],INDEX(합계표[사번키],$X578))&gt;0),"기관명단에 없음(다른 병원으로 발송)",IF($L578="서울병원","해당",IF(N($R578)&gt;0,"해당(말일 근무)",IF($L578="—","대상월 기관명단 없음(추가 필요)","비해당")))))</f>
        <v/>
      </c>
      <c r="N578" s="20">
        <f>IF($X578="","",SUMIFS(상세표[06~07시],상세표[사번키],INDEX(합계표[사번키],$X578),상세표[반영월],대상월키,상세표[반영 기관],"서울병원"))</f>
        <v/>
      </c>
      <c r="O578" s="20">
        <f>IF($X578="","",SUMIFS(상세표[07~18시],상세표[사번키],INDEX(합계표[사번키],$X578),상세표[반영월],대상월키,상세표[반영 기관],"서울병원"))</f>
        <v/>
      </c>
      <c r="P578" s="20">
        <f>IF($X578="","",SUMIFS(상세표[18~22시],상세표[사번키],INDEX(합계표[사번키],$X578),상세표[반영월],대상월키,상세표[반영 기관],"서울병원"))</f>
        <v/>
      </c>
      <c r="Q578" s="20">
        <f>IF($X578="","",SUMIFS(상세표[22~06시],상세표[사번키],INDEX(합계표[사번키],$X578),상세표[반영월],대상월키,상세표[반영 기관],"서울병원"))</f>
        <v/>
      </c>
      <c r="R578" s="20">
        <f>IF($X578="","",SUM($N578:$Q578))</f>
        <v/>
      </c>
      <c r="S578">
        <f>IF($X578="","",COUNTIFS(상세표[사번키],INDEX(합계표[사번키],$X578),상세표[반영월],대상월키,상세표[야간당직],1,상세표[야간 구분],"평일"))</f>
        <v/>
      </c>
      <c r="T578">
        <f>IF($X578="","",COUNTIFS(상세표[사번키],INDEX(합계표[사번키],$X578),상세표[반영월],대상월키,상세표[야간당직],1,상세표[야간 구분],"휴일"))</f>
        <v/>
      </c>
      <c r="U578">
        <f>IF($X578="","",COUNTIFS(상세표[사번키],INDEX(합계표[사번키],$X578),상세표[반영월],대상월키,상세표[야간당직],1,상세표[야간 구분],"평일",상세표[반영 기관],"서울병원"))</f>
        <v/>
      </c>
      <c r="V578">
        <f>IF($X578="","",COUNTIFS(상세표[사번키],INDEX(합계표[사번키],$X578),상세표[반영월],대상월키,상세표[야간당직],1,상세표[야간 구분],"휴일",상세표[반영 기관],"서울병원"))</f>
        <v/>
      </c>
      <c r="W578">
        <f>IF($X578="","",IF(ISNUMBER(MATCH(INDEX(합계표[사번키],$X578)&amp;"|"&amp;대상월키,월별근무지표[키],0)),"직접 입력",IF($L578="—","—","기관명단")))</f>
        <v/>
      </c>
      <c r="X578" s="4">
        <f>IFERROR(MATCH(573,합계표[판정순번],0),"")</f>
        <v/>
      </c>
    </row>
    <row r="579">
      <c r="A579">
        <f>IF($X579="","",INDEX(합계표[사번],$X579)&amp;"")</f>
        <v/>
      </c>
      <c r="B579">
        <f>IF($X579="","",INDEX(합계표[성명],$X579)&amp;"")</f>
        <v/>
      </c>
      <c r="C579">
        <f>IF($X579="","",INDEX(합계표[부서],$X579)&amp;"")</f>
        <v/>
      </c>
      <c r="D579">
        <f>IF($X579="","",INDEX(합계표[직위(요약)],$X579)&amp;"")</f>
        <v/>
      </c>
      <c r="E579">
        <f>IF($X579="","",INDEX(합계표[직급 공존],$X579)&amp;"")</f>
        <v/>
      </c>
      <c r="F579" s="20">
        <f>IF($X579="","",SUMIFS(합계표[시스템 합계],합계표[사번키],INDEX(합계표[사번키],$X579)))</f>
        <v/>
      </c>
      <c r="G579" s="20">
        <f>IF($X579="","",SUMIFS(상세표[기록 시간외],상세표[사번키],INDEX(합계표[사번키],$X579),상세표[기록월],대상월키))</f>
        <v/>
      </c>
      <c r="H579">
        <f>IF($X579="","",IF(ABS($F579-$G579)&lt;0.01,"일치","불일치(차이 "&amp;TEXT($G579-$F579,"0.00")&amp;")"))</f>
        <v/>
      </c>
      <c r="I579" s="20">
        <f>IF($X579="","",SUMIFS(상세표[기록 시간외],상세표[사번키],INDEX(합계표[사번키],$X579),상세표[기록월],대상월키,상세표[반영월],"&lt;&gt;"&amp;대상월키))</f>
        <v/>
      </c>
      <c r="J579" s="20">
        <f>IF($X579="","",SUMIFS(상세표[기록 시간외],상세표[사번키],INDEX(합계표[사번키],$X579),상세표[기록월],"&lt;&gt;"&amp;대상월키,상세표[반영월],대상월키))</f>
        <v/>
      </c>
      <c r="K579" s="20">
        <f>IF($X579="","",SUMIFS(상세표[기록 시간외],상세표[사번키],INDEX(합계표[사번키],$X579),상세표[반영월],대상월키))</f>
        <v/>
      </c>
      <c r="L579">
        <f>IF($X579="","",IFERROR(INDEX(월별근무지표[적용 급여병원],MATCH(INDEX(합계표[사번키],$X579)&amp;"|"&amp;대상월키,월별근무지표[키],0))&amp;"",IF(COUNTIF(기관표[사번키],INDEX(합계표[사번키],$X579))+COUNTIF(월별근무지표[사번키],INDEX(합계표[사번키],$X579))&gt;0,IFERROR(INDEX(기관표[급여지급병원(기준월)],MATCH(INDEX(합계표[사번키],$X579)&amp;"|"&amp;대상월키,기관표[키],0))&amp;"","—"),"—")))</f>
        <v/>
      </c>
      <c r="M579">
        <f>IF($X579="","",IF(NOT(COUNTIF(기관표[사번키],INDEX(합계표[사번키],$X579))+COUNTIF(월별근무지표[사번키],INDEX(합계표[사번키],$X579))&gt;0),"기관명단에 없음(다른 병원으로 발송)",IF($L579="서울병원","해당",IF(N($R579)&gt;0,"해당(말일 근무)",IF($L579="—","대상월 기관명단 없음(추가 필요)","비해당")))))</f>
        <v/>
      </c>
      <c r="N579" s="20">
        <f>IF($X579="","",SUMIFS(상세표[06~07시],상세표[사번키],INDEX(합계표[사번키],$X579),상세표[반영월],대상월키,상세표[반영 기관],"서울병원"))</f>
        <v/>
      </c>
      <c r="O579" s="20">
        <f>IF($X579="","",SUMIFS(상세표[07~18시],상세표[사번키],INDEX(합계표[사번키],$X579),상세표[반영월],대상월키,상세표[반영 기관],"서울병원"))</f>
        <v/>
      </c>
      <c r="P579" s="20">
        <f>IF($X579="","",SUMIFS(상세표[18~22시],상세표[사번키],INDEX(합계표[사번키],$X579),상세표[반영월],대상월키,상세표[반영 기관],"서울병원"))</f>
        <v/>
      </c>
      <c r="Q579" s="20">
        <f>IF($X579="","",SUMIFS(상세표[22~06시],상세표[사번키],INDEX(합계표[사번키],$X579),상세표[반영월],대상월키,상세표[반영 기관],"서울병원"))</f>
        <v/>
      </c>
      <c r="R579" s="20">
        <f>IF($X579="","",SUM($N579:$Q579))</f>
        <v/>
      </c>
      <c r="S579">
        <f>IF($X579="","",COUNTIFS(상세표[사번키],INDEX(합계표[사번키],$X579),상세표[반영월],대상월키,상세표[야간당직],1,상세표[야간 구분],"평일"))</f>
        <v/>
      </c>
      <c r="T579">
        <f>IF($X579="","",COUNTIFS(상세표[사번키],INDEX(합계표[사번키],$X579),상세표[반영월],대상월키,상세표[야간당직],1,상세표[야간 구분],"휴일"))</f>
        <v/>
      </c>
      <c r="U579">
        <f>IF($X579="","",COUNTIFS(상세표[사번키],INDEX(합계표[사번키],$X579),상세표[반영월],대상월키,상세표[야간당직],1,상세표[야간 구분],"평일",상세표[반영 기관],"서울병원"))</f>
        <v/>
      </c>
      <c r="V579">
        <f>IF($X579="","",COUNTIFS(상세표[사번키],INDEX(합계표[사번키],$X579),상세표[반영월],대상월키,상세표[야간당직],1,상세표[야간 구분],"휴일",상세표[반영 기관],"서울병원"))</f>
        <v/>
      </c>
      <c r="W579">
        <f>IF($X579="","",IF(ISNUMBER(MATCH(INDEX(합계표[사번키],$X579)&amp;"|"&amp;대상월키,월별근무지표[키],0)),"직접 입력",IF($L579="—","—","기관명단")))</f>
        <v/>
      </c>
      <c r="X579" s="4">
        <f>IFERROR(MATCH(574,합계표[판정순번],0),"")</f>
        <v/>
      </c>
    </row>
    <row r="580">
      <c r="A580">
        <f>IF($X580="","",INDEX(합계표[사번],$X580)&amp;"")</f>
        <v/>
      </c>
      <c r="B580">
        <f>IF($X580="","",INDEX(합계표[성명],$X580)&amp;"")</f>
        <v/>
      </c>
      <c r="C580">
        <f>IF($X580="","",INDEX(합계표[부서],$X580)&amp;"")</f>
        <v/>
      </c>
      <c r="D580">
        <f>IF($X580="","",INDEX(합계표[직위(요약)],$X580)&amp;"")</f>
        <v/>
      </c>
      <c r="E580">
        <f>IF($X580="","",INDEX(합계표[직급 공존],$X580)&amp;"")</f>
        <v/>
      </c>
      <c r="F580" s="20">
        <f>IF($X580="","",SUMIFS(합계표[시스템 합계],합계표[사번키],INDEX(합계표[사번키],$X580)))</f>
        <v/>
      </c>
      <c r="G580" s="20">
        <f>IF($X580="","",SUMIFS(상세표[기록 시간외],상세표[사번키],INDEX(합계표[사번키],$X580),상세표[기록월],대상월키))</f>
        <v/>
      </c>
      <c r="H580">
        <f>IF($X580="","",IF(ABS($F580-$G580)&lt;0.01,"일치","불일치(차이 "&amp;TEXT($G580-$F580,"0.00")&amp;")"))</f>
        <v/>
      </c>
      <c r="I580" s="20">
        <f>IF($X580="","",SUMIFS(상세표[기록 시간외],상세표[사번키],INDEX(합계표[사번키],$X580),상세표[기록월],대상월키,상세표[반영월],"&lt;&gt;"&amp;대상월키))</f>
        <v/>
      </c>
      <c r="J580" s="20">
        <f>IF($X580="","",SUMIFS(상세표[기록 시간외],상세표[사번키],INDEX(합계표[사번키],$X580),상세표[기록월],"&lt;&gt;"&amp;대상월키,상세표[반영월],대상월키))</f>
        <v/>
      </c>
      <c r="K580" s="20">
        <f>IF($X580="","",SUMIFS(상세표[기록 시간외],상세표[사번키],INDEX(합계표[사번키],$X580),상세표[반영월],대상월키))</f>
        <v/>
      </c>
      <c r="L580">
        <f>IF($X580="","",IFERROR(INDEX(월별근무지표[적용 급여병원],MATCH(INDEX(합계표[사번키],$X580)&amp;"|"&amp;대상월키,월별근무지표[키],0))&amp;"",IF(COUNTIF(기관표[사번키],INDEX(합계표[사번키],$X580))+COUNTIF(월별근무지표[사번키],INDEX(합계표[사번키],$X580))&gt;0,IFERROR(INDEX(기관표[급여지급병원(기준월)],MATCH(INDEX(합계표[사번키],$X580)&amp;"|"&amp;대상월키,기관표[키],0))&amp;"","—"),"—")))</f>
        <v/>
      </c>
      <c r="M580">
        <f>IF($X580="","",IF(NOT(COUNTIF(기관표[사번키],INDEX(합계표[사번키],$X580))+COUNTIF(월별근무지표[사번키],INDEX(합계표[사번키],$X580))&gt;0),"기관명단에 없음(다른 병원으로 발송)",IF($L580="서울병원","해당",IF(N($R580)&gt;0,"해당(말일 근무)",IF($L580="—","대상월 기관명단 없음(추가 필요)","비해당")))))</f>
        <v/>
      </c>
      <c r="N580" s="20">
        <f>IF($X580="","",SUMIFS(상세표[06~07시],상세표[사번키],INDEX(합계표[사번키],$X580),상세표[반영월],대상월키,상세표[반영 기관],"서울병원"))</f>
        <v/>
      </c>
      <c r="O580" s="20">
        <f>IF($X580="","",SUMIFS(상세표[07~18시],상세표[사번키],INDEX(합계표[사번키],$X580),상세표[반영월],대상월키,상세표[반영 기관],"서울병원"))</f>
        <v/>
      </c>
      <c r="P580" s="20">
        <f>IF($X580="","",SUMIFS(상세표[18~22시],상세표[사번키],INDEX(합계표[사번키],$X580),상세표[반영월],대상월키,상세표[반영 기관],"서울병원"))</f>
        <v/>
      </c>
      <c r="Q580" s="20">
        <f>IF($X580="","",SUMIFS(상세표[22~06시],상세표[사번키],INDEX(합계표[사번키],$X580),상세표[반영월],대상월키,상세표[반영 기관],"서울병원"))</f>
        <v/>
      </c>
      <c r="R580" s="20">
        <f>IF($X580="","",SUM($N580:$Q580))</f>
        <v/>
      </c>
      <c r="S580">
        <f>IF($X580="","",COUNTIFS(상세표[사번키],INDEX(합계표[사번키],$X580),상세표[반영월],대상월키,상세표[야간당직],1,상세표[야간 구분],"평일"))</f>
        <v/>
      </c>
      <c r="T580">
        <f>IF($X580="","",COUNTIFS(상세표[사번키],INDEX(합계표[사번키],$X580),상세표[반영월],대상월키,상세표[야간당직],1,상세표[야간 구분],"휴일"))</f>
        <v/>
      </c>
      <c r="U580">
        <f>IF($X580="","",COUNTIFS(상세표[사번키],INDEX(합계표[사번키],$X580),상세표[반영월],대상월키,상세표[야간당직],1,상세표[야간 구분],"평일",상세표[반영 기관],"서울병원"))</f>
        <v/>
      </c>
      <c r="V580">
        <f>IF($X580="","",COUNTIFS(상세표[사번키],INDEX(합계표[사번키],$X580),상세표[반영월],대상월키,상세표[야간당직],1,상세표[야간 구분],"휴일",상세표[반영 기관],"서울병원"))</f>
        <v/>
      </c>
      <c r="W580">
        <f>IF($X580="","",IF(ISNUMBER(MATCH(INDEX(합계표[사번키],$X580)&amp;"|"&amp;대상월키,월별근무지표[키],0)),"직접 입력",IF($L580="—","—","기관명단")))</f>
        <v/>
      </c>
      <c r="X580" s="4">
        <f>IFERROR(MATCH(575,합계표[판정순번],0),"")</f>
        <v/>
      </c>
    </row>
    <row r="581">
      <c r="A581">
        <f>IF($X581="","",INDEX(합계표[사번],$X581)&amp;"")</f>
        <v/>
      </c>
      <c r="B581">
        <f>IF($X581="","",INDEX(합계표[성명],$X581)&amp;"")</f>
        <v/>
      </c>
      <c r="C581">
        <f>IF($X581="","",INDEX(합계표[부서],$X581)&amp;"")</f>
        <v/>
      </c>
      <c r="D581">
        <f>IF($X581="","",INDEX(합계표[직위(요약)],$X581)&amp;"")</f>
        <v/>
      </c>
      <c r="E581">
        <f>IF($X581="","",INDEX(합계표[직급 공존],$X581)&amp;"")</f>
        <v/>
      </c>
      <c r="F581" s="20">
        <f>IF($X581="","",SUMIFS(합계표[시스템 합계],합계표[사번키],INDEX(합계표[사번키],$X581)))</f>
        <v/>
      </c>
      <c r="G581" s="20">
        <f>IF($X581="","",SUMIFS(상세표[기록 시간외],상세표[사번키],INDEX(합계표[사번키],$X581),상세표[기록월],대상월키))</f>
        <v/>
      </c>
      <c r="H581">
        <f>IF($X581="","",IF(ABS($F581-$G581)&lt;0.01,"일치","불일치(차이 "&amp;TEXT($G581-$F581,"0.00")&amp;")"))</f>
        <v/>
      </c>
      <c r="I581" s="20">
        <f>IF($X581="","",SUMIFS(상세표[기록 시간외],상세표[사번키],INDEX(합계표[사번키],$X581),상세표[기록월],대상월키,상세표[반영월],"&lt;&gt;"&amp;대상월키))</f>
        <v/>
      </c>
      <c r="J581" s="20">
        <f>IF($X581="","",SUMIFS(상세표[기록 시간외],상세표[사번키],INDEX(합계표[사번키],$X581),상세표[기록월],"&lt;&gt;"&amp;대상월키,상세표[반영월],대상월키))</f>
        <v/>
      </c>
      <c r="K581" s="20">
        <f>IF($X581="","",SUMIFS(상세표[기록 시간외],상세표[사번키],INDEX(합계표[사번키],$X581),상세표[반영월],대상월키))</f>
        <v/>
      </c>
      <c r="L581">
        <f>IF($X581="","",IFERROR(INDEX(월별근무지표[적용 급여병원],MATCH(INDEX(합계표[사번키],$X581)&amp;"|"&amp;대상월키,월별근무지표[키],0))&amp;"",IF(COUNTIF(기관표[사번키],INDEX(합계표[사번키],$X581))+COUNTIF(월별근무지표[사번키],INDEX(합계표[사번키],$X581))&gt;0,IFERROR(INDEX(기관표[급여지급병원(기준월)],MATCH(INDEX(합계표[사번키],$X581)&amp;"|"&amp;대상월키,기관표[키],0))&amp;"","—"),"—")))</f>
        <v/>
      </c>
      <c r="M581">
        <f>IF($X581="","",IF(NOT(COUNTIF(기관표[사번키],INDEX(합계표[사번키],$X581))+COUNTIF(월별근무지표[사번키],INDEX(합계표[사번키],$X581))&gt;0),"기관명단에 없음(다른 병원으로 발송)",IF($L581="서울병원","해당",IF(N($R581)&gt;0,"해당(말일 근무)",IF($L581="—","대상월 기관명단 없음(추가 필요)","비해당")))))</f>
        <v/>
      </c>
      <c r="N581" s="20">
        <f>IF($X581="","",SUMIFS(상세표[06~07시],상세표[사번키],INDEX(합계표[사번키],$X581),상세표[반영월],대상월키,상세표[반영 기관],"서울병원"))</f>
        <v/>
      </c>
      <c r="O581" s="20">
        <f>IF($X581="","",SUMIFS(상세표[07~18시],상세표[사번키],INDEX(합계표[사번키],$X581),상세표[반영월],대상월키,상세표[반영 기관],"서울병원"))</f>
        <v/>
      </c>
      <c r="P581" s="20">
        <f>IF($X581="","",SUMIFS(상세표[18~22시],상세표[사번키],INDEX(합계표[사번키],$X581),상세표[반영월],대상월키,상세표[반영 기관],"서울병원"))</f>
        <v/>
      </c>
      <c r="Q581" s="20">
        <f>IF($X581="","",SUMIFS(상세표[22~06시],상세표[사번키],INDEX(합계표[사번키],$X581),상세표[반영월],대상월키,상세표[반영 기관],"서울병원"))</f>
        <v/>
      </c>
      <c r="R581" s="20">
        <f>IF($X581="","",SUM($N581:$Q581))</f>
        <v/>
      </c>
      <c r="S581">
        <f>IF($X581="","",COUNTIFS(상세표[사번키],INDEX(합계표[사번키],$X581),상세표[반영월],대상월키,상세표[야간당직],1,상세표[야간 구분],"평일"))</f>
        <v/>
      </c>
      <c r="T581">
        <f>IF($X581="","",COUNTIFS(상세표[사번키],INDEX(합계표[사번키],$X581),상세표[반영월],대상월키,상세표[야간당직],1,상세표[야간 구분],"휴일"))</f>
        <v/>
      </c>
      <c r="U581">
        <f>IF($X581="","",COUNTIFS(상세표[사번키],INDEX(합계표[사번키],$X581),상세표[반영월],대상월키,상세표[야간당직],1,상세표[야간 구분],"평일",상세표[반영 기관],"서울병원"))</f>
        <v/>
      </c>
      <c r="V581">
        <f>IF($X581="","",COUNTIFS(상세표[사번키],INDEX(합계표[사번키],$X581),상세표[반영월],대상월키,상세표[야간당직],1,상세표[야간 구분],"휴일",상세표[반영 기관],"서울병원"))</f>
        <v/>
      </c>
      <c r="W581">
        <f>IF($X581="","",IF(ISNUMBER(MATCH(INDEX(합계표[사번키],$X581)&amp;"|"&amp;대상월키,월별근무지표[키],0)),"직접 입력",IF($L581="—","—","기관명단")))</f>
        <v/>
      </c>
      <c r="X581" s="4">
        <f>IFERROR(MATCH(576,합계표[판정순번],0),"")</f>
        <v/>
      </c>
    </row>
    <row r="582">
      <c r="A582">
        <f>IF($X582="","",INDEX(합계표[사번],$X582)&amp;"")</f>
        <v/>
      </c>
      <c r="B582">
        <f>IF($X582="","",INDEX(합계표[성명],$X582)&amp;"")</f>
        <v/>
      </c>
      <c r="C582">
        <f>IF($X582="","",INDEX(합계표[부서],$X582)&amp;"")</f>
        <v/>
      </c>
      <c r="D582">
        <f>IF($X582="","",INDEX(합계표[직위(요약)],$X582)&amp;"")</f>
        <v/>
      </c>
      <c r="E582">
        <f>IF($X582="","",INDEX(합계표[직급 공존],$X582)&amp;"")</f>
        <v/>
      </c>
      <c r="F582" s="20">
        <f>IF($X582="","",SUMIFS(합계표[시스템 합계],합계표[사번키],INDEX(합계표[사번키],$X582)))</f>
        <v/>
      </c>
      <c r="G582" s="20">
        <f>IF($X582="","",SUMIFS(상세표[기록 시간외],상세표[사번키],INDEX(합계표[사번키],$X582),상세표[기록월],대상월키))</f>
        <v/>
      </c>
      <c r="H582">
        <f>IF($X582="","",IF(ABS($F582-$G582)&lt;0.01,"일치","불일치(차이 "&amp;TEXT($G582-$F582,"0.00")&amp;")"))</f>
        <v/>
      </c>
      <c r="I582" s="20">
        <f>IF($X582="","",SUMIFS(상세표[기록 시간외],상세표[사번키],INDEX(합계표[사번키],$X582),상세표[기록월],대상월키,상세표[반영월],"&lt;&gt;"&amp;대상월키))</f>
        <v/>
      </c>
      <c r="J582" s="20">
        <f>IF($X582="","",SUMIFS(상세표[기록 시간외],상세표[사번키],INDEX(합계표[사번키],$X582),상세표[기록월],"&lt;&gt;"&amp;대상월키,상세표[반영월],대상월키))</f>
        <v/>
      </c>
      <c r="K582" s="20">
        <f>IF($X582="","",SUMIFS(상세표[기록 시간외],상세표[사번키],INDEX(합계표[사번키],$X582),상세표[반영월],대상월키))</f>
        <v/>
      </c>
      <c r="L582">
        <f>IF($X582="","",IFERROR(INDEX(월별근무지표[적용 급여병원],MATCH(INDEX(합계표[사번키],$X582)&amp;"|"&amp;대상월키,월별근무지표[키],0))&amp;"",IF(COUNTIF(기관표[사번키],INDEX(합계표[사번키],$X582))+COUNTIF(월별근무지표[사번키],INDEX(합계표[사번키],$X582))&gt;0,IFERROR(INDEX(기관표[급여지급병원(기준월)],MATCH(INDEX(합계표[사번키],$X582)&amp;"|"&amp;대상월키,기관표[키],0))&amp;"","—"),"—")))</f>
        <v/>
      </c>
      <c r="M582">
        <f>IF($X582="","",IF(NOT(COUNTIF(기관표[사번키],INDEX(합계표[사번키],$X582))+COUNTIF(월별근무지표[사번키],INDEX(합계표[사번키],$X582))&gt;0),"기관명단에 없음(다른 병원으로 발송)",IF($L582="서울병원","해당",IF(N($R582)&gt;0,"해당(말일 근무)",IF($L582="—","대상월 기관명단 없음(추가 필요)","비해당")))))</f>
        <v/>
      </c>
      <c r="N582" s="20">
        <f>IF($X582="","",SUMIFS(상세표[06~07시],상세표[사번키],INDEX(합계표[사번키],$X582),상세표[반영월],대상월키,상세표[반영 기관],"서울병원"))</f>
        <v/>
      </c>
      <c r="O582" s="20">
        <f>IF($X582="","",SUMIFS(상세표[07~18시],상세표[사번키],INDEX(합계표[사번키],$X582),상세표[반영월],대상월키,상세표[반영 기관],"서울병원"))</f>
        <v/>
      </c>
      <c r="P582" s="20">
        <f>IF($X582="","",SUMIFS(상세표[18~22시],상세표[사번키],INDEX(합계표[사번키],$X582),상세표[반영월],대상월키,상세표[반영 기관],"서울병원"))</f>
        <v/>
      </c>
      <c r="Q582" s="20">
        <f>IF($X582="","",SUMIFS(상세표[22~06시],상세표[사번키],INDEX(합계표[사번키],$X582),상세표[반영월],대상월키,상세표[반영 기관],"서울병원"))</f>
        <v/>
      </c>
      <c r="R582" s="20">
        <f>IF($X582="","",SUM($N582:$Q582))</f>
        <v/>
      </c>
      <c r="S582">
        <f>IF($X582="","",COUNTIFS(상세표[사번키],INDEX(합계표[사번키],$X582),상세표[반영월],대상월키,상세표[야간당직],1,상세표[야간 구분],"평일"))</f>
        <v/>
      </c>
      <c r="T582">
        <f>IF($X582="","",COUNTIFS(상세표[사번키],INDEX(합계표[사번키],$X582),상세표[반영월],대상월키,상세표[야간당직],1,상세표[야간 구분],"휴일"))</f>
        <v/>
      </c>
      <c r="U582">
        <f>IF($X582="","",COUNTIFS(상세표[사번키],INDEX(합계표[사번키],$X582),상세표[반영월],대상월키,상세표[야간당직],1,상세표[야간 구분],"평일",상세표[반영 기관],"서울병원"))</f>
        <v/>
      </c>
      <c r="V582">
        <f>IF($X582="","",COUNTIFS(상세표[사번키],INDEX(합계표[사번키],$X582),상세표[반영월],대상월키,상세표[야간당직],1,상세표[야간 구분],"휴일",상세표[반영 기관],"서울병원"))</f>
        <v/>
      </c>
      <c r="W582">
        <f>IF($X582="","",IF(ISNUMBER(MATCH(INDEX(합계표[사번키],$X582)&amp;"|"&amp;대상월키,월별근무지표[키],0)),"직접 입력",IF($L582="—","—","기관명단")))</f>
        <v/>
      </c>
      <c r="X582" s="4">
        <f>IFERROR(MATCH(577,합계표[판정순번],0),"")</f>
        <v/>
      </c>
    </row>
    <row r="583">
      <c r="A583">
        <f>IF($X583="","",INDEX(합계표[사번],$X583)&amp;"")</f>
        <v/>
      </c>
      <c r="B583">
        <f>IF($X583="","",INDEX(합계표[성명],$X583)&amp;"")</f>
        <v/>
      </c>
      <c r="C583">
        <f>IF($X583="","",INDEX(합계표[부서],$X583)&amp;"")</f>
        <v/>
      </c>
      <c r="D583">
        <f>IF($X583="","",INDEX(합계표[직위(요약)],$X583)&amp;"")</f>
        <v/>
      </c>
      <c r="E583">
        <f>IF($X583="","",INDEX(합계표[직급 공존],$X583)&amp;"")</f>
        <v/>
      </c>
      <c r="F583" s="20">
        <f>IF($X583="","",SUMIFS(합계표[시스템 합계],합계표[사번키],INDEX(합계표[사번키],$X583)))</f>
        <v/>
      </c>
      <c r="G583" s="20">
        <f>IF($X583="","",SUMIFS(상세표[기록 시간외],상세표[사번키],INDEX(합계표[사번키],$X583),상세표[기록월],대상월키))</f>
        <v/>
      </c>
      <c r="H583">
        <f>IF($X583="","",IF(ABS($F583-$G583)&lt;0.01,"일치","불일치(차이 "&amp;TEXT($G583-$F583,"0.00")&amp;")"))</f>
        <v/>
      </c>
      <c r="I583" s="20">
        <f>IF($X583="","",SUMIFS(상세표[기록 시간외],상세표[사번키],INDEX(합계표[사번키],$X583),상세표[기록월],대상월키,상세표[반영월],"&lt;&gt;"&amp;대상월키))</f>
        <v/>
      </c>
      <c r="J583" s="20">
        <f>IF($X583="","",SUMIFS(상세표[기록 시간외],상세표[사번키],INDEX(합계표[사번키],$X583),상세표[기록월],"&lt;&gt;"&amp;대상월키,상세표[반영월],대상월키))</f>
        <v/>
      </c>
      <c r="K583" s="20">
        <f>IF($X583="","",SUMIFS(상세표[기록 시간외],상세표[사번키],INDEX(합계표[사번키],$X583),상세표[반영월],대상월키))</f>
        <v/>
      </c>
      <c r="L583">
        <f>IF($X583="","",IFERROR(INDEX(월별근무지표[적용 급여병원],MATCH(INDEX(합계표[사번키],$X583)&amp;"|"&amp;대상월키,월별근무지표[키],0))&amp;"",IF(COUNTIF(기관표[사번키],INDEX(합계표[사번키],$X583))+COUNTIF(월별근무지표[사번키],INDEX(합계표[사번키],$X583))&gt;0,IFERROR(INDEX(기관표[급여지급병원(기준월)],MATCH(INDEX(합계표[사번키],$X583)&amp;"|"&amp;대상월키,기관표[키],0))&amp;"","—"),"—")))</f>
        <v/>
      </c>
      <c r="M583">
        <f>IF($X583="","",IF(NOT(COUNTIF(기관표[사번키],INDEX(합계표[사번키],$X583))+COUNTIF(월별근무지표[사번키],INDEX(합계표[사번키],$X583))&gt;0),"기관명단에 없음(다른 병원으로 발송)",IF($L583="서울병원","해당",IF(N($R583)&gt;0,"해당(말일 근무)",IF($L583="—","대상월 기관명단 없음(추가 필요)","비해당")))))</f>
        <v/>
      </c>
      <c r="N583" s="20">
        <f>IF($X583="","",SUMIFS(상세표[06~07시],상세표[사번키],INDEX(합계표[사번키],$X583),상세표[반영월],대상월키,상세표[반영 기관],"서울병원"))</f>
        <v/>
      </c>
      <c r="O583" s="20">
        <f>IF($X583="","",SUMIFS(상세표[07~18시],상세표[사번키],INDEX(합계표[사번키],$X583),상세표[반영월],대상월키,상세표[반영 기관],"서울병원"))</f>
        <v/>
      </c>
      <c r="P583" s="20">
        <f>IF($X583="","",SUMIFS(상세표[18~22시],상세표[사번키],INDEX(합계표[사번키],$X583),상세표[반영월],대상월키,상세표[반영 기관],"서울병원"))</f>
        <v/>
      </c>
      <c r="Q583" s="20">
        <f>IF($X583="","",SUMIFS(상세표[22~06시],상세표[사번키],INDEX(합계표[사번키],$X583),상세표[반영월],대상월키,상세표[반영 기관],"서울병원"))</f>
        <v/>
      </c>
      <c r="R583" s="20">
        <f>IF($X583="","",SUM($N583:$Q583))</f>
        <v/>
      </c>
      <c r="S583">
        <f>IF($X583="","",COUNTIFS(상세표[사번키],INDEX(합계표[사번키],$X583),상세표[반영월],대상월키,상세표[야간당직],1,상세표[야간 구분],"평일"))</f>
        <v/>
      </c>
      <c r="T583">
        <f>IF($X583="","",COUNTIFS(상세표[사번키],INDEX(합계표[사번키],$X583),상세표[반영월],대상월키,상세표[야간당직],1,상세표[야간 구분],"휴일"))</f>
        <v/>
      </c>
      <c r="U583">
        <f>IF($X583="","",COUNTIFS(상세표[사번키],INDEX(합계표[사번키],$X583),상세표[반영월],대상월키,상세표[야간당직],1,상세표[야간 구분],"평일",상세표[반영 기관],"서울병원"))</f>
        <v/>
      </c>
      <c r="V583">
        <f>IF($X583="","",COUNTIFS(상세표[사번키],INDEX(합계표[사번키],$X583),상세표[반영월],대상월키,상세표[야간당직],1,상세표[야간 구분],"휴일",상세표[반영 기관],"서울병원"))</f>
        <v/>
      </c>
      <c r="W583">
        <f>IF($X583="","",IF(ISNUMBER(MATCH(INDEX(합계표[사번키],$X583)&amp;"|"&amp;대상월키,월별근무지표[키],0)),"직접 입력",IF($L583="—","—","기관명단")))</f>
        <v/>
      </c>
      <c r="X583" s="4">
        <f>IFERROR(MATCH(578,합계표[판정순번],0),"")</f>
        <v/>
      </c>
    </row>
    <row r="584">
      <c r="A584">
        <f>IF($X584="","",INDEX(합계표[사번],$X584)&amp;"")</f>
        <v/>
      </c>
      <c r="B584">
        <f>IF($X584="","",INDEX(합계표[성명],$X584)&amp;"")</f>
        <v/>
      </c>
      <c r="C584">
        <f>IF($X584="","",INDEX(합계표[부서],$X584)&amp;"")</f>
        <v/>
      </c>
      <c r="D584">
        <f>IF($X584="","",INDEX(합계표[직위(요약)],$X584)&amp;"")</f>
        <v/>
      </c>
      <c r="E584">
        <f>IF($X584="","",INDEX(합계표[직급 공존],$X584)&amp;"")</f>
        <v/>
      </c>
      <c r="F584" s="20">
        <f>IF($X584="","",SUMIFS(합계표[시스템 합계],합계표[사번키],INDEX(합계표[사번키],$X584)))</f>
        <v/>
      </c>
      <c r="G584" s="20">
        <f>IF($X584="","",SUMIFS(상세표[기록 시간외],상세표[사번키],INDEX(합계표[사번키],$X584),상세표[기록월],대상월키))</f>
        <v/>
      </c>
      <c r="H584">
        <f>IF($X584="","",IF(ABS($F584-$G584)&lt;0.01,"일치","불일치(차이 "&amp;TEXT($G584-$F584,"0.00")&amp;")"))</f>
        <v/>
      </c>
      <c r="I584" s="20">
        <f>IF($X584="","",SUMIFS(상세표[기록 시간외],상세표[사번키],INDEX(합계표[사번키],$X584),상세표[기록월],대상월키,상세표[반영월],"&lt;&gt;"&amp;대상월키))</f>
        <v/>
      </c>
      <c r="J584" s="20">
        <f>IF($X584="","",SUMIFS(상세표[기록 시간외],상세표[사번키],INDEX(합계표[사번키],$X584),상세표[기록월],"&lt;&gt;"&amp;대상월키,상세표[반영월],대상월키))</f>
        <v/>
      </c>
      <c r="K584" s="20">
        <f>IF($X584="","",SUMIFS(상세표[기록 시간외],상세표[사번키],INDEX(합계표[사번키],$X584),상세표[반영월],대상월키))</f>
        <v/>
      </c>
      <c r="L584">
        <f>IF($X584="","",IFERROR(INDEX(월별근무지표[적용 급여병원],MATCH(INDEX(합계표[사번키],$X584)&amp;"|"&amp;대상월키,월별근무지표[키],0))&amp;"",IF(COUNTIF(기관표[사번키],INDEX(합계표[사번키],$X584))+COUNTIF(월별근무지표[사번키],INDEX(합계표[사번키],$X584))&gt;0,IFERROR(INDEX(기관표[급여지급병원(기준월)],MATCH(INDEX(합계표[사번키],$X584)&amp;"|"&amp;대상월키,기관표[키],0))&amp;"","—"),"—")))</f>
        <v/>
      </c>
      <c r="M584">
        <f>IF($X584="","",IF(NOT(COUNTIF(기관표[사번키],INDEX(합계표[사번키],$X584))+COUNTIF(월별근무지표[사번키],INDEX(합계표[사번키],$X584))&gt;0),"기관명단에 없음(다른 병원으로 발송)",IF($L584="서울병원","해당",IF(N($R584)&gt;0,"해당(말일 근무)",IF($L584="—","대상월 기관명단 없음(추가 필요)","비해당")))))</f>
        <v/>
      </c>
      <c r="N584" s="20">
        <f>IF($X584="","",SUMIFS(상세표[06~07시],상세표[사번키],INDEX(합계표[사번키],$X584),상세표[반영월],대상월키,상세표[반영 기관],"서울병원"))</f>
        <v/>
      </c>
      <c r="O584" s="20">
        <f>IF($X584="","",SUMIFS(상세표[07~18시],상세표[사번키],INDEX(합계표[사번키],$X584),상세표[반영월],대상월키,상세표[반영 기관],"서울병원"))</f>
        <v/>
      </c>
      <c r="P584" s="20">
        <f>IF($X584="","",SUMIFS(상세표[18~22시],상세표[사번키],INDEX(합계표[사번키],$X584),상세표[반영월],대상월키,상세표[반영 기관],"서울병원"))</f>
        <v/>
      </c>
      <c r="Q584" s="20">
        <f>IF($X584="","",SUMIFS(상세표[22~06시],상세표[사번키],INDEX(합계표[사번키],$X584),상세표[반영월],대상월키,상세표[반영 기관],"서울병원"))</f>
        <v/>
      </c>
      <c r="R584" s="20">
        <f>IF($X584="","",SUM($N584:$Q584))</f>
        <v/>
      </c>
      <c r="S584">
        <f>IF($X584="","",COUNTIFS(상세표[사번키],INDEX(합계표[사번키],$X584),상세표[반영월],대상월키,상세표[야간당직],1,상세표[야간 구분],"평일"))</f>
        <v/>
      </c>
      <c r="T584">
        <f>IF($X584="","",COUNTIFS(상세표[사번키],INDEX(합계표[사번키],$X584),상세표[반영월],대상월키,상세표[야간당직],1,상세표[야간 구분],"휴일"))</f>
        <v/>
      </c>
      <c r="U584">
        <f>IF($X584="","",COUNTIFS(상세표[사번키],INDEX(합계표[사번키],$X584),상세표[반영월],대상월키,상세표[야간당직],1,상세표[야간 구분],"평일",상세표[반영 기관],"서울병원"))</f>
        <v/>
      </c>
      <c r="V584">
        <f>IF($X584="","",COUNTIFS(상세표[사번키],INDEX(합계표[사번키],$X584),상세표[반영월],대상월키,상세표[야간당직],1,상세표[야간 구분],"휴일",상세표[반영 기관],"서울병원"))</f>
        <v/>
      </c>
      <c r="W584">
        <f>IF($X584="","",IF(ISNUMBER(MATCH(INDEX(합계표[사번키],$X584)&amp;"|"&amp;대상월키,월별근무지표[키],0)),"직접 입력",IF($L584="—","—","기관명단")))</f>
        <v/>
      </c>
      <c r="X584" s="4">
        <f>IFERROR(MATCH(579,합계표[판정순번],0),"")</f>
        <v/>
      </c>
    </row>
    <row r="585">
      <c r="A585">
        <f>IF($X585="","",INDEX(합계표[사번],$X585)&amp;"")</f>
        <v/>
      </c>
      <c r="B585">
        <f>IF($X585="","",INDEX(합계표[성명],$X585)&amp;"")</f>
        <v/>
      </c>
      <c r="C585">
        <f>IF($X585="","",INDEX(합계표[부서],$X585)&amp;"")</f>
        <v/>
      </c>
      <c r="D585">
        <f>IF($X585="","",INDEX(합계표[직위(요약)],$X585)&amp;"")</f>
        <v/>
      </c>
      <c r="E585">
        <f>IF($X585="","",INDEX(합계표[직급 공존],$X585)&amp;"")</f>
        <v/>
      </c>
      <c r="F585" s="20">
        <f>IF($X585="","",SUMIFS(합계표[시스템 합계],합계표[사번키],INDEX(합계표[사번키],$X585)))</f>
        <v/>
      </c>
      <c r="G585" s="20">
        <f>IF($X585="","",SUMIFS(상세표[기록 시간외],상세표[사번키],INDEX(합계표[사번키],$X585),상세표[기록월],대상월키))</f>
        <v/>
      </c>
      <c r="H585">
        <f>IF($X585="","",IF(ABS($F585-$G585)&lt;0.01,"일치","불일치(차이 "&amp;TEXT($G585-$F585,"0.00")&amp;")"))</f>
        <v/>
      </c>
      <c r="I585" s="20">
        <f>IF($X585="","",SUMIFS(상세표[기록 시간외],상세표[사번키],INDEX(합계표[사번키],$X585),상세표[기록월],대상월키,상세표[반영월],"&lt;&gt;"&amp;대상월키))</f>
        <v/>
      </c>
      <c r="J585" s="20">
        <f>IF($X585="","",SUMIFS(상세표[기록 시간외],상세표[사번키],INDEX(합계표[사번키],$X585),상세표[기록월],"&lt;&gt;"&amp;대상월키,상세표[반영월],대상월키))</f>
        <v/>
      </c>
      <c r="K585" s="20">
        <f>IF($X585="","",SUMIFS(상세표[기록 시간외],상세표[사번키],INDEX(합계표[사번키],$X585),상세표[반영월],대상월키))</f>
        <v/>
      </c>
      <c r="L585">
        <f>IF($X585="","",IFERROR(INDEX(월별근무지표[적용 급여병원],MATCH(INDEX(합계표[사번키],$X585)&amp;"|"&amp;대상월키,월별근무지표[키],0))&amp;"",IF(COUNTIF(기관표[사번키],INDEX(합계표[사번키],$X585))+COUNTIF(월별근무지표[사번키],INDEX(합계표[사번키],$X585))&gt;0,IFERROR(INDEX(기관표[급여지급병원(기준월)],MATCH(INDEX(합계표[사번키],$X585)&amp;"|"&amp;대상월키,기관표[키],0))&amp;"","—"),"—")))</f>
        <v/>
      </c>
      <c r="M585">
        <f>IF($X585="","",IF(NOT(COUNTIF(기관표[사번키],INDEX(합계표[사번키],$X585))+COUNTIF(월별근무지표[사번키],INDEX(합계표[사번키],$X585))&gt;0),"기관명단에 없음(다른 병원으로 발송)",IF($L585="서울병원","해당",IF(N($R585)&gt;0,"해당(말일 근무)",IF($L585="—","대상월 기관명단 없음(추가 필요)","비해당")))))</f>
        <v/>
      </c>
      <c r="N585" s="20">
        <f>IF($X585="","",SUMIFS(상세표[06~07시],상세표[사번키],INDEX(합계표[사번키],$X585),상세표[반영월],대상월키,상세표[반영 기관],"서울병원"))</f>
        <v/>
      </c>
      <c r="O585" s="20">
        <f>IF($X585="","",SUMIFS(상세표[07~18시],상세표[사번키],INDEX(합계표[사번키],$X585),상세표[반영월],대상월키,상세표[반영 기관],"서울병원"))</f>
        <v/>
      </c>
      <c r="P585" s="20">
        <f>IF($X585="","",SUMIFS(상세표[18~22시],상세표[사번키],INDEX(합계표[사번키],$X585),상세표[반영월],대상월키,상세표[반영 기관],"서울병원"))</f>
        <v/>
      </c>
      <c r="Q585" s="20">
        <f>IF($X585="","",SUMIFS(상세표[22~06시],상세표[사번키],INDEX(합계표[사번키],$X585),상세표[반영월],대상월키,상세표[반영 기관],"서울병원"))</f>
        <v/>
      </c>
      <c r="R585" s="20">
        <f>IF($X585="","",SUM($N585:$Q585))</f>
        <v/>
      </c>
      <c r="S585">
        <f>IF($X585="","",COUNTIFS(상세표[사번키],INDEX(합계표[사번키],$X585),상세표[반영월],대상월키,상세표[야간당직],1,상세표[야간 구분],"평일"))</f>
        <v/>
      </c>
      <c r="T585">
        <f>IF($X585="","",COUNTIFS(상세표[사번키],INDEX(합계표[사번키],$X585),상세표[반영월],대상월키,상세표[야간당직],1,상세표[야간 구분],"휴일"))</f>
        <v/>
      </c>
      <c r="U585">
        <f>IF($X585="","",COUNTIFS(상세표[사번키],INDEX(합계표[사번키],$X585),상세표[반영월],대상월키,상세표[야간당직],1,상세표[야간 구분],"평일",상세표[반영 기관],"서울병원"))</f>
        <v/>
      </c>
      <c r="V585">
        <f>IF($X585="","",COUNTIFS(상세표[사번키],INDEX(합계표[사번키],$X585),상세표[반영월],대상월키,상세표[야간당직],1,상세표[야간 구분],"휴일",상세표[반영 기관],"서울병원"))</f>
        <v/>
      </c>
      <c r="W585">
        <f>IF($X585="","",IF(ISNUMBER(MATCH(INDEX(합계표[사번키],$X585)&amp;"|"&amp;대상월키,월별근무지표[키],0)),"직접 입력",IF($L585="—","—","기관명단")))</f>
        <v/>
      </c>
      <c r="X585" s="4">
        <f>IFERROR(MATCH(580,합계표[판정순번],0),"")</f>
        <v/>
      </c>
    </row>
    <row r="586">
      <c r="A586">
        <f>IF($X586="","",INDEX(합계표[사번],$X586)&amp;"")</f>
        <v/>
      </c>
      <c r="B586">
        <f>IF($X586="","",INDEX(합계표[성명],$X586)&amp;"")</f>
        <v/>
      </c>
      <c r="C586">
        <f>IF($X586="","",INDEX(합계표[부서],$X586)&amp;"")</f>
        <v/>
      </c>
      <c r="D586">
        <f>IF($X586="","",INDEX(합계표[직위(요약)],$X586)&amp;"")</f>
        <v/>
      </c>
      <c r="E586">
        <f>IF($X586="","",INDEX(합계표[직급 공존],$X586)&amp;"")</f>
        <v/>
      </c>
      <c r="F586" s="20">
        <f>IF($X586="","",SUMIFS(합계표[시스템 합계],합계표[사번키],INDEX(합계표[사번키],$X586)))</f>
        <v/>
      </c>
      <c r="G586" s="20">
        <f>IF($X586="","",SUMIFS(상세표[기록 시간외],상세표[사번키],INDEX(합계표[사번키],$X586),상세표[기록월],대상월키))</f>
        <v/>
      </c>
      <c r="H586">
        <f>IF($X586="","",IF(ABS($F586-$G586)&lt;0.01,"일치","불일치(차이 "&amp;TEXT($G586-$F586,"0.00")&amp;")"))</f>
        <v/>
      </c>
      <c r="I586" s="20">
        <f>IF($X586="","",SUMIFS(상세표[기록 시간외],상세표[사번키],INDEX(합계표[사번키],$X586),상세표[기록월],대상월키,상세표[반영월],"&lt;&gt;"&amp;대상월키))</f>
        <v/>
      </c>
      <c r="J586" s="20">
        <f>IF($X586="","",SUMIFS(상세표[기록 시간외],상세표[사번키],INDEX(합계표[사번키],$X586),상세표[기록월],"&lt;&gt;"&amp;대상월키,상세표[반영월],대상월키))</f>
        <v/>
      </c>
      <c r="K586" s="20">
        <f>IF($X586="","",SUMIFS(상세표[기록 시간외],상세표[사번키],INDEX(합계표[사번키],$X586),상세표[반영월],대상월키))</f>
        <v/>
      </c>
      <c r="L586">
        <f>IF($X586="","",IFERROR(INDEX(월별근무지표[적용 급여병원],MATCH(INDEX(합계표[사번키],$X586)&amp;"|"&amp;대상월키,월별근무지표[키],0))&amp;"",IF(COUNTIF(기관표[사번키],INDEX(합계표[사번키],$X586))+COUNTIF(월별근무지표[사번키],INDEX(합계표[사번키],$X586))&gt;0,IFERROR(INDEX(기관표[급여지급병원(기준월)],MATCH(INDEX(합계표[사번키],$X586)&amp;"|"&amp;대상월키,기관표[키],0))&amp;"","—"),"—")))</f>
        <v/>
      </c>
      <c r="M586">
        <f>IF($X586="","",IF(NOT(COUNTIF(기관표[사번키],INDEX(합계표[사번키],$X586))+COUNTIF(월별근무지표[사번키],INDEX(합계표[사번키],$X586))&gt;0),"기관명단에 없음(다른 병원으로 발송)",IF($L586="서울병원","해당",IF(N($R586)&gt;0,"해당(말일 근무)",IF($L586="—","대상월 기관명단 없음(추가 필요)","비해당")))))</f>
        <v/>
      </c>
      <c r="N586" s="20">
        <f>IF($X586="","",SUMIFS(상세표[06~07시],상세표[사번키],INDEX(합계표[사번키],$X586),상세표[반영월],대상월키,상세표[반영 기관],"서울병원"))</f>
        <v/>
      </c>
      <c r="O586" s="20">
        <f>IF($X586="","",SUMIFS(상세표[07~18시],상세표[사번키],INDEX(합계표[사번키],$X586),상세표[반영월],대상월키,상세표[반영 기관],"서울병원"))</f>
        <v/>
      </c>
      <c r="P586" s="20">
        <f>IF($X586="","",SUMIFS(상세표[18~22시],상세표[사번키],INDEX(합계표[사번키],$X586),상세표[반영월],대상월키,상세표[반영 기관],"서울병원"))</f>
        <v/>
      </c>
      <c r="Q586" s="20">
        <f>IF($X586="","",SUMIFS(상세표[22~06시],상세표[사번키],INDEX(합계표[사번키],$X586),상세표[반영월],대상월키,상세표[반영 기관],"서울병원"))</f>
        <v/>
      </c>
      <c r="R586" s="20">
        <f>IF($X586="","",SUM($N586:$Q586))</f>
        <v/>
      </c>
      <c r="S586">
        <f>IF($X586="","",COUNTIFS(상세표[사번키],INDEX(합계표[사번키],$X586),상세표[반영월],대상월키,상세표[야간당직],1,상세표[야간 구분],"평일"))</f>
        <v/>
      </c>
      <c r="T586">
        <f>IF($X586="","",COUNTIFS(상세표[사번키],INDEX(합계표[사번키],$X586),상세표[반영월],대상월키,상세표[야간당직],1,상세표[야간 구분],"휴일"))</f>
        <v/>
      </c>
      <c r="U586">
        <f>IF($X586="","",COUNTIFS(상세표[사번키],INDEX(합계표[사번키],$X586),상세표[반영월],대상월키,상세표[야간당직],1,상세표[야간 구분],"평일",상세표[반영 기관],"서울병원"))</f>
        <v/>
      </c>
      <c r="V586">
        <f>IF($X586="","",COUNTIFS(상세표[사번키],INDEX(합계표[사번키],$X586),상세표[반영월],대상월키,상세표[야간당직],1,상세표[야간 구분],"휴일",상세표[반영 기관],"서울병원"))</f>
        <v/>
      </c>
      <c r="W586">
        <f>IF($X586="","",IF(ISNUMBER(MATCH(INDEX(합계표[사번키],$X586)&amp;"|"&amp;대상월키,월별근무지표[키],0)),"직접 입력",IF($L586="—","—","기관명단")))</f>
        <v/>
      </c>
      <c r="X586" s="4">
        <f>IFERROR(MATCH(581,합계표[판정순번],0),"")</f>
        <v/>
      </c>
    </row>
    <row r="587">
      <c r="A587">
        <f>IF($X587="","",INDEX(합계표[사번],$X587)&amp;"")</f>
        <v/>
      </c>
      <c r="B587">
        <f>IF($X587="","",INDEX(합계표[성명],$X587)&amp;"")</f>
        <v/>
      </c>
      <c r="C587">
        <f>IF($X587="","",INDEX(합계표[부서],$X587)&amp;"")</f>
        <v/>
      </c>
      <c r="D587">
        <f>IF($X587="","",INDEX(합계표[직위(요약)],$X587)&amp;"")</f>
        <v/>
      </c>
      <c r="E587">
        <f>IF($X587="","",INDEX(합계표[직급 공존],$X587)&amp;"")</f>
        <v/>
      </c>
      <c r="F587" s="20">
        <f>IF($X587="","",SUMIFS(합계표[시스템 합계],합계표[사번키],INDEX(합계표[사번키],$X587)))</f>
        <v/>
      </c>
      <c r="G587" s="20">
        <f>IF($X587="","",SUMIFS(상세표[기록 시간외],상세표[사번키],INDEX(합계표[사번키],$X587),상세표[기록월],대상월키))</f>
        <v/>
      </c>
      <c r="H587">
        <f>IF($X587="","",IF(ABS($F587-$G587)&lt;0.01,"일치","불일치(차이 "&amp;TEXT($G587-$F587,"0.00")&amp;")"))</f>
        <v/>
      </c>
      <c r="I587" s="20">
        <f>IF($X587="","",SUMIFS(상세표[기록 시간외],상세표[사번키],INDEX(합계표[사번키],$X587),상세표[기록월],대상월키,상세표[반영월],"&lt;&gt;"&amp;대상월키))</f>
        <v/>
      </c>
      <c r="J587" s="20">
        <f>IF($X587="","",SUMIFS(상세표[기록 시간외],상세표[사번키],INDEX(합계표[사번키],$X587),상세표[기록월],"&lt;&gt;"&amp;대상월키,상세표[반영월],대상월키))</f>
        <v/>
      </c>
      <c r="K587" s="20">
        <f>IF($X587="","",SUMIFS(상세표[기록 시간외],상세표[사번키],INDEX(합계표[사번키],$X587),상세표[반영월],대상월키))</f>
        <v/>
      </c>
      <c r="L587">
        <f>IF($X587="","",IFERROR(INDEX(월별근무지표[적용 급여병원],MATCH(INDEX(합계표[사번키],$X587)&amp;"|"&amp;대상월키,월별근무지표[키],0))&amp;"",IF(COUNTIF(기관표[사번키],INDEX(합계표[사번키],$X587))+COUNTIF(월별근무지표[사번키],INDEX(합계표[사번키],$X587))&gt;0,IFERROR(INDEX(기관표[급여지급병원(기준월)],MATCH(INDEX(합계표[사번키],$X587)&amp;"|"&amp;대상월키,기관표[키],0))&amp;"","—"),"—")))</f>
        <v/>
      </c>
      <c r="M587">
        <f>IF($X587="","",IF(NOT(COUNTIF(기관표[사번키],INDEX(합계표[사번키],$X587))+COUNTIF(월별근무지표[사번키],INDEX(합계표[사번키],$X587))&gt;0),"기관명단에 없음(다른 병원으로 발송)",IF($L587="서울병원","해당",IF(N($R587)&gt;0,"해당(말일 근무)",IF($L587="—","대상월 기관명단 없음(추가 필요)","비해당")))))</f>
        <v/>
      </c>
      <c r="N587" s="20">
        <f>IF($X587="","",SUMIFS(상세표[06~07시],상세표[사번키],INDEX(합계표[사번키],$X587),상세표[반영월],대상월키,상세표[반영 기관],"서울병원"))</f>
        <v/>
      </c>
      <c r="O587" s="20">
        <f>IF($X587="","",SUMIFS(상세표[07~18시],상세표[사번키],INDEX(합계표[사번키],$X587),상세표[반영월],대상월키,상세표[반영 기관],"서울병원"))</f>
        <v/>
      </c>
      <c r="P587" s="20">
        <f>IF($X587="","",SUMIFS(상세표[18~22시],상세표[사번키],INDEX(합계표[사번키],$X587),상세표[반영월],대상월키,상세표[반영 기관],"서울병원"))</f>
        <v/>
      </c>
      <c r="Q587" s="20">
        <f>IF($X587="","",SUMIFS(상세표[22~06시],상세표[사번키],INDEX(합계표[사번키],$X587),상세표[반영월],대상월키,상세표[반영 기관],"서울병원"))</f>
        <v/>
      </c>
      <c r="R587" s="20">
        <f>IF($X587="","",SUM($N587:$Q587))</f>
        <v/>
      </c>
      <c r="S587">
        <f>IF($X587="","",COUNTIFS(상세표[사번키],INDEX(합계표[사번키],$X587),상세표[반영월],대상월키,상세표[야간당직],1,상세표[야간 구분],"평일"))</f>
        <v/>
      </c>
      <c r="T587">
        <f>IF($X587="","",COUNTIFS(상세표[사번키],INDEX(합계표[사번키],$X587),상세표[반영월],대상월키,상세표[야간당직],1,상세표[야간 구분],"휴일"))</f>
        <v/>
      </c>
      <c r="U587">
        <f>IF($X587="","",COUNTIFS(상세표[사번키],INDEX(합계표[사번키],$X587),상세표[반영월],대상월키,상세표[야간당직],1,상세표[야간 구분],"평일",상세표[반영 기관],"서울병원"))</f>
        <v/>
      </c>
      <c r="V587">
        <f>IF($X587="","",COUNTIFS(상세표[사번키],INDEX(합계표[사번키],$X587),상세표[반영월],대상월키,상세표[야간당직],1,상세표[야간 구분],"휴일",상세표[반영 기관],"서울병원"))</f>
        <v/>
      </c>
      <c r="W587">
        <f>IF($X587="","",IF(ISNUMBER(MATCH(INDEX(합계표[사번키],$X587)&amp;"|"&amp;대상월키,월별근무지표[키],0)),"직접 입력",IF($L587="—","—","기관명단")))</f>
        <v/>
      </c>
      <c r="X587" s="4">
        <f>IFERROR(MATCH(582,합계표[판정순번],0),"")</f>
        <v/>
      </c>
    </row>
    <row r="588">
      <c r="A588">
        <f>IF($X588="","",INDEX(합계표[사번],$X588)&amp;"")</f>
        <v/>
      </c>
      <c r="B588">
        <f>IF($X588="","",INDEX(합계표[성명],$X588)&amp;"")</f>
        <v/>
      </c>
      <c r="C588">
        <f>IF($X588="","",INDEX(합계표[부서],$X588)&amp;"")</f>
        <v/>
      </c>
      <c r="D588">
        <f>IF($X588="","",INDEX(합계표[직위(요약)],$X588)&amp;"")</f>
        <v/>
      </c>
      <c r="E588">
        <f>IF($X588="","",INDEX(합계표[직급 공존],$X588)&amp;"")</f>
        <v/>
      </c>
      <c r="F588" s="20">
        <f>IF($X588="","",SUMIFS(합계표[시스템 합계],합계표[사번키],INDEX(합계표[사번키],$X588)))</f>
        <v/>
      </c>
      <c r="G588" s="20">
        <f>IF($X588="","",SUMIFS(상세표[기록 시간외],상세표[사번키],INDEX(합계표[사번키],$X588),상세표[기록월],대상월키))</f>
        <v/>
      </c>
      <c r="H588">
        <f>IF($X588="","",IF(ABS($F588-$G588)&lt;0.01,"일치","불일치(차이 "&amp;TEXT($G588-$F588,"0.00")&amp;")"))</f>
        <v/>
      </c>
      <c r="I588" s="20">
        <f>IF($X588="","",SUMIFS(상세표[기록 시간외],상세표[사번키],INDEX(합계표[사번키],$X588),상세표[기록월],대상월키,상세표[반영월],"&lt;&gt;"&amp;대상월키))</f>
        <v/>
      </c>
      <c r="J588" s="20">
        <f>IF($X588="","",SUMIFS(상세표[기록 시간외],상세표[사번키],INDEX(합계표[사번키],$X588),상세표[기록월],"&lt;&gt;"&amp;대상월키,상세표[반영월],대상월키))</f>
        <v/>
      </c>
      <c r="K588" s="20">
        <f>IF($X588="","",SUMIFS(상세표[기록 시간외],상세표[사번키],INDEX(합계표[사번키],$X588),상세표[반영월],대상월키))</f>
        <v/>
      </c>
      <c r="L588">
        <f>IF($X588="","",IFERROR(INDEX(월별근무지표[적용 급여병원],MATCH(INDEX(합계표[사번키],$X588)&amp;"|"&amp;대상월키,월별근무지표[키],0))&amp;"",IF(COUNTIF(기관표[사번키],INDEX(합계표[사번키],$X588))+COUNTIF(월별근무지표[사번키],INDEX(합계표[사번키],$X588))&gt;0,IFERROR(INDEX(기관표[급여지급병원(기준월)],MATCH(INDEX(합계표[사번키],$X588)&amp;"|"&amp;대상월키,기관표[키],0))&amp;"","—"),"—")))</f>
        <v/>
      </c>
      <c r="M588">
        <f>IF($X588="","",IF(NOT(COUNTIF(기관표[사번키],INDEX(합계표[사번키],$X588))+COUNTIF(월별근무지표[사번키],INDEX(합계표[사번키],$X588))&gt;0),"기관명단에 없음(다른 병원으로 발송)",IF($L588="서울병원","해당",IF(N($R588)&gt;0,"해당(말일 근무)",IF($L588="—","대상월 기관명단 없음(추가 필요)","비해당")))))</f>
        <v/>
      </c>
      <c r="N588" s="20">
        <f>IF($X588="","",SUMIFS(상세표[06~07시],상세표[사번키],INDEX(합계표[사번키],$X588),상세표[반영월],대상월키,상세표[반영 기관],"서울병원"))</f>
        <v/>
      </c>
      <c r="O588" s="20">
        <f>IF($X588="","",SUMIFS(상세표[07~18시],상세표[사번키],INDEX(합계표[사번키],$X588),상세표[반영월],대상월키,상세표[반영 기관],"서울병원"))</f>
        <v/>
      </c>
      <c r="P588" s="20">
        <f>IF($X588="","",SUMIFS(상세표[18~22시],상세표[사번키],INDEX(합계표[사번키],$X588),상세표[반영월],대상월키,상세표[반영 기관],"서울병원"))</f>
        <v/>
      </c>
      <c r="Q588" s="20">
        <f>IF($X588="","",SUMIFS(상세표[22~06시],상세표[사번키],INDEX(합계표[사번키],$X588),상세표[반영월],대상월키,상세표[반영 기관],"서울병원"))</f>
        <v/>
      </c>
      <c r="R588" s="20">
        <f>IF($X588="","",SUM($N588:$Q588))</f>
        <v/>
      </c>
      <c r="S588">
        <f>IF($X588="","",COUNTIFS(상세표[사번키],INDEX(합계표[사번키],$X588),상세표[반영월],대상월키,상세표[야간당직],1,상세표[야간 구분],"평일"))</f>
        <v/>
      </c>
      <c r="T588">
        <f>IF($X588="","",COUNTIFS(상세표[사번키],INDEX(합계표[사번키],$X588),상세표[반영월],대상월키,상세표[야간당직],1,상세표[야간 구분],"휴일"))</f>
        <v/>
      </c>
      <c r="U588">
        <f>IF($X588="","",COUNTIFS(상세표[사번키],INDEX(합계표[사번키],$X588),상세표[반영월],대상월키,상세표[야간당직],1,상세표[야간 구분],"평일",상세표[반영 기관],"서울병원"))</f>
        <v/>
      </c>
      <c r="V588">
        <f>IF($X588="","",COUNTIFS(상세표[사번키],INDEX(합계표[사번키],$X588),상세표[반영월],대상월키,상세표[야간당직],1,상세표[야간 구분],"휴일",상세표[반영 기관],"서울병원"))</f>
        <v/>
      </c>
      <c r="W588">
        <f>IF($X588="","",IF(ISNUMBER(MATCH(INDEX(합계표[사번키],$X588)&amp;"|"&amp;대상월키,월별근무지표[키],0)),"직접 입력",IF($L588="—","—","기관명단")))</f>
        <v/>
      </c>
      <c r="X588" s="4">
        <f>IFERROR(MATCH(583,합계표[판정순번],0),"")</f>
        <v/>
      </c>
    </row>
    <row r="589">
      <c r="A589">
        <f>IF($X589="","",INDEX(합계표[사번],$X589)&amp;"")</f>
        <v/>
      </c>
      <c r="B589">
        <f>IF($X589="","",INDEX(합계표[성명],$X589)&amp;"")</f>
        <v/>
      </c>
      <c r="C589">
        <f>IF($X589="","",INDEX(합계표[부서],$X589)&amp;"")</f>
        <v/>
      </c>
      <c r="D589">
        <f>IF($X589="","",INDEX(합계표[직위(요약)],$X589)&amp;"")</f>
        <v/>
      </c>
      <c r="E589">
        <f>IF($X589="","",INDEX(합계표[직급 공존],$X589)&amp;"")</f>
        <v/>
      </c>
      <c r="F589" s="20">
        <f>IF($X589="","",SUMIFS(합계표[시스템 합계],합계표[사번키],INDEX(합계표[사번키],$X589)))</f>
        <v/>
      </c>
      <c r="G589" s="20">
        <f>IF($X589="","",SUMIFS(상세표[기록 시간외],상세표[사번키],INDEX(합계표[사번키],$X589),상세표[기록월],대상월키))</f>
        <v/>
      </c>
      <c r="H589">
        <f>IF($X589="","",IF(ABS($F589-$G589)&lt;0.01,"일치","불일치(차이 "&amp;TEXT($G589-$F589,"0.00")&amp;")"))</f>
        <v/>
      </c>
      <c r="I589" s="20">
        <f>IF($X589="","",SUMIFS(상세표[기록 시간외],상세표[사번키],INDEX(합계표[사번키],$X589),상세표[기록월],대상월키,상세표[반영월],"&lt;&gt;"&amp;대상월키))</f>
        <v/>
      </c>
      <c r="J589" s="20">
        <f>IF($X589="","",SUMIFS(상세표[기록 시간외],상세표[사번키],INDEX(합계표[사번키],$X589),상세표[기록월],"&lt;&gt;"&amp;대상월키,상세표[반영월],대상월키))</f>
        <v/>
      </c>
      <c r="K589" s="20">
        <f>IF($X589="","",SUMIFS(상세표[기록 시간외],상세표[사번키],INDEX(합계표[사번키],$X589),상세표[반영월],대상월키))</f>
        <v/>
      </c>
      <c r="L589">
        <f>IF($X589="","",IFERROR(INDEX(월별근무지표[적용 급여병원],MATCH(INDEX(합계표[사번키],$X589)&amp;"|"&amp;대상월키,월별근무지표[키],0))&amp;"",IF(COUNTIF(기관표[사번키],INDEX(합계표[사번키],$X589))+COUNTIF(월별근무지표[사번키],INDEX(합계표[사번키],$X589))&gt;0,IFERROR(INDEX(기관표[급여지급병원(기준월)],MATCH(INDEX(합계표[사번키],$X589)&amp;"|"&amp;대상월키,기관표[키],0))&amp;"","—"),"—")))</f>
        <v/>
      </c>
      <c r="M589">
        <f>IF($X589="","",IF(NOT(COUNTIF(기관표[사번키],INDEX(합계표[사번키],$X589))+COUNTIF(월별근무지표[사번키],INDEX(합계표[사번키],$X589))&gt;0),"기관명단에 없음(다른 병원으로 발송)",IF($L589="서울병원","해당",IF(N($R589)&gt;0,"해당(말일 근무)",IF($L589="—","대상월 기관명단 없음(추가 필요)","비해당")))))</f>
        <v/>
      </c>
      <c r="N589" s="20">
        <f>IF($X589="","",SUMIFS(상세표[06~07시],상세표[사번키],INDEX(합계표[사번키],$X589),상세표[반영월],대상월키,상세표[반영 기관],"서울병원"))</f>
        <v/>
      </c>
      <c r="O589" s="20">
        <f>IF($X589="","",SUMIFS(상세표[07~18시],상세표[사번키],INDEX(합계표[사번키],$X589),상세표[반영월],대상월키,상세표[반영 기관],"서울병원"))</f>
        <v/>
      </c>
      <c r="P589" s="20">
        <f>IF($X589="","",SUMIFS(상세표[18~22시],상세표[사번키],INDEX(합계표[사번키],$X589),상세표[반영월],대상월키,상세표[반영 기관],"서울병원"))</f>
        <v/>
      </c>
      <c r="Q589" s="20">
        <f>IF($X589="","",SUMIFS(상세표[22~06시],상세표[사번키],INDEX(합계표[사번키],$X589),상세표[반영월],대상월키,상세표[반영 기관],"서울병원"))</f>
        <v/>
      </c>
      <c r="R589" s="20">
        <f>IF($X589="","",SUM($N589:$Q589))</f>
        <v/>
      </c>
      <c r="S589">
        <f>IF($X589="","",COUNTIFS(상세표[사번키],INDEX(합계표[사번키],$X589),상세표[반영월],대상월키,상세표[야간당직],1,상세표[야간 구분],"평일"))</f>
        <v/>
      </c>
      <c r="T589">
        <f>IF($X589="","",COUNTIFS(상세표[사번키],INDEX(합계표[사번키],$X589),상세표[반영월],대상월키,상세표[야간당직],1,상세표[야간 구분],"휴일"))</f>
        <v/>
      </c>
      <c r="U589">
        <f>IF($X589="","",COUNTIFS(상세표[사번키],INDEX(합계표[사번키],$X589),상세표[반영월],대상월키,상세표[야간당직],1,상세표[야간 구분],"평일",상세표[반영 기관],"서울병원"))</f>
        <v/>
      </c>
      <c r="V589">
        <f>IF($X589="","",COUNTIFS(상세표[사번키],INDEX(합계표[사번키],$X589),상세표[반영월],대상월키,상세표[야간당직],1,상세표[야간 구분],"휴일",상세표[반영 기관],"서울병원"))</f>
        <v/>
      </c>
      <c r="W589">
        <f>IF($X589="","",IF(ISNUMBER(MATCH(INDEX(합계표[사번키],$X589)&amp;"|"&amp;대상월키,월별근무지표[키],0)),"직접 입력",IF($L589="—","—","기관명단")))</f>
        <v/>
      </c>
      <c r="X589" s="4">
        <f>IFERROR(MATCH(584,합계표[판정순번],0),"")</f>
        <v/>
      </c>
    </row>
    <row r="590">
      <c r="A590">
        <f>IF($X590="","",INDEX(합계표[사번],$X590)&amp;"")</f>
        <v/>
      </c>
      <c r="B590">
        <f>IF($X590="","",INDEX(합계표[성명],$X590)&amp;"")</f>
        <v/>
      </c>
      <c r="C590">
        <f>IF($X590="","",INDEX(합계표[부서],$X590)&amp;"")</f>
        <v/>
      </c>
      <c r="D590">
        <f>IF($X590="","",INDEX(합계표[직위(요약)],$X590)&amp;"")</f>
        <v/>
      </c>
      <c r="E590">
        <f>IF($X590="","",INDEX(합계표[직급 공존],$X590)&amp;"")</f>
        <v/>
      </c>
      <c r="F590" s="20">
        <f>IF($X590="","",SUMIFS(합계표[시스템 합계],합계표[사번키],INDEX(합계표[사번키],$X590)))</f>
        <v/>
      </c>
      <c r="G590" s="20">
        <f>IF($X590="","",SUMIFS(상세표[기록 시간외],상세표[사번키],INDEX(합계표[사번키],$X590),상세표[기록월],대상월키))</f>
        <v/>
      </c>
      <c r="H590">
        <f>IF($X590="","",IF(ABS($F590-$G590)&lt;0.01,"일치","불일치(차이 "&amp;TEXT($G590-$F590,"0.00")&amp;")"))</f>
        <v/>
      </c>
      <c r="I590" s="20">
        <f>IF($X590="","",SUMIFS(상세표[기록 시간외],상세표[사번키],INDEX(합계표[사번키],$X590),상세표[기록월],대상월키,상세표[반영월],"&lt;&gt;"&amp;대상월키))</f>
        <v/>
      </c>
      <c r="J590" s="20">
        <f>IF($X590="","",SUMIFS(상세표[기록 시간외],상세표[사번키],INDEX(합계표[사번키],$X590),상세표[기록월],"&lt;&gt;"&amp;대상월키,상세표[반영월],대상월키))</f>
        <v/>
      </c>
      <c r="K590" s="20">
        <f>IF($X590="","",SUMIFS(상세표[기록 시간외],상세표[사번키],INDEX(합계표[사번키],$X590),상세표[반영월],대상월키))</f>
        <v/>
      </c>
      <c r="L590">
        <f>IF($X590="","",IFERROR(INDEX(월별근무지표[적용 급여병원],MATCH(INDEX(합계표[사번키],$X590)&amp;"|"&amp;대상월키,월별근무지표[키],0))&amp;"",IF(COUNTIF(기관표[사번키],INDEX(합계표[사번키],$X590))+COUNTIF(월별근무지표[사번키],INDEX(합계표[사번키],$X590))&gt;0,IFERROR(INDEX(기관표[급여지급병원(기준월)],MATCH(INDEX(합계표[사번키],$X590)&amp;"|"&amp;대상월키,기관표[키],0))&amp;"","—"),"—")))</f>
        <v/>
      </c>
      <c r="M590">
        <f>IF($X590="","",IF(NOT(COUNTIF(기관표[사번키],INDEX(합계표[사번키],$X590))+COUNTIF(월별근무지표[사번키],INDEX(합계표[사번키],$X590))&gt;0),"기관명단에 없음(다른 병원으로 발송)",IF($L590="서울병원","해당",IF(N($R590)&gt;0,"해당(말일 근무)",IF($L590="—","대상월 기관명단 없음(추가 필요)","비해당")))))</f>
        <v/>
      </c>
      <c r="N590" s="20">
        <f>IF($X590="","",SUMIFS(상세표[06~07시],상세표[사번키],INDEX(합계표[사번키],$X590),상세표[반영월],대상월키,상세표[반영 기관],"서울병원"))</f>
        <v/>
      </c>
      <c r="O590" s="20">
        <f>IF($X590="","",SUMIFS(상세표[07~18시],상세표[사번키],INDEX(합계표[사번키],$X590),상세표[반영월],대상월키,상세표[반영 기관],"서울병원"))</f>
        <v/>
      </c>
      <c r="P590" s="20">
        <f>IF($X590="","",SUMIFS(상세표[18~22시],상세표[사번키],INDEX(합계표[사번키],$X590),상세표[반영월],대상월키,상세표[반영 기관],"서울병원"))</f>
        <v/>
      </c>
      <c r="Q590" s="20">
        <f>IF($X590="","",SUMIFS(상세표[22~06시],상세표[사번키],INDEX(합계표[사번키],$X590),상세표[반영월],대상월키,상세표[반영 기관],"서울병원"))</f>
        <v/>
      </c>
      <c r="R590" s="20">
        <f>IF($X590="","",SUM($N590:$Q590))</f>
        <v/>
      </c>
      <c r="S590">
        <f>IF($X590="","",COUNTIFS(상세표[사번키],INDEX(합계표[사번키],$X590),상세표[반영월],대상월키,상세표[야간당직],1,상세표[야간 구분],"평일"))</f>
        <v/>
      </c>
      <c r="T590">
        <f>IF($X590="","",COUNTIFS(상세표[사번키],INDEX(합계표[사번키],$X590),상세표[반영월],대상월키,상세표[야간당직],1,상세표[야간 구분],"휴일"))</f>
        <v/>
      </c>
      <c r="U590">
        <f>IF($X590="","",COUNTIFS(상세표[사번키],INDEX(합계표[사번키],$X590),상세표[반영월],대상월키,상세표[야간당직],1,상세표[야간 구분],"평일",상세표[반영 기관],"서울병원"))</f>
        <v/>
      </c>
      <c r="V590">
        <f>IF($X590="","",COUNTIFS(상세표[사번키],INDEX(합계표[사번키],$X590),상세표[반영월],대상월키,상세표[야간당직],1,상세표[야간 구분],"휴일",상세표[반영 기관],"서울병원"))</f>
        <v/>
      </c>
      <c r="W590">
        <f>IF($X590="","",IF(ISNUMBER(MATCH(INDEX(합계표[사번키],$X590)&amp;"|"&amp;대상월키,월별근무지표[키],0)),"직접 입력",IF($L590="—","—","기관명단")))</f>
        <v/>
      </c>
      <c r="X590" s="4">
        <f>IFERROR(MATCH(585,합계표[판정순번],0),"")</f>
        <v/>
      </c>
    </row>
    <row r="591">
      <c r="A591">
        <f>IF($X591="","",INDEX(합계표[사번],$X591)&amp;"")</f>
        <v/>
      </c>
      <c r="B591">
        <f>IF($X591="","",INDEX(합계표[성명],$X591)&amp;"")</f>
        <v/>
      </c>
      <c r="C591">
        <f>IF($X591="","",INDEX(합계표[부서],$X591)&amp;"")</f>
        <v/>
      </c>
      <c r="D591">
        <f>IF($X591="","",INDEX(합계표[직위(요약)],$X591)&amp;"")</f>
        <v/>
      </c>
      <c r="E591">
        <f>IF($X591="","",INDEX(합계표[직급 공존],$X591)&amp;"")</f>
        <v/>
      </c>
      <c r="F591" s="20">
        <f>IF($X591="","",SUMIFS(합계표[시스템 합계],합계표[사번키],INDEX(합계표[사번키],$X591)))</f>
        <v/>
      </c>
      <c r="G591" s="20">
        <f>IF($X591="","",SUMIFS(상세표[기록 시간외],상세표[사번키],INDEX(합계표[사번키],$X591),상세표[기록월],대상월키))</f>
        <v/>
      </c>
      <c r="H591">
        <f>IF($X591="","",IF(ABS($F591-$G591)&lt;0.01,"일치","불일치(차이 "&amp;TEXT($G591-$F591,"0.00")&amp;")"))</f>
        <v/>
      </c>
      <c r="I591" s="20">
        <f>IF($X591="","",SUMIFS(상세표[기록 시간외],상세표[사번키],INDEX(합계표[사번키],$X591),상세표[기록월],대상월키,상세표[반영월],"&lt;&gt;"&amp;대상월키))</f>
        <v/>
      </c>
      <c r="J591" s="20">
        <f>IF($X591="","",SUMIFS(상세표[기록 시간외],상세표[사번키],INDEX(합계표[사번키],$X591),상세표[기록월],"&lt;&gt;"&amp;대상월키,상세표[반영월],대상월키))</f>
        <v/>
      </c>
      <c r="K591" s="20">
        <f>IF($X591="","",SUMIFS(상세표[기록 시간외],상세표[사번키],INDEX(합계표[사번키],$X591),상세표[반영월],대상월키))</f>
        <v/>
      </c>
      <c r="L591">
        <f>IF($X591="","",IFERROR(INDEX(월별근무지표[적용 급여병원],MATCH(INDEX(합계표[사번키],$X591)&amp;"|"&amp;대상월키,월별근무지표[키],0))&amp;"",IF(COUNTIF(기관표[사번키],INDEX(합계표[사번키],$X591))+COUNTIF(월별근무지표[사번키],INDEX(합계표[사번키],$X591))&gt;0,IFERROR(INDEX(기관표[급여지급병원(기준월)],MATCH(INDEX(합계표[사번키],$X591)&amp;"|"&amp;대상월키,기관표[키],0))&amp;"","—"),"—")))</f>
        <v/>
      </c>
      <c r="M591">
        <f>IF($X591="","",IF(NOT(COUNTIF(기관표[사번키],INDEX(합계표[사번키],$X591))+COUNTIF(월별근무지표[사번키],INDEX(합계표[사번키],$X591))&gt;0),"기관명단에 없음(다른 병원으로 발송)",IF($L591="서울병원","해당",IF(N($R591)&gt;0,"해당(말일 근무)",IF($L591="—","대상월 기관명단 없음(추가 필요)","비해당")))))</f>
        <v/>
      </c>
      <c r="N591" s="20">
        <f>IF($X591="","",SUMIFS(상세표[06~07시],상세표[사번키],INDEX(합계표[사번키],$X591),상세표[반영월],대상월키,상세표[반영 기관],"서울병원"))</f>
        <v/>
      </c>
      <c r="O591" s="20">
        <f>IF($X591="","",SUMIFS(상세표[07~18시],상세표[사번키],INDEX(합계표[사번키],$X591),상세표[반영월],대상월키,상세표[반영 기관],"서울병원"))</f>
        <v/>
      </c>
      <c r="P591" s="20">
        <f>IF($X591="","",SUMIFS(상세표[18~22시],상세표[사번키],INDEX(합계표[사번키],$X591),상세표[반영월],대상월키,상세표[반영 기관],"서울병원"))</f>
        <v/>
      </c>
      <c r="Q591" s="20">
        <f>IF($X591="","",SUMIFS(상세표[22~06시],상세표[사번키],INDEX(합계표[사번키],$X591),상세표[반영월],대상월키,상세표[반영 기관],"서울병원"))</f>
        <v/>
      </c>
      <c r="R591" s="20">
        <f>IF($X591="","",SUM($N591:$Q591))</f>
        <v/>
      </c>
      <c r="S591">
        <f>IF($X591="","",COUNTIFS(상세표[사번키],INDEX(합계표[사번키],$X591),상세표[반영월],대상월키,상세표[야간당직],1,상세표[야간 구분],"평일"))</f>
        <v/>
      </c>
      <c r="T591">
        <f>IF($X591="","",COUNTIFS(상세표[사번키],INDEX(합계표[사번키],$X591),상세표[반영월],대상월키,상세표[야간당직],1,상세표[야간 구분],"휴일"))</f>
        <v/>
      </c>
      <c r="U591">
        <f>IF($X591="","",COUNTIFS(상세표[사번키],INDEX(합계표[사번키],$X591),상세표[반영월],대상월키,상세표[야간당직],1,상세표[야간 구분],"평일",상세표[반영 기관],"서울병원"))</f>
        <v/>
      </c>
      <c r="V591">
        <f>IF($X591="","",COUNTIFS(상세표[사번키],INDEX(합계표[사번키],$X591),상세표[반영월],대상월키,상세표[야간당직],1,상세표[야간 구분],"휴일",상세표[반영 기관],"서울병원"))</f>
        <v/>
      </c>
      <c r="W591">
        <f>IF($X591="","",IF(ISNUMBER(MATCH(INDEX(합계표[사번키],$X591)&amp;"|"&amp;대상월키,월별근무지표[키],0)),"직접 입력",IF($L591="—","—","기관명단")))</f>
        <v/>
      </c>
      <c r="X591" s="4">
        <f>IFERROR(MATCH(586,합계표[판정순번],0),"")</f>
        <v/>
      </c>
    </row>
    <row r="592">
      <c r="A592">
        <f>IF($X592="","",INDEX(합계표[사번],$X592)&amp;"")</f>
        <v/>
      </c>
      <c r="B592">
        <f>IF($X592="","",INDEX(합계표[성명],$X592)&amp;"")</f>
        <v/>
      </c>
      <c r="C592">
        <f>IF($X592="","",INDEX(합계표[부서],$X592)&amp;"")</f>
        <v/>
      </c>
      <c r="D592">
        <f>IF($X592="","",INDEX(합계표[직위(요약)],$X592)&amp;"")</f>
        <v/>
      </c>
      <c r="E592">
        <f>IF($X592="","",INDEX(합계표[직급 공존],$X592)&amp;"")</f>
        <v/>
      </c>
      <c r="F592" s="20">
        <f>IF($X592="","",SUMIFS(합계표[시스템 합계],합계표[사번키],INDEX(합계표[사번키],$X592)))</f>
        <v/>
      </c>
      <c r="G592" s="20">
        <f>IF($X592="","",SUMIFS(상세표[기록 시간외],상세표[사번키],INDEX(합계표[사번키],$X592),상세표[기록월],대상월키))</f>
        <v/>
      </c>
      <c r="H592">
        <f>IF($X592="","",IF(ABS($F592-$G592)&lt;0.01,"일치","불일치(차이 "&amp;TEXT($G592-$F592,"0.00")&amp;")"))</f>
        <v/>
      </c>
      <c r="I592" s="20">
        <f>IF($X592="","",SUMIFS(상세표[기록 시간외],상세표[사번키],INDEX(합계표[사번키],$X592),상세표[기록월],대상월키,상세표[반영월],"&lt;&gt;"&amp;대상월키))</f>
        <v/>
      </c>
      <c r="J592" s="20">
        <f>IF($X592="","",SUMIFS(상세표[기록 시간외],상세표[사번키],INDEX(합계표[사번키],$X592),상세표[기록월],"&lt;&gt;"&amp;대상월키,상세표[반영월],대상월키))</f>
        <v/>
      </c>
      <c r="K592" s="20">
        <f>IF($X592="","",SUMIFS(상세표[기록 시간외],상세표[사번키],INDEX(합계표[사번키],$X592),상세표[반영월],대상월키))</f>
        <v/>
      </c>
      <c r="L592">
        <f>IF($X592="","",IFERROR(INDEX(월별근무지표[적용 급여병원],MATCH(INDEX(합계표[사번키],$X592)&amp;"|"&amp;대상월키,월별근무지표[키],0))&amp;"",IF(COUNTIF(기관표[사번키],INDEX(합계표[사번키],$X592))+COUNTIF(월별근무지표[사번키],INDEX(합계표[사번키],$X592))&gt;0,IFERROR(INDEX(기관표[급여지급병원(기준월)],MATCH(INDEX(합계표[사번키],$X592)&amp;"|"&amp;대상월키,기관표[키],0))&amp;"","—"),"—")))</f>
        <v/>
      </c>
      <c r="M592">
        <f>IF($X592="","",IF(NOT(COUNTIF(기관표[사번키],INDEX(합계표[사번키],$X592))+COUNTIF(월별근무지표[사번키],INDEX(합계표[사번키],$X592))&gt;0),"기관명단에 없음(다른 병원으로 발송)",IF($L592="서울병원","해당",IF(N($R592)&gt;0,"해당(말일 근무)",IF($L592="—","대상월 기관명단 없음(추가 필요)","비해당")))))</f>
        <v/>
      </c>
      <c r="N592" s="20">
        <f>IF($X592="","",SUMIFS(상세표[06~07시],상세표[사번키],INDEX(합계표[사번키],$X592),상세표[반영월],대상월키,상세표[반영 기관],"서울병원"))</f>
        <v/>
      </c>
      <c r="O592" s="20">
        <f>IF($X592="","",SUMIFS(상세표[07~18시],상세표[사번키],INDEX(합계표[사번키],$X592),상세표[반영월],대상월키,상세표[반영 기관],"서울병원"))</f>
        <v/>
      </c>
      <c r="P592" s="20">
        <f>IF($X592="","",SUMIFS(상세표[18~22시],상세표[사번키],INDEX(합계표[사번키],$X592),상세표[반영월],대상월키,상세표[반영 기관],"서울병원"))</f>
        <v/>
      </c>
      <c r="Q592" s="20">
        <f>IF($X592="","",SUMIFS(상세표[22~06시],상세표[사번키],INDEX(합계표[사번키],$X592),상세표[반영월],대상월키,상세표[반영 기관],"서울병원"))</f>
        <v/>
      </c>
      <c r="R592" s="20">
        <f>IF($X592="","",SUM($N592:$Q592))</f>
        <v/>
      </c>
      <c r="S592">
        <f>IF($X592="","",COUNTIFS(상세표[사번키],INDEX(합계표[사번키],$X592),상세표[반영월],대상월키,상세표[야간당직],1,상세표[야간 구분],"평일"))</f>
        <v/>
      </c>
      <c r="T592">
        <f>IF($X592="","",COUNTIFS(상세표[사번키],INDEX(합계표[사번키],$X592),상세표[반영월],대상월키,상세표[야간당직],1,상세표[야간 구분],"휴일"))</f>
        <v/>
      </c>
      <c r="U592">
        <f>IF($X592="","",COUNTIFS(상세표[사번키],INDEX(합계표[사번키],$X592),상세표[반영월],대상월키,상세표[야간당직],1,상세표[야간 구분],"평일",상세표[반영 기관],"서울병원"))</f>
        <v/>
      </c>
      <c r="V592">
        <f>IF($X592="","",COUNTIFS(상세표[사번키],INDEX(합계표[사번키],$X592),상세표[반영월],대상월키,상세표[야간당직],1,상세표[야간 구분],"휴일",상세표[반영 기관],"서울병원"))</f>
        <v/>
      </c>
      <c r="W592">
        <f>IF($X592="","",IF(ISNUMBER(MATCH(INDEX(합계표[사번키],$X592)&amp;"|"&amp;대상월키,월별근무지표[키],0)),"직접 입력",IF($L592="—","—","기관명단")))</f>
        <v/>
      </c>
      <c r="X592" s="4">
        <f>IFERROR(MATCH(587,합계표[판정순번],0),"")</f>
        <v/>
      </c>
    </row>
    <row r="593">
      <c r="A593">
        <f>IF($X593="","",INDEX(합계표[사번],$X593)&amp;"")</f>
        <v/>
      </c>
      <c r="B593">
        <f>IF($X593="","",INDEX(합계표[성명],$X593)&amp;"")</f>
        <v/>
      </c>
      <c r="C593">
        <f>IF($X593="","",INDEX(합계표[부서],$X593)&amp;"")</f>
        <v/>
      </c>
      <c r="D593">
        <f>IF($X593="","",INDEX(합계표[직위(요약)],$X593)&amp;"")</f>
        <v/>
      </c>
      <c r="E593">
        <f>IF($X593="","",INDEX(합계표[직급 공존],$X593)&amp;"")</f>
        <v/>
      </c>
      <c r="F593" s="20">
        <f>IF($X593="","",SUMIFS(합계표[시스템 합계],합계표[사번키],INDEX(합계표[사번키],$X593)))</f>
        <v/>
      </c>
      <c r="G593" s="20">
        <f>IF($X593="","",SUMIFS(상세표[기록 시간외],상세표[사번키],INDEX(합계표[사번키],$X593),상세표[기록월],대상월키))</f>
        <v/>
      </c>
      <c r="H593">
        <f>IF($X593="","",IF(ABS($F593-$G593)&lt;0.01,"일치","불일치(차이 "&amp;TEXT($G593-$F593,"0.00")&amp;")"))</f>
        <v/>
      </c>
      <c r="I593" s="20">
        <f>IF($X593="","",SUMIFS(상세표[기록 시간외],상세표[사번키],INDEX(합계표[사번키],$X593),상세표[기록월],대상월키,상세표[반영월],"&lt;&gt;"&amp;대상월키))</f>
        <v/>
      </c>
      <c r="J593" s="20">
        <f>IF($X593="","",SUMIFS(상세표[기록 시간외],상세표[사번키],INDEX(합계표[사번키],$X593),상세표[기록월],"&lt;&gt;"&amp;대상월키,상세표[반영월],대상월키))</f>
        <v/>
      </c>
      <c r="K593" s="20">
        <f>IF($X593="","",SUMIFS(상세표[기록 시간외],상세표[사번키],INDEX(합계표[사번키],$X593),상세표[반영월],대상월키))</f>
        <v/>
      </c>
      <c r="L593">
        <f>IF($X593="","",IFERROR(INDEX(월별근무지표[적용 급여병원],MATCH(INDEX(합계표[사번키],$X593)&amp;"|"&amp;대상월키,월별근무지표[키],0))&amp;"",IF(COUNTIF(기관표[사번키],INDEX(합계표[사번키],$X593))+COUNTIF(월별근무지표[사번키],INDEX(합계표[사번키],$X593))&gt;0,IFERROR(INDEX(기관표[급여지급병원(기준월)],MATCH(INDEX(합계표[사번키],$X593)&amp;"|"&amp;대상월키,기관표[키],0))&amp;"","—"),"—")))</f>
        <v/>
      </c>
      <c r="M593">
        <f>IF($X593="","",IF(NOT(COUNTIF(기관표[사번키],INDEX(합계표[사번키],$X593))+COUNTIF(월별근무지표[사번키],INDEX(합계표[사번키],$X593))&gt;0),"기관명단에 없음(다른 병원으로 발송)",IF($L593="서울병원","해당",IF(N($R593)&gt;0,"해당(말일 근무)",IF($L593="—","대상월 기관명단 없음(추가 필요)","비해당")))))</f>
        <v/>
      </c>
      <c r="N593" s="20">
        <f>IF($X593="","",SUMIFS(상세표[06~07시],상세표[사번키],INDEX(합계표[사번키],$X593),상세표[반영월],대상월키,상세표[반영 기관],"서울병원"))</f>
        <v/>
      </c>
      <c r="O593" s="20">
        <f>IF($X593="","",SUMIFS(상세표[07~18시],상세표[사번키],INDEX(합계표[사번키],$X593),상세표[반영월],대상월키,상세표[반영 기관],"서울병원"))</f>
        <v/>
      </c>
      <c r="P593" s="20">
        <f>IF($X593="","",SUMIFS(상세표[18~22시],상세표[사번키],INDEX(합계표[사번키],$X593),상세표[반영월],대상월키,상세표[반영 기관],"서울병원"))</f>
        <v/>
      </c>
      <c r="Q593" s="20">
        <f>IF($X593="","",SUMIFS(상세표[22~06시],상세표[사번키],INDEX(합계표[사번키],$X593),상세표[반영월],대상월키,상세표[반영 기관],"서울병원"))</f>
        <v/>
      </c>
      <c r="R593" s="20">
        <f>IF($X593="","",SUM($N593:$Q593))</f>
        <v/>
      </c>
      <c r="S593">
        <f>IF($X593="","",COUNTIFS(상세표[사번키],INDEX(합계표[사번키],$X593),상세표[반영월],대상월키,상세표[야간당직],1,상세표[야간 구분],"평일"))</f>
        <v/>
      </c>
      <c r="T593">
        <f>IF($X593="","",COUNTIFS(상세표[사번키],INDEX(합계표[사번키],$X593),상세표[반영월],대상월키,상세표[야간당직],1,상세표[야간 구분],"휴일"))</f>
        <v/>
      </c>
      <c r="U593">
        <f>IF($X593="","",COUNTIFS(상세표[사번키],INDEX(합계표[사번키],$X593),상세표[반영월],대상월키,상세표[야간당직],1,상세표[야간 구분],"평일",상세표[반영 기관],"서울병원"))</f>
        <v/>
      </c>
      <c r="V593">
        <f>IF($X593="","",COUNTIFS(상세표[사번키],INDEX(합계표[사번키],$X593),상세표[반영월],대상월키,상세표[야간당직],1,상세표[야간 구분],"휴일",상세표[반영 기관],"서울병원"))</f>
        <v/>
      </c>
      <c r="W593">
        <f>IF($X593="","",IF(ISNUMBER(MATCH(INDEX(합계표[사번키],$X593)&amp;"|"&amp;대상월키,월별근무지표[키],0)),"직접 입력",IF($L593="—","—","기관명단")))</f>
        <v/>
      </c>
      <c r="X593" s="4">
        <f>IFERROR(MATCH(588,합계표[판정순번],0),"")</f>
        <v/>
      </c>
    </row>
    <row r="594">
      <c r="A594">
        <f>IF($X594="","",INDEX(합계표[사번],$X594)&amp;"")</f>
        <v/>
      </c>
      <c r="B594">
        <f>IF($X594="","",INDEX(합계표[성명],$X594)&amp;"")</f>
        <v/>
      </c>
      <c r="C594">
        <f>IF($X594="","",INDEX(합계표[부서],$X594)&amp;"")</f>
        <v/>
      </c>
      <c r="D594">
        <f>IF($X594="","",INDEX(합계표[직위(요약)],$X594)&amp;"")</f>
        <v/>
      </c>
      <c r="E594">
        <f>IF($X594="","",INDEX(합계표[직급 공존],$X594)&amp;"")</f>
        <v/>
      </c>
      <c r="F594" s="20">
        <f>IF($X594="","",SUMIFS(합계표[시스템 합계],합계표[사번키],INDEX(합계표[사번키],$X594)))</f>
        <v/>
      </c>
      <c r="G594" s="20">
        <f>IF($X594="","",SUMIFS(상세표[기록 시간외],상세표[사번키],INDEX(합계표[사번키],$X594),상세표[기록월],대상월키))</f>
        <v/>
      </c>
      <c r="H594">
        <f>IF($X594="","",IF(ABS($F594-$G594)&lt;0.01,"일치","불일치(차이 "&amp;TEXT($G594-$F594,"0.00")&amp;")"))</f>
        <v/>
      </c>
      <c r="I594" s="20">
        <f>IF($X594="","",SUMIFS(상세표[기록 시간외],상세표[사번키],INDEX(합계표[사번키],$X594),상세표[기록월],대상월키,상세표[반영월],"&lt;&gt;"&amp;대상월키))</f>
        <v/>
      </c>
      <c r="J594" s="20">
        <f>IF($X594="","",SUMIFS(상세표[기록 시간외],상세표[사번키],INDEX(합계표[사번키],$X594),상세표[기록월],"&lt;&gt;"&amp;대상월키,상세표[반영월],대상월키))</f>
        <v/>
      </c>
      <c r="K594" s="20">
        <f>IF($X594="","",SUMIFS(상세표[기록 시간외],상세표[사번키],INDEX(합계표[사번키],$X594),상세표[반영월],대상월키))</f>
        <v/>
      </c>
      <c r="L594">
        <f>IF($X594="","",IFERROR(INDEX(월별근무지표[적용 급여병원],MATCH(INDEX(합계표[사번키],$X594)&amp;"|"&amp;대상월키,월별근무지표[키],0))&amp;"",IF(COUNTIF(기관표[사번키],INDEX(합계표[사번키],$X594))+COUNTIF(월별근무지표[사번키],INDEX(합계표[사번키],$X594))&gt;0,IFERROR(INDEX(기관표[급여지급병원(기준월)],MATCH(INDEX(합계표[사번키],$X594)&amp;"|"&amp;대상월키,기관표[키],0))&amp;"","—"),"—")))</f>
        <v/>
      </c>
      <c r="M594">
        <f>IF($X594="","",IF(NOT(COUNTIF(기관표[사번키],INDEX(합계표[사번키],$X594))+COUNTIF(월별근무지표[사번키],INDEX(합계표[사번키],$X594))&gt;0),"기관명단에 없음(다른 병원으로 발송)",IF($L594="서울병원","해당",IF(N($R594)&gt;0,"해당(말일 근무)",IF($L594="—","대상월 기관명단 없음(추가 필요)","비해당")))))</f>
        <v/>
      </c>
      <c r="N594" s="20">
        <f>IF($X594="","",SUMIFS(상세표[06~07시],상세표[사번키],INDEX(합계표[사번키],$X594),상세표[반영월],대상월키,상세표[반영 기관],"서울병원"))</f>
        <v/>
      </c>
      <c r="O594" s="20">
        <f>IF($X594="","",SUMIFS(상세표[07~18시],상세표[사번키],INDEX(합계표[사번키],$X594),상세표[반영월],대상월키,상세표[반영 기관],"서울병원"))</f>
        <v/>
      </c>
      <c r="P594" s="20">
        <f>IF($X594="","",SUMIFS(상세표[18~22시],상세표[사번키],INDEX(합계표[사번키],$X594),상세표[반영월],대상월키,상세표[반영 기관],"서울병원"))</f>
        <v/>
      </c>
      <c r="Q594" s="20">
        <f>IF($X594="","",SUMIFS(상세표[22~06시],상세표[사번키],INDEX(합계표[사번키],$X594),상세표[반영월],대상월키,상세표[반영 기관],"서울병원"))</f>
        <v/>
      </c>
      <c r="R594" s="20">
        <f>IF($X594="","",SUM($N594:$Q594))</f>
        <v/>
      </c>
      <c r="S594">
        <f>IF($X594="","",COUNTIFS(상세표[사번키],INDEX(합계표[사번키],$X594),상세표[반영월],대상월키,상세표[야간당직],1,상세표[야간 구분],"평일"))</f>
        <v/>
      </c>
      <c r="T594">
        <f>IF($X594="","",COUNTIFS(상세표[사번키],INDEX(합계표[사번키],$X594),상세표[반영월],대상월키,상세표[야간당직],1,상세표[야간 구분],"휴일"))</f>
        <v/>
      </c>
      <c r="U594">
        <f>IF($X594="","",COUNTIFS(상세표[사번키],INDEX(합계표[사번키],$X594),상세표[반영월],대상월키,상세표[야간당직],1,상세표[야간 구분],"평일",상세표[반영 기관],"서울병원"))</f>
        <v/>
      </c>
      <c r="V594">
        <f>IF($X594="","",COUNTIFS(상세표[사번키],INDEX(합계표[사번키],$X594),상세표[반영월],대상월키,상세표[야간당직],1,상세표[야간 구분],"휴일",상세표[반영 기관],"서울병원"))</f>
        <v/>
      </c>
      <c r="W594">
        <f>IF($X594="","",IF(ISNUMBER(MATCH(INDEX(합계표[사번키],$X594)&amp;"|"&amp;대상월키,월별근무지표[키],0)),"직접 입력",IF($L594="—","—","기관명단")))</f>
        <v/>
      </c>
      <c r="X594" s="4">
        <f>IFERROR(MATCH(589,합계표[판정순번],0),"")</f>
        <v/>
      </c>
    </row>
    <row r="595">
      <c r="A595">
        <f>IF($X595="","",INDEX(합계표[사번],$X595)&amp;"")</f>
        <v/>
      </c>
      <c r="B595">
        <f>IF($X595="","",INDEX(합계표[성명],$X595)&amp;"")</f>
        <v/>
      </c>
      <c r="C595">
        <f>IF($X595="","",INDEX(합계표[부서],$X595)&amp;"")</f>
        <v/>
      </c>
      <c r="D595">
        <f>IF($X595="","",INDEX(합계표[직위(요약)],$X595)&amp;"")</f>
        <v/>
      </c>
      <c r="E595">
        <f>IF($X595="","",INDEX(합계표[직급 공존],$X595)&amp;"")</f>
        <v/>
      </c>
      <c r="F595" s="20">
        <f>IF($X595="","",SUMIFS(합계표[시스템 합계],합계표[사번키],INDEX(합계표[사번키],$X595)))</f>
        <v/>
      </c>
      <c r="G595" s="20">
        <f>IF($X595="","",SUMIFS(상세표[기록 시간외],상세표[사번키],INDEX(합계표[사번키],$X595),상세표[기록월],대상월키))</f>
        <v/>
      </c>
      <c r="H595">
        <f>IF($X595="","",IF(ABS($F595-$G595)&lt;0.01,"일치","불일치(차이 "&amp;TEXT($G595-$F595,"0.00")&amp;")"))</f>
        <v/>
      </c>
      <c r="I595" s="20">
        <f>IF($X595="","",SUMIFS(상세표[기록 시간외],상세표[사번키],INDEX(합계표[사번키],$X595),상세표[기록월],대상월키,상세표[반영월],"&lt;&gt;"&amp;대상월키))</f>
        <v/>
      </c>
      <c r="J595" s="20">
        <f>IF($X595="","",SUMIFS(상세표[기록 시간외],상세표[사번키],INDEX(합계표[사번키],$X595),상세표[기록월],"&lt;&gt;"&amp;대상월키,상세표[반영월],대상월키))</f>
        <v/>
      </c>
      <c r="K595" s="20">
        <f>IF($X595="","",SUMIFS(상세표[기록 시간외],상세표[사번키],INDEX(합계표[사번키],$X595),상세표[반영월],대상월키))</f>
        <v/>
      </c>
      <c r="L595">
        <f>IF($X595="","",IFERROR(INDEX(월별근무지표[적용 급여병원],MATCH(INDEX(합계표[사번키],$X595)&amp;"|"&amp;대상월키,월별근무지표[키],0))&amp;"",IF(COUNTIF(기관표[사번키],INDEX(합계표[사번키],$X595))+COUNTIF(월별근무지표[사번키],INDEX(합계표[사번키],$X595))&gt;0,IFERROR(INDEX(기관표[급여지급병원(기준월)],MATCH(INDEX(합계표[사번키],$X595)&amp;"|"&amp;대상월키,기관표[키],0))&amp;"","—"),"—")))</f>
        <v/>
      </c>
      <c r="M595">
        <f>IF($X595="","",IF(NOT(COUNTIF(기관표[사번키],INDEX(합계표[사번키],$X595))+COUNTIF(월별근무지표[사번키],INDEX(합계표[사번키],$X595))&gt;0),"기관명단에 없음(다른 병원으로 발송)",IF($L595="서울병원","해당",IF(N($R595)&gt;0,"해당(말일 근무)",IF($L595="—","대상월 기관명단 없음(추가 필요)","비해당")))))</f>
        <v/>
      </c>
      <c r="N595" s="20">
        <f>IF($X595="","",SUMIFS(상세표[06~07시],상세표[사번키],INDEX(합계표[사번키],$X595),상세표[반영월],대상월키,상세표[반영 기관],"서울병원"))</f>
        <v/>
      </c>
      <c r="O595" s="20">
        <f>IF($X595="","",SUMIFS(상세표[07~18시],상세표[사번키],INDEX(합계표[사번키],$X595),상세표[반영월],대상월키,상세표[반영 기관],"서울병원"))</f>
        <v/>
      </c>
      <c r="P595" s="20">
        <f>IF($X595="","",SUMIFS(상세표[18~22시],상세표[사번키],INDEX(합계표[사번키],$X595),상세표[반영월],대상월키,상세표[반영 기관],"서울병원"))</f>
        <v/>
      </c>
      <c r="Q595" s="20">
        <f>IF($X595="","",SUMIFS(상세표[22~06시],상세표[사번키],INDEX(합계표[사번키],$X595),상세표[반영월],대상월키,상세표[반영 기관],"서울병원"))</f>
        <v/>
      </c>
      <c r="R595" s="20">
        <f>IF($X595="","",SUM($N595:$Q595))</f>
        <v/>
      </c>
      <c r="S595">
        <f>IF($X595="","",COUNTIFS(상세표[사번키],INDEX(합계표[사번키],$X595),상세표[반영월],대상월키,상세표[야간당직],1,상세표[야간 구분],"평일"))</f>
        <v/>
      </c>
      <c r="T595">
        <f>IF($X595="","",COUNTIFS(상세표[사번키],INDEX(합계표[사번키],$X595),상세표[반영월],대상월키,상세표[야간당직],1,상세표[야간 구분],"휴일"))</f>
        <v/>
      </c>
      <c r="U595">
        <f>IF($X595="","",COUNTIFS(상세표[사번키],INDEX(합계표[사번키],$X595),상세표[반영월],대상월키,상세표[야간당직],1,상세표[야간 구분],"평일",상세표[반영 기관],"서울병원"))</f>
        <v/>
      </c>
      <c r="V595">
        <f>IF($X595="","",COUNTIFS(상세표[사번키],INDEX(합계표[사번키],$X595),상세표[반영월],대상월키,상세표[야간당직],1,상세표[야간 구분],"휴일",상세표[반영 기관],"서울병원"))</f>
        <v/>
      </c>
      <c r="W595">
        <f>IF($X595="","",IF(ISNUMBER(MATCH(INDEX(합계표[사번키],$X595)&amp;"|"&amp;대상월키,월별근무지표[키],0)),"직접 입력",IF($L595="—","—","기관명단")))</f>
        <v/>
      </c>
      <c r="X595" s="4">
        <f>IFERROR(MATCH(590,합계표[판정순번],0),"")</f>
        <v/>
      </c>
    </row>
    <row r="596">
      <c r="A596">
        <f>IF($X596="","",INDEX(합계표[사번],$X596)&amp;"")</f>
        <v/>
      </c>
      <c r="B596">
        <f>IF($X596="","",INDEX(합계표[성명],$X596)&amp;"")</f>
        <v/>
      </c>
      <c r="C596">
        <f>IF($X596="","",INDEX(합계표[부서],$X596)&amp;"")</f>
        <v/>
      </c>
      <c r="D596">
        <f>IF($X596="","",INDEX(합계표[직위(요약)],$X596)&amp;"")</f>
        <v/>
      </c>
      <c r="E596">
        <f>IF($X596="","",INDEX(합계표[직급 공존],$X596)&amp;"")</f>
        <v/>
      </c>
      <c r="F596" s="20">
        <f>IF($X596="","",SUMIFS(합계표[시스템 합계],합계표[사번키],INDEX(합계표[사번키],$X596)))</f>
        <v/>
      </c>
      <c r="G596" s="20">
        <f>IF($X596="","",SUMIFS(상세표[기록 시간외],상세표[사번키],INDEX(합계표[사번키],$X596),상세표[기록월],대상월키))</f>
        <v/>
      </c>
      <c r="H596">
        <f>IF($X596="","",IF(ABS($F596-$G596)&lt;0.01,"일치","불일치(차이 "&amp;TEXT($G596-$F596,"0.00")&amp;")"))</f>
        <v/>
      </c>
      <c r="I596" s="20">
        <f>IF($X596="","",SUMIFS(상세표[기록 시간외],상세표[사번키],INDEX(합계표[사번키],$X596),상세표[기록월],대상월키,상세표[반영월],"&lt;&gt;"&amp;대상월키))</f>
        <v/>
      </c>
      <c r="J596" s="20">
        <f>IF($X596="","",SUMIFS(상세표[기록 시간외],상세표[사번키],INDEX(합계표[사번키],$X596),상세표[기록월],"&lt;&gt;"&amp;대상월키,상세표[반영월],대상월키))</f>
        <v/>
      </c>
      <c r="K596" s="20">
        <f>IF($X596="","",SUMIFS(상세표[기록 시간외],상세표[사번키],INDEX(합계표[사번키],$X596),상세표[반영월],대상월키))</f>
        <v/>
      </c>
      <c r="L596">
        <f>IF($X596="","",IFERROR(INDEX(월별근무지표[적용 급여병원],MATCH(INDEX(합계표[사번키],$X596)&amp;"|"&amp;대상월키,월별근무지표[키],0))&amp;"",IF(COUNTIF(기관표[사번키],INDEX(합계표[사번키],$X596))+COUNTIF(월별근무지표[사번키],INDEX(합계표[사번키],$X596))&gt;0,IFERROR(INDEX(기관표[급여지급병원(기준월)],MATCH(INDEX(합계표[사번키],$X596)&amp;"|"&amp;대상월키,기관표[키],0))&amp;"","—"),"—")))</f>
        <v/>
      </c>
      <c r="M596">
        <f>IF($X596="","",IF(NOT(COUNTIF(기관표[사번키],INDEX(합계표[사번키],$X596))+COUNTIF(월별근무지표[사번키],INDEX(합계표[사번키],$X596))&gt;0),"기관명단에 없음(다른 병원으로 발송)",IF($L596="서울병원","해당",IF(N($R596)&gt;0,"해당(말일 근무)",IF($L596="—","대상월 기관명단 없음(추가 필요)","비해당")))))</f>
        <v/>
      </c>
      <c r="N596" s="20">
        <f>IF($X596="","",SUMIFS(상세표[06~07시],상세표[사번키],INDEX(합계표[사번키],$X596),상세표[반영월],대상월키,상세표[반영 기관],"서울병원"))</f>
        <v/>
      </c>
      <c r="O596" s="20">
        <f>IF($X596="","",SUMIFS(상세표[07~18시],상세표[사번키],INDEX(합계표[사번키],$X596),상세표[반영월],대상월키,상세표[반영 기관],"서울병원"))</f>
        <v/>
      </c>
      <c r="P596" s="20">
        <f>IF($X596="","",SUMIFS(상세표[18~22시],상세표[사번키],INDEX(합계표[사번키],$X596),상세표[반영월],대상월키,상세표[반영 기관],"서울병원"))</f>
        <v/>
      </c>
      <c r="Q596" s="20">
        <f>IF($X596="","",SUMIFS(상세표[22~06시],상세표[사번키],INDEX(합계표[사번키],$X596),상세표[반영월],대상월키,상세표[반영 기관],"서울병원"))</f>
        <v/>
      </c>
      <c r="R596" s="20">
        <f>IF($X596="","",SUM($N596:$Q596))</f>
        <v/>
      </c>
      <c r="S596">
        <f>IF($X596="","",COUNTIFS(상세표[사번키],INDEX(합계표[사번키],$X596),상세표[반영월],대상월키,상세표[야간당직],1,상세표[야간 구분],"평일"))</f>
        <v/>
      </c>
      <c r="T596">
        <f>IF($X596="","",COUNTIFS(상세표[사번키],INDEX(합계표[사번키],$X596),상세표[반영월],대상월키,상세표[야간당직],1,상세표[야간 구분],"휴일"))</f>
        <v/>
      </c>
      <c r="U596">
        <f>IF($X596="","",COUNTIFS(상세표[사번키],INDEX(합계표[사번키],$X596),상세표[반영월],대상월키,상세표[야간당직],1,상세표[야간 구분],"평일",상세표[반영 기관],"서울병원"))</f>
        <v/>
      </c>
      <c r="V596">
        <f>IF($X596="","",COUNTIFS(상세표[사번키],INDEX(합계표[사번키],$X596),상세표[반영월],대상월키,상세표[야간당직],1,상세표[야간 구분],"휴일",상세표[반영 기관],"서울병원"))</f>
        <v/>
      </c>
      <c r="W596">
        <f>IF($X596="","",IF(ISNUMBER(MATCH(INDEX(합계표[사번키],$X596)&amp;"|"&amp;대상월키,월별근무지표[키],0)),"직접 입력",IF($L596="—","—","기관명단")))</f>
        <v/>
      </c>
      <c r="X596" s="4">
        <f>IFERROR(MATCH(591,합계표[판정순번],0),"")</f>
        <v/>
      </c>
    </row>
    <row r="597">
      <c r="A597">
        <f>IF($X597="","",INDEX(합계표[사번],$X597)&amp;"")</f>
        <v/>
      </c>
      <c r="B597">
        <f>IF($X597="","",INDEX(합계표[성명],$X597)&amp;"")</f>
        <v/>
      </c>
      <c r="C597">
        <f>IF($X597="","",INDEX(합계표[부서],$X597)&amp;"")</f>
        <v/>
      </c>
      <c r="D597">
        <f>IF($X597="","",INDEX(합계표[직위(요약)],$X597)&amp;"")</f>
        <v/>
      </c>
      <c r="E597">
        <f>IF($X597="","",INDEX(합계표[직급 공존],$X597)&amp;"")</f>
        <v/>
      </c>
      <c r="F597" s="20">
        <f>IF($X597="","",SUMIFS(합계표[시스템 합계],합계표[사번키],INDEX(합계표[사번키],$X597)))</f>
        <v/>
      </c>
      <c r="G597" s="20">
        <f>IF($X597="","",SUMIFS(상세표[기록 시간외],상세표[사번키],INDEX(합계표[사번키],$X597),상세표[기록월],대상월키))</f>
        <v/>
      </c>
      <c r="H597">
        <f>IF($X597="","",IF(ABS($F597-$G597)&lt;0.01,"일치","불일치(차이 "&amp;TEXT($G597-$F597,"0.00")&amp;")"))</f>
        <v/>
      </c>
      <c r="I597" s="20">
        <f>IF($X597="","",SUMIFS(상세표[기록 시간외],상세표[사번키],INDEX(합계표[사번키],$X597),상세표[기록월],대상월키,상세표[반영월],"&lt;&gt;"&amp;대상월키))</f>
        <v/>
      </c>
      <c r="J597" s="20">
        <f>IF($X597="","",SUMIFS(상세표[기록 시간외],상세표[사번키],INDEX(합계표[사번키],$X597),상세표[기록월],"&lt;&gt;"&amp;대상월키,상세표[반영월],대상월키))</f>
        <v/>
      </c>
      <c r="K597" s="20">
        <f>IF($X597="","",SUMIFS(상세표[기록 시간외],상세표[사번키],INDEX(합계표[사번키],$X597),상세표[반영월],대상월키))</f>
        <v/>
      </c>
      <c r="L597">
        <f>IF($X597="","",IFERROR(INDEX(월별근무지표[적용 급여병원],MATCH(INDEX(합계표[사번키],$X597)&amp;"|"&amp;대상월키,월별근무지표[키],0))&amp;"",IF(COUNTIF(기관표[사번키],INDEX(합계표[사번키],$X597))+COUNTIF(월별근무지표[사번키],INDEX(합계표[사번키],$X597))&gt;0,IFERROR(INDEX(기관표[급여지급병원(기준월)],MATCH(INDEX(합계표[사번키],$X597)&amp;"|"&amp;대상월키,기관표[키],0))&amp;"","—"),"—")))</f>
        <v/>
      </c>
      <c r="M597">
        <f>IF($X597="","",IF(NOT(COUNTIF(기관표[사번키],INDEX(합계표[사번키],$X597))+COUNTIF(월별근무지표[사번키],INDEX(합계표[사번키],$X597))&gt;0),"기관명단에 없음(다른 병원으로 발송)",IF($L597="서울병원","해당",IF(N($R597)&gt;0,"해당(말일 근무)",IF($L597="—","대상월 기관명단 없음(추가 필요)","비해당")))))</f>
        <v/>
      </c>
      <c r="N597" s="20">
        <f>IF($X597="","",SUMIFS(상세표[06~07시],상세표[사번키],INDEX(합계표[사번키],$X597),상세표[반영월],대상월키,상세표[반영 기관],"서울병원"))</f>
        <v/>
      </c>
      <c r="O597" s="20">
        <f>IF($X597="","",SUMIFS(상세표[07~18시],상세표[사번키],INDEX(합계표[사번키],$X597),상세표[반영월],대상월키,상세표[반영 기관],"서울병원"))</f>
        <v/>
      </c>
      <c r="P597" s="20">
        <f>IF($X597="","",SUMIFS(상세표[18~22시],상세표[사번키],INDEX(합계표[사번키],$X597),상세표[반영월],대상월키,상세표[반영 기관],"서울병원"))</f>
        <v/>
      </c>
      <c r="Q597" s="20">
        <f>IF($X597="","",SUMIFS(상세표[22~06시],상세표[사번키],INDEX(합계표[사번키],$X597),상세표[반영월],대상월키,상세표[반영 기관],"서울병원"))</f>
        <v/>
      </c>
      <c r="R597" s="20">
        <f>IF($X597="","",SUM($N597:$Q597))</f>
        <v/>
      </c>
      <c r="S597">
        <f>IF($X597="","",COUNTIFS(상세표[사번키],INDEX(합계표[사번키],$X597),상세표[반영월],대상월키,상세표[야간당직],1,상세표[야간 구분],"평일"))</f>
        <v/>
      </c>
      <c r="T597">
        <f>IF($X597="","",COUNTIFS(상세표[사번키],INDEX(합계표[사번키],$X597),상세표[반영월],대상월키,상세표[야간당직],1,상세표[야간 구분],"휴일"))</f>
        <v/>
      </c>
      <c r="U597">
        <f>IF($X597="","",COUNTIFS(상세표[사번키],INDEX(합계표[사번키],$X597),상세표[반영월],대상월키,상세표[야간당직],1,상세표[야간 구분],"평일",상세표[반영 기관],"서울병원"))</f>
        <v/>
      </c>
      <c r="V597">
        <f>IF($X597="","",COUNTIFS(상세표[사번키],INDEX(합계표[사번키],$X597),상세표[반영월],대상월키,상세표[야간당직],1,상세표[야간 구분],"휴일",상세표[반영 기관],"서울병원"))</f>
        <v/>
      </c>
      <c r="W597">
        <f>IF($X597="","",IF(ISNUMBER(MATCH(INDEX(합계표[사번키],$X597)&amp;"|"&amp;대상월키,월별근무지표[키],0)),"직접 입력",IF($L597="—","—","기관명단")))</f>
        <v/>
      </c>
      <c r="X597" s="4">
        <f>IFERROR(MATCH(592,합계표[판정순번],0),"")</f>
        <v/>
      </c>
    </row>
    <row r="598">
      <c r="A598">
        <f>IF($X598="","",INDEX(합계표[사번],$X598)&amp;"")</f>
        <v/>
      </c>
      <c r="B598">
        <f>IF($X598="","",INDEX(합계표[성명],$X598)&amp;"")</f>
        <v/>
      </c>
      <c r="C598">
        <f>IF($X598="","",INDEX(합계표[부서],$X598)&amp;"")</f>
        <v/>
      </c>
      <c r="D598">
        <f>IF($X598="","",INDEX(합계표[직위(요약)],$X598)&amp;"")</f>
        <v/>
      </c>
      <c r="E598">
        <f>IF($X598="","",INDEX(합계표[직급 공존],$X598)&amp;"")</f>
        <v/>
      </c>
      <c r="F598" s="20">
        <f>IF($X598="","",SUMIFS(합계표[시스템 합계],합계표[사번키],INDEX(합계표[사번키],$X598)))</f>
        <v/>
      </c>
      <c r="G598" s="20">
        <f>IF($X598="","",SUMIFS(상세표[기록 시간외],상세표[사번키],INDEX(합계표[사번키],$X598),상세표[기록월],대상월키))</f>
        <v/>
      </c>
      <c r="H598">
        <f>IF($X598="","",IF(ABS($F598-$G598)&lt;0.01,"일치","불일치(차이 "&amp;TEXT($G598-$F598,"0.00")&amp;")"))</f>
        <v/>
      </c>
      <c r="I598" s="20">
        <f>IF($X598="","",SUMIFS(상세표[기록 시간외],상세표[사번키],INDEX(합계표[사번키],$X598),상세표[기록월],대상월키,상세표[반영월],"&lt;&gt;"&amp;대상월키))</f>
        <v/>
      </c>
      <c r="J598" s="20">
        <f>IF($X598="","",SUMIFS(상세표[기록 시간외],상세표[사번키],INDEX(합계표[사번키],$X598),상세표[기록월],"&lt;&gt;"&amp;대상월키,상세표[반영월],대상월키))</f>
        <v/>
      </c>
      <c r="K598" s="20">
        <f>IF($X598="","",SUMIFS(상세표[기록 시간외],상세표[사번키],INDEX(합계표[사번키],$X598),상세표[반영월],대상월키))</f>
        <v/>
      </c>
      <c r="L598">
        <f>IF($X598="","",IFERROR(INDEX(월별근무지표[적용 급여병원],MATCH(INDEX(합계표[사번키],$X598)&amp;"|"&amp;대상월키,월별근무지표[키],0))&amp;"",IF(COUNTIF(기관표[사번키],INDEX(합계표[사번키],$X598))+COUNTIF(월별근무지표[사번키],INDEX(합계표[사번키],$X598))&gt;0,IFERROR(INDEX(기관표[급여지급병원(기준월)],MATCH(INDEX(합계표[사번키],$X598)&amp;"|"&amp;대상월키,기관표[키],0))&amp;"","—"),"—")))</f>
        <v/>
      </c>
      <c r="M598">
        <f>IF($X598="","",IF(NOT(COUNTIF(기관표[사번키],INDEX(합계표[사번키],$X598))+COUNTIF(월별근무지표[사번키],INDEX(합계표[사번키],$X598))&gt;0),"기관명단에 없음(다른 병원으로 발송)",IF($L598="서울병원","해당",IF(N($R598)&gt;0,"해당(말일 근무)",IF($L598="—","대상월 기관명단 없음(추가 필요)","비해당")))))</f>
        <v/>
      </c>
      <c r="N598" s="20">
        <f>IF($X598="","",SUMIFS(상세표[06~07시],상세표[사번키],INDEX(합계표[사번키],$X598),상세표[반영월],대상월키,상세표[반영 기관],"서울병원"))</f>
        <v/>
      </c>
      <c r="O598" s="20">
        <f>IF($X598="","",SUMIFS(상세표[07~18시],상세표[사번키],INDEX(합계표[사번키],$X598),상세표[반영월],대상월키,상세표[반영 기관],"서울병원"))</f>
        <v/>
      </c>
      <c r="P598" s="20">
        <f>IF($X598="","",SUMIFS(상세표[18~22시],상세표[사번키],INDEX(합계표[사번키],$X598),상세표[반영월],대상월키,상세표[반영 기관],"서울병원"))</f>
        <v/>
      </c>
      <c r="Q598" s="20">
        <f>IF($X598="","",SUMIFS(상세표[22~06시],상세표[사번키],INDEX(합계표[사번키],$X598),상세표[반영월],대상월키,상세표[반영 기관],"서울병원"))</f>
        <v/>
      </c>
      <c r="R598" s="20">
        <f>IF($X598="","",SUM($N598:$Q598))</f>
        <v/>
      </c>
      <c r="S598">
        <f>IF($X598="","",COUNTIFS(상세표[사번키],INDEX(합계표[사번키],$X598),상세표[반영월],대상월키,상세표[야간당직],1,상세표[야간 구분],"평일"))</f>
        <v/>
      </c>
      <c r="T598">
        <f>IF($X598="","",COUNTIFS(상세표[사번키],INDEX(합계표[사번키],$X598),상세표[반영월],대상월키,상세표[야간당직],1,상세표[야간 구분],"휴일"))</f>
        <v/>
      </c>
      <c r="U598">
        <f>IF($X598="","",COUNTIFS(상세표[사번키],INDEX(합계표[사번키],$X598),상세표[반영월],대상월키,상세표[야간당직],1,상세표[야간 구분],"평일",상세표[반영 기관],"서울병원"))</f>
        <v/>
      </c>
      <c r="V598">
        <f>IF($X598="","",COUNTIFS(상세표[사번키],INDEX(합계표[사번키],$X598),상세표[반영월],대상월키,상세표[야간당직],1,상세표[야간 구분],"휴일",상세표[반영 기관],"서울병원"))</f>
        <v/>
      </c>
      <c r="W598">
        <f>IF($X598="","",IF(ISNUMBER(MATCH(INDEX(합계표[사번키],$X598)&amp;"|"&amp;대상월키,월별근무지표[키],0)),"직접 입력",IF($L598="—","—","기관명단")))</f>
        <v/>
      </c>
      <c r="X598" s="4">
        <f>IFERROR(MATCH(593,합계표[판정순번],0),"")</f>
        <v/>
      </c>
    </row>
    <row r="599">
      <c r="A599">
        <f>IF($X599="","",INDEX(합계표[사번],$X599)&amp;"")</f>
        <v/>
      </c>
      <c r="B599">
        <f>IF($X599="","",INDEX(합계표[성명],$X599)&amp;"")</f>
        <v/>
      </c>
      <c r="C599">
        <f>IF($X599="","",INDEX(합계표[부서],$X599)&amp;"")</f>
        <v/>
      </c>
      <c r="D599">
        <f>IF($X599="","",INDEX(합계표[직위(요약)],$X599)&amp;"")</f>
        <v/>
      </c>
      <c r="E599">
        <f>IF($X599="","",INDEX(합계표[직급 공존],$X599)&amp;"")</f>
        <v/>
      </c>
      <c r="F599" s="20">
        <f>IF($X599="","",SUMIFS(합계표[시스템 합계],합계표[사번키],INDEX(합계표[사번키],$X599)))</f>
        <v/>
      </c>
      <c r="G599" s="20">
        <f>IF($X599="","",SUMIFS(상세표[기록 시간외],상세표[사번키],INDEX(합계표[사번키],$X599),상세표[기록월],대상월키))</f>
        <v/>
      </c>
      <c r="H599">
        <f>IF($X599="","",IF(ABS($F599-$G599)&lt;0.01,"일치","불일치(차이 "&amp;TEXT($G599-$F599,"0.00")&amp;")"))</f>
        <v/>
      </c>
      <c r="I599" s="20">
        <f>IF($X599="","",SUMIFS(상세표[기록 시간외],상세표[사번키],INDEX(합계표[사번키],$X599),상세표[기록월],대상월키,상세표[반영월],"&lt;&gt;"&amp;대상월키))</f>
        <v/>
      </c>
      <c r="J599" s="20">
        <f>IF($X599="","",SUMIFS(상세표[기록 시간외],상세표[사번키],INDEX(합계표[사번키],$X599),상세표[기록월],"&lt;&gt;"&amp;대상월키,상세표[반영월],대상월키))</f>
        <v/>
      </c>
      <c r="K599" s="20">
        <f>IF($X599="","",SUMIFS(상세표[기록 시간외],상세표[사번키],INDEX(합계표[사번키],$X599),상세표[반영월],대상월키))</f>
        <v/>
      </c>
      <c r="L599">
        <f>IF($X599="","",IFERROR(INDEX(월별근무지표[적용 급여병원],MATCH(INDEX(합계표[사번키],$X599)&amp;"|"&amp;대상월키,월별근무지표[키],0))&amp;"",IF(COUNTIF(기관표[사번키],INDEX(합계표[사번키],$X599))+COUNTIF(월별근무지표[사번키],INDEX(합계표[사번키],$X599))&gt;0,IFERROR(INDEX(기관표[급여지급병원(기준월)],MATCH(INDEX(합계표[사번키],$X599)&amp;"|"&amp;대상월키,기관표[키],0))&amp;"","—"),"—")))</f>
        <v/>
      </c>
      <c r="M599">
        <f>IF($X599="","",IF(NOT(COUNTIF(기관표[사번키],INDEX(합계표[사번키],$X599))+COUNTIF(월별근무지표[사번키],INDEX(합계표[사번키],$X599))&gt;0),"기관명단에 없음(다른 병원으로 발송)",IF($L599="서울병원","해당",IF(N($R599)&gt;0,"해당(말일 근무)",IF($L599="—","대상월 기관명단 없음(추가 필요)","비해당")))))</f>
        <v/>
      </c>
      <c r="N599" s="20">
        <f>IF($X599="","",SUMIFS(상세표[06~07시],상세표[사번키],INDEX(합계표[사번키],$X599),상세표[반영월],대상월키,상세표[반영 기관],"서울병원"))</f>
        <v/>
      </c>
      <c r="O599" s="20">
        <f>IF($X599="","",SUMIFS(상세표[07~18시],상세표[사번키],INDEX(합계표[사번키],$X599),상세표[반영월],대상월키,상세표[반영 기관],"서울병원"))</f>
        <v/>
      </c>
      <c r="P599" s="20">
        <f>IF($X599="","",SUMIFS(상세표[18~22시],상세표[사번키],INDEX(합계표[사번키],$X599),상세표[반영월],대상월키,상세표[반영 기관],"서울병원"))</f>
        <v/>
      </c>
      <c r="Q599" s="20">
        <f>IF($X599="","",SUMIFS(상세표[22~06시],상세표[사번키],INDEX(합계표[사번키],$X599),상세표[반영월],대상월키,상세표[반영 기관],"서울병원"))</f>
        <v/>
      </c>
      <c r="R599" s="20">
        <f>IF($X599="","",SUM($N599:$Q599))</f>
        <v/>
      </c>
      <c r="S599">
        <f>IF($X599="","",COUNTIFS(상세표[사번키],INDEX(합계표[사번키],$X599),상세표[반영월],대상월키,상세표[야간당직],1,상세표[야간 구분],"평일"))</f>
        <v/>
      </c>
      <c r="T599">
        <f>IF($X599="","",COUNTIFS(상세표[사번키],INDEX(합계표[사번키],$X599),상세표[반영월],대상월키,상세표[야간당직],1,상세표[야간 구분],"휴일"))</f>
        <v/>
      </c>
      <c r="U599">
        <f>IF($X599="","",COUNTIFS(상세표[사번키],INDEX(합계표[사번키],$X599),상세표[반영월],대상월키,상세표[야간당직],1,상세표[야간 구분],"평일",상세표[반영 기관],"서울병원"))</f>
        <v/>
      </c>
      <c r="V599">
        <f>IF($X599="","",COUNTIFS(상세표[사번키],INDEX(합계표[사번키],$X599),상세표[반영월],대상월키,상세표[야간당직],1,상세표[야간 구분],"휴일",상세표[반영 기관],"서울병원"))</f>
        <v/>
      </c>
      <c r="W599">
        <f>IF($X599="","",IF(ISNUMBER(MATCH(INDEX(합계표[사번키],$X599)&amp;"|"&amp;대상월키,월별근무지표[키],0)),"직접 입력",IF($L599="—","—","기관명단")))</f>
        <v/>
      </c>
      <c r="X599" s="4">
        <f>IFERROR(MATCH(594,합계표[판정순번],0),"")</f>
        <v/>
      </c>
    </row>
    <row r="600">
      <c r="A600">
        <f>IF($X600="","",INDEX(합계표[사번],$X600)&amp;"")</f>
        <v/>
      </c>
      <c r="B600">
        <f>IF($X600="","",INDEX(합계표[성명],$X600)&amp;"")</f>
        <v/>
      </c>
      <c r="C600">
        <f>IF($X600="","",INDEX(합계표[부서],$X600)&amp;"")</f>
        <v/>
      </c>
      <c r="D600">
        <f>IF($X600="","",INDEX(합계표[직위(요약)],$X600)&amp;"")</f>
        <v/>
      </c>
      <c r="E600">
        <f>IF($X600="","",INDEX(합계표[직급 공존],$X600)&amp;"")</f>
        <v/>
      </c>
      <c r="F600" s="20">
        <f>IF($X600="","",SUMIFS(합계표[시스템 합계],합계표[사번키],INDEX(합계표[사번키],$X600)))</f>
        <v/>
      </c>
      <c r="G600" s="20">
        <f>IF($X600="","",SUMIFS(상세표[기록 시간외],상세표[사번키],INDEX(합계표[사번키],$X600),상세표[기록월],대상월키))</f>
        <v/>
      </c>
      <c r="H600">
        <f>IF($X600="","",IF(ABS($F600-$G600)&lt;0.01,"일치","불일치(차이 "&amp;TEXT($G600-$F600,"0.00")&amp;")"))</f>
        <v/>
      </c>
      <c r="I600" s="20">
        <f>IF($X600="","",SUMIFS(상세표[기록 시간외],상세표[사번키],INDEX(합계표[사번키],$X600),상세표[기록월],대상월키,상세표[반영월],"&lt;&gt;"&amp;대상월키))</f>
        <v/>
      </c>
      <c r="J600" s="20">
        <f>IF($X600="","",SUMIFS(상세표[기록 시간외],상세표[사번키],INDEX(합계표[사번키],$X600),상세표[기록월],"&lt;&gt;"&amp;대상월키,상세표[반영월],대상월키))</f>
        <v/>
      </c>
      <c r="K600" s="20">
        <f>IF($X600="","",SUMIFS(상세표[기록 시간외],상세표[사번키],INDEX(합계표[사번키],$X600),상세표[반영월],대상월키))</f>
        <v/>
      </c>
      <c r="L600">
        <f>IF($X600="","",IFERROR(INDEX(월별근무지표[적용 급여병원],MATCH(INDEX(합계표[사번키],$X600)&amp;"|"&amp;대상월키,월별근무지표[키],0))&amp;"",IF(COUNTIF(기관표[사번키],INDEX(합계표[사번키],$X600))+COUNTIF(월별근무지표[사번키],INDEX(합계표[사번키],$X600))&gt;0,IFERROR(INDEX(기관표[급여지급병원(기준월)],MATCH(INDEX(합계표[사번키],$X600)&amp;"|"&amp;대상월키,기관표[키],0))&amp;"","—"),"—")))</f>
        <v/>
      </c>
      <c r="M600">
        <f>IF($X600="","",IF(NOT(COUNTIF(기관표[사번키],INDEX(합계표[사번키],$X600))+COUNTIF(월별근무지표[사번키],INDEX(합계표[사번키],$X600))&gt;0),"기관명단에 없음(다른 병원으로 발송)",IF($L600="서울병원","해당",IF(N($R600)&gt;0,"해당(말일 근무)",IF($L600="—","대상월 기관명단 없음(추가 필요)","비해당")))))</f>
        <v/>
      </c>
      <c r="N600" s="20">
        <f>IF($X600="","",SUMIFS(상세표[06~07시],상세표[사번키],INDEX(합계표[사번키],$X600),상세표[반영월],대상월키,상세표[반영 기관],"서울병원"))</f>
        <v/>
      </c>
      <c r="O600" s="20">
        <f>IF($X600="","",SUMIFS(상세표[07~18시],상세표[사번키],INDEX(합계표[사번키],$X600),상세표[반영월],대상월키,상세표[반영 기관],"서울병원"))</f>
        <v/>
      </c>
      <c r="P600" s="20">
        <f>IF($X600="","",SUMIFS(상세표[18~22시],상세표[사번키],INDEX(합계표[사번키],$X600),상세표[반영월],대상월키,상세표[반영 기관],"서울병원"))</f>
        <v/>
      </c>
      <c r="Q600" s="20">
        <f>IF($X600="","",SUMIFS(상세표[22~06시],상세표[사번키],INDEX(합계표[사번키],$X600),상세표[반영월],대상월키,상세표[반영 기관],"서울병원"))</f>
        <v/>
      </c>
      <c r="R600" s="20">
        <f>IF($X600="","",SUM($N600:$Q600))</f>
        <v/>
      </c>
      <c r="S600">
        <f>IF($X600="","",COUNTIFS(상세표[사번키],INDEX(합계표[사번키],$X600),상세표[반영월],대상월키,상세표[야간당직],1,상세표[야간 구분],"평일"))</f>
        <v/>
      </c>
      <c r="T600">
        <f>IF($X600="","",COUNTIFS(상세표[사번키],INDEX(합계표[사번키],$X600),상세표[반영월],대상월키,상세표[야간당직],1,상세표[야간 구분],"휴일"))</f>
        <v/>
      </c>
      <c r="U600">
        <f>IF($X600="","",COUNTIFS(상세표[사번키],INDEX(합계표[사번키],$X600),상세표[반영월],대상월키,상세표[야간당직],1,상세표[야간 구분],"평일",상세표[반영 기관],"서울병원"))</f>
        <v/>
      </c>
      <c r="V600">
        <f>IF($X600="","",COUNTIFS(상세표[사번키],INDEX(합계표[사번키],$X600),상세표[반영월],대상월키,상세표[야간당직],1,상세표[야간 구분],"휴일",상세표[반영 기관],"서울병원"))</f>
        <v/>
      </c>
      <c r="W600">
        <f>IF($X600="","",IF(ISNUMBER(MATCH(INDEX(합계표[사번키],$X600)&amp;"|"&amp;대상월키,월별근무지표[키],0)),"직접 입력",IF($L600="—","—","기관명단")))</f>
        <v/>
      </c>
      <c r="X600" s="4">
        <f>IFERROR(MATCH(595,합계표[판정순번],0),"")</f>
        <v/>
      </c>
    </row>
    <row r="601">
      <c r="A601">
        <f>IF($X601="","",INDEX(합계표[사번],$X601)&amp;"")</f>
        <v/>
      </c>
      <c r="B601">
        <f>IF($X601="","",INDEX(합계표[성명],$X601)&amp;"")</f>
        <v/>
      </c>
      <c r="C601">
        <f>IF($X601="","",INDEX(합계표[부서],$X601)&amp;"")</f>
        <v/>
      </c>
      <c r="D601">
        <f>IF($X601="","",INDEX(합계표[직위(요약)],$X601)&amp;"")</f>
        <v/>
      </c>
      <c r="E601">
        <f>IF($X601="","",INDEX(합계표[직급 공존],$X601)&amp;"")</f>
        <v/>
      </c>
      <c r="F601" s="20">
        <f>IF($X601="","",SUMIFS(합계표[시스템 합계],합계표[사번키],INDEX(합계표[사번키],$X601)))</f>
        <v/>
      </c>
      <c r="G601" s="20">
        <f>IF($X601="","",SUMIFS(상세표[기록 시간외],상세표[사번키],INDEX(합계표[사번키],$X601),상세표[기록월],대상월키))</f>
        <v/>
      </c>
      <c r="H601">
        <f>IF($X601="","",IF(ABS($F601-$G601)&lt;0.01,"일치","불일치(차이 "&amp;TEXT($G601-$F601,"0.00")&amp;")"))</f>
        <v/>
      </c>
      <c r="I601" s="20">
        <f>IF($X601="","",SUMIFS(상세표[기록 시간외],상세표[사번키],INDEX(합계표[사번키],$X601),상세표[기록월],대상월키,상세표[반영월],"&lt;&gt;"&amp;대상월키))</f>
        <v/>
      </c>
      <c r="J601" s="20">
        <f>IF($X601="","",SUMIFS(상세표[기록 시간외],상세표[사번키],INDEX(합계표[사번키],$X601),상세표[기록월],"&lt;&gt;"&amp;대상월키,상세표[반영월],대상월키))</f>
        <v/>
      </c>
      <c r="K601" s="20">
        <f>IF($X601="","",SUMIFS(상세표[기록 시간외],상세표[사번키],INDEX(합계표[사번키],$X601),상세표[반영월],대상월키))</f>
        <v/>
      </c>
      <c r="L601">
        <f>IF($X601="","",IFERROR(INDEX(월별근무지표[적용 급여병원],MATCH(INDEX(합계표[사번키],$X601)&amp;"|"&amp;대상월키,월별근무지표[키],0))&amp;"",IF(COUNTIF(기관표[사번키],INDEX(합계표[사번키],$X601))+COUNTIF(월별근무지표[사번키],INDEX(합계표[사번키],$X601))&gt;0,IFERROR(INDEX(기관표[급여지급병원(기준월)],MATCH(INDEX(합계표[사번키],$X601)&amp;"|"&amp;대상월키,기관표[키],0))&amp;"","—"),"—")))</f>
        <v/>
      </c>
      <c r="M601">
        <f>IF($X601="","",IF(NOT(COUNTIF(기관표[사번키],INDEX(합계표[사번키],$X601))+COUNTIF(월별근무지표[사번키],INDEX(합계표[사번키],$X601))&gt;0),"기관명단에 없음(다른 병원으로 발송)",IF($L601="서울병원","해당",IF(N($R601)&gt;0,"해당(말일 근무)",IF($L601="—","대상월 기관명단 없음(추가 필요)","비해당")))))</f>
        <v/>
      </c>
      <c r="N601" s="20">
        <f>IF($X601="","",SUMIFS(상세표[06~07시],상세표[사번키],INDEX(합계표[사번키],$X601),상세표[반영월],대상월키,상세표[반영 기관],"서울병원"))</f>
        <v/>
      </c>
      <c r="O601" s="20">
        <f>IF($X601="","",SUMIFS(상세표[07~18시],상세표[사번키],INDEX(합계표[사번키],$X601),상세표[반영월],대상월키,상세표[반영 기관],"서울병원"))</f>
        <v/>
      </c>
      <c r="P601" s="20">
        <f>IF($X601="","",SUMIFS(상세표[18~22시],상세표[사번키],INDEX(합계표[사번키],$X601),상세표[반영월],대상월키,상세표[반영 기관],"서울병원"))</f>
        <v/>
      </c>
      <c r="Q601" s="20">
        <f>IF($X601="","",SUMIFS(상세표[22~06시],상세표[사번키],INDEX(합계표[사번키],$X601),상세표[반영월],대상월키,상세표[반영 기관],"서울병원"))</f>
        <v/>
      </c>
      <c r="R601" s="20">
        <f>IF($X601="","",SUM($N601:$Q601))</f>
        <v/>
      </c>
      <c r="S601">
        <f>IF($X601="","",COUNTIFS(상세표[사번키],INDEX(합계표[사번키],$X601),상세표[반영월],대상월키,상세표[야간당직],1,상세표[야간 구분],"평일"))</f>
        <v/>
      </c>
      <c r="T601">
        <f>IF($X601="","",COUNTIFS(상세표[사번키],INDEX(합계표[사번키],$X601),상세표[반영월],대상월키,상세표[야간당직],1,상세표[야간 구분],"휴일"))</f>
        <v/>
      </c>
      <c r="U601">
        <f>IF($X601="","",COUNTIFS(상세표[사번키],INDEX(합계표[사번키],$X601),상세표[반영월],대상월키,상세표[야간당직],1,상세표[야간 구분],"평일",상세표[반영 기관],"서울병원"))</f>
        <v/>
      </c>
      <c r="V601">
        <f>IF($X601="","",COUNTIFS(상세표[사번키],INDEX(합계표[사번키],$X601),상세표[반영월],대상월키,상세표[야간당직],1,상세표[야간 구분],"휴일",상세표[반영 기관],"서울병원"))</f>
        <v/>
      </c>
      <c r="W601">
        <f>IF($X601="","",IF(ISNUMBER(MATCH(INDEX(합계표[사번키],$X601)&amp;"|"&amp;대상월키,월별근무지표[키],0)),"직접 입력",IF($L601="—","—","기관명단")))</f>
        <v/>
      </c>
      <c r="X601" s="4">
        <f>IFERROR(MATCH(596,합계표[판정순번],0),"")</f>
        <v/>
      </c>
    </row>
    <row r="602">
      <c r="A602">
        <f>IF($X602="","",INDEX(합계표[사번],$X602)&amp;"")</f>
        <v/>
      </c>
      <c r="B602">
        <f>IF($X602="","",INDEX(합계표[성명],$X602)&amp;"")</f>
        <v/>
      </c>
      <c r="C602">
        <f>IF($X602="","",INDEX(합계표[부서],$X602)&amp;"")</f>
        <v/>
      </c>
      <c r="D602">
        <f>IF($X602="","",INDEX(합계표[직위(요약)],$X602)&amp;"")</f>
        <v/>
      </c>
      <c r="E602">
        <f>IF($X602="","",INDEX(합계표[직급 공존],$X602)&amp;"")</f>
        <v/>
      </c>
      <c r="F602" s="20">
        <f>IF($X602="","",SUMIFS(합계표[시스템 합계],합계표[사번키],INDEX(합계표[사번키],$X602)))</f>
        <v/>
      </c>
      <c r="G602" s="20">
        <f>IF($X602="","",SUMIFS(상세표[기록 시간외],상세표[사번키],INDEX(합계표[사번키],$X602),상세표[기록월],대상월키))</f>
        <v/>
      </c>
      <c r="H602">
        <f>IF($X602="","",IF(ABS($F602-$G602)&lt;0.01,"일치","불일치(차이 "&amp;TEXT($G602-$F602,"0.00")&amp;")"))</f>
        <v/>
      </c>
      <c r="I602" s="20">
        <f>IF($X602="","",SUMIFS(상세표[기록 시간외],상세표[사번키],INDEX(합계표[사번키],$X602),상세표[기록월],대상월키,상세표[반영월],"&lt;&gt;"&amp;대상월키))</f>
        <v/>
      </c>
      <c r="J602" s="20">
        <f>IF($X602="","",SUMIFS(상세표[기록 시간외],상세표[사번키],INDEX(합계표[사번키],$X602),상세표[기록월],"&lt;&gt;"&amp;대상월키,상세표[반영월],대상월키))</f>
        <v/>
      </c>
      <c r="K602" s="20">
        <f>IF($X602="","",SUMIFS(상세표[기록 시간외],상세표[사번키],INDEX(합계표[사번키],$X602),상세표[반영월],대상월키))</f>
        <v/>
      </c>
      <c r="L602">
        <f>IF($X602="","",IFERROR(INDEX(월별근무지표[적용 급여병원],MATCH(INDEX(합계표[사번키],$X602)&amp;"|"&amp;대상월키,월별근무지표[키],0))&amp;"",IF(COUNTIF(기관표[사번키],INDEX(합계표[사번키],$X602))+COUNTIF(월별근무지표[사번키],INDEX(합계표[사번키],$X602))&gt;0,IFERROR(INDEX(기관표[급여지급병원(기준월)],MATCH(INDEX(합계표[사번키],$X602)&amp;"|"&amp;대상월키,기관표[키],0))&amp;"","—"),"—")))</f>
        <v/>
      </c>
      <c r="M602">
        <f>IF($X602="","",IF(NOT(COUNTIF(기관표[사번키],INDEX(합계표[사번키],$X602))+COUNTIF(월별근무지표[사번키],INDEX(합계표[사번키],$X602))&gt;0),"기관명단에 없음(다른 병원으로 발송)",IF($L602="서울병원","해당",IF(N($R602)&gt;0,"해당(말일 근무)",IF($L602="—","대상월 기관명단 없음(추가 필요)","비해당")))))</f>
        <v/>
      </c>
      <c r="N602" s="20">
        <f>IF($X602="","",SUMIFS(상세표[06~07시],상세표[사번키],INDEX(합계표[사번키],$X602),상세표[반영월],대상월키,상세표[반영 기관],"서울병원"))</f>
        <v/>
      </c>
      <c r="O602" s="20">
        <f>IF($X602="","",SUMIFS(상세표[07~18시],상세표[사번키],INDEX(합계표[사번키],$X602),상세표[반영월],대상월키,상세표[반영 기관],"서울병원"))</f>
        <v/>
      </c>
      <c r="P602" s="20">
        <f>IF($X602="","",SUMIFS(상세표[18~22시],상세표[사번키],INDEX(합계표[사번키],$X602),상세표[반영월],대상월키,상세표[반영 기관],"서울병원"))</f>
        <v/>
      </c>
      <c r="Q602" s="20">
        <f>IF($X602="","",SUMIFS(상세표[22~06시],상세표[사번키],INDEX(합계표[사번키],$X602),상세표[반영월],대상월키,상세표[반영 기관],"서울병원"))</f>
        <v/>
      </c>
      <c r="R602" s="20">
        <f>IF($X602="","",SUM($N602:$Q602))</f>
        <v/>
      </c>
      <c r="S602">
        <f>IF($X602="","",COUNTIFS(상세표[사번키],INDEX(합계표[사번키],$X602),상세표[반영월],대상월키,상세표[야간당직],1,상세표[야간 구분],"평일"))</f>
        <v/>
      </c>
      <c r="T602">
        <f>IF($X602="","",COUNTIFS(상세표[사번키],INDEX(합계표[사번키],$X602),상세표[반영월],대상월키,상세표[야간당직],1,상세표[야간 구분],"휴일"))</f>
        <v/>
      </c>
      <c r="U602">
        <f>IF($X602="","",COUNTIFS(상세표[사번키],INDEX(합계표[사번키],$X602),상세표[반영월],대상월키,상세표[야간당직],1,상세표[야간 구분],"평일",상세표[반영 기관],"서울병원"))</f>
        <v/>
      </c>
      <c r="V602">
        <f>IF($X602="","",COUNTIFS(상세표[사번키],INDEX(합계표[사번키],$X602),상세표[반영월],대상월키,상세표[야간당직],1,상세표[야간 구분],"휴일",상세표[반영 기관],"서울병원"))</f>
        <v/>
      </c>
      <c r="W602">
        <f>IF($X602="","",IF(ISNUMBER(MATCH(INDEX(합계표[사번키],$X602)&amp;"|"&amp;대상월키,월별근무지표[키],0)),"직접 입력",IF($L602="—","—","기관명단")))</f>
        <v/>
      </c>
      <c r="X602" s="4">
        <f>IFERROR(MATCH(597,합계표[판정순번],0),"")</f>
        <v/>
      </c>
    </row>
    <row r="603">
      <c r="A603">
        <f>IF($X603="","",INDEX(합계표[사번],$X603)&amp;"")</f>
        <v/>
      </c>
      <c r="B603">
        <f>IF($X603="","",INDEX(합계표[성명],$X603)&amp;"")</f>
        <v/>
      </c>
      <c r="C603">
        <f>IF($X603="","",INDEX(합계표[부서],$X603)&amp;"")</f>
        <v/>
      </c>
      <c r="D603">
        <f>IF($X603="","",INDEX(합계표[직위(요약)],$X603)&amp;"")</f>
        <v/>
      </c>
      <c r="E603">
        <f>IF($X603="","",INDEX(합계표[직급 공존],$X603)&amp;"")</f>
        <v/>
      </c>
      <c r="F603" s="20">
        <f>IF($X603="","",SUMIFS(합계표[시스템 합계],합계표[사번키],INDEX(합계표[사번키],$X603)))</f>
        <v/>
      </c>
      <c r="G603" s="20">
        <f>IF($X603="","",SUMIFS(상세표[기록 시간외],상세표[사번키],INDEX(합계표[사번키],$X603),상세표[기록월],대상월키))</f>
        <v/>
      </c>
      <c r="H603">
        <f>IF($X603="","",IF(ABS($F603-$G603)&lt;0.01,"일치","불일치(차이 "&amp;TEXT($G603-$F603,"0.00")&amp;")"))</f>
        <v/>
      </c>
      <c r="I603" s="20">
        <f>IF($X603="","",SUMIFS(상세표[기록 시간외],상세표[사번키],INDEX(합계표[사번키],$X603),상세표[기록월],대상월키,상세표[반영월],"&lt;&gt;"&amp;대상월키))</f>
        <v/>
      </c>
      <c r="J603" s="20">
        <f>IF($X603="","",SUMIFS(상세표[기록 시간외],상세표[사번키],INDEX(합계표[사번키],$X603),상세표[기록월],"&lt;&gt;"&amp;대상월키,상세표[반영월],대상월키))</f>
        <v/>
      </c>
      <c r="K603" s="20">
        <f>IF($X603="","",SUMIFS(상세표[기록 시간외],상세표[사번키],INDEX(합계표[사번키],$X603),상세표[반영월],대상월키))</f>
        <v/>
      </c>
      <c r="L603">
        <f>IF($X603="","",IFERROR(INDEX(월별근무지표[적용 급여병원],MATCH(INDEX(합계표[사번키],$X603)&amp;"|"&amp;대상월키,월별근무지표[키],0))&amp;"",IF(COUNTIF(기관표[사번키],INDEX(합계표[사번키],$X603))+COUNTIF(월별근무지표[사번키],INDEX(합계표[사번키],$X603))&gt;0,IFERROR(INDEX(기관표[급여지급병원(기준월)],MATCH(INDEX(합계표[사번키],$X603)&amp;"|"&amp;대상월키,기관표[키],0))&amp;"","—"),"—")))</f>
        <v/>
      </c>
      <c r="M603">
        <f>IF($X603="","",IF(NOT(COUNTIF(기관표[사번키],INDEX(합계표[사번키],$X603))+COUNTIF(월별근무지표[사번키],INDEX(합계표[사번키],$X603))&gt;0),"기관명단에 없음(다른 병원으로 발송)",IF($L603="서울병원","해당",IF(N($R603)&gt;0,"해당(말일 근무)",IF($L603="—","대상월 기관명단 없음(추가 필요)","비해당")))))</f>
        <v/>
      </c>
      <c r="N603" s="20">
        <f>IF($X603="","",SUMIFS(상세표[06~07시],상세표[사번키],INDEX(합계표[사번키],$X603),상세표[반영월],대상월키,상세표[반영 기관],"서울병원"))</f>
        <v/>
      </c>
      <c r="O603" s="20">
        <f>IF($X603="","",SUMIFS(상세표[07~18시],상세표[사번키],INDEX(합계표[사번키],$X603),상세표[반영월],대상월키,상세표[반영 기관],"서울병원"))</f>
        <v/>
      </c>
      <c r="P603" s="20">
        <f>IF($X603="","",SUMIFS(상세표[18~22시],상세표[사번키],INDEX(합계표[사번키],$X603),상세표[반영월],대상월키,상세표[반영 기관],"서울병원"))</f>
        <v/>
      </c>
      <c r="Q603" s="20">
        <f>IF($X603="","",SUMIFS(상세표[22~06시],상세표[사번키],INDEX(합계표[사번키],$X603),상세표[반영월],대상월키,상세표[반영 기관],"서울병원"))</f>
        <v/>
      </c>
      <c r="R603" s="20">
        <f>IF($X603="","",SUM($N603:$Q603))</f>
        <v/>
      </c>
      <c r="S603">
        <f>IF($X603="","",COUNTIFS(상세표[사번키],INDEX(합계표[사번키],$X603),상세표[반영월],대상월키,상세표[야간당직],1,상세표[야간 구분],"평일"))</f>
        <v/>
      </c>
      <c r="T603">
        <f>IF($X603="","",COUNTIFS(상세표[사번키],INDEX(합계표[사번키],$X603),상세표[반영월],대상월키,상세표[야간당직],1,상세표[야간 구분],"휴일"))</f>
        <v/>
      </c>
      <c r="U603">
        <f>IF($X603="","",COUNTIFS(상세표[사번키],INDEX(합계표[사번키],$X603),상세표[반영월],대상월키,상세표[야간당직],1,상세표[야간 구분],"평일",상세표[반영 기관],"서울병원"))</f>
        <v/>
      </c>
      <c r="V603">
        <f>IF($X603="","",COUNTIFS(상세표[사번키],INDEX(합계표[사번키],$X603),상세표[반영월],대상월키,상세표[야간당직],1,상세표[야간 구분],"휴일",상세표[반영 기관],"서울병원"))</f>
        <v/>
      </c>
      <c r="W603">
        <f>IF($X603="","",IF(ISNUMBER(MATCH(INDEX(합계표[사번키],$X603)&amp;"|"&amp;대상월키,월별근무지표[키],0)),"직접 입력",IF($L603="—","—","기관명단")))</f>
        <v/>
      </c>
      <c r="X603" s="4">
        <f>IFERROR(MATCH(598,합계표[판정순번],0),"")</f>
        <v/>
      </c>
    </row>
    <row r="604">
      <c r="A604">
        <f>IF($X604="","",INDEX(합계표[사번],$X604)&amp;"")</f>
        <v/>
      </c>
      <c r="B604">
        <f>IF($X604="","",INDEX(합계표[성명],$X604)&amp;"")</f>
        <v/>
      </c>
      <c r="C604">
        <f>IF($X604="","",INDEX(합계표[부서],$X604)&amp;"")</f>
        <v/>
      </c>
      <c r="D604">
        <f>IF($X604="","",INDEX(합계표[직위(요약)],$X604)&amp;"")</f>
        <v/>
      </c>
      <c r="E604">
        <f>IF($X604="","",INDEX(합계표[직급 공존],$X604)&amp;"")</f>
        <v/>
      </c>
      <c r="F604" s="20">
        <f>IF($X604="","",SUMIFS(합계표[시스템 합계],합계표[사번키],INDEX(합계표[사번키],$X604)))</f>
        <v/>
      </c>
      <c r="G604" s="20">
        <f>IF($X604="","",SUMIFS(상세표[기록 시간외],상세표[사번키],INDEX(합계표[사번키],$X604),상세표[기록월],대상월키))</f>
        <v/>
      </c>
      <c r="H604">
        <f>IF($X604="","",IF(ABS($F604-$G604)&lt;0.01,"일치","불일치(차이 "&amp;TEXT($G604-$F604,"0.00")&amp;")"))</f>
        <v/>
      </c>
      <c r="I604" s="20">
        <f>IF($X604="","",SUMIFS(상세표[기록 시간외],상세표[사번키],INDEX(합계표[사번키],$X604),상세표[기록월],대상월키,상세표[반영월],"&lt;&gt;"&amp;대상월키))</f>
        <v/>
      </c>
      <c r="J604" s="20">
        <f>IF($X604="","",SUMIFS(상세표[기록 시간외],상세표[사번키],INDEX(합계표[사번키],$X604),상세표[기록월],"&lt;&gt;"&amp;대상월키,상세표[반영월],대상월키))</f>
        <v/>
      </c>
      <c r="K604" s="20">
        <f>IF($X604="","",SUMIFS(상세표[기록 시간외],상세표[사번키],INDEX(합계표[사번키],$X604),상세표[반영월],대상월키))</f>
        <v/>
      </c>
      <c r="L604">
        <f>IF($X604="","",IFERROR(INDEX(월별근무지표[적용 급여병원],MATCH(INDEX(합계표[사번키],$X604)&amp;"|"&amp;대상월키,월별근무지표[키],0))&amp;"",IF(COUNTIF(기관표[사번키],INDEX(합계표[사번키],$X604))+COUNTIF(월별근무지표[사번키],INDEX(합계표[사번키],$X604))&gt;0,IFERROR(INDEX(기관표[급여지급병원(기준월)],MATCH(INDEX(합계표[사번키],$X604)&amp;"|"&amp;대상월키,기관표[키],0))&amp;"","—"),"—")))</f>
        <v/>
      </c>
      <c r="M604">
        <f>IF($X604="","",IF(NOT(COUNTIF(기관표[사번키],INDEX(합계표[사번키],$X604))+COUNTIF(월별근무지표[사번키],INDEX(합계표[사번키],$X604))&gt;0),"기관명단에 없음(다른 병원으로 발송)",IF($L604="서울병원","해당",IF(N($R604)&gt;0,"해당(말일 근무)",IF($L604="—","대상월 기관명단 없음(추가 필요)","비해당")))))</f>
        <v/>
      </c>
      <c r="N604" s="20">
        <f>IF($X604="","",SUMIFS(상세표[06~07시],상세표[사번키],INDEX(합계표[사번키],$X604),상세표[반영월],대상월키,상세표[반영 기관],"서울병원"))</f>
        <v/>
      </c>
      <c r="O604" s="20">
        <f>IF($X604="","",SUMIFS(상세표[07~18시],상세표[사번키],INDEX(합계표[사번키],$X604),상세표[반영월],대상월키,상세표[반영 기관],"서울병원"))</f>
        <v/>
      </c>
      <c r="P604" s="20">
        <f>IF($X604="","",SUMIFS(상세표[18~22시],상세표[사번키],INDEX(합계표[사번키],$X604),상세표[반영월],대상월키,상세표[반영 기관],"서울병원"))</f>
        <v/>
      </c>
      <c r="Q604" s="20">
        <f>IF($X604="","",SUMIFS(상세표[22~06시],상세표[사번키],INDEX(합계표[사번키],$X604),상세표[반영월],대상월키,상세표[반영 기관],"서울병원"))</f>
        <v/>
      </c>
      <c r="R604" s="20">
        <f>IF($X604="","",SUM($N604:$Q604))</f>
        <v/>
      </c>
      <c r="S604">
        <f>IF($X604="","",COUNTIFS(상세표[사번키],INDEX(합계표[사번키],$X604),상세표[반영월],대상월키,상세표[야간당직],1,상세표[야간 구분],"평일"))</f>
        <v/>
      </c>
      <c r="T604">
        <f>IF($X604="","",COUNTIFS(상세표[사번키],INDEX(합계표[사번키],$X604),상세표[반영월],대상월키,상세표[야간당직],1,상세표[야간 구분],"휴일"))</f>
        <v/>
      </c>
      <c r="U604">
        <f>IF($X604="","",COUNTIFS(상세표[사번키],INDEX(합계표[사번키],$X604),상세표[반영월],대상월키,상세표[야간당직],1,상세표[야간 구분],"평일",상세표[반영 기관],"서울병원"))</f>
        <v/>
      </c>
      <c r="V604">
        <f>IF($X604="","",COUNTIFS(상세표[사번키],INDEX(합계표[사번키],$X604),상세표[반영월],대상월키,상세표[야간당직],1,상세표[야간 구분],"휴일",상세표[반영 기관],"서울병원"))</f>
        <v/>
      </c>
      <c r="W604">
        <f>IF($X604="","",IF(ISNUMBER(MATCH(INDEX(합계표[사번키],$X604)&amp;"|"&amp;대상월키,월별근무지표[키],0)),"직접 입력",IF($L604="—","—","기관명단")))</f>
        <v/>
      </c>
      <c r="X604" s="4">
        <f>IFERROR(MATCH(599,합계표[판정순번],0),"")</f>
        <v/>
      </c>
    </row>
    <row r="605">
      <c r="A605">
        <f>IF($X605="","",INDEX(합계표[사번],$X605)&amp;"")</f>
        <v/>
      </c>
      <c r="B605">
        <f>IF($X605="","",INDEX(합계표[성명],$X605)&amp;"")</f>
        <v/>
      </c>
      <c r="C605">
        <f>IF($X605="","",INDEX(합계표[부서],$X605)&amp;"")</f>
        <v/>
      </c>
      <c r="D605">
        <f>IF($X605="","",INDEX(합계표[직위(요약)],$X605)&amp;"")</f>
        <v/>
      </c>
      <c r="E605">
        <f>IF($X605="","",INDEX(합계표[직급 공존],$X605)&amp;"")</f>
        <v/>
      </c>
      <c r="F605" s="20">
        <f>IF($X605="","",SUMIFS(합계표[시스템 합계],합계표[사번키],INDEX(합계표[사번키],$X605)))</f>
        <v/>
      </c>
      <c r="G605" s="20">
        <f>IF($X605="","",SUMIFS(상세표[기록 시간외],상세표[사번키],INDEX(합계표[사번키],$X605),상세표[기록월],대상월키))</f>
        <v/>
      </c>
      <c r="H605">
        <f>IF($X605="","",IF(ABS($F605-$G605)&lt;0.01,"일치","불일치(차이 "&amp;TEXT($G605-$F605,"0.00")&amp;")"))</f>
        <v/>
      </c>
      <c r="I605" s="20">
        <f>IF($X605="","",SUMIFS(상세표[기록 시간외],상세표[사번키],INDEX(합계표[사번키],$X605),상세표[기록월],대상월키,상세표[반영월],"&lt;&gt;"&amp;대상월키))</f>
        <v/>
      </c>
      <c r="J605" s="20">
        <f>IF($X605="","",SUMIFS(상세표[기록 시간외],상세표[사번키],INDEX(합계표[사번키],$X605),상세표[기록월],"&lt;&gt;"&amp;대상월키,상세표[반영월],대상월키))</f>
        <v/>
      </c>
      <c r="K605" s="20">
        <f>IF($X605="","",SUMIFS(상세표[기록 시간외],상세표[사번키],INDEX(합계표[사번키],$X605),상세표[반영월],대상월키))</f>
        <v/>
      </c>
      <c r="L605">
        <f>IF($X605="","",IFERROR(INDEX(월별근무지표[적용 급여병원],MATCH(INDEX(합계표[사번키],$X605)&amp;"|"&amp;대상월키,월별근무지표[키],0))&amp;"",IF(COUNTIF(기관표[사번키],INDEX(합계표[사번키],$X605))+COUNTIF(월별근무지표[사번키],INDEX(합계표[사번키],$X605))&gt;0,IFERROR(INDEX(기관표[급여지급병원(기준월)],MATCH(INDEX(합계표[사번키],$X605)&amp;"|"&amp;대상월키,기관표[키],0))&amp;"","—"),"—")))</f>
        <v/>
      </c>
      <c r="M605">
        <f>IF($X605="","",IF(NOT(COUNTIF(기관표[사번키],INDEX(합계표[사번키],$X605))+COUNTIF(월별근무지표[사번키],INDEX(합계표[사번키],$X605))&gt;0),"기관명단에 없음(다른 병원으로 발송)",IF($L605="서울병원","해당",IF(N($R605)&gt;0,"해당(말일 근무)",IF($L605="—","대상월 기관명단 없음(추가 필요)","비해당")))))</f>
        <v/>
      </c>
      <c r="N605" s="20">
        <f>IF($X605="","",SUMIFS(상세표[06~07시],상세표[사번키],INDEX(합계표[사번키],$X605),상세표[반영월],대상월키,상세표[반영 기관],"서울병원"))</f>
        <v/>
      </c>
      <c r="O605" s="20">
        <f>IF($X605="","",SUMIFS(상세표[07~18시],상세표[사번키],INDEX(합계표[사번키],$X605),상세표[반영월],대상월키,상세표[반영 기관],"서울병원"))</f>
        <v/>
      </c>
      <c r="P605" s="20">
        <f>IF($X605="","",SUMIFS(상세표[18~22시],상세표[사번키],INDEX(합계표[사번키],$X605),상세표[반영월],대상월키,상세표[반영 기관],"서울병원"))</f>
        <v/>
      </c>
      <c r="Q605" s="20">
        <f>IF($X605="","",SUMIFS(상세표[22~06시],상세표[사번키],INDEX(합계표[사번키],$X605),상세표[반영월],대상월키,상세표[반영 기관],"서울병원"))</f>
        <v/>
      </c>
      <c r="R605" s="20">
        <f>IF($X605="","",SUM($N605:$Q605))</f>
        <v/>
      </c>
      <c r="S605">
        <f>IF($X605="","",COUNTIFS(상세표[사번키],INDEX(합계표[사번키],$X605),상세표[반영월],대상월키,상세표[야간당직],1,상세표[야간 구분],"평일"))</f>
        <v/>
      </c>
      <c r="T605">
        <f>IF($X605="","",COUNTIFS(상세표[사번키],INDEX(합계표[사번키],$X605),상세표[반영월],대상월키,상세표[야간당직],1,상세표[야간 구분],"휴일"))</f>
        <v/>
      </c>
      <c r="U605">
        <f>IF($X605="","",COUNTIFS(상세표[사번키],INDEX(합계표[사번키],$X605),상세표[반영월],대상월키,상세표[야간당직],1,상세표[야간 구분],"평일",상세표[반영 기관],"서울병원"))</f>
        <v/>
      </c>
      <c r="V605">
        <f>IF($X605="","",COUNTIFS(상세표[사번키],INDEX(합계표[사번키],$X605),상세표[반영월],대상월키,상세표[야간당직],1,상세표[야간 구분],"휴일",상세표[반영 기관],"서울병원"))</f>
        <v/>
      </c>
      <c r="W605">
        <f>IF($X605="","",IF(ISNUMBER(MATCH(INDEX(합계표[사번키],$X605)&amp;"|"&amp;대상월키,월별근무지표[키],0)),"직접 입력",IF($L605="—","—","기관명단")))</f>
        <v/>
      </c>
      <c r="X605" s="4">
        <f>IFERROR(MATCH(600,합계표[판정순번],0),"")</f>
        <v/>
      </c>
    </row>
    <row r="606">
      <c r="A606">
        <f>IF($X606="","",INDEX(합계표[사번],$X606)&amp;"")</f>
        <v/>
      </c>
      <c r="B606">
        <f>IF($X606="","",INDEX(합계표[성명],$X606)&amp;"")</f>
        <v/>
      </c>
      <c r="C606">
        <f>IF($X606="","",INDEX(합계표[부서],$X606)&amp;"")</f>
        <v/>
      </c>
      <c r="D606">
        <f>IF($X606="","",INDEX(합계표[직위(요약)],$X606)&amp;"")</f>
        <v/>
      </c>
      <c r="E606">
        <f>IF($X606="","",INDEX(합계표[직급 공존],$X606)&amp;"")</f>
        <v/>
      </c>
      <c r="F606" s="20">
        <f>IF($X606="","",SUMIFS(합계표[시스템 합계],합계표[사번키],INDEX(합계표[사번키],$X606)))</f>
        <v/>
      </c>
      <c r="G606" s="20">
        <f>IF($X606="","",SUMIFS(상세표[기록 시간외],상세표[사번키],INDEX(합계표[사번키],$X606),상세표[기록월],대상월키))</f>
        <v/>
      </c>
      <c r="H606">
        <f>IF($X606="","",IF(ABS($F606-$G606)&lt;0.01,"일치","불일치(차이 "&amp;TEXT($G606-$F606,"0.00")&amp;")"))</f>
        <v/>
      </c>
      <c r="I606" s="20">
        <f>IF($X606="","",SUMIFS(상세표[기록 시간외],상세표[사번키],INDEX(합계표[사번키],$X606),상세표[기록월],대상월키,상세표[반영월],"&lt;&gt;"&amp;대상월키))</f>
        <v/>
      </c>
      <c r="J606" s="20">
        <f>IF($X606="","",SUMIFS(상세표[기록 시간외],상세표[사번키],INDEX(합계표[사번키],$X606),상세표[기록월],"&lt;&gt;"&amp;대상월키,상세표[반영월],대상월키))</f>
        <v/>
      </c>
      <c r="K606" s="20">
        <f>IF($X606="","",SUMIFS(상세표[기록 시간외],상세표[사번키],INDEX(합계표[사번키],$X606),상세표[반영월],대상월키))</f>
        <v/>
      </c>
      <c r="L606">
        <f>IF($X606="","",IFERROR(INDEX(월별근무지표[적용 급여병원],MATCH(INDEX(합계표[사번키],$X606)&amp;"|"&amp;대상월키,월별근무지표[키],0))&amp;"",IF(COUNTIF(기관표[사번키],INDEX(합계표[사번키],$X606))+COUNTIF(월별근무지표[사번키],INDEX(합계표[사번키],$X606))&gt;0,IFERROR(INDEX(기관표[급여지급병원(기준월)],MATCH(INDEX(합계표[사번키],$X606)&amp;"|"&amp;대상월키,기관표[키],0))&amp;"","—"),"—")))</f>
        <v/>
      </c>
      <c r="M606">
        <f>IF($X606="","",IF(NOT(COUNTIF(기관표[사번키],INDEX(합계표[사번키],$X606))+COUNTIF(월별근무지표[사번키],INDEX(합계표[사번키],$X606))&gt;0),"기관명단에 없음(다른 병원으로 발송)",IF($L606="서울병원","해당",IF(N($R606)&gt;0,"해당(말일 근무)",IF($L606="—","대상월 기관명단 없음(추가 필요)","비해당")))))</f>
        <v/>
      </c>
      <c r="N606" s="20">
        <f>IF($X606="","",SUMIFS(상세표[06~07시],상세표[사번키],INDEX(합계표[사번키],$X606),상세표[반영월],대상월키,상세표[반영 기관],"서울병원"))</f>
        <v/>
      </c>
      <c r="O606" s="20">
        <f>IF($X606="","",SUMIFS(상세표[07~18시],상세표[사번키],INDEX(합계표[사번키],$X606),상세표[반영월],대상월키,상세표[반영 기관],"서울병원"))</f>
        <v/>
      </c>
      <c r="P606" s="20">
        <f>IF($X606="","",SUMIFS(상세표[18~22시],상세표[사번키],INDEX(합계표[사번키],$X606),상세표[반영월],대상월키,상세표[반영 기관],"서울병원"))</f>
        <v/>
      </c>
      <c r="Q606" s="20">
        <f>IF($X606="","",SUMIFS(상세표[22~06시],상세표[사번키],INDEX(합계표[사번키],$X606),상세표[반영월],대상월키,상세표[반영 기관],"서울병원"))</f>
        <v/>
      </c>
      <c r="R606" s="20">
        <f>IF($X606="","",SUM($N606:$Q606))</f>
        <v/>
      </c>
      <c r="S606">
        <f>IF($X606="","",COUNTIFS(상세표[사번키],INDEX(합계표[사번키],$X606),상세표[반영월],대상월키,상세표[야간당직],1,상세표[야간 구분],"평일"))</f>
        <v/>
      </c>
      <c r="T606">
        <f>IF($X606="","",COUNTIFS(상세표[사번키],INDEX(합계표[사번키],$X606),상세표[반영월],대상월키,상세표[야간당직],1,상세표[야간 구분],"휴일"))</f>
        <v/>
      </c>
      <c r="U606">
        <f>IF($X606="","",COUNTIFS(상세표[사번키],INDEX(합계표[사번키],$X606),상세표[반영월],대상월키,상세표[야간당직],1,상세표[야간 구분],"평일",상세표[반영 기관],"서울병원"))</f>
        <v/>
      </c>
      <c r="V606">
        <f>IF($X606="","",COUNTIFS(상세표[사번키],INDEX(합계표[사번키],$X606),상세표[반영월],대상월키,상세표[야간당직],1,상세표[야간 구분],"휴일",상세표[반영 기관],"서울병원"))</f>
        <v/>
      </c>
      <c r="W606">
        <f>IF($X606="","",IF(ISNUMBER(MATCH(INDEX(합계표[사번키],$X606)&amp;"|"&amp;대상월키,월별근무지표[키],0)),"직접 입력",IF($L606="—","—","기관명단")))</f>
        <v/>
      </c>
      <c r="X606" s="4">
        <f>IFERROR(MATCH(601,합계표[판정순번],0),"")</f>
        <v/>
      </c>
    </row>
    <row r="607">
      <c r="A607">
        <f>IF($X607="","",INDEX(합계표[사번],$X607)&amp;"")</f>
        <v/>
      </c>
      <c r="B607">
        <f>IF($X607="","",INDEX(합계표[성명],$X607)&amp;"")</f>
        <v/>
      </c>
      <c r="C607">
        <f>IF($X607="","",INDEX(합계표[부서],$X607)&amp;"")</f>
        <v/>
      </c>
      <c r="D607">
        <f>IF($X607="","",INDEX(합계표[직위(요약)],$X607)&amp;"")</f>
        <v/>
      </c>
      <c r="E607">
        <f>IF($X607="","",INDEX(합계표[직급 공존],$X607)&amp;"")</f>
        <v/>
      </c>
      <c r="F607" s="20">
        <f>IF($X607="","",SUMIFS(합계표[시스템 합계],합계표[사번키],INDEX(합계표[사번키],$X607)))</f>
        <v/>
      </c>
      <c r="G607" s="20">
        <f>IF($X607="","",SUMIFS(상세표[기록 시간외],상세표[사번키],INDEX(합계표[사번키],$X607),상세표[기록월],대상월키))</f>
        <v/>
      </c>
      <c r="H607">
        <f>IF($X607="","",IF(ABS($F607-$G607)&lt;0.01,"일치","불일치(차이 "&amp;TEXT($G607-$F607,"0.00")&amp;")"))</f>
        <v/>
      </c>
      <c r="I607" s="20">
        <f>IF($X607="","",SUMIFS(상세표[기록 시간외],상세표[사번키],INDEX(합계표[사번키],$X607),상세표[기록월],대상월키,상세표[반영월],"&lt;&gt;"&amp;대상월키))</f>
        <v/>
      </c>
      <c r="J607" s="20">
        <f>IF($X607="","",SUMIFS(상세표[기록 시간외],상세표[사번키],INDEX(합계표[사번키],$X607),상세표[기록월],"&lt;&gt;"&amp;대상월키,상세표[반영월],대상월키))</f>
        <v/>
      </c>
      <c r="K607" s="20">
        <f>IF($X607="","",SUMIFS(상세표[기록 시간외],상세표[사번키],INDEX(합계표[사번키],$X607),상세표[반영월],대상월키))</f>
        <v/>
      </c>
      <c r="L607">
        <f>IF($X607="","",IFERROR(INDEX(월별근무지표[적용 급여병원],MATCH(INDEX(합계표[사번키],$X607)&amp;"|"&amp;대상월키,월별근무지표[키],0))&amp;"",IF(COUNTIF(기관표[사번키],INDEX(합계표[사번키],$X607))+COUNTIF(월별근무지표[사번키],INDEX(합계표[사번키],$X607))&gt;0,IFERROR(INDEX(기관표[급여지급병원(기준월)],MATCH(INDEX(합계표[사번키],$X607)&amp;"|"&amp;대상월키,기관표[키],0))&amp;"","—"),"—")))</f>
        <v/>
      </c>
      <c r="M607">
        <f>IF($X607="","",IF(NOT(COUNTIF(기관표[사번키],INDEX(합계표[사번키],$X607))+COUNTIF(월별근무지표[사번키],INDEX(합계표[사번키],$X607))&gt;0),"기관명단에 없음(다른 병원으로 발송)",IF($L607="서울병원","해당",IF(N($R607)&gt;0,"해당(말일 근무)",IF($L607="—","대상월 기관명단 없음(추가 필요)","비해당")))))</f>
        <v/>
      </c>
      <c r="N607" s="20">
        <f>IF($X607="","",SUMIFS(상세표[06~07시],상세표[사번키],INDEX(합계표[사번키],$X607),상세표[반영월],대상월키,상세표[반영 기관],"서울병원"))</f>
        <v/>
      </c>
      <c r="O607" s="20">
        <f>IF($X607="","",SUMIFS(상세표[07~18시],상세표[사번키],INDEX(합계표[사번키],$X607),상세표[반영월],대상월키,상세표[반영 기관],"서울병원"))</f>
        <v/>
      </c>
      <c r="P607" s="20">
        <f>IF($X607="","",SUMIFS(상세표[18~22시],상세표[사번키],INDEX(합계표[사번키],$X607),상세표[반영월],대상월키,상세표[반영 기관],"서울병원"))</f>
        <v/>
      </c>
      <c r="Q607" s="20">
        <f>IF($X607="","",SUMIFS(상세표[22~06시],상세표[사번키],INDEX(합계표[사번키],$X607),상세표[반영월],대상월키,상세표[반영 기관],"서울병원"))</f>
        <v/>
      </c>
      <c r="R607" s="20">
        <f>IF($X607="","",SUM($N607:$Q607))</f>
        <v/>
      </c>
      <c r="S607">
        <f>IF($X607="","",COUNTIFS(상세표[사번키],INDEX(합계표[사번키],$X607),상세표[반영월],대상월키,상세표[야간당직],1,상세표[야간 구분],"평일"))</f>
        <v/>
      </c>
      <c r="T607">
        <f>IF($X607="","",COUNTIFS(상세표[사번키],INDEX(합계표[사번키],$X607),상세표[반영월],대상월키,상세표[야간당직],1,상세표[야간 구분],"휴일"))</f>
        <v/>
      </c>
      <c r="U607">
        <f>IF($X607="","",COUNTIFS(상세표[사번키],INDEX(합계표[사번키],$X607),상세표[반영월],대상월키,상세표[야간당직],1,상세표[야간 구분],"평일",상세표[반영 기관],"서울병원"))</f>
        <v/>
      </c>
      <c r="V607">
        <f>IF($X607="","",COUNTIFS(상세표[사번키],INDEX(합계표[사번키],$X607),상세표[반영월],대상월키,상세표[야간당직],1,상세표[야간 구분],"휴일",상세표[반영 기관],"서울병원"))</f>
        <v/>
      </c>
      <c r="W607">
        <f>IF($X607="","",IF(ISNUMBER(MATCH(INDEX(합계표[사번키],$X607)&amp;"|"&amp;대상월키,월별근무지표[키],0)),"직접 입력",IF($L607="—","—","기관명단")))</f>
        <v/>
      </c>
      <c r="X607" s="4">
        <f>IFERROR(MATCH(602,합계표[판정순번],0),"")</f>
        <v/>
      </c>
    </row>
    <row r="608">
      <c r="A608">
        <f>IF($X608="","",INDEX(합계표[사번],$X608)&amp;"")</f>
        <v/>
      </c>
      <c r="B608">
        <f>IF($X608="","",INDEX(합계표[성명],$X608)&amp;"")</f>
        <v/>
      </c>
      <c r="C608">
        <f>IF($X608="","",INDEX(합계표[부서],$X608)&amp;"")</f>
        <v/>
      </c>
      <c r="D608">
        <f>IF($X608="","",INDEX(합계표[직위(요약)],$X608)&amp;"")</f>
        <v/>
      </c>
      <c r="E608">
        <f>IF($X608="","",INDEX(합계표[직급 공존],$X608)&amp;"")</f>
        <v/>
      </c>
      <c r="F608" s="20">
        <f>IF($X608="","",SUMIFS(합계표[시스템 합계],합계표[사번키],INDEX(합계표[사번키],$X608)))</f>
        <v/>
      </c>
      <c r="G608" s="20">
        <f>IF($X608="","",SUMIFS(상세표[기록 시간외],상세표[사번키],INDEX(합계표[사번키],$X608),상세표[기록월],대상월키))</f>
        <v/>
      </c>
      <c r="H608">
        <f>IF($X608="","",IF(ABS($F608-$G608)&lt;0.01,"일치","불일치(차이 "&amp;TEXT($G608-$F608,"0.00")&amp;")"))</f>
        <v/>
      </c>
      <c r="I608" s="20">
        <f>IF($X608="","",SUMIFS(상세표[기록 시간외],상세표[사번키],INDEX(합계표[사번키],$X608),상세표[기록월],대상월키,상세표[반영월],"&lt;&gt;"&amp;대상월키))</f>
        <v/>
      </c>
      <c r="J608" s="20">
        <f>IF($X608="","",SUMIFS(상세표[기록 시간외],상세표[사번키],INDEX(합계표[사번키],$X608),상세표[기록월],"&lt;&gt;"&amp;대상월키,상세표[반영월],대상월키))</f>
        <v/>
      </c>
      <c r="K608" s="20">
        <f>IF($X608="","",SUMIFS(상세표[기록 시간외],상세표[사번키],INDEX(합계표[사번키],$X608),상세표[반영월],대상월키))</f>
        <v/>
      </c>
      <c r="L608">
        <f>IF($X608="","",IFERROR(INDEX(월별근무지표[적용 급여병원],MATCH(INDEX(합계표[사번키],$X608)&amp;"|"&amp;대상월키,월별근무지표[키],0))&amp;"",IF(COUNTIF(기관표[사번키],INDEX(합계표[사번키],$X608))+COUNTIF(월별근무지표[사번키],INDEX(합계표[사번키],$X608))&gt;0,IFERROR(INDEX(기관표[급여지급병원(기준월)],MATCH(INDEX(합계표[사번키],$X608)&amp;"|"&amp;대상월키,기관표[키],0))&amp;"","—"),"—")))</f>
        <v/>
      </c>
      <c r="M608">
        <f>IF($X608="","",IF(NOT(COUNTIF(기관표[사번키],INDEX(합계표[사번키],$X608))+COUNTIF(월별근무지표[사번키],INDEX(합계표[사번키],$X608))&gt;0),"기관명단에 없음(다른 병원으로 발송)",IF($L608="서울병원","해당",IF(N($R608)&gt;0,"해당(말일 근무)",IF($L608="—","대상월 기관명단 없음(추가 필요)","비해당")))))</f>
        <v/>
      </c>
      <c r="N608" s="20">
        <f>IF($X608="","",SUMIFS(상세표[06~07시],상세표[사번키],INDEX(합계표[사번키],$X608),상세표[반영월],대상월키,상세표[반영 기관],"서울병원"))</f>
        <v/>
      </c>
      <c r="O608" s="20">
        <f>IF($X608="","",SUMIFS(상세표[07~18시],상세표[사번키],INDEX(합계표[사번키],$X608),상세표[반영월],대상월키,상세표[반영 기관],"서울병원"))</f>
        <v/>
      </c>
      <c r="P608" s="20">
        <f>IF($X608="","",SUMIFS(상세표[18~22시],상세표[사번키],INDEX(합계표[사번키],$X608),상세표[반영월],대상월키,상세표[반영 기관],"서울병원"))</f>
        <v/>
      </c>
      <c r="Q608" s="20">
        <f>IF($X608="","",SUMIFS(상세표[22~06시],상세표[사번키],INDEX(합계표[사번키],$X608),상세표[반영월],대상월키,상세표[반영 기관],"서울병원"))</f>
        <v/>
      </c>
      <c r="R608" s="20">
        <f>IF($X608="","",SUM($N608:$Q608))</f>
        <v/>
      </c>
      <c r="S608">
        <f>IF($X608="","",COUNTIFS(상세표[사번키],INDEX(합계표[사번키],$X608),상세표[반영월],대상월키,상세표[야간당직],1,상세표[야간 구분],"평일"))</f>
        <v/>
      </c>
      <c r="T608">
        <f>IF($X608="","",COUNTIFS(상세표[사번키],INDEX(합계표[사번키],$X608),상세표[반영월],대상월키,상세표[야간당직],1,상세표[야간 구분],"휴일"))</f>
        <v/>
      </c>
      <c r="U608">
        <f>IF($X608="","",COUNTIFS(상세표[사번키],INDEX(합계표[사번키],$X608),상세표[반영월],대상월키,상세표[야간당직],1,상세표[야간 구분],"평일",상세표[반영 기관],"서울병원"))</f>
        <v/>
      </c>
      <c r="V608">
        <f>IF($X608="","",COUNTIFS(상세표[사번키],INDEX(합계표[사번키],$X608),상세표[반영월],대상월키,상세표[야간당직],1,상세표[야간 구분],"휴일",상세표[반영 기관],"서울병원"))</f>
        <v/>
      </c>
      <c r="W608">
        <f>IF($X608="","",IF(ISNUMBER(MATCH(INDEX(합계표[사번키],$X608)&amp;"|"&amp;대상월키,월별근무지표[키],0)),"직접 입력",IF($L608="—","—","기관명단")))</f>
        <v/>
      </c>
      <c r="X608" s="4">
        <f>IFERROR(MATCH(603,합계표[판정순번],0),"")</f>
        <v/>
      </c>
    </row>
    <row r="609">
      <c r="A609">
        <f>IF($X609="","",INDEX(합계표[사번],$X609)&amp;"")</f>
        <v/>
      </c>
      <c r="B609">
        <f>IF($X609="","",INDEX(합계표[성명],$X609)&amp;"")</f>
        <v/>
      </c>
      <c r="C609">
        <f>IF($X609="","",INDEX(합계표[부서],$X609)&amp;"")</f>
        <v/>
      </c>
      <c r="D609">
        <f>IF($X609="","",INDEX(합계표[직위(요약)],$X609)&amp;"")</f>
        <v/>
      </c>
      <c r="E609">
        <f>IF($X609="","",INDEX(합계표[직급 공존],$X609)&amp;"")</f>
        <v/>
      </c>
      <c r="F609" s="20">
        <f>IF($X609="","",SUMIFS(합계표[시스템 합계],합계표[사번키],INDEX(합계표[사번키],$X609)))</f>
        <v/>
      </c>
      <c r="G609" s="20">
        <f>IF($X609="","",SUMIFS(상세표[기록 시간외],상세표[사번키],INDEX(합계표[사번키],$X609),상세표[기록월],대상월키))</f>
        <v/>
      </c>
      <c r="H609">
        <f>IF($X609="","",IF(ABS($F609-$G609)&lt;0.01,"일치","불일치(차이 "&amp;TEXT($G609-$F609,"0.00")&amp;")"))</f>
        <v/>
      </c>
      <c r="I609" s="20">
        <f>IF($X609="","",SUMIFS(상세표[기록 시간외],상세표[사번키],INDEX(합계표[사번키],$X609),상세표[기록월],대상월키,상세표[반영월],"&lt;&gt;"&amp;대상월키))</f>
        <v/>
      </c>
      <c r="J609" s="20">
        <f>IF($X609="","",SUMIFS(상세표[기록 시간외],상세표[사번키],INDEX(합계표[사번키],$X609),상세표[기록월],"&lt;&gt;"&amp;대상월키,상세표[반영월],대상월키))</f>
        <v/>
      </c>
      <c r="K609" s="20">
        <f>IF($X609="","",SUMIFS(상세표[기록 시간외],상세표[사번키],INDEX(합계표[사번키],$X609),상세표[반영월],대상월키))</f>
        <v/>
      </c>
      <c r="L609">
        <f>IF($X609="","",IFERROR(INDEX(월별근무지표[적용 급여병원],MATCH(INDEX(합계표[사번키],$X609)&amp;"|"&amp;대상월키,월별근무지표[키],0))&amp;"",IF(COUNTIF(기관표[사번키],INDEX(합계표[사번키],$X609))+COUNTIF(월별근무지표[사번키],INDEX(합계표[사번키],$X609))&gt;0,IFERROR(INDEX(기관표[급여지급병원(기준월)],MATCH(INDEX(합계표[사번키],$X609)&amp;"|"&amp;대상월키,기관표[키],0))&amp;"","—"),"—")))</f>
        <v/>
      </c>
      <c r="M609">
        <f>IF($X609="","",IF(NOT(COUNTIF(기관표[사번키],INDEX(합계표[사번키],$X609))+COUNTIF(월별근무지표[사번키],INDEX(합계표[사번키],$X609))&gt;0),"기관명단에 없음(다른 병원으로 발송)",IF($L609="서울병원","해당",IF(N($R609)&gt;0,"해당(말일 근무)",IF($L609="—","대상월 기관명단 없음(추가 필요)","비해당")))))</f>
        <v/>
      </c>
      <c r="N609" s="20">
        <f>IF($X609="","",SUMIFS(상세표[06~07시],상세표[사번키],INDEX(합계표[사번키],$X609),상세표[반영월],대상월키,상세표[반영 기관],"서울병원"))</f>
        <v/>
      </c>
      <c r="O609" s="20">
        <f>IF($X609="","",SUMIFS(상세표[07~18시],상세표[사번키],INDEX(합계표[사번키],$X609),상세표[반영월],대상월키,상세표[반영 기관],"서울병원"))</f>
        <v/>
      </c>
      <c r="P609" s="20">
        <f>IF($X609="","",SUMIFS(상세표[18~22시],상세표[사번키],INDEX(합계표[사번키],$X609),상세표[반영월],대상월키,상세표[반영 기관],"서울병원"))</f>
        <v/>
      </c>
      <c r="Q609" s="20">
        <f>IF($X609="","",SUMIFS(상세표[22~06시],상세표[사번키],INDEX(합계표[사번키],$X609),상세표[반영월],대상월키,상세표[반영 기관],"서울병원"))</f>
        <v/>
      </c>
      <c r="R609" s="20">
        <f>IF($X609="","",SUM($N609:$Q609))</f>
        <v/>
      </c>
      <c r="S609">
        <f>IF($X609="","",COUNTIFS(상세표[사번키],INDEX(합계표[사번키],$X609),상세표[반영월],대상월키,상세표[야간당직],1,상세표[야간 구분],"평일"))</f>
        <v/>
      </c>
      <c r="T609">
        <f>IF($X609="","",COUNTIFS(상세표[사번키],INDEX(합계표[사번키],$X609),상세표[반영월],대상월키,상세표[야간당직],1,상세표[야간 구분],"휴일"))</f>
        <v/>
      </c>
      <c r="U609">
        <f>IF($X609="","",COUNTIFS(상세표[사번키],INDEX(합계표[사번키],$X609),상세표[반영월],대상월키,상세표[야간당직],1,상세표[야간 구분],"평일",상세표[반영 기관],"서울병원"))</f>
        <v/>
      </c>
      <c r="V609">
        <f>IF($X609="","",COUNTIFS(상세표[사번키],INDEX(합계표[사번키],$X609),상세표[반영월],대상월키,상세표[야간당직],1,상세표[야간 구분],"휴일",상세표[반영 기관],"서울병원"))</f>
        <v/>
      </c>
      <c r="W609">
        <f>IF($X609="","",IF(ISNUMBER(MATCH(INDEX(합계표[사번키],$X609)&amp;"|"&amp;대상월키,월별근무지표[키],0)),"직접 입력",IF($L609="—","—","기관명단")))</f>
        <v/>
      </c>
      <c r="X609" s="4">
        <f>IFERROR(MATCH(604,합계표[판정순번],0),"")</f>
        <v/>
      </c>
    </row>
    <row r="610">
      <c r="A610">
        <f>IF($X610="","",INDEX(합계표[사번],$X610)&amp;"")</f>
        <v/>
      </c>
      <c r="B610">
        <f>IF($X610="","",INDEX(합계표[성명],$X610)&amp;"")</f>
        <v/>
      </c>
      <c r="C610">
        <f>IF($X610="","",INDEX(합계표[부서],$X610)&amp;"")</f>
        <v/>
      </c>
      <c r="D610">
        <f>IF($X610="","",INDEX(합계표[직위(요약)],$X610)&amp;"")</f>
        <v/>
      </c>
      <c r="E610">
        <f>IF($X610="","",INDEX(합계표[직급 공존],$X610)&amp;"")</f>
        <v/>
      </c>
      <c r="F610" s="20">
        <f>IF($X610="","",SUMIFS(합계표[시스템 합계],합계표[사번키],INDEX(합계표[사번키],$X610)))</f>
        <v/>
      </c>
      <c r="G610" s="20">
        <f>IF($X610="","",SUMIFS(상세표[기록 시간외],상세표[사번키],INDEX(합계표[사번키],$X610),상세표[기록월],대상월키))</f>
        <v/>
      </c>
      <c r="H610">
        <f>IF($X610="","",IF(ABS($F610-$G610)&lt;0.01,"일치","불일치(차이 "&amp;TEXT($G610-$F610,"0.00")&amp;")"))</f>
        <v/>
      </c>
      <c r="I610" s="20">
        <f>IF($X610="","",SUMIFS(상세표[기록 시간외],상세표[사번키],INDEX(합계표[사번키],$X610),상세표[기록월],대상월키,상세표[반영월],"&lt;&gt;"&amp;대상월키))</f>
        <v/>
      </c>
      <c r="J610" s="20">
        <f>IF($X610="","",SUMIFS(상세표[기록 시간외],상세표[사번키],INDEX(합계표[사번키],$X610),상세표[기록월],"&lt;&gt;"&amp;대상월키,상세표[반영월],대상월키))</f>
        <v/>
      </c>
      <c r="K610" s="20">
        <f>IF($X610="","",SUMIFS(상세표[기록 시간외],상세표[사번키],INDEX(합계표[사번키],$X610),상세표[반영월],대상월키))</f>
        <v/>
      </c>
      <c r="L610">
        <f>IF($X610="","",IFERROR(INDEX(월별근무지표[적용 급여병원],MATCH(INDEX(합계표[사번키],$X610)&amp;"|"&amp;대상월키,월별근무지표[키],0))&amp;"",IF(COUNTIF(기관표[사번키],INDEX(합계표[사번키],$X610))+COUNTIF(월별근무지표[사번키],INDEX(합계표[사번키],$X610))&gt;0,IFERROR(INDEX(기관표[급여지급병원(기준월)],MATCH(INDEX(합계표[사번키],$X610)&amp;"|"&amp;대상월키,기관표[키],0))&amp;"","—"),"—")))</f>
        <v/>
      </c>
      <c r="M610">
        <f>IF($X610="","",IF(NOT(COUNTIF(기관표[사번키],INDEX(합계표[사번키],$X610))+COUNTIF(월별근무지표[사번키],INDEX(합계표[사번키],$X610))&gt;0),"기관명단에 없음(다른 병원으로 발송)",IF($L610="서울병원","해당",IF(N($R610)&gt;0,"해당(말일 근무)",IF($L610="—","대상월 기관명단 없음(추가 필요)","비해당")))))</f>
        <v/>
      </c>
      <c r="N610" s="20">
        <f>IF($X610="","",SUMIFS(상세표[06~07시],상세표[사번키],INDEX(합계표[사번키],$X610),상세표[반영월],대상월키,상세표[반영 기관],"서울병원"))</f>
        <v/>
      </c>
      <c r="O610" s="20">
        <f>IF($X610="","",SUMIFS(상세표[07~18시],상세표[사번키],INDEX(합계표[사번키],$X610),상세표[반영월],대상월키,상세표[반영 기관],"서울병원"))</f>
        <v/>
      </c>
      <c r="P610" s="20">
        <f>IF($X610="","",SUMIFS(상세표[18~22시],상세표[사번키],INDEX(합계표[사번키],$X610),상세표[반영월],대상월키,상세표[반영 기관],"서울병원"))</f>
        <v/>
      </c>
      <c r="Q610" s="20">
        <f>IF($X610="","",SUMIFS(상세표[22~06시],상세표[사번키],INDEX(합계표[사번키],$X610),상세표[반영월],대상월키,상세표[반영 기관],"서울병원"))</f>
        <v/>
      </c>
      <c r="R610" s="20">
        <f>IF($X610="","",SUM($N610:$Q610))</f>
        <v/>
      </c>
      <c r="S610">
        <f>IF($X610="","",COUNTIFS(상세표[사번키],INDEX(합계표[사번키],$X610),상세표[반영월],대상월키,상세표[야간당직],1,상세표[야간 구분],"평일"))</f>
        <v/>
      </c>
      <c r="T610">
        <f>IF($X610="","",COUNTIFS(상세표[사번키],INDEX(합계표[사번키],$X610),상세표[반영월],대상월키,상세표[야간당직],1,상세표[야간 구분],"휴일"))</f>
        <v/>
      </c>
      <c r="U610">
        <f>IF($X610="","",COUNTIFS(상세표[사번키],INDEX(합계표[사번키],$X610),상세표[반영월],대상월키,상세표[야간당직],1,상세표[야간 구분],"평일",상세표[반영 기관],"서울병원"))</f>
        <v/>
      </c>
      <c r="V610">
        <f>IF($X610="","",COUNTIFS(상세표[사번키],INDEX(합계표[사번키],$X610),상세표[반영월],대상월키,상세표[야간당직],1,상세표[야간 구분],"휴일",상세표[반영 기관],"서울병원"))</f>
        <v/>
      </c>
      <c r="W610">
        <f>IF($X610="","",IF(ISNUMBER(MATCH(INDEX(합계표[사번키],$X610)&amp;"|"&amp;대상월키,월별근무지표[키],0)),"직접 입력",IF($L610="—","—","기관명단")))</f>
        <v/>
      </c>
      <c r="X610" s="4">
        <f>IFERROR(MATCH(605,합계표[판정순번],0),"")</f>
        <v/>
      </c>
    </row>
    <row r="611">
      <c r="A611">
        <f>IF($X611="","",INDEX(합계표[사번],$X611)&amp;"")</f>
        <v/>
      </c>
      <c r="B611">
        <f>IF($X611="","",INDEX(합계표[성명],$X611)&amp;"")</f>
        <v/>
      </c>
      <c r="C611">
        <f>IF($X611="","",INDEX(합계표[부서],$X611)&amp;"")</f>
        <v/>
      </c>
      <c r="D611">
        <f>IF($X611="","",INDEX(합계표[직위(요약)],$X611)&amp;"")</f>
        <v/>
      </c>
      <c r="E611">
        <f>IF($X611="","",INDEX(합계표[직급 공존],$X611)&amp;"")</f>
        <v/>
      </c>
      <c r="F611" s="20">
        <f>IF($X611="","",SUMIFS(합계표[시스템 합계],합계표[사번키],INDEX(합계표[사번키],$X611)))</f>
        <v/>
      </c>
      <c r="G611" s="20">
        <f>IF($X611="","",SUMIFS(상세표[기록 시간외],상세표[사번키],INDEX(합계표[사번키],$X611),상세표[기록월],대상월키))</f>
        <v/>
      </c>
      <c r="H611">
        <f>IF($X611="","",IF(ABS($F611-$G611)&lt;0.01,"일치","불일치(차이 "&amp;TEXT($G611-$F611,"0.00")&amp;")"))</f>
        <v/>
      </c>
      <c r="I611" s="20">
        <f>IF($X611="","",SUMIFS(상세표[기록 시간외],상세표[사번키],INDEX(합계표[사번키],$X611),상세표[기록월],대상월키,상세표[반영월],"&lt;&gt;"&amp;대상월키))</f>
        <v/>
      </c>
      <c r="J611" s="20">
        <f>IF($X611="","",SUMIFS(상세표[기록 시간외],상세표[사번키],INDEX(합계표[사번키],$X611),상세표[기록월],"&lt;&gt;"&amp;대상월키,상세표[반영월],대상월키))</f>
        <v/>
      </c>
      <c r="K611" s="20">
        <f>IF($X611="","",SUMIFS(상세표[기록 시간외],상세표[사번키],INDEX(합계표[사번키],$X611),상세표[반영월],대상월키))</f>
        <v/>
      </c>
      <c r="L611">
        <f>IF($X611="","",IFERROR(INDEX(월별근무지표[적용 급여병원],MATCH(INDEX(합계표[사번키],$X611)&amp;"|"&amp;대상월키,월별근무지표[키],0))&amp;"",IF(COUNTIF(기관표[사번키],INDEX(합계표[사번키],$X611))+COUNTIF(월별근무지표[사번키],INDEX(합계표[사번키],$X611))&gt;0,IFERROR(INDEX(기관표[급여지급병원(기준월)],MATCH(INDEX(합계표[사번키],$X611)&amp;"|"&amp;대상월키,기관표[키],0))&amp;"","—"),"—")))</f>
        <v/>
      </c>
      <c r="M611">
        <f>IF($X611="","",IF(NOT(COUNTIF(기관표[사번키],INDEX(합계표[사번키],$X611))+COUNTIF(월별근무지표[사번키],INDEX(합계표[사번키],$X611))&gt;0),"기관명단에 없음(다른 병원으로 발송)",IF($L611="서울병원","해당",IF(N($R611)&gt;0,"해당(말일 근무)",IF($L611="—","대상월 기관명단 없음(추가 필요)","비해당")))))</f>
        <v/>
      </c>
      <c r="N611" s="20">
        <f>IF($X611="","",SUMIFS(상세표[06~07시],상세표[사번키],INDEX(합계표[사번키],$X611),상세표[반영월],대상월키,상세표[반영 기관],"서울병원"))</f>
        <v/>
      </c>
      <c r="O611" s="20">
        <f>IF($X611="","",SUMIFS(상세표[07~18시],상세표[사번키],INDEX(합계표[사번키],$X611),상세표[반영월],대상월키,상세표[반영 기관],"서울병원"))</f>
        <v/>
      </c>
      <c r="P611" s="20">
        <f>IF($X611="","",SUMIFS(상세표[18~22시],상세표[사번키],INDEX(합계표[사번키],$X611),상세표[반영월],대상월키,상세표[반영 기관],"서울병원"))</f>
        <v/>
      </c>
      <c r="Q611" s="20">
        <f>IF($X611="","",SUMIFS(상세표[22~06시],상세표[사번키],INDEX(합계표[사번키],$X611),상세표[반영월],대상월키,상세표[반영 기관],"서울병원"))</f>
        <v/>
      </c>
      <c r="R611" s="20">
        <f>IF($X611="","",SUM($N611:$Q611))</f>
        <v/>
      </c>
      <c r="S611">
        <f>IF($X611="","",COUNTIFS(상세표[사번키],INDEX(합계표[사번키],$X611),상세표[반영월],대상월키,상세표[야간당직],1,상세표[야간 구분],"평일"))</f>
        <v/>
      </c>
      <c r="T611">
        <f>IF($X611="","",COUNTIFS(상세표[사번키],INDEX(합계표[사번키],$X611),상세표[반영월],대상월키,상세표[야간당직],1,상세표[야간 구분],"휴일"))</f>
        <v/>
      </c>
      <c r="U611">
        <f>IF($X611="","",COUNTIFS(상세표[사번키],INDEX(합계표[사번키],$X611),상세표[반영월],대상월키,상세표[야간당직],1,상세표[야간 구분],"평일",상세표[반영 기관],"서울병원"))</f>
        <v/>
      </c>
      <c r="V611">
        <f>IF($X611="","",COUNTIFS(상세표[사번키],INDEX(합계표[사번키],$X611),상세표[반영월],대상월키,상세표[야간당직],1,상세표[야간 구분],"휴일",상세표[반영 기관],"서울병원"))</f>
        <v/>
      </c>
      <c r="W611">
        <f>IF($X611="","",IF(ISNUMBER(MATCH(INDEX(합계표[사번키],$X611)&amp;"|"&amp;대상월키,월별근무지표[키],0)),"직접 입력",IF($L611="—","—","기관명단")))</f>
        <v/>
      </c>
      <c r="X611" s="4">
        <f>IFERROR(MATCH(606,합계표[판정순번],0),"")</f>
        <v/>
      </c>
    </row>
    <row r="612">
      <c r="A612">
        <f>IF($X612="","",INDEX(합계표[사번],$X612)&amp;"")</f>
        <v/>
      </c>
      <c r="B612">
        <f>IF($X612="","",INDEX(합계표[성명],$X612)&amp;"")</f>
        <v/>
      </c>
      <c r="C612">
        <f>IF($X612="","",INDEX(합계표[부서],$X612)&amp;"")</f>
        <v/>
      </c>
      <c r="D612">
        <f>IF($X612="","",INDEX(합계표[직위(요약)],$X612)&amp;"")</f>
        <v/>
      </c>
      <c r="E612">
        <f>IF($X612="","",INDEX(합계표[직급 공존],$X612)&amp;"")</f>
        <v/>
      </c>
      <c r="F612" s="20">
        <f>IF($X612="","",SUMIFS(합계표[시스템 합계],합계표[사번키],INDEX(합계표[사번키],$X612)))</f>
        <v/>
      </c>
      <c r="G612" s="20">
        <f>IF($X612="","",SUMIFS(상세표[기록 시간외],상세표[사번키],INDEX(합계표[사번키],$X612),상세표[기록월],대상월키))</f>
        <v/>
      </c>
      <c r="H612">
        <f>IF($X612="","",IF(ABS($F612-$G612)&lt;0.01,"일치","불일치(차이 "&amp;TEXT($G612-$F612,"0.00")&amp;")"))</f>
        <v/>
      </c>
      <c r="I612" s="20">
        <f>IF($X612="","",SUMIFS(상세표[기록 시간외],상세표[사번키],INDEX(합계표[사번키],$X612),상세표[기록월],대상월키,상세표[반영월],"&lt;&gt;"&amp;대상월키))</f>
        <v/>
      </c>
      <c r="J612" s="20">
        <f>IF($X612="","",SUMIFS(상세표[기록 시간외],상세표[사번키],INDEX(합계표[사번키],$X612),상세표[기록월],"&lt;&gt;"&amp;대상월키,상세표[반영월],대상월키))</f>
        <v/>
      </c>
      <c r="K612" s="20">
        <f>IF($X612="","",SUMIFS(상세표[기록 시간외],상세표[사번키],INDEX(합계표[사번키],$X612),상세표[반영월],대상월키))</f>
        <v/>
      </c>
      <c r="L612">
        <f>IF($X612="","",IFERROR(INDEX(월별근무지표[적용 급여병원],MATCH(INDEX(합계표[사번키],$X612)&amp;"|"&amp;대상월키,월별근무지표[키],0))&amp;"",IF(COUNTIF(기관표[사번키],INDEX(합계표[사번키],$X612))+COUNTIF(월별근무지표[사번키],INDEX(합계표[사번키],$X612))&gt;0,IFERROR(INDEX(기관표[급여지급병원(기준월)],MATCH(INDEX(합계표[사번키],$X612)&amp;"|"&amp;대상월키,기관표[키],0))&amp;"","—"),"—")))</f>
        <v/>
      </c>
      <c r="M612">
        <f>IF($X612="","",IF(NOT(COUNTIF(기관표[사번키],INDEX(합계표[사번키],$X612))+COUNTIF(월별근무지표[사번키],INDEX(합계표[사번키],$X612))&gt;0),"기관명단에 없음(다른 병원으로 발송)",IF($L612="서울병원","해당",IF(N($R612)&gt;0,"해당(말일 근무)",IF($L612="—","대상월 기관명단 없음(추가 필요)","비해당")))))</f>
        <v/>
      </c>
      <c r="N612" s="20">
        <f>IF($X612="","",SUMIFS(상세표[06~07시],상세표[사번키],INDEX(합계표[사번키],$X612),상세표[반영월],대상월키,상세표[반영 기관],"서울병원"))</f>
        <v/>
      </c>
      <c r="O612" s="20">
        <f>IF($X612="","",SUMIFS(상세표[07~18시],상세표[사번키],INDEX(합계표[사번키],$X612),상세표[반영월],대상월키,상세표[반영 기관],"서울병원"))</f>
        <v/>
      </c>
      <c r="P612" s="20">
        <f>IF($X612="","",SUMIFS(상세표[18~22시],상세표[사번키],INDEX(합계표[사번키],$X612),상세표[반영월],대상월키,상세표[반영 기관],"서울병원"))</f>
        <v/>
      </c>
      <c r="Q612" s="20">
        <f>IF($X612="","",SUMIFS(상세표[22~06시],상세표[사번키],INDEX(합계표[사번키],$X612),상세표[반영월],대상월키,상세표[반영 기관],"서울병원"))</f>
        <v/>
      </c>
      <c r="R612" s="20">
        <f>IF($X612="","",SUM($N612:$Q612))</f>
        <v/>
      </c>
      <c r="S612">
        <f>IF($X612="","",COUNTIFS(상세표[사번키],INDEX(합계표[사번키],$X612),상세표[반영월],대상월키,상세표[야간당직],1,상세표[야간 구분],"평일"))</f>
        <v/>
      </c>
      <c r="T612">
        <f>IF($X612="","",COUNTIFS(상세표[사번키],INDEX(합계표[사번키],$X612),상세표[반영월],대상월키,상세표[야간당직],1,상세표[야간 구분],"휴일"))</f>
        <v/>
      </c>
      <c r="U612">
        <f>IF($X612="","",COUNTIFS(상세표[사번키],INDEX(합계표[사번키],$X612),상세표[반영월],대상월키,상세표[야간당직],1,상세표[야간 구분],"평일",상세표[반영 기관],"서울병원"))</f>
        <v/>
      </c>
      <c r="V612">
        <f>IF($X612="","",COUNTIFS(상세표[사번키],INDEX(합계표[사번키],$X612),상세표[반영월],대상월키,상세표[야간당직],1,상세표[야간 구분],"휴일",상세표[반영 기관],"서울병원"))</f>
        <v/>
      </c>
      <c r="W612">
        <f>IF($X612="","",IF(ISNUMBER(MATCH(INDEX(합계표[사번키],$X612)&amp;"|"&amp;대상월키,월별근무지표[키],0)),"직접 입력",IF($L612="—","—","기관명단")))</f>
        <v/>
      </c>
      <c r="X612" s="4">
        <f>IFERROR(MATCH(607,합계표[판정순번],0),"")</f>
        <v/>
      </c>
    </row>
    <row r="613">
      <c r="A613">
        <f>IF($X613="","",INDEX(합계표[사번],$X613)&amp;"")</f>
        <v/>
      </c>
      <c r="B613">
        <f>IF($X613="","",INDEX(합계표[성명],$X613)&amp;"")</f>
        <v/>
      </c>
      <c r="C613">
        <f>IF($X613="","",INDEX(합계표[부서],$X613)&amp;"")</f>
        <v/>
      </c>
      <c r="D613">
        <f>IF($X613="","",INDEX(합계표[직위(요약)],$X613)&amp;"")</f>
        <v/>
      </c>
      <c r="E613">
        <f>IF($X613="","",INDEX(합계표[직급 공존],$X613)&amp;"")</f>
        <v/>
      </c>
      <c r="F613" s="20">
        <f>IF($X613="","",SUMIFS(합계표[시스템 합계],합계표[사번키],INDEX(합계표[사번키],$X613)))</f>
        <v/>
      </c>
      <c r="G613" s="20">
        <f>IF($X613="","",SUMIFS(상세표[기록 시간외],상세표[사번키],INDEX(합계표[사번키],$X613),상세표[기록월],대상월키))</f>
        <v/>
      </c>
      <c r="H613">
        <f>IF($X613="","",IF(ABS($F613-$G613)&lt;0.01,"일치","불일치(차이 "&amp;TEXT($G613-$F613,"0.00")&amp;")"))</f>
        <v/>
      </c>
      <c r="I613" s="20">
        <f>IF($X613="","",SUMIFS(상세표[기록 시간외],상세표[사번키],INDEX(합계표[사번키],$X613),상세표[기록월],대상월키,상세표[반영월],"&lt;&gt;"&amp;대상월키))</f>
        <v/>
      </c>
      <c r="J613" s="20">
        <f>IF($X613="","",SUMIFS(상세표[기록 시간외],상세표[사번키],INDEX(합계표[사번키],$X613),상세표[기록월],"&lt;&gt;"&amp;대상월키,상세표[반영월],대상월키))</f>
        <v/>
      </c>
      <c r="K613" s="20">
        <f>IF($X613="","",SUMIFS(상세표[기록 시간외],상세표[사번키],INDEX(합계표[사번키],$X613),상세표[반영월],대상월키))</f>
        <v/>
      </c>
      <c r="L613">
        <f>IF($X613="","",IFERROR(INDEX(월별근무지표[적용 급여병원],MATCH(INDEX(합계표[사번키],$X613)&amp;"|"&amp;대상월키,월별근무지표[키],0))&amp;"",IF(COUNTIF(기관표[사번키],INDEX(합계표[사번키],$X613))+COUNTIF(월별근무지표[사번키],INDEX(합계표[사번키],$X613))&gt;0,IFERROR(INDEX(기관표[급여지급병원(기준월)],MATCH(INDEX(합계표[사번키],$X613)&amp;"|"&amp;대상월키,기관표[키],0))&amp;"","—"),"—")))</f>
        <v/>
      </c>
      <c r="M613">
        <f>IF($X613="","",IF(NOT(COUNTIF(기관표[사번키],INDEX(합계표[사번키],$X613))+COUNTIF(월별근무지표[사번키],INDEX(합계표[사번키],$X613))&gt;0),"기관명단에 없음(다른 병원으로 발송)",IF($L613="서울병원","해당",IF(N($R613)&gt;0,"해당(말일 근무)",IF($L613="—","대상월 기관명단 없음(추가 필요)","비해당")))))</f>
        <v/>
      </c>
      <c r="N613" s="20">
        <f>IF($X613="","",SUMIFS(상세표[06~07시],상세표[사번키],INDEX(합계표[사번키],$X613),상세표[반영월],대상월키,상세표[반영 기관],"서울병원"))</f>
        <v/>
      </c>
      <c r="O613" s="20">
        <f>IF($X613="","",SUMIFS(상세표[07~18시],상세표[사번키],INDEX(합계표[사번키],$X613),상세표[반영월],대상월키,상세표[반영 기관],"서울병원"))</f>
        <v/>
      </c>
      <c r="P613" s="20">
        <f>IF($X613="","",SUMIFS(상세표[18~22시],상세표[사번키],INDEX(합계표[사번키],$X613),상세표[반영월],대상월키,상세표[반영 기관],"서울병원"))</f>
        <v/>
      </c>
      <c r="Q613" s="20">
        <f>IF($X613="","",SUMIFS(상세표[22~06시],상세표[사번키],INDEX(합계표[사번키],$X613),상세표[반영월],대상월키,상세표[반영 기관],"서울병원"))</f>
        <v/>
      </c>
      <c r="R613" s="20">
        <f>IF($X613="","",SUM($N613:$Q613))</f>
        <v/>
      </c>
      <c r="S613">
        <f>IF($X613="","",COUNTIFS(상세표[사번키],INDEX(합계표[사번키],$X613),상세표[반영월],대상월키,상세표[야간당직],1,상세표[야간 구분],"평일"))</f>
        <v/>
      </c>
      <c r="T613">
        <f>IF($X613="","",COUNTIFS(상세표[사번키],INDEX(합계표[사번키],$X613),상세표[반영월],대상월키,상세표[야간당직],1,상세표[야간 구분],"휴일"))</f>
        <v/>
      </c>
      <c r="U613">
        <f>IF($X613="","",COUNTIFS(상세표[사번키],INDEX(합계표[사번키],$X613),상세표[반영월],대상월키,상세표[야간당직],1,상세표[야간 구분],"평일",상세표[반영 기관],"서울병원"))</f>
        <v/>
      </c>
      <c r="V613">
        <f>IF($X613="","",COUNTIFS(상세표[사번키],INDEX(합계표[사번키],$X613),상세표[반영월],대상월키,상세표[야간당직],1,상세표[야간 구분],"휴일",상세표[반영 기관],"서울병원"))</f>
        <v/>
      </c>
      <c r="W613">
        <f>IF($X613="","",IF(ISNUMBER(MATCH(INDEX(합계표[사번키],$X613)&amp;"|"&amp;대상월키,월별근무지표[키],0)),"직접 입력",IF($L613="—","—","기관명단")))</f>
        <v/>
      </c>
      <c r="X613" s="4">
        <f>IFERROR(MATCH(608,합계표[판정순번],0),"")</f>
        <v/>
      </c>
    </row>
    <row r="614">
      <c r="A614">
        <f>IF($X614="","",INDEX(합계표[사번],$X614)&amp;"")</f>
        <v/>
      </c>
      <c r="B614">
        <f>IF($X614="","",INDEX(합계표[성명],$X614)&amp;"")</f>
        <v/>
      </c>
      <c r="C614">
        <f>IF($X614="","",INDEX(합계표[부서],$X614)&amp;"")</f>
        <v/>
      </c>
      <c r="D614">
        <f>IF($X614="","",INDEX(합계표[직위(요약)],$X614)&amp;"")</f>
        <v/>
      </c>
      <c r="E614">
        <f>IF($X614="","",INDEX(합계표[직급 공존],$X614)&amp;"")</f>
        <v/>
      </c>
      <c r="F614" s="20">
        <f>IF($X614="","",SUMIFS(합계표[시스템 합계],합계표[사번키],INDEX(합계표[사번키],$X614)))</f>
        <v/>
      </c>
      <c r="G614" s="20">
        <f>IF($X614="","",SUMIFS(상세표[기록 시간외],상세표[사번키],INDEX(합계표[사번키],$X614),상세표[기록월],대상월키))</f>
        <v/>
      </c>
      <c r="H614">
        <f>IF($X614="","",IF(ABS($F614-$G614)&lt;0.01,"일치","불일치(차이 "&amp;TEXT($G614-$F614,"0.00")&amp;")"))</f>
        <v/>
      </c>
      <c r="I614" s="20">
        <f>IF($X614="","",SUMIFS(상세표[기록 시간외],상세표[사번키],INDEX(합계표[사번키],$X614),상세표[기록월],대상월키,상세표[반영월],"&lt;&gt;"&amp;대상월키))</f>
        <v/>
      </c>
      <c r="J614" s="20">
        <f>IF($X614="","",SUMIFS(상세표[기록 시간외],상세표[사번키],INDEX(합계표[사번키],$X614),상세표[기록월],"&lt;&gt;"&amp;대상월키,상세표[반영월],대상월키))</f>
        <v/>
      </c>
      <c r="K614" s="20">
        <f>IF($X614="","",SUMIFS(상세표[기록 시간외],상세표[사번키],INDEX(합계표[사번키],$X614),상세표[반영월],대상월키))</f>
        <v/>
      </c>
      <c r="L614">
        <f>IF($X614="","",IFERROR(INDEX(월별근무지표[적용 급여병원],MATCH(INDEX(합계표[사번키],$X614)&amp;"|"&amp;대상월키,월별근무지표[키],0))&amp;"",IF(COUNTIF(기관표[사번키],INDEX(합계표[사번키],$X614))+COUNTIF(월별근무지표[사번키],INDEX(합계표[사번키],$X614))&gt;0,IFERROR(INDEX(기관표[급여지급병원(기준월)],MATCH(INDEX(합계표[사번키],$X614)&amp;"|"&amp;대상월키,기관표[키],0))&amp;"","—"),"—")))</f>
        <v/>
      </c>
      <c r="M614">
        <f>IF($X614="","",IF(NOT(COUNTIF(기관표[사번키],INDEX(합계표[사번키],$X614))+COUNTIF(월별근무지표[사번키],INDEX(합계표[사번키],$X614))&gt;0),"기관명단에 없음(다른 병원으로 발송)",IF($L614="서울병원","해당",IF(N($R614)&gt;0,"해당(말일 근무)",IF($L614="—","대상월 기관명단 없음(추가 필요)","비해당")))))</f>
        <v/>
      </c>
      <c r="N614" s="20">
        <f>IF($X614="","",SUMIFS(상세표[06~07시],상세표[사번키],INDEX(합계표[사번키],$X614),상세표[반영월],대상월키,상세표[반영 기관],"서울병원"))</f>
        <v/>
      </c>
      <c r="O614" s="20">
        <f>IF($X614="","",SUMIFS(상세표[07~18시],상세표[사번키],INDEX(합계표[사번키],$X614),상세표[반영월],대상월키,상세표[반영 기관],"서울병원"))</f>
        <v/>
      </c>
      <c r="P614" s="20">
        <f>IF($X614="","",SUMIFS(상세표[18~22시],상세표[사번키],INDEX(합계표[사번키],$X614),상세표[반영월],대상월키,상세표[반영 기관],"서울병원"))</f>
        <v/>
      </c>
      <c r="Q614" s="20">
        <f>IF($X614="","",SUMIFS(상세표[22~06시],상세표[사번키],INDEX(합계표[사번키],$X614),상세표[반영월],대상월키,상세표[반영 기관],"서울병원"))</f>
        <v/>
      </c>
      <c r="R614" s="20">
        <f>IF($X614="","",SUM($N614:$Q614))</f>
        <v/>
      </c>
      <c r="S614">
        <f>IF($X614="","",COUNTIFS(상세표[사번키],INDEX(합계표[사번키],$X614),상세표[반영월],대상월키,상세표[야간당직],1,상세표[야간 구분],"평일"))</f>
        <v/>
      </c>
      <c r="T614">
        <f>IF($X614="","",COUNTIFS(상세표[사번키],INDEX(합계표[사번키],$X614),상세표[반영월],대상월키,상세표[야간당직],1,상세표[야간 구분],"휴일"))</f>
        <v/>
      </c>
      <c r="U614">
        <f>IF($X614="","",COUNTIFS(상세표[사번키],INDEX(합계표[사번키],$X614),상세표[반영월],대상월키,상세표[야간당직],1,상세표[야간 구분],"평일",상세표[반영 기관],"서울병원"))</f>
        <v/>
      </c>
      <c r="V614">
        <f>IF($X614="","",COUNTIFS(상세표[사번키],INDEX(합계표[사번키],$X614),상세표[반영월],대상월키,상세표[야간당직],1,상세표[야간 구분],"휴일",상세표[반영 기관],"서울병원"))</f>
        <v/>
      </c>
      <c r="W614">
        <f>IF($X614="","",IF(ISNUMBER(MATCH(INDEX(합계표[사번키],$X614)&amp;"|"&amp;대상월키,월별근무지표[키],0)),"직접 입력",IF($L614="—","—","기관명단")))</f>
        <v/>
      </c>
      <c r="X614" s="4">
        <f>IFERROR(MATCH(609,합계표[판정순번],0),"")</f>
        <v/>
      </c>
    </row>
    <row r="615">
      <c r="A615">
        <f>IF($X615="","",INDEX(합계표[사번],$X615)&amp;"")</f>
        <v/>
      </c>
      <c r="B615">
        <f>IF($X615="","",INDEX(합계표[성명],$X615)&amp;"")</f>
        <v/>
      </c>
      <c r="C615">
        <f>IF($X615="","",INDEX(합계표[부서],$X615)&amp;"")</f>
        <v/>
      </c>
      <c r="D615">
        <f>IF($X615="","",INDEX(합계표[직위(요약)],$X615)&amp;"")</f>
        <v/>
      </c>
      <c r="E615">
        <f>IF($X615="","",INDEX(합계표[직급 공존],$X615)&amp;"")</f>
        <v/>
      </c>
      <c r="F615" s="20">
        <f>IF($X615="","",SUMIFS(합계표[시스템 합계],합계표[사번키],INDEX(합계표[사번키],$X615)))</f>
        <v/>
      </c>
      <c r="G615" s="20">
        <f>IF($X615="","",SUMIFS(상세표[기록 시간외],상세표[사번키],INDEX(합계표[사번키],$X615),상세표[기록월],대상월키))</f>
        <v/>
      </c>
      <c r="H615">
        <f>IF($X615="","",IF(ABS($F615-$G615)&lt;0.01,"일치","불일치(차이 "&amp;TEXT($G615-$F615,"0.00")&amp;")"))</f>
        <v/>
      </c>
      <c r="I615" s="20">
        <f>IF($X615="","",SUMIFS(상세표[기록 시간외],상세표[사번키],INDEX(합계표[사번키],$X615),상세표[기록월],대상월키,상세표[반영월],"&lt;&gt;"&amp;대상월키))</f>
        <v/>
      </c>
      <c r="J615" s="20">
        <f>IF($X615="","",SUMIFS(상세표[기록 시간외],상세표[사번키],INDEX(합계표[사번키],$X615),상세표[기록월],"&lt;&gt;"&amp;대상월키,상세표[반영월],대상월키))</f>
        <v/>
      </c>
      <c r="K615" s="20">
        <f>IF($X615="","",SUMIFS(상세표[기록 시간외],상세표[사번키],INDEX(합계표[사번키],$X615),상세표[반영월],대상월키))</f>
        <v/>
      </c>
      <c r="L615">
        <f>IF($X615="","",IFERROR(INDEX(월별근무지표[적용 급여병원],MATCH(INDEX(합계표[사번키],$X615)&amp;"|"&amp;대상월키,월별근무지표[키],0))&amp;"",IF(COUNTIF(기관표[사번키],INDEX(합계표[사번키],$X615))+COUNTIF(월별근무지표[사번키],INDEX(합계표[사번키],$X615))&gt;0,IFERROR(INDEX(기관표[급여지급병원(기준월)],MATCH(INDEX(합계표[사번키],$X615)&amp;"|"&amp;대상월키,기관표[키],0))&amp;"","—"),"—")))</f>
        <v/>
      </c>
      <c r="M615">
        <f>IF($X615="","",IF(NOT(COUNTIF(기관표[사번키],INDEX(합계표[사번키],$X615))+COUNTIF(월별근무지표[사번키],INDEX(합계표[사번키],$X615))&gt;0),"기관명단에 없음(다른 병원으로 발송)",IF($L615="서울병원","해당",IF(N($R615)&gt;0,"해당(말일 근무)",IF($L615="—","대상월 기관명단 없음(추가 필요)","비해당")))))</f>
        <v/>
      </c>
      <c r="N615" s="20">
        <f>IF($X615="","",SUMIFS(상세표[06~07시],상세표[사번키],INDEX(합계표[사번키],$X615),상세표[반영월],대상월키,상세표[반영 기관],"서울병원"))</f>
        <v/>
      </c>
      <c r="O615" s="20">
        <f>IF($X615="","",SUMIFS(상세표[07~18시],상세표[사번키],INDEX(합계표[사번키],$X615),상세표[반영월],대상월키,상세표[반영 기관],"서울병원"))</f>
        <v/>
      </c>
      <c r="P615" s="20">
        <f>IF($X615="","",SUMIFS(상세표[18~22시],상세표[사번키],INDEX(합계표[사번키],$X615),상세표[반영월],대상월키,상세표[반영 기관],"서울병원"))</f>
        <v/>
      </c>
      <c r="Q615" s="20">
        <f>IF($X615="","",SUMIFS(상세표[22~06시],상세표[사번키],INDEX(합계표[사번키],$X615),상세표[반영월],대상월키,상세표[반영 기관],"서울병원"))</f>
        <v/>
      </c>
      <c r="R615" s="20">
        <f>IF($X615="","",SUM($N615:$Q615))</f>
        <v/>
      </c>
      <c r="S615">
        <f>IF($X615="","",COUNTIFS(상세표[사번키],INDEX(합계표[사번키],$X615),상세표[반영월],대상월키,상세표[야간당직],1,상세표[야간 구분],"평일"))</f>
        <v/>
      </c>
      <c r="T615">
        <f>IF($X615="","",COUNTIFS(상세표[사번키],INDEX(합계표[사번키],$X615),상세표[반영월],대상월키,상세표[야간당직],1,상세표[야간 구분],"휴일"))</f>
        <v/>
      </c>
      <c r="U615">
        <f>IF($X615="","",COUNTIFS(상세표[사번키],INDEX(합계표[사번키],$X615),상세표[반영월],대상월키,상세표[야간당직],1,상세표[야간 구분],"평일",상세표[반영 기관],"서울병원"))</f>
        <v/>
      </c>
      <c r="V615">
        <f>IF($X615="","",COUNTIFS(상세표[사번키],INDEX(합계표[사번키],$X615),상세표[반영월],대상월키,상세표[야간당직],1,상세표[야간 구분],"휴일",상세표[반영 기관],"서울병원"))</f>
        <v/>
      </c>
      <c r="W615">
        <f>IF($X615="","",IF(ISNUMBER(MATCH(INDEX(합계표[사번키],$X615)&amp;"|"&amp;대상월키,월별근무지표[키],0)),"직접 입력",IF($L615="—","—","기관명단")))</f>
        <v/>
      </c>
      <c r="X615" s="4">
        <f>IFERROR(MATCH(610,합계표[판정순번],0),"")</f>
        <v/>
      </c>
    </row>
    <row r="616">
      <c r="A616">
        <f>IF($X616="","",INDEX(합계표[사번],$X616)&amp;"")</f>
        <v/>
      </c>
      <c r="B616">
        <f>IF($X616="","",INDEX(합계표[성명],$X616)&amp;"")</f>
        <v/>
      </c>
      <c r="C616">
        <f>IF($X616="","",INDEX(합계표[부서],$X616)&amp;"")</f>
        <v/>
      </c>
      <c r="D616">
        <f>IF($X616="","",INDEX(합계표[직위(요약)],$X616)&amp;"")</f>
        <v/>
      </c>
      <c r="E616">
        <f>IF($X616="","",INDEX(합계표[직급 공존],$X616)&amp;"")</f>
        <v/>
      </c>
      <c r="F616" s="20">
        <f>IF($X616="","",SUMIFS(합계표[시스템 합계],합계표[사번키],INDEX(합계표[사번키],$X616)))</f>
        <v/>
      </c>
      <c r="G616" s="20">
        <f>IF($X616="","",SUMIFS(상세표[기록 시간외],상세표[사번키],INDEX(합계표[사번키],$X616),상세표[기록월],대상월키))</f>
        <v/>
      </c>
      <c r="H616">
        <f>IF($X616="","",IF(ABS($F616-$G616)&lt;0.01,"일치","불일치(차이 "&amp;TEXT($G616-$F616,"0.00")&amp;")"))</f>
        <v/>
      </c>
      <c r="I616" s="20">
        <f>IF($X616="","",SUMIFS(상세표[기록 시간외],상세표[사번키],INDEX(합계표[사번키],$X616),상세표[기록월],대상월키,상세표[반영월],"&lt;&gt;"&amp;대상월키))</f>
        <v/>
      </c>
      <c r="J616" s="20">
        <f>IF($X616="","",SUMIFS(상세표[기록 시간외],상세표[사번키],INDEX(합계표[사번키],$X616),상세표[기록월],"&lt;&gt;"&amp;대상월키,상세표[반영월],대상월키))</f>
        <v/>
      </c>
      <c r="K616" s="20">
        <f>IF($X616="","",SUMIFS(상세표[기록 시간외],상세표[사번키],INDEX(합계표[사번키],$X616),상세표[반영월],대상월키))</f>
        <v/>
      </c>
      <c r="L616">
        <f>IF($X616="","",IFERROR(INDEX(월별근무지표[적용 급여병원],MATCH(INDEX(합계표[사번키],$X616)&amp;"|"&amp;대상월키,월별근무지표[키],0))&amp;"",IF(COUNTIF(기관표[사번키],INDEX(합계표[사번키],$X616))+COUNTIF(월별근무지표[사번키],INDEX(합계표[사번키],$X616))&gt;0,IFERROR(INDEX(기관표[급여지급병원(기준월)],MATCH(INDEX(합계표[사번키],$X616)&amp;"|"&amp;대상월키,기관표[키],0))&amp;"","—"),"—")))</f>
        <v/>
      </c>
      <c r="M616">
        <f>IF($X616="","",IF(NOT(COUNTIF(기관표[사번키],INDEX(합계표[사번키],$X616))+COUNTIF(월별근무지표[사번키],INDEX(합계표[사번키],$X616))&gt;0),"기관명단에 없음(다른 병원으로 발송)",IF($L616="서울병원","해당",IF(N($R616)&gt;0,"해당(말일 근무)",IF($L616="—","대상월 기관명단 없음(추가 필요)","비해당")))))</f>
        <v/>
      </c>
      <c r="N616" s="20">
        <f>IF($X616="","",SUMIFS(상세표[06~07시],상세표[사번키],INDEX(합계표[사번키],$X616),상세표[반영월],대상월키,상세표[반영 기관],"서울병원"))</f>
        <v/>
      </c>
      <c r="O616" s="20">
        <f>IF($X616="","",SUMIFS(상세표[07~18시],상세표[사번키],INDEX(합계표[사번키],$X616),상세표[반영월],대상월키,상세표[반영 기관],"서울병원"))</f>
        <v/>
      </c>
      <c r="P616" s="20">
        <f>IF($X616="","",SUMIFS(상세표[18~22시],상세표[사번키],INDEX(합계표[사번키],$X616),상세표[반영월],대상월키,상세표[반영 기관],"서울병원"))</f>
        <v/>
      </c>
      <c r="Q616" s="20">
        <f>IF($X616="","",SUMIFS(상세표[22~06시],상세표[사번키],INDEX(합계표[사번키],$X616),상세표[반영월],대상월키,상세표[반영 기관],"서울병원"))</f>
        <v/>
      </c>
      <c r="R616" s="20">
        <f>IF($X616="","",SUM($N616:$Q616))</f>
        <v/>
      </c>
      <c r="S616">
        <f>IF($X616="","",COUNTIFS(상세표[사번키],INDEX(합계표[사번키],$X616),상세표[반영월],대상월키,상세표[야간당직],1,상세표[야간 구분],"평일"))</f>
        <v/>
      </c>
      <c r="T616">
        <f>IF($X616="","",COUNTIFS(상세표[사번키],INDEX(합계표[사번키],$X616),상세표[반영월],대상월키,상세표[야간당직],1,상세표[야간 구분],"휴일"))</f>
        <v/>
      </c>
      <c r="U616">
        <f>IF($X616="","",COUNTIFS(상세표[사번키],INDEX(합계표[사번키],$X616),상세표[반영월],대상월키,상세표[야간당직],1,상세표[야간 구분],"평일",상세표[반영 기관],"서울병원"))</f>
        <v/>
      </c>
      <c r="V616">
        <f>IF($X616="","",COUNTIFS(상세표[사번키],INDEX(합계표[사번키],$X616),상세표[반영월],대상월키,상세표[야간당직],1,상세표[야간 구분],"휴일",상세표[반영 기관],"서울병원"))</f>
        <v/>
      </c>
      <c r="W616">
        <f>IF($X616="","",IF(ISNUMBER(MATCH(INDEX(합계표[사번키],$X616)&amp;"|"&amp;대상월키,월별근무지표[키],0)),"직접 입력",IF($L616="—","—","기관명단")))</f>
        <v/>
      </c>
      <c r="X616" s="4">
        <f>IFERROR(MATCH(611,합계표[판정순번],0),"")</f>
        <v/>
      </c>
    </row>
    <row r="617">
      <c r="A617">
        <f>IF($X617="","",INDEX(합계표[사번],$X617)&amp;"")</f>
        <v/>
      </c>
      <c r="B617">
        <f>IF($X617="","",INDEX(합계표[성명],$X617)&amp;"")</f>
        <v/>
      </c>
      <c r="C617">
        <f>IF($X617="","",INDEX(합계표[부서],$X617)&amp;"")</f>
        <v/>
      </c>
      <c r="D617">
        <f>IF($X617="","",INDEX(합계표[직위(요약)],$X617)&amp;"")</f>
        <v/>
      </c>
      <c r="E617">
        <f>IF($X617="","",INDEX(합계표[직급 공존],$X617)&amp;"")</f>
        <v/>
      </c>
      <c r="F617" s="20">
        <f>IF($X617="","",SUMIFS(합계표[시스템 합계],합계표[사번키],INDEX(합계표[사번키],$X617)))</f>
        <v/>
      </c>
      <c r="G617" s="20">
        <f>IF($X617="","",SUMIFS(상세표[기록 시간외],상세표[사번키],INDEX(합계표[사번키],$X617),상세표[기록월],대상월키))</f>
        <v/>
      </c>
      <c r="H617">
        <f>IF($X617="","",IF(ABS($F617-$G617)&lt;0.01,"일치","불일치(차이 "&amp;TEXT($G617-$F617,"0.00")&amp;")"))</f>
        <v/>
      </c>
      <c r="I617" s="20">
        <f>IF($X617="","",SUMIFS(상세표[기록 시간외],상세표[사번키],INDEX(합계표[사번키],$X617),상세표[기록월],대상월키,상세표[반영월],"&lt;&gt;"&amp;대상월키))</f>
        <v/>
      </c>
      <c r="J617" s="20">
        <f>IF($X617="","",SUMIFS(상세표[기록 시간외],상세표[사번키],INDEX(합계표[사번키],$X617),상세표[기록월],"&lt;&gt;"&amp;대상월키,상세표[반영월],대상월키))</f>
        <v/>
      </c>
      <c r="K617" s="20">
        <f>IF($X617="","",SUMIFS(상세표[기록 시간외],상세표[사번키],INDEX(합계표[사번키],$X617),상세표[반영월],대상월키))</f>
        <v/>
      </c>
      <c r="L617">
        <f>IF($X617="","",IFERROR(INDEX(월별근무지표[적용 급여병원],MATCH(INDEX(합계표[사번키],$X617)&amp;"|"&amp;대상월키,월별근무지표[키],0))&amp;"",IF(COUNTIF(기관표[사번키],INDEX(합계표[사번키],$X617))+COUNTIF(월별근무지표[사번키],INDEX(합계표[사번키],$X617))&gt;0,IFERROR(INDEX(기관표[급여지급병원(기준월)],MATCH(INDEX(합계표[사번키],$X617)&amp;"|"&amp;대상월키,기관표[키],0))&amp;"","—"),"—")))</f>
        <v/>
      </c>
      <c r="M617">
        <f>IF($X617="","",IF(NOT(COUNTIF(기관표[사번키],INDEX(합계표[사번키],$X617))+COUNTIF(월별근무지표[사번키],INDEX(합계표[사번키],$X617))&gt;0),"기관명단에 없음(다른 병원으로 발송)",IF($L617="서울병원","해당",IF(N($R617)&gt;0,"해당(말일 근무)",IF($L617="—","대상월 기관명단 없음(추가 필요)","비해당")))))</f>
        <v/>
      </c>
      <c r="N617" s="20">
        <f>IF($X617="","",SUMIFS(상세표[06~07시],상세표[사번키],INDEX(합계표[사번키],$X617),상세표[반영월],대상월키,상세표[반영 기관],"서울병원"))</f>
        <v/>
      </c>
      <c r="O617" s="20">
        <f>IF($X617="","",SUMIFS(상세표[07~18시],상세표[사번키],INDEX(합계표[사번키],$X617),상세표[반영월],대상월키,상세표[반영 기관],"서울병원"))</f>
        <v/>
      </c>
      <c r="P617" s="20">
        <f>IF($X617="","",SUMIFS(상세표[18~22시],상세표[사번키],INDEX(합계표[사번키],$X617),상세표[반영월],대상월키,상세표[반영 기관],"서울병원"))</f>
        <v/>
      </c>
      <c r="Q617" s="20">
        <f>IF($X617="","",SUMIFS(상세표[22~06시],상세표[사번키],INDEX(합계표[사번키],$X617),상세표[반영월],대상월키,상세표[반영 기관],"서울병원"))</f>
        <v/>
      </c>
      <c r="R617" s="20">
        <f>IF($X617="","",SUM($N617:$Q617))</f>
        <v/>
      </c>
      <c r="S617">
        <f>IF($X617="","",COUNTIFS(상세표[사번키],INDEX(합계표[사번키],$X617),상세표[반영월],대상월키,상세표[야간당직],1,상세표[야간 구분],"평일"))</f>
        <v/>
      </c>
      <c r="T617">
        <f>IF($X617="","",COUNTIFS(상세표[사번키],INDEX(합계표[사번키],$X617),상세표[반영월],대상월키,상세표[야간당직],1,상세표[야간 구분],"휴일"))</f>
        <v/>
      </c>
      <c r="U617">
        <f>IF($X617="","",COUNTIFS(상세표[사번키],INDEX(합계표[사번키],$X617),상세표[반영월],대상월키,상세표[야간당직],1,상세표[야간 구분],"평일",상세표[반영 기관],"서울병원"))</f>
        <v/>
      </c>
      <c r="V617">
        <f>IF($X617="","",COUNTIFS(상세표[사번키],INDEX(합계표[사번키],$X617),상세표[반영월],대상월키,상세표[야간당직],1,상세표[야간 구분],"휴일",상세표[반영 기관],"서울병원"))</f>
        <v/>
      </c>
      <c r="W617">
        <f>IF($X617="","",IF(ISNUMBER(MATCH(INDEX(합계표[사번키],$X617)&amp;"|"&amp;대상월키,월별근무지표[키],0)),"직접 입력",IF($L617="—","—","기관명단")))</f>
        <v/>
      </c>
      <c r="X617" s="4">
        <f>IFERROR(MATCH(612,합계표[판정순번],0),"")</f>
        <v/>
      </c>
    </row>
    <row r="618">
      <c r="A618">
        <f>IF($X618="","",INDEX(합계표[사번],$X618)&amp;"")</f>
        <v/>
      </c>
      <c r="B618">
        <f>IF($X618="","",INDEX(합계표[성명],$X618)&amp;"")</f>
        <v/>
      </c>
      <c r="C618">
        <f>IF($X618="","",INDEX(합계표[부서],$X618)&amp;"")</f>
        <v/>
      </c>
      <c r="D618">
        <f>IF($X618="","",INDEX(합계표[직위(요약)],$X618)&amp;"")</f>
        <v/>
      </c>
      <c r="E618">
        <f>IF($X618="","",INDEX(합계표[직급 공존],$X618)&amp;"")</f>
        <v/>
      </c>
      <c r="F618" s="20">
        <f>IF($X618="","",SUMIFS(합계표[시스템 합계],합계표[사번키],INDEX(합계표[사번키],$X618)))</f>
        <v/>
      </c>
      <c r="G618" s="20">
        <f>IF($X618="","",SUMIFS(상세표[기록 시간외],상세표[사번키],INDEX(합계표[사번키],$X618),상세표[기록월],대상월키))</f>
        <v/>
      </c>
      <c r="H618">
        <f>IF($X618="","",IF(ABS($F618-$G618)&lt;0.01,"일치","불일치(차이 "&amp;TEXT($G618-$F618,"0.00")&amp;")"))</f>
        <v/>
      </c>
      <c r="I618" s="20">
        <f>IF($X618="","",SUMIFS(상세표[기록 시간외],상세표[사번키],INDEX(합계표[사번키],$X618),상세표[기록월],대상월키,상세표[반영월],"&lt;&gt;"&amp;대상월키))</f>
        <v/>
      </c>
      <c r="J618" s="20">
        <f>IF($X618="","",SUMIFS(상세표[기록 시간외],상세표[사번키],INDEX(합계표[사번키],$X618),상세표[기록월],"&lt;&gt;"&amp;대상월키,상세표[반영월],대상월키))</f>
        <v/>
      </c>
      <c r="K618" s="20">
        <f>IF($X618="","",SUMIFS(상세표[기록 시간외],상세표[사번키],INDEX(합계표[사번키],$X618),상세표[반영월],대상월키))</f>
        <v/>
      </c>
      <c r="L618">
        <f>IF($X618="","",IFERROR(INDEX(월별근무지표[적용 급여병원],MATCH(INDEX(합계표[사번키],$X618)&amp;"|"&amp;대상월키,월별근무지표[키],0))&amp;"",IF(COUNTIF(기관표[사번키],INDEX(합계표[사번키],$X618))+COUNTIF(월별근무지표[사번키],INDEX(합계표[사번키],$X618))&gt;0,IFERROR(INDEX(기관표[급여지급병원(기준월)],MATCH(INDEX(합계표[사번키],$X618)&amp;"|"&amp;대상월키,기관표[키],0))&amp;"","—"),"—")))</f>
        <v/>
      </c>
      <c r="M618">
        <f>IF($X618="","",IF(NOT(COUNTIF(기관표[사번키],INDEX(합계표[사번키],$X618))+COUNTIF(월별근무지표[사번키],INDEX(합계표[사번키],$X618))&gt;0),"기관명단에 없음(다른 병원으로 발송)",IF($L618="서울병원","해당",IF(N($R618)&gt;0,"해당(말일 근무)",IF($L618="—","대상월 기관명단 없음(추가 필요)","비해당")))))</f>
        <v/>
      </c>
      <c r="N618" s="20">
        <f>IF($X618="","",SUMIFS(상세표[06~07시],상세표[사번키],INDEX(합계표[사번키],$X618),상세표[반영월],대상월키,상세표[반영 기관],"서울병원"))</f>
        <v/>
      </c>
      <c r="O618" s="20">
        <f>IF($X618="","",SUMIFS(상세표[07~18시],상세표[사번키],INDEX(합계표[사번키],$X618),상세표[반영월],대상월키,상세표[반영 기관],"서울병원"))</f>
        <v/>
      </c>
      <c r="P618" s="20">
        <f>IF($X618="","",SUMIFS(상세표[18~22시],상세표[사번키],INDEX(합계표[사번키],$X618),상세표[반영월],대상월키,상세표[반영 기관],"서울병원"))</f>
        <v/>
      </c>
      <c r="Q618" s="20">
        <f>IF($X618="","",SUMIFS(상세표[22~06시],상세표[사번키],INDEX(합계표[사번키],$X618),상세표[반영월],대상월키,상세표[반영 기관],"서울병원"))</f>
        <v/>
      </c>
      <c r="R618" s="20">
        <f>IF($X618="","",SUM($N618:$Q618))</f>
        <v/>
      </c>
      <c r="S618">
        <f>IF($X618="","",COUNTIFS(상세표[사번키],INDEX(합계표[사번키],$X618),상세표[반영월],대상월키,상세표[야간당직],1,상세표[야간 구분],"평일"))</f>
        <v/>
      </c>
      <c r="T618">
        <f>IF($X618="","",COUNTIFS(상세표[사번키],INDEX(합계표[사번키],$X618),상세표[반영월],대상월키,상세표[야간당직],1,상세표[야간 구분],"휴일"))</f>
        <v/>
      </c>
      <c r="U618">
        <f>IF($X618="","",COUNTIFS(상세표[사번키],INDEX(합계표[사번키],$X618),상세표[반영월],대상월키,상세표[야간당직],1,상세표[야간 구분],"평일",상세표[반영 기관],"서울병원"))</f>
        <v/>
      </c>
      <c r="V618">
        <f>IF($X618="","",COUNTIFS(상세표[사번키],INDEX(합계표[사번키],$X618),상세표[반영월],대상월키,상세표[야간당직],1,상세표[야간 구분],"휴일",상세표[반영 기관],"서울병원"))</f>
        <v/>
      </c>
      <c r="W618">
        <f>IF($X618="","",IF(ISNUMBER(MATCH(INDEX(합계표[사번키],$X618)&amp;"|"&amp;대상월키,월별근무지표[키],0)),"직접 입력",IF($L618="—","—","기관명단")))</f>
        <v/>
      </c>
      <c r="X618" s="4">
        <f>IFERROR(MATCH(613,합계표[판정순번],0),"")</f>
        <v/>
      </c>
    </row>
    <row r="619">
      <c r="A619">
        <f>IF($X619="","",INDEX(합계표[사번],$X619)&amp;"")</f>
        <v/>
      </c>
      <c r="B619">
        <f>IF($X619="","",INDEX(합계표[성명],$X619)&amp;"")</f>
        <v/>
      </c>
      <c r="C619">
        <f>IF($X619="","",INDEX(합계표[부서],$X619)&amp;"")</f>
        <v/>
      </c>
      <c r="D619">
        <f>IF($X619="","",INDEX(합계표[직위(요약)],$X619)&amp;"")</f>
        <v/>
      </c>
      <c r="E619">
        <f>IF($X619="","",INDEX(합계표[직급 공존],$X619)&amp;"")</f>
        <v/>
      </c>
      <c r="F619" s="20">
        <f>IF($X619="","",SUMIFS(합계표[시스템 합계],합계표[사번키],INDEX(합계표[사번키],$X619)))</f>
        <v/>
      </c>
      <c r="G619" s="20">
        <f>IF($X619="","",SUMIFS(상세표[기록 시간외],상세표[사번키],INDEX(합계표[사번키],$X619),상세표[기록월],대상월키))</f>
        <v/>
      </c>
      <c r="H619">
        <f>IF($X619="","",IF(ABS($F619-$G619)&lt;0.01,"일치","불일치(차이 "&amp;TEXT($G619-$F619,"0.00")&amp;")"))</f>
        <v/>
      </c>
      <c r="I619" s="20">
        <f>IF($X619="","",SUMIFS(상세표[기록 시간외],상세표[사번키],INDEX(합계표[사번키],$X619),상세표[기록월],대상월키,상세표[반영월],"&lt;&gt;"&amp;대상월키))</f>
        <v/>
      </c>
      <c r="J619" s="20">
        <f>IF($X619="","",SUMIFS(상세표[기록 시간외],상세표[사번키],INDEX(합계표[사번키],$X619),상세표[기록월],"&lt;&gt;"&amp;대상월키,상세표[반영월],대상월키))</f>
        <v/>
      </c>
      <c r="K619" s="20">
        <f>IF($X619="","",SUMIFS(상세표[기록 시간외],상세표[사번키],INDEX(합계표[사번키],$X619),상세표[반영월],대상월키))</f>
        <v/>
      </c>
      <c r="L619">
        <f>IF($X619="","",IFERROR(INDEX(월별근무지표[적용 급여병원],MATCH(INDEX(합계표[사번키],$X619)&amp;"|"&amp;대상월키,월별근무지표[키],0))&amp;"",IF(COUNTIF(기관표[사번키],INDEX(합계표[사번키],$X619))+COUNTIF(월별근무지표[사번키],INDEX(합계표[사번키],$X619))&gt;0,IFERROR(INDEX(기관표[급여지급병원(기준월)],MATCH(INDEX(합계표[사번키],$X619)&amp;"|"&amp;대상월키,기관표[키],0))&amp;"","—"),"—")))</f>
        <v/>
      </c>
      <c r="M619">
        <f>IF($X619="","",IF(NOT(COUNTIF(기관표[사번키],INDEX(합계표[사번키],$X619))+COUNTIF(월별근무지표[사번키],INDEX(합계표[사번키],$X619))&gt;0),"기관명단에 없음(다른 병원으로 발송)",IF($L619="서울병원","해당",IF(N($R619)&gt;0,"해당(말일 근무)",IF($L619="—","대상월 기관명단 없음(추가 필요)","비해당")))))</f>
        <v/>
      </c>
      <c r="N619" s="20">
        <f>IF($X619="","",SUMIFS(상세표[06~07시],상세표[사번키],INDEX(합계표[사번키],$X619),상세표[반영월],대상월키,상세표[반영 기관],"서울병원"))</f>
        <v/>
      </c>
      <c r="O619" s="20">
        <f>IF($X619="","",SUMIFS(상세표[07~18시],상세표[사번키],INDEX(합계표[사번키],$X619),상세표[반영월],대상월키,상세표[반영 기관],"서울병원"))</f>
        <v/>
      </c>
      <c r="P619" s="20">
        <f>IF($X619="","",SUMIFS(상세표[18~22시],상세표[사번키],INDEX(합계표[사번키],$X619),상세표[반영월],대상월키,상세표[반영 기관],"서울병원"))</f>
        <v/>
      </c>
      <c r="Q619" s="20">
        <f>IF($X619="","",SUMIFS(상세표[22~06시],상세표[사번키],INDEX(합계표[사번키],$X619),상세표[반영월],대상월키,상세표[반영 기관],"서울병원"))</f>
        <v/>
      </c>
      <c r="R619" s="20">
        <f>IF($X619="","",SUM($N619:$Q619))</f>
        <v/>
      </c>
      <c r="S619">
        <f>IF($X619="","",COUNTIFS(상세표[사번키],INDEX(합계표[사번키],$X619),상세표[반영월],대상월키,상세표[야간당직],1,상세표[야간 구분],"평일"))</f>
        <v/>
      </c>
      <c r="T619">
        <f>IF($X619="","",COUNTIFS(상세표[사번키],INDEX(합계표[사번키],$X619),상세표[반영월],대상월키,상세표[야간당직],1,상세표[야간 구분],"휴일"))</f>
        <v/>
      </c>
      <c r="U619">
        <f>IF($X619="","",COUNTIFS(상세표[사번키],INDEX(합계표[사번키],$X619),상세표[반영월],대상월키,상세표[야간당직],1,상세표[야간 구분],"평일",상세표[반영 기관],"서울병원"))</f>
        <v/>
      </c>
      <c r="V619">
        <f>IF($X619="","",COUNTIFS(상세표[사번키],INDEX(합계표[사번키],$X619),상세표[반영월],대상월키,상세표[야간당직],1,상세표[야간 구분],"휴일",상세표[반영 기관],"서울병원"))</f>
        <v/>
      </c>
      <c r="W619">
        <f>IF($X619="","",IF(ISNUMBER(MATCH(INDEX(합계표[사번키],$X619)&amp;"|"&amp;대상월키,월별근무지표[키],0)),"직접 입력",IF($L619="—","—","기관명단")))</f>
        <v/>
      </c>
      <c r="X619" s="4">
        <f>IFERROR(MATCH(614,합계표[판정순번],0),"")</f>
        <v/>
      </c>
    </row>
    <row r="620">
      <c r="A620">
        <f>IF($X620="","",INDEX(합계표[사번],$X620)&amp;"")</f>
        <v/>
      </c>
      <c r="B620">
        <f>IF($X620="","",INDEX(합계표[성명],$X620)&amp;"")</f>
        <v/>
      </c>
      <c r="C620">
        <f>IF($X620="","",INDEX(합계표[부서],$X620)&amp;"")</f>
        <v/>
      </c>
      <c r="D620">
        <f>IF($X620="","",INDEX(합계표[직위(요약)],$X620)&amp;"")</f>
        <v/>
      </c>
      <c r="E620">
        <f>IF($X620="","",INDEX(합계표[직급 공존],$X620)&amp;"")</f>
        <v/>
      </c>
      <c r="F620" s="20">
        <f>IF($X620="","",SUMIFS(합계표[시스템 합계],합계표[사번키],INDEX(합계표[사번키],$X620)))</f>
        <v/>
      </c>
      <c r="G620" s="20">
        <f>IF($X620="","",SUMIFS(상세표[기록 시간외],상세표[사번키],INDEX(합계표[사번키],$X620),상세표[기록월],대상월키))</f>
        <v/>
      </c>
      <c r="H620">
        <f>IF($X620="","",IF(ABS($F620-$G620)&lt;0.01,"일치","불일치(차이 "&amp;TEXT($G620-$F620,"0.00")&amp;")"))</f>
        <v/>
      </c>
      <c r="I620" s="20">
        <f>IF($X620="","",SUMIFS(상세표[기록 시간외],상세표[사번키],INDEX(합계표[사번키],$X620),상세표[기록월],대상월키,상세표[반영월],"&lt;&gt;"&amp;대상월키))</f>
        <v/>
      </c>
      <c r="J620" s="20">
        <f>IF($X620="","",SUMIFS(상세표[기록 시간외],상세표[사번키],INDEX(합계표[사번키],$X620),상세표[기록월],"&lt;&gt;"&amp;대상월키,상세표[반영월],대상월키))</f>
        <v/>
      </c>
      <c r="K620" s="20">
        <f>IF($X620="","",SUMIFS(상세표[기록 시간외],상세표[사번키],INDEX(합계표[사번키],$X620),상세표[반영월],대상월키))</f>
        <v/>
      </c>
      <c r="L620">
        <f>IF($X620="","",IFERROR(INDEX(월별근무지표[적용 급여병원],MATCH(INDEX(합계표[사번키],$X620)&amp;"|"&amp;대상월키,월별근무지표[키],0))&amp;"",IF(COUNTIF(기관표[사번키],INDEX(합계표[사번키],$X620))+COUNTIF(월별근무지표[사번키],INDEX(합계표[사번키],$X620))&gt;0,IFERROR(INDEX(기관표[급여지급병원(기준월)],MATCH(INDEX(합계표[사번키],$X620)&amp;"|"&amp;대상월키,기관표[키],0))&amp;"","—"),"—")))</f>
        <v/>
      </c>
      <c r="M620">
        <f>IF($X620="","",IF(NOT(COUNTIF(기관표[사번키],INDEX(합계표[사번키],$X620))+COUNTIF(월별근무지표[사번키],INDEX(합계표[사번키],$X620))&gt;0),"기관명단에 없음(다른 병원으로 발송)",IF($L620="서울병원","해당",IF(N($R620)&gt;0,"해당(말일 근무)",IF($L620="—","대상월 기관명단 없음(추가 필요)","비해당")))))</f>
        <v/>
      </c>
      <c r="N620" s="20">
        <f>IF($X620="","",SUMIFS(상세표[06~07시],상세표[사번키],INDEX(합계표[사번키],$X620),상세표[반영월],대상월키,상세표[반영 기관],"서울병원"))</f>
        <v/>
      </c>
      <c r="O620" s="20">
        <f>IF($X620="","",SUMIFS(상세표[07~18시],상세표[사번키],INDEX(합계표[사번키],$X620),상세표[반영월],대상월키,상세표[반영 기관],"서울병원"))</f>
        <v/>
      </c>
      <c r="P620" s="20">
        <f>IF($X620="","",SUMIFS(상세표[18~22시],상세표[사번키],INDEX(합계표[사번키],$X620),상세표[반영월],대상월키,상세표[반영 기관],"서울병원"))</f>
        <v/>
      </c>
      <c r="Q620" s="20">
        <f>IF($X620="","",SUMIFS(상세표[22~06시],상세표[사번키],INDEX(합계표[사번키],$X620),상세표[반영월],대상월키,상세표[반영 기관],"서울병원"))</f>
        <v/>
      </c>
      <c r="R620" s="20">
        <f>IF($X620="","",SUM($N620:$Q620))</f>
        <v/>
      </c>
      <c r="S620">
        <f>IF($X620="","",COUNTIFS(상세표[사번키],INDEX(합계표[사번키],$X620),상세표[반영월],대상월키,상세표[야간당직],1,상세표[야간 구분],"평일"))</f>
        <v/>
      </c>
      <c r="T620">
        <f>IF($X620="","",COUNTIFS(상세표[사번키],INDEX(합계표[사번키],$X620),상세표[반영월],대상월키,상세표[야간당직],1,상세표[야간 구분],"휴일"))</f>
        <v/>
      </c>
      <c r="U620">
        <f>IF($X620="","",COUNTIFS(상세표[사번키],INDEX(합계표[사번키],$X620),상세표[반영월],대상월키,상세표[야간당직],1,상세표[야간 구분],"평일",상세표[반영 기관],"서울병원"))</f>
        <v/>
      </c>
      <c r="V620">
        <f>IF($X620="","",COUNTIFS(상세표[사번키],INDEX(합계표[사번키],$X620),상세표[반영월],대상월키,상세표[야간당직],1,상세표[야간 구분],"휴일",상세표[반영 기관],"서울병원"))</f>
        <v/>
      </c>
      <c r="W620">
        <f>IF($X620="","",IF(ISNUMBER(MATCH(INDEX(합계표[사번키],$X620)&amp;"|"&amp;대상월키,월별근무지표[키],0)),"직접 입력",IF($L620="—","—","기관명단")))</f>
        <v/>
      </c>
      <c r="X620" s="4">
        <f>IFERROR(MATCH(615,합계표[판정순번],0),"")</f>
        <v/>
      </c>
    </row>
    <row r="621">
      <c r="A621">
        <f>IF($X621="","",INDEX(합계표[사번],$X621)&amp;"")</f>
        <v/>
      </c>
      <c r="B621">
        <f>IF($X621="","",INDEX(합계표[성명],$X621)&amp;"")</f>
        <v/>
      </c>
      <c r="C621">
        <f>IF($X621="","",INDEX(합계표[부서],$X621)&amp;"")</f>
        <v/>
      </c>
      <c r="D621">
        <f>IF($X621="","",INDEX(합계표[직위(요약)],$X621)&amp;"")</f>
        <v/>
      </c>
      <c r="E621">
        <f>IF($X621="","",INDEX(합계표[직급 공존],$X621)&amp;"")</f>
        <v/>
      </c>
      <c r="F621" s="20">
        <f>IF($X621="","",SUMIFS(합계표[시스템 합계],합계표[사번키],INDEX(합계표[사번키],$X621)))</f>
        <v/>
      </c>
      <c r="G621" s="20">
        <f>IF($X621="","",SUMIFS(상세표[기록 시간외],상세표[사번키],INDEX(합계표[사번키],$X621),상세표[기록월],대상월키))</f>
        <v/>
      </c>
      <c r="H621">
        <f>IF($X621="","",IF(ABS($F621-$G621)&lt;0.01,"일치","불일치(차이 "&amp;TEXT($G621-$F621,"0.00")&amp;")"))</f>
        <v/>
      </c>
      <c r="I621" s="20">
        <f>IF($X621="","",SUMIFS(상세표[기록 시간외],상세표[사번키],INDEX(합계표[사번키],$X621),상세표[기록월],대상월키,상세표[반영월],"&lt;&gt;"&amp;대상월키))</f>
        <v/>
      </c>
      <c r="J621" s="20">
        <f>IF($X621="","",SUMIFS(상세표[기록 시간외],상세표[사번키],INDEX(합계표[사번키],$X621),상세표[기록월],"&lt;&gt;"&amp;대상월키,상세표[반영월],대상월키))</f>
        <v/>
      </c>
      <c r="K621" s="20">
        <f>IF($X621="","",SUMIFS(상세표[기록 시간외],상세표[사번키],INDEX(합계표[사번키],$X621),상세표[반영월],대상월키))</f>
        <v/>
      </c>
      <c r="L621">
        <f>IF($X621="","",IFERROR(INDEX(월별근무지표[적용 급여병원],MATCH(INDEX(합계표[사번키],$X621)&amp;"|"&amp;대상월키,월별근무지표[키],0))&amp;"",IF(COUNTIF(기관표[사번키],INDEX(합계표[사번키],$X621))+COUNTIF(월별근무지표[사번키],INDEX(합계표[사번키],$X621))&gt;0,IFERROR(INDEX(기관표[급여지급병원(기준월)],MATCH(INDEX(합계표[사번키],$X621)&amp;"|"&amp;대상월키,기관표[키],0))&amp;"","—"),"—")))</f>
        <v/>
      </c>
      <c r="M621">
        <f>IF($X621="","",IF(NOT(COUNTIF(기관표[사번키],INDEX(합계표[사번키],$X621))+COUNTIF(월별근무지표[사번키],INDEX(합계표[사번키],$X621))&gt;0),"기관명단에 없음(다른 병원으로 발송)",IF($L621="서울병원","해당",IF(N($R621)&gt;0,"해당(말일 근무)",IF($L621="—","대상월 기관명단 없음(추가 필요)","비해당")))))</f>
        <v/>
      </c>
      <c r="N621" s="20">
        <f>IF($X621="","",SUMIFS(상세표[06~07시],상세표[사번키],INDEX(합계표[사번키],$X621),상세표[반영월],대상월키,상세표[반영 기관],"서울병원"))</f>
        <v/>
      </c>
      <c r="O621" s="20">
        <f>IF($X621="","",SUMIFS(상세표[07~18시],상세표[사번키],INDEX(합계표[사번키],$X621),상세표[반영월],대상월키,상세표[반영 기관],"서울병원"))</f>
        <v/>
      </c>
      <c r="P621" s="20">
        <f>IF($X621="","",SUMIFS(상세표[18~22시],상세표[사번키],INDEX(합계표[사번키],$X621),상세표[반영월],대상월키,상세표[반영 기관],"서울병원"))</f>
        <v/>
      </c>
      <c r="Q621" s="20">
        <f>IF($X621="","",SUMIFS(상세표[22~06시],상세표[사번키],INDEX(합계표[사번키],$X621),상세표[반영월],대상월키,상세표[반영 기관],"서울병원"))</f>
        <v/>
      </c>
      <c r="R621" s="20">
        <f>IF($X621="","",SUM($N621:$Q621))</f>
        <v/>
      </c>
      <c r="S621">
        <f>IF($X621="","",COUNTIFS(상세표[사번키],INDEX(합계표[사번키],$X621),상세표[반영월],대상월키,상세표[야간당직],1,상세표[야간 구분],"평일"))</f>
        <v/>
      </c>
      <c r="T621">
        <f>IF($X621="","",COUNTIFS(상세표[사번키],INDEX(합계표[사번키],$X621),상세표[반영월],대상월키,상세표[야간당직],1,상세표[야간 구분],"휴일"))</f>
        <v/>
      </c>
      <c r="U621">
        <f>IF($X621="","",COUNTIFS(상세표[사번키],INDEX(합계표[사번키],$X621),상세표[반영월],대상월키,상세표[야간당직],1,상세표[야간 구분],"평일",상세표[반영 기관],"서울병원"))</f>
        <v/>
      </c>
      <c r="V621">
        <f>IF($X621="","",COUNTIFS(상세표[사번키],INDEX(합계표[사번키],$X621),상세표[반영월],대상월키,상세표[야간당직],1,상세표[야간 구분],"휴일",상세표[반영 기관],"서울병원"))</f>
        <v/>
      </c>
      <c r="W621">
        <f>IF($X621="","",IF(ISNUMBER(MATCH(INDEX(합계표[사번키],$X621)&amp;"|"&amp;대상월키,월별근무지표[키],0)),"직접 입력",IF($L621="—","—","기관명단")))</f>
        <v/>
      </c>
      <c r="X621" s="4">
        <f>IFERROR(MATCH(616,합계표[판정순번],0),"")</f>
        <v/>
      </c>
    </row>
    <row r="622">
      <c r="A622">
        <f>IF($X622="","",INDEX(합계표[사번],$X622)&amp;"")</f>
        <v/>
      </c>
      <c r="B622">
        <f>IF($X622="","",INDEX(합계표[성명],$X622)&amp;"")</f>
        <v/>
      </c>
      <c r="C622">
        <f>IF($X622="","",INDEX(합계표[부서],$X622)&amp;"")</f>
        <v/>
      </c>
      <c r="D622">
        <f>IF($X622="","",INDEX(합계표[직위(요약)],$X622)&amp;"")</f>
        <v/>
      </c>
      <c r="E622">
        <f>IF($X622="","",INDEX(합계표[직급 공존],$X622)&amp;"")</f>
        <v/>
      </c>
      <c r="F622" s="20">
        <f>IF($X622="","",SUMIFS(합계표[시스템 합계],합계표[사번키],INDEX(합계표[사번키],$X622)))</f>
        <v/>
      </c>
      <c r="G622" s="20">
        <f>IF($X622="","",SUMIFS(상세표[기록 시간외],상세표[사번키],INDEX(합계표[사번키],$X622),상세표[기록월],대상월키))</f>
        <v/>
      </c>
      <c r="H622">
        <f>IF($X622="","",IF(ABS($F622-$G622)&lt;0.01,"일치","불일치(차이 "&amp;TEXT($G622-$F622,"0.00")&amp;")"))</f>
        <v/>
      </c>
      <c r="I622" s="20">
        <f>IF($X622="","",SUMIFS(상세표[기록 시간외],상세표[사번키],INDEX(합계표[사번키],$X622),상세표[기록월],대상월키,상세표[반영월],"&lt;&gt;"&amp;대상월키))</f>
        <v/>
      </c>
      <c r="J622" s="20">
        <f>IF($X622="","",SUMIFS(상세표[기록 시간외],상세표[사번키],INDEX(합계표[사번키],$X622),상세표[기록월],"&lt;&gt;"&amp;대상월키,상세표[반영월],대상월키))</f>
        <v/>
      </c>
      <c r="K622" s="20">
        <f>IF($X622="","",SUMIFS(상세표[기록 시간외],상세표[사번키],INDEX(합계표[사번키],$X622),상세표[반영월],대상월키))</f>
        <v/>
      </c>
      <c r="L622">
        <f>IF($X622="","",IFERROR(INDEX(월별근무지표[적용 급여병원],MATCH(INDEX(합계표[사번키],$X622)&amp;"|"&amp;대상월키,월별근무지표[키],0))&amp;"",IF(COUNTIF(기관표[사번키],INDEX(합계표[사번키],$X622))+COUNTIF(월별근무지표[사번키],INDEX(합계표[사번키],$X622))&gt;0,IFERROR(INDEX(기관표[급여지급병원(기준월)],MATCH(INDEX(합계표[사번키],$X622)&amp;"|"&amp;대상월키,기관표[키],0))&amp;"","—"),"—")))</f>
        <v/>
      </c>
      <c r="M622">
        <f>IF($X622="","",IF(NOT(COUNTIF(기관표[사번키],INDEX(합계표[사번키],$X622))+COUNTIF(월별근무지표[사번키],INDEX(합계표[사번키],$X622))&gt;0),"기관명단에 없음(다른 병원으로 발송)",IF($L622="서울병원","해당",IF(N($R622)&gt;0,"해당(말일 근무)",IF($L622="—","대상월 기관명단 없음(추가 필요)","비해당")))))</f>
        <v/>
      </c>
      <c r="N622" s="20">
        <f>IF($X622="","",SUMIFS(상세표[06~07시],상세표[사번키],INDEX(합계표[사번키],$X622),상세표[반영월],대상월키,상세표[반영 기관],"서울병원"))</f>
        <v/>
      </c>
      <c r="O622" s="20">
        <f>IF($X622="","",SUMIFS(상세표[07~18시],상세표[사번키],INDEX(합계표[사번키],$X622),상세표[반영월],대상월키,상세표[반영 기관],"서울병원"))</f>
        <v/>
      </c>
      <c r="P622" s="20">
        <f>IF($X622="","",SUMIFS(상세표[18~22시],상세표[사번키],INDEX(합계표[사번키],$X622),상세표[반영월],대상월키,상세표[반영 기관],"서울병원"))</f>
        <v/>
      </c>
      <c r="Q622" s="20">
        <f>IF($X622="","",SUMIFS(상세표[22~06시],상세표[사번키],INDEX(합계표[사번키],$X622),상세표[반영월],대상월키,상세표[반영 기관],"서울병원"))</f>
        <v/>
      </c>
      <c r="R622" s="20">
        <f>IF($X622="","",SUM($N622:$Q622))</f>
        <v/>
      </c>
      <c r="S622">
        <f>IF($X622="","",COUNTIFS(상세표[사번키],INDEX(합계표[사번키],$X622),상세표[반영월],대상월키,상세표[야간당직],1,상세표[야간 구분],"평일"))</f>
        <v/>
      </c>
      <c r="T622">
        <f>IF($X622="","",COUNTIFS(상세표[사번키],INDEX(합계표[사번키],$X622),상세표[반영월],대상월키,상세표[야간당직],1,상세표[야간 구분],"휴일"))</f>
        <v/>
      </c>
      <c r="U622">
        <f>IF($X622="","",COUNTIFS(상세표[사번키],INDEX(합계표[사번키],$X622),상세표[반영월],대상월키,상세표[야간당직],1,상세표[야간 구분],"평일",상세표[반영 기관],"서울병원"))</f>
        <v/>
      </c>
      <c r="V622">
        <f>IF($X622="","",COUNTIFS(상세표[사번키],INDEX(합계표[사번키],$X622),상세표[반영월],대상월키,상세표[야간당직],1,상세표[야간 구분],"휴일",상세표[반영 기관],"서울병원"))</f>
        <v/>
      </c>
      <c r="W622">
        <f>IF($X622="","",IF(ISNUMBER(MATCH(INDEX(합계표[사번키],$X622)&amp;"|"&amp;대상월키,월별근무지표[키],0)),"직접 입력",IF($L622="—","—","기관명단")))</f>
        <v/>
      </c>
      <c r="X622" s="4">
        <f>IFERROR(MATCH(617,합계표[판정순번],0),"")</f>
        <v/>
      </c>
    </row>
    <row r="623">
      <c r="A623">
        <f>IF($X623="","",INDEX(합계표[사번],$X623)&amp;"")</f>
        <v/>
      </c>
      <c r="B623">
        <f>IF($X623="","",INDEX(합계표[성명],$X623)&amp;"")</f>
        <v/>
      </c>
      <c r="C623">
        <f>IF($X623="","",INDEX(합계표[부서],$X623)&amp;"")</f>
        <v/>
      </c>
      <c r="D623">
        <f>IF($X623="","",INDEX(합계표[직위(요약)],$X623)&amp;"")</f>
        <v/>
      </c>
      <c r="E623">
        <f>IF($X623="","",INDEX(합계표[직급 공존],$X623)&amp;"")</f>
        <v/>
      </c>
      <c r="F623" s="20">
        <f>IF($X623="","",SUMIFS(합계표[시스템 합계],합계표[사번키],INDEX(합계표[사번키],$X623)))</f>
        <v/>
      </c>
      <c r="G623" s="20">
        <f>IF($X623="","",SUMIFS(상세표[기록 시간외],상세표[사번키],INDEX(합계표[사번키],$X623),상세표[기록월],대상월키))</f>
        <v/>
      </c>
      <c r="H623">
        <f>IF($X623="","",IF(ABS($F623-$G623)&lt;0.01,"일치","불일치(차이 "&amp;TEXT($G623-$F623,"0.00")&amp;")"))</f>
        <v/>
      </c>
      <c r="I623" s="20">
        <f>IF($X623="","",SUMIFS(상세표[기록 시간외],상세표[사번키],INDEX(합계표[사번키],$X623),상세표[기록월],대상월키,상세표[반영월],"&lt;&gt;"&amp;대상월키))</f>
        <v/>
      </c>
      <c r="J623" s="20">
        <f>IF($X623="","",SUMIFS(상세표[기록 시간외],상세표[사번키],INDEX(합계표[사번키],$X623),상세표[기록월],"&lt;&gt;"&amp;대상월키,상세표[반영월],대상월키))</f>
        <v/>
      </c>
      <c r="K623" s="20">
        <f>IF($X623="","",SUMIFS(상세표[기록 시간외],상세표[사번키],INDEX(합계표[사번키],$X623),상세표[반영월],대상월키))</f>
        <v/>
      </c>
      <c r="L623">
        <f>IF($X623="","",IFERROR(INDEX(월별근무지표[적용 급여병원],MATCH(INDEX(합계표[사번키],$X623)&amp;"|"&amp;대상월키,월별근무지표[키],0))&amp;"",IF(COUNTIF(기관표[사번키],INDEX(합계표[사번키],$X623))+COUNTIF(월별근무지표[사번키],INDEX(합계표[사번키],$X623))&gt;0,IFERROR(INDEX(기관표[급여지급병원(기준월)],MATCH(INDEX(합계표[사번키],$X623)&amp;"|"&amp;대상월키,기관표[키],0))&amp;"","—"),"—")))</f>
        <v/>
      </c>
      <c r="M623">
        <f>IF($X623="","",IF(NOT(COUNTIF(기관표[사번키],INDEX(합계표[사번키],$X623))+COUNTIF(월별근무지표[사번키],INDEX(합계표[사번키],$X623))&gt;0),"기관명단에 없음(다른 병원으로 발송)",IF($L623="서울병원","해당",IF(N($R623)&gt;0,"해당(말일 근무)",IF($L623="—","대상월 기관명단 없음(추가 필요)","비해당")))))</f>
        <v/>
      </c>
      <c r="N623" s="20">
        <f>IF($X623="","",SUMIFS(상세표[06~07시],상세표[사번키],INDEX(합계표[사번키],$X623),상세표[반영월],대상월키,상세표[반영 기관],"서울병원"))</f>
        <v/>
      </c>
      <c r="O623" s="20">
        <f>IF($X623="","",SUMIFS(상세표[07~18시],상세표[사번키],INDEX(합계표[사번키],$X623),상세표[반영월],대상월키,상세표[반영 기관],"서울병원"))</f>
        <v/>
      </c>
      <c r="P623" s="20">
        <f>IF($X623="","",SUMIFS(상세표[18~22시],상세표[사번키],INDEX(합계표[사번키],$X623),상세표[반영월],대상월키,상세표[반영 기관],"서울병원"))</f>
        <v/>
      </c>
      <c r="Q623" s="20">
        <f>IF($X623="","",SUMIFS(상세표[22~06시],상세표[사번키],INDEX(합계표[사번키],$X623),상세표[반영월],대상월키,상세표[반영 기관],"서울병원"))</f>
        <v/>
      </c>
      <c r="R623" s="20">
        <f>IF($X623="","",SUM($N623:$Q623))</f>
        <v/>
      </c>
      <c r="S623">
        <f>IF($X623="","",COUNTIFS(상세표[사번키],INDEX(합계표[사번키],$X623),상세표[반영월],대상월키,상세표[야간당직],1,상세표[야간 구분],"평일"))</f>
        <v/>
      </c>
      <c r="T623">
        <f>IF($X623="","",COUNTIFS(상세표[사번키],INDEX(합계표[사번키],$X623),상세표[반영월],대상월키,상세표[야간당직],1,상세표[야간 구분],"휴일"))</f>
        <v/>
      </c>
      <c r="U623">
        <f>IF($X623="","",COUNTIFS(상세표[사번키],INDEX(합계표[사번키],$X623),상세표[반영월],대상월키,상세표[야간당직],1,상세표[야간 구분],"평일",상세표[반영 기관],"서울병원"))</f>
        <v/>
      </c>
      <c r="V623">
        <f>IF($X623="","",COUNTIFS(상세표[사번키],INDEX(합계표[사번키],$X623),상세표[반영월],대상월키,상세표[야간당직],1,상세표[야간 구분],"휴일",상세표[반영 기관],"서울병원"))</f>
        <v/>
      </c>
      <c r="W623">
        <f>IF($X623="","",IF(ISNUMBER(MATCH(INDEX(합계표[사번키],$X623)&amp;"|"&amp;대상월키,월별근무지표[키],0)),"직접 입력",IF($L623="—","—","기관명단")))</f>
        <v/>
      </c>
      <c r="X623" s="4">
        <f>IFERROR(MATCH(618,합계표[판정순번],0),"")</f>
        <v/>
      </c>
    </row>
    <row r="624">
      <c r="A624">
        <f>IF($X624="","",INDEX(합계표[사번],$X624)&amp;"")</f>
        <v/>
      </c>
      <c r="B624">
        <f>IF($X624="","",INDEX(합계표[성명],$X624)&amp;"")</f>
        <v/>
      </c>
      <c r="C624">
        <f>IF($X624="","",INDEX(합계표[부서],$X624)&amp;"")</f>
        <v/>
      </c>
      <c r="D624">
        <f>IF($X624="","",INDEX(합계표[직위(요약)],$X624)&amp;"")</f>
        <v/>
      </c>
      <c r="E624">
        <f>IF($X624="","",INDEX(합계표[직급 공존],$X624)&amp;"")</f>
        <v/>
      </c>
      <c r="F624" s="20">
        <f>IF($X624="","",SUMIFS(합계표[시스템 합계],합계표[사번키],INDEX(합계표[사번키],$X624)))</f>
        <v/>
      </c>
      <c r="G624" s="20">
        <f>IF($X624="","",SUMIFS(상세표[기록 시간외],상세표[사번키],INDEX(합계표[사번키],$X624),상세표[기록월],대상월키))</f>
        <v/>
      </c>
      <c r="H624">
        <f>IF($X624="","",IF(ABS($F624-$G624)&lt;0.01,"일치","불일치(차이 "&amp;TEXT($G624-$F624,"0.00")&amp;")"))</f>
        <v/>
      </c>
      <c r="I624" s="20">
        <f>IF($X624="","",SUMIFS(상세표[기록 시간외],상세표[사번키],INDEX(합계표[사번키],$X624),상세표[기록월],대상월키,상세표[반영월],"&lt;&gt;"&amp;대상월키))</f>
        <v/>
      </c>
      <c r="J624" s="20">
        <f>IF($X624="","",SUMIFS(상세표[기록 시간외],상세표[사번키],INDEX(합계표[사번키],$X624),상세표[기록월],"&lt;&gt;"&amp;대상월키,상세표[반영월],대상월키))</f>
        <v/>
      </c>
      <c r="K624" s="20">
        <f>IF($X624="","",SUMIFS(상세표[기록 시간외],상세표[사번키],INDEX(합계표[사번키],$X624),상세표[반영월],대상월키))</f>
        <v/>
      </c>
      <c r="L624">
        <f>IF($X624="","",IFERROR(INDEX(월별근무지표[적용 급여병원],MATCH(INDEX(합계표[사번키],$X624)&amp;"|"&amp;대상월키,월별근무지표[키],0))&amp;"",IF(COUNTIF(기관표[사번키],INDEX(합계표[사번키],$X624))+COUNTIF(월별근무지표[사번키],INDEX(합계표[사번키],$X624))&gt;0,IFERROR(INDEX(기관표[급여지급병원(기준월)],MATCH(INDEX(합계표[사번키],$X624)&amp;"|"&amp;대상월키,기관표[키],0))&amp;"","—"),"—")))</f>
        <v/>
      </c>
      <c r="M624">
        <f>IF($X624="","",IF(NOT(COUNTIF(기관표[사번키],INDEX(합계표[사번키],$X624))+COUNTIF(월별근무지표[사번키],INDEX(합계표[사번키],$X624))&gt;0),"기관명단에 없음(다른 병원으로 발송)",IF($L624="서울병원","해당",IF(N($R624)&gt;0,"해당(말일 근무)",IF($L624="—","대상월 기관명단 없음(추가 필요)","비해당")))))</f>
        <v/>
      </c>
      <c r="N624" s="20">
        <f>IF($X624="","",SUMIFS(상세표[06~07시],상세표[사번키],INDEX(합계표[사번키],$X624),상세표[반영월],대상월키,상세표[반영 기관],"서울병원"))</f>
        <v/>
      </c>
      <c r="O624" s="20">
        <f>IF($X624="","",SUMIFS(상세표[07~18시],상세표[사번키],INDEX(합계표[사번키],$X624),상세표[반영월],대상월키,상세표[반영 기관],"서울병원"))</f>
        <v/>
      </c>
      <c r="P624" s="20">
        <f>IF($X624="","",SUMIFS(상세표[18~22시],상세표[사번키],INDEX(합계표[사번키],$X624),상세표[반영월],대상월키,상세표[반영 기관],"서울병원"))</f>
        <v/>
      </c>
      <c r="Q624" s="20">
        <f>IF($X624="","",SUMIFS(상세표[22~06시],상세표[사번키],INDEX(합계표[사번키],$X624),상세표[반영월],대상월키,상세표[반영 기관],"서울병원"))</f>
        <v/>
      </c>
      <c r="R624" s="20">
        <f>IF($X624="","",SUM($N624:$Q624))</f>
        <v/>
      </c>
      <c r="S624">
        <f>IF($X624="","",COUNTIFS(상세표[사번키],INDEX(합계표[사번키],$X624),상세표[반영월],대상월키,상세표[야간당직],1,상세표[야간 구분],"평일"))</f>
        <v/>
      </c>
      <c r="T624">
        <f>IF($X624="","",COUNTIFS(상세표[사번키],INDEX(합계표[사번키],$X624),상세표[반영월],대상월키,상세표[야간당직],1,상세표[야간 구분],"휴일"))</f>
        <v/>
      </c>
      <c r="U624">
        <f>IF($X624="","",COUNTIFS(상세표[사번키],INDEX(합계표[사번키],$X624),상세표[반영월],대상월키,상세표[야간당직],1,상세표[야간 구분],"평일",상세표[반영 기관],"서울병원"))</f>
        <v/>
      </c>
      <c r="V624">
        <f>IF($X624="","",COUNTIFS(상세표[사번키],INDEX(합계표[사번키],$X624),상세표[반영월],대상월키,상세표[야간당직],1,상세표[야간 구분],"휴일",상세표[반영 기관],"서울병원"))</f>
        <v/>
      </c>
      <c r="W624">
        <f>IF($X624="","",IF(ISNUMBER(MATCH(INDEX(합계표[사번키],$X624)&amp;"|"&amp;대상월키,월별근무지표[키],0)),"직접 입력",IF($L624="—","—","기관명단")))</f>
        <v/>
      </c>
      <c r="X624" s="4">
        <f>IFERROR(MATCH(619,합계표[판정순번],0),"")</f>
        <v/>
      </c>
    </row>
    <row r="625">
      <c r="A625">
        <f>IF($X625="","",INDEX(합계표[사번],$X625)&amp;"")</f>
        <v/>
      </c>
      <c r="B625">
        <f>IF($X625="","",INDEX(합계표[성명],$X625)&amp;"")</f>
        <v/>
      </c>
      <c r="C625">
        <f>IF($X625="","",INDEX(합계표[부서],$X625)&amp;"")</f>
        <v/>
      </c>
      <c r="D625">
        <f>IF($X625="","",INDEX(합계표[직위(요약)],$X625)&amp;"")</f>
        <v/>
      </c>
      <c r="E625">
        <f>IF($X625="","",INDEX(합계표[직급 공존],$X625)&amp;"")</f>
        <v/>
      </c>
      <c r="F625" s="20">
        <f>IF($X625="","",SUMIFS(합계표[시스템 합계],합계표[사번키],INDEX(합계표[사번키],$X625)))</f>
        <v/>
      </c>
      <c r="G625" s="20">
        <f>IF($X625="","",SUMIFS(상세표[기록 시간외],상세표[사번키],INDEX(합계표[사번키],$X625),상세표[기록월],대상월키))</f>
        <v/>
      </c>
      <c r="H625">
        <f>IF($X625="","",IF(ABS($F625-$G625)&lt;0.01,"일치","불일치(차이 "&amp;TEXT($G625-$F625,"0.00")&amp;")"))</f>
        <v/>
      </c>
      <c r="I625" s="20">
        <f>IF($X625="","",SUMIFS(상세표[기록 시간외],상세표[사번키],INDEX(합계표[사번키],$X625),상세표[기록월],대상월키,상세표[반영월],"&lt;&gt;"&amp;대상월키))</f>
        <v/>
      </c>
      <c r="J625" s="20">
        <f>IF($X625="","",SUMIFS(상세표[기록 시간외],상세표[사번키],INDEX(합계표[사번키],$X625),상세표[기록월],"&lt;&gt;"&amp;대상월키,상세표[반영월],대상월키))</f>
        <v/>
      </c>
      <c r="K625" s="20">
        <f>IF($X625="","",SUMIFS(상세표[기록 시간외],상세표[사번키],INDEX(합계표[사번키],$X625),상세표[반영월],대상월키))</f>
        <v/>
      </c>
      <c r="L625">
        <f>IF($X625="","",IFERROR(INDEX(월별근무지표[적용 급여병원],MATCH(INDEX(합계표[사번키],$X625)&amp;"|"&amp;대상월키,월별근무지표[키],0))&amp;"",IF(COUNTIF(기관표[사번키],INDEX(합계표[사번키],$X625))+COUNTIF(월별근무지표[사번키],INDEX(합계표[사번키],$X625))&gt;0,IFERROR(INDEX(기관표[급여지급병원(기준월)],MATCH(INDEX(합계표[사번키],$X625)&amp;"|"&amp;대상월키,기관표[키],0))&amp;"","—"),"—")))</f>
        <v/>
      </c>
      <c r="M625">
        <f>IF($X625="","",IF(NOT(COUNTIF(기관표[사번키],INDEX(합계표[사번키],$X625))+COUNTIF(월별근무지표[사번키],INDEX(합계표[사번키],$X625))&gt;0),"기관명단에 없음(다른 병원으로 발송)",IF($L625="서울병원","해당",IF(N($R625)&gt;0,"해당(말일 근무)",IF($L625="—","대상월 기관명단 없음(추가 필요)","비해당")))))</f>
        <v/>
      </c>
      <c r="N625" s="20">
        <f>IF($X625="","",SUMIFS(상세표[06~07시],상세표[사번키],INDEX(합계표[사번키],$X625),상세표[반영월],대상월키,상세표[반영 기관],"서울병원"))</f>
        <v/>
      </c>
      <c r="O625" s="20">
        <f>IF($X625="","",SUMIFS(상세표[07~18시],상세표[사번키],INDEX(합계표[사번키],$X625),상세표[반영월],대상월키,상세표[반영 기관],"서울병원"))</f>
        <v/>
      </c>
      <c r="P625" s="20">
        <f>IF($X625="","",SUMIFS(상세표[18~22시],상세표[사번키],INDEX(합계표[사번키],$X625),상세표[반영월],대상월키,상세표[반영 기관],"서울병원"))</f>
        <v/>
      </c>
      <c r="Q625" s="20">
        <f>IF($X625="","",SUMIFS(상세표[22~06시],상세표[사번키],INDEX(합계표[사번키],$X625),상세표[반영월],대상월키,상세표[반영 기관],"서울병원"))</f>
        <v/>
      </c>
      <c r="R625" s="20">
        <f>IF($X625="","",SUM($N625:$Q625))</f>
        <v/>
      </c>
      <c r="S625">
        <f>IF($X625="","",COUNTIFS(상세표[사번키],INDEX(합계표[사번키],$X625),상세표[반영월],대상월키,상세표[야간당직],1,상세표[야간 구분],"평일"))</f>
        <v/>
      </c>
      <c r="T625">
        <f>IF($X625="","",COUNTIFS(상세표[사번키],INDEX(합계표[사번키],$X625),상세표[반영월],대상월키,상세표[야간당직],1,상세표[야간 구분],"휴일"))</f>
        <v/>
      </c>
      <c r="U625">
        <f>IF($X625="","",COUNTIFS(상세표[사번키],INDEX(합계표[사번키],$X625),상세표[반영월],대상월키,상세표[야간당직],1,상세표[야간 구분],"평일",상세표[반영 기관],"서울병원"))</f>
        <v/>
      </c>
      <c r="V625">
        <f>IF($X625="","",COUNTIFS(상세표[사번키],INDEX(합계표[사번키],$X625),상세표[반영월],대상월키,상세표[야간당직],1,상세표[야간 구분],"휴일",상세표[반영 기관],"서울병원"))</f>
        <v/>
      </c>
      <c r="W625">
        <f>IF($X625="","",IF(ISNUMBER(MATCH(INDEX(합계표[사번키],$X625)&amp;"|"&amp;대상월키,월별근무지표[키],0)),"직접 입력",IF($L625="—","—","기관명단")))</f>
        <v/>
      </c>
      <c r="X625" s="4">
        <f>IFERROR(MATCH(620,합계표[판정순번],0),"")</f>
        <v/>
      </c>
    </row>
    <row r="626">
      <c r="A626">
        <f>IF($X626="","",INDEX(합계표[사번],$X626)&amp;"")</f>
        <v/>
      </c>
      <c r="B626">
        <f>IF($X626="","",INDEX(합계표[성명],$X626)&amp;"")</f>
        <v/>
      </c>
      <c r="C626">
        <f>IF($X626="","",INDEX(합계표[부서],$X626)&amp;"")</f>
        <v/>
      </c>
      <c r="D626">
        <f>IF($X626="","",INDEX(합계표[직위(요약)],$X626)&amp;"")</f>
        <v/>
      </c>
      <c r="E626">
        <f>IF($X626="","",INDEX(합계표[직급 공존],$X626)&amp;"")</f>
        <v/>
      </c>
      <c r="F626" s="20">
        <f>IF($X626="","",SUMIFS(합계표[시스템 합계],합계표[사번키],INDEX(합계표[사번키],$X626)))</f>
        <v/>
      </c>
      <c r="G626" s="20">
        <f>IF($X626="","",SUMIFS(상세표[기록 시간외],상세표[사번키],INDEX(합계표[사번키],$X626),상세표[기록월],대상월키))</f>
        <v/>
      </c>
      <c r="H626">
        <f>IF($X626="","",IF(ABS($F626-$G626)&lt;0.01,"일치","불일치(차이 "&amp;TEXT($G626-$F626,"0.00")&amp;")"))</f>
        <v/>
      </c>
      <c r="I626" s="20">
        <f>IF($X626="","",SUMIFS(상세표[기록 시간외],상세표[사번키],INDEX(합계표[사번키],$X626),상세표[기록월],대상월키,상세표[반영월],"&lt;&gt;"&amp;대상월키))</f>
        <v/>
      </c>
      <c r="J626" s="20">
        <f>IF($X626="","",SUMIFS(상세표[기록 시간외],상세표[사번키],INDEX(합계표[사번키],$X626),상세표[기록월],"&lt;&gt;"&amp;대상월키,상세표[반영월],대상월키))</f>
        <v/>
      </c>
      <c r="K626" s="20">
        <f>IF($X626="","",SUMIFS(상세표[기록 시간외],상세표[사번키],INDEX(합계표[사번키],$X626),상세표[반영월],대상월키))</f>
        <v/>
      </c>
      <c r="L626">
        <f>IF($X626="","",IFERROR(INDEX(월별근무지표[적용 급여병원],MATCH(INDEX(합계표[사번키],$X626)&amp;"|"&amp;대상월키,월별근무지표[키],0))&amp;"",IF(COUNTIF(기관표[사번키],INDEX(합계표[사번키],$X626))+COUNTIF(월별근무지표[사번키],INDEX(합계표[사번키],$X626))&gt;0,IFERROR(INDEX(기관표[급여지급병원(기준월)],MATCH(INDEX(합계표[사번키],$X626)&amp;"|"&amp;대상월키,기관표[키],0))&amp;"","—"),"—")))</f>
        <v/>
      </c>
      <c r="M626">
        <f>IF($X626="","",IF(NOT(COUNTIF(기관표[사번키],INDEX(합계표[사번키],$X626))+COUNTIF(월별근무지표[사번키],INDEX(합계표[사번키],$X626))&gt;0),"기관명단에 없음(다른 병원으로 발송)",IF($L626="서울병원","해당",IF(N($R626)&gt;0,"해당(말일 근무)",IF($L626="—","대상월 기관명단 없음(추가 필요)","비해당")))))</f>
        <v/>
      </c>
      <c r="N626" s="20">
        <f>IF($X626="","",SUMIFS(상세표[06~07시],상세표[사번키],INDEX(합계표[사번키],$X626),상세표[반영월],대상월키,상세표[반영 기관],"서울병원"))</f>
        <v/>
      </c>
      <c r="O626" s="20">
        <f>IF($X626="","",SUMIFS(상세표[07~18시],상세표[사번키],INDEX(합계표[사번키],$X626),상세표[반영월],대상월키,상세표[반영 기관],"서울병원"))</f>
        <v/>
      </c>
      <c r="P626" s="20">
        <f>IF($X626="","",SUMIFS(상세표[18~22시],상세표[사번키],INDEX(합계표[사번키],$X626),상세표[반영월],대상월키,상세표[반영 기관],"서울병원"))</f>
        <v/>
      </c>
      <c r="Q626" s="20">
        <f>IF($X626="","",SUMIFS(상세표[22~06시],상세표[사번키],INDEX(합계표[사번키],$X626),상세표[반영월],대상월키,상세표[반영 기관],"서울병원"))</f>
        <v/>
      </c>
      <c r="R626" s="20">
        <f>IF($X626="","",SUM($N626:$Q626))</f>
        <v/>
      </c>
      <c r="S626">
        <f>IF($X626="","",COUNTIFS(상세표[사번키],INDEX(합계표[사번키],$X626),상세표[반영월],대상월키,상세표[야간당직],1,상세표[야간 구분],"평일"))</f>
        <v/>
      </c>
      <c r="T626">
        <f>IF($X626="","",COUNTIFS(상세표[사번키],INDEX(합계표[사번키],$X626),상세표[반영월],대상월키,상세표[야간당직],1,상세표[야간 구분],"휴일"))</f>
        <v/>
      </c>
      <c r="U626">
        <f>IF($X626="","",COUNTIFS(상세표[사번키],INDEX(합계표[사번키],$X626),상세표[반영월],대상월키,상세표[야간당직],1,상세표[야간 구분],"평일",상세표[반영 기관],"서울병원"))</f>
        <v/>
      </c>
      <c r="V626">
        <f>IF($X626="","",COUNTIFS(상세표[사번키],INDEX(합계표[사번키],$X626),상세표[반영월],대상월키,상세표[야간당직],1,상세표[야간 구분],"휴일",상세표[반영 기관],"서울병원"))</f>
        <v/>
      </c>
      <c r="W626">
        <f>IF($X626="","",IF(ISNUMBER(MATCH(INDEX(합계표[사번키],$X626)&amp;"|"&amp;대상월키,월별근무지표[키],0)),"직접 입력",IF($L626="—","—","기관명단")))</f>
        <v/>
      </c>
      <c r="X626" s="4">
        <f>IFERROR(MATCH(621,합계표[판정순번],0),"")</f>
        <v/>
      </c>
    </row>
    <row r="627">
      <c r="A627">
        <f>IF($X627="","",INDEX(합계표[사번],$X627)&amp;"")</f>
        <v/>
      </c>
      <c r="B627">
        <f>IF($X627="","",INDEX(합계표[성명],$X627)&amp;"")</f>
        <v/>
      </c>
      <c r="C627">
        <f>IF($X627="","",INDEX(합계표[부서],$X627)&amp;"")</f>
        <v/>
      </c>
      <c r="D627">
        <f>IF($X627="","",INDEX(합계표[직위(요약)],$X627)&amp;"")</f>
        <v/>
      </c>
      <c r="E627">
        <f>IF($X627="","",INDEX(합계표[직급 공존],$X627)&amp;"")</f>
        <v/>
      </c>
      <c r="F627" s="20">
        <f>IF($X627="","",SUMIFS(합계표[시스템 합계],합계표[사번키],INDEX(합계표[사번키],$X627)))</f>
        <v/>
      </c>
      <c r="G627" s="20">
        <f>IF($X627="","",SUMIFS(상세표[기록 시간외],상세표[사번키],INDEX(합계표[사번키],$X627),상세표[기록월],대상월키))</f>
        <v/>
      </c>
      <c r="H627">
        <f>IF($X627="","",IF(ABS($F627-$G627)&lt;0.01,"일치","불일치(차이 "&amp;TEXT($G627-$F627,"0.00")&amp;")"))</f>
        <v/>
      </c>
      <c r="I627" s="20">
        <f>IF($X627="","",SUMIFS(상세표[기록 시간외],상세표[사번키],INDEX(합계표[사번키],$X627),상세표[기록월],대상월키,상세표[반영월],"&lt;&gt;"&amp;대상월키))</f>
        <v/>
      </c>
      <c r="J627" s="20">
        <f>IF($X627="","",SUMIFS(상세표[기록 시간외],상세표[사번키],INDEX(합계표[사번키],$X627),상세표[기록월],"&lt;&gt;"&amp;대상월키,상세표[반영월],대상월키))</f>
        <v/>
      </c>
      <c r="K627" s="20">
        <f>IF($X627="","",SUMIFS(상세표[기록 시간외],상세표[사번키],INDEX(합계표[사번키],$X627),상세표[반영월],대상월키))</f>
        <v/>
      </c>
      <c r="L627">
        <f>IF($X627="","",IFERROR(INDEX(월별근무지표[적용 급여병원],MATCH(INDEX(합계표[사번키],$X627)&amp;"|"&amp;대상월키,월별근무지표[키],0))&amp;"",IF(COUNTIF(기관표[사번키],INDEX(합계표[사번키],$X627))+COUNTIF(월별근무지표[사번키],INDEX(합계표[사번키],$X627))&gt;0,IFERROR(INDEX(기관표[급여지급병원(기준월)],MATCH(INDEX(합계표[사번키],$X627)&amp;"|"&amp;대상월키,기관표[키],0))&amp;"","—"),"—")))</f>
        <v/>
      </c>
      <c r="M627">
        <f>IF($X627="","",IF(NOT(COUNTIF(기관표[사번키],INDEX(합계표[사번키],$X627))+COUNTIF(월별근무지표[사번키],INDEX(합계표[사번키],$X627))&gt;0),"기관명단에 없음(다른 병원으로 발송)",IF($L627="서울병원","해당",IF(N($R627)&gt;0,"해당(말일 근무)",IF($L627="—","대상월 기관명단 없음(추가 필요)","비해당")))))</f>
        <v/>
      </c>
      <c r="N627" s="20">
        <f>IF($X627="","",SUMIFS(상세표[06~07시],상세표[사번키],INDEX(합계표[사번키],$X627),상세표[반영월],대상월키,상세표[반영 기관],"서울병원"))</f>
        <v/>
      </c>
      <c r="O627" s="20">
        <f>IF($X627="","",SUMIFS(상세표[07~18시],상세표[사번키],INDEX(합계표[사번키],$X627),상세표[반영월],대상월키,상세표[반영 기관],"서울병원"))</f>
        <v/>
      </c>
      <c r="P627" s="20">
        <f>IF($X627="","",SUMIFS(상세표[18~22시],상세표[사번키],INDEX(합계표[사번키],$X627),상세표[반영월],대상월키,상세표[반영 기관],"서울병원"))</f>
        <v/>
      </c>
      <c r="Q627" s="20">
        <f>IF($X627="","",SUMIFS(상세표[22~06시],상세표[사번키],INDEX(합계표[사번키],$X627),상세표[반영월],대상월키,상세표[반영 기관],"서울병원"))</f>
        <v/>
      </c>
      <c r="R627" s="20">
        <f>IF($X627="","",SUM($N627:$Q627))</f>
        <v/>
      </c>
      <c r="S627">
        <f>IF($X627="","",COUNTIFS(상세표[사번키],INDEX(합계표[사번키],$X627),상세표[반영월],대상월키,상세표[야간당직],1,상세표[야간 구분],"평일"))</f>
        <v/>
      </c>
      <c r="T627">
        <f>IF($X627="","",COUNTIFS(상세표[사번키],INDEX(합계표[사번키],$X627),상세표[반영월],대상월키,상세표[야간당직],1,상세표[야간 구분],"휴일"))</f>
        <v/>
      </c>
      <c r="U627">
        <f>IF($X627="","",COUNTIFS(상세표[사번키],INDEX(합계표[사번키],$X627),상세표[반영월],대상월키,상세표[야간당직],1,상세표[야간 구분],"평일",상세표[반영 기관],"서울병원"))</f>
        <v/>
      </c>
      <c r="V627">
        <f>IF($X627="","",COUNTIFS(상세표[사번키],INDEX(합계표[사번키],$X627),상세표[반영월],대상월키,상세표[야간당직],1,상세표[야간 구분],"휴일",상세표[반영 기관],"서울병원"))</f>
        <v/>
      </c>
      <c r="W627">
        <f>IF($X627="","",IF(ISNUMBER(MATCH(INDEX(합계표[사번키],$X627)&amp;"|"&amp;대상월키,월별근무지표[키],0)),"직접 입력",IF($L627="—","—","기관명단")))</f>
        <v/>
      </c>
      <c r="X627" s="4">
        <f>IFERROR(MATCH(622,합계표[판정순번],0),"")</f>
        <v/>
      </c>
    </row>
    <row r="628">
      <c r="A628">
        <f>IF($X628="","",INDEX(합계표[사번],$X628)&amp;"")</f>
        <v/>
      </c>
      <c r="B628">
        <f>IF($X628="","",INDEX(합계표[성명],$X628)&amp;"")</f>
        <v/>
      </c>
      <c r="C628">
        <f>IF($X628="","",INDEX(합계표[부서],$X628)&amp;"")</f>
        <v/>
      </c>
      <c r="D628">
        <f>IF($X628="","",INDEX(합계표[직위(요약)],$X628)&amp;"")</f>
        <v/>
      </c>
      <c r="E628">
        <f>IF($X628="","",INDEX(합계표[직급 공존],$X628)&amp;"")</f>
        <v/>
      </c>
      <c r="F628" s="20">
        <f>IF($X628="","",SUMIFS(합계표[시스템 합계],합계표[사번키],INDEX(합계표[사번키],$X628)))</f>
        <v/>
      </c>
      <c r="G628" s="20">
        <f>IF($X628="","",SUMIFS(상세표[기록 시간외],상세표[사번키],INDEX(합계표[사번키],$X628),상세표[기록월],대상월키))</f>
        <v/>
      </c>
      <c r="H628">
        <f>IF($X628="","",IF(ABS($F628-$G628)&lt;0.01,"일치","불일치(차이 "&amp;TEXT($G628-$F628,"0.00")&amp;")"))</f>
        <v/>
      </c>
      <c r="I628" s="20">
        <f>IF($X628="","",SUMIFS(상세표[기록 시간외],상세표[사번키],INDEX(합계표[사번키],$X628),상세표[기록월],대상월키,상세표[반영월],"&lt;&gt;"&amp;대상월키))</f>
        <v/>
      </c>
      <c r="J628" s="20">
        <f>IF($X628="","",SUMIFS(상세표[기록 시간외],상세표[사번키],INDEX(합계표[사번키],$X628),상세표[기록월],"&lt;&gt;"&amp;대상월키,상세표[반영월],대상월키))</f>
        <v/>
      </c>
      <c r="K628" s="20">
        <f>IF($X628="","",SUMIFS(상세표[기록 시간외],상세표[사번키],INDEX(합계표[사번키],$X628),상세표[반영월],대상월키))</f>
        <v/>
      </c>
      <c r="L628">
        <f>IF($X628="","",IFERROR(INDEX(월별근무지표[적용 급여병원],MATCH(INDEX(합계표[사번키],$X628)&amp;"|"&amp;대상월키,월별근무지표[키],0))&amp;"",IF(COUNTIF(기관표[사번키],INDEX(합계표[사번키],$X628))+COUNTIF(월별근무지표[사번키],INDEX(합계표[사번키],$X628))&gt;0,IFERROR(INDEX(기관표[급여지급병원(기준월)],MATCH(INDEX(합계표[사번키],$X628)&amp;"|"&amp;대상월키,기관표[키],0))&amp;"","—"),"—")))</f>
        <v/>
      </c>
      <c r="M628">
        <f>IF($X628="","",IF(NOT(COUNTIF(기관표[사번키],INDEX(합계표[사번키],$X628))+COUNTIF(월별근무지표[사번키],INDEX(합계표[사번키],$X628))&gt;0),"기관명단에 없음(다른 병원으로 발송)",IF($L628="서울병원","해당",IF(N($R628)&gt;0,"해당(말일 근무)",IF($L628="—","대상월 기관명단 없음(추가 필요)","비해당")))))</f>
        <v/>
      </c>
      <c r="N628" s="20">
        <f>IF($X628="","",SUMIFS(상세표[06~07시],상세표[사번키],INDEX(합계표[사번키],$X628),상세표[반영월],대상월키,상세표[반영 기관],"서울병원"))</f>
        <v/>
      </c>
      <c r="O628" s="20">
        <f>IF($X628="","",SUMIFS(상세표[07~18시],상세표[사번키],INDEX(합계표[사번키],$X628),상세표[반영월],대상월키,상세표[반영 기관],"서울병원"))</f>
        <v/>
      </c>
      <c r="P628" s="20">
        <f>IF($X628="","",SUMIFS(상세표[18~22시],상세표[사번키],INDEX(합계표[사번키],$X628),상세표[반영월],대상월키,상세표[반영 기관],"서울병원"))</f>
        <v/>
      </c>
      <c r="Q628" s="20">
        <f>IF($X628="","",SUMIFS(상세표[22~06시],상세표[사번키],INDEX(합계표[사번키],$X628),상세표[반영월],대상월키,상세표[반영 기관],"서울병원"))</f>
        <v/>
      </c>
      <c r="R628" s="20">
        <f>IF($X628="","",SUM($N628:$Q628))</f>
        <v/>
      </c>
      <c r="S628">
        <f>IF($X628="","",COUNTIFS(상세표[사번키],INDEX(합계표[사번키],$X628),상세표[반영월],대상월키,상세표[야간당직],1,상세표[야간 구분],"평일"))</f>
        <v/>
      </c>
      <c r="T628">
        <f>IF($X628="","",COUNTIFS(상세표[사번키],INDEX(합계표[사번키],$X628),상세표[반영월],대상월키,상세표[야간당직],1,상세표[야간 구분],"휴일"))</f>
        <v/>
      </c>
      <c r="U628">
        <f>IF($X628="","",COUNTIFS(상세표[사번키],INDEX(합계표[사번키],$X628),상세표[반영월],대상월키,상세표[야간당직],1,상세표[야간 구분],"평일",상세표[반영 기관],"서울병원"))</f>
        <v/>
      </c>
      <c r="V628">
        <f>IF($X628="","",COUNTIFS(상세표[사번키],INDEX(합계표[사번키],$X628),상세표[반영월],대상월키,상세표[야간당직],1,상세표[야간 구분],"휴일",상세표[반영 기관],"서울병원"))</f>
        <v/>
      </c>
      <c r="W628">
        <f>IF($X628="","",IF(ISNUMBER(MATCH(INDEX(합계표[사번키],$X628)&amp;"|"&amp;대상월키,월별근무지표[키],0)),"직접 입력",IF($L628="—","—","기관명단")))</f>
        <v/>
      </c>
      <c r="X628" s="4">
        <f>IFERROR(MATCH(623,합계표[판정순번],0),"")</f>
        <v/>
      </c>
    </row>
    <row r="629">
      <c r="A629">
        <f>IF($X629="","",INDEX(합계표[사번],$X629)&amp;"")</f>
        <v/>
      </c>
      <c r="B629">
        <f>IF($X629="","",INDEX(합계표[성명],$X629)&amp;"")</f>
        <v/>
      </c>
      <c r="C629">
        <f>IF($X629="","",INDEX(합계표[부서],$X629)&amp;"")</f>
        <v/>
      </c>
      <c r="D629">
        <f>IF($X629="","",INDEX(합계표[직위(요약)],$X629)&amp;"")</f>
        <v/>
      </c>
      <c r="E629">
        <f>IF($X629="","",INDEX(합계표[직급 공존],$X629)&amp;"")</f>
        <v/>
      </c>
      <c r="F629" s="20">
        <f>IF($X629="","",SUMIFS(합계표[시스템 합계],합계표[사번키],INDEX(합계표[사번키],$X629)))</f>
        <v/>
      </c>
      <c r="G629" s="20">
        <f>IF($X629="","",SUMIFS(상세표[기록 시간외],상세표[사번키],INDEX(합계표[사번키],$X629),상세표[기록월],대상월키))</f>
        <v/>
      </c>
      <c r="H629">
        <f>IF($X629="","",IF(ABS($F629-$G629)&lt;0.01,"일치","불일치(차이 "&amp;TEXT($G629-$F629,"0.00")&amp;")"))</f>
        <v/>
      </c>
      <c r="I629" s="20">
        <f>IF($X629="","",SUMIFS(상세표[기록 시간외],상세표[사번키],INDEX(합계표[사번키],$X629),상세표[기록월],대상월키,상세표[반영월],"&lt;&gt;"&amp;대상월키))</f>
        <v/>
      </c>
      <c r="J629" s="20">
        <f>IF($X629="","",SUMIFS(상세표[기록 시간외],상세표[사번키],INDEX(합계표[사번키],$X629),상세표[기록월],"&lt;&gt;"&amp;대상월키,상세표[반영월],대상월키))</f>
        <v/>
      </c>
      <c r="K629" s="20">
        <f>IF($X629="","",SUMIFS(상세표[기록 시간외],상세표[사번키],INDEX(합계표[사번키],$X629),상세표[반영월],대상월키))</f>
        <v/>
      </c>
      <c r="L629">
        <f>IF($X629="","",IFERROR(INDEX(월별근무지표[적용 급여병원],MATCH(INDEX(합계표[사번키],$X629)&amp;"|"&amp;대상월키,월별근무지표[키],0))&amp;"",IF(COUNTIF(기관표[사번키],INDEX(합계표[사번키],$X629))+COUNTIF(월별근무지표[사번키],INDEX(합계표[사번키],$X629))&gt;0,IFERROR(INDEX(기관표[급여지급병원(기준월)],MATCH(INDEX(합계표[사번키],$X629)&amp;"|"&amp;대상월키,기관표[키],0))&amp;"","—"),"—")))</f>
        <v/>
      </c>
      <c r="M629">
        <f>IF($X629="","",IF(NOT(COUNTIF(기관표[사번키],INDEX(합계표[사번키],$X629))+COUNTIF(월별근무지표[사번키],INDEX(합계표[사번키],$X629))&gt;0),"기관명단에 없음(다른 병원으로 발송)",IF($L629="서울병원","해당",IF(N($R629)&gt;0,"해당(말일 근무)",IF($L629="—","대상월 기관명단 없음(추가 필요)","비해당")))))</f>
        <v/>
      </c>
      <c r="N629" s="20">
        <f>IF($X629="","",SUMIFS(상세표[06~07시],상세표[사번키],INDEX(합계표[사번키],$X629),상세표[반영월],대상월키,상세표[반영 기관],"서울병원"))</f>
        <v/>
      </c>
      <c r="O629" s="20">
        <f>IF($X629="","",SUMIFS(상세표[07~18시],상세표[사번키],INDEX(합계표[사번키],$X629),상세표[반영월],대상월키,상세표[반영 기관],"서울병원"))</f>
        <v/>
      </c>
      <c r="P629" s="20">
        <f>IF($X629="","",SUMIFS(상세표[18~22시],상세표[사번키],INDEX(합계표[사번키],$X629),상세표[반영월],대상월키,상세표[반영 기관],"서울병원"))</f>
        <v/>
      </c>
      <c r="Q629" s="20">
        <f>IF($X629="","",SUMIFS(상세표[22~06시],상세표[사번키],INDEX(합계표[사번키],$X629),상세표[반영월],대상월키,상세표[반영 기관],"서울병원"))</f>
        <v/>
      </c>
      <c r="R629" s="20">
        <f>IF($X629="","",SUM($N629:$Q629))</f>
        <v/>
      </c>
      <c r="S629">
        <f>IF($X629="","",COUNTIFS(상세표[사번키],INDEX(합계표[사번키],$X629),상세표[반영월],대상월키,상세표[야간당직],1,상세표[야간 구분],"평일"))</f>
        <v/>
      </c>
      <c r="T629">
        <f>IF($X629="","",COUNTIFS(상세표[사번키],INDEX(합계표[사번키],$X629),상세표[반영월],대상월키,상세표[야간당직],1,상세표[야간 구분],"휴일"))</f>
        <v/>
      </c>
      <c r="U629">
        <f>IF($X629="","",COUNTIFS(상세표[사번키],INDEX(합계표[사번키],$X629),상세표[반영월],대상월키,상세표[야간당직],1,상세표[야간 구분],"평일",상세표[반영 기관],"서울병원"))</f>
        <v/>
      </c>
      <c r="V629">
        <f>IF($X629="","",COUNTIFS(상세표[사번키],INDEX(합계표[사번키],$X629),상세표[반영월],대상월키,상세표[야간당직],1,상세표[야간 구분],"휴일",상세표[반영 기관],"서울병원"))</f>
        <v/>
      </c>
      <c r="W629">
        <f>IF($X629="","",IF(ISNUMBER(MATCH(INDEX(합계표[사번키],$X629)&amp;"|"&amp;대상월키,월별근무지표[키],0)),"직접 입력",IF($L629="—","—","기관명단")))</f>
        <v/>
      </c>
      <c r="X629" s="4">
        <f>IFERROR(MATCH(624,합계표[판정순번],0),"")</f>
        <v/>
      </c>
    </row>
    <row r="630">
      <c r="A630">
        <f>IF($X630="","",INDEX(합계표[사번],$X630)&amp;"")</f>
        <v/>
      </c>
      <c r="B630">
        <f>IF($X630="","",INDEX(합계표[성명],$X630)&amp;"")</f>
        <v/>
      </c>
      <c r="C630">
        <f>IF($X630="","",INDEX(합계표[부서],$X630)&amp;"")</f>
        <v/>
      </c>
      <c r="D630">
        <f>IF($X630="","",INDEX(합계표[직위(요약)],$X630)&amp;"")</f>
        <v/>
      </c>
      <c r="E630">
        <f>IF($X630="","",INDEX(합계표[직급 공존],$X630)&amp;"")</f>
        <v/>
      </c>
      <c r="F630" s="20">
        <f>IF($X630="","",SUMIFS(합계표[시스템 합계],합계표[사번키],INDEX(합계표[사번키],$X630)))</f>
        <v/>
      </c>
      <c r="G630" s="20">
        <f>IF($X630="","",SUMIFS(상세표[기록 시간외],상세표[사번키],INDEX(합계표[사번키],$X630),상세표[기록월],대상월키))</f>
        <v/>
      </c>
      <c r="H630">
        <f>IF($X630="","",IF(ABS($F630-$G630)&lt;0.01,"일치","불일치(차이 "&amp;TEXT($G630-$F630,"0.00")&amp;")"))</f>
        <v/>
      </c>
      <c r="I630" s="20">
        <f>IF($X630="","",SUMIFS(상세표[기록 시간외],상세표[사번키],INDEX(합계표[사번키],$X630),상세표[기록월],대상월키,상세표[반영월],"&lt;&gt;"&amp;대상월키))</f>
        <v/>
      </c>
      <c r="J630" s="20">
        <f>IF($X630="","",SUMIFS(상세표[기록 시간외],상세표[사번키],INDEX(합계표[사번키],$X630),상세표[기록월],"&lt;&gt;"&amp;대상월키,상세표[반영월],대상월키))</f>
        <v/>
      </c>
      <c r="K630" s="20">
        <f>IF($X630="","",SUMIFS(상세표[기록 시간외],상세표[사번키],INDEX(합계표[사번키],$X630),상세표[반영월],대상월키))</f>
        <v/>
      </c>
      <c r="L630">
        <f>IF($X630="","",IFERROR(INDEX(월별근무지표[적용 급여병원],MATCH(INDEX(합계표[사번키],$X630)&amp;"|"&amp;대상월키,월별근무지표[키],0))&amp;"",IF(COUNTIF(기관표[사번키],INDEX(합계표[사번키],$X630))+COUNTIF(월별근무지표[사번키],INDEX(합계표[사번키],$X630))&gt;0,IFERROR(INDEX(기관표[급여지급병원(기준월)],MATCH(INDEX(합계표[사번키],$X630)&amp;"|"&amp;대상월키,기관표[키],0))&amp;"","—"),"—")))</f>
        <v/>
      </c>
      <c r="M630">
        <f>IF($X630="","",IF(NOT(COUNTIF(기관표[사번키],INDEX(합계표[사번키],$X630))+COUNTIF(월별근무지표[사번키],INDEX(합계표[사번키],$X630))&gt;0),"기관명단에 없음(다른 병원으로 발송)",IF($L630="서울병원","해당",IF(N($R630)&gt;0,"해당(말일 근무)",IF($L630="—","대상월 기관명단 없음(추가 필요)","비해당")))))</f>
        <v/>
      </c>
      <c r="N630" s="20">
        <f>IF($X630="","",SUMIFS(상세표[06~07시],상세표[사번키],INDEX(합계표[사번키],$X630),상세표[반영월],대상월키,상세표[반영 기관],"서울병원"))</f>
        <v/>
      </c>
      <c r="O630" s="20">
        <f>IF($X630="","",SUMIFS(상세표[07~18시],상세표[사번키],INDEX(합계표[사번키],$X630),상세표[반영월],대상월키,상세표[반영 기관],"서울병원"))</f>
        <v/>
      </c>
      <c r="P630" s="20">
        <f>IF($X630="","",SUMIFS(상세표[18~22시],상세표[사번키],INDEX(합계표[사번키],$X630),상세표[반영월],대상월키,상세표[반영 기관],"서울병원"))</f>
        <v/>
      </c>
      <c r="Q630" s="20">
        <f>IF($X630="","",SUMIFS(상세표[22~06시],상세표[사번키],INDEX(합계표[사번키],$X630),상세표[반영월],대상월키,상세표[반영 기관],"서울병원"))</f>
        <v/>
      </c>
      <c r="R630" s="20">
        <f>IF($X630="","",SUM($N630:$Q630))</f>
        <v/>
      </c>
      <c r="S630">
        <f>IF($X630="","",COUNTIFS(상세표[사번키],INDEX(합계표[사번키],$X630),상세표[반영월],대상월키,상세표[야간당직],1,상세표[야간 구분],"평일"))</f>
        <v/>
      </c>
      <c r="T630">
        <f>IF($X630="","",COUNTIFS(상세표[사번키],INDEX(합계표[사번키],$X630),상세표[반영월],대상월키,상세표[야간당직],1,상세표[야간 구분],"휴일"))</f>
        <v/>
      </c>
      <c r="U630">
        <f>IF($X630="","",COUNTIFS(상세표[사번키],INDEX(합계표[사번키],$X630),상세표[반영월],대상월키,상세표[야간당직],1,상세표[야간 구분],"평일",상세표[반영 기관],"서울병원"))</f>
        <v/>
      </c>
      <c r="V630">
        <f>IF($X630="","",COUNTIFS(상세표[사번키],INDEX(합계표[사번키],$X630),상세표[반영월],대상월키,상세표[야간당직],1,상세표[야간 구분],"휴일",상세표[반영 기관],"서울병원"))</f>
        <v/>
      </c>
      <c r="W630">
        <f>IF($X630="","",IF(ISNUMBER(MATCH(INDEX(합계표[사번키],$X630)&amp;"|"&amp;대상월키,월별근무지표[키],0)),"직접 입력",IF($L630="—","—","기관명단")))</f>
        <v/>
      </c>
      <c r="X630" s="4">
        <f>IFERROR(MATCH(625,합계표[판정순번],0),"")</f>
        <v/>
      </c>
    </row>
    <row r="631">
      <c r="A631">
        <f>IF($X631="","",INDEX(합계표[사번],$X631)&amp;"")</f>
        <v/>
      </c>
      <c r="B631">
        <f>IF($X631="","",INDEX(합계표[성명],$X631)&amp;"")</f>
        <v/>
      </c>
      <c r="C631">
        <f>IF($X631="","",INDEX(합계표[부서],$X631)&amp;"")</f>
        <v/>
      </c>
      <c r="D631">
        <f>IF($X631="","",INDEX(합계표[직위(요약)],$X631)&amp;"")</f>
        <v/>
      </c>
      <c r="E631">
        <f>IF($X631="","",INDEX(합계표[직급 공존],$X631)&amp;"")</f>
        <v/>
      </c>
      <c r="F631" s="20">
        <f>IF($X631="","",SUMIFS(합계표[시스템 합계],합계표[사번키],INDEX(합계표[사번키],$X631)))</f>
        <v/>
      </c>
      <c r="G631" s="20">
        <f>IF($X631="","",SUMIFS(상세표[기록 시간외],상세표[사번키],INDEX(합계표[사번키],$X631),상세표[기록월],대상월키))</f>
        <v/>
      </c>
      <c r="H631">
        <f>IF($X631="","",IF(ABS($F631-$G631)&lt;0.01,"일치","불일치(차이 "&amp;TEXT($G631-$F631,"0.00")&amp;")"))</f>
        <v/>
      </c>
      <c r="I631" s="20">
        <f>IF($X631="","",SUMIFS(상세표[기록 시간외],상세표[사번키],INDEX(합계표[사번키],$X631),상세표[기록월],대상월키,상세표[반영월],"&lt;&gt;"&amp;대상월키))</f>
        <v/>
      </c>
      <c r="J631" s="20">
        <f>IF($X631="","",SUMIFS(상세표[기록 시간외],상세표[사번키],INDEX(합계표[사번키],$X631),상세표[기록월],"&lt;&gt;"&amp;대상월키,상세표[반영월],대상월키))</f>
        <v/>
      </c>
      <c r="K631" s="20">
        <f>IF($X631="","",SUMIFS(상세표[기록 시간외],상세표[사번키],INDEX(합계표[사번키],$X631),상세표[반영월],대상월키))</f>
        <v/>
      </c>
      <c r="L631">
        <f>IF($X631="","",IFERROR(INDEX(월별근무지표[적용 급여병원],MATCH(INDEX(합계표[사번키],$X631)&amp;"|"&amp;대상월키,월별근무지표[키],0))&amp;"",IF(COUNTIF(기관표[사번키],INDEX(합계표[사번키],$X631))+COUNTIF(월별근무지표[사번키],INDEX(합계표[사번키],$X631))&gt;0,IFERROR(INDEX(기관표[급여지급병원(기준월)],MATCH(INDEX(합계표[사번키],$X631)&amp;"|"&amp;대상월키,기관표[키],0))&amp;"","—"),"—")))</f>
        <v/>
      </c>
      <c r="M631">
        <f>IF($X631="","",IF(NOT(COUNTIF(기관표[사번키],INDEX(합계표[사번키],$X631))+COUNTIF(월별근무지표[사번키],INDEX(합계표[사번키],$X631))&gt;0),"기관명단에 없음(다른 병원으로 발송)",IF($L631="서울병원","해당",IF(N($R631)&gt;0,"해당(말일 근무)",IF($L631="—","대상월 기관명단 없음(추가 필요)","비해당")))))</f>
        <v/>
      </c>
      <c r="N631" s="20">
        <f>IF($X631="","",SUMIFS(상세표[06~07시],상세표[사번키],INDEX(합계표[사번키],$X631),상세표[반영월],대상월키,상세표[반영 기관],"서울병원"))</f>
        <v/>
      </c>
      <c r="O631" s="20">
        <f>IF($X631="","",SUMIFS(상세표[07~18시],상세표[사번키],INDEX(합계표[사번키],$X631),상세표[반영월],대상월키,상세표[반영 기관],"서울병원"))</f>
        <v/>
      </c>
      <c r="P631" s="20">
        <f>IF($X631="","",SUMIFS(상세표[18~22시],상세표[사번키],INDEX(합계표[사번키],$X631),상세표[반영월],대상월키,상세표[반영 기관],"서울병원"))</f>
        <v/>
      </c>
      <c r="Q631" s="20">
        <f>IF($X631="","",SUMIFS(상세표[22~06시],상세표[사번키],INDEX(합계표[사번키],$X631),상세표[반영월],대상월키,상세표[반영 기관],"서울병원"))</f>
        <v/>
      </c>
      <c r="R631" s="20">
        <f>IF($X631="","",SUM($N631:$Q631))</f>
        <v/>
      </c>
      <c r="S631">
        <f>IF($X631="","",COUNTIFS(상세표[사번키],INDEX(합계표[사번키],$X631),상세표[반영월],대상월키,상세표[야간당직],1,상세표[야간 구분],"평일"))</f>
        <v/>
      </c>
      <c r="T631">
        <f>IF($X631="","",COUNTIFS(상세표[사번키],INDEX(합계표[사번키],$X631),상세표[반영월],대상월키,상세표[야간당직],1,상세표[야간 구분],"휴일"))</f>
        <v/>
      </c>
      <c r="U631">
        <f>IF($X631="","",COUNTIFS(상세표[사번키],INDEX(합계표[사번키],$X631),상세표[반영월],대상월키,상세표[야간당직],1,상세표[야간 구분],"평일",상세표[반영 기관],"서울병원"))</f>
        <v/>
      </c>
      <c r="V631">
        <f>IF($X631="","",COUNTIFS(상세표[사번키],INDEX(합계표[사번키],$X631),상세표[반영월],대상월키,상세표[야간당직],1,상세표[야간 구분],"휴일",상세표[반영 기관],"서울병원"))</f>
        <v/>
      </c>
      <c r="W631">
        <f>IF($X631="","",IF(ISNUMBER(MATCH(INDEX(합계표[사번키],$X631)&amp;"|"&amp;대상월키,월별근무지표[키],0)),"직접 입력",IF($L631="—","—","기관명단")))</f>
        <v/>
      </c>
      <c r="X631" s="4">
        <f>IFERROR(MATCH(626,합계표[판정순번],0),"")</f>
        <v/>
      </c>
    </row>
    <row r="632">
      <c r="A632">
        <f>IF($X632="","",INDEX(합계표[사번],$X632)&amp;"")</f>
        <v/>
      </c>
      <c r="B632">
        <f>IF($X632="","",INDEX(합계표[성명],$X632)&amp;"")</f>
        <v/>
      </c>
      <c r="C632">
        <f>IF($X632="","",INDEX(합계표[부서],$X632)&amp;"")</f>
        <v/>
      </c>
      <c r="D632">
        <f>IF($X632="","",INDEX(합계표[직위(요약)],$X632)&amp;"")</f>
        <v/>
      </c>
      <c r="E632">
        <f>IF($X632="","",INDEX(합계표[직급 공존],$X632)&amp;"")</f>
        <v/>
      </c>
      <c r="F632" s="20">
        <f>IF($X632="","",SUMIFS(합계표[시스템 합계],합계표[사번키],INDEX(합계표[사번키],$X632)))</f>
        <v/>
      </c>
      <c r="G632" s="20">
        <f>IF($X632="","",SUMIFS(상세표[기록 시간외],상세표[사번키],INDEX(합계표[사번키],$X632),상세표[기록월],대상월키))</f>
        <v/>
      </c>
      <c r="H632">
        <f>IF($X632="","",IF(ABS($F632-$G632)&lt;0.01,"일치","불일치(차이 "&amp;TEXT($G632-$F632,"0.00")&amp;")"))</f>
        <v/>
      </c>
      <c r="I632" s="20">
        <f>IF($X632="","",SUMIFS(상세표[기록 시간외],상세표[사번키],INDEX(합계표[사번키],$X632),상세표[기록월],대상월키,상세표[반영월],"&lt;&gt;"&amp;대상월키))</f>
        <v/>
      </c>
      <c r="J632" s="20">
        <f>IF($X632="","",SUMIFS(상세표[기록 시간외],상세표[사번키],INDEX(합계표[사번키],$X632),상세표[기록월],"&lt;&gt;"&amp;대상월키,상세표[반영월],대상월키))</f>
        <v/>
      </c>
      <c r="K632" s="20">
        <f>IF($X632="","",SUMIFS(상세표[기록 시간외],상세표[사번키],INDEX(합계표[사번키],$X632),상세표[반영월],대상월키))</f>
        <v/>
      </c>
      <c r="L632">
        <f>IF($X632="","",IFERROR(INDEX(월별근무지표[적용 급여병원],MATCH(INDEX(합계표[사번키],$X632)&amp;"|"&amp;대상월키,월별근무지표[키],0))&amp;"",IF(COUNTIF(기관표[사번키],INDEX(합계표[사번키],$X632))+COUNTIF(월별근무지표[사번키],INDEX(합계표[사번키],$X632))&gt;0,IFERROR(INDEX(기관표[급여지급병원(기준월)],MATCH(INDEX(합계표[사번키],$X632)&amp;"|"&amp;대상월키,기관표[키],0))&amp;"","—"),"—")))</f>
        <v/>
      </c>
      <c r="M632">
        <f>IF($X632="","",IF(NOT(COUNTIF(기관표[사번키],INDEX(합계표[사번키],$X632))+COUNTIF(월별근무지표[사번키],INDEX(합계표[사번키],$X632))&gt;0),"기관명단에 없음(다른 병원으로 발송)",IF($L632="서울병원","해당",IF(N($R632)&gt;0,"해당(말일 근무)",IF($L632="—","대상월 기관명단 없음(추가 필요)","비해당")))))</f>
        <v/>
      </c>
      <c r="N632" s="20">
        <f>IF($X632="","",SUMIFS(상세표[06~07시],상세표[사번키],INDEX(합계표[사번키],$X632),상세표[반영월],대상월키,상세표[반영 기관],"서울병원"))</f>
        <v/>
      </c>
      <c r="O632" s="20">
        <f>IF($X632="","",SUMIFS(상세표[07~18시],상세표[사번키],INDEX(합계표[사번키],$X632),상세표[반영월],대상월키,상세표[반영 기관],"서울병원"))</f>
        <v/>
      </c>
      <c r="P632" s="20">
        <f>IF($X632="","",SUMIFS(상세표[18~22시],상세표[사번키],INDEX(합계표[사번키],$X632),상세표[반영월],대상월키,상세표[반영 기관],"서울병원"))</f>
        <v/>
      </c>
      <c r="Q632" s="20">
        <f>IF($X632="","",SUMIFS(상세표[22~06시],상세표[사번키],INDEX(합계표[사번키],$X632),상세표[반영월],대상월키,상세표[반영 기관],"서울병원"))</f>
        <v/>
      </c>
      <c r="R632" s="20">
        <f>IF($X632="","",SUM($N632:$Q632))</f>
        <v/>
      </c>
      <c r="S632">
        <f>IF($X632="","",COUNTIFS(상세표[사번키],INDEX(합계표[사번키],$X632),상세표[반영월],대상월키,상세표[야간당직],1,상세표[야간 구분],"평일"))</f>
        <v/>
      </c>
      <c r="T632">
        <f>IF($X632="","",COUNTIFS(상세표[사번키],INDEX(합계표[사번키],$X632),상세표[반영월],대상월키,상세표[야간당직],1,상세표[야간 구분],"휴일"))</f>
        <v/>
      </c>
      <c r="U632">
        <f>IF($X632="","",COUNTIFS(상세표[사번키],INDEX(합계표[사번키],$X632),상세표[반영월],대상월키,상세표[야간당직],1,상세표[야간 구분],"평일",상세표[반영 기관],"서울병원"))</f>
        <v/>
      </c>
      <c r="V632">
        <f>IF($X632="","",COUNTIFS(상세표[사번키],INDEX(합계표[사번키],$X632),상세표[반영월],대상월키,상세표[야간당직],1,상세표[야간 구분],"휴일",상세표[반영 기관],"서울병원"))</f>
        <v/>
      </c>
      <c r="W632">
        <f>IF($X632="","",IF(ISNUMBER(MATCH(INDEX(합계표[사번키],$X632)&amp;"|"&amp;대상월키,월별근무지표[키],0)),"직접 입력",IF($L632="—","—","기관명단")))</f>
        <v/>
      </c>
      <c r="X632" s="4">
        <f>IFERROR(MATCH(627,합계표[판정순번],0),"")</f>
        <v/>
      </c>
    </row>
    <row r="633">
      <c r="A633">
        <f>IF($X633="","",INDEX(합계표[사번],$X633)&amp;"")</f>
        <v/>
      </c>
      <c r="B633">
        <f>IF($X633="","",INDEX(합계표[성명],$X633)&amp;"")</f>
        <v/>
      </c>
      <c r="C633">
        <f>IF($X633="","",INDEX(합계표[부서],$X633)&amp;"")</f>
        <v/>
      </c>
      <c r="D633">
        <f>IF($X633="","",INDEX(합계표[직위(요약)],$X633)&amp;"")</f>
        <v/>
      </c>
      <c r="E633">
        <f>IF($X633="","",INDEX(합계표[직급 공존],$X633)&amp;"")</f>
        <v/>
      </c>
      <c r="F633" s="20">
        <f>IF($X633="","",SUMIFS(합계표[시스템 합계],합계표[사번키],INDEX(합계표[사번키],$X633)))</f>
        <v/>
      </c>
      <c r="G633" s="20">
        <f>IF($X633="","",SUMIFS(상세표[기록 시간외],상세표[사번키],INDEX(합계표[사번키],$X633),상세표[기록월],대상월키))</f>
        <v/>
      </c>
      <c r="H633">
        <f>IF($X633="","",IF(ABS($F633-$G633)&lt;0.01,"일치","불일치(차이 "&amp;TEXT($G633-$F633,"0.00")&amp;")"))</f>
        <v/>
      </c>
      <c r="I633" s="20">
        <f>IF($X633="","",SUMIFS(상세표[기록 시간외],상세표[사번키],INDEX(합계표[사번키],$X633),상세표[기록월],대상월키,상세표[반영월],"&lt;&gt;"&amp;대상월키))</f>
        <v/>
      </c>
      <c r="J633" s="20">
        <f>IF($X633="","",SUMIFS(상세표[기록 시간외],상세표[사번키],INDEX(합계표[사번키],$X633),상세표[기록월],"&lt;&gt;"&amp;대상월키,상세표[반영월],대상월키))</f>
        <v/>
      </c>
      <c r="K633" s="20">
        <f>IF($X633="","",SUMIFS(상세표[기록 시간외],상세표[사번키],INDEX(합계표[사번키],$X633),상세표[반영월],대상월키))</f>
        <v/>
      </c>
      <c r="L633">
        <f>IF($X633="","",IFERROR(INDEX(월별근무지표[적용 급여병원],MATCH(INDEX(합계표[사번키],$X633)&amp;"|"&amp;대상월키,월별근무지표[키],0))&amp;"",IF(COUNTIF(기관표[사번키],INDEX(합계표[사번키],$X633))+COUNTIF(월별근무지표[사번키],INDEX(합계표[사번키],$X633))&gt;0,IFERROR(INDEX(기관표[급여지급병원(기준월)],MATCH(INDEX(합계표[사번키],$X633)&amp;"|"&amp;대상월키,기관표[키],0))&amp;"","—"),"—")))</f>
        <v/>
      </c>
      <c r="M633">
        <f>IF($X633="","",IF(NOT(COUNTIF(기관표[사번키],INDEX(합계표[사번키],$X633))+COUNTIF(월별근무지표[사번키],INDEX(합계표[사번키],$X633))&gt;0),"기관명단에 없음(다른 병원으로 발송)",IF($L633="서울병원","해당",IF(N($R633)&gt;0,"해당(말일 근무)",IF($L633="—","대상월 기관명단 없음(추가 필요)","비해당")))))</f>
        <v/>
      </c>
      <c r="N633" s="20">
        <f>IF($X633="","",SUMIFS(상세표[06~07시],상세표[사번키],INDEX(합계표[사번키],$X633),상세표[반영월],대상월키,상세표[반영 기관],"서울병원"))</f>
        <v/>
      </c>
      <c r="O633" s="20">
        <f>IF($X633="","",SUMIFS(상세표[07~18시],상세표[사번키],INDEX(합계표[사번키],$X633),상세표[반영월],대상월키,상세표[반영 기관],"서울병원"))</f>
        <v/>
      </c>
      <c r="P633" s="20">
        <f>IF($X633="","",SUMIFS(상세표[18~22시],상세표[사번키],INDEX(합계표[사번키],$X633),상세표[반영월],대상월키,상세표[반영 기관],"서울병원"))</f>
        <v/>
      </c>
      <c r="Q633" s="20">
        <f>IF($X633="","",SUMIFS(상세표[22~06시],상세표[사번키],INDEX(합계표[사번키],$X633),상세표[반영월],대상월키,상세표[반영 기관],"서울병원"))</f>
        <v/>
      </c>
      <c r="R633" s="20">
        <f>IF($X633="","",SUM($N633:$Q633))</f>
        <v/>
      </c>
      <c r="S633">
        <f>IF($X633="","",COUNTIFS(상세표[사번키],INDEX(합계표[사번키],$X633),상세표[반영월],대상월키,상세표[야간당직],1,상세표[야간 구분],"평일"))</f>
        <v/>
      </c>
      <c r="T633">
        <f>IF($X633="","",COUNTIFS(상세표[사번키],INDEX(합계표[사번키],$X633),상세표[반영월],대상월키,상세표[야간당직],1,상세표[야간 구분],"휴일"))</f>
        <v/>
      </c>
      <c r="U633">
        <f>IF($X633="","",COUNTIFS(상세표[사번키],INDEX(합계표[사번키],$X633),상세표[반영월],대상월키,상세표[야간당직],1,상세표[야간 구분],"평일",상세표[반영 기관],"서울병원"))</f>
        <v/>
      </c>
      <c r="V633">
        <f>IF($X633="","",COUNTIFS(상세표[사번키],INDEX(합계표[사번키],$X633),상세표[반영월],대상월키,상세표[야간당직],1,상세표[야간 구분],"휴일",상세표[반영 기관],"서울병원"))</f>
        <v/>
      </c>
      <c r="W633">
        <f>IF($X633="","",IF(ISNUMBER(MATCH(INDEX(합계표[사번키],$X633)&amp;"|"&amp;대상월키,월별근무지표[키],0)),"직접 입력",IF($L633="—","—","기관명단")))</f>
        <v/>
      </c>
      <c r="X633" s="4">
        <f>IFERROR(MATCH(628,합계표[판정순번],0),"")</f>
        <v/>
      </c>
    </row>
    <row r="634">
      <c r="A634">
        <f>IF($X634="","",INDEX(합계표[사번],$X634)&amp;"")</f>
        <v/>
      </c>
      <c r="B634">
        <f>IF($X634="","",INDEX(합계표[성명],$X634)&amp;"")</f>
        <v/>
      </c>
      <c r="C634">
        <f>IF($X634="","",INDEX(합계표[부서],$X634)&amp;"")</f>
        <v/>
      </c>
      <c r="D634">
        <f>IF($X634="","",INDEX(합계표[직위(요약)],$X634)&amp;"")</f>
        <v/>
      </c>
      <c r="E634">
        <f>IF($X634="","",INDEX(합계표[직급 공존],$X634)&amp;"")</f>
        <v/>
      </c>
      <c r="F634" s="20">
        <f>IF($X634="","",SUMIFS(합계표[시스템 합계],합계표[사번키],INDEX(합계표[사번키],$X634)))</f>
        <v/>
      </c>
      <c r="G634" s="20">
        <f>IF($X634="","",SUMIFS(상세표[기록 시간외],상세표[사번키],INDEX(합계표[사번키],$X634),상세표[기록월],대상월키))</f>
        <v/>
      </c>
      <c r="H634">
        <f>IF($X634="","",IF(ABS($F634-$G634)&lt;0.01,"일치","불일치(차이 "&amp;TEXT($G634-$F634,"0.00")&amp;")"))</f>
        <v/>
      </c>
      <c r="I634" s="20">
        <f>IF($X634="","",SUMIFS(상세표[기록 시간외],상세표[사번키],INDEX(합계표[사번키],$X634),상세표[기록월],대상월키,상세표[반영월],"&lt;&gt;"&amp;대상월키))</f>
        <v/>
      </c>
      <c r="J634" s="20">
        <f>IF($X634="","",SUMIFS(상세표[기록 시간외],상세표[사번키],INDEX(합계표[사번키],$X634),상세표[기록월],"&lt;&gt;"&amp;대상월키,상세표[반영월],대상월키))</f>
        <v/>
      </c>
      <c r="K634" s="20">
        <f>IF($X634="","",SUMIFS(상세표[기록 시간외],상세표[사번키],INDEX(합계표[사번키],$X634),상세표[반영월],대상월키))</f>
        <v/>
      </c>
      <c r="L634">
        <f>IF($X634="","",IFERROR(INDEX(월별근무지표[적용 급여병원],MATCH(INDEX(합계표[사번키],$X634)&amp;"|"&amp;대상월키,월별근무지표[키],0))&amp;"",IF(COUNTIF(기관표[사번키],INDEX(합계표[사번키],$X634))+COUNTIF(월별근무지표[사번키],INDEX(합계표[사번키],$X634))&gt;0,IFERROR(INDEX(기관표[급여지급병원(기준월)],MATCH(INDEX(합계표[사번키],$X634)&amp;"|"&amp;대상월키,기관표[키],0))&amp;"","—"),"—")))</f>
        <v/>
      </c>
      <c r="M634">
        <f>IF($X634="","",IF(NOT(COUNTIF(기관표[사번키],INDEX(합계표[사번키],$X634))+COUNTIF(월별근무지표[사번키],INDEX(합계표[사번키],$X634))&gt;0),"기관명단에 없음(다른 병원으로 발송)",IF($L634="서울병원","해당",IF(N($R634)&gt;0,"해당(말일 근무)",IF($L634="—","대상월 기관명단 없음(추가 필요)","비해당")))))</f>
        <v/>
      </c>
      <c r="N634" s="20">
        <f>IF($X634="","",SUMIFS(상세표[06~07시],상세표[사번키],INDEX(합계표[사번키],$X634),상세표[반영월],대상월키,상세표[반영 기관],"서울병원"))</f>
        <v/>
      </c>
      <c r="O634" s="20">
        <f>IF($X634="","",SUMIFS(상세표[07~18시],상세표[사번키],INDEX(합계표[사번키],$X634),상세표[반영월],대상월키,상세표[반영 기관],"서울병원"))</f>
        <v/>
      </c>
      <c r="P634" s="20">
        <f>IF($X634="","",SUMIFS(상세표[18~22시],상세표[사번키],INDEX(합계표[사번키],$X634),상세표[반영월],대상월키,상세표[반영 기관],"서울병원"))</f>
        <v/>
      </c>
      <c r="Q634" s="20">
        <f>IF($X634="","",SUMIFS(상세표[22~06시],상세표[사번키],INDEX(합계표[사번키],$X634),상세표[반영월],대상월키,상세표[반영 기관],"서울병원"))</f>
        <v/>
      </c>
      <c r="R634" s="20">
        <f>IF($X634="","",SUM($N634:$Q634))</f>
        <v/>
      </c>
      <c r="S634">
        <f>IF($X634="","",COUNTIFS(상세표[사번키],INDEX(합계표[사번키],$X634),상세표[반영월],대상월키,상세표[야간당직],1,상세표[야간 구분],"평일"))</f>
        <v/>
      </c>
      <c r="T634">
        <f>IF($X634="","",COUNTIFS(상세표[사번키],INDEX(합계표[사번키],$X634),상세표[반영월],대상월키,상세표[야간당직],1,상세표[야간 구분],"휴일"))</f>
        <v/>
      </c>
      <c r="U634">
        <f>IF($X634="","",COUNTIFS(상세표[사번키],INDEX(합계표[사번키],$X634),상세표[반영월],대상월키,상세표[야간당직],1,상세표[야간 구분],"평일",상세표[반영 기관],"서울병원"))</f>
        <v/>
      </c>
      <c r="V634">
        <f>IF($X634="","",COUNTIFS(상세표[사번키],INDEX(합계표[사번키],$X634),상세표[반영월],대상월키,상세표[야간당직],1,상세표[야간 구분],"휴일",상세표[반영 기관],"서울병원"))</f>
        <v/>
      </c>
      <c r="W634">
        <f>IF($X634="","",IF(ISNUMBER(MATCH(INDEX(합계표[사번키],$X634)&amp;"|"&amp;대상월키,월별근무지표[키],0)),"직접 입력",IF($L634="—","—","기관명단")))</f>
        <v/>
      </c>
      <c r="X634" s="4">
        <f>IFERROR(MATCH(629,합계표[판정순번],0),"")</f>
        <v/>
      </c>
    </row>
    <row r="635">
      <c r="A635">
        <f>IF($X635="","",INDEX(합계표[사번],$X635)&amp;"")</f>
        <v/>
      </c>
      <c r="B635">
        <f>IF($X635="","",INDEX(합계표[성명],$X635)&amp;"")</f>
        <v/>
      </c>
      <c r="C635">
        <f>IF($X635="","",INDEX(합계표[부서],$X635)&amp;"")</f>
        <v/>
      </c>
      <c r="D635">
        <f>IF($X635="","",INDEX(합계표[직위(요약)],$X635)&amp;"")</f>
        <v/>
      </c>
      <c r="E635">
        <f>IF($X635="","",INDEX(합계표[직급 공존],$X635)&amp;"")</f>
        <v/>
      </c>
      <c r="F635" s="20">
        <f>IF($X635="","",SUMIFS(합계표[시스템 합계],합계표[사번키],INDEX(합계표[사번키],$X635)))</f>
        <v/>
      </c>
      <c r="G635" s="20">
        <f>IF($X635="","",SUMIFS(상세표[기록 시간외],상세표[사번키],INDEX(합계표[사번키],$X635),상세표[기록월],대상월키))</f>
        <v/>
      </c>
      <c r="H635">
        <f>IF($X635="","",IF(ABS($F635-$G635)&lt;0.01,"일치","불일치(차이 "&amp;TEXT($G635-$F635,"0.00")&amp;")"))</f>
        <v/>
      </c>
      <c r="I635" s="20">
        <f>IF($X635="","",SUMIFS(상세표[기록 시간외],상세표[사번키],INDEX(합계표[사번키],$X635),상세표[기록월],대상월키,상세표[반영월],"&lt;&gt;"&amp;대상월키))</f>
        <v/>
      </c>
      <c r="J635" s="20">
        <f>IF($X635="","",SUMIFS(상세표[기록 시간외],상세표[사번키],INDEX(합계표[사번키],$X635),상세표[기록월],"&lt;&gt;"&amp;대상월키,상세표[반영월],대상월키))</f>
        <v/>
      </c>
      <c r="K635" s="20">
        <f>IF($X635="","",SUMIFS(상세표[기록 시간외],상세표[사번키],INDEX(합계표[사번키],$X635),상세표[반영월],대상월키))</f>
        <v/>
      </c>
      <c r="L635">
        <f>IF($X635="","",IFERROR(INDEX(월별근무지표[적용 급여병원],MATCH(INDEX(합계표[사번키],$X635)&amp;"|"&amp;대상월키,월별근무지표[키],0))&amp;"",IF(COUNTIF(기관표[사번키],INDEX(합계표[사번키],$X635))+COUNTIF(월별근무지표[사번키],INDEX(합계표[사번키],$X635))&gt;0,IFERROR(INDEX(기관표[급여지급병원(기준월)],MATCH(INDEX(합계표[사번키],$X635)&amp;"|"&amp;대상월키,기관표[키],0))&amp;"","—"),"—")))</f>
        <v/>
      </c>
      <c r="M635">
        <f>IF($X635="","",IF(NOT(COUNTIF(기관표[사번키],INDEX(합계표[사번키],$X635))+COUNTIF(월별근무지표[사번키],INDEX(합계표[사번키],$X635))&gt;0),"기관명단에 없음(다른 병원으로 발송)",IF($L635="서울병원","해당",IF(N($R635)&gt;0,"해당(말일 근무)",IF($L635="—","대상월 기관명단 없음(추가 필요)","비해당")))))</f>
        <v/>
      </c>
      <c r="N635" s="20">
        <f>IF($X635="","",SUMIFS(상세표[06~07시],상세표[사번키],INDEX(합계표[사번키],$X635),상세표[반영월],대상월키,상세표[반영 기관],"서울병원"))</f>
        <v/>
      </c>
      <c r="O635" s="20">
        <f>IF($X635="","",SUMIFS(상세표[07~18시],상세표[사번키],INDEX(합계표[사번키],$X635),상세표[반영월],대상월키,상세표[반영 기관],"서울병원"))</f>
        <v/>
      </c>
      <c r="P635" s="20">
        <f>IF($X635="","",SUMIFS(상세표[18~22시],상세표[사번키],INDEX(합계표[사번키],$X635),상세표[반영월],대상월키,상세표[반영 기관],"서울병원"))</f>
        <v/>
      </c>
      <c r="Q635" s="20">
        <f>IF($X635="","",SUMIFS(상세표[22~06시],상세표[사번키],INDEX(합계표[사번키],$X635),상세표[반영월],대상월키,상세표[반영 기관],"서울병원"))</f>
        <v/>
      </c>
      <c r="R635" s="20">
        <f>IF($X635="","",SUM($N635:$Q635))</f>
        <v/>
      </c>
      <c r="S635">
        <f>IF($X635="","",COUNTIFS(상세표[사번키],INDEX(합계표[사번키],$X635),상세표[반영월],대상월키,상세표[야간당직],1,상세표[야간 구분],"평일"))</f>
        <v/>
      </c>
      <c r="T635">
        <f>IF($X635="","",COUNTIFS(상세표[사번키],INDEX(합계표[사번키],$X635),상세표[반영월],대상월키,상세표[야간당직],1,상세표[야간 구분],"휴일"))</f>
        <v/>
      </c>
      <c r="U635">
        <f>IF($X635="","",COUNTIFS(상세표[사번키],INDEX(합계표[사번키],$X635),상세표[반영월],대상월키,상세표[야간당직],1,상세표[야간 구분],"평일",상세표[반영 기관],"서울병원"))</f>
        <v/>
      </c>
      <c r="V635">
        <f>IF($X635="","",COUNTIFS(상세표[사번키],INDEX(합계표[사번키],$X635),상세표[반영월],대상월키,상세표[야간당직],1,상세표[야간 구분],"휴일",상세표[반영 기관],"서울병원"))</f>
        <v/>
      </c>
      <c r="W635">
        <f>IF($X635="","",IF(ISNUMBER(MATCH(INDEX(합계표[사번키],$X635)&amp;"|"&amp;대상월키,월별근무지표[키],0)),"직접 입력",IF($L635="—","—","기관명단")))</f>
        <v/>
      </c>
      <c r="X635" s="4">
        <f>IFERROR(MATCH(630,합계표[판정순번],0),"")</f>
        <v/>
      </c>
    </row>
    <row r="636">
      <c r="A636">
        <f>IF($X636="","",INDEX(합계표[사번],$X636)&amp;"")</f>
        <v/>
      </c>
      <c r="B636">
        <f>IF($X636="","",INDEX(합계표[성명],$X636)&amp;"")</f>
        <v/>
      </c>
      <c r="C636">
        <f>IF($X636="","",INDEX(합계표[부서],$X636)&amp;"")</f>
        <v/>
      </c>
      <c r="D636">
        <f>IF($X636="","",INDEX(합계표[직위(요약)],$X636)&amp;"")</f>
        <v/>
      </c>
      <c r="E636">
        <f>IF($X636="","",INDEX(합계표[직급 공존],$X636)&amp;"")</f>
        <v/>
      </c>
      <c r="F636" s="20">
        <f>IF($X636="","",SUMIFS(합계표[시스템 합계],합계표[사번키],INDEX(합계표[사번키],$X636)))</f>
        <v/>
      </c>
      <c r="G636" s="20">
        <f>IF($X636="","",SUMIFS(상세표[기록 시간외],상세표[사번키],INDEX(합계표[사번키],$X636),상세표[기록월],대상월키))</f>
        <v/>
      </c>
      <c r="H636">
        <f>IF($X636="","",IF(ABS($F636-$G636)&lt;0.01,"일치","불일치(차이 "&amp;TEXT($G636-$F636,"0.00")&amp;")"))</f>
        <v/>
      </c>
      <c r="I636" s="20">
        <f>IF($X636="","",SUMIFS(상세표[기록 시간외],상세표[사번키],INDEX(합계표[사번키],$X636),상세표[기록월],대상월키,상세표[반영월],"&lt;&gt;"&amp;대상월키))</f>
        <v/>
      </c>
      <c r="J636" s="20">
        <f>IF($X636="","",SUMIFS(상세표[기록 시간외],상세표[사번키],INDEX(합계표[사번키],$X636),상세표[기록월],"&lt;&gt;"&amp;대상월키,상세표[반영월],대상월키))</f>
        <v/>
      </c>
      <c r="K636" s="20">
        <f>IF($X636="","",SUMIFS(상세표[기록 시간외],상세표[사번키],INDEX(합계표[사번키],$X636),상세표[반영월],대상월키))</f>
        <v/>
      </c>
      <c r="L636">
        <f>IF($X636="","",IFERROR(INDEX(월별근무지표[적용 급여병원],MATCH(INDEX(합계표[사번키],$X636)&amp;"|"&amp;대상월키,월별근무지표[키],0))&amp;"",IF(COUNTIF(기관표[사번키],INDEX(합계표[사번키],$X636))+COUNTIF(월별근무지표[사번키],INDEX(합계표[사번키],$X636))&gt;0,IFERROR(INDEX(기관표[급여지급병원(기준월)],MATCH(INDEX(합계표[사번키],$X636)&amp;"|"&amp;대상월키,기관표[키],0))&amp;"","—"),"—")))</f>
        <v/>
      </c>
      <c r="M636">
        <f>IF($X636="","",IF(NOT(COUNTIF(기관표[사번키],INDEX(합계표[사번키],$X636))+COUNTIF(월별근무지표[사번키],INDEX(합계표[사번키],$X636))&gt;0),"기관명단에 없음(다른 병원으로 발송)",IF($L636="서울병원","해당",IF(N($R636)&gt;0,"해당(말일 근무)",IF($L636="—","대상월 기관명단 없음(추가 필요)","비해당")))))</f>
        <v/>
      </c>
      <c r="N636" s="20">
        <f>IF($X636="","",SUMIFS(상세표[06~07시],상세표[사번키],INDEX(합계표[사번키],$X636),상세표[반영월],대상월키,상세표[반영 기관],"서울병원"))</f>
        <v/>
      </c>
      <c r="O636" s="20">
        <f>IF($X636="","",SUMIFS(상세표[07~18시],상세표[사번키],INDEX(합계표[사번키],$X636),상세표[반영월],대상월키,상세표[반영 기관],"서울병원"))</f>
        <v/>
      </c>
      <c r="P636" s="20">
        <f>IF($X636="","",SUMIFS(상세표[18~22시],상세표[사번키],INDEX(합계표[사번키],$X636),상세표[반영월],대상월키,상세표[반영 기관],"서울병원"))</f>
        <v/>
      </c>
      <c r="Q636" s="20">
        <f>IF($X636="","",SUMIFS(상세표[22~06시],상세표[사번키],INDEX(합계표[사번키],$X636),상세표[반영월],대상월키,상세표[반영 기관],"서울병원"))</f>
        <v/>
      </c>
      <c r="R636" s="20">
        <f>IF($X636="","",SUM($N636:$Q636))</f>
        <v/>
      </c>
      <c r="S636">
        <f>IF($X636="","",COUNTIFS(상세표[사번키],INDEX(합계표[사번키],$X636),상세표[반영월],대상월키,상세표[야간당직],1,상세표[야간 구분],"평일"))</f>
        <v/>
      </c>
      <c r="T636">
        <f>IF($X636="","",COUNTIFS(상세표[사번키],INDEX(합계표[사번키],$X636),상세표[반영월],대상월키,상세표[야간당직],1,상세표[야간 구분],"휴일"))</f>
        <v/>
      </c>
      <c r="U636">
        <f>IF($X636="","",COUNTIFS(상세표[사번키],INDEX(합계표[사번키],$X636),상세표[반영월],대상월키,상세표[야간당직],1,상세표[야간 구분],"평일",상세표[반영 기관],"서울병원"))</f>
        <v/>
      </c>
      <c r="V636">
        <f>IF($X636="","",COUNTIFS(상세표[사번키],INDEX(합계표[사번키],$X636),상세표[반영월],대상월키,상세표[야간당직],1,상세표[야간 구분],"휴일",상세표[반영 기관],"서울병원"))</f>
        <v/>
      </c>
      <c r="W636">
        <f>IF($X636="","",IF(ISNUMBER(MATCH(INDEX(합계표[사번키],$X636)&amp;"|"&amp;대상월키,월별근무지표[키],0)),"직접 입력",IF($L636="—","—","기관명단")))</f>
        <v/>
      </c>
      <c r="X636" s="4">
        <f>IFERROR(MATCH(631,합계표[판정순번],0),"")</f>
        <v/>
      </c>
    </row>
    <row r="637">
      <c r="A637">
        <f>IF($X637="","",INDEX(합계표[사번],$X637)&amp;"")</f>
        <v/>
      </c>
      <c r="B637">
        <f>IF($X637="","",INDEX(합계표[성명],$X637)&amp;"")</f>
        <v/>
      </c>
      <c r="C637">
        <f>IF($X637="","",INDEX(합계표[부서],$X637)&amp;"")</f>
        <v/>
      </c>
      <c r="D637">
        <f>IF($X637="","",INDEX(합계표[직위(요약)],$X637)&amp;"")</f>
        <v/>
      </c>
      <c r="E637">
        <f>IF($X637="","",INDEX(합계표[직급 공존],$X637)&amp;"")</f>
        <v/>
      </c>
      <c r="F637" s="20">
        <f>IF($X637="","",SUMIFS(합계표[시스템 합계],합계표[사번키],INDEX(합계표[사번키],$X637)))</f>
        <v/>
      </c>
      <c r="G637" s="20">
        <f>IF($X637="","",SUMIFS(상세표[기록 시간외],상세표[사번키],INDEX(합계표[사번키],$X637),상세표[기록월],대상월키))</f>
        <v/>
      </c>
      <c r="H637">
        <f>IF($X637="","",IF(ABS($F637-$G637)&lt;0.01,"일치","불일치(차이 "&amp;TEXT($G637-$F637,"0.00")&amp;")"))</f>
        <v/>
      </c>
      <c r="I637" s="20">
        <f>IF($X637="","",SUMIFS(상세표[기록 시간외],상세표[사번키],INDEX(합계표[사번키],$X637),상세표[기록월],대상월키,상세표[반영월],"&lt;&gt;"&amp;대상월키))</f>
        <v/>
      </c>
      <c r="J637" s="20">
        <f>IF($X637="","",SUMIFS(상세표[기록 시간외],상세표[사번키],INDEX(합계표[사번키],$X637),상세표[기록월],"&lt;&gt;"&amp;대상월키,상세표[반영월],대상월키))</f>
        <v/>
      </c>
      <c r="K637" s="20">
        <f>IF($X637="","",SUMIFS(상세표[기록 시간외],상세표[사번키],INDEX(합계표[사번키],$X637),상세표[반영월],대상월키))</f>
        <v/>
      </c>
      <c r="L637">
        <f>IF($X637="","",IFERROR(INDEX(월별근무지표[적용 급여병원],MATCH(INDEX(합계표[사번키],$X637)&amp;"|"&amp;대상월키,월별근무지표[키],0))&amp;"",IF(COUNTIF(기관표[사번키],INDEX(합계표[사번키],$X637))+COUNTIF(월별근무지표[사번키],INDEX(합계표[사번키],$X637))&gt;0,IFERROR(INDEX(기관표[급여지급병원(기준월)],MATCH(INDEX(합계표[사번키],$X637)&amp;"|"&amp;대상월키,기관표[키],0))&amp;"","—"),"—")))</f>
        <v/>
      </c>
      <c r="M637">
        <f>IF($X637="","",IF(NOT(COUNTIF(기관표[사번키],INDEX(합계표[사번키],$X637))+COUNTIF(월별근무지표[사번키],INDEX(합계표[사번키],$X637))&gt;0),"기관명단에 없음(다른 병원으로 발송)",IF($L637="서울병원","해당",IF(N($R637)&gt;0,"해당(말일 근무)",IF($L637="—","대상월 기관명단 없음(추가 필요)","비해당")))))</f>
        <v/>
      </c>
      <c r="N637" s="20">
        <f>IF($X637="","",SUMIFS(상세표[06~07시],상세표[사번키],INDEX(합계표[사번키],$X637),상세표[반영월],대상월키,상세표[반영 기관],"서울병원"))</f>
        <v/>
      </c>
      <c r="O637" s="20">
        <f>IF($X637="","",SUMIFS(상세표[07~18시],상세표[사번키],INDEX(합계표[사번키],$X637),상세표[반영월],대상월키,상세표[반영 기관],"서울병원"))</f>
        <v/>
      </c>
      <c r="P637" s="20">
        <f>IF($X637="","",SUMIFS(상세표[18~22시],상세표[사번키],INDEX(합계표[사번키],$X637),상세표[반영월],대상월키,상세표[반영 기관],"서울병원"))</f>
        <v/>
      </c>
      <c r="Q637" s="20">
        <f>IF($X637="","",SUMIFS(상세표[22~06시],상세표[사번키],INDEX(합계표[사번키],$X637),상세표[반영월],대상월키,상세표[반영 기관],"서울병원"))</f>
        <v/>
      </c>
      <c r="R637" s="20">
        <f>IF($X637="","",SUM($N637:$Q637))</f>
        <v/>
      </c>
      <c r="S637">
        <f>IF($X637="","",COUNTIFS(상세표[사번키],INDEX(합계표[사번키],$X637),상세표[반영월],대상월키,상세표[야간당직],1,상세표[야간 구분],"평일"))</f>
        <v/>
      </c>
      <c r="T637">
        <f>IF($X637="","",COUNTIFS(상세표[사번키],INDEX(합계표[사번키],$X637),상세표[반영월],대상월키,상세표[야간당직],1,상세표[야간 구분],"휴일"))</f>
        <v/>
      </c>
      <c r="U637">
        <f>IF($X637="","",COUNTIFS(상세표[사번키],INDEX(합계표[사번키],$X637),상세표[반영월],대상월키,상세표[야간당직],1,상세표[야간 구분],"평일",상세표[반영 기관],"서울병원"))</f>
        <v/>
      </c>
      <c r="V637">
        <f>IF($X637="","",COUNTIFS(상세표[사번키],INDEX(합계표[사번키],$X637),상세표[반영월],대상월키,상세표[야간당직],1,상세표[야간 구분],"휴일",상세표[반영 기관],"서울병원"))</f>
        <v/>
      </c>
      <c r="W637">
        <f>IF($X637="","",IF(ISNUMBER(MATCH(INDEX(합계표[사번키],$X637)&amp;"|"&amp;대상월키,월별근무지표[키],0)),"직접 입력",IF($L637="—","—","기관명단")))</f>
        <v/>
      </c>
      <c r="X637" s="4">
        <f>IFERROR(MATCH(632,합계표[판정순번],0),"")</f>
        <v/>
      </c>
    </row>
    <row r="638">
      <c r="A638">
        <f>IF($X638="","",INDEX(합계표[사번],$X638)&amp;"")</f>
        <v/>
      </c>
      <c r="B638">
        <f>IF($X638="","",INDEX(합계표[성명],$X638)&amp;"")</f>
        <v/>
      </c>
      <c r="C638">
        <f>IF($X638="","",INDEX(합계표[부서],$X638)&amp;"")</f>
        <v/>
      </c>
      <c r="D638">
        <f>IF($X638="","",INDEX(합계표[직위(요약)],$X638)&amp;"")</f>
        <v/>
      </c>
      <c r="E638">
        <f>IF($X638="","",INDEX(합계표[직급 공존],$X638)&amp;"")</f>
        <v/>
      </c>
      <c r="F638" s="20">
        <f>IF($X638="","",SUMIFS(합계표[시스템 합계],합계표[사번키],INDEX(합계표[사번키],$X638)))</f>
        <v/>
      </c>
      <c r="G638" s="20">
        <f>IF($X638="","",SUMIFS(상세표[기록 시간외],상세표[사번키],INDEX(합계표[사번키],$X638),상세표[기록월],대상월키))</f>
        <v/>
      </c>
      <c r="H638">
        <f>IF($X638="","",IF(ABS($F638-$G638)&lt;0.01,"일치","불일치(차이 "&amp;TEXT($G638-$F638,"0.00")&amp;")"))</f>
        <v/>
      </c>
      <c r="I638" s="20">
        <f>IF($X638="","",SUMIFS(상세표[기록 시간외],상세표[사번키],INDEX(합계표[사번키],$X638),상세표[기록월],대상월키,상세표[반영월],"&lt;&gt;"&amp;대상월키))</f>
        <v/>
      </c>
      <c r="J638" s="20">
        <f>IF($X638="","",SUMIFS(상세표[기록 시간외],상세표[사번키],INDEX(합계표[사번키],$X638),상세표[기록월],"&lt;&gt;"&amp;대상월키,상세표[반영월],대상월키))</f>
        <v/>
      </c>
      <c r="K638" s="20">
        <f>IF($X638="","",SUMIFS(상세표[기록 시간외],상세표[사번키],INDEX(합계표[사번키],$X638),상세표[반영월],대상월키))</f>
        <v/>
      </c>
      <c r="L638">
        <f>IF($X638="","",IFERROR(INDEX(월별근무지표[적용 급여병원],MATCH(INDEX(합계표[사번키],$X638)&amp;"|"&amp;대상월키,월별근무지표[키],0))&amp;"",IF(COUNTIF(기관표[사번키],INDEX(합계표[사번키],$X638))+COUNTIF(월별근무지표[사번키],INDEX(합계표[사번키],$X638))&gt;0,IFERROR(INDEX(기관표[급여지급병원(기준월)],MATCH(INDEX(합계표[사번키],$X638)&amp;"|"&amp;대상월키,기관표[키],0))&amp;"","—"),"—")))</f>
        <v/>
      </c>
      <c r="M638">
        <f>IF($X638="","",IF(NOT(COUNTIF(기관표[사번키],INDEX(합계표[사번키],$X638))+COUNTIF(월별근무지표[사번키],INDEX(합계표[사번키],$X638))&gt;0),"기관명단에 없음(다른 병원으로 발송)",IF($L638="서울병원","해당",IF(N($R638)&gt;0,"해당(말일 근무)",IF($L638="—","대상월 기관명단 없음(추가 필요)","비해당")))))</f>
        <v/>
      </c>
      <c r="N638" s="20">
        <f>IF($X638="","",SUMIFS(상세표[06~07시],상세표[사번키],INDEX(합계표[사번키],$X638),상세표[반영월],대상월키,상세표[반영 기관],"서울병원"))</f>
        <v/>
      </c>
      <c r="O638" s="20">
        <f>IF($X638="","",SUMIFS(상세표[07~18시],상세표[사번키],INDEX(합계표[사번키],$X638),상세표[반영월],대상월키,상세표[반영 기관],"서울병원"))</f>
        <v/>
      </c>
      <c r="P638" s="20">
        <f>IF($X638="","",SUMIFS(상세표[18~22시],상세표[사번키],INDEX(합계표[사번키],$X638),상세표[반영월],대상월키,상세표[반영 기관],"서울병원"))</f>
        <v/>
      </c>
      <c r="Q638" s="20">
        <f>IF($X638="","",SUMIFS(상세표[22~06시],상세표[사번키],INDEX(합계표[사번키],$X638),상세표[반영월],대상월키,상세표[반영 기관],"서울병원"))</f>
        <v/>
      </c>
      <c r="R638" s="20">
        <f>IF($X638="","",SUM($N638:$Q638))</f>
        <v/>
      </c>
      <c r="S638">
        <f>IF($X638="","",COUNTIFS(상세표[사번키],INDEX(합계표[사번키],$X638),상세표[반영월],대상월키,상세표[야간당직],1,상세표[야간 구분],"평일"))</f>
        <v/>
      </c>
      <c r="T638">
        <f>IF($X638="","",COUNTIFS(상세표[사번키],INDEX(합계표[사번키],$X638),상세표[반영월],대상월키,상세표[야간당직],1,상세표[야간 구분],"휴일"))</f>
        <v/>
      </c>
      <c r="U638">
        <f>IF($X638="","",COUNTIFS(상세표[사번키],INDEX(합계표[사번키],$X638),상세표[반영월],대상월키,상세표[야간당직],1,상세표[야간 구분],"평일",상세표[반영 기관],"서울병원"))</f>
        <v/>
      </c>
      <c r="V638">
        <f>IF($X638="","",COUNTIFS(상세표[사번키],INDEX(합계표[사번키],$X638),상세표[반영월],대상월키,상세표[야간당직],1,상세표[야간 구분],"휴일",상세표[반영 기관],"서울병원"))</f>
        <v/>
      </c>
      <c r="W638">
        <f>IF($X638="","",IF(ISNUMBER(MATCH(INDEX(합계표[사번키],$X638)&amp;"|"&amp;대상월키,월별근무지표[키],0)),"직접 입력",IF($L638="—","—","기관명단")))</f>
        <v/>
      </c>
      <c r="X638" s="4">
        <f>IFERROR(MATCH(633,합계표[판정순번],0),"")</f>
        <v/>
      </c>
    </row>
    <row r="639">
      <c r="A639">
        <f>IF($X639="","",INDEX(합계표[사번],$X639)&amp;"")</f>
        <v/>
      </c>
      <c r="B639">
        <f>IF($X639="","",INDEX(합계표[성명],$X639)&amp;"")</f>
        <v/>
      </c>
      <c r="C639">
        <f>IF($X639="","",INDEX(합계표[부서],$X639)&amp;"")</f>
        <v/>
      </c>
      <c r="D639">
        <f>IF($X639="","",INDEX(합계표[직위(요약)],$X639)&amp;"")</f>
        <v/>
      </c>
      <c r="E639">
        <f>IF($X639="","",INDEX(합계표[직급 공존],$X639)&amp;"")</f>
        <v/>
      </c>
      <c r="F639" s="20">
        <f>IF($X639="","",SUMIFS(합계표[시스템 합계],합계표[사번키],INDEX(합계표[사번키],$X639)))</f>
        <v/>
      </c>
      <c r="G639" s="20">
        <f>IF($X639="","",SUMIFS(상세표[기록 시간외],상세표[사번키],INDEX(합계표[사번키],$X639),상세표[기록월],대상월키))</f>
        <v/>
      </c>
      <c r="H639">
        <f>IF($X639="","",IF(ABS($F639-$G639)&lt;0.01,"일치","불일치(차이 "&amp;TEXT($G639-$F639,"0.00")&amp;")"))</f>
        <v/>
      </c>
      <c r="I639" s="20">
        <f>IF($X639="","",SUMIFS(상세표[기록 시간외],상세표[사번키],INDEX(합계표[사번키],$X639),상세표[기록월],대상월키,상세표[반영월],"&lt;&gt;"&amp;대상월키))</f>
        <v/>
      </c>
      <c r="J639" s="20">
        <f>IF($X639="","",SUMIFS(상세표[기록 시간외],상세표[사번키],INDEX(합계표[사번키],$X639),상세표[기록월],"&lt;&gt;"&amp;대상월키,상세표[반영월],대상월키))</f>
        <v/>
      </c>
      <c r="K639" s="20">
        <f>IF($X639="","",SUMIFS(상세표[기록 시간외],상세표[사번키],INDEX(합계표[사번키],$X639),상세표[반영월],대상월키))</f>
        <v/>
      </c>
      <c r="L639">
        <f>IF($X639="","",IFERROR(INDEX(월별근무지표[적용 급여병원],MATCH(INDEX(합계표[사번키],$X639)&amp;"|"&amp;대상월키,월별근무지표[키],0))&amp;"",IF(COUNTIF(기관표[사번키],INDEX(합계표[사번키],$X639))+COUNTIF(월별근무지표[사번키],INDEX(합계표[사번키],$X639))&gt;0,IFERROR(INDEX(기관표[급여지급병원(기준월)],MATCH(INDEX(합계표[사번키],$X639)&amp;"|"&amp;대상월키,기관표[키],0))&amp;"","—"),"—")))</f>
        <v/>
      </c>
      <c r="M639">
        <f>IF($X639="","",IF(NOT(COUNTIF(기관표[사번키],INDEX(합계표[사번키],$X639))+COUNTIF(월별근무지표[사번키],INDEX(합계표[사번키],$X639))&gt;0),"기관명단에 없음(다른 병원으로 발송)",IF($L639="서울병원","해당",IF(N($R639)&gt;0,"해당(말일 근무)",IF($L639="—","대상월 기관명단 없음(추가 필요)","비해당")))))</f>
        <v/>
      </c>
      <c r="N639" s="20">
        <f>IF($X639="","",SUMIFS(상세표[06~07시],상세표[사번키],INDEX(합계표[사번키],$X639),상세표[반영월],대상월키,상세표[반영 기관],"서울병원"))</f>
        <v/>
      </c>
      <c r="O639" s="20">
        <f>IF($X639="","",SUMIFS(상세표[07~18시],상세표[사번키],INDEX(합계표[사번키],$X639),상세표[반영월],대상월키,상세표[반영 기관],"서울병원"))</f>
        <v/>
      </c>
      <c r="P639" s="20">
        <f>IF($X639="","",SUMIFS(상세표[18~22시],상세표[사번키],INDEX(합계표[사번키],$X639),상세표[반영월],대상월키,상세표[반영 기관],"서울병원"))</f>
        <v/>
      </c>
      <c r="Q639" s="20">
        <f>IF($X639="","",SUMIFS(상세표[22~06시],상세표[사번키],INDEX(합계표[사번키],$X639),상세표[반영월],대상월키,상세표[반영 기관],"서울병원"))</f>
        <v/>
      </c>
      <c r="R639" s="20">
        <f>IF($X639="","",SUM($N639:$Q639))</f>
        <v/>
      </c>
      <c r="S639">
        <f>IF($X639="","",COUNTIFS(상세표[사번키],INDEX(합계표[사번키],$X639),상세표[반영월],대상월키,상세표[야간당직],1,상세표[야간 구분],"평일"))</f>
        <v/>
      </c>
      <c r="T639">
        <f>IF($X639="","",COUNTIFS(상세표[사번키],INDEX(합계표[사번키],$X639),상세표[반영월],대상월키,상세표[야간당직],1,상세표[야간 구분],"휴일"))</f>
        <v/>
      </c>
      <c r="U639">
        <f>IF($X639="","",COUNTIFS(상세표[사번키],INDEX(합계표[사번키],$X639),상세표[반영월],대상월키,상세표[야간당직],1,상세표[야간 구분],"평일",상세표[반영 기관],"서울병원"))</f>
        <v/>
      </c>
      <c r="V639">
        <f>IF($X639="","",COUNTIFS(상세표[사번키],INDEX(합계표[사번키],$X639),상세표[반영월],대상월키,상세표[야간당직],1,상세표[야간 구분],"휴일",상세표[반영 기관],"서울병원"))</f>
        <v/>
      </c>
      <c r="W639">
        <f>IF($X639="","",IF(ISNUMBER(MATCH(INDEX(합계표[사번키],$X639)&amp;"|"&amp;대상월키,월별근무지표[키],0)),"직접 입력",IF($L639="—","—","기관명단")))</f>
        <v/>
      </c>
      <c r="X639" s="4">
        <f>IFERROR(MATCH(634,합계표[판정순번],0),"")</f>
        <v/>
      </c>
    </row>
    <row r="640">
      <c r="A640">
        <f>IF($X640="","",INDEX(합계표[사번],$X640)&amp;"")</f>
        <v/>
      </c>
      <c r="B640">
        <f>IF($X640="","",INDEX(합계표[성명],$X640)&amp;"")</f>
        <v/>
      </c>
      <c r="C640">
        <f>IF($X640="","",INDEX(합계표[부서],$X640)&amp;"")</f>
        <v/>
      </c>
      <c r="D640">
        <f>IF($X640="","",INDEX(합계표[직위(요약)],$X640)&amp;"")</f>
        <v/>
      </c>
      <c r="E640">
        <f>IF($X640="","",INDEX(합계표[직급 공존],$X640)&amp;"")</f>
        <v/>
      </c>
      <c r="F640" s="20">
        <f>IF($X640="","",SUMIFS(합계표[시스템 합계],합계표[사번키],INDEX(합계표[사번키],$X640)))</f>
        <v/>
      </c>
      <c r="G640" s="20">
        <f>IF($X640="","",SUMIFS(상세표[기록 시간외],상세표[사번키],INDEX(합계표[사번키],$X640),상세표[기록월],대상월키))</f>
        <v/>
      </c>
      <c r="H640">
        <f>IF($X640="","",IF(ABS($F640-$G640)&lt;0.01,"일치","불일치(차이 "&amp;TEXT($G640-$F640,"0.00")&amp;")"))</f>
        <v/>
      </c>
      <c r="I640" s="20">
        <f>IF($X640="","",SUMIFS(상세표[기록 시간외],상세표[사번키],INDEX(합계표[사번키],$X640),상세표[기록월],대상월키,상세표[반영월],"&lt;&gt;"&amp;대상월키))</f>
        <v/>
      </c>
      <c r="J640" s="20">
        <f>IF($X640="","",SUMIFS(상세표[기록 시간외],상세표[사번키],INDEX(합계표[사번키],$X640),상세표[기록월],"&lt;&gt;"&amp;대상월키,상세표[반영월],대상월키))</f>
        <v/>
      </c>
      <c r="K640" s="20">
        <f>IF($X640="","",SUMIFS(상세표[기록 시간외],상세표[사번키],INDEX(합계표[사번키],$X640),상세표[반영월],대상월키))</f>
        <v/>
      </c>
      <c r="L640">
        <f>IF($X640="","",IFERROR(INDEX(월별근무지표[적용 급여병원],MATCH(INDEX(합계표[사번키],$X640)&amp;"|"&amp;대상월키,월별근무지표[키],0))&amp;"",IF(COUNTIF(기관표[사번키],INDEX(합계표[사번키],$X640))+COUNTIF(월별근무지표[사번키],INDEX(합계표[사번키],$X640))&gt;0,IFERROR(INDEX(기관표[급여지급병원(기준월)],MATCH(INDEX(합계표[사번키],$X640)&amp;"|"&amp;대상월키,기관표[키],0))&amp;"","—"),"—")))</f>
        <v/>
      </c>
      <c r="M640">
        <f>IF($X640="","",IF(NOT(COUNTIF(기관표[사번키],INDEX(합계표[사번키],$X640))+COUNTIF(월별근무지표[사번키],INDEX(합계표[사번키],$X640))&gt;0),"기관명단에 없음(다른 병원으로 발송)",IF($L640="서울병원","해당",IF(N($R640)&gt;0,"해당(말일 근무)",IF($L640="—","대상월 기관명단 없음(추가 필요)","비해당")))))</f>
        <v/>
      </c>
      <c r="N640" s="20">
        <f>IF($X640="","",SUMIFS(상세표[06~07시],상세표[사번키],INDEX(합계표[사번키],$X640),상세표[반영월],대상월키,상세표[반영 기관],"서울병원"))</f>
        <v/>
      </c>
      <c r="O640" s="20">
        <f>IF($X640="","",SUMIFS(상세표[07~18시],상세표[사번키],INDEX(합계표[사번키],$X640),상세표[반영월],대상월키,상세표[반영 기관],"서울병원"))</f>
        <v/>
      </c>
      <c r="P640" s="20">
        <f>IF($X640="","",SUMIFS(상세표[18~22시],상세표[사번키],INDEX(합계표[사번키],$X640),상세표[반영월],대상월키,상세표[반영 기관],"서울병원"))</f>
        <v/>
      </c>
      <c r="Q640" s="20">
        <f>IF($X640="","",SUMIFS(상세표[22~06시],상세표[사번키],INDEX(합계표[사번키],$X640),상세표[반영월],대상월키,상세표[반영 기관],"서울병원"))</f>
        <v/>
      </c>
      <c r="R640" s="20">
        <f>IF($X640="","",SUM($N640:$Q640))</f>
        <v/>
      </c>
      <c r="S640">
        <f>IF($X640="","",COUNTIFS(상세표[사번키],INDEX(합계표[사번키],$X640),상세표[반영월],대상월키,상세표[야간당직],1,상세표[야간 구분],"평일"))</f>
        <v/>
      </c>
      <c r="T640">
        <f>IF($X640="","",COUNTIFS(상세표[사번키],INDEX(합계표[사번키],$X640),상세표[반영월],대상월키,상세표[야간당직],1,상세표[야간 구분],"휴일"))</f>
        <v/>
      </c>
      <c r="U640">
        <f>IF($X640="","",COUNTIFS(상세표[사번키],INDEX(합계표[사번키],$X640),상세표[반영월],대상월키,상세표[야간당직],1,상세표[야간 구분],"평일",상세표[반영 기관],"서울병원"))</f>
        <v/>
      </c>
      <c r="V640">
        <f>IF($X640="","",COUNTIFS(상세표[사번키],INDEX(합계표[사번키],$X640),상세표[반영월],대상월키,상세표[야간당직],1,상세표[야간 구분],"휴일",상세표[반영 기관],"서울병원"))</f>
        <v/>
      </c>
      <c r="W640">
        <f>IF($X640="","",IF(ISNUMBER(MATCH(INDEX(합계표[사번키],$X640)&amp;"|"&amp;대상월키,월별근무지표[키],0)),"직접 입력",IF($L640="—","—","기관명단")))</f>
        <v/>
      </c>
      <c r="X640" s="4">
        <f>IFERROR(MATCH(635,합계표[판정순번],0),"")</f>
        <v/>
      </c>
    </row>
    <row r="641">
      <c r="A641">
        <f>IF($X641="","",INDEX(합계표[사번],$X641)&amp;"")</f>
        <v/>
      </c>
      <c r="B641">
        <f>IF($X641="","",INDEX(합계표[성명],$X641)&amp;"")</f>
        <v/>
      </c>
      <c r="C641">
        <f>IF($X641="","",INDEX(합계표[부서],$X641)&amp;"")</f>
        <v/>
      </c>
      <c r="D641">
        <f>IF($X641="","",INDEX(합계표[직위(요약)],$X641)&amp;"")</f>
        <v/>
      </c>
      <c r="E641">
        <f>IF($X641="","",INDEX(합계표[직급 공존],$X641)&amp;"")</f>
        <v/>
      </c>
      <c r="F641" s="20">
        <f>IF($X641="","",SUMIFS(합계표[시스템 합계],합계표[사번키],INDEX(합계표[사번키],$X641)))</f>
        <v/>
      </c>
      <c r="G641" s="20">
        <f>IF($X641="","",SUMIFS(상세표[기록 시간외],상세표[사번키],INDEX(합계표[사번키],$X641),상세표[기록월],대상월키))</f>
        <v/>
      </c>
      <c r="H641">
        <f>IF($X641="","",IF(ABS($F641-$G641)&lt;0.01,"일치","불일치(차이 "&amp;TEXT($G641-$F641,"0.00")&amp;")"))</f>
        <v/>
      </c>
      <c r="I641" s="20">
        <f>IF($X641="","",SUMIFS(상세표[기록 시간외],상세표[사번키],INDEX(합계표[사번키],$X641),상세표[기록월],대상월키,상세표[반영월],"&lt;&gt;"&amp;대상월키))</f>
        <v/>
      </c>
      <c r="J641" s="20">
        <f>IF($X641="","",SUMIFS(상세표[기록 시간외],상세표[사번키],INDEX(합계표[사번키],$X641),상세표[기록월],"&lt;&gt;"&amp;대상월키,상세표[반영월],대상월키))</f>
        <v/>
      </c>
      <c r="K641" s="20">
        <f>IF($X641="","",SUMIFS(상세표[기록 시간외],상세표[사번키],INDEX(합계표[사번키],$X641),상세표[반영월],대상월키))</f>
        <v/>
      </c>
      <c r="L641">
        <f>IF($X641="","",IFERROR(INDEX(월별근무지표[적용 급여병원],MATCH(INDEX(합계표[사번키],$X641)&amp;"|"&amp;대상월키,월별근무지표[키],0))&amp;"",IF(COUNTIF(기관표[사번키],INDEX(합계표[사번키],$X641))+COUNTIF(월별근무지표[사번키],INDEX(합계표[사번키],$X641))&gt;0,IFERROR(INDEX(기관표[급여지급병원(기준월)],MATCH(INDEX(합계표[사번키],$X641)&amp;"|"&amp;대상월키,기관표[키],0))&amp;"","—"),"—")))</f>
        <v/>
      </c>
      <c r="M641">
        <f>IF($X641="","",IF(NOT(COUNTIF(기관표[사번키],INDEX(합계표[사번키],$X641))+COUNTIF(월별근무지표[사번키],INDEX(합계표[사번키],$X641))&gt;0),"기관명단에 없음(다른 병원으로 발송)",IF($L641="서울병원","해당",IF(N($R641)&gt;0,"해당(말일 근무)",IF($L641="—","대상월 기관명단 없음(추가 필요)","비해당")))))</f>
        <v/>
      </c>
      <c r="N641" s="20">
        <f>IF($X641="","",SUMIFS(상세표[06~07시],상세표[사번키],INDEX(합계표[사번키],$X641),상세표[반영월],대상월키,상세표[반영 기관],"서울병원"))</f>
        <v/>
      </c>
      <c r="O641" s="20">
        <f>IF($X641="","",SUMIFS(상세표[07~18시],상세표[사번키],INDEX(합계표[사번키],$X641),상세표[반영월],대상월키,상세표[반영 기관],"서울병원"))</f>
        <v/>
      </c>
      <c r="P641" s="20">
        <f>IF($X641="","",SUMIFS(상세표[18~22시],상세표[사번키],INDEX(합계표[사번키],$X641),상세표[반영월],대상월키,상세표[반영 기관],"서울병원"))</f>
        <v/>
      </c>
      <c r="Q641" s="20">
        <f>IF($X641="","",SUMIFS(상세표[22~06시],상세표[사번키],INDEX(합계표[사번키],$X641),상세표[반영월],대상월키,상세표[반영 기관],"서울병원"))</f>
        <v/>
      </c>
      <c r="R641" s="20">
        <f>IF($X641="","",SUM($N641:$Q641))</f>
        <v/>
      </c>
      <c r="S641">
        <f>IF($X641="","",COUNTIFS(상세표[사번키],INDEX(합계표[사번키],$X641),상세표[반영월],대상월키,상세표[야간당직],1,상세표[야간 구분],"평일"))</f>
        <v/>
      </c>
      <c r="T641">
        <f>IF($X641="","",COUNTIFS(상세표[사번키],INDEX(합계표[사번키],$X641),상세표[반영월],대상월키,상세표[야간당직],1,상세표[야간 구분],"휴일"))</f>
        <v/>
      </c>
      <c r="U641">
        <f>IF($X641="","",COUNTIFS(상세표[사번키],INDEX(합계표[사번키],$X641),상세표[반영월],대상월키,상세표[야간당직],1,상세표[야간 구분],"평일",상세표[반영 기관],"서울병원"))</f>
        <v/>
      </c>
      <c r="V641">
        <f>IF($X641="","",COUNTIFS(상세표[사번키],INDEX(합계표[사번키],$X641),상세표[반영월],대상월키,상세표[야간당직],1,상세표[야간 구분],"휴일",상세표[반영 기관],"서울병원"))</f>
        <v/>
      </c>
      <c r="W641">
        <f>IF($X641="","",IF(ISNUMBER(MATCH(INDEX(합계표[사번키],$X641)&amp;"|"&amp;대상월키,월별근무지표[키],0)),"직접 입력",IF($L641="—","—","기관명단")))</f>
        <v/>
      </c>
      <c r="X641" s="4">
        <f>IFERROR(MATCH(636,합계표[판정순번],0),"")</f>
        <v/>
      </c>
    </row>
    <row r="642">
      <c r="A642">
        <f>IF($X642="","",INDEX(합계표[사번],$X642)&amp;"")</f>
        <v/>
      </c>
      <c r="B642">
        <f>IF($X642="","",INDEX(합계표[성명],$X642)&amp;"")</f>
        <v/>
      </c>
      <c r="C642">
        <f>IF($X642="","",INDEX(합계표[부서],$X642)&amp;"")</f>
        <v/>
      </c>
      <c r="D642">
        <f>IF($X642="","",INDEX(합계표[직위(요약)],$X642)&amp;"")</f>
        <v/>
      </c>
      <c r="E642">
        <f>IF($X642="","",INDEX(합계표[직급 공존],$X642)&amp;"")</f>
        <v/>
      </c>
      <c r="F642" s="20">
        <f>IF($X642="","",SUMIFS(합계표[시스템 합계],합계표[사번키],INDEX(합계표[사번키],$X642)))</f>
        <v/>
      </c>
      <c r="G642" s="20">
        <f>IF($X642="","",SUMIFS(상세표[기록 시간외],상세표[사번키],INDEX(합계표[사번키],$X642),상세표[기록월],대상월키))</f>
        <v/>
      </c>
      <c r="H642">
        <f>IF($X642="","",IF(ABS($F642-$G642)&lt;0.01,"일치","불일치(차이 "&amp;TEXT($G642-$F642,"0.00")&amp;")"))</f>
        <v/>
      </c>
      <c r="I642" s="20">
        <f>IF($X642="","",SUMIFS(상세표[기록 시간외],상세표[사번키],INDEX(합계표[사번키],$X642),상세표[기록월],대상월키,상세표[반영월],"&lt;&gt;"&amp;대상월키))</f>
        <v/>
      </c>
      <c r="J642" s="20">
        <f>IF($X642="","",SUMIFS(상세표[기록 시간외],상세표[사번키],INDEX(합계표[사번키],$X642),상세표[기록월],"&lt;&gt;"&amp;대상월키,상세표[반영월],대상월키))</f>
        <v/>
      </c>
      <c r="K642" s="20">
        <f>IF($X642="","",SUMIFS(상세표[기록 시간외],상세표[사번키],INDEX(합계표[사번키],$X642),상세표[반영월],대상월키))</f>
        <v/>
      </c>
      <c r="L642">
        <f>IF($X642="","",IFERROR(INDEX(월별근무지표[적용 급여병원],MATCH(INDEX(합계표[사번키],$X642)&amp;"|"&amp;대상월키,월별근무지표[키],0))&amp;"",IF(COUNTIF(기관표[사번키],INDEX(합계표[사번키],$X642))+COUNTIF(월별근무지표[사번키],INDEX(합계표[사번키],$X642))&gt;0,IFERROR(INDEX(기관표[급여지급병원(기준월)],MATCH(INDEX(합계표[사번키],$X642)&amp;"|"&amp;대상월키,기관표[키],0))&amp;"","—"),"—")))</f>
        <v/>
      </c>
      <c r="M642">
        <f>IF($X642="","",IF(NOT(COUNTIF(기관표[사번키],INDEX(합계표[사번키],$X642))+COUNTIF(월별근무지표[사번키],INDEX(합계표[사번키],$X642))&gt;0),"기관명단에 없음(다른 병원으로 발송)",IF($L642="서울병원","해당",IF(N($R642)&gt;0,"해당(말일 근무)",IF($L642="—","대상월 기관명단 없음(추가 필요)","비해당")))))</f>
        <v/>
      </c>
      <c r="N642" s="20">
        <f>IF($X642="","",SUMIFS(상세표[06~07시],상세표[사번키],INDEX(합계표[사번키],$X642),상세표[반영월],대상월키,상세표[반영 기관],"서울병원"))</f>
        <v/>
      </c>
      <c r="O642" s="20">
        <f>IF($X642="","",SUMIFS(상세표[07~18시],상세표[사번키],INDEX(합계표[사번키],$X642),상세표[반영월],대상월키,상세표[반영 기관],"서울병원"))</f>
        <v/>
      </c>
      <c r="P642" s="20">
        <f>IF($X642="","",SUMIFS(상세표[18~22시],상세표[사번키],INDEX(합계표[사번키],$X642),상세표[반영월],대상월키,상세표[반영 기관],"서울병원"))</f>
        <v/>
      </c>
      <c r="Q642" s="20">
        <f>IF($X642="","",SUMIFS(상세표[22~06시],상세표[사번키],INDEX(합계표[사번키],$X642),상세표[반영월],대상월키,상세표[반영 기관],"서울병원"))</f>
        <v/>
      </c>
      <c r="R642" s="20">
        <f>IF($X642="","",SUM($N642:$Q642))</f>
        <v/>
      </c>
      <c r="S642">
        <f>IF($X642="","",COUNTIFS(상세표[사번키],INDEX(합계표[사번키],$X642),상세표[반영월],대상월키,상세표[야간당직],1,상세표[야간 구분],"평일"))</f>
        <v/>
      </c>
      <c r="T642">
        <f>IF($X642="","",COUNTIFS(상세표[사번키],INDEX(합계표[사번키],$X642),상세표[반영월],대상월키,상세표[야간당직],1,상세표[야간 구분],"휴일"))</f>
        <v/>
      </c>
      <c r="U642">
        <f>IF($X642="","",COUNTIFS(상세표[사번키],INDEX(합계표[사번키],$X642),상세표[반영월],대상월키,상세표[야간당직],1,상세표[야간 구분],"평일",상세표[반영 기관],"서울병원"))</f>
        <v/>
      </c>
      <c r="V642">
        <f>IF($X642="","",COUNTIFS(상세표[사번키],INDEX(합계표[사번키],$X642),상세표[반영월],대상월키,상세표[야간당직],1,상세표[야간 구분],"휴일",상세표[반영 기관],"서울병원"))</f>
        <v/>
      </c>
      <c r="W642">
        <f>IF($X642="","",IF(ISNUMBER(MATCH(INDEX(합계표[사번키],$X642)&amp;"|"&amp;대상월키,월별근무지표[키],0)),"직접 입력",IF($L642="—","—","기관명단")))</f>
        <v/>
      </c>
      <c r="X642" s="4">
        <f>IFERROR(MATCH(637,합계표[판정순번],0),"")</f>
        <v/>
      </c>
    </row>
    <row r="643">
      <c r="A643">
        <f>IF($X643="","",INDEX(합계표[사번],$X643)&amp;"")</f>
        <v/>
      </c>
      <c r="B643">
        <f>IF($X643="","",INDEX(합계표[성명],$X643)&amp;"")</f>
        <v/>
      </c>
      <c r="C643">
        <f>IF($X643="","",INDEX(합계표[부서],$X643)&amp;"")</f>
        <v/>
      </c>
      <c r="D643">
        <f>IF($X643="","",INDEX(합계표[직위(요약)],$X643)&amp;"")</f>
        <v/>
      </c>
      <c r="E643">
        <f>IF($X643="","",INDEX(합계표[직급 공존],$X643)&amp;"")</f>
        <v/>
      </c>
      <c r="F643" s="20">
        <f>IF($X643="","",SUMIFS(합계표[시스템 합계],합계표[사번키],INDEX(합계표[사번키],$X643)))</f>
        <v/>
      </c>
      <c r="G643" s="20">
        <f>IF($X643="","",SUMIFS(상세표[기록 시간외],상세표[사번키],INDEX(합계표[사번키],$X643),상세표[기록월],대상월키))</f>
        <v/>
      </c>
      <c r="H643">
        <f>IF($X643="","",IF(ABS($F643-$G643)&lt;0.01,"일치","불일치(차이 "&amp;TEXT($G643-$F643,"0.00")&amp;")"))</f>
        <v/>
      </c>
      <c r="I643" s="20">
        <f>IF($X643="","",SUMIFS(상세표[기록 시간외],상세표[사번키],INDEX(합계표[사번키],$X643),상세표[기록월],대상월키,상세표[반영월],"&lt;&gt;"&amp;대상월키))</f>
        <v/>
      </c>
      <c r="J643" s="20">
        <f>IF($X643="","",SUMIFS(상세표[기록 시간외],상세표[사번키],INDEX(합계표[사번키],$X643),상세표[기록월],"&lt;&gt;"&amp;대상월키,상세표[반영월],대상월키))</f>
        <v/>
      </c>
      <c r="K643" s="20">
        <f>IF($X643="","",SUMIFS(상세표[기록 시간외],상세표[사번키],INDEX(합계표[사번키],$X643),상세표[반영월],대상월키))</f>
        <v/>
      </c>
      <c r="L643">
        <f>IF($X643="","",IFERROR(INDEX(월별근무지표[적용 급여병원],MATCH(INDEX(합계표[사번키],$X643)&amp;"|"&amp;대상월키,월별근무지표[키],0))&amp;"",IF(COUNTIF(기관표[사번키],INDEX(합계표[사번키],$X643))+COUNTIF(월별근무지표[사번키],INDEX(합계표[사번키],$X643))&gt;0,IFERROR(INDEX(기관표[급여지급병원(기준월)],MATCH(INDEX(합계표[사번키],$X643)&amp;"|"&amp;대상월키,기관표[키],0))&amp;"","—"),"—")))</f>
        <v/>
      </c>
      <c r="M643">
        <f>IF($X643="","",IF(NOT(COUNTIF(기관표[사번키],INDEX(합계표[사번키],$X643))+COUNTIF(월별근무지표[사번키],INDEX(합계표[사번키],$X643))&gt;0),"기관명단에 없음(다른 병원으로 발송)",IF($L643="서울병원","해당",IF(N($R643)&gt;0,"해당(말일 근무)",IF($L643="—","대상월 기관명단 없음(추가 필요)","비해당")))))</f>
        <v/>
      </c>
      <c r="N643" s="20">
        <f>IF($X643="","",SUMIFS(상세표[06~07시],상세표[사번키],INDEX(합계표[사번키],$X643),상세표[반영월],대상월키,상세표[반영 기관],"서울병원"))</f>
        <v/>
      </c>
      <c r="O643" s="20">
        <f>IF($X643="","",SUMIFS(상세표[07~18시],상세표[사번키],INDEX(합계표[사번키],$X643),상세표[반영월],대상월키,상세표[반영 기관],"서울병원"))</f>
        <v/>
      </c>
      <c r="P643" s="20">
        <f>IF($X643="","",SUMIFS(상세표[18~22시],상세표[사번키],INDEX(합계표[사번키],$X643),상세표[반영월],대상월키,상세표[반영 기관],"서울병원"))</f>
        <v/>
      </c>
      <c r="Q643" s="20">
        <f>IF($X643="","",SUMIFS(상세표[22~06시],상세표[사번키],INDEX(합계표[사번키],$X643),상세표[반영월],대상월키,상세표[반영 기관],"서울병원"))</f>
        <v/>
      </c>
      <c r="R643" s="20">
        <f>IF($X643="","",SUM($N643:$Q643))</f>
        <v/>
      </c>
      <c r="S643">
        <f>IF($X643="","",COUNTIFS(상세표[사번키],INDEX(합계표[사번키],$X643),상세표[반영월],대상월키,상세표[야간당직],1,상세표[야간 구분],"평일"))</f>
        <v/>
      </c>
      <c r="T643">
        <f>IF($X643="","",COUNTIFS(상세표[사번키],INDEX(합계표[사번키],$X643),상세표[반영월],대상월키,상세표[야간당직],1,상세표[야간 구분],"휴일"))</f>
        <v/>
      </c>
      <c r="U643">
        <f>IF($X643="","",COUNTIFS(상세표[사번키],INDEX(합계표[사번키],$X643),상세표[반영월],대상월키,상세표[야간당직],1,상세표[야간 구분],"평일",상세표[반영 기관],"서울병원"))</f>
        <v/>
      </c>
      <c r="V643">
        <f>IF($X643="","",COUNTIFS(상세표[사번키],INDEX(합계표[사번키],$X643),상세표[반영월],대상월키,상세표[야간당직],1,상세표[야간 구분],"휴일",상세표[반영 기관],"서울병원"))</f>
        <v/>
      </c>
      <c r="W643">
        <f>IF($X643="","",IF(ISNUMBER(MATCH(INDEX(합계표[사번키],$X643)&amp;"|"&amp;대상월키,월별근무지표[키],0)),"직접 입력",IF($L643="—","—","기관명단")))</f>
        <v/>
      </c>
      <c r="X643" s="4">
        <f>IFERROR(MATCH(638,합계표[판정순번],0),"")</f>
        <v/>
      </c>
    </row>
    <row r="644">
      <c r="A644">
        <f>IF($X644="","",INDEX(합계표[사번],$X644)&amp;"")</f>
        <v/>
      </c>
      <c r="B644">
        <f>IF($X644="","",INDEX(합계표[성명],$X644)&amp;"")</f>
        <v/>
      </c>
      <c r="C644">
        <f>IF($X644="","",INDEX(합계표[부서],$X644)&amp;"")</f>
        <v/>
      </c>
      <c r="D644">
        <f>IF($X644="","",INDEX(합계표[직위(요약)],$X644)&amp;"")</f>
        <v/>
      </c>
      <c r="E644">
        <f>IF($X644="","",INDEX(합계표[직급 공존],$X644)&amp;"")</f>
        <v/>
      </c>
      <c r="F644" s="20">
        <f>IF($X644="","",SUMIFS(합계표[시스템 합계],합계표[사번키],INDEX(합계표[사번키],$X644)))</f>
        <v/>
      </c>
      <c r="G644" s="20">
        <f>IF($X644="","",SUMIFS(상세표[기록 시간외],상세표[사번키],INDEX(합계표[사번키],$X644),상세표[기록월],대상월키))</f>
        <v/>
      </c>
      <c r="H644">
        <f>IF($X644="","",IF(ABS($F644-$G644)&lt;0.01,"일치","불일치(차이 "&amp;TEXT($G644-$F644,"0.00")&amp;")"))</f>
        <v/>
      </c>
      <c r="I644" s="20">
        <f>IF($X644="","",SUMIFS(상세표[기록 시간외],상세표[사번키],INDEX(합계표[사번키],$X644),상세표[기록월],대상월키,상세표[반영월],"&lt;&gt;"&amp;대상월키))</f>
        <v/>
      </c>
      <c r="J644" s="20">
        <f>IF($X644="","",SUMIFS(상세표[기록 시간외],상세표[사번키],INDEX(합계표[사번키],$X644),상세표[기록월],"&lt;&gt;"&amp;대상월키,상세표[반영월],대상월키))</f>
        <v/>
      </c>
      <c r="K644" s="20">
        <f>IF($X644="","",SUMIFS(상세표[기록 시간외],상세표[사번키],INDEX(합계표[사번키],$X644),상세표[반영월],대상월키))</f>
        <v/>
      </c>
      <c r="L644">
        <f>IF($X644="","",IFERROR(INDEX(월별근무지표[적용 급여병원],MATCH(INDEX(합계표[사번키],$X644)&amp;"|"&amp;대상월키,월별근무지표[키],0))&amp;"",IF(COUNTIF(기관표[사번키],INDEX(합계표[사번키],$X644))+COUNTIF(월별근무지표[사번키],INDEX(합계표[사번키],$X644))&gt;0,IFERROR(INDEX(기관표[급여지급병원(기준월)],MATCH(INDEX(합계표[사번키],$X644)&amp;"|"&amp;대상월키,기관표[키],0))&amp;"","—"),"—")))</f>
        <v/>
      </c>
      <c r="M644">
        <f>IF($X644="","",IF(NOT(COUNTIF(기관표[사번키],INDEX(합계표[사번키],$X644))+COUNTIF(월별근무지표[사번키],INDEX(합계표[사번키],$X644))&gt;0),"기관명단에 없음(다른 병원으로 발송)",IF($L644="서울병원","해당",IF(N($R644)&gt;0,"해당(말일 근무)",IF($L644="—","대상월 기관명단 없음(추가 필요)","비해당")))))</f>
        <v/>
      </c>
      <c r="N644" s="20">
        <f>IF($X644="","",SUMIFS(상세표[06~07시],상세표[사번키],INDEX(합계표[사번키],$X644),상세표[반영월],대상월키,상세표[반영 기관],"서울병원"))</f>
        <v/>
      </c>
      <c r="O644" s="20">
        <f>IF($X644="","",SUMIFS(상세표[07~18시],상세표[사번키],INDEX(합계표[사번키],$X644),상세표[반영월],대상월키,상세표[반영 기관],"서울병원"))</f>
        <v/>
      </c>
      <c r="P644" s="20">
        <f>IF($X644="","",SUMIFS(상세표[18~22시],상세표[사번키],INDEX(합계표[사번키],$X644),상세표[반영월],대상월키,상세표[반영 기관],"서울병원"))</f>
        <v/>
      </c>
      <c r="Q644" s="20">
        <f>IF($X644="","",SUMIFS(상세표[22~06시],상세표[사번키],INDEX(합계표[사번키],$X644),상세표[반영월],대상월키,상세표[반영 기관],"서울병원"))</f>
        <v/>
      </c>
      <c r="R644" s="20">
        <f>IF($X644="","",SUM($N644:$Q644))</f>
        <v/>
      </c>
      <c r="S644">
        <f>IF($X644="","",COUNTIFS(상세표[사번키],INDEX(합계표[사번키],$X644),상세표[반영월],대상월키,상세표[야간당직],1,상세표[야간 구분],"평일"))</f>
        <v/>
      </c>
      <c r="T644">
        <f>IF($X644="","",COUNTIFS(상세표[사번키],INDEX(합계표[사번키],$X644),상세표[반영월],대상월키,상세표[야간당직],1,상세표[야간 구분],"휴일"))</f>
        <v/>
      </c>
      <c r="U644">
        <f>IF($X644="","",COUNTIFS(상세표[사번키],INDEX(합계표[사번키],$X644),상세표[반영월],대상월키,상세표[야간당직],1,상세표[야간 구분],"평일",상세표[반영 기관],"서울병원"))</f>
        <v/>
      </c>
      <c r="V644">
        <f>IF($X644="","",COUNTIFS(상세표[사번키],INDEX(합계표[사번키],$X644),상세표[반영월],대상월키,상세표[야간당직],1,상세표[야간 구분],"휴일",상세표[반영 기관],"서울병원"))</f>
        <v/>
      </c>
      <c r="W644">
        <f>IF($X644="","",IF(ISNUMBER(MATCH(INDEX(합계표[사번키],$X644)&amp;"|"&amp;대상월키,월별근무지표[키],0)),"직접 입력",IF($L644="—","—","기관명단")))</f>
        <v/>
      </c>
      <c r="X644" s="4">
        <f>IFERROR(MATCH(639,합계표[판정순번],0),"")</f>
        <v/>
      </c>
    </row>
    <row r="645">
      <c r="A645">
        <f>IF($X645="","",INDEX(합계표[사번],$X645)&amp;"")</f>
        <v/>
      </c>
      <c r="B645">
        <f>IF($X645="","",INDEX(합계표[성명],$X645)&amp;"")</f>
        <v/>
      </c>
      <c r="C645">
        <f>IF($X645="","",INDEX(합계표[부서],$X645)&amp;"")</f>
        <v/>
      </c>
      <c r="D645">
        <f>IF($X645="","",INDEX(합계표[직위(요약)],$X645)&amp;"")</f>
        <v/>
      </c>
      <c r="E645">
        <f>IF($X645="","",INDEX(합계표[직급 공존],$X645)&amp;"")</f>
        <v/>
      </c>
      <c r="F645" s="20">
        <f>IF($X645="","",SUMIFS(합계표[시스템 합계],합계표[사번키],INDEX(합계표[사번키],$X645)))</f>
        <v/>
      </c>
      <c r="G645" s="20">
        <f>IF($X645="","",SUMIFS(상세표[기록 시간외],상세표[사번키],INDEX(합계표[사번키],$X645),상세표[기록월],대상월키))</f>
        <v/>
      </c>
      <c r="H645">
        <f>IF($X645="","",IF(ABS($F645-$G645)&lt;0.01,"일치","불일치(차이 "&amp;TEXT($G645-$F645,"0.00")&amp;")"))</f>
        <v/>
      </c>
      <c r="I645" s="20">
        <f>IF($X645="","",SUMIFS(상세표[기록 시간외],상세표[사번키],INDEX(합계표[사번키],$X645),상세표[기록월],대상월키,상세표[반영월],"&lt;&gt;"&amp;대상월키))</f>
        <v/>
      </c>
      <c r="J645" s="20">
        <f>IF($X645="","",SUMIFS(상세표[기록 시간외],상세표[사번키],INDEX(합계표[사번키],$X645),상세표[기록월],"&lt;&gt;"&amp;대상월키,상세표[반영월],대상월키))</f>
        <v/>
      </c>
      <c r="K645" s="20">
        <f>IF($X645="","",SUMIFS(상세표[기록 시간외],상세표[사번키],INDEX(합계표[사번키],$X645),상세표[반영월],대상월키))</f>
        <v/>
      </c>
      <c r="L645">
        <f>IF($X645="","",IFERROR(INDEX(월별근무지표[적용 급여병원],MATCH(INDEX(합계표[사번키],$X645)&amp;"|"&amp;대상월키,월별근무지표[키],0))&amp;"",IF(COUNTIF(기관표[사번키],INDEX(합계표[사번키],$X645))+COUNTIF(월별근무지표[사번키],INDEX(합계표[사번키],$X645))&gt;0,IFERROR(INDEX(기관표[급여지급병원(기준월)],MATCH(INDEX(합계표[사번키],$X645)&amp;"|"&amp;대상월키,기관표[키],0))&amp;"","—"),"—")))</f>
        <v/>
      </c>
      <c r="M645">
        <f>IF($X645="","",IF(NOT(COUNTIF(기관표[사번키],INDEX(합계표[사번키],$X645))+COUNTIF(월별근무지표[사번키],INDEX(합계표[사번키],$X645))&gt;0),"기관명단에 없음(다른 병원으로 발송)",IF($L645="서울병원","해당",IF(N($R645)&gt;0,"해당(말일 근무)",IF($L645="—","대상월 기관명단 없음(추가 필요)","비해당")))))</f>
        <v/>
      </c>
      <c r="N645" s="20">
        <f>IF($X645="","",SUMIFS(상세표[06~07시],상세표[사번키],INDEX(합계표[사번키],$X645),상세표[반영월],대상월키,상세표[반영 기관],"서울병원"))</f>
        <v/>
      </c>
      <c r="O645" s="20">
        <f>IF($X645="","",SUMIFS(상세표[07~18시],상세표[사번키],INDEX(합계표[사번키],$X645),상세표[반영월],대상월키,상세표[반영 기관],"서울병원"))</f>
        <v/>
      </c>
      <c r="P645" s="20">
        <f>IF($X645="","",SUMIFS(상세표[18~22시],상세표[사번키],INDEX(합계표[사번키],$X645),상세표[반영월],대상월키,상세표[반영 기관],"서울병원"))</f>
        <v/>
      </c>
      <c r="Q645" s="20">
        <f>IF($X645="","",SUMIFS(상세표[22~06시],상세표[사번키],INDEX(합계표[사번키],$X645),상세표[반영월],대상월키,상세표[반영 기관],"서울병원"))</f>
        <v/>
      </c>
      <c r="R645" s="20">
        <f>IF($X645="","",SUM($N645:$Q645))</f>
        <v/>
      </c>
      <c r="S645">
        <f>IF($X645="","",COUNTIFS(상세표[사번키],INDEX(합계표[사번키],$X645),상세표[반영월],대상월키,상세표[야간당직],1,상세표[야간 구분],"평일"))</f>
        <v/>
      </c>
      <c r="T645">
        <f>IF($X645="","",COUNTIFS(상세표[사번키],INDEX(합계표[사번키],$X645),상세표[반영월],대상월키,상세표[야간당직],1,상세표[야간 구분],"휴일"))</f>
        <v/>
      </c>
      <c r="U645">
        <f>IF($X645="","",COUNTIFS(상세표[사번키],INDEX(합계표[사번키],$X645),상세표[반영월],대상월키,상세표[야간당직],1,상세표[야간 구분],"평일",상세표[반영 기관],"서울병원"))</f>
        <v/>
      </c>
      <c r="V645">
        <f>IF($X645="","",COUNTIFS(상세표[사번키],INDEX(합계표[사번키],$X645),상세표[반영월],대상월키,상세표[야간당직],1,상세표[야간 구분],"휴일",상세표[반영 기관],"서울병원"))</f>
        <v/>
      </c>
      <c r="W645">
        <f>IF($X645="","",IF(ISNUMBER(MATCH(INDEX(합계표[사번키],$X645)&amp;"|"&amp;대상월키,월별근무지표[키],0)),"직접 입력",IF($L645="—","—","기관명단")))</f>
        <v/>
      </c>
      <c r="X645" s="4">
        <f>IFERROR(MATCH(640,합계표[판정순번],0),"")</f>
        <v/>
      </c>
    </row>
    <row r="646">
      <c r="A646">
        <f>IF($X646="","",INDEX(합계표[사번],$X646)&amp;"")</f>
        <v/>
      </c>
      <c r="B646">
        <f>IF($X646="","",INDEX(합계표[성명],$X646)&amp;"")</f>
        <v/>
      </c>
      <c r="C646">
        <f>IF($X646="","",INDEX(합계표[부서],$X646)&amp;"")</f>
        <v/>
      </c>
      <c r="D646">
        <f>IF($X646="","",INDEX(합계표[직위(요약)],$X646)&amp;"")</f>
        <v/>
      </c>
      <c r="E646">
        <f>IF($X646="","",INDEX(합계표[직급 공존],$X646)&amp;"")</f>
        <v/>
      </c>
      <c r="F646" s="20">
        <f>IF($X646="","",SUMIFS(합계표[시스템 합계],합계표[사번키],INDEX(합계표[사번키],$X646)))</f>
        <v/>
      </c>
      <c r="G646" s="20">
        <f>IF($X646="","",SUMIFS(상세표[기록 시간외],상세표[사번키],INDEX(합계표[사번키],$X646),상세표[기록월],대상월키))</f>
        <v/>
      </c>
      <c r="H646">
        <f>IF($X646="","",IF(ABS($F646-$G646)&lt;0.01,"일치","불일치(차이 "&amp;TEXT($G646-$F646,"0.00")&amp;")"))</f>
        <v/>
      </c>
      <c r="I646" s="20">
        <f>IF($X646="","",SUMIFS(상세표[기록 시간외],상세표[사번키],INDEX(합계표[사번키],$X646),상세표[기록월],대상월키,상세표[반영월],"&lt;&gt;"&amp;대상월키))</f>
        <v/>
      </c>
      <c r="J646" s="20">
        <f>IF($X646="","",SUMIFS(상세표[기록 시간외],상세표[사번키],INDEX(합계표[사번키],$X646),상세표[기록월],"&lt;&gt;"&amp;대상월키,상세표[반영월],대상월키))</f>
        <v/>
      </c>
      <c r="K646" s="20">
        <f>IF($X646="","",SUMIFS(상세표[기록 시간외],상세표[사번키],INDEX(합계표[사번키],$X646),상세표[반영월],대상월키))</f>
        <v/>
      </c>
      <c r="L646">
        <f>IF($X646="","",IFERROR(INDEX(월별근무지표[적용 급여병원],MATCH(INDEX(합계표[사번키],$X646)&amp;"|"&amp;대상월키,월별근무지표[키],0))&amp;"",IF(COUNTIF(기관표[사번키],INDEX(합계표[사번키],$X646))+COUNTIF(월별근무지표[사번키],INDEX(합계표[사번키],$X646))&gt;0,IFERROR(INDEX(기관표[급여지급병원(기준월)],MATCH(INDEX(합계표[사번키],$X646)&amp;"|"&amp;대상월키,기관표[키],0))&amp;"","—"),"—")))</f>
        <v/>
      </c>
      <c r="M646">
        <f>IF($X646="","",IF(NOT(COUNTIF(기관표[사번키],INDEX(합계표[사번키],$X646))+COUNTIF(월별근무지표[사번키],INDEX(합계표[사번키],$X646))&gt;0),"기관명단에 없음(다른 병원으로 발송)",IF($L646="서울병원","해당",IF(N($R646)&gt;0,"해당(말일 근무)",IF($L646="—","대상월 기관명단 없음(추가 필요)","비해당")))))</f>
        <v/>
      </c>
      <c r="N646" s="20">
        <f>IF($X646="","",SUMIFS(상세표[06~07시],상세표[사번키],INDEX(합계표[사번키],$X646),상세표[반영월],대상월키,상세표[반영 기관],"서울병원"))</f>
        <v/>
      </c>
      <c r="O646" s="20">
        <f>IF($X646="","",SUMIFS(상세표[07~18시],상세표[사번키],INDEX(합계표[사번키],$X646),상세표[반영월],대상월키,상세표[반영 기관],"서울병원"))</f>
        <v/>
      </c>
      <c r="P646" s="20">
        <f>IF($X646="","",SUMIFS(상세표[18~22시],상세표[사번키],INDEX(합계표[사번키],$X646),상세표[반영월],대상월키,상세표[반영 기관],"서울병원"))</f>
        <v/>
      </c>
      <c r="Q646" s="20">
        <f>IF($X646="","",SUMIFS(상세표[22~06시],상세표[사번키],INDEX(합계표[사번키],$X646),상세표[반영월],대상월키,상세표[반영 기관],"서울병원"))</f>
        <v/>
      </c>
      <c r="R646" s="20">
        <f>IF($X646="","",SUM($N646:$Q646))</f>
        <v/>
      </c>
      <c r="S646">
        <f>IF($X646="","",COUNTIFS(상세표[사번키],INDEX(합계표[사번키],$X646),상세표[반영월],대상월키,상세표[야간당직],1,상세표[야간 구분],"평일"))</f>
        <v/>
      </c>
      <c r="T646">
        <f>IF($X646="","",COUNTIFS(상세표[사번키],INDEX(합계표[사번키],$X646),상세표[반영월],대상월키,상세표[야간당직],1,상세표[야간 구분],"휴일"))</f>
        <v/>
      </c>
      <c r="U646">
        <f>IF($X646="","",COUNTIFS(상세표[사번키],INDEX(합계표[사번키],$X646),상세표[반영월],대상월키,상세표[야간당직],1,상세표[야간 구분],"평일",상세표[반영 기관],"서울병원"))</f>
        <v/>
      </c>
      <c r="V646">
        <f>IF($X646="","",COUNTIFS(상세표[사번키],INDEX(합계표[사번키],$X646),상세표[반영월],대상월키,상세표[야간당직],1,상세표[야간 구분],"휴일",상세표[반영 기관],"서울병원"))</f>
        <v/>
      </c>
      <c r="W646">
        <f>IF($X646="","",IF(ISNUMBER(MATCH(INDEX(합계표[사번키],$X646)&amp;"|"&amp;대상월키,월별근무지표[키],0)),"직접 입력",IF($L646="—","—","기관명단")))</f>
        <v/>
      </c>
      <c r="X646" s="4">
        <f>IFERROR(MATCH(641,합계표[판정순번],0),"")</f>
        <v/>
      </c>
    </row>
    <row r="647">
      <c r="A647">
        <f>IF($X647="","",INDEX(합계표[사번],$X647)&amp;"")</f>
        <v/>
      </c>
      <c r="B647">
        <f>IF($X647="","",INDEX(합계표[성명],$X647)&amp;"")</f>
        <v/>
      </c>
      <c r="C647">
        <f>IF($X647="","",INDEX(합계표[부서],$X647)&amp;"")</f>
        <v/>
      </c>
      <c r="D647">
        <f>IF($X647="","",INDEX(합계표[직위(요약)],$X647)&amp;"")</f>
        <v/>
      </c>
      <c r="E647">
        <f>IF($X647="","",INDEX(합계표[직급 공존],$X647)&amp;"")</f>
        <v/>
      </c>
      <c r="F647" s="20">
        <f>IF($X647="","",SUMIFS(합계표[시스템 합계],합계표[사번키],INDEX(합계표[사번키],$X647)))</f>
        <v/>
      </c>
      <c r="G647" s="20">
        <f>IF($X647="","",SUMIFS(상세표[기록 시간외],상세표[사번키],INDEX(합계표[사번키],$X647),상세표[기록월],대상월키))</f>
        <v/>
      </c>
      <c r="H647">
        <f>IF($X647="","",IF(ABS($F647-$G647)&lt;0.01,"일치","불일치(차이 "&amp;TEXT($G647-$F647,"0.00")&amp;")"))</f>
        <v/>
      </c>
      <c r="I647" s="20">
        <f>IF($X647="","",SUMIFS(상세표[기록 시간외],상세표[사번키],INDEX(합계표[사번키],$X647),상세표[기록월],대상월키,상세표[반영월],"&lt;&gt;"&amp;대상월키))</f>
        <v/>
      </c>
      <c r="J647" s="20">
        <f>IF($X647="","",SUMIFS(상세표[기록 시간외],상세표[사번키],INDEX(합계표[사번키],$X647),상세표[기록월],"&lt;&gt;"&amp;대상월키,상세표[반영월],대상월키))</f>
        <v/>
      </c>
      <c r="K647" s="20">
        <f>IF($X647="","",SUMIFS(상세표[기록 시간외],상세표[사번키],INDEX(합계표[사번키],$X647),상세표[반영월],대상월키))</f>
        <v/>
      </c>
      <c r="L647">
        <f>IF($X647="","",IFERROR(INDEX(월별근무지표[적용 급여병원],MATCH(INDEX(합계표[사번키],$X647)&amp;"|"&amp;대상월키,월별근무지표[키],0))&amp;"",IF(COUNTIF(기관표[사번키],INDEX(합계표[사번키],$X647))+COUNTIF(월별근무지표[사번키],INDEX(합계표[사번키],$X647))&gt;0,IFERROR(INDEX(기관표[급여지급병원(기준월)],MATCH(INDEX(합계표[사번키],$X647)&amp;"|"&amp;대상월키,기관표[키],0))&amp;"","—"),"—")))</f>
        <v/>
      </c>
      <c r="M647">
        <f>IF($X647="","",IF(NOT(COUNTIF(기관표[사번키],INDEX(합계표[사번키],$X647))+COUNTIF(월별근무지표[사번키],INDEX(합계표[사번키],$X647))&gt;0),"기관명단에 없음(다른 병원으로 발송)",IF($L647="서울병원","해당",IF(N($R647)&gt;0,"해당(말일 근무)",IF($L647="—","대상월 기관명단 없음(추가 필요)","비해당")))))</f>
        <v/>
      </c>
      <c r="N647" s="20">
        <f>IF($X647="","",SUMIFS(상세표[06~07시],상세표[사번키],INDEX(합계표[사번키],$X647),상세표[반영월],대상월키,상세표[반영 기관],"서울병원"))</f>
        <v/>
      </c>
      <c r="O647" s="20">
        <f>IF($X647="","",SUMIFS(상세표[07~18시],상세표[사번키],INDEX(합계표[사번키],$X647),상세표[반영월],대상월키,상세표[반영 기관],"서울병원"))</f>
        <v/>
      </c>
      <c r="P647" s="20">
        <f>IF($X647="","",SUMIFS(상세표[18~22시],상세표[사번키],INDEX(합계표[사번키],$X647),상세표[반영월],대상월키,상세표[반영 기관],"서울병원"))</f>
        <v/>
      </c>
      <c r="Q647" s="20">
        <f>IF($X647="","",SUMIFS(상세표[22~06시],상세표[사번키],INDEX(합계표[사번키],$X647),상세표[반영월],대상월키,상세표[반영 기관],"서울병원"))</f>
        <v/>
      </c>
      <c r="R647" s="20">
        <f>IF($X647="","",SUM($N647:$Q647))</f>
        <v/>
      </c>
      <c r="S647">
        <f>IF($X647="","",COUNTIFS(상세표[사번키],INDEX(합계표[사번키],$X647),상세표[반영월],대상월키,상세표[야간당직],1,상세표[야간 구분],"평일"))</f>
        <v/>
      </c>
      <c r="T647">
        <f>IF($X647="","",COUNTIFS(상세표[사번키],INDEX(합계표[사번키],$X647),상세표[반영월],대상월키,상세표[야간당직],1,상세표[야간 구분],"휴일"))</f>
        <v/>
      </c>
      <c r="U647">
        <f>IF($X647="","",COUNTIFS(상세표[사번키],INDEX(합계표[사번키],$X647),상세표[반영월],대상월키,상세표[야간당직],1,상세표[야간 구분],"평일",상세표[반영 기관],"서울병원"))</f>
        <v/>
      </c>
      <c r="V647">
        <f>IF($X647="","",COUNTIFS(상세표[사번키],INDEX(합계표[사번키],$X647),상세표[반영월],대상월키,상세표[야간당직],1,상세표[야간 구분],"휴일",상세표[반영 기관],"서울병원"))</f>
        <v/>
      </c>
      <c r="W647">
        <f>IF($X647="","",IF(ISNUMBER(MATCH(INDEX(합계표[사번키],$X647)&amp;"|"&amp;대상월키,월별근무지표[키],0)),"직접 입력",IF($L647="—","—","기관명단")))</f>
        <v/>
      </c>
      <c r="X647" s="4">
        <f>IFERROR(MATCH(642,합계표[판정순번],0),"")</f>
        <v/>
      </c>
    </row>
    <row r="648">
      <c r="A648">
        <f>IF($X648="","",INDEX(합계표[사번],$X648)&amp;"")</f>
        <v/>
      </c>
      <c r="B648">
        <f>IF($X648="","",INDEX(합계표[성명],$X648)&amp;"")</f>
        <v/>
      </c>
      <c r="C648">
        <f>IF($X648="","",INDEX(합계표[부서],$X648)&amp;"")</f>
        <v/>
      </c>
      <c r="D648">
        <f>IF($X648="","",INDEX(합계표[직위(요약)],$X648)&amp;"")</f>
        <v/>
      </c>
      <c r="E648">
        <f>IF($X648="","",INDEX(합계표[직급 공존],$X648)&amp;"")</f>
        <v/>
      </c>
      <c r="F648" s="20">
        <f>IF($X648="","",SUMIFS(합계표[시스템 합계],합계표[사번키],INDEX(합계표[사번키],$X648)))</f>
        <v/>
      </c>
      <c r="G648" s="20">
        <f>IF($X648="","",SUMIFS(상세표[기록 시간외],상세표[사번키],INDEX(합계표[사번키],$X648),상세표[기록월],대상월키))</f>
        <v/>
      </c>
      <c r="H648">
        <f>IF($X648="","",IF(ABS($F648-$G648)&lt;0.01,"일치","불일치(차이 "&amp;TEXT($G648-$F648,"0.00")&amp;")"))</f>
        <v/>
      </c>
      <c r="I648" s="20">
        <f>IF($X648="","",SUMIFS(상세표[기록 시간외],상세표[사번키],INDEX(합계표[사번키],$X648),상세표[기록월],대상월키,상세표[반영월],"&lt;&gt;"&amp;대상월키))</f>
        <v/>
      </c>
      <c r="J648" s="20">
        <f>IF($X648="","",SUMIFS(상세표[기록 시간외],상세표[사번키],INDEX(합계표[사번키],$X648),상세표[기록월],"&lt;&gt;"&amp;대상월키,상세표[반영월],대상월키))</f>
        <v/>
      </c>
      <c r="K648" s="20">
        <f>IF($X648="","",SUMIFS(상세표[기록 시간외],상세표[사번키],INDEX(합계표[사번키],$X648),상세표[반영월],대상월키))</f>
        <v/>
      </c>
      <c r="L648">
        <f>IF($X648="","",IFERROR(INDEX(월별근무지표[적용 급여병원],MATCH(INDEX(합계표[사번키],$X648)&amp;"|"&amp;대상월키,월별근무지표[키],0))&amp;"",IF(COUNTIF(기관표[사번키],INDEX(합계표[사번키],$X648))+COUNTIF(월별근무지표[사번키],INDEX(합계표[사번키],$X648))&gt;0,IFERROR(INDEX(기관표[급여지급병원(기준월)],MATCH(INDEX(합계표[사번키],$X648)&amp;"|"&amp;대상월키,기관표[키],0))&amp;"","—"),"—")))</f>
        <v/>
      </c>
      <c r="M648">
        <f>IF($X648="","",IF(NOT(COUNTIF(기관표[사번키],INDEX(합계표[사번키],$X648))+COUNTIF(월별근무지표[사번키],INDEX(합계표[사번키],$X648))&gt;0),"기관명단에 없음(다른 병원으로 발송)",IF($L648="서울병원","해당",IF(N($R648)&gt;0,"해당(말일 근무)",IF($L648="—","대상월 기관명단 없음(추가 필요)","비해당")))))</f>
        <v/>
      </c>
      <c r="N648" s="20">
        <f>IF($X648="","",SUMIFS(상세표[06~07시],상세표[사번키],INDEX(합계표[사번키],$X648),상세표[반영월],대상월키,상세표[반영 기관],"서울병원"))</f>
        <v/>
      </c>
      <c r="O648" s="20">
        <f>IF($X648="","",SUMIFS(상세표[07~18시],상세표[사번키],INDEX(합계표[사번키],$X648),상세표[반영월],대상월키,상세표[반영 기관],"서울병원"))</f>
        <v/>
      </c>
      <c r="P648" s="20">
        <f>IF($X648="","",SUMIFS(상세표[18~22시],상세표[사번키],INDEX(합계표[사번키],$X648),상세표[반영월],대상월키,상세표[반영 기관],"서울병원"))</f>
        <v/>
      </c>
      <c r="Q648" s="20">
        <f>IF($X648="","",SUMIFS(상세표[22~06시],상세표[사번키],INDEX(합계표[사번키],$X648),상세표[반영월],대상월키,상세표[반영 기관],"서울병원"))</f>
        <v/>
      </c>
      <c r="R648" s="20">
        <f>IF($X648="","",SUM($N648:$Q648))</f>
        <v/>
      </c>
      <c r="S648">
        <f>IF($X648="","",COUNTIFS(상세표[사번키],INDEX(합계표[사번키],$X648),상세표[반영월],대상월키,상세표[야간당직],1,상세표[야간 구분],"평일"))</f>
        <v/>
      </c>
      <c r="T648">
        <f>IF($X648="","",COUNTIFS(상세표[사번키],INDEX(합계표[사번키],$X648),상세표[반영월],대상월키,상세표[야간당직],1,상세표[야간 구분],"휴일"))</f>
        <v/>
      </c>
      <c r="U648">
        <f>IF($X648="","",COUNTIFS(상세표[사번키],INDEX(합계표[사번키],$X648),상세표[반영월],대상월키,상세표[야간당직],1,상세표[야간 구분],"평일",상세표[반영 기관],"서울병원"))</f>
        <v/>
      </c>
      <c r="V648">
        <f>IF($X648="","",COUNTIFS(상세표[사번키],INDEX(합계표[사번키],$X648),상세표[반영월],대상월키,상세표[야간당직],1,상세표[야간 구분],"휴일",상세표[반영 기관],"서울병원"))</f>
        <v/>
      </c>
      <c r="W648">
        <f>IF($X648="","",IF(ISNUMBER(MATCH(INDEX(합계표[사번키],$X648)&amp;"|"&amp;대상월키,월별근무지표[키],0)),"직접 입력",IF($L648="—","—","기관명단")))</f>
        <v/>
      </c>
      <c r="X648" s="4">
        <f>IFERROR(MATCH(643,합계표[판정순번],0),"")</f>
        <v/>
      </c>
    </row>
    <row r="649">
      <c r="A649">
        <f>IF($X649="","",INDEX(합계표[사번],$X649)&amp;"")</f>
        <v/>
      </c>
      <c r="B649">
        <f>IF($X649="","",INDEX(합계표[성명],$X649)&amp;"")</f>
        <v/>
      </c>
      <c r="C649">
        <f>IF($X649="","",INDEX(합계표[부서],$X649)&amp;"")</f>
        <v/>
      </c>
      <c r="D649">
        <f>IF($X649="","",INDEX(합계표[직위(요약)],$X649)&amp;"")</f>
        <v/>
      </c>
      <c r="E649">
        <f>IF($X649="","",INDEX(합계표[직급 공존],$X649)&amp;"")</f>
        <v/>
      </c>
      <c r="F649" s="20">
        <f>IF($X649="","",SUMIFS(합계표[시스템 합계],합계표[사번키],INDEX(합계표[사번키],$X649)))</f>
        <v/>
      </c>
      <c r="G649" s="20">
        <f>IF($X649="","",SUMIFS(상세표[기록 시간외],상세표[사번키],INDEX(합계표[사번키],$X649),상세표[기록월],대상월키))</f>
        <v/>
      </c>
      <c r="H649">
        <f>IF($X649="","",IF(ABS($F649-$G649)&lt;0.01,"일치","불일치(차이 "&amp;TEXT($G649-$F649,"0.00")&amp;")"))</f>
        <v/>
      </c>
      <c r="I649" s="20">
        <f>IF($X649="","",SUMIFS(상세표[기록 시간외],상세표[사번키],INDEX(합계표[사번키],$X649),상세표[기록월],대상월키,상세표[반영월],"&lt;&gt;"&amp;대상월키))</f>
        <v/>
      </c>
      <c r="J649" s="20">
        <f>IF($X649="","",SUMIFS(상세표[기록 시간외],상세표[사번키],INDEX(합계표[사번키],$X649),상세표[기록월],"&lt;&gt;"&amp;대상월키,상세표[반영월],대상월키))</f>
        <v/>
      </c>
      <c r="K649" s="20">
        <f>IF($X649="","",SUMIFS(상세표[기록 시간외],상세표[사번키],INDEX(합계표[사번키],$X649),상세표[반영월],대상월키))</f>
        <v/>
      </c>
      <c r="L649">
        <f>IF($X649="","",IFERROR(INDEX(월별근무지표[적용 급여병원],MATCH(INDEX(합계표[사번키],$X649)&amp;"|"&amp;대상월키,월별근무지표[키],0))&amp;"",IF(COUNTIF(기관표[사번키],INDEX(합계표[사번키],$X649))+COUNTIF(월별근무지표[사번키],INDEX(합계표[사번키],$X649))&gt;0,IFERROR(INDEX(기관표[급여지급병원(기준월)],MATCH(INDEX(합계표[사번키],$X649)&amp;"|"&amp;대상월키,기관표[키],0))&amp;"","—"),"—")))</f>
        <v/>
      </c>
      <c r="M649">
        <f>IF($X649="","",IF(NOT(COUNTIF(기관표[사번키],INDEX(합계표[사번키],$X649))+COUNTIF(월별근무지표[사번키],INDEX(합계표[사번키],$X649))&gt;0),"기관명단에 없음(다른 병원으로 발송)",IF($L649="서울병원","해당",IF(N($R649)&gt;0,"해당(말일 근무)",IF($L649="—","대상월 기관명단 없음(추가 필요)","비해당")))))</f>
        <v/>
      </c>
      <c r="N649" s="20">
        <f>IF($X649="","",SUMIFS(상세표[06~07시],상세표[사번키],INDEX(합계표[사번키],$X649),상세표[반영월],대상월키,상세표[반영 기관],"서울병원"))</f>
        <v/>
      </c>
      <c r="O649" s="20">
        <f>IF($X649="","",SUMIFS(상세표[07~18시],상세표[사번키],INDEX(합계표[사번키],$X649),상세표[반영월],대상월키,상세표[반영 기관],"서울병원"))</f>
        <v/>
      </c>
      <c r="P649" s="20">
        <f>IF($X649="","",SUMIFS(상세표[18~22시],상세표[사번키],INDEX(합계표[사번키],$X649),상세표[반영월],대상월키,상세표[반영 기관],"서울병원"))</f>
        <v/>
      </c>
      <c r="Q649" s="20">
        <f>IF($X649="","",SUMIFS(상세표[22~06시],상세표[사번키],INDEX(합계표[사번키],$X649),상세표[반영월],대상월키,상세표[반영 기관],"서울병원"))</f>
        <v/>
      </c>
      <c r="R649" s="20">
        <f>IF($X649="","",SUM($N649:$Q649))</f>
        <v/>
      </c>
      <c r="S649">
        <f>IF($X649="","",COUNTIFS(상세표[사번키],INDEX(합계표[사번키],$X649),상세표[반영월],대상월키,상세표[야간당직],1,상세표[야간 구분],"평일"))</f>
        <v/>
      </c>
      <c r="T649">
        <f>IF($X649="","",COUNTIFS(상세표[사번키],INDEX(합계표[사번키],$X649),상세표[반영월],대상월키,상세표[야간당직],1,상세표[야간 구분],"휴일"))</f>
        <v/>
      </c>
      <c r="U649">
        <f>IF($X649="","",COUNTIFS(상세표[사번키],INDEX(합계표[사번키],$X649),상세표[반영월],대상월키,상세표[야간당직],1,상세표[야간 구분],"평일",상세표[반영 기관],"서울병원"))</f>
        <v/>
      </c>
      <c r="V649">
        <f>IF($X649="","",COUNTIFS(상세표[사번키],INDEX(합계표[사번키],$X649),상세표[반영월],대상월키,상세표[야간당직],1,상세표[야간 구분],"휴일",상세표[반영 기관],"서울병원"))</f>
        <v/>
      </c>
      <c r="W649">
        <f>IF($X649="","",IF(ISNUMBER(MATCH(INDEX(합계표[사번키],$X649)&amp;"|"&amp;대상월키,월별근무지표[키],0)),"직접 입력",IF($L649="—","—","기관명단")))</f>
        <v/>
      </c>
      <c r="X649" s="4">
        <f>IFERROR(MATCH(644,합계표[판정순번],0),"")</f>
        <v/>
      </c>
    </row>
    <row r="650">
      <c r="A650">
        <f>IF($X650="","",INDEX(합계표[사번],$X650)&amp;"")</f>
        <v/>
      </c>
      <c r="B650">
        <f>IF($X650="","",INDEX(합계표[성명],$X650)&amp;"")</f>
        <v/>
      </c>
      <c r="C650">
        <f>IF($X650="","",INDEX(합계표[부서],$X650)&amp;"")</f>
        <v/>
      </c>
      <c r="D650">
        <f>IF($X650="","",INDEX(합계표[직위(요약)],$X650)&amp;"")</f>
        <v/>
      </c>
      <c r="E650">
        <f>IF($X650="","",INDEX(합계표[직급 공존],$X650)&amp;"")</f>
        <v/>
      </c>
      <c r="F650" s="20">
        <f>IF($X650="","",SUMIFS(합계표[시스템 합계],합계표[사번키],INDEX(합계표[사번키],$X650)))</f>
        <v/>
      </c>
      <c r="G650" s="20">
        <f>IF($X650="","",SUMIFS(상세표[기록 시간외],상세표[사번키],INDEX(합계표[사번키],$X650),상세표[기록월],대상월키))</f>
        <v/>
      </c>
      <c r="H650">
        <f>IF($X650="","",IF(ABS($F650-$G650)&lt;0.01,"일치","불일치(차이 "&amp;TEXT($G650-$F650,"0.00")&amp;")"))</f>
        <v/>
      </c>
      <c r="I650" s="20">
        <f>IF($X650="","",SUMIFS(상세표[기록 시간외],상세표[사번키],INDEX(합계표[사번키],$X650),상세표[기록월],대상월키,상세표[반영월],"&lt;&gt;"&amp;대상월키))</f>
        <v/>
      </c>
      <c r="J650" s="20">
        <f>IF($X650="","",SUMIFS(상세표[기록 시간외],상세표[사번키],INDEX(합계표[사번키],$X650),상세표[기록월],"&lt;&gt;"&amp;대상월키,상세표[반영월],대상월키))</f>
        <v/>
      </c>
      <c r="K650" s="20">
        <f>IF($X650="","",SUMIFS(상세표[기록 시간외],상세표[사번키],INDEX(합계표[사번키],$X650),상세표[반영월],대상월키))</f>
        <v/>
      </c>
      <c r="L650">
        <f>IF($X650="","",IFERROR(INDEX(월별근무지표[적용 급여병원],MATCH(INDEX(합계표[사번키],$X650)&amp;"|"&amp;대상월키,월별근무지표[키],0))&amp;"",IF(COUNTIF(기관표[사번키],INDEX(합계표[사번키],$X650))+COUNTIF(월별근무지표[사번키],INDEX(합계표[사번키],$X650))&gt;0,IFERROR(INDEX(기관표[급여지급병원(기준월)],MATCH(INDEX(합계표[사번키],$X650)&amp;"|"&amp;대상월키,기관표[키],0))&amp;"","—"),"—")))</f>
        <v/>
      </c>
      <c r="M650">
        <f>IF($X650="","",IF(NOT(COUNTIF(기관표[사번키],INDEX(합계표[사번키],$X650))+COUNTIF(월별근무지표[사번키],INDEX(합계표[사번키],$X650))&gt;0),"기관명단에 없음(다른 병원으로 발송)",IF($L650="서울병원","해당",IF(N($R650)&gt;0,"해당(말일 근무)",IF($L650="—","대상월 기관명단 없음(추가 필요)","비해당")))))</f>
        <v/>
      </c>
      <c r="N650" s="20">
        <f>IF($X650="","",SUMIFS(상세표[06~07시],상세표[사번키],INDEX(합계표[사번키],$X650),상세표[반영월],대상월키,상세표[반영 기관],"서울병원"))</f>
        <v/>
      </c>
      <c r="O650" s="20">
        <f>IF($X650="","",SUMIFS(상세표[07~18시],상세표[사번키],INDEX(합계표[사번키],$X650),상세표[반영월],대상월키,상세표[반영 기관],"서울병원"))</f>
        <v/>
      </c>
      <c r="P650" s="20">
        <f>IF($X650="","",SUMIFS(상세표[18~22시],상세표[사번키],INDEX(합계표[사번키],$X650),상세표[반영월],대상월키,상세표[반영 기관],"서울병원"))</f>
        <v/>
      </c>
      <c r="Q650" s="20">
        <f>IF($X650="","",SUMIFS(상세표[22~06시],상세표[사번키],INDEX(합계표[사번키],$X650),상세표[반영월],대상월키,상세표[반영 기관],"서울병원"))</f>
        <v/>
      </c>
      <c r="R650" s="20">
        <f>IF($X650="","",SUM($N650:$Q650))</f>
        <v/>
      </c>
      <c r="S650">
        <f>IF($X650="","",COUNTIFS(상세표[사번키],INDEX(합계표[사번키],$X650),상세표[반영월],대상월키,상세표[야간당직],1,상세표[야간 구분],"평일"))</f>
        <v/>
      </c>
      <c r="T650">
        <f>IF($X650="","",COUNTIFS(상세표[사번키],INDEX(합계표[사번키],$X650),상세표[반영월],대상월키,상세표[야간당직],1,상세표[야간 구분],"휴일"))</f>
        <v/>
      </c>
      <c r="U650">
        <f>IF($X650="","",COUNTIFS(상세표[사번키],INDEX(합계표[사번키],$X650),상세표[반영월],대상월키,상세표[야간당직],1,상세표[야간 구분],"평일",상세표[반영 기관],"서울병원"))</f>
        <v/>
      </c>
      <c r="V650">
        <f>IF($X650="","",COUNTIFS(상세표[사번키],INDEX(합계표[사번키],$X650),상세표[반영월],대상월키,상세표[야간당직],1,상세표[야간 구분],"휴일",상세표[반영 기관],"서울병원"))</f>
        <v/>
      </c>
      <c r="W650">
        <f>IF($X650="","",IF(ISNUMBER(MATCH(INDEX(합계표[사번키],$X650)&amp;"|"&amp;대상월키,월별근무지표[키],0)),"직접 입력",IF($L650="—","—","기관명단")))</f>
        <v/>
      </c>
      <c r="X650" s="4">
        <f>IFERROR(MATCH(645,합계표[판정순번],0),"")</f>
        <v/>
      </c>
    </row>
    <row r="651">
      <c r="A651">
        <f>IF($X651="","",INDEX(합계표[사번],$X651)&amp;"")</f>
        <v/>
      </c>
      <c r="B651">
        <f>IF($X651="","",INDEX(합계표[성명],$X651)&amp;"")</f>
        <v/>
      </c>
      <c r="C651">
        <f>IF($X651="","",INDEX(합계표[부서],$X651)&amp;"")</f>
        <v/>
      </c>
      <c r="D651">
        <f>IF($X651="","",INDEX(합계표[직위(요약)],$X651)&amp;"")</f>
        <v/>
      </c>
      <c r="E651">
        <f>IF($X651="","",INDEX(합계표[직급 공존],$X651)&amp;"")</f>
        <v/>
      </c>
      <c r="F651" s="20">
        <f>IF($X651="","",SUMIFS(합계표[시스템 합계],합계표[사번키],INDEX(합계표[사번키],$X651)))</f>
        <v/>
      </c>
      <c r="G651" s="20">
        <f>IF($X651="","",SUMIFS(상세표[기록 시간외],상세표[사번키],INDEX(합계표[사번키],$X651),상세표[기록월],대상월키))</f>
        <v/>
      </c>
      <c r="H651">
        <f>IF($X651="","",IF(ABS($F651-$G651)&lt;0.01,"일치","불일치(차이 "&amp;TEXT($G651-$F651,"0.00")&amp;")"))</f>
        <v/>
      </c>
      <c r="I651" s="20">
        <f>IF($X651="","",SUMIFS(상세표[기록 시간외],상세표[사번키],INDEX(합계표[사번키],$X651),상세표[기록월],대상월키,상세표[반영월],"&lt;&gt;"&amp;대상월키))</f>
        <v/>
      </c>
      <c r="J651" s="20">
        <f>IF($X651="","",SUMIFS(상세표[기록 시간외],상세표[사번키],INDEX(합계표[사번키],$X651),상세표[기록월],"&lt;&gt;"&amp;대상월키,상세표[반영월],대상월키))</f>
        <v/>
      </c>
      <c r="K651" s="20">
        <f>IF($X651="","",SUMIFS(상세표[기록 시간외],상세표[사번키],INDEX(합계표[사번키],$X651),상세표[반영월],대상월키))</f>
        <v/>
      </c>
      <c r="L651">
        <f>IF($X651="","",IFERROR(INDEX(월별근무지표[적용 급여병원],MATCH(INDEX(합계표[사번키],$X651)&amp;"|"&amp;대상월키,월별근무지표[키],0))&amp;"",IF(COUNTIF(기관표[사번키],INDEX(합계표[사번키],$X651))+COUNTIF(월별근무지표[사번키],INDEX(합계표[사번키],$X651))&gt;0,IFERROR(INDEX(기관표[급여지급병원(기준월)],MATCH(INDEX(합계표[사번키],$X651)&amp;"|"&amp;대상월키,기관표[키],0))&amp;"","—"),"—")))</f>
        <v/>
      </c>
      <c r="M651">
        <f>IF($X651="","",IF(NOT(COUNTIF(기관표[사번키],INDEX(합계표[사번키],$X651))+COUNTIF(월별근무지표[사번키],INDEX(합계표[사번키],$X651))&gt;0),"기관명단에 없음(다른 병원으로 발송)",IF($L651="서울병원","해당",IF(N($R651)&gt;0,"해당(말일 근무)",IF($L651="—","대상월 기관명단 없음(추가 필요)","비해당")))))</f>
        <v/>
      </c>
      <c r="N651" s="20">
        <f>IF($X651="","",SUMIFS(상세표[06~07시],상세표[사번키],INDEX(합계표[사번키],$X651),상세표[반영월],대상월키,상세표[반영 기관],"서울병원"))</f>
        <v/>
      </c>
      <c r="O651" s="20">
        <f>IF($X651="","",SUMIFS(상세표[07~18시],상세표[사번키],INDEX(합계표[사번키],$X651),상세표[반영월],대상월키,상세표[반영 기관],"서울병원"))</f>
        <v/>
      </c>
      <c r="P651" s="20">
        <f>IF($X651="","",SUMIFS(상세표[18~22시],상세표[사번키],INDEX(합계표[사번키],$X651),상세표[반영월],대상월키,상세표[반영 기관],"서울병원"))</f>
        <v/>
      </c>
      <c r="Q651" s="20">
        <f>IF($X651="","",SUMIFS(상세표[22~06시],상세표[사번키],INDEX(합계표[사번키],$X651),상세표[반영월],대상월키,상세표[반영 기관],"서울병원"))</f>
        <v/>
      </c>
      <c r="R651" s="20">
        <f>IF($X651="","",SUM($N651:$Q651))</f>
        <v/>
      </c>
      <c r="S651">
        <f>IF($X651="","",COUNTIFS(상세표[사번키],INDEX(합계표[사번키],$X651),상세표[반영월],대상월키,상세표[야간당직],1,상세표[야간 구분],"평일"))</f>
        <v/>
      </c>
      <c r="T651">
        <f>IF($X651="","",COUNTIFS(상세표[사번키],INDEX(합계표[사번키],$X651),상세표[반영월],대상월키,상세표[야간당직],1,상세표[야간 구분],"휴일"))</f>
        <v/>
      </c>
      <c r="U651">
        <f>IF($X651="","",COUNTIFS(상세표[사번키],INDEX(합계표[사번키],$X651),상세표[반영월],대상월키,상세표[야간당직],1,상세표[야간 구분],"평일",상세표[반영 기관],"서울병원"))</f>
        <v/>
      </c>
      <c r="V651">
        <f>IF($X651="","",COUNTIFS(상세표[사번키],INDEX(합계표[사번키],$X651),상세표[반영월],대상월키,상세표[야간당직],1,상세표[야간 구분],"휴일",상세표[반영 기관],"서울병원"))</f>
        <v/>
      </c>
      <c r="W651">
        <f>IF($X651="","",IF(ISNUMBER(MATCH(INDEX(합계표[사번키],$X651)&amp;"|"&amp;대상월키,월별근무지표[키],0)),"직접 입력",IF($L651="—","—","기관명단")))</f>
        <v/>
      </c>
      <c r="X651" s="4">
        <f>IFERROR(MATCH(646,합계표[판정순번],0),"")</f>
        <v/>
      </c>
    </row>
    <row r="652">
      <c r="A652">
        <f>IF($X652="","",INDEX(합계표[사번],$X652)&amp;"")</f>
        <v/>
      </c>
      <c r="B652">
        <f>IF($X652="","",INDEX(합계표[성명],$X652)&amp;"")</f>
        <v/>
      </c>
      <c r="C652">
        <f>IF($X652="","",INDEX(합계표[부서],$X652)&amp;"")</f>
        <v/>
      </c>
      <c r="D652">
        <f>IF($X652="","",INDEX(합계표[직위(요약)],$X652)&amp;"")</f>
        <v/>
      </c>
      <c r="E652">
        <f>IF($X652="","",INDEX(합계표[직급 공존],$X652)&amp;"")</f>
        <v/>
      </c>
      <c r="F652" s="20">
        <f>IF($X652="","",SUMIFS(합계표[시스템 합계],합계표[사번키],INDEX(합계표[사번키],$X652)))</f>
        <v/>
      </c>
      <c r="G652" s="20">
        <f>IF($X652="","",SUMIFS(상세표[기록 시간외],상세표[사번키],INDEX(합계표[사번키],$X652),상세표[기록월],대상월키))</f>
        <v/>
      </c>
      <c r="H652">
        <f>IF($X652="","",IF(ABS($F652-$G652)&lt;0.01,"일치","불일치(차이 "&amp;TEXT($G652-$F652,"0.00")&amp;")"))</f>
        <v/>
      </c>
      <c r="I652" s="20">
        <f>IF($X652="","",SUMIFS(상세표[기록 시간외],상세표[사번키],INDEX(합계표[사번키],$X652),상세표[기록월],대상월키,상세표[반영월],"&lt;&gt;"&amp;대상월키))</f>
        <v/>
      </c>
      <c r="J652" s="20">
        <f>IF($X652="","",SUMIFS(상세표[기록 시간외],상세표[사번키],INDEX(합계표[사번키],$X652),상세표[기록월],"&lt;&gt;"&amp;대상월키,상세표[반영월],대상월키))</f>
        <v/>
      </c>
      <c r="K652" s="20">
        <f>IF($X652="","",SUMIFS(상세표[기록 시간외],상세표[사번키],INDEX(합계표[사번키],$X652),상세표[반영월],대상월키))</f>
        <v/>
      </c>
      <c r="L652">
        <f>IF($X652="","",IFERROR(INDEX(월별근무지표[적용 급여병원],MATCH(INDEX(합계표[사번키],$X652)&amp;"|"&amp;대상월키,월별근무지표[키],0))&amp;"",IF(COUNTIF(기관표[사번키],INDEX(합계표[사번키],$X652))+COUNTIF(월별근무지표[사번키],INDEX(합계표[사번키],$X652))&gt;0,IFERROR(INDEX(기관표[급여지급병원(기준월)],MATCH(INDEX(합계표[사번키],$X652)&amp;"|"&amp;대상월키,기관표[키],0))&amp;"","—"),"—")))</f>
        <v/>
      </c>
      <c r="M652">
        <f>IF($X652="","",IF(NOT(COUNTIF(기관표[사번키],INDEX(합계표[사번키],$X652))+COUNTIF(월별근무지표[사번키],INDEX(합계표[사번키],$X652))&gt;0),"기관명단에 없음(다른 병원으로 발송)",IF($L652="서울병원","해당",IF(N($R652)&gt;0,"해당(말일 근무)",IF($L652="—","대상월 기관명단 없음(추가 필요)","비해당")))))</f>
        <v/>
      </c>
      <c r="N652" s="20">
        <f>IF($X652="","",SUMIFS(상세표[06~07시],상세표[사번키],INDEX(합계표[사번키],$X652),상세표[반영월],대상월키,상세표[반영 기관],"서울병원"))</f>
        <v/>
      </c>
      <c r="O652" s="20">
        <f>IF($X652="","",SUMIFS(상세표[07~18시],상세표[사번키],INDEX(합계표[사번키],$X652),상세표[반영월],대상월키,상세표[반영 기관],"서울병원"))</f>
        <v/>
      </c>
      <c r="P652" s="20">
        <f>IF($X652="","",SUMIFS(상세표[18~22시],상세표[사번키],INDEX(합계표[사번키],$X652),상세표[반영월],대상월키,상세표[반영 기관],"서울병원"))</f>
        <v/>
      </c>
      <c r="Q652" s="20">
        <f>IF($X652="","",SUMIFS(상세표[22~06시],상세표[사번키],INDEX(합계표[사번키],$X652),상세표[반영월],대상월키,상세표[반영 기관],"서울병원"))</f>
        <v/>
      </c>
      <c r="R652" s="20">
        <f>IF($X652="","",SUM($N652:$Q652))</f>
        <v/>
      </c>
      <c r="S652">
        <f>IF($X652="","",COUNTIFS(상세표[사번키],INDEX(합계표[사번키],$X652),상세표[반영월],대상월키,상세표[야간당직],1,상세표[야간 구분],"평일"))</f>
        <v/>
      </c>
      <c r="T652">
        <f>IF($X652="","",COUNTIFS(상세표[사번키],INDEX(합계표[사번키],$X652),상세표[반영월],대상월키,상세표[야간당직],1,상세표[야간 구분],"휴일"))</f>
        <v/>
      </c>
      <c r="U652">
        <f>IF($X652="","",COUNTIFS(상세표[사번키],INDEX(합계표[사번키],$X652),상세표[반영월],대상월키,상세표[야간당직],1,상세표[야간 구분],"평일",상세표[반영 기관],"서울병원"))</f>
        <v/>
      </c>
      <c r="V652">
        <f>IF($X652="","",COUNTIFS(상세표[사번키],INDEX(합계표[사번키],$X652),상세표[반영월],대상월키,상세표[야간당직],1,상세표[야간 구분],"휴일",상세표[반영 기관],"서울병원"))</f>
        <v/>
      </c>
      <c r="W652">
        <f>IF($X652="","",IF(ISNUMBER(MATCH(INDEX(합계표[사번키],$X652)&amp;"|"&amp;대상월키,월별근무지표[키],0)),"직접 입력",IF($L652="—","—","기관명단")))</f>
        <v/>
      </c>
      <c r="X652" s="4">
        <f>IFERROR(MATCH(647,합계표[판정순번],0),"")</f>
        <v/>
      </c>
    </row>
    <row r="653">
      <c r="A653">
        <f>IF($X653="","",INDEX(합계표[사번],$X653)&amp;"")</f>
        <v/>
      </c>
      <c r="B653">
        <f>IF($X653="","",INDEX(합계표[성명],$X653)&amp;"")</f>
        <v/>
      </c>
      <c r="C653">
        <f>IF($X653="","",INDEX(합계표[부서],$X653)&amp;"")</f>
        <v/>
      </c>
      <c r="D653">
        <f>IF($X653="","",INDEX(합계표[직위(요약)],$X653)&amp;"")</f>
        <v/>
      </c>
      <c r="E653">
        <f>IF($X653="","",INDEX(합계표[직급 공존],$X653)&amp;"")</f>
        <v/>
      </c>
      <c r="F653" s="20">
        <f>IF($X653="","",SUMIFS(합계표[시스템 합계],합계표[사번키],INDEX(합계표[사번키],$X653)))</f>
        <v/>
      </c>
      <c r="G653" s="20">
        <f>IF($X653="","",SUMIFS(상세표[기록 시간외],상세표[사번키],INDEX(합계표[사번키],$X653),상세표[기록월],대상월키))</f>
        <v/>
      </c>
      <c r="H653">
        <f>IF($X653="","",IF(ABS($F653-$G653)&lt;0.01,"일치","불일치(차이 "&amp;TEXT($G653-$F653,"0.00")&amp;")"))</f>
        <v/>
      </c>
      <c r="I653" s="20">
        <f>IF($X653="","",SUMIFS(상세표[기록 시간외],상세표[사번키],INDEX(합계표[사번키],$X653),상세표[기록월],대상월키,상세표[반영월],"&lt;&gt;"&amp;대상월키))</f>
        <v/>
      </c>
      <c r="J653" s="20">
        <f>IF($X653="","",SUMIFS(상세표[기록 시간외],상세표[사번키],INDEX(합계표[사번키],$X653),상세표[기록월],"&lt;&gt;"&amp;대상월키,상세표[반영월],대상월키))</f>
        <v/>
      </c>
      <c r="K653" s="20">
        <f>IF($X653="","",SUMIFS(상세표[기록 시간외],상세표[사번키],INDEX(합계표[사번키],$X653),상세표[반영월],대상월키))</f>
        <v/>
      </c>
      <c r="L653">
        <f>IF($X653="","",IFERROR(INDEX(월별근무지표[적용 급여병원],MATCH(INDEX(합계표[사번키],$X653)&amp;"|"&amp;대상월키,월별근무지표[키],0))&amp;"",IF(COUNTIF(기관표[사번키],INDEX(합계표[사번키],$X653))+COUNTIF(월별근무지표[사번키],INDEX(합계표[사번키],$X653))&gt;0,IFERROR(INDEX(기관표[급여지급병원(기준월)],MATCH(INDEX(합계표[사번키],$X653)&amp;"|"&amp;대상월키,기관표[키],0))&amp;"","—"),"—")))</f>
        <v/>
      </c>
      <c r="M653">
        <f>IF($X653="","",IF(NOT(COUNTIF(기관표[사번키],INDEX(합계표[사번키],$X653))+COUNTIF(월별근무지표[사번키],INDEX(합계표[사번키],$X653))&gt;0),"기관명단에 없음(다른 병원으로 발송)",IF($L653="서울병원","해당",IF(N($R653)&gt;0,"해당(말일 근무)",IF($L653="—","대상월 기관명단 없음(추가 필요)","비해당")))))</f>
        <v/>
      </c>
      <c r="N653" s="20">
        <f>IF($X653="","",SUMIFS(상세표[06~07시],상세표[사번키],INDEX(합계표[사번키],$X653),상세표[반영월],대상월키,상세표[반영 기관],"서울병원"))</f>
        <v/>
      </c>
      <c r="O653" s="20">
        <f>IF($X653="","",SUMIFS(상세표[07~18시],상세표[사번키],INDEX(합계표[사번키],$X653),상세표[반영월],대상월키,상세표[반영 기관],"서울병원"))</f>
        <v/>
      </c>
      <c r="P653" s="20">
        <f>IF($X653="","",SUMIFS(상세표[18~22시],상세표[사번키],INDEX(합계표[사번키],$X653),상세표[반영월],대상월키,상세표[반영 기관],"서울병원"))</f>
        <v/>
      </c>
      <c r="Q653" s="20">
        <f>IF($X653="","",SUMIFS(상세표[22~06시],상세표[사번키],INDEX(합계표[사번키],$X653),상세표[반영월],대상월키,상세표[반영 기관],"서울병원"))</f>
        <v/>
      </c>
      <c r="R653" s="20">
        <f>IF($X653="","",SUM($N653:$Q653))</f>
        <v/>
      </c>
      <c r="S653">
        <f>IF($X653="","",COUNTIFS(상세표[사번키],INDEX(합계표[사번키],$X653),상세표[반영월],대상월키,상세표[야간당직],1,상세표[야간 구분],"평일"))</f>
        <v/>
      </c>
      <c r="T653">
        <f>IF($X653="","",COUNTIFS(상세표[사번키],INDEX(합계표[사번키],$X653),상세표[반영월],대상월키,상세표[야간당직],1,상세표[야간 구분],"휴일"))</f>
        <v/>
      </c>
      <c r="U653">
        <f>IF($X653="","",COUNTIFS(상세표[사번키],INDEX(합계표[사번키],$X653),상세표[반영월],대상월키,상세표[야간당직],1,상세표[야간 구분],"평일",상세표[반영 기관],"서울병원"))</f>
        <v/>
      </c>
      <c r="V653">
        <f>IF($X653="","",COUNTIFS(상세표[사번키],INDEX(합계표[사번키],$X653),상세표[반영월],대상월키,상세표[야간당직],1,상세표[야간 구분],"휴일",상세표[반영 기관],"서울병원"))</f>
        <v/>
      </c>
      <c r="W653">
        <f>IF($X653="","",IF(ISNUMBER(MATCH(INDEX(합계표[사번키],$X653)&amp;"|"&amp;대상월키,월별근무지표[키],0)),"직접 입력",IF($L653="—","—","기관명단")))</f>
        <v/>
      </c>
      <c r="X653" s="4">
        <f>IFERROR(MATCH(648,합계표[판정순번],0),"")</f>
        <v/>
      </c>
    </row>
    <row r="654">
      <c r="A654">
        <f>IF($X654="","",INDEX(합계표[사번],$X654)&amp;"")</f>
        <v/>
      </c>
      <c r="B654">
        <f>IF($X654="","",INDEX(합계표[성명],$X654)&amp;"")</f>
        <v/>
      </c>
      <c r="C654">
        <f>IF($X654="","",INDEX(합계표[부서],$X654)&amp;"")</f>
        <v/>
      </c>
      <c r="D654">
        <f>IF($X654="","",INDEX(합계표[직위(요약)],$X654)&amp;"")</f>
        <v/>
      </c>
      <c r="E654">
        <f>IF($X654="","",INDEX(합계표[직급 공존],$X654)&amp;"")</f>
        <v/>
      </c>
      <c r="F654" s="20">
        <f>IF($X654="","",SUMIFS(합계표[시스템 합계],합계표[사번키],INDEX(합계표[사번키],$X654)))</f>
        <v/>
      </c>
      <c r="G654" s="20">
        <f>IF($X654="","",SUMIFS(상세표[기록 시간외],상세표[사번키],INDEX(합계표[사번키],$X654),상세표[기록월],대상월키))</f>
        <v/>
      </c>
      <c r="H654">
        <f>IF($X654="","",IF(ABS($F654-$G654)&lt;0.01,"일치","불일치(차이 "&amp;TEXT($G654-$F654,"0.00")&amp;")"))</f>
        <v/>
      </c>
      <c r="I654" s="20">
        <f>IF($X654="","",SUMIFS(상세표[기록 시간외],상세표[사번키],INDEX(합계표[사번키],$X654),상세표[기록월],대상월키,상세표[반영월],"&lt;&gt;"&amp;대상월키))</f>
        <v/>
      </c>
      <c r="J654" s="20">
        <f>IF($X654="","",SUMIFS(상세표[기록 시간외],상세표[사번키],INDEX(합계표[사번키],$X654),상세표[기록월],"&lt;&gt;"&amp;대상월키,상세표[반영월],대상월키))</f>
        <v/>
      </c>
      <c r="K654" s="20">
        <f>IF($X654="","",SUMIFS(상세표[기록 시간외],상세표[사번키],INDEX(합계표[사번키],$X654),상세표[반영월],대상월키))</f>
        <v/>
      </c>
      <c r="L654">
        <f>IF($X654="","",IFERROR(INDEX(월별근무지표[적용 급여병원],MATCH(INDEX(합계표[사번키],$X654)&amp;"|"&amp;대상월키,월별근무지표[키],0))&amp;"",IF(COUNTIF(기관표[사번키],INDEX(합계표[사번키],$X654))+COUNTIF(월별근무지표[사번키],INDEX(합계표[사번키],$X654))&gt;0,IFERROR(INDEX(기관표[급여지급병원(기준월)],MATCH(INDEX(합계표[사번키],$X654)&amp;"|"&amp;대상월키,기관표[키],0))&amp;"","—"),"—")))</f>
        <v/>
      </c>
      <c r="M654">
        <f>IF($X654="","",IF(NOT(COUNTIF(기관표[사번키],INDEX(합계표[사번키],$X654))+COUNTIF(월별근무지표[사번키],INDEX(합계표[사번키],$X654))&gt;0),"기관명단에 없음(다른 병원으로 발송)",IF($L654="서울병원","해당",IF(N($R654)&gt;0,"해당(말일 근무)",IF($L654="—","대상월 기관명단 없음(추가 필요)","비해당")))))</f>
        <v/>
      </c>
      <c r="N654" s="20">
        <f>IF($X654="","",SUMIFS(상세표[06~07시],상세표[사번키],INDEX(합계표[사번키],$X654),상세표[반영월],대상월키,상세표[반영 기관],"서울병원"))</f>
        <v/>
      </c>
      <c r="O654" s="20">
        <f>IF($X654="","",SUMIFS(상세표[07~18시],상세표[사번키],INDEX(합계표[사번키],$X654),상세표[반영월],대상월키,상세표[반영 기관],"서울병원"))</f>
        <v/>
      </c>
      <c r="P654" s="20">
        <f>IF($X654="","",SUMIFS(상세표[18~22시],상세표[사번키],INDEX(합계표[사번키],$X654),상세표[반영월],대상월키,상세표[반영 기관],"서울병원"))</f>
        <v/>
      </c>
      <c r="Q654" s="20">
        <f>IF($X654="","",SUMIFS(상세표[22~06시],상세표[사번키],INDEX(합계표[사번키],$X654),상세표[반영월],대상월키,상세표[반영 기관],"서울병원"))</f>
        <v/>
      </c>
      <c r="R654" s="20">
        <f>IF($X654="","",SUM($N654:$Q654))</f>
        <v/>
      </c>
      <c r="S654">
        <f>IF($X654="","",COUNTIFS(상세표[사번키],INDEX(합계표[사번키],$X654),상세표[반영월],대상월키,상세표[야간당직],1,상세표[야간 구분],"평일"))</f>
        <v/>
      </c>
      <c r="T654">
        <f>IF($X654="","",COUNTIFS(상세표[사번키],INDEX(합계표[사번키],$X654),상세표[반영월],대상월키,상세표[야간당직],1,상세표[야간 구분],"휴일"))</f>
        <v/>
      </c>
      <c r="U654">
        <f>IF($X654="","",COUNTIFS(상세표[사번키],INDEX(합계표[사번키],$X654),상세표[반영월],대상월키,상세표[야간당직],1,상세표[야간 구분],"평일",상세표[반영 기관],"서울병원"))</f>
        <v/>
      </c>
      <c r="V654">
        <f>IF($X654="","",COUNTIFS(상세표[사번키],INDEX(합계표[사번키],$X654),상세표[반영월],대상월키,상세표[야간당직],1,상세표[야간 구분],"휴일",상세표[반영 기관],"서울병원"))</f>
        <v/>
      </c>
      <c r="W654">
        <f>IF($X654="","",IF(ISNUMBER(MATCH(INDEX(합계표[사번키],$X654)&amp;"|"&amp;대상월키,월별근무지표[키],0)),"직접 입력",IF($L654="—","—","기관명단")))</f>
        <v/>
      </c>
      <c r="X654" s="4">
        <f>IFERROR(MATCH(649,합계표[판정순번],0),"")</f>
        <v/>
      </c>
    </row>
    <row r="655">
      <c r="A655">
        <f>IF($X655="","",INDEX(합계표[사번],$X655)&amp;"")</f>
        <v/>
      </c>
      <c r="B655">
        <f>IF($X655="","",INDEX(합계표[성명],$X655)&amp;"")</f>
        <v/>
      </c>
      <c r="C655">
        <f>IF($X655="","",INDEX(합계표[부서],$X655)&amp;"")</f>
        <v/>
      </c>
      <c r="D655">
        <f>IF($X655="","",INDEX(합계표[직위(요약)],$X655)&amp;"")</f>
        <v/>
      </c>
      <c r="E655">
        <f>IF($X655="","",INDEX(합계표[직급 공존],$X655)&amp;"")</f>
        <v/>
      </c>
      <c r="F655" s="20">
        <f>IF($X655="","",SUMIFS(합계표[시스템 합계],합계표[사번키],INDEX(합계표[사번키],$X655)))</f>
        <v/>
      </c>
      <c r="G655" s="20">
        <f>IF($X655="","",SUMIFS(상세표[기록 시간외],상세표[사번키],INDEX(합계표[사번키],$X655),상세표[기록월],대상월키))</f>
        <v/>
      </c>
      <c r="H655">
        <f>IF($X655="","",IF(ABS($F655-$G655)&lt;0.01,"일치","불일치(차이 "&amp;TEXT($G655-$F655,"0.00")&amp;")"))</f>
        <v/>
      </c>
      <c r="I655" s="20">
        <f>IF($X655="","",SUMIFS(상세표[기록 시간외],상세표[사번키],INDEX(합계표[사번키],$X655),상세표[기록월],대상월키,상세표[반영월],"&lt;&gt;"&amp;대상월키))</f>
        <v/>
      </c>
      <c r="J655" s="20">
        <f>IF($X655="","",SUMIFS(상세표[기록 시간외],상세표[사번키],INDEX(합계표[사번키],$X655),상세표[기록월],"&lt;&gt;"&amp;대상월키,상세표[반영월],대상월키))</f>
        <v/>
      </c>
      <c r="K655" s="20">
        <f>IF($X655="","",SUMIFS(상세표[기록 시간외],상세표[사번키],INDEX(합계표[사번키],$X655),상세표[반영월],대상월키))</f>
        <v/>
      </c>
      <c r="L655">
        <f>IF($X655="","",IFERROR(INDEX(월별근무지표[적용 급여병원],MATCH(INDEX(합계표[사번키],$X655)&amp;"|"&amp;대상월키,월별근무지표[키],0))&amp;"",IF(COUNTIF(기관표[사번키],INDEX(합계표[사번키],$X655))+COUNTIF(월별근무지표[사번키],INDEX(합계표[사번키],$X655))&gt;0,IFERROR(INDEX(기관표[급여지급병원(기준월)],MATCH(INDEX(합계표[사번키],$X655)&amp;"|"&amp;대상월키,기관표[키],0))&amp;"","—"),"—")))</f>
        <v/>
      </c>
      <c r="M655">
        <f>IF($X655="","",IF(NOT(COUNTIF(기관표[사번키],INDEX(합계표[사번키],$X655))+COUNTIF(월별근무지표[사번키],INDEX(합계표[사번키],$X655))&gt;0),"기관명단에 없음(다른 병원으로 발송)",IF($L655="서울병원","해당",IF(N($R655)&gt;0,"해당(말일 근무)",IF($L655="—","대상월 기관명단 없음(추가 필요)","비해당")))))</f>
        <v/>
      </c>
      <c r="N655" s="20">
        <f>IF($X655="","",SUMIFS(상세표[06~07시],상세표[사번키],INDEX(합계표[사번키],$X655),상세표[반영월],대상월키,상세표[반영 기관],"서울병원"))</f>
        <v/>
      </c>
      <c r="O655" s="20">
        <f>IF($X655="","",SUMIFS(상세표[07~18시],상세표[사번키],INDEX(합계표[사번키],$X655),상세표[반영월],대상월키,상세표[반영 기관],"서울병원"))</f>
        <v/>
      </c>
      <c r="P655" s="20">
        <f>IF($X655="","",SUMIFS(상세표[18~22시],상세표[사번키],INDEX(합계표[사번키],$X655),상세표[반영월],대상월키,상세표[반영 기관],"서울병원"))</f>
        <v/>
      </c>
      <c r="Q655" s="20">
        <f>IF($X655="","",SUMIFS(상세표[22~06시],상세표[사번키],INDEX(합계표[사번키],$X655),상세표[반영월],대상월키,상세표[반영 기관],"서울병원"))</f>
        <v/>
      </c>
      <c r="R655" s="20">
        <f>IF($X655="","",SUM($N655:$Q655))</f>
        <v/>
      </c>
      <c r="S655">
        <f>IF($X655="","",COUNTIFS(상세표[사번키],INDEX(합계표[사번키],$X655),상세표[반영월],대상월키,상세표[야간당직],1,상세표[야간 구분],"평일"))</f>
        <v/>
      </c>
      <c r="T655">
        <f>IF($X655="","",COUNTIFS(상세표[사번키],INDEX(합계표[사번키],$X655),상세표[반영월],대상월키,상세표[야간당직],1,상세표[야간 구분],"휴일"))</f>
        <v/>
      </c>
      <c r="U655">
        <f>IF($X655="","",COUNTIFS(상세표[사번키],INDEX(합계표[사번키],$X655),상세표[반영월],대상월키,상세표[야간당직],1,상세표[야간 구분],"평일",상세표[반영 기관],"서울병원"))</f>
        <v/>
      </c>
      <c r="V655">
        <f>IF($X655="","",COUNTIFS(상세표[사번키],INDEX(합계표[사번키],$X655),상세표[반영월],대상월키,상세표[야간당직],1,상세표[야간 구분],"휴일",상세표[반영 기관],"서울병원"))</f>
        <v/>
      </c>
      <c r="W655">
        <f>IF($X655="","",IF(ISNUMBER(MATCH(INDEX(합계표[사번키],$X655)&amp;"|"&amp;대상월키,월별근무지표[키],0)),"직접 입력",IF($L655="—","—","기관명단")))</f>
        <v/>
      </c>
      <c r="X655" s="4">
        <f>IFERROR(MATCH(650,합계표[판정순번],0),"")</f>
        <v/>
      </c>
    </row>
    <row r="656">
      <c r="A656">
        <f>IF($X656="","",INDEX(합계표[사번],$X656)&amp;"")</f>
        <v/>
      </c>
      <c r="B656">
        <f>IF($X656="","",INDEX(합계표[성명],$X656)&amp;"")</f>
        <v/>
      </c>
      <c r="C656">
        <f>IF($X656="","",INDEX(합계표[부서],$X656)&amp;"")</f>
        <v/>
      </c>
      <c r="D656">
        <f>IF($X656="","",INDEX(합계표[직위(요약)],$X656)&amp;"")</f>
        <v/>
      </c>
      <c r="E656">
        <f>IF($X656="","",INDEX(합계표[직급 공존],$X656)&amp;"")</f>
        <v/>
      </c>
      <c r="F656" s="20">
        <f>IF($X656="","",SUMIFS(합계표[시스템 합계],합계표[사번키],INDEX(합계표[사번키],$X656)))</f>
        <v/>
      </c>
      <c r="G656" s="20">
        <f>IF($X656="","",SUMIFS(상세표[기록 시간외],상세표[사번키],INDEX(합계표[사번키],$X656),상세표[기록월],대상월키))</f>
        <v/>
      </c>
      <c r="H656">
        <f>IF($X656="","",IF(ABS($F656-$G656)&lt;0.01,"일치","불일치(차이 "&amp;TEXT($G656-$F656,"0.00")&amp;")"))</f>
        <v/>
      </c>
      <c r="I656" s="20">
        <f>IF($X656="","",SUMIFS(상세표[기록 시간외],상세표[사번키],INDEX(합계표[사번키],$X656),상세표[기록월],대상월키,상세표[반영월],"&lt;&gt;"&amp;대상월키))</f>
        <v/>
      </c>
      <c r="J656" s="20">
        <f>IF($X656="","",SUMIFS(상세표[기록 시간외],상세표[사번키],INDEX(합계표[사번키],$X656),상세표[기록월],"&lt;&gt;"&amp;대상월키,상세표[반영월],대상월키))</f>
        <v/>
      </c>
      <c r="K656" s="20">
        <f>IF($X656="","",SUMIFS(상세표[기록 시간외],상세표[사번키],INDEX(합계표[사번키],$X656),상세표[반영월],대상월키))</f>
        <v/>
      </c>
      <c r="L656">
        <f>IF($X656="","",IFERROR(INDEX(월별근무지표[적용 급여병원],MATCH(INDEX(합계표[사번키],$X656)&amp;"|"&amp;대상월키,월별근무지표[키],0))&amp;"",IF(COUNTIF(기관표[사번키],INDEX(합계표[사번키],$X656))+COUNTIF(월별근무지표[사번키],INDEX(합계표[사번키],$X656))&gt;0,IFERROR(INDEX(기관표[급여지급병원(기준월)],MATCH(INDEX(합계표[사번키],$X656)&amp;"|"&amp;대상월키,기관표[키],0))&amp;"","—"),"—")))</f>
        <v/>
      </c>
      <c r="M656">
        <f>IF($X656="","",IF(NOT(COUNTIF(기관표[사번키],INDEX(합계표[사번키],$X656))+COUNTIF(월별근무지표[사번키],INDEX(합계표[사번키],$X656))&gt;0),"기관명단에 없음(다른 병원으로 발송)",IF($L656="서울병원","해당",IF(N($R656)&gt;0,"해당(말일 근무)",IF($L656="—","대상월 기관명단 없음(추가 필요)","비해당")))))</f>
        <v/>
      </c>
      <c r="N656" s="20">
        <f>IF($X656="","",SUMIFS(상세표[06~07시],상세표[사번키],INDEX(합계표[사번키],$X656),상세표[반영월],대상월키,상세표[반영 기관],"서울병원"))</f>
        <v/>
      </c>
      <c r="O656" s="20">
        <f>IF($X656="","",SUMIFS(상세표[07~18시],상세표[사번키],INDEX(합계표[사번키],$X656),상세표[반영월],대상월키,상세표[반영 기관],"서울병원"))</f>
        <v/>
      </c>
      <c r="P656" s="20">
        <f>IF($X656="","",SUMIFS(상세표[18~22시],상세표[사번키],INDEX(합계표[사번키],$X656),상세표[반영월],대상월키,상세표[반영 기관],"서울병원"))</f>
        <v/>
      </c>
      <c r="Q656" s="20">
        <f>IF($X656="","",SUMIFS(상세표[22~06시],상세표[사번키],INDEX(합계표[사번키],$X656),상세표[반영월],대상월키,상세표[반영 기관],"서울병원"))</f>
        <v/>
      </c>
      <c r="R656" s="20">
        <f>IF($X656="","",SUM($N656:$Q656))</f>
        <v/>
      </c>
      <c r="S656">
        <f>IF($X656="","",COUNTIFS(상세표[사번키],INDEX(합계표[사번키],$X656),상세표[반영월],대상월키,상세표[야간당직],1,상세표[야간 구분],"평일"))</f>
        <v/>
      </c>
      <c r="T656">
        <f>IF($X656="","",COUNTIFS(상세표[사번키],INDEX(합계표[사번키],$X656),상세표[반영월],대상월키,상세표[야간당직],1,상세표[야간 구분],"휴일"))</f>
        <v/>
      </c>
      <c r="U656">
        <f>IF($X656="","",COUNTIFS(상세표[사번키],INDEX(합계표[사번키],$X656),상세표[반영월],대상월키,상세표[야간당직],1,상세표[야간 구분],"평일",상세표[반영 기관],"서울병원"))</f>
        <v/>
      </c>
      <c r="V656">
        <f>IF($X656="","",COUNTIFS(상세표[사번키],INDEX(합계표[사번키],$X656),상세표[반영월],대상월키,상세표[야간당직],1,상세표[야간 구분],"휴일",상세표[반영 기관],"서울병원"))</f>
        <v/>
      </c>
      <c r="W656">
        <f>IF($X656="","",IF(ISNUMBER(MATCH(INDEX(합계표[사번키],$X656)&amp;"|"&amp;대상월키,월별근무지표[키],0)),"직접 입력",IF($L656="—","—","기관명단")))</f>
        <v/>
      </c>
      <c r="X656" s="4">
        <f>IFERROR(MATCH(651,합계표[판정순번],0),"")</f>
        <v/>
      </c>
    </row>
    <row r="657">
      <c r="A657">
        <f>IF($X657="","",INDEX(합계표[사번],$X657)&amp;"")</f>
        <v/>
      </c>
      <c r="B657">
        <f>IF($X657="","",INDEX(합계표[성명],$X657)&amp;"")</f>
        <v/>
      </c>
      <c r="C657">
        <f>IF($X657="","",INDEX(합계표[부서],$X657)&amp;"")</f>
        <v/>
      </c>
      <c r="D657">
        <f>IF($X657="","",INDEX(합계표[직위(요약)],$X657)&amp;"")</f>
        <v/>
      </c>
      <c r="E657">
        <f>IF($X657="","",INDEX(합계표[직급 공존],$X657)&amp;"")</f>
        <v/>
      </c>
      <c r="F657" s="20">
        <f>IF($X657="","",SUMIFS(합계표[시스템 합계],합계표[사번키],INDEX(합계표[사번키],$X657)))</f>
        <v/>
      </c>
      <c r="G657" s="20">
        <f>IF($X657="","",SUMIFS(상세표[기록 시간외],상세표[사번키],INDEX(합계표[사번키],$X657),상세표[기록월],대상월키))</f>
        <v/>
      </c>
      <c r="H657">
        <f>IF($X657="","",IF(ABS($F657-$G657)&lt;0.01,"일치","불일치(차이 "&amp;TEXT($G657-$F657,"0.00")&amp;")"))</f>
        <v/>
      </c>
      <c r="I657" s="20">
        <f>IF($X657="","",SUMIFS(상세표[기록 시간외],상세표[사번키],INDEX(합계표[사번키],$X657),상세표[기록월],대상월키,상세표[반영월],"&lt;&gt;"&amp;대상월키))</f>
        <v/>
      </c>
      <c r="J657" s="20">
        <f>IF($X657="","",SUMIFS(상세표[기록 시간외],상세표[사번키],INDEX(합계표[사번키],$X657),상세표[기록월],"&lt;&gt;"&amp;대상월키,상세표[반영월],대상월키))</f>
        <v/>
      </c>
      <c r="K657" s="20">
        <f>IF($X657="","",SUMIFS(상세표[기록 시간외],상세표[사번키],INDEX(합계표[사번키],$X657),상세표[반영월],대상월키))</f>
        <v/>
      </c>
      <c r="L657">
        <f>IF($X657="","",IFERROR(INDEX(월별근무지표[적용 급여병원],MATCH(INDEX(합계표[사번키],$X657)&amp;"|"&amp;대상월키,월별근무지표[키],0))&amp;"",IF(COUNTIF(기관표[사번키],INDEX(합계표[사번키],$X657))+COUNTIF(월별근무지표[사번키],INDEX(합계표[사번키],$X657))&gt;0,IFERROR(INDEX(기관표[급여지급병원(기준월)],MATCH(INDEX(합계표[사번키],$X657)&amp;"|"&amp;대상월키,기관표[키],0))&amp;"","—"),"—")))</f>
        <v/>
      </c>
      <c r="M657">
        <f>IF($X657="","",IF(NOT(COUNTIF(기관표[사번키],INDEX(합계표[사번키],$X657))+COUNTIF(월별근무지표[사번키],INDEX(합계표[사번키],$X657))&gt;0),"기관명단에 없음(다른 병원으로 발송)",IF($L657="서울병원","해당",IF(N($R657)&gt;0,"해당(말일 근무)",IF($L657="—","대상월 기관명단 없음(추가 필요)","비해당")))))</f>
        <v/>
      </c>
      <c r="N657" s="20">
        <f>IF($X657="","",SUMIFS(상세표[06~07시],상세표[사번키],INDEX(합계표[사번키],$X657),상세표[반영월],대상월키,상세표[반영 기관],"서울병원"))</f>
        <v/>
      </c>
      <c r="O657" s="20">
        <f>IF($X657="","",SUMIFS(상세표[07~18시],상세표[사번키],INDEX(합계표[사번키],$X657),상세표[반영월],대상월키,상세표[반영 기관],"서울병원"))</f>
        <v/>
      </c>
      <c r="P657" s="20">
        <f>IF($X657="","",SUMIFS(상세표[18~22시],상세표[사번키],INDEX(합계표[사번키],$X657),상세표[반영월],대상월키,상세표[반영 기관],"서울병원"))</f>
        <v/>
      </c>
      <c r="Q657" s="20">
        <f>IF($X657="","",SUMIFS(상세표[22~06시],상세표[사번키],INDEX(합계표[사번키],$X657),상세표[반영월],대상월키,상세표[반영 기관],"서울병원"))</f>
        <v/>
      </c>
      <c r="R657" s="20">
        <f>IF($X657="","",SUM($N657:$Q657))</f>
        <v/>
      </c>
      <c r="S657">
        <f>IF($X657="","",COUNTIFS(상세표[사번키],INDEX(합계표[사번키],$X657),상세표[반영월],대상월키,상세표[야간당직],1,상세표[야간 구분],"평일"))</f>
        <v/>
      </c>
      <c r="T657">
        <f>IF($X657="","",COUNTIFS(상세표[사번키],INDEX(합계표[사번키],$X657),상세표[반영월],대상월키,상세표[야간당직],1,상세표[야간 구분],"휴일"))</f>
        <v/>
      </c>
      <c r="U657">
        <f>IF($X657="","",COUNTIFS(상세표[사번키],INDEX(합계표[사번키],$X657),상세표[반영월],대상월키,상세표[야간당직],1,상세표[야간 구분],"평일",상세표[반영 기관],"서울병원"))</f>
        <v/>
      </c>
      <c r="V657">
        <f>IF($X657="","",COUNTIFS(상세표[사번키],INDEX(합계표[사번키],$X657),상세표[반영월],대상월키,상세표[야간당직],1,상세표[야간 구분],"휴일",상세표[반영 기관],"서울병원"))</f>
        <v/>
      </c>
      <c r="W657">
        <f>IF($X657="","",IF(ISNUMBER(MATCH(INDEX(합계표[사번키],$X657)&amp;"|"&amp;대상월키,월별근무지표[키],0)),"직접 입력",IF($L657="—","—","기관명단")))</f>
        <v/>
      </c>
      <c r="X657" s="4">
        <f>IFERROR(MATCH(652,합계표[판정순번],0),"")</f>
        <v/>
      </c>
    </row>
    <row r="658">
      <c r="A658">
        <f>IF($X658="","",INDEX(합계표[사번],$X658)&amp;"")</f>
        <v/>
      </c>
      <c r="B658">
        <f>IF($X658="","",INDEX(합계표[성명],$X658)&amp;"")</f>
        <v/>
      </c>
      <c r="C658">
        <f>IF($X658="","",INDEX(합계표[부서],$X658)&amp;"")</f>
        <v/>
      </c>
      <c r="D658">
        <f>IF($X658="","",INDEX(합계표[직위(요약)],$X658)&amp;"")</f>
        <v/>
      </c>
      <c r="E658">
        <f>IF($X658="","",INDEX(합계표[직급 공존],$X658)&amp;"")</f>
        <v/>
      </c>
      <c r="F658" s="20">
        <f>IF($X658="","",SUMIFS(합계표[시스템 합계],합계표[사번키],INDEX(합계표[사번키],$X658)))</f>
        <v/>
      </c>
      <c r="G658" s="20">
        <f>IF($X658="","",SUMIFS(상세표[기록 시간외],상세표[사번키],INDEX(합계표[사번키],$X658),상세표[기록월],대상월키))</f>
        <v/>
      </c>
      <c r="H658">
        <f>IF($X658="","",IF(ABS($F658-$G658)&lt;0.01,"일치","불일치(차이 "&amp;TEXT($G658-$F658,"0.00")&amp;")"))</f>
        <v/>
      </c>
      <c r="I658" s="20">
        <f>IF($X658="","",SUMIFS(상세표[기록 시간외],상세표[사번키],INDEX(합계표[사번키],$X658),상세표[기록월],대상월키,상세표[반영월],"&lt;&gt;"&amp;대상월키))</f>
        <v/>
      </c>
      <c r="J658" s="20">
        <f>IF($X658="","",SUMIFS(상세표[기록 시간외],상세표[사번키],INDEX(합계표[사번키],$X658),상세표[기록월],"&lt;&gt;"&amp;대상월키,상세표[반영월],대상월키))</f>
        <v/>
      </c>
      <c r="K658" s="20">
        <f>IF($X658="","",SUMIFS(상세표[기록 시간외],상세표[사번키],INDEX(합계표[사번키],$X658),상세표[반영월],대상월키))</f>
        <v/>
      </c>
      <c r="L658">
        <f>IF($X658="","",IFERROR(INDEX(월별근무지표[적용 급여병원],MATCH(INDEX(합계표[사번키],$X658)&amp;"|"&amp;대상월키,월별근무지표[키],0))&amp;"",IF(COUNTIF(기관표[사번키],INDEX(합계표[사번키],$X658))+COUNTIF(월별근무지표[사번키],INDEX(합계표[사번키],$X658))&gt;0,IFERROR(INDEX(기관표[급여지급병원(기준월)],MATCH(INDEX(합계표[사번키],$X658)&amp;"|"&amp;대상월키,기관표[키],0))&amp;"","—"),"—")))</f>
        <v/>
      </c>
      <c r="M658">
        <f>IF($X658="","",IF(NOT(COUNTIF(기관표[사번키],INDEX(합계표[사번키],$X658))+COUNTIF(월별근무지표[사번키],INDEX(합계표[사번키],$X658))&gt;0),"기관명단에 없음(다른 병원으로 발송)",IF($L658="서울병원","해당",IF(N($R658)&gt;0,"해당(말일 근무)",IF($L658="—","대상월 기관명단 없음(추가 필요)","비해당")))))</f>
        <v/>
      </c>
      <c r="N658" s="20">
        <f>IF($X658="","",SUMIFS(상세표[06~07시],상세표[사번키],INDEX(합계표[사번키],$X658),상세표[반영월],대상월키,상세표[반영 기관],"서울병원"))</f>
        <v/>
      </c>
      <c r="O658" s="20">
        <f>IF($X658="","",SUMIFS(상세표[07~18시],상세표[사번키],INDEX(합계표[사번키],$X658),상세표[반영월],대상월키,상세표[반영 기관],"서울병원"))</f>
        <v/>
      </c>
      <c r="P658" s="20">
        <f>IF($X658="","",SUMIFS(상세표[18~22시],상세표[사번키],INDEX(합계표[사번키],$X658),상세표[반영월],대상월키,상세표[반영 기관],"서울병원"))</f>
        <v/>
      </c>
      <c r="Q658" s="20">
        <f>IF($X658="","",SUMIFS(상세표[22~06시],상세표[사번키],INDEX(합계표[사번키],$X658),상세표[반영월],대상월키,상세표[반영 기관],"서울병원"))</f>
        <v/>
      </c>
      <c r="R658" s="20">
        <f>IF($X658="","",SUM($N658:$Q658))</f>
        <v/>
      </c>
      <c r="S658">
        <f>IF($X658="","",COUNTIFS(상세표[사번키],INDEX(합계표[사번키],$X658),상세표[반영월],대상월키,상세표[야간당직],1,상세표[야간 구분],"평일"))</f>
        <v/>
      </c>
      <c r="T658">
        <f>IF($X658="","",COUNTIFS(상세표[사번키],INDEX(합계표[사번키],$X658),상세표[반영월],대상월키,상세표[야간당직],1,상세표[야간 구분],"휴일"))</f>
        <v/>
      </c>
      <c r="U658">
        <f>IF($X658="","",COUNTIFS(상세표[사번키],INDEX(합계표[사번키],$X658),상세표[반영월],대상월키,상세표[야간당직],1,상세표[야간 구분],"평일",상세표[반영 기관],"서울병원"))</f>
        <v/>
      </c>
      <c r="V658">
        <f>IF($X658="","",COUNTIFS(상세표[사번키],INDEX(합계표[사번키],$X658),상세표[반영월],대상월키,상세표[야간당직],1,상세표[야간 구분],"휴일",상세표[반영 기관],"서울병원"))</f>
        <v/>
      </c>
      <c r="W658">
        <f>IF($X658="","",IF(ISNUMBER(MATCH(INDEX(합계표[사번키],$X658)&amp;"|"&amp;대상월키,월별근무지표[키],0)),"직접 입력",IF($L658="—","—","기관명단")))</f>
        <v/>
      </c>
      <c r="X658" s="4">
        <f>IFERROR(MATCH(653,합계표[판정순번],0),"")</f>
        <v/>
      </c>
    </row>
    <row r="659">
      <c r="A659">
        <f>IF($X659="","",INDEX(합계표[사번],$X659)&amp;"")</f>
        <v/>
      </c>
      <c r="B659">
        <f>IF($X659="","",INDEX(합계표[성명],$X659)&amp;"")</f>
        <v/>
      </c>
      <c r="C659">
        <f>IF($X659="","",INDEX(합계표[부서],$X659)&amp;"")</f>
        <v/>
      </c>
      <c r="D659">
        <f>IF($X659="","",INDEX(합계표[직위(요약)],$X659)&amp;"")</f>
        <v/>
      </c>
      <c r="E659">
        <f>IF($X659="","",INDEX(합계표[직급 공존],$X659)&amp;"")</f>
        <v/>
      </c>
      <c r="F659" s="20">
        <f>IF($X659="","",SUMIFS(합계표[시스템 합계],합계표[사번키],INDEX(합계표[사번키],$X659)))</f>
        <v/>
      </c>
      <c r="G659" s="20">
        <f>IF($X659="","",SUMIFS(상세표[기록 시간외],상세표[사번키],INDEX(합계표[사번키],$X659),상세표[기록월],대상월키))</f>
        <v/>
      </c>
      <c r="H659">
        <f>IF($X659="","",IF(ABS($F659-$G659)&lt;0.01,"일치","불일치(차이 "&amp;TEXT($G659-$F659,"0.00")&amp;")"))</f>
        <v/>
      </c>
      <c r="I659" s="20">
        <f>IF($X659="","",SUMIFS(상세표[기록 시간외],상세표[사번키],INDEX(합계표[사번키],$X659),상세표[기록월],대상월키,상세표[반영월],"&lt;&gt;"&amp;대상월키))</f>
        <v/>
      </c>
      <c r="J659" s="20">
        <f>IF($X659="","",SUMIFS(상세표[기록 시간외],상세표[사번키],INDEX(합계표[사번키],$X659),상세표[기록월],"&lt;&gt;"&amp;대상월키,상세표[반영월],대상월키))</f>
        <v/>
      </c>
      <c r="K659" s="20">
        <f>IF($X659="","",SUMIFS(상세표[기록 시간외],상세표[사번키],INDEX(합계표[사번키],$X659),상세표[반영월],대상월키))</f>
        <v/>
      </c>
      <c r="L659">
        <f>IF($X659="","",IFERROR(INDEX(월별근무지표[적용 급여병원],MATCH(INDEX(합계표[사번키],$X659)&amp;"|"&amp;대상월키,월별근무지표[키],0))&amp;"",IF(COUNTIF(기관표[사번키],INDEX(합계표[사번키],$X659))+COUNTIF(월별근무지표[사번키],INDEX(합계표[사번키],$X659))&gt;0,IFERROR(INDEX(기관표[급여지급병원(기준월)],MATCH(INDEX(합계표[사번키],$X659)&amp;"|"&amp;대상월키,기관표[키],0))&amp;"","—"),"—")))</f>
        <v/>
      </c>
      <c r="M659">
        <f>IF($X659="","",IF(NOT(COUNTIF(기관표[사번키],INDEX(합계표[사번키],$X659))+COUNTIF(월별근무지표[사번키],INDEX(합계표[사번키],$X659))&gt;0),"기관명단에 없음(다른 병원으로 발송)",IF($L659="서울병원","해당",IF(N($R659)&gt;0,"해당(말일 근무)",IF($L659="—","대상월 기관명단 없음(추가 필요)","비해당")))))</f>
        <v/>
      </c>
      <c r="N659" s="20">
        <f>IF($X659="","",SUMIFS(상세표[06~07시],상세표[사번키],INDEX(합계표[사번키],$X659),상세표[반영월],대상월키,상세표[반영 기관],"서울병원"))</f>
        <v/>
      </c>
      <c r="O659" s="20">
        <f>IF($X659="","",SUMIFS(상세표[07~18시],상세표[사번키],INDEX(합계표[사번키],$X659),상세표[반영월],대상월키,상세표[반영 기관],"서울병원"))</f>
        <v/>
      </c>
      <c r="P659" s="20">
        <f>IF($X659="","",SUMIFS(상세표[18~22시],상세표[사번키],INDEX(합계표[사번키],$X659),상세표[반영월],대상월키,상세표[반영 기관],"서울병원"))</f>
        <v/>
      </c>
      <c r="Q659" s="20">
        <f>IF($X659="","",SUMIFS(상세표[22~06시],상세표[사번키],INDEX(합계표[사번키],$X659),상세표[반영월],대상월키,상세표[반영 기관],"서울병원"))</f>
        <v/>
      </c>
      <c r="R659" s="20">
        <f>IF($X659="","",SUM($N659:$Q659))</f>
        <v/>
      </c>
      <c r="S659">
        <f>IF($X659="","",COUNTIFS(상세표[사번키],INDEX(합계표[사번키],$X659),상세표[반영월],대상월키,상세표[야간당직],1,상세표[야간 구분],"평일"))</f>
        <v/>
      </c>
      <c r="T659">
        <f>IF($X659="","",COUNTIFS(상세표[사번키],INDEX(합계표[사번키],$X659),상세표[반영월],대상월키,상세표[야간당직],1,상세표[야간 구분],"휴일"))</f>
        <v/>
      </c>
      <c r="U659">
        <f>IF($X659="","",COUNTIFS(상세표[사번키],INDEX(합계표[사번키],$X659),상세표[반영월],대상월키,상세표[야간당직],1,상세표[야간 구분],"평일",상세표[반영 기관],"서울병원"))</f>
        <v/>
      </c>
      <c r="V659">
        <f>IF($X659="","",COUNTIFS(상세표[사번키],INDEX(합계표[사번키],$X659),상세표[반영월],대상월키,상세표[야간당직],1,상세표[야간 구분],"휴일",상세표[반영 기관],"서울병원"))</f>
        <v/>
      </c>
      <c r="W659">
        <f>IF($X659="","",IF(ISNUMBER(MATCH(INDEX(합계표[사번키],$X659)&amp;"|"&amp;대상월키,월별근무지표[키],0)),"직접 입력",IF($L659="—","—","기관명단")))</f>
        <v/>
      </c>
      <c r="X659" s="4">
        <f>IFERROR(MATCH(654,합계표[판정순번],0),"")</f>
        <v/>
      </c>
    </row>
    <row r="660">
      <c r="A660">
        <f>IF($X660="","",INDEX(합계표[사번],$X660)&amp;"")</f>
        <v/>
      </c>
      <c r="B660">
        <f>IF($X660="","",INDEX(합계표[성명],$X660)&amp;"")</f>
        <v/>
      </c>
      <c r="C660">
        <f>IF($X660="","",INDEX(합계표[부서],$X660)&amp;"")</f>
        <v/>
      </c>
      <c r="D660">
        <f>IF($X660="","",INDEX(합계표[직위(요약)],$X660)&amp;"")</f>
        <v/>
      </c>
      <c r="E660">
        <f>IF($X660="","",INDEX(합계표[직급 공존],$X660)&amp;"")</f>
        <v/>
      </c>
      <c r="F660" s="20">
        <f>IF($X660="","",SUMIFS(합계표[시스템 합계],합계표[사번키],INDEX(합계표[사번키],$X660)))</f>
        <v/>
      </c>
      <c r="G660" s="20">
        <f>IF($X660="","",SUMIFS(상세표[기록 시간외],상세표[사번키],INDEX(합계표[사번키],$X660),상세표[기록월],대상월키))</f>
        <v/>
      </c>
      <c r="H660">
        <f>IF($X660="","",IF(ABS($F660-$G660)&lt;0.01,"일치","불일치(차이 "&amp;TEXT($G660-$F660,"0.00")&amp;")"))</f>
        <v/>
      </c>
      <c r="I660" s="20">
        <f>IF($X660="","",SUMIFS(상세표[기록 시간외],상세표[사번키],INDEX(합계표[사번키],$X660),상세표[기록월],대상월키,상세표[반영월],"&lt;&gt;"&amp;대상월키))</f>
        <v/>
      </c>
      <c r="J660" s="20">
        <f>IF($X660="","",SUMIFS(상세표[기록 시간외],상세표[사번키],INDEX(합계표[사번키],$X660),상세표[기록월],"&lt;&gt;"&amp;대상월키,상세표[반영월],대상월키))</f>
        <v/>
      </c>
      <c r="K660" s="20">
        <f>IF($X660="","",SUMIFS(상세표[기록 시간외],상세표[사번키],INDEX(합계표[사번키],$X660),상세표[반영월],대상월키))</f>
        <v/>
      </c>
      <c r="L660">
        <f>IF($X660="","",IFERROR(INDEX(월별근무지표[적용 급여병원],MATCH(INDEX(합계표[사번키],$X660)&amp;"|"&amp;대상월키,월별근무지표[키],0))&amp;"",IF(COUNTIF(기관표[사번키],INDEX(합계표[사번키],$X660))+COUNTIF(월별근무지표[사번키],INDEX(합계표[사번키],$X660))&gt;0,IFERROR(INDEX(기관표[급여지급병원(기준월)],MATCH(INDEX(합계표[사번키],$X660)&amp;"|"&amp;대상월키,기관표[키],0))&amp;"","—"),"—")))</f>
        <v/>
      </c>
      <c r="M660">
        <f>IF($X660="","",IF(NOT(COUNTIF(기관표[사번키],INDEX(합계표[사번키],$X660))+COUNTIF(월별근무지표[사번키],INDEX(합계표[사번키],$X660))&gt;0),"기관명단에 없음(다른 병원으로 발송)",IF($L660="서울병원","해당",IF(N($R660)&gt;0,"해당(말일 근무)",IF($L660="—","대상월 기관명단 없음(추가 필요)","비해당")))))</f>
        <v/>
      </c>
      <c r="N660" s="20">
        <f>IF($X660="","",SUMIFS(상세표[06~07시],상세표[사번키],INDEX(합계표[사번키],$X660),상세표[반영월],대상월키,상세표[반영 기관],"서울병원"))</f>
        <v/>
      </c>
      <c r="O660" s="20">
        <f>IF($X660="","",SUMIFS(상세표[07~18시],상세표[사번키],INDEX(합계표[사번키],$X660),상세표[반영월],대상월키,상세표[반영 기관],"서울병원"))</f>
        <v/>
      </c>
      <c r="P660" s="20">
        <f>IF($X660="","",SUMIFS(상세표[18~22시],상세표[사번키],INDEX(합계표[사번키],$X660),상세표[반영월],대상월키,상세표[반영 기관],"서울병원"))</f>
        <v/>
      </c>
      <c r="Q660" s="20">
        <f>IF($X660="","",SUMIFS(상세표[22~06시],상세표[사번키],INDEX(합계표[사번키],$X660),상세표[반영월],대상월키,상세표[반영 기관],"서울병원"))</f>
        <v/>
      </c>
      <c r="R660" s="20">
        <f>IF($X660="","",SUM($N660:$Q660))</f>
        <v/>
      </c>
      <c r="S660">
        <f>IF($X660="","",COUNTIFS(상세표[사번키],INDEX(합계표[사번키],$X660),상세표[반영월],대상월키,상세표[야간당직],1,상세표[야간 구분],"평일"))</f>
        <v/>
      </c>
      <c r="T660">
        <f>IF($X660="","",COUNTIFS(상세표[사번키],INDEX(합계표[사번키],$X660),상세표[반영월],대상월키,상세표[야간당직],1,상세표[야간 구분],"휴일"))</f>
        <v/>
      </c>
      <c r="U660">
        <f>IF($X660="","",COUNTIFS(상세표[사번키],INDEX(합계표[사번키],$X660),상세표[반영월],대상월키,상세표[야간당직],1,상세표[야간 구분],"평일",상세표[반영 기관],"서울병원"))</f>
        <v/>
      </c>
      <c r="V660">
        <f>IF($X660="","",COUNTIFS(상세표[사번키],INDEX(합계표[사번키],$X660),상세표[반영월],대상월키,상세표[야간당직],1,상세표[야간 구분],"휴일",상세표[반영 기관],"서울병원"))</f>
        <v/>
      </c>
      <c r="W660">
        <f>IF($X660="","",IF(ISNUMBER(MATCH(INDEX(합계표[사번키],$X660)&amp;"|"&amp;대상월키,월별근무지표[키],0)),"직접 입력",IF($L660="—","—","기관명단")))</f>
        <v/>
      </c>
      <c r="X660" s="4">
        <f>IFERROR(MATCH(655,합계표[판정순번],0),"")</f>
        <v/>
      </c>
    </row>
    <row r="661">
      <c r="A661">
        <f>IF($X661="","",INDEX(합계표[사번],$X661)&amp;"")</f>
        <v/>
      </c>
      <c r="B661">
        <f>IF($X661="","",INDEX(합계표[성명],$X661)&amp;"")</f>
        <v/>
      </c>
      <c r="C661">
        <f>IF($X661="","",INDEX(합계표[부서],$X661)&amp;"")</f>
        <v/>
      </c>
      <c r="D661">
        <f>IF($X661="","",INDEX(합계표[직위(요약)],$X661)&amp;"")</f>
        <v/>
      </c>
      <c r="E661">
        <f>IF($X661="","",INDEX(합계표[직급 공존],$X661)&amp;"")</f>
        <v/>
      </c>
      <c r="F661" s="20">
        <f>IF($X661="","",SUMIFS(합계표[시스템 합계],합계표[사번키],INDEX(합계표[사번키],$X661)))</f>
        <v/>
      </c>
      <c r="G661" s="20">
        <f>IF($X661="","",SUMIFS(상세표[기록 시간외],상세표[사번키],INDEX(합계표[사번키],$X661),상세표[기록월],대상월키))</f>
        <v/>
      </c>
      <c r="H661">
        <f>IF($X661="","",IF(ABS($F661-$G661)&lt;0.01,"일치","불일치(차이 "&amp;TEXT($G661-$F661,"0.00")&amp;")"))</f>
        <v/>
      </c>
      <c r="I661" s="20">
        <f>IF($X661="","",SUMIFS(상세표[기록 시간외],상세표[사번키],INDEX(합계표[사번키],$X661),상세표[기록월],대상월키,상세표[반영월],"&lt;&gt;"&amp;대상월키))</f>
        <v/>
      </c>
      <c r="J661" s="20">
        <f>IF($X661="","",SUMIFS(상세표[기록 시간외],상세표[사번키],INDEX(합계표[사번키],$X661),상세표[기록월],"&lt;&gt;"&amp;대상월키,상세표[반영월],대상월키))</f>
        <v/>
      </c>
      <c r="K661" s="20">
        <f>IF($X661="","",SUMIFS(상세표[기록 시간외],상세표[사번키],INDEX(합계표[사번키],$X661),상세표[반영월],대상월키))</f>
        <v/>
      </c>
      <c r="L661">
        <f>IF($X661="","",IFERROR(INDEX(월별근무지표[적용 급여병원],MATCH(INDEX(합계표[사번키],$X661)&amp;"|"&amp;대상월키,월별근무지표[키],0))&amp;"",IF(COUNTIF(기관표[사번키],INDEX(합계표[사번키],$X661))+COUNTIF(월별근무지표[사번키],INDEX(합계표[사번키],$X661))&gt;0,IFERROR(INDEX(기관표[급여지급병원(기준월)],MATCH(INDEX(합계표[사번키],$X661)&amp;"|"&amp;대상월키,기관표[키],0))&amp;"","—"),"—")))</f>
        <v/>
      </c>
      <c r="M661">
        <f>IF($X661="","",IF(NOT(COUNTIF(기관표[사번키],INDEX(합계표[사번키],$X661))+COUNTIF(월별근무지표[사번키],INDEX(합계표[사번키],$X661))&gt;0),"기관명단에 없음(다른 병원으로 발송)",IF($L661="서울병원","해당",IF(N($R661)&gt;0,"해당(말일 근무)",IF($L661="—","대상월 기관명단 없음(추가 필요)","비해당")))))</f>
        <v/>
      </c>
      <c r="N661" s="20">
        <f>IF($X661="","",SUMIFS(상세표[06~07시],상세표[사번키],INDEX(합계표[사번키],$X661),상세표[반영월],대상월키,상세표[반영 기관],"서울병원"))</f>
        <v/>
      </c>
      <c r="O661" s="20">
        <f>IF($X661="","",SUMIFS(상세표[07~18시],상세표[사번키],INDEX(합계표[사번키],$X661),상세표[반영월],대상월키,상세표[반영 기관],"서울병원"))</f>
        <v/>
      </c>
      <c r="P661" s="20">
        <f>IF($X661="","",SUMIFS(상세표[18~22시],상세표[사번키],INDEX(합계표[사번키],$X661),상세표[반영월],대상월키,상세표[반영 기관],"서울병원"))</f>
        <v/>
      </c>
      <c r="Q661" s="20">
        <f>IF($X661="","",SUMIFS(상세표[22~06시],상세표[사번키],INDEX(합계표[사번키],$X661),상세표[반영월],대상월키,상세표[반영 기관],"서울병원"))</f>
        <v/>
      </c>
      <c r="R661" s="20">
        <f>IF($X661="","",SUM($N661:$Q661))</f>
        <v/>
      </c>
      <c r="S661">
        <f>IF($X661="","",COUNTIFS(상세표[사번키],INDEX(합계표[사번키],$X661),상세표[반영월],대상월키,상세표[야간당직],1,상세표[야간 구분],"평일"))</f>
        <v/>
      </c>
      <c r="T661">
        <f>IF($X661="","",COUNTIFS(상세표[사번키],INDEX(합계표[사번키],$X661),상세표[반영월],대상월키,상세표[야간당직],1,상세표[야간 구분],"휴일"))</f>
        <v/>
      </c>
      <c r="U661">
        <f>IF($X661="","",COUNTIFS(상세표[사번키],INDEX(합계표[사번키],$X661),상세표[반영월],대상월키,상세표[야간당직],1,상세표[야간 구분],"평일",상세표[반영 기관],"서울병원"))</f>
        <v/>
      </c>
      <c r="V661">
        <f>IF($X661="","",COUNTIFS(상세표[사번키],INDEX(합계표[사번키],$X661),상세표[반영월],대상월키,상세표[야간당직],1,상세표[야간 구분],"휴일",상세표[반영 기관],"서울병원"))</f>
        <v/>
      </c>
      <c r="W661">
        <f>IF($X661="","",IF(ISNUMBER(MATCH(INDEX(합계표[사번키],$X661)&amp;"|"&amp;대상월키,월별근무지표[키],0)),"직접 입력",IF($L661="—","—","기관명단")))</f>
        <v/>
      </c>
      <c r="X661" s="4">
        <f>IFERROR(MATCH(656,합계표[판정순번],0),"")</f>
        <v/>
      </c>
    </row>
    <row r="662">
      <c r="A662">
        <f>IF($X662="","",INDEX(합계표[사번],$X662)&amp;"")</f>
        <v/>
      </c>
      <c r="B662">
        <f>IF($X662="","",INDEX(합계표[성명],$X662)&amp;"")</f>
        <v/>
      </c>
      <c r="C662">
        <f>IF($X662="","",INDEX(합계표[부서],$X662)&amp;"")</f>
        <v/>
      </c>
      <c r="D662">
        <f>IF($X662="","",INDEX(합계표[직위(요약)],$X662)&amp;"")</f>
        <v/>
      </c>
      <c r="E662">
        <f>IF($X662="","",INDEX(합계표[직급 공존],$X662)&amp;"")</f>
        <v/>
      </c>
      <c r="F662" s="20">
        <f>IF($X662="","",SUMIFS(합계표[시스템 합계],합계표[사번키],INDEX(합계표[사번키],$X662)))</f>
        <v/>
      </c>
      <c r="G662" s="20">
        <f>IF($X662="","",SUMIFS(상세표[기록 시간외],상세표[사번키],INDEX(합계표[사번키],$X662),상세표[기록월],대상월키))</f>
        <v/>
      </c>
      <c r="H662">
        <f>IF($X662="","",IF(ABS($F662-$G662)&lt;0.01,"일치","불일치(차이 "&amp;TEXT($G662-$F662,"0.00")&amp;")"))</f>
        <v/>
      </c>
      <c r="I662" s="20">
        <f>IF($X662="","",SUMIFS(상세표[기록 시간외],상세표[사번키],INDEX(합계표[사번키],$X662),상세표[기록월],대상월키,상세표[반영월],"&lt;&gt;"&amp;대상월키))</f>
        <v/>
      </c>
      <c r="J662" s="20">
        <f>IF($X662="","",SUMIFS(상세표[기록 시간외],상세표[사번키],INDEX(합계표[사번키],$X662),상세표[기록월],"&lt;&gt;"&amp;대상월키,상세표[반영월],대상월키))</f>
        <v/>
      </c>
      <c r="K662" s="20">
        <f>IF($X662="","",SUMIFS(상세표[기록 시간외],상세표[사번키],INDEX(합계표[사번키],$X662),상세표[반영월],대상월키))</f>
        <v/>
      </c>
      <c r="L662">
        <f>IF($X662="","",IFERROR(INDEX(월별근무지표[적용 급여병원],MATCH(INDEX(합계표[사번키],$X662)&amp;"|"&amp;대상월키,월별근무지표[키],0))&amp;"",IF(COUNTIF(기관표[사번키],INDEX(합계표[사번키],$X662))+COUNTIF(월별근무지표[사번키],INDEX(합계표[사번키],$X662))&gt;0,IFERROR(INDEX(기관표[급여지급병원(기준월)],MATCH(INDEX(합계표[사번키],$X662)&amp;"|"&amp;대상월키,기관표[키],0))&amp;"","—"),"—")))</f>
        <v/>
      </c>
      <c r="M662">
        <f>IF($X662="","",IF(NOT(COUNTIF(기관표[사번키],INDEX(합계표[사번키],$X662))+COUNTIF(월별근무지표[사번키],INDEX(합계표[사번키],$X662))&gt;0),"기관명단에 없음(다른 병원으로 발송)",IF($L662="서울병원","해당",IF(N($R662)&gt;0,"해당(말일 근무)",IF($L662="—","대상월 기관명단 없음(추가 필요)","비해당")))))</f>
        <v/>
      </c>
      <c r="N662" s="20">
        <f>IF($X662="","",SUMIFS(상세표[06~07시],상세표[사번키],INDEX(합계표[사번키],$X662),상세표[반영월],대상월키,상세표[반영 기관],"서울병원"))</f>
        <v/>
      </c>
      <c r="O662" s="20">
        <f>IF($X662="","",SUMIFS(상세표[07~18시],상세표[사번키],INDEX(합계표[사번키],$X662),상세표[반영월],대상월키,상세표[반영 기관],"서울병원"))</f>
        <v/>
      </c>
      <c r="P662" s="20">
        <f>IF($X662="","",SUMIFS(상세표[18~22시],상세표[사번키],INDEX(합계표[사번키],$X662),상세표[반영월],대상월키,상세표[반영 기관],"서울병원"))</f>
        <v/>
      </c>
      <c r="Q662" s="20">
        <f>IF($X662="","",SUMIFS(상세표[22~06시],상세표[사번키],INDEX(합계표[사번키],$X662),상세표[반영월],대상월키,상세표[반영 기관],"서울병원"))</f>
        <v/>
      </c>
      <c r="R662" s="20">
        <f>IF($X662="","",SUM($N662:$Q662))</f>
        <v/>
      </c>
      <c r="S662">
        <f>IF($X662="","",COUNTIFS(상세표[사번키],INDEX(합계표[사번키],$X662),상세표[반영월],대상월키,상세표[야간당직],1,상세표[야간 구분],"평일"))</f>
        <v/>
      </c>
      <c r="T662">
        <f>IF($X662="","",COUNTIFS(상세표[사번키],INDEX(합계표[사번키],$X662),상세표[반영월],대상월키,상세표[야간당직],1,상세표[야간 구분],"휴일"))</f>
        <v/>
      </c>
      <c r="U662">
        <f>IF($X662="","",COUNTIFS(상세표[사번키],INDEX(합계표[사번키],$X662),상세표[반영월],대상월키,상세표[야간당직],1,상세표[야간 구분],"평일",상세표[반영 기관],"서울병원"))</f>
        <v/>
      </c>
      <c r="V662">
        <f>IF($X662="","",COUNTIFS(상세표[사번키],INDEX(합계표[사번키],$X662),상세표[반영월],대상월키,상세표[야간당직],1,상세표[야간 구분],"휴일",상세표[반영 기관],"서울병원"))</f>
        <v/>
      </c>
      <c r="W662">
        <f>IF($X662="","",IF(ISNUMBER(MATCH(INDEX(합계표[사번키],$X662)&amp;"|"&amp;대상월키,월별근무지표[키],0)),"직접 입력",IF($L662="—","—","기관명단")))</f>
        <v/>
      </c>
      <c r="X662" s="4">
        <f>IFERROR(MATCH(657,합계표[판정순번],0),"")</f>
        <v/>
      </c>
    </row>
    <row r="663">
      <c r="A663">
        <f>IF($X663="","",INDEX(합계표[사번],$X663)&amp;"")</f>
        <v/>
      </c>
      <c r="B663">
        <f>IF($X663="","",INDEX(합계표[성명],$X663)&amp;"")</f>
        <v/>
      </c>
      <c r="C663">
        <f>IF($X663="","",INDEX(합계표[부서],$X663)&amp;"")</f>
        <v/>
      </c>
      <c r="D663">
        <f>IF($X663="","",INDEX(합계표[직위(요약)],$X663)&amp;"")</f>
        <v/>
      </c>
      <c r="E663">
        <f>IF($X663="","",INDEX(합계표[직급 공존],$X663)&amp;"")</f>
        <v/>
      </c>
      <c r="F663" s="20">
        <f>IF($X663="","",SUMIFS(합계표[시스템 합계],합계표[사번키],INDEX(합계표[사번키],$X663)))</f>
        <v/>
      </c>
      <c r="G663" s="20">
        <f>IF($X663="","",SUMIFS(상세표[기록 시간외],상세표[사번키],INDEX(합계표[사번키],$X663),상세표[기록월],대상월키))</f>
        <v/>
      </c>
      <c r="H663">
        <f>IF($X663="","",IF(ABS($F663-$G663)&lt;0.01,"일치","불일치(차이 "&amp;TEXT($G663-$F663,"0.00")&amp;")"))</f>
        <v/>
      </c>
      <c r="I663" s="20">
        <f>IF($X663="","",SUMIFS(상세표[기록 시간외],상세표[사번키],INDEX(합계표[사번키],$X663),상세표[기록월],대상월키,상세표[반영월],"&lt;&gt;"&amp;대상월키))</f>
        <v/>
      </c>
      <c r="J663" s="20">
        <f>IF($X663="","",SUMIFS(상세표[기록 시간외],상세표[사번키],INDEX(합계표[사번키],$X663),상세표[기록월],"&lt;&gt;"&amp;대상월키,상세표[반영월],대상월키))</f>
        <v/>
      </c>
      <c r="K663" s="20">
        <f>IF($X663="","",SUMIFS(상세표[기록 시간외],상세표[사번키],INDEX(합계표[사번키],$X663),상세표[반영월],대상월키))</f>
        <v/>
      </c>
      <c r="L663">
        <f>IF($X663="","",IFERROR(INDEX(월별근무지표[적용 급여병원],MATCH(INDEX(합계표[사번키],$X663)&amp;"|"&amp;대상월키,월별근무지표[키],0))&amp;"",IF(COUNTIF(기관표[사번키],INDEX(합계표[사번키],$X663))+COUNTIF(월별근무지표[사번키],INDEX(합계표[사번키],$X663))&gt;0,IFERROR(INDEX(기관표[급여지급병원(기준월)],MATCH(INDEX(합계표[사번키],$X663)&amp;"|"&amp;대상월키,기관표[키],0))&amp;"","—"),"—")))</f>
        <v/>
      </c>
      <c r="M663">
        <f>IF($X663="","",IF(NOT(COUNTIF(기관표[사번키],INDEX(합계표[사번키],$X663))+COUNTIF(월별근무지표[사번키],INDEX(합계표[사번키],$X663))&gt;0),"기관명단에 없음(다른 병원으로 발송)",IF($L663="서울병원","해당",IF(N($R663)&gt;0,"해당(말일 근무)",IF($L663="—","대상월 기관명단 없음(추가 필요)","비해당")))))</f>
        <v/>
      </c>
      <c r="N663" s="20">
        <f>IF($X663="","",SUMIFS(상세표[06~07시],상세표[사번키],INDEX(합계표[사번키],$X663),상세표[반영월],대상월키,상세표[반영 기관],"서울병원"))</f>
        <v/>
      </c>
      <c r="O663" s="20">
        <f>IF($X663="","",SUMIFS(상세표[07~18시],상세표[사번키],INDEX(합계표[사번키],$X663),상세표[반영월],대상월키,상세표[반영 기관],"서울병원"))</f>
        <v/>
      </c>
      <c r="P663" s="20">
        <f>IF($X663="","",SUMIFS(상세표[18~22시],상세표[사번키],INDEX(합계표[사번키],$X663),상세표[반영월],대상월키,상세표[반영 기관],"서울병원"))</f>
        <v/>
      </c>
      <c r="Q663" s="20">
        <f>IF($X663="","",SUMIFS(상세표[22~06시],상세표[사번키],INDEX(합계표[사번키],$X663),상세표[반영월],대상월키,상세표[반영 기관],"서울병원"))</f>
        <v/>
      </c>
      <c r="R663" s="20">
        <f>IF($X663="","",SUM($N663:$Q663))</f>
        <v/>
      </c>
      <c r="S663">
        <f>IF($X663="","",COUNTIFS(상세표[사번키],INDEX(합계표[사번키],$X663),상세표[반영월],대상월키,상세표[야간당직],1,상세표[야간 구분],"평일"))</f>
        <v/>
      </c>
      <c r="T663">
        <f>IF($X663="","",COUNTIFS(상세표[사번키],INDEX(합계표[사번키],$X663),상세표[반영월],대상월키,상세표[야간당직],1,상세표[야간 구분],"휴일"))</f>
        <v/>
      </c>
      <c r="U663">
        <f>IF($X663="","",COUNTIFS(상세표[사번키],INDEX(합계표[사번키],$X663),상세표[반영월],대상월키,상세표[야간당직],1,상세표[야간 구분],"평일",상세표[반영 기관],"서울병원"))</f>
        <v/>
      </c>
      <c r="V663">
        <f>IF($X663="","",COUNTIFS(상세표[사번키],INDEX(합계표[사번키],$X663),상세표[반영월],대상월키,상세표[야간당직],1,상세표[야간 구분],"휴일",상세표[반영 기관],"서울병원"))</f>
        <v/>
      </c>
      <c r="W663">
        <f>IF($X663="","",IF(ISNUMBER(MATCH(INDEX(합계표[사번키],$X663)&amp;"|"&amp;대상월키,월별근무지표[키],0)),"직접 입력",IF($L663="—","—","기관명단")))</f>
        <v/>
      </c>
      <c r="X663" s="4">
        <f>IFERROR(MATCH(658,합계표[판정순번],0),"")</f>
        <v/>
      </c>
    </row>
    <row r="664">
      <c r="A664">
        <f>IF($X664="","",INDEX(합계표[사번],$X664)&amp;"")</f>
        <v/>
      </c>
      <c r="B664">
        <f>IF($X664="","",INDEX(합계표[성명],$X664)&amp;"")</f>
        <v/>
      </c>
      <c r="C664">
        <f>IF($X664="","",INDEX(합계표[부서],$X664)&amp;"")</f>
        <v/>
      </c>
      <c r="D664">
        <f>IF($X664="","",INDEX(합계표[직위(요약)],$X664)&amp;"")</f>
        <v/>
      </c>
      <c r="E664">
        <f>IF($X664="","",INDEX(합계표[직급 공존],$X664)&amp;"")</f>
        <v/>
      </c>
      <c r="F664" s="20">
        <f>IF($X664="","",SUMIFS(합계표[시스템 합계],합계표[사번키],INDEX(합계표[사번키],$X664)))</f>
        <v/>
      </c>
      <c r="G664" s="20">
        <f>IF($X664="","",SUMIFS(상세표[기록 시간외],상세표[사번키],INDEX(합계표[사번키],$X664),상세표[기록월],대상월키))</f>
        <v/>
      </c>
      <c r="H664">
        <f>IF($X664="","",IF(ABS($F664-$G664)&lt;0.01,"일치","불일치(차이 "&amp;TEXT($G664-$F664,"0.00")&amp;")"))</f>
        <v/>
      </c>
      <c r="I664" s="20">
        <f>IF($X664="","",SUMIFS(상세표[기록 시간외],상세표[사번키],INDEX(합계표[사번키],$X664),상세표[기록월],대상월키,상세표[반영월],"&lt;&gt;"&amp;대상월키))</f>
        <v/>
      </c>
      <c r="J664" s="20">
        <f>IF($X664="","",SUMIFS(상세표[기록 시간외],상세표[사번키],INDEX(합계표[사번키],$X664),상세표[기록월],"&lt;&gt;"&amp;대상월키,상세표[반영월],대상월키))</f>
        <v/>
      </c>
      <c r="K664" s="20">
        <f>IF($X664="","",SUMIFS(상세표[기록 시간외],상세표[사번키],INDEX(합계표[사번키],$X664),상세표[반영월],대상월키))</f>
        <v/>
      </c>
      <c r="L664">
        <f>IF($X664="","",IFERROR(INDEX(월별근무지표[적용 급여병원],MATCH(INDEX(합계표[사번키],$X664)&amp;"|"&amp;대상월키,월별근무지표[키],0))&amp;"",IF(COUNTIF(기관표[사번키],INDEX(합계표[사번키],$X664))+COUNTIF(월별근무지표[사번키],INDEX(합계표[사번키],$X664))&gt;0,IFERROR(INDEX(기관표[급여지급병원(기준월)],MATCH(INDEX(합계표[사번키],$X664)&amp;"|"&amp;대상월키,기관표[키],0))&amp;"","—"),"—")))</f>
        <v/>
      </c>
      <c r="M664">
        <f>IF($X664="","",IF(NOT(COUNTIF(기관표[사번키],INDEX(합계표[사번키],$X664))+COUNTIF(월별근무지표[사번키],INDEX(합계표[사번키],$X664))&gt;0),"기관명단에 없음(다른 병원으로 발송)",IF($L664="서울병원","해당",IF(N($R664)&gt;0,"해당(말일 근무)",IF($L664="—","대상월 기관명단 없음(추가 필요)","비해당")))))</f>
        <v/>
      </c>
      <c r="N664" s="20">
        <f>IF($X664="","",SUMIFS(상세표[06~07시],상세표[사번키],INDEX(합계표[사번키],$X664),상세표[반영월],대상월키,상세표[반영 기관],"서울병원"))</f>
        <v/>
      </c>
      <c r="O664" s="20">
        <f>IF($X664="","",SUMIFS(상세표[07~18시],상세표[사번키],INDEX(합계표[사번키],$X664),상세표[반영월],대상월키,상세표[반영 기관],"서울병원"))</f>
        <v/>
      </c>
      <c r="P664" s="20">
        <f>IF($X664="","",SUMIFS(상세표[18~22시],상세표[사번키],INDEX(합계표[사번키],$X664),상세표[반영월],대상월키,상세표[반영 기관],"서울병원"))</f>
        <v/>
      </c>
      <c r="Q664" s="20">
        <f>IF($X664="","",SUMIFS(상세표[22~06시],상세표[사번키],INDEX(합계표[사번키],$X664),상세표[반영월],대상월키,상세표[반영 기관],"서울병원"))</f>
        <v/>
      </c>
      <c r="R664" s="20">
        <f>IF($X664="","",SUM($N664:$Q664))</f>
        <v/>
      </c>
      <c r="S664">
        <f>IF($X664="","",COUNTIFS(상세표[사번키],INDEX(합계표[사번키],$X664),상세표[반영월],대상월키,상세표[야간당직],1,상세표[야간 구분],"평일"))</f>
        <v/>
      </c>
      <c r="T664">
        <f>IF($X664="","",COUNTIFS(상세표[사번키],INDEX(합계표[사번키],$X664),상세표[반영월],대상월키,상세표[야간당직],1,상세표[야간 구분],"휴일"))</f>
        <v/>
      </c>
      <c r="U664">
        <f>IF($X664="","",COUNTIFS(상세표[사번키],INDEX(합계표[사번키],$X664),상세표[반영월],대상월키,상세표[야간당직],1,상세표[야간 구분],"평일",상세표[반영 기관],"서울병원"))</f>
        <v/>
      </c>
      <c r="V664">
        <f>IF($X664="","",COUNTIFS(상세표[사번키],INDEX(합계표[사번키],$X664),상세표[반영월],대상월키,상세표[야간당직],1,상세표[야간 구분],"휴일",상세표[반영 기관],"서울병원"))</f>
        <v/>
      </c>
      <c r="W664">
        <f>IF($X664="","",IF(ISNUMBER(MATCH(INDEX(합계표[사번키],$X664)&amp;"|"&amp;대상월키,월별근무지표[키],0)),"직접 입력",IF($L664="—","—","기관명단")))</f>
        <v/>
      </c>
      <c r="X664" s="4">
        <f>IFERROR(MATCH(659,합계표[판정순번],0),"")</f>
        <v/>
      </c>
    </row>
    <row r="665">
      <c r="A665">
        <f>IF($X665="","",INDEX(합계표[사번],$X665)&amp;"")</f>
        <v/>
      </c>
      <c r="B665">
        <f>IF($X665="","",INDEX(합계표[성명],$X665)&amp;"")</f>
        <v/>
      </c>
      <c r="C665">
        <f>IF($X665="","",INDEX(합계표[부서],$X665)&amp;"")</f>
        <v/>
      </c>
      <c r="D665">
        <f>IF($X665="","",INDEX(합계표[직위(요약)],$X665)&amp;"")</f>
        <v/>
      </c>
      <c r="E665">
        <f>IF($X665="","",INDEX(합계표[직급 공존],$X665)&amp;"")</f>
        <v/>
      </c>
      <c r="F665" s="20">
        <f>IF($X665="","",SUMIFS(합계표[시스템 합계],합계표[사번키],INDEX(합계표[사번키],$X665)))</f>
        <v/>
      </c>
      <c r="G665" s="20">
        <f>IF($X665="","",SUMIFS(상세표[기록 시간외],상세표[사번키],INDEX(합계표[사번키],$X665),상세표[기록월],대상월키))</f>
        <v/>
      </c>
      <c r="H665">
        <f>IF($X665="","",IF(ABS($F665-$G665)&lt;0.01,"일치","불일치(차이 "&amp;TEXT($G665-$F665,"0.00")&amp;")"))</f>
        <v/>
      </c>
      <c r="I665" s="20">
        <f>IF($X665="","",SUMIFS(상세표[기록 시간외],상세표[사번키],INDEX(합계표[사번키],$X665),상세표[기록월],대상월키,상세표[반영월],"&lt;&gt;"&amp;대상월키))</f>
        <v/>
      </c>
      <c r="J665" s="20">
        <f>IF($X665="","",SUMIFS(상세표[기록 시간외],상세표[사번키],INDEX(합계표[사번키],$X665),상세표[기록월],"&lt;&gt;"&amp;대상월키,상세표[반영월],대상월키))</f>
        <v/>
      </c>
      <c r="K665" s="20">
        <f>IF($X665="","",SUMIFS(상세표[기록 시간외],상세표[사번키],INDEX(합계표[사번키],$X665),상세표[반영월],대상월키))</f>
        <v/>
      </c>
      <c r="L665">
        <f>IF($X665="","",IFERROR(INDEX(월별근무지표[적용 급여병원],MATCH(INDEX(합계표[사번키],$X665)&amp;"|"&amp;대상월키,월별근무지표[키],0))&amp;"",IF(COUNTIF(기관표[사번키],INDEX(합계표[사번키],$X665))+COUNTIF(월별근무지표[사번키],INDEX(합계표[사번키],$X665))&gt;0,IFERROR(INDEX(기관표[급여지급병원(기준월)],MATCH(INDEX(합계표[사번키],$X665)&amp;"|"&amp;대상월키,기관표[키],0))&amp;"","—"),"—")))</f>
        <v/>
      </c>
      <c r="M665">
        <f>IF($X665="","",IF(NOT(COUNTIF(기관표[사번키],INDEX(합계표[사번키],$X665))+COUNTIF(월별근무지표[사번키],INDEX(합계표[사번키],$X665))&gt;0),"기관명단에 없음(다른 병원으로 발송)",IF($L665="서울병원","해당",IF(N($R665)&gt;0,"해당(말일 근무)",IF($L665="—","대상월 기관명단 없음(추가 필요)","비해당")))))</f>
        <v/>
      </c>
      <c r="N665" s="20">
        <f>IF($X665="","",SUMIFS(상세표[06~07시],상세표[사번키],INDEX(합계표[사번키],$X665),상세표[반영월],대상월키,상세표[반영 기관],"서울병원"))</f>
        <v/>
      </c>
      <c r="O665" s="20">
        <f>IF($X665="","",SUMIFS(상세표[07~18시],상세표[사번키],INDEX(합계표[사번키],$X665),상세표[반영월],대상월키,상세표[반영 기관],"서울병원"))</f>
        <v/>
      </c>
      <c r="P665" s="20">
        <f>IF($X665="","",SUMIFS(상세표[18~22시],상세표[사번키],INDEX(합계표[사번키],$X665),상세표[반영월],대상월키,상세표[반영 기관],"서울병원"))</f>
        <v/>
      </c>
      <c r="Q665" s="20">
        <f>IF($X665="","",SUMIFS(상세표[22~06시],상세표[사번키],INDEX(합계표[사번키],$X665),상세표[반영월],대상월키,상세표[반영 기관],"서울병원"))</f>
        <v/>
      </c>
      <c r="R665" s="20">
        <f>IF($X665="","",SUM($N665:$Q665))</f>
        <v/>
      </c>
      <c r="S665">
        <f>IF($X665="","",COUNTIFS(상세표[사번키],INDEX(합계표[사번키],$X665),상세표[반영월],대상월키,상세표[야간당직],1,상세표[야간 구분],"평일"))</f>
        <v/>
      </c>
      <c r="T665">
        <f>IF($X665="","",COUNTIFS(상세표[사번키],INDEX(합계표[사번키],$X665),상세표[반영월],대상월키,상세표[야간당직],1,상세표[야간 구분],"휴일"))</f>
        <v/>
      </c>
      <c r="U665">
        <f>IF($X665="","",COUNTIFS(상세표[사번키],INDEX(합계표[사번키],$X665),상세표[반영월],대상월키,상세표[야간당직],1,상세표[야간 구분],"평일",상세표[반영 기관],"서울병원"))</f>
        <v/>
      </c>
      <c r="V665">
        <f>IF($X665="","",COUNTIFS(상세표[사번키],INDEX(합계표[사번키],$X665),상세표[반영월],대상월키,상세표[야간당직],1,상세표[야간 구분],"휴일",상세표[반영 기관],"서울병원"))</f>
        <v/>
      </c>
      <c r="W665">
        <f>IF($X665="","",IF(ISNUMBER(MATCH(INDEX(합계표[사번키],$X665)&amp;"|"&amp;대상월키,월별근무지표[키],0)),"직접 입력",IF($L665="—","—","기관명단")))</f>
        <v/>
      </c>
      <c r="X665" s="4">
        <f>IFERROR(MATCH(660,합계표[판정순번],0),"")</f>
        <v/>
      </c>
    </row>
    <row r="666">
      <c r="A666">
        <f>IF($X666="","",INDEX(합계표[사번],$X666)&amp;"")</f>
        <v/>
      </c>
      <c r="B666">
        <f>IF($X666="","",INDEX(합계표[성명],$X666)&amp;"")</f>
        <v/>
      </c>
      <c r="C666">
        <f>IF($X666="","",INDEX(합계표[부서],$X666)&amp;"")</f>
        <v/>
      </c>
      <c r="D666">
        <f>IF($X666="","",INDEX(합계표[직위(요약)],$X666)&amp;"")</f>
        <v/>
      </c>
      <c r="E666">
        <f>IF($X666="","",INDEX(합계표[직급 공존],$X666)&amp;"")</f>
        <v/>
      </c>
      <c r="F666" s="20">
        <f>IF($X666="","",SUMIFS(합계표[시스템 합계],합계표[사번키],INDEX(합계표[사번키],$X666)))</f>
        <v/>
      </c>
      <c r="G666" s="20">
        <f>IF($X666="","",SUMIFS(상세표[기록 시간외],상세표[사번키],INDEX(합계표[사번키],$X666),상세표[기록월],대상월키))</f>
        <v/>
      </c>
      <c r="H666">
        <f>IF($X666="","",IF(ABS($F666-$G666)&lt;0.01,"일치","불일치(차이 "&amp;TEXT($G666-$F666,"0.00")&amp;")"))</f>
        <v/>
      </c>
      <c r="I666" s="20">
        <f>IF($X666="","",SUMIFS(상세표[기록 시간외],상세표[사번키],INDEX(합계표[사번키],$X666),상세표[기록월],대상월키,상세표[반영월],"&lt;&gt;"&amp;대상월키))</f>
        <v/>
      </c>
      <c r="J666" s="20">
        <f>IF($X666="","",SUMIFS(상세표[기록 시간외],상세표[사번키],INDEX(합계표[사번키],$X666),상세표[기록월],"&lt;&gt;"&amp;대상월키,상세표[반영월],대상월키))</f>
        <v/>
      </c>
      <c r="K666" s="20">
        <f>IF($X666="","",SUMIFS(상세표[기록 시간외],상세표[사번키],INDEX(합계표[사번키],$X666),상세표[반영월],대상월키))</f>
        <v/>
      </c>
      <c r="L666">
        <f>IF($X666="","",IFERROR(INDEX(월별근무지표[적용 급여병원],MATCH(INDEX(합계표[사번키],$X666)&amp;"|"&amp;대상월키,월별근무지표[키],0))&amp;"",IF(COUNTIF(기관표[사번키],INDEX(합계표[사번키],$X666))+COUNTIF(월별근무지표[사번키],INDEX(합계표[사번키],$X666))&gt;0,IFERROR(INDEX(기관표[급여지급병원(기준월)],MATCH(INDEX(합계표[사번키],$X666)&amp;"|"&amp;대상월키,기관표[키],0))&amp;"","—"),"—")))</f>
        <v/>
      </c>
      <c r="M666">
        <f>IF($X666="","",IF(NOT(COUNTIF(기관표[사번키],INDEX(합계표[사번키],$X666))+COUNTIF(월별근무지표[사번키],INDEX(합계표[사번키],$X666))&gt;0),"기관명단에 없음(다른 병원으로 발송)",IF($L666="서울병원","해당",IF(N($R666)&gt;0,"해당(말일 근무)",IF($L666="—","대상월 기관명단 없음(추가 필요)","비해당")))))</f>
        <v/>
      </c>
      <c r="N666" s="20">
        <f>IF($X666="","",SUMIFS(상세표[06~07시],상세표[사번키],INDEX(합계표[사번키],$X666),상세표[반영월],대상월키,상세표[반영 기관],"서울병원"))</f>
        <v/>
      </c>
      <c r="O666" s="20">
        <f>IF($X666="","",SUMIFS(상세표[07~18시],상세표[사번키],INDEX(합계표[사번키],$X666),상세표[반영월],대상월키,상세표[반영 기관],"서울병원"))</f>
        <v/>
      </c>
      <c r="P666" s="20">
        <f>IF($X666="","",SUMIFS(상세표[18~22시],상세표[사번키],INDEX(합계표[사번키],$X666),상세표[반영월],대상월키,상세표[반영 기관],"서울병원"))</f>
        <v/>
      </c>
      <c r="Q666" s="20">
        <f>IF($X666="","",SUMIFS(상세표[22~06시],상세표[사번키],INDEX(합계표[사번키],$X666),상세표[반영월],대상월키,상세표[반영 기관],"서울병원"))</f>
        <v/>
      </c>
      <c r="R666" s="20">
        <f>IF($X666="","",SUM($N666:$Q666))</f>
        <v/>
      </c>
      <c r="S666">
        <f>IF($X666="","",COUNTIFS(상세표[사번키],INDEX(합계표[사번키],$X666),상세표[반영월],대상월키,상세표[야간당직],1,상세표[야간 구분],"평일"))</f>
        <v/>
      </c>
      <c r="T666">
        <f>IF($X666="","",COUNTIFS(상세표[사번키],INDEX(합계표[사번키],$X666),상세표[반영월],대상월키,상세표[야간당직],1,상세표[야간 구분],"휴일"))</f>
        <v/>
      </c>
      <c r="U666">
        <f>IF($X666="","",COUNTIFS(상세표[사번키],INDEX(합계표[사번키],$X666),상세표[반영월],대상월키,상세표[야간당직],1,상세표[야간 구분],"평일",상세표[반영 기관],"서울병원"))</f>
        <v/>
      </c>
      <c r="V666">
        <f>IF($X666="","",COUNTIFS(상세표[사번키],INDEX(합계표[사번키],$X666),상세표[반영월],대상월키,상세표[야간당직],1,상세표[야간 구분],"휴일",상세표[반영 기관],"서울병원"))</f>
        <v/>
      </c>
      <c r="W666">
        <f>IF($X666="","",IF(ISNUMBER(MATCH(INDEX(합계표[사번키],$X666)&amp;"|"&amp;대상월키,월별근무지표[키],0)),"직접 입력",IF($L666="—","—","기관명단")))</f>
        <v/>
      </c>
      <c r="X666" s="4">
        <f>IFERROR(MATCH(661,합계표[판정순번],0),"")</f>
        <v/>
      </c>
    </row>
    <row r="667">
      <c r="A667">
        <f>IF($X667="","",INDEX(합계표[사번],$X667)&amp;"")</f>
        <v/>
      </c>
      <c r="B667">
        <f>IF($X667="","",INDEX(합계표[성명],$X667)&amp;"")</f>
        <v/>
      </c>
      <c r="C667">
        <f>IF($X667="","",INDEX(합계표[부서],$X667)&amp;"")</f>
        <v/>
      </c>
      <c r="D667">
        <f>IF($X667="","",INDEX(합계표[직위(요약)],$X667)&amp;"")</f>
        <v/>
      </c>
      <c r="E667">
        <f>IF($X667="","",INDEX(합계표[직급 공존],$X667)&amp;"")</f>
        <v/>
      </c>
      <c r="F667" s="20">
        <f>IF($X667="","",SUMIFS(합계표[시스템 합계],합계표[사번키],INDEX(합계표[사번키],$X667)))</f>
        <v/>
      </c>
      <c r="G667" s="20">
        <f>IF($X667="","",SUMIFS(상세표[기록 시간외],상세표[사번키],INDEX(합계표[사번키],$X667),상세표[기록월],대상월키))</f>
        <v/>
      </c>
      <c r="H667">
        <f>IF($X667="","",IF(ABS($F667-$G667)&lt;0.01,"일치","불일치(차이 "&amp;TEXT($G667-$F667,"0.00")&amp;")"))</f>
        <v/>
      </c>
      <c r="I667" s="20">
        <f>IF($X667="","",SUMIFS(상세표[기록 시간외],상세표[사번키],INDEX(합계표[사번키],$X667),상세표[기록월],대상월키,상세표[반영월],"&lt;&gt;"&amp;대상월키))</f>
        <v/>
      </c>
      <c r="J667" s="20">
        <f>IF($X667="","",SUMIFS(상세표[기록 시간외],상세표[사번키],INDEX(합계표[사번키],$X667),상세표[기록월],"&lt;&gt;"&amp;대상월키,상세표[반영월],대상월키))</f>
        <v/>
      </c>
      <c r="K667" s="20">
        <f>IF($X667="","",SUMIFS(상세표[기록 시간외],상세표[사번키],INDEX(합계표[사번키],$X667),상세표[반영월],대상월키))</f>
        <v/>
      </c>
      <c r="L667">
        <f>IF($X667="","",IFERROR(INDEX(월별근무지표[적용 급여병원],MATCH(INDEX(합계표[사번키],$X667)&amp;"|"&amp;대상월키,월별근무지표[키],0))&amp;"",IF(COUNTIF(기관표[사번키],INDEX(합계표[사번키],$X667))+COUNTIF(월별근무지표[사번키],INDEX(합계표[사번키],$X667))&gt;0,IFERROR(INDEX(기관표[급여지급병원(기준월)],MATCH(INDEX(합계표[사번키],$X667)&amp;"|"&amp;대상월키,기관표[키],0))&amp;"","—"),"—")))</f>
        <v/>
      </c>
      <c r="M667">
        <f>IF($X667="","",IF(NOT(COUNTIF(기관표[사번키],INDEX(합계표[사번키],$X667))+COUNTIF(월별근무지표[사번키],INDEX(합계표[사번키],$X667))&gt;0),"기관명단에 없음(다른 병원으로 발송)",IF($L667="서울병원","해당",IF(N($R667)&gt;0,"해당(말일 근무)",IF($L667="—","대상월 기관명단 없음(추가 필요)","비해당")))))</f>
        <v/>
      </c>
      <c r="N667" s="20">
        <f>IF($X667="","",SUMIFS(상세표[06~07시],상세표[사번키],INDEX(합계표[사번키],$X667),상세표[반영월],대상월키,상세표[반영 기관],"서울병원"))</f>
        <v/>
      </c>
      <c r="O667" s="20">
        <f>IF($X667="","",SUMIFS(상세표[07~18시],상세표[사번키],INDEX(합계표[사번키],$X667),상세표[반영월],대상월키,상세표[반영 기관],"서울병원"))</f>
        <v/>
      </c>
      <c r="P667" s="20">
        <f>IF($X667="","",SUMIFS(상세표[18~22시],상세표[사번키],INDEX(합계표[사번키],$X667),상세표[반영월],대상월키,상세표[반영 기관],"서울병원"))</f>
        <v/>
      </c>
      <c r="Q667" s="20">
        <f>IF($X667="","",SUMIFS(상세표[22~06시],상세표[사번키],INDEX(합계표[사번키],$X667),상세표[반영월],대상월키,상세표[반영 기관],"서울병원"))</f>
        <v/>
      </c>
      <c r="R667" s="20">
        <f>IF($X667="","",SUM($N667:$Q667))</f>
        <v/>
      </c>
      <c r="S667">
        <f>IF($X667="","",COUNTIFS(상세표[사번키],INDEX(합계표[사번키],$X667),상세표[반영월],대상월키,상세표[야간당직],1,상세표[야간 구분],"평일"))</f>
        <v/>
      </c>
      <c r="T667">
        <f>IF($X667="","",COUNTIFS(상세표[사번키],INDEX(합계표[사번키],$X667),상세표[반영월],대상월키,상세표[야간당직],1,상세표[야간 구분],"휴일"))</f>
        <v/>
      </c>
      <c r="U667">
        <f>IF($X667="","",COUNTIFS(상세표[사번키],INDEX(합계표[사번키],$X667),상세표[반영월],대상월키,상세표[야간당직],1,상세표[야간 구분],"평일",상세표[반영 기관],"서울병원"))</f>
        <v/>
      </c>
      <c r="V667">
        <f>IF($X667="","",COUNTIFS(상세표[사번키],INDEX(합계표[사번키],$X667),상세표[반영월],대상월키,상세표[야간당직],1,상세표[야간 구분],"휴일",상세표[반영 기관],"서울병원"))</f>
        <v/>
      </c>
      <c r="W667">
        <f>IF($X667="","",IF(ISNUMBER(MATCH(INDEX(합계표[사번키],$X667)&amp;"|"&amp;대상월키,월별근무지표[키],0)),"직접 입력",IF($L667="—","—","기관명단")))</f>
        <v/>
      </c>
      <c r="X667" s="4">
        <f>IFERROR(MATCH(662,합계표[판정순번],0),"")</f>
        <v/>
      </c>
    </row>
    <row r="668">
      <c r="A668">
        <f>IF($X668="","",INDEX(합계표[사번],$X668)&amp;"")</f>
        <v/>
      </c>
      <c r="B668">
        <f>IF($X668="","",INDEX(합계표[성명],$X668)&amp;"")</f>
        <v/>
      </c>
      <c r="C668">
        <f>IF($X668="","",INDEX(합계표[부서],$X668)&amp;"")</f>
        <v/>
      </c>
      <c r="D668">
        <f>IF($X668="","",INDEX(합계표[직위(요약)],$X668)&amp;"")</f>
        <v/>
      </c>
      <c r="E668">
        <f>IF($X668="","",INDEX(합계표[직급 공존],$X668)&amp;"")</f>
        <v/>
      </c>
      <c r="F668" s="20">
        <f>IF($X668="","",SUMIFS(합계표[시스템 합계],합계표[사번키],INDEX(합계표[사번키],$X668)))</f>
        <v/>
      </c>
      <c r="G668" s="20">
        <f>IF($X668="","",SUMIFS(상세표[기록 시간외],상세표[사번키],INDEX(합계표[사번키],$X668),상세표[기록월],대상월키))</f>
        <v/>
      </c>
      <c r="H668">
        <f>IF($X668="","",IF(ABS($F668-$G668)&lt;0.01,"일치","불일치(차이 "&amp;TEXT($G668-$F668,"0.00")&amp;")"))</f>
        <v/>
      </c>
      <c r="I668" s="20">
        <f>IF($X668="","",SUMIFS(상세표[기록 시간외],상세표[사번키],INDEX(합계표[사번키],$X668),상세표[기록월],대상월키,상세표[반영월],"&lt;&gt;"&amp;대상월키))</f>
        <v/>
      </c>
      <c r="J668" s="20">
        <f>IF($X668="","",SUMIFS(상세표[기록 시간외],상세표[사번키],INDEX(합계표[사번키],$X668),상세표[기록월],"&lt;&gt;"&amp;대상월키,상세표[반영월],대상월키))</f>
        <v/>
      </c>
      <c r="K668" s="20">
        <f>IF($X668="","",SUMIFS(상세표[기록 시간외],상세표[사번키],INDEX(합계표[사번키],$X668),상세표[반영월],대상월키))</f>
        <v/>
      </c>
      <c r="L668">
        <f>IF($X668="","",IFERROR(INDEX(월별근무지표[적용 급여병원],MATCH(INDEX(합계표[사번키],$X668)&amp;"|"&amp;대상월키,월별근무지표[키],0))&amp;"",IF(COUNTIF(기관표[사번키],INDEX(합계표[사번키],$X668))+COUNTIF(월별근무지표[사번키],INDEX(합계표[사번키],$X668))&gt;0,IFERROR(INDEX(기관표[급여지급병원(기준월)],MATCH(INDEX(합계표[사번키],$X668)&amp;"|"&amp;대상월키,기관표[키],0))&amp;"","—"),"—")))</f>
        <v/>
      </c>
      <c r="M668">
        <f>IF($X668="","",IF(NOT(COUNTIF(기관표[사번키],INDEX(합계표[사번키],$X668))+COUNTIF(월별근무지표[사번키],INDEX(합계표[사번키],$X668))&gt;0),"기관명단에 없음(다른 병원으로 발송)",IF($L668="서울병원","해당",IF(N($R668)&gt;0,"해당(말일 근무)",IF($L668="—","대상월 기관명단 없음(추가 필요)","비해당")))))</f>
        <v/>
      </c>
      <c r="N668" s="20">
        <f>IF($X668="","",SUMIFS(상세표[06~07시],상세표[사번키],INDEX(합계표[사번키],$X668),상세표[반영월],대상월키,상세표[반영 기관],"서울병원"))</f>
        <v/>
      </c>
      <c r="O668" s="20">
        <f>IF($X668="","",SUMIFS(상세표[07~18시],상세표[사번키],INDEX(합계표[사번키],$X668),상세표[반영월],대상월키,상세표[반영 기관],"서울병원"))</f>
        <v/>
      </c>
      <c r="P668" s="20">
        <f>IF($X668="","",SUMIFS(상세표[18~22시],상세표[사번키],INDEX(합계표[사번키],$X668),상세표[반영월],대상월키,상세표[반영 기관],"서울병원"))</f>
        <v/>
      </c>
      <c r="Q668" s="20">
        <f>IF($X668="","",SUMIFS(상세표[22~06시],상세표[사번키],INDEX(합계표[사번키],$X668),상세표[반영월],대상월키,상세표[반영 기관],"서울병원"))</f>
        <v/>
      </c>
      <c r="R668" s="20">
        <f>IF($X668="","",SUM($N668:$Q668))</f>
        <v/>
      </c>
      <c r="S668">
        <f>IF($X668="","",COUNTIFS(상세표[사번키],INDEX(합계표[사번키],$X668),상세표[반영월],대상월키,상세표[야간당직],1,상세표[야간 구분],"평일"))</f>
        <v/>
      </c>
      <c r="T668">
        <f>IF($X668="","",COUNTIFS(상세표[사번키],INDEX(합계표[사번키],$X668),상세표[반영월],대상월키,상세표[야간당직],1,상세표[야간 구분],"휴일"))</f>
        <v/>
      </c>
      <c r="U668">
        <f>IF($X668="","",COUNTIFS(상세표[사번키],INDEX(합계표[사번키],$X668),상세표[반영월],대상월키,상세표[야간당직],1,상세표[야간 구분],"평일",상세표[반영 기관],"서울병원"))</f>
        <v/>
      </c>
      <c r="V668">
        <f>IF($X668="","",COUNTIFS(상세표[사번키],INDEX(합계표[사번키],$X668),상세표[반영월],대상월키,상세표[야간당직],1,상세표[야간 구분],"휴일",상세표[반영 기관],"서울병원"))</f>
        <v/>
      </c>
      <c r="W668">
        <f>IF($X668="","",IF(ISNUMBER(MATCH(INDEX(합계표[사번키],$X668)&amp;"|"&amp;대상월키,월별근무지표[키],0)),"직접 입력",IF($L668="—","—","기관명단")))</f>
        <v/>
      </c>
      <c r="X668" s="4">
        <f>IFERROR(MATCH(663,합계표[판정순번],0),"")</f>
        <v/>
      </c>
    </row>
    <row r="669">
      <c r="A669">
        <f>IF($X669="","",INDEX(합계표[사번],$X669)&amp;"")</f>
        <v/>
      </c>
      <c r="B669">
        <f>IF($X669="","",INDEX(합계표[성명],$X669)&amp;"")</f>
        <v/>
      </c>
      <c r="C669">
        <f>IF($X669="","",INDEX(합계표[부서],$X669)&amp;"")</f>
        <v/>
      </c>
      <c r="D669">
        <f>IF($X669="","",INDEX(합계표[직위(요약)],$X669)&amp;"")</f>
        <v/>
      </c>
      <c r="E669">
        <f>IF($X669="","",INDEX(합계표[직급 공존],$X669)&amp;"")</f>
        <v/>
      </c>
      <c r="F669" s="20">
        <f>IF($X669="","",SUMIFS(합계표[시스템 합계],합계표[사번키],INDEX(합계표[사번키],$X669)))</f>
        <v/>
      </c>
      <c r="G669" s="20">
        <f>IF($X669="","",SUMIFS(상세표[기록 시간외],상세표[사번키],INDEX(합계표[사번키],$X669),상세표[기록월],대상월키))</f>
        <v/>
      </c>
      <c r="H669">
        <f>IF($X669="","",IF(ABS($F669-$G669)&lt;0.01,"일치","불일치(차이 "&amp;TEXT($G669-$F669,"0.00")&amp;")"))</f>
        <v/>
      </c>
      <c r="I669" s="20">
        <f>IF($X669="","",SUMIFS(상세표[기록 시간외],상세표[사번키],INDEX(합계표[사번키],$X669),상세표[기록월],대상월키,상세표[반영월],"&lt;&gt;"&amp;대상월키))</f>
        <v/>
      </c>
      <c r="J669" s="20">
        <f>IF($X669="","",SUMIFS(상세표[기록 시간외],상세표[사번키],INDEX(합계표[사번키],$X669),상세표[기록월],"&lt;&gt;"&amp;대상월키,상세표[반영월],대상월키))</f>
        <v/>
      </c>
      <c r="K669" s="20">
        <f>IF($X669="","",SUMIFS(상세표[기록 시간외],상세표[사번키],INDEX(합계표[사번키],$X669),상세표[반영월],대상월키))</f>
        <v/>
      </c>
      <c r="L669">
        <f>IF($X669="","",IFERROR(INDEX(월별근무지표[적용 급여병원],MATCH(INDEX(합계표[사번키],$X669)&amp;"|"&amp;대상월키,월별근무지표[키],0))&amp;"",IF(COUNTIF(기관표[사번키],INDEX(합계표[사번키],$X669))+COUNTIF(월별근무지표[사번키],INDEX(합계표[사번키],$X669))&gt;0,IFERROR(INDEX(기관표[급여지급병원(기준월)],MATCH(INDEX(합계표[사번키],$X669)&amp;"|"&amp;대상월키,기관표[키],0))&amp;"","—"),"—")))</f>
        <v/>
      </c>
      <c r="M669">
        <f>IF($X669="","",IF(NOT(COUNTIF(기관표[사번키],INDEX(합계표[사번키],$X669))+COUNTIF(월별근무지표[사번키],INDEX(합계표[사번키],$X669))&gt;0),"기관명단에 없음(다른 병원으로 발송)",IF($L669="서울병원","해당",IF(N($R669)&gt;0,"해당(말일 근무)",IF($L669="—","대상월 기관명단 없음(추가 필요)","비해당")))))</f>
        <v/>
      </c>
      <c r="N669" s="20">
        <f>IF($X669="","",SUMIFS(상세표[06~07시],상세표[사번키],INDEX(합계표[사번키],$X669),상세표[반영월],대상월키,상세표[반영 기관],"서울병원"))</f>
        <v/>
      </c>
      <c r="O669" s="20">
        <f>IF($X669="","",SUMIFS(상세표[07~18시],상세표[사번키],INDEX(합계표[사번키],$X669),상세표[반영월],대상월키,상세표[반영 기관],"서울병원"))</f>
        <v/>
      </c>
      <c r="P669" s="20">
        <f>IF($X669="","",SUMIFS(상세표[18~22시],상세표[사번키],INDEX(합계표[사번키],$X669),상세표[반영월],대상월키,상세표[반영 기관],"서울병원"))</f>
        <v/>
      </c>
      <c r="Q669" s="20">
        <f>IF($X669="","",SUMIFS(상세표[22~06시],상세표[사번키],INDEX(합계표[사번키],$X669),상세표[반영월],대상월키,상세표[반영 기관],"서울병원"))</f>
        <v/>
      </c>
      <c r="R669" s="20">
        <f>IF($X669="","",SUM($N669:$Q669))</f>
        <v/>
      </c>
      <c r="S669">
        <f>IF($X669="","",COUNTIFS(상세표[사번키],INDEX(합계표[사번키],$X669),상세표[반영월],대상월키,상세표[야간당직],1,상세표[야간 구분],"평일"))</f>
        <v/>
      </c>
      <c r="T669">
        <f>IF($X669="","",COUNTIFS(상세표[사번키],INDEX(합계표[사번키],$X669),상세표[반영월],대상월키,상세표[야간당직],1,상세표[야간 구분],"휴일"))</f>
        <v/>
      </c>
      <c r="U669">
        <f>IF($X669="","",COUNTIFS(상세표[사번키],INDEX(합계표[사번키],$X669),상세표[반영월],대상월키,상세표[야간당직],1,상세표[야간 구분],"평일",상세표[반영 기관],"서울병원"))</f>
        <v/>
      </c>
      <c r="V669">
        <f>IF($X669="","",COUNTIFS(상세표[사번키],INDEX(합계표[사번키],$X669),상세표[반영월],대상월키,상세표[야간당직],1,상세표[야간 구분],"휴일",상세표[반영 기관],"서울병원"))</f>
        <v/>
      </c>
      <c r="W669">
        <f>IF($X669="","",IF(ISNUMBER(MATCH(INDEX(합계표[사번키],$X669)&amp;"|"&amp;대상월키,월별근무지표[키],0)),"직접 입력",IF($L669="—","—","기관명단")))</f>
        <v/>
      </c>
      <c r="X669" s="4">
        <f>IFERROR(MATCH(664,합계표[판정순번],0),"")</f>
        <v/>
      </c>
    </row>
    <row r="670">
      <c r="A670">
        <f>IF($X670="","",INDEX(합계표[사번],$X670)&amp;"")</f>
        <v/>
      </c>
      <c r="B670">
        <f>IF($X670="","",INDEX(합계표[성명],$X670)&amp;"")</f>
        <v/>
      </c>
      <c r="C670">
        <f>IF($X670="","",INDEX(합계표[부서],$X670)&amp;"")</f>
        <v/>
      </c>
      <c r="D670">
        <f>IF($X670="","",INDEX(합계표[직위(요약)],$X670)&amp;"")</f>
        <v/>
      </c>
      <c r="E670">
        <f>IF($X670="","",INDEX(합계표[직급 공존],$X670)&amp;"")</f>
        <v/>
      </c>
      <c r="F670" s="20">
        <f>IF($X670="","",SUMIFS(합계표[시스템 합계],합계표[사번키],INDEX(합계표[사번키],$X670)))</f>
        <v/>
      </c>
      <c r="G670" s="20">
        <f>IF($X670="","",SUMIFS(상세표[기록 시간외],상세표[사번키],INDEX(합계표[사번키],$X670),상세표[기록월],대상월키))</f>
        <v/>
      </c>
      <c r="H670">
        <f>IF($X670="","",IF(ABS($F670-$G670)&lt;0.01,"일치","불일치(차이 "&amp;TEXT($G670-$F670,"0.00")&amp;")"))</f>
        <v/>
      </c>
      <c r="I670" s="20">
        <f>IF($X670="","",SUMIFS(상세표[기록 시간외],상세표[사번키],INDEX(합계표[사번키],$X670),상세표[기록월],대상월키,상세표[반영월],"&lt;&gt;"&amp;대상월키))</f>
        <v/>
      </c>
      <c r="J670" s="20">
        <f>IF($X670="","",SUMIFS(상세표[기록 시간외],상세표[사번키],INDEX(합계표[사번키],$X670),상세표[기록월],"&lt;&gt;"&amp;대상월키,상세표[반영월],대상월키))</f>
        <v/>
      </c>
      <c r="K670" s="20">
        <f>IF($X670="","",SUMIFS(상세표[기록 시간외],상세표[사번키],INDEX(합계표[사번키],$X670),상세표[반영월],대상월키))</f>
        <v/>
      </c>
      <c r="L670">
        <f>IF($X670="","",IFERROR(INDEX(월별근무지표[적용 급여병원],MATCH(INDEX(합계표[사번키],$X670)&amp;"|"&amp;대상월키,월별근무지표[키],0))&amp;"",IF(COUNTIF(기관표[사번키],INDEX(합계표[사번키],$X670))+COUNTIF(월별근무지표[사번키],INDEX(합계표[사번키],$X670))&gt;0,IFERROR(INDEX(기관표[급여지급병원(기준월)],MATCH(INDEX(합계표[사번키],$X670)&amp;"|"&amp;대상월키,기관표[키],0))&amp;"","—"),"—")))</f>
        <v/>
      </c>
      <c r="M670">
        <f>IF($X670="","",IF(NOT(COUNTIF(기관표[사번키],INDEX(합계표[사번키],$X670))+COUNTIF(월별근무지표[사번키],INDEX(합계표[사번키],$X670))&gt;0),"기관명단에 없음(다른 병원으로 발송)",IF($L670="서울병원","해당",IF(N($R670)&gt;0,"해당(말일 근무)",IF($L670="—","대상월 기관명단 없음(추가 필요)","비해당")))))</f>
        <v/>
      </c>
      <c r="N670" s="20">
        <f>IF($X670="","",SUMIFS(상세표[06~07시],상세표[사번키],INDEX(합계표[사번키],$X670),상세표[반영월],대상월키,상세표[반영 기관],"서울병원"))</f>
        <v/>
      </c>
      <c r="O670" s="20">
        <f>IF($X670="","",SUMIFS(상세표[07~18시],상세표[사번키],INDEX(합계표[사번키],$X670),상세표[반영월],대상월키,상세표[반영 기관],"서울병원"))</f>
        <v/>
      </c>
      <c r="P670" s="20">
        <f>IF($X670="","",SUMIFS(상세표[18~22시],상세표[사번키],INDEX(합계표[사번키],$X670),상세표[반영월],대상월키,상세표[반영 기관],"서울병원"))</f>
        <v/>
      </c>
      <c r="Q670" s="20">
        <f>IF($X670="","",SUMIFS(상세표[22~06시],상세표[사번키],INDEX(합계표[사번키],$X670),상세표[반영월],대상월키,상세표[반영 기관],"서울병원"))</f>
        <v/>
      </c>
      <c r="R670" s="20">
        <f>IF($X670="","",SUM($N670:$Q670))</f>
        <v/>
      </c>
      <c r="S670">
        <f>IF($X670="","",COUNTIFS(상세표[사번키],INDEX(합계표[사번키],$X670),상세표[반영월],대상월키,상세표[야간당직],1,상세표[야간 구분],"평일"))</f>
        <v/>
      </c>
      <c r="T670">
        <f>IF($X670="","",COUNTIFS(상세표[사번키],INDEX(합계표[사번키],$X670),상세표[반영월],대상월키,상세표[야간당직],1,상세표[야간 구분],"휴일"))</f>
        <v/>
      </c>
      <c r="U670">
        <f>IF($X670="","",COUNTIFS(상세표[사번키],INDEX(합계표[사번키],$X670),상세표[반영월],대상월키,상세표[야간당직],1,상세표[야간 구분],"평일",상세표[반영 기관],"서울병원"))</f>
        <v/>
      </c>
      <c r="V670">
        <f>IF($X670="","",COUNTIFS(상세표[사번키],INDEX(합계표[사번키],$X670),상세표[반영월],대상월키,상세표[야간당직],1,상세표[야간 구분],"휴일",상세표[반영 기관],"서울병원"))</f>
        <v/>
      </c>
      <c r="W670">
        <f>IF($X670="","",IF(ISNUMBER(MATCH(INDEX(합계표[사번키],$X670)&amp;"|"&amp;대상월키,월별근무지표[키],0)),"직접 입력",IF($L670="—","—","기관명단")))</f>
        <v/>
      </c>
      <c r="X670" s="4">
        <f>IFERROR(MATCH(665,합계표[판정순번],0),"")</f>
        <v/>
      </c>
    </row>
    <row r="671">
      <c r="A671">
        <f>IF($X671="","",INDEX(합계표[사번],$X671)&amp;"")</f>
        <v/>
      </c>
      <c r="B671">
        <f>IF($X671="","",INDEX(합계표[성명],$X671)&amp;"")</f>
        <v/>
      </c>
      <c r="C671">
        <f>IF($X671="","",INDEX(합계표[부서],$X671)&amp;"")</f>
        <v/>
      </c>
      <c r="D671">
        <f>IF($X671="","",INDEX(합계표[직위(요약)],$X671)&amp;"")</f>
        <v/>
      </c>
      <c r="E671">
        <f>IF($X671="","",INDEX(합계표[직급 공존],$X671)&amp;"")</f>
        <v/>
      </c>
      <c r="F671" s="20">
        <f>IF($X671="","",SUMIFS(합계표[시스템 합계],합계표[사번키],INDEX(합계표[사번키],$X671)))</f>
        <v/>
      </c>
      <c r="G671" s="20">
        <f>IF($X671="","",SUMIFS(상세표[기록 시간외],상세표[사번키],INDEX(합계표[사번키],$X671),상세표[기록월],대상월키))</f>
        <v/>
      </c>
      <c r="H671">
        <f>IF($X671="","",IF(ABS($F671-$G671)&lt;0.01,"일치","불일치(차이 "&amp;TEXT($G671-$F671,"0.00")&amp;")"))</f>
        <v/>
      </c>
      <c r="I671" s="20">
        <f>IF($X671="","",SUMIFS(상세표[기록 시간외],상세표[사번키],INDEX(합계표[사번키],$X671),상세표[기록월],대상월키,상세표[반영월],"&lt;&gt;"&amp;대상월키))</f>
        <v/>
      </c>
      <c r="J671" s="20">
        <f>IF($X671="","",SUMIFS(상세표[기록 시간외],상세표[사번키],INDEX(합계표[사번키],$X671),상세표[기록월],"&lt;&gt;"&amp;대상월키,상세표[반영월],대상월키))</f>
        <v/>
      </c>
      <c r="K671" s="20">
        <f>IF($X671="","",SUMIFS(상세표[기록 시간외],상세표[사번키],INDEX(합계표[사번키],$X671),상세표[반영월],대상월키))</f>
        <v/>
      </c>
      <c r="L671">
        <f>IF($X671="","",IFERROR(INDEX(월별근무지표[적용 급여병원],MATCH(INDEX(합계표[사번키],$X671)&amp;"|"&amp;대상월키,월별근무지표[키],0))&amp;"",IF(COUNTIF(기관표[사번키],INDEX(합계표[사번키],$X671))+COUNTIF(월별근무지표[사번키],INDEX(합계표[사번키],$X671))&gt;0,IFERROR(INDEX(기관표[급여지급병원(기준월)],MATCH(INDEX(합계표[사번키],$X671)&amp;"|"&amp;대상월키,기관표[키],0))&amp;"","—"),"—")))</f>
        <v/>
      </c>
      <c r="M671">
        <f>IF($X671="","",IF(NOT(COUNTIF(기관표[사번키],INDEX(합계표[사번키],$X671))+COUNTIF(월별근무지표[사번키],INDEX(합계표[사번키],$X671))&gt;0),"기관명단에 없음(다른 병원으로 발송)",IF($L671="서울병원","해당",IF(N($R671)&gt;0,"해당(말일 근무)",IF($L671="—","대상월 기관명단 없음(추가 필요)","비해당")))))</f>
        <v/>
      </c>
      <c r="N671" s="20">
        <f>IF($X671="","",SUMIFS(상세표[06~07시],상세표[사번키],INDEX(합계표[사번키],$X671),상세표[반영월],대상월키,상세표[반영 기관],"서울병원"))</f>
        <v/>
      </c>
      <c r="O671" s="20">
        <f>IF($X671="","",SUMIFS(상세표[07~18시],상세표[사번키],INDEX(합계표[사번키],$X671),상세표[반영월],대상월키,상세표[반영 기관],"서울병원"))</f>
        <v/>
      </c>
      <c r="P671" s="20">
        <f>IF($X671="","",SUMIFS(상세표[18~22시],상세표[사번키],INDEX(합계표[사번키],$X671),상세표[반영월],대상월키,상세표[반영 기관],"서울병원"))</f>
        <v/>
      </c>
      <c r="Q671" s="20">
        <f>IF($X671="","",SUMIFS(상세표[22~06시],상세표[사번키],INDEX(합계표[사번키],$X671),상세표[반영월],대상월키,상세표[반영 기관],"서울병원"))</f>
        <v/>
      </c>
      <c r="R671" s="20">
        <f>IF($X671="","",SUM($N671:$Q671))</f>
        <v/>
      </c>
      <c r="S671">
        <f>IF($X671="","",COUNTIFS(상세표[사번키],INDEX(합계표[사번키],$X671),상세표[반영월],대상월키,상세표[야간당직],1,상세표[야간 구분],"평일"))</f>
        <v/>
      </c>
      <c r="T671">
        <f>IF($X671="","",COUNTIFS(상세표[사번키],INDEX(합계표[사번키],$X671),상세표[반영월],대상월키,상세표[야간당직],1,상세표[야간 구분],"휴일"))</f>
        <v/>
      </c>
      <c r="U671">
        <f>IF($X671="","",COUNTIFS(상세표[사번키],INDEX(합계표[사번키],$X671),상세표[반영월],대상월키,상세표[야간당직],1,상세표[야간 구분],"평일",상세표[반영 기관],"서울병원"))</f>
        <v/>
      </c>
      <c r="V671">
        <f>IF($X671="","",COUNTIFS(상세표[사번키],INDEX(합계표[사번키],$X671),상세표[반영월],대상월키,상세표[야간당직],1,상세표[야간 구분],"휴일",상세표[반영 기관],"서울병원"))</f>
        <v/>
      </c>
      <c r="W671">
        <f>IF($X671="","",IF(ISNUMBER(MATCH(INDEX(합계표[사번키],$X671)&amp;"|"&amp;대상월키,월별근무지표[키],0)),"직접 입력",IF($L671="—","—","기관명단")))</f>
        <v/>
      </c>
      <c r="X671" s="4">
        <f>IFERROR(MATCH(666,합계표[판정순번],0),"")</f>
        <v/>
      </c>
    </row>
    <row r="672">
      <c r="A672">
        <f>IF($X672="","",INDEX(합계표[사번],$X672)&amp;"")</f>
        <v/>
      </c>
      <c r="B672">
        <f>IF($X672="","",INDEX(합계표[성명],$X672)&amp;"")</f>
        <v/>
      </c>
      <c r="C672">
        <f>IF($X672="","",INDEX(합계표[부서],$X672)&amp;"")</f>
        <v/>
      </c>
      <c r="D672">
        <f>IF($X672="","",INDEX(합계표[직위(요약)],$X672)&amp;"")</f>
        <v/>
      </c>
      <c r="E672">
        <f>IF($X672="","",INDEX(합계표[직급 공존],$X672)&amp;"")</f>
        <v/>
      </c>
      <c r="F672" s="20">
        <f>IF($X672="","",SUMIFS(합계표[시스템 합계],합계표[사번키],INDEX(합계표[사번키],$X672)))</f>
        <v/>
      </c>
      <c r="G672" s="20">
        <f>IF($X672="","",SUMIFS(상세표[기록 시간외],상세표[사번키],INDEX(합계표[사번키],$X672),상세표[기록월],대상월키))</f>
        <v/>
      </c>
      <c r="H672">
        <f>IF($X672="","",IF(ABS($F672-$G672)&lt;0.01,"일치","불일치(차이 "&amp;TEXT($G672-$F672,"0.00")&amp;")"))</f>
        <v/>
      </c>
      <c r="I672" s="20">
        <f>IF($X672="","",SUMIFS(상세표[기록 시간외],상세표[사번키],INDEX(합계표[사번키],$X672),상세표[기록월],대상월키,상세표[반영월],"&lt;&gt;"&amp;대상월키))</f>
        <v/>
      </c>
      <c r="J672" s="20">
        <f>IF($X672="","",SUMIFS(상세표[기록 시간외],상세표[사번키],INDEX(합계표[사번키],$X672),상세표[기록월],"&lt;&gt;"&amp;대상월키,상세표[반영월],대상월키))</f>
        <v/>
      </c>
      <c r="K672" s="20">
        <f>IF($X672="","",SUMIFS(상세표[기록 시간외],상세표[사번키],INDEX(합계표[사번키],$X672),상세표[반영월],대상월키))</f>
        <v/>
      </c>
      <c r="L672">
        <f>IF($X672="","",IFERROR(INDEX(월별근무지표[적용 급여병원],MATCH(INDEX(합계표[사번키],$X672)&amp;"|"&amp;대상월키,월별근무지표[키],0))&amp;"",IF(COUNTIF(기관표[사번키],INDEX(합계표[사번키],$X672))+COUNTIF(월별근무지표[사번키],INDEX(합계표[사번키],$X672))&gt;0,IFERROR(INDEX(기관표[급여지급병원(기준월)],MATCH(INDEX(합계표[사번키],$X672)&amp;"|"&amp;대상월키,기관표[키],0))&amp;"","—"),"—")))</f>
        <v/>
      </c>
      <c r="M672">
        <f>IF($X672="","",IF(NOT(COUNTIF(기관표[사번키],INDEX(합계표[사번키],$X672))+COUNTIF(월별근무지표[사번키],INDEX(합계표[사번키],$X672))&gt;0),"기관명단에 없음(다른 병원으로 발송)",IF($L672="서울병원","해당",IF(N($R672)&gt;0,"해당(말일 근무)",IF($L672="—","대상월 기관명단 없음(추가 필요)","비해당")))))</f>
        <v/>
      </c>
      <c r="N672" s="20">
        <f>IF($X672="","",SUMIFS(상세표[06~07시],상세표[사번키],INDEX(합계표[사번키],$X672),상세표[반영월],대상월키,상세표[반영 기관],"서울병원"))</f>
        <v/>
      </c>
      <c r="O672" s="20">
        <f>IF($X672="","",SUMIFS(상세표[07~18시],상세표[사번키],INDEX(합계표[사번키],$X672),상세표[반영월],대상월키,상세표[반영 기관],"서울병원"))</f>
        <v/>
      </c>
      <c r="P672" s="20">
        <f>IF($X672="","",SUMIFS(상세표[18~22시],상세표[사번키],INDEX(합계표[사번키],$X672),상세표[반영월],대상월키,상세표[반영 기관],"서울병원"))</f>
        <v/>
      </c>
      <c r="Q672" s="20">
        <f>IF($X672="","",SUMIFS(상세표[22~06시],상세표[사번키],INDEX(합계표[사번키],$X672),상세표[반영월],대상월키,상세표[반영 기관],"서울병원"))</f>
        <v/>
      </c>
      <c r="R672" s="20">
        <f>IF($X672="","",SUM($N672:$Q672))</f>
        <v/>
      </c>
      <c r="S672">
        <f>IF($X672="","",COUNTIFS(상세표[사번키],INDEX(합계표[사번키],$X672),상세표[반영월],대상월키,상세표[야간당직],1,상세표[야간 구분],"평일"))</f>
        <v/>
      </c>
      <c r="T672">
        <f>IF($X672="","",COUNTIFS(상세표[사번키],INDEX(합계표[사번키],$X672),상세표[반영월],대상월키,상세표[야간당직],1,상세표[야간 구분],"휴일"))</f>
        <v/>
      </c>
      <c r="U672">
        <f>IF($X672="","",COUNTIFS(상세표[사번키],INDEX(합계표[사번키],$X672),상세표[반영월],대상월키,상세표[야간당직],1,상세표[야간 구분],"평일",상세표[반영 기관],"서울병원"))</f>
        <v/>
      </c>
      <c r="V672">
        <f>IF($X672="","",COUNTIFS(상세표[사번키],INDEX(합계표[사번키],$X672),상세표[반영월],대상월키,상세표[야간당직],1,상세표[야간 구분],"휴일",상세표[반영 기관],"서울병원"))</f>
        <v/>
      </c>
      <c r="W672">
        <f>IF($X672="","",IF(ISNUMBER(MATCH(INDEX(합계표[사번키],$X672)&amp;"|"&amp;대상월키,월별근무지표[키],0)),"직접 입력",IF($L672="—","—","기관명단")))</f>
        <v/>
      </c>
      <c r="X672" s="4">
        <f>IFERROR(MATCH(667,합계표[판정순번],0),"")</f>
        <v/>
      </c>
    </row>
    <row r="673">
      <c r="A673">
        <f>IF($X673="","",INDEX(합계표[사번],$X673)&amp;"")</f>
        <v/>
      </c>
      <c r="B673">
        <f>IF($X673="","",INDEX(합계표[성명],$X673)&amp;"")</f>
        <v/>
      </c>
      <c r="C673">
        <f>IF($X673="","",INDEX(합계표[부서],$X673)&amp;"")</f>
        <v/>
      </c>
      <c r="D673">
        <f>IF($X673="","",INDEX(합계표[직위(요약)],$X673)&amp;"")</f>
        <v/>
      </c>
      <c r="E673">
        <f>IF($X673="","",INDEX(합계표[직급 공존],$X673)&amp;"")</f>
        <v/>
      </c>
      <c r="F673" s="20">
        <f>IF($X673="","",SUMIFS(합계표[시스템 합계],합계표[사번키],INDEX(합계표[사번키],$X673)))</f>
        <v/>
      </c>
      <c r="G673" s="20">
        <f>IF($X673="","",SUMIFS(상세표[기록 시간외],상세표[사번키],INDEX(합계표[사번키],$X673),상세표[기록월],대상월키))</f>
        <v/>
      </c>
      <c r="H673">
        <f>IF($X673="","",IF(ABS($F673-$G673)&lt;0.01,"일치","불일치(차이 "&amp;TEXT($G673-$F673,"0.00")&amp;")"))</f>
        <v/>
      </c>
      <c r="I673" s="20">
        <f>IF($X673="","",SUMIFS(상세표[기록 시간외],상세표[사번키],INDEX(합계표[사번키],$X673),상세표[기록월],대상월키,상세표[반영월],"&lt;&gt;"&amp;대상월키))</f>
        <v/>
      </c>
      <c r="J673" s="20">
        <f>IF($X673="","",SUMIFS(상세표[기록 시간외],상세표[사번키],INDEX(합계표[사번키],$X673),상세표[기록월],"&lt;&gt;"&amp;대상월키,상세표[반영월],대상월키))</f>
        <v/>
      </c>
      <c r="K673" s="20">
        <f>IF($X673="","",SUMIFS(상세표[기록 시간외],상세표[사번키],INDEX(합계표[사번키],$X673),상세표[반영월],대상월키))</f>
        <v/>
      </c>
      <c r="L673">
        <f>IF($X673="","",IFERROR(INDEX(월별근무지표[적용 급여병원],MATCH(INDEX(합계표[사번키],$X673)&amp;"|"&amp;대상월키,월별근무지표[키],0))&amp;"",IF(COUNTIF(기관표[사번키],INDEX(합계표[사번키],$X673))+COUNTIF(월별근무지표[사번키],INDEX(합계표[사번키],$X673))&gt;0,IFERROR(INDEX(기관표[급여지급병원(기준월)],MATCH(INDEX(합계표[사번키],$X673)&amp;"|"&amp;대상월키,기관표[키],0))&amp;"","—"),"—")))</f>
        <v/>
      </c>
      <c r="M673">
        <f>IF($X673="","",IF(NOT(COUNTIF(기관표[사번키],INDEX(합계표[사번키],$X673))+COUNTIF(월별근무지표[사번키],INDEX(합계표[사번키],$X673))&gt;0),"기관명단에 없음(다른 병원으로 발송)",IF($L673="서울병원","해당",IF(N($R673)&gt;0,"해당(말일 근무)",IF($L673="—","대상월 기관명단 없음(추가 필요)","비해당")))))</f>
        <v/>
      </c>
      <c r="N673" s="20">
        <f>IF($X673="","",SUMIFS(상세표[06~07시],상세표[사번키],INDEX(합계표[사번키],$X673),상세표[반영월],대상월키,상세표[반영 기관],"서울병원"))</f>
        <v/>
      </c>
      <c r="O673" s="20">
        <f>IF($X673="","",SUMIFS(상세표[07~18시],상세표[사번키],INDEX(합계표[사번키],$X673),상세표[반영월],대상월키,상세표[반영 기관],"서울병원"))</f>
        <v/>
      </c>
      <c r="P673" s="20">
        <f>IF($X673="","",SUMIFS(상세표[18~22시],상세표[사번키],INDEX(합계표[사번키],$X673),상세표[반영월],대상월키,상세표[반영 기관],"서울병원"))</f>
        <v/>
      </c>
      <c r="Q673" s="20">
        <f>IF($X673="","",SUMIFS(상세표[22~06시],상세표[사번키],INDEX(합계표[사번키],$X673),상세표[반영월],대상월키,상세표[반영 기관],"서울병원"))</f>
        <v/>
      </c>
      <c r="R673" s="20">
        <f>IF($X673="","",SUM($N673:$Q673))</f>
        <v/>
      </c>
      <c r="S673">
        <f>IF($X673="","",COUNTIFS(상세표[사번키],INDEX(합계표[사번키],$X673),상세표[반영월],대상월키,상세표[야간당직],1,상세표[야간 구분],"평일"))</f>
        <v/>
      </c>
      <c r="T673">
        <f>IF($X673="","",COUNTIFS(상세표[사번키],INDEX(합계표[사번키],$X673),상세표[반영월],대상월키,상세표[야간당직],1,상세표[야간 구분],"휴일"))</f>
        <v/>
      </c>
      <c r="U673">
        <f>IF($X673="","",COUNTIFS(상세표[사번키],INDEX(합계표[사번키],$X673),상세표[반영월],대상월키,상세표[야간당직],1,상세표[야간 구분],"평일",상세표[반영 기관],"서울병원"))</f>
        <v/>
      </c>
      <c r="V673">
        <f>IF($X673="","",COUNTIFS(상세표[사번키],INDEX(합계표[사번키],$X673),상세표[반영월],대상월키,상세표[야간당직],1,상세표[야간 구분],"휴일",상세표[반영 기관],"서울병원"))</f>
        <v/>
      </c>
      <c r="W673">
        <f>IF($X673="","",IF(ISNUMBER(MATCH(INDEX(합계표[사번키],$X673)&amp;"|"&amp;대상월키,월별근무지표[키],0)),"직접 입력",IF($L673="—","—","기관명단")))</f>
        <v/>
      </c>
      <c r="X673" s="4">
        <f>IFERROR(MATCH(668,합계표[판정순번],0),"")</f>
        <v/>
      </c>
    </row>
    <row r="674">
      <c r="A674">
        <f>IF($X674="","",INDEX(합계표[사번],$X674)&amp;"")</f>
        <v/>
      </c>
      <c r="B674">
        <f>IF($X674="","",INDEX(합계표[성명],$X674)&amp;"")</f>
        <v/>
      </c>
      <c r="C674">
        <f>IF($X674="","",INDEX(합계표[부서],$X674)&amp;"")</f>
        <v/>
      </c>
      <c r="D674">
        <f>IF($X674="","",INDEX(합계표[직위(요약)],$X674)&amp;"")</f>
        <v/>
      </c>
      <c r="E674">
        <f>IF($X674="","",INDEX(합계표[직급 공존],$X674)&amp;"")</f>
        <v/>
      </c>
      <c r="F674" s="20">
        <f>IF($X674="","",SUMIFS(합계표[시스템 합계],합계표[사번키],INDEX(합계표[사번키],$X674)))</f>
        <v/>
      </c>
      <c r="G674" s="20">
        <f>IF($X674="","",SUMIFS(상세표[기록 시간외],상세표[사번키],INDEX(합계표[사번키],$X674),상세표[기록월],대상월키))</f>
        <v/>
      </c>
      <c r="H674">
        <f>IF($X674="","",IF(ABS($F674-$G674)&lt;0.01,"일치","불일치(차이 "&amp;TEXT($G674-$F674,"0.00")&amp;")"))</f>
        <v/>
      </c>
      <c r="I674" s="20">
        <f>IF($X674="","",SUMIFS(상세표[기록 시간외],상세표[사번키],INDEX(합계표[사번키],$X674),상세표[기록월],대상월키,상세표[반영월],"&lt;&gt;"&amp;대상월키))</f>
        <v/>
      </c>
      <c r="J674" s="20">
        <f>IF($X674="","",SUMIFS(상세표[기록 시간외],상세표[사번키],INDEX(합계표[사번키],$X674),상세표[기록월],"&lt;&gt;"&amp;대상월키,상세표[반영월],대상월키))</f>
        <v/>
      </c>
      <c r="K674" s="20">
        <f>IF($X674="","",SUMIFS(상세표[기록 시간외],상세표[사번키],INDEX(합계표[사번키],$X674),상세표[반영월],대상월키))</f>
        <v/>
      </c>
      <c r="L674">
        <f>IF($X674="","",IFERROR(INDEX(월별근무지표[적용 급여병원],MATCH(INDEX(합계표[사번키],$X674)&amp;"|"&amp;대상월키,월별근무지표[키],0))&amp;"",IF(COUNTIF(기관표[사번키],INDEX(합계표[사번키],$X674))+COUNTIF(월별근무지표[사번키],INDEX(합계표[사번키],$X674))&gt;0,IFERROR(INDEX(기관표[급여지급병원(기준월)],MATCH(INDEX(합계표[사번키],$X674)&amp;"|"&amp;대상월키,기관표[키],0))&amp;"","—"),"—")))</f>
        <v/>
      </c>
      <c r="M674">
        <f>IF($X674="","",IF(NOT(COUNTIF(기관표[사번키],INDEX(합계표[사번키],$X674))+COUNTIF(월별근무지표[사번키],INDEX(합계표[사번키],$X674))&gt;0),"기관명단에 없음(다른 병원으로 발송)",IF($L674="서울병원","해당",IF(N($R674)&gt;0,"해당(말일 근무)",IF($L674="—","대상월 기관명단 없음(추가 필요)","비해당")))))</f>
        <v/>
      </c>
      <c r="N674" s="20">
        <f>IF($X674="","",SUMIFS(상세표[06~07시],상세표[사번키],INDEX(합계표[사번키],$X674),상세표[반영월],대상월키,상세표[반영 기관],"서울병원"))</f>
        <v/>
      </c>
      <c r="O674" s="20">
        <f>IF($X674="","",SUMIFS(상세표[07~18시],상세표[사번키],INDEX(합계표[사번키],$X674),상세표[반영월],대상월키,상세표[반영 기관],"서울병원"))</f>
        <v/>
      </c>
      <c r="P674" s="20">
        <f>IF($X674="","",SUMIFS(상세표[18~22시],상세표[사번키],INDEX(합계표[사번키],$X674),상세표[반영월],대상월키,상세표[반영 기관],"서울병원"))</f>
        <v/>
      </c>
      <c r="Q674" s="20">
        <f>IF($X674="","",SUMIFS(상세표[22~06시],상세표[사번키],INDEX(합계표[사번키],$X674),상세표[반영월],대상월키,상세표[반영 기관],"서울병원"))</f>
        <v/>
      </c>
      <c r="R674" s="20">
        <f>IF($X674="","",SUM($N674:$Q674))</f>
        <v/>
      </c>
      <c r="S674">
        <f>IF($X674="","",COUNTIFS(상세표[사번키],INDEX(합계표[사번키],$X674),상세표[반영월],대상월키,상세표[야간당직],1,상세표[야간 구분],"평일"))</f>
        <v/>
      </c>
      <c r="T674">
        <f>IF($X674="","",COUNTIFS(상세표[사번키],INDEX(합계표[사번키],$X674),상세표[반영월],대상월키,상세표[야간당직],1,상세표[야간 구분],"휴일"))</f>
        <v/>
      </c>
      <c r="U674">
        <f>IF($X674="","",COUNTIFS(상세표[사번키],INDEX(합계표[사번키],$X674),상세표[반영월],대상월키,상세표[야간당직],1,상세표[야간 구분],"평일",상세표[반영 기관],"서울병원"))</f>
        <v/>
      </c>
      <c r="V674">
        <f>IF($X674="","",COUNTIFS(상세표[사번키],INDEX(합계표[사번키],$X674),상세표[반영월],대상월키,상세표[야간당직],1,상세표[야간 구분],"휴일",상세표[반영 기관],"서울병원"))</f>
        <v/>
      </c>
      <c r="W674">
        <f>IF($X674="","",IF(ISNUMBER(MATCH(INDEX(합계표[사번키],$X674)&amp;"|"&amp;대상월키,월별근무지표[키],0)),"직접 입력",IF($L674="—","—","기관명단")))</f>
        <v/>
      </c>
      <c r="X674" s="4">
        <f>IFERROR(MATCH(669,합계표[판정순번],0),"")</f>
        <v/>
      </c>
    </row>
    <row r="675">
      <c r="A675">
        <f>IF($X675="","",INDEX(합계표[사번],$X675)&amp;"")</f>
        <v/>
      </c>
      <c r="B675">
        <f>IF($X675="","",INDEX(합계표[성명],$X675)&amp;"")</f>
        <v/>
      </c>
      <c r="C675">
        <f>IF($X675="","",INDEX(합계표[부서],$X675)&amp;"")</f>
        <v/>
      </c>
      <c r="D675">
        <f>IF($X675="","",INDEX(합계표[직위(요약)],$X675)&amp;"")</f>
        <v/>
      </c>
      <c r="E675">
        <f>IF($X675="","",INDEX(합계표[직급 공존],$X675)&amp;"")</f>
        <v/>
      </c>
      <c r="F675" s="20">
        <f>IF($X675="","",SUMIFS(합계표[시스템 합계],합계표[사번키],INDEX(합계표[사번키],$X675)))</f>
        <v/>
      </c>
      <c r="G675" s="20">
        <f>IF($X675="","",SUMIFS(상세표[기록 시간외],상세표[사번키],INDEX(합계표[사번키],$X675),상세표[기록월],대상월키))</f>
        <v/>
      </c>
      <c r="H675">
        <f>IF($X675="","",IF(ABS($F675-$G675)&lt;0.01,"일치","불일치(차이 "&amp;TEXT($G675-$F675,"0.00")&amp;")"))</f>
        <v/>
      </c>
      <c r="I675" s="20">
        <f>IF($X675="","",SUMIFS(상세표[기록 시간외],상세표[사번키],INDEX(합계표[사번키],$X675),상세표[기록월],대상월키,상세표[반영월],"&lt;&gt;"&amp;대상월키))</f>
        <v/>
      </c>
      <c r="J675" s="20">
        <f>IF($X675="","",SUMIFS(상세표[기록 시간외],상세표[사번키],INDEX(합계표[사번키],$X675),상세표[기록월],"&lt;&gt;"&amp;대상월키,상세표[반영월],대상월키))</f>
        <v/>
      </c>
      <c r="K675" s="20">
        <f>IF($X675="","",SUMIFS(상세표[기록 시간외],상세표[사번키],INDEX(합계표[사번키],$X675),상세표[반영월],대상월키))</f>
        <v/>
      </c>
      <c r="L675">
        <f>IF($X675="","",IFERROR(INDEX(월별근무지표[적용 급여병원],MATCH(INDEX(합계표[사번키],$X675)&amp;"|"&amp;대상월키,월별근무지표[키],0))&amp;"",IF(COUNTIF(기관표[사번키],INDEX(합계표[사번키],$X675))+COUNTIF(월별근무지표[사번키],INDEX(합계표[사번키],$X675))&gt;0,IFERROR(INDEX(기관표[급여지급병원(기준월)],MATCH(INDEX(합계표[사번키],$X675)&amp;"|"&amp;대상월키,기관표[키],0))&amp;"","—"),"—")))</f>
        <v/>
      </c>
      <c r="M675">
        <f>IF($X675="","",IF(NOT(COUNTIF(기관표[사번키],INDEX(합계표[사번키],$X675))+COUNTIF(월별근무지표[사번키],INDEX(합계표[사번키],$X675))&gt;0),"기관명단에 없음(다른 병원으로 발송)",IF($L675="서울병원","해당",IF(N($R675)&gt;0,"해당(말일 근무)",IF($L675="—","대상월 기관명단 없음(추가 필요)","비해당")))))</f>
        <v/>
      </c>
      <c r="N675" s="20">
        <f>IF($X675="","",SUMIFS(상세표[06~07시],상세표[사번키],INDEX(합계표[사번키],$X675),상세표[반영월],대상월키,상세표[반영 기관],"서울병원"))</f>
        <v/>
      </c>
      <c r="O675" s="20">
        <f>IF($X675="","",SUMIFS(상세표[07~18시],상세표[사번키],INDEX(합계표[사번키],$X675),상세표[반영월],대상월키,상세표[반영 기관],"서울병원"))</f>
        <v/>
      </c>
      <c r="P675" s="20">
        <f>IF($X675="","",SUMIFS(상세표[18~22시],상세표[사번키],INDEX(합계표[사번키],$X675),상세표[반영월],대상월키,상세표[반영 기관],"서울병원"))</f>
        <v/>
      </c>
      <c r="Q675" s="20">
        <f>IF($X675="","",SUMIFS(상세표[22~06시],상세표[사번키],INDEX(합계표[사번키],$X675),상세표[반영월],대상월키,상세표[반영 기관],"서울병원"))</f>
        <v/>
      </c>
      <c r="R675" s="20">
        <f>IF($X675="","",SUM($N675:$Q675))</f>
        <v/>
      </c>
      <c r="S675">
        <f>IF($X675="","",COUNTIFS(상세표[사번키],INDEX(합계표[사번키],$X675),상세표[반영월],대상월키,상세표[야간당직],1,상세표[야간 구분],"평일"))</f>
        <v/>
      </c>
      <c r="T675">
        <f>IF($X675="","",COUNTIFS(상세표[사번키],INDEX(합계표[사번키],$X675),상세표[반영월],대상월키,상세표[야간당직],1,상세표[야간 구분],"휴일"))</f>
        <v/>
      </c>
      <c r="U675">
        <f>IF($X675="","",COUNTIFS(상세표[사번키],INDEX(합계표[사번키],$X675),상세표[반영월],대상월키,상세표[야간당직],1,상세표[야간 구분],"평일",상세표[반영 기관],"서울병원"))</f>
        <v/>
      </c>
      <c r="V675">
        <f>IF($X675="","",COUNTIFS(상세표[사번키],INDEX(합계표[사번키],$X675),상세표[반영월],대상월키,상세표[야간당직],1,상세표[야간 구분],"휴일",상세표[반영 기관],"서울병원"))</f>
        <v/>
      </c>
      <c r="W675">
        <f>IF($X675="","",IF(ISNUMBER(MATCH(INDEX(합계표[사번키],$X675)&amp;"|"&amp;대상월키,월별근무지표[키],0)),"직접 입력",IF($L675="—","—","기관명단")))</f>
        <v/>
      </c>
      <c r="X675" s="4">
        <f>IFERROR(MATCH(670,합계표[판정순번],0),"")</f>
        <v/>
      </c>
    </row>
    <row r="676">
      <c r="A676">
        <f>IF($X676="","",INDEX(합계표[사번],$X676)&amp;"")</f>
        <v/>
      </c>
      <c r="B676">
        <f>IF($X676="","",INDEX(합계표[성명],$X676)&amp;"")</f>
        <v/>
      </c>
      <c r="C676">
        <f>IF($X676="","",INDEX(합계표[부서],$X676)&amp;"")</f>
        <v/>
      </c>
      <c r="D676">
        <f>IF($X676="","",INDEX(합계표[직위(요약)],$X676)&amp;"")</f>
        <v/>
      </c>
      <c r="E676">
        <f>IF($X676="","",INDEX(합계표[직급 공존],$X676)&amp;"")</f>
        <v/>
      </c>
      <c r="F676" s="20">
        <f>IF($X676="","",SUMIFS(합계표[시스템 합계],합계표[사번키],INDEX(합계표[사번키],$X676)))</f>
        <v/>
      </c>
      <c r="G676" s="20">
        <f>IF($X676="","",SUMIFS(상세표[기록 시간외],상세표[사번키],INDEX(합계표[사번키],$X676),상세표[기록월],대상월키))</f>
        <v/>
      </c>
      <c r="H676">
        <f>IF($X676="","",IF(ABS($F676-$G676)&lt;0.01,"일치","불일치(차이 "&amp;TEXT($G676-$F676,"0.00")&amp;")"))</f>
        <v/>
      </c>
      <c r="I676" s="20">
        <f>IF($X676="","",SUMIFS(상세표[기록 시간외],상세표[사번키],INDEX(합계표[사번키],$X676),상세표[기록월],대상월키,상세표[반영월],"&lt;&gt;"&amp;대상월키))</f>
        <v/>
      </c>
      <c r="J676" s="20">
        <f>IF($X676="","",SUMIFS(상세표[기록 시간외],상세표[사번키],INDEX(합계표[사번키],$X676),상세표[기록월],"&lt;&gt;"&amp;대상월키,상세표[반영월],대상월키))</f>
        <v/>
      </c>
      <c r="K676" s="20">
        <f>IF($X676="","",SUMIFS(상세표[기록 시간외],상세표[사번키],INDEX(합계표[사번키],$X676),상세표[반영월],대상월키))</f>
        <v/>
      </c>
      <c r="L676">
        <f>IF($X676="","",IFERROR(INDEX(월별근무지표[적용 급여병원],MATCH(INDEX(합계표[사번키],$X676)&amp;"|"&amp;대상월키,월별근무지표[키],0))&amp;"",IF(COUNTIF(기관표[사번키],INDEX(합계표[사번키],$X676))+COUNTIF(월별근무지표[사번키],INDEX(합계표[사번키],$X676))&gt;0,IFERROR(INDEX(기관표[급여지급병원(기준월)],MATCH(INDEX(합계표[사번키],$X676)&amp;"|"&amp;대상월키,기관표[키],0))&amp;"","—"),"—")))</f>
        <v/>
      </c>
      <c r="M676">
        <f>IF($X676="","",IF(NOT(COUNTIF(기관표[사번키],INDEX(합계표[사번키],$X676))+COUNTIF(월별근무지표[사번키],INDEX(합계표[사번키],$X676))&gt;0),"기관명단에 없음(다른 병원으로 발송)",IF($L676="서울병원","해당",IF(N($R676)&gt;0,"해당(말일 근무)",IF($L676="—","대상월 기관명단 없음(추가 필요)","비해당")))))</f>
        <v/>
      </c>
      <c r="N676" s="20">
        <f>IF($X676="","",SUMIFS(상세표[06~07시],상세표[사번키],INDEX(합계표[사번키],$X676),상세표[반영월],대상월키,상세표[반영 기관],"서울병원"))</f>
        <v/>
      </c>
      <c r="O676" s="20">
        <f>IF($X676="","",SUMIFS(상세표[07~18시],상세표[사번키],INDEX(합계표[사번키],$X676),상세표[반영월],대상월키,상세표[반영 기관],"서울병원"))</f>
        <v/>
      </c>
      <c r="P676" s="20">
        <f>IF($X676="","",SUMIFS(상세표[18~22시],상세표[사번키],INDEX(합계표[사번키],$X676),상세표[반영월],대상월키,상세표[반영 기관],"서울병원"))</f>
        <v/>
      </c>
      <c r="Q676" s="20">
        <f>IF($X676="","",SUMIFS(상세표[22~06시],상세표[사번키],INDEX(합계표[사번키],$X676),상세표[반영월],대상월키,상세표[반영 기관],"서울병원"))</f>
        <v/>
      </c>
      <c r="R676" s="20">
        <f>IF($X676="","",SUM($N676:$Q676))</f>
        <v/>
      </c>
      <c r="S676">
        <f>IF($X676="","",COUNTIFS(상세표[사번키],INDEX(합계표[사번키],$X676),상세표[반영월],대상월키,상세표[야간당직],1,상세표[야간 구분],"평일"))</f>
        <v/>
      </c>
      <c r="T676">
        <f>IF($X676="","",COUNTIFS(상세표[사번키],INDEX(합계표[사번키],$X676),상세표[반영월],대상월키,상세표[야간당직],1,상세표[야간 구분],"휴일"))</f>
        <v/>
      </c>
      <c r="U676">
        <f>IF($X676="","",COUNTIFS(상세표[사번키],INDEX(합계표[사번키],$X676),상세표[반영월],대상월키,상세표[야간당직],1,상세표[야간 구분],"평일",상세표[반영 기관],"서울병원"))</f>
        <v/>
      </c>
      <c r="V676">
        <f>IF($X676="","",COUNTIFS(상세표[사번키],INDEX(합계표[사번키],$X676),상세표[반영월],대상월키,상세표[야간당직],1,상세표[야간 구분],"휴일",상세표[반영 기관],"서울병원"))</f>
        <v/>
      </c>
      <c r="W676">
        <f>IF($X676="","",IF(ISNUMBER(MATCH(INDEX(합계표[사번키],$X676)&amp;"|"&amp;대상월키,월별근무지표[키],0)),"직접 입력",IF($L676="—","—","기관명단")))</f>
        <v/>
      </c>
      <c r="X676" s="4">
        <f>IFERROR(MATCH(671,합계표[판정순번],0),"")</f>
        <v/>
      </c>
    </row>
    <row r="677">
      <c r="A677">
        <f>IF($X677="","",INDEX(합계표[사번],$X677)&amp;"")</f>
        <v/>
      </c>
      <c r="B677">
        <f>IF($X677="","",INDEX(합계표[성명],$X677)&amp;"")</f>
        <v/>
      </c>
      <c r="C677">
        <f>IF($X677="","",INDEX(합계표[부서],$X677)&amp;"")</f>
        <v/>
      </c>
      <c r="D677">
        <f>IF($X677="","",INDEX(합계표[직위(요약)],$X677)&amp;"")</f>
        <v/>
      </c>
      <c r="E677">
        <f>IF($X677="","",INDEX(합계표[직급 공존],$X677)&amp;"")</f>
        <v/>
      </c>
      <c r="F677" s="20">
        <f>IF($X677="","",SUMIFS(합계표[시스템 합계],합계표[사번키],INDEX(합계표[사번키],$X677)))</f>
        <v/>
      </c>
      <c r="G677" s="20">
        <f>IF($X677="","",SUMIFS(상세표[기록 시간외],상세표[사번키],INDEX(합계표[사번키],$X677),상세표[기록월],대상월키))</f>
        <v/>
      </c>
      <c r="H677">
        <f>IF($X677="","",IF(ABS($F677-$G677)&lt;0.01,"일치","불일치(차이 "&amp;TEXT($G677-$F677,"0.00")&amp;")"))</f>
        <v/>
      </c>
      <c r="I677" s="20">
        <f>IF($X677="","",SUMIFS(상세표[기록 시간외],상세표[사번키],INDEX(합계표[사번키],$X677),상세표[기록월],대상월키,상세표[반영월],"&lt;&gt;"&amp;대상월키))</f>
        <v/>
      </c>
      <c r="J677" s="20">
        <f>IF($X677="","",SUMIFS(상세표[기록 시간외],상세표[사번키],INDEX(합계표[사번키],$X677),상세표[기록월],"&lt;&gt;"&amp;대상월키,상세표[반영월],대상월키))</f>
        <v/>
      </c>
      <c r="K677" s="20">
        <f>IF($X677="","",SUMIFS(상세표[기록 시간외],상세표[사번키],INDEX(합계표[사번키],$X677),상세표[반영월],대상월키))</f>
        <v/>
      </c>
      <c r="L677">
        <f>IF($X677="","",IFERROR(INDEX(월별근무지표[적용 급여병원],MATCH(INDEX(합계표[사번키],$X677)&amp;"|"&amp;대상월키,월별근무지표[키],0))&amp;"",IF(COUNTIF(기관표[사번키],INDEX(합계표[사번키],$X677))+COUNTIF(월별근무지표[사번키],INDEX(합계표[사번키],$X677))&gt;0,IFERROR(INDEX(기관표[급여지급병원(기준월)],MATCH(INDEX(합계표[사번키],$X677)&amp;"|"&amp;대상월키,기관표[키],0))&amp;"","—"),"—")))</f>
        <v/>
      </c>
      <c r="M677">
        <f>IF($X677="","",IF(NOT(COUNTIF(기관표[사번키],INDEX(합계표[사번키],$X677))+COUNTIF(월별근무지표[사번키],INDEX(합계표[사번키],$X677))&gt;0),"기관명단에 없음(다른 병원으로 발송)",IF($L677="서울병원","해당",IF(N($R677)&gt;0,"해당(말일 근무)",IF($L677="—","대상월 기관명단 없음(추가 필요)","비해당")))))</f>
        <v/>
      </c>
      <c r="N677" s="20">
        <f>IF($X677="","",SUMIFS(상세표[06~07시],상세표[사번키],INDEX(합계표[사번키],$X677),상세표[반영월],대상월키,상세표[반영 기관],"서울병원"))</f>
        <v/>
      </c>
      <c r="O677" s="20">
        <f>IF($X677="","",SUMIFS(상세표[07~18시],상세표[사번키],INDEX(합계표[사번키],$X677),상세표[반영월],대상월키,상세표[반영 기관],"서울병원"))</f>
        <v/>
      </c>
      <c r="P677" s="20">
        <f>IF($X677="","",SUMIFS(상세표[18~22시],상세표[사번키],INDEX(합계표[사번키],$X677),상세표[반영월],대상월키,상세표[반영 기관],"서울병원"))</f>
        <v/>
      </c>
      <c r="Q677" s="20">
        <f>IF($X677="","",SUMIFS(상세표[22~06시],상세표[사번키],INDEX(합계표[사번키],$X677),상세표[반영월],대상월키,상세표[반영 기관],"서울병원"))</f>
        <v/>
      </c>
      <c r="R677" s="20">
        <f>IF($X677="","",SUM($N677:$Q677))</f>
        <v/>
      </c>
      <c r="S677">
        <f>IF($X677="","",COUNTIFS(상세표[사번키],INDEX(합계표[사번키],$X677),상세표[반영월],대상월키,상세표[야간당직],1,상세표[야간 구분],"평일"))</f>
        <v/>
      </c>
      <c r="T677">
        <f>IF($X677="","",COUNTIFS(상세표[사번키],INDEX(합계표[사번키],$X677),상세표[반영월],대상월키,상세표[야간당직],1,상세표[야간 구분],"휴일"))</f>
        <v/>
      </c>
      <c r="U677">
        <f>IF($X677="","",COUNTIFS(상세표[사번키],INDEX(합계표[사번키],$X677),상세표[반영월],대상월키,상세표[야간당직],1,상세표[야간 구분],"평일",상세표[반영 기관],"서울병원"))</f>
        <v/>
      </c>
      <c r="V677">
        <f>IF($X677="","",COUNTIFS(상세표[사번키],INDEX(합계표[사번키],$X677),상세표[반영월],대상월키,상세표[야간당직],1,상세표[야간 구분],"휴일",상세표[반영 기관],"서울병원"))</f>
        <v/>
      </c>
      <c r="W677">
        <f>IF($X677="","",IF(ISNUMBER(MATCH(INDEX(합계표[사번키],$X677)&amp;"|"&amp;대상월키,월별근무지표[키],0)),"직접 입력",IF($L677="—","—","기관명단")))</f>
        <v/>
      </c>
      <c r="X677" s="4">
        <f>IFERROR(MATCH(672,합계표[판정순번],0),"")</f>
        <v/>
      </c>
    </row>
    <row r="678">
      <c r="A678">
        <f>IF($X678="","",INDEX(합계표[사번],$X678)&amp;"")</f>
        <v/>
      </c>
      <c r="B678">
        <f>IF($X678="","",INDEX(합계표[성명],$X678)&amp;"")</f>
        <v/>
      </c>
      <c r="C678">
        <f>IF($X678="","",INDEX(합계표[부서],$X678)&amp;"")</f>
        <v/>
      </c>
      <c r="D678">
        <f>IF($X678="","",INDEX(합계표[직위(요약)],$X678)&amp;"")</f>
        <v/>
      </c>
      <c r="E678">
        <f>IF($X678="","",INDEX(합계표[직급 공존],$X678)&amp;"")</f>
        <v/>
      </c>
      <c r="F678" s="20">
        <f>IF($X678="","",SUMIFS(합계표[시스템 합계],합계표[사번키],INDEX(합계표[사번키],$X678)))</f>
        <v/>
      </c>
      <c r="G678" s="20">
        <f>IF($X678="","",SUMIFS(상세표[기록 시간외],상세표[사번키],INDEX(합계표[사번키],$X678),상세표[기록월],대상월키))</f>
        <v/>
      </c>
      <c r="H678">
        <f>IF($X678="","",IF(ABS($F678-$G678)&lt;0.01,"일치","불일치(차이 "&amp;TEXT($G678-$F678,"0.00")&amp;")"))</f>
        <v/>
      </c>
      <c r="I678" s="20">
        <f>IF($X678="","",SUMIFS(상세표[기록 시간외],상세표[사번키],INDEX(합계표[사번키],$X678),상세표[기록월],대상월키,상세표[반영월],"&lt;&gt;"&amp;대상월키))</f>
        <v/>
      </c>
      <c r="J678" s="20">
        <f>IF($X678="","",SUMIFS(상세표[기록 시간외],상세표[사번키],INDEX(합계표[사번키],$X678),상세표[기록월],"&lt;&gt;"&amp;대상월키,상세표[반영월],대상월키))</f>
        <v/>
      </c>
      <c r="K678" s="20">
        <f>IF($X678="","",SUMIFS(상세표[기록 시간외],상세표[사번키],INDEX(합계표[사번키],$X678),상세표[반영월],대상월키))</f>
        <v/>
      </c>
      <c r="L678">
        <f>IF($X678="","",IFERROR(INDEX(월별근무지표[적용 급여병원],MATCH(INDEX(합계표[사번키],$X678)&amp;"|"&amp;대상월키,월별근무지표[키],0))&amp;"",IF(COUNTIF(기관표[사번키],INDEX(합계표[사번키],$X678))+COUNTIF(월별근무지표[사번키],INDEX(합계표[사번키],$X678))&gt;0,IFERROR(INDEX(기관표[급여지급병원(기준월)],MATCH(INDEX(합계표[사번키],$X678)&amp;"|"&amp;대상월키,기관표[키],0))&amp;"","—"),"—")))</f>
        <v/>
      </c>
      <c r="M678">
        <f>IF($X678="","",IF(NOT(COUNTIF(기관표[사번키],INDEX(합계표[사번키],$X678))+COUNTIF(월별근무지표[사번키],INDEX(합계표[사번키],$X678))&gt;0),"기관명단에 없음(다른 병원으로 발송)",IF($L678="서울병원","해당",IF(N($R678)&gt;0,"해당(말일 근무)",IF($L678="—","대상월 기관명단 없음(추가 필요)","비해당")))))</f>
        <v/>
      </c>
      <c r="N678" s="20">
        <f>IF($X678="","",SUMIFS(상세표[06~07시],상세표[사번키],INDEX(합계표[사번키],$X678),상세표[반영월],대상월키,상세표[반영 기관],"서울병원"))</f>
        <v/>
      </c>
      <c r="O678" s="20">
        <f>IF($X678="","",SUMIFS(상세표[07~18시],상세표[사번키],INDEX(합계표[사번키],$X678),상세표[반영월],대상월키,상세표[반영 기관],"서울병원"))</f>
        <v/>
      </c>
      <c r="P678" s="20">
        <f>IF($X678="","",SUMIFS(상세표[18~22시],상세표[사번키],INDEX(합계표[사번키],$X678),상세표[반영월],대상월키,상세표[반영 기관],"서울병원"))</f>
        <v/>
      </c>
      <c r="Q678" s="20">
        <f>IF($X678="","",SUMIFS(상세표[22~06시],상세표[사번키],INDEX(합계표[사번키],$X678),상세표[반영월],대상월키,상세표[반영 기관],"서울병원"))</f>
        <v/>
      </c>
      <c r="R678" s="20">
        <f>IF($X678="","",SUM($N678:$Q678))</f>
        <v/>
      </c>
      <c r="S678">
        <f>IF($X678="","",COUNTIFS(상세표[사번키],INDEX(합계표[사번키],$X678),상세표[반영월],대상월키,상세표[야간당직],1,상세표[야간 구분],"평일"))</f>
        <v/>
      </c>
      <c r="T678">
        <f>IF($X678="","",COUNTIFS(상세표[사번키],INDEX(합계표[사번키],$X678),상세표[반영월],대상월키,상세표[야간당직],1,상세표[야간 구분],"휴일"))</f>
        <v/>
      </c>
      <c r="U678">
        <f>IF($X678="","",COUNTIFS(상세표[사번키],INDEX(합계표[사번키],$X678),상세표[반영월],대상월키,상세표[야간당직],1,상세표[야간 구분],"평일",상세표[반영 기관],"서울병원"))</f>
        <v/>
      </c>
      <c r="V678">
        <f>IF($X678="","",COUNTIFS(상세표[사번키],INDEX(합계표[사번키],$X678),상세표[반영월],대상월키,상세표[야간당직],1,상세표[야간 구분],"휴일",상세표[반영 기관],"서울병원"))</f>
        <v/>
      </c>
      <c r="W678">
        <f>IF($X678="","",IF(ISNUMBER(MATCH(INDEX(합계표[사번키],$X678)&amp;"|"&amp;대상월키,월별근무지표[키],0)),"직접 입력",IF($L678="—","—","기관명단")))</f>
        <v/>
      </c>
      <c r="X678" s="4">
        <f>IFERROR(MATCH(673,합계표[판정순번],0),"")</f>
        <v/>
      </c>
    </row>
    <row r="679">
      <c r="A679">
        <f>IF($X679="","",INDEX(합계표[사번],$X679)&amp;"")</f>
        <v/>
      </c>
      <c r="B679">
        <f>IF($X679="","",INDEX(합계표[성명],$X679)&amp;"")</f>
        <v/>
      </c>
      <c r="C679">
        <f>IF($X679="","",INDEX(합계표[부서],$X679)&amp;"")</f>
        <v/>
      </c>
      <c r="D679">
        <f>IF($X679="","",INDEX(합계표[직위(요약)],$X679)&amp;"")</f>
        <v/>
      </c>
      <c r="E679">
        <f>IF($X679="","",INDEX(합계표[직급 공존],$X679)&amp;"")</f>
        <v/>
      </c>
      <c r="F679" s="20">
        <f>IF($X679="","",SUMIFS(합계표[시스템 합계],합계표[사번키],INDEX(합계표[사번키],$X679)))</f>
        <v/>
      </c>
      <c r="G679" s="20">
        <f>IF($X679="","",SUMIFS(상세표[기록 시간외],상세표[사번키],INDEX(합계표[사번키],$X679),상세표[기록월],대상월키))</f>
        <v/>
      </c>
      <c r="H679">
        <f>IF($X679="","",IF(ABS($F679-$G679)&lt;0.01,"일치","불일치(차이 "&amp;TEXT($G679-$F679,"0.00")&amp;")"))</f>
        <v/>
      </c>
      <c r="I679" s="20">
        <f>IF($X679="","",SUMIFS(상세표[기록 시간외],상세표[사번키],INDEX(합계표[사번키],$X679),상세표[기록월],대상월키,상세표[반영월],"&lt;&gt;"&amp;대상월키))</f>
        <v/>
      </c>
      <c r="J679" s="20">
        <f>IF($X679="","",SUMIFS(상세표[기록 시간외],상세표[사번키],INDEX(합계표[사번키],$X679),상세표[기록월],"&lt;&gt;"&amp;대상월키,상세표[반영월],대상월키))</f>
        <v/>
      </c>
      <c r="K679" s="20">
        <f>IF($X679="","",SUMIFS(상세표[기록 시간외],상세표[사번키],INDEX(합계표[사번키],$X679),상세표[반영월],대상월키))</f>
        <v/>
      </c>
      <c r="L679">
        <f>IF($X679="","",IFERROR(INDEX(월별근무지표[적용 급여병원],MATCH(INDEX(합계표[사번키],$X679)&amp;"|"&amp;대상월키,월별근무지표[키],0))&amp;"",IF(COUNTIF(기관표[사번키],INDEX(합계표[사번키],$X679))+COUNTIF(월별근무지표[사번키],INDEX(합계표[사번키],$X679))&gt;0,IFERROR(INDEX(기관표[급여지급병원(기준월)],MATCH(INDEX(합계표[사번키],$X679)&amp;"|"&amp;대상월키,기관표[키],0))&amp;"","—"),"—")))</f>
        <v/>
      </c>
      <c r="M679">
        <f>IF($X679="","",IF(NOT(COUNTIF(기관표[사번키],INDEX(합계표[사번키],$X679))+COUNTIF(월별근무지표[사번키],INDEX(합계표[사번키],$X679))&gt;0),"기관명단에 없음(다른 병원으로 발송)",IF($L679="서울병원","해당",IF(N($R679)&gt;0,"해당(말일 근무)",IF($L679="—","대상월 기관명단 없음(추가 필요)","비해당")))))</f>
        <v/>
      </c>
      <c r="N679" s="20">
        <f>IF($X679="","",SUMIFS(상세표[06~07시],상세표[사번키],INDEX(합계표[사번키],$X679),상세표[반영월],대상월키,상세표[반영 기관],"서울병원"))</f>
        <v/>
      </c>
      <c r="O679" s="20">
        <f>IF($X679="","",SUMIFS(상세표[07~18시],상세표[사번키],INDEX(합계표[사번키],$X679),상세표[반영월],대상월키,상세표[반영 기관],"서울병원"))</f>
        <v/>
      </c>
      <c r="P679" s="20">
        <f>IF($X679="","",SUMIFS(상세표[18~22시],상세표[사번키],INDEX(합계표[사번키],$X679),상세표[반영월],대상월키,상세표[반영 기관],"서울병원"))</f>
        <v/>
      </c>
      <c r="Q679" s="20">
        <f>IF($X679="","",SUMIFS(상세표[22~06시],상세표[사번키],INDEX(합계표[사번키],$X679),상세표[반영월],대상월키,상세표[반영 기관],"서울병원"))</f>
        <v/>
      </c>
      <c r="R679" s="20">
        <f>IF($X679="","",SUM($N679:$Q679))</f>
        <v/>
      </c>
      <c r="S679">
        <f>IF($X679="","",COUNTIFS(상세표[사번키],INDEX(합계표[사번키],$X679),상세표[반영월],대상월키,상세표[야간당직],1,상세표[야간 구분],"평일"))</f>
        <v/>
      </c>
      <c r="T679">
        <f>IF($X679="","",COUNTIFS(상세표[사번키],INDEX(합계표[사번키],$X679),상세표[반영월],대상월키,상세표[야간당직],1,상세표[야간 구분],"휴일"))</f>
        <v/>
      </c>
      <c r="U679">
        <f>IF($X679="","",COUNTIFS(상세표[사번키],INDEX(합계표[사번키],$X679),상세표[반영월],대상월키,상세표[야간당직],1,상세표[야간 구분],"평일",상세표[반영 기관],"서울병원"))</f>
        <v/>
      </c>
      <c r="V679">
        <f>IF($X679="","",COUNTIFS(상세표[사번키],INDEX(합계표[사번키],$X679),상세표[반영월],대상월키,상세표[야간당직],1,상세표[야간 구분],"휴일",상세표[반영 기관],"서울병원"))</f>
        <v/>
      </c>
      <c r="W679">
        <f>IF($X679="","",IF(ISNUMBER(MATCH(INDEX(합계표[사번키],$X679)&amp;"|"&amp;대상월키,월별근무지표[키],0)),"직접 입력",IF($L679="—","—","기관명단")))</f>
        <v/>
      </c>
      <c r="X679" s="4">
        <f>IFERROR(MATCH(674,합계표[판정순번],0),"")</f>
        <v/>
      </c>
    </row>
    <row r="680">
      <c r="A680">
        <f>IF($X680="","",INDEX(합계표[사번],$X680)&amp;"")</f>
        <v/>
      </c>
      <c r="B680">
        <f>IF($X680="","",INDEX(합계표[성명],$X680)&amp;"")</f>
        <v/>
      </c>
      <c r="C680">
        <f>IF($X680="","",INDEX(합계표[부서],$X680)&amp;"")</f>
        <v/>
      </c>
      <c r="D680">
        <f>IF($X680="","",INDEX(합계표[직위(요약)],$X680)&amp;"")</f>
        <v/>
      </c>
      <c r="E680">
        <f>IF($X680="","",INDEX(합계표[직급 공존],$X680)&amp;"")</f>
        <v/>
      </c>
      <c r="F680" s="20">
        <f>IF($X680="","",SUMIFS(합계표[시스템 합계],합계표[사번키],INDEX(합계표[사번키],$X680)))</f>
        <v/>
      </c>
      <c r="G680" s="20">
        <f>IF($X680="","",SUMIFS(상세표[기록 시간외],상세표[사번키],INDEX(합계표[사번키],$X680),상세표[기록월],대상월키))</f>
        <v/>
      </c>
      <c r="H680">
        <f>IF($X680="","",IF(ABS($F680-$G680)&lt;0.01,"일치","불일치(차이 "&amp;TEXT($G680-$F680,"0.00")&amp;")"))</f>
        <v/>
      </c>
      <c r="I680" s="20">
        <f>IF($X680="","",SUMIFS(상세표[기록 시간외],상세표[사번키],INDEX(합계표[사번키],$X680),상세표[기록월],대상월키,상세표[반영월],"&lt;&gt;"&amp;대상월키))</f>
        <v/>
      </c>
      <c r="J680" s="20">
        <f>IF($X680="","",SUMIFS(상세표[기록 시간외],상세표[사번키],INDEX(합계표[사번키],$X680),상세표[기록월],"&lt;&gt;"&amp;대상월키,상세표[반영월],대상월키))</f>
        <v/>
      </c>
      <c r="K680" s="20">
        <f>IF($X680="","",SUMIFS(상세표[기록 시간외],상세표[사번키],INDEX(합계표[사번키],$X680),상세표[반영월],대상월키))</f>
        <v/>
      </c>
      <c r="L680">
        <f>IF($X680="","",IFERROR(INDEX(월별근무지표[적용 급여병원],MATCH(INDEX(합계표[사번키],$X680)&amp;"|"&amp;대상월키,월별근무지표[키],0))&amp;"",IF(COUNTIF(기관표[사번키],INDEX(합계표[사번키],$X680))+COUNTIF(월별근무지표[사번키],INDEX(합계표[사번키],$X680))&gt;0,IFERROR(INDEX(기관표[급여지급병원(기준월)],MATCH(INDEX(합계표[사번키],$X680)&amp;"|"&amp;대상월키,기관표[키],0))&amp;"","—"),"—")))</f>
        <v/>
      </c>
      <c r="M680">
        <f>IF($X680="","",IF(NOT(COUNTIF(기관표[사번키],INDEX(합계표[사번키],$X680))+COUNTIF(월별근무지표[사번키],INDEX(합계표[사번키],$X680))&gt;0),"기관명단에 없음(다른 병원으로 발송)",IF($L680="서울병원","해당",IF(N($R680)&gt;0,"해당(말일 근무)",IF($L680="—","대상월 기관명단 없음(추가 필요)","비해당")))))</f>
        <v/>
      </c>
      <c r="N680" s="20">
        <f>IF($X680="","",SUMIFS(상세표[06~07시],상세표[사번키],INDEX(합계표[사번키],$X680),상세표[반영월],대상월키,상세표[반영 기관],"서울병원"))</f>
        <v/>
      </c>
      <c r="O680" s="20">
        <f>IF($X680="","",SUMIFS(상세표[07~18시],상세표[사번키],INDEX(합계표[사번키],$X680),상세표[반영월],대상월키,상세표[반영 기관],"서울병원"))</f>
        <v/>
      </c>
      <c r="P680" s="20">
        <f>IF($X680="","",SUMIFS(상세표[18~22시],상세표[사번키],INDEX(합계표[사번키],$X680),상세표[반영월],대상월키,상세표[반영 기관],"서울병원"))</f>
        <v/>
      </c>
      <c r="Q680" s="20">
        <f>IF($X680="","",SUMIFS(상세표[22~06시],상세표[사번키],INDEX(합계표[사번키],$X680),상세표[반영월],대상월키,상세표[반영 기관],"서울병원"))</f>
        <v/>
      </c>
      <c r="R680" s="20">
        <f>IF($X680="","",SUM($N680:$Q680))</f>
        <v/>
      </c>
      <c r="S680">
        <f>IF($X680="","",COUNTIFS(상세표[사번키],INDEX(합계표[사번키],$X680),상세표[반영월],대상월키,상세표[야간당직],1,상세표[야간 구분],"평일"))</f>
        <v/>
      </c>
      <c r="T680">
        <f>IF($X680="","",COUNTIFS(상세표[사번키],INDEX(합계표[사번키],$X680),상세표[반영월],대상월키,상세표[야간당직],1,상세표[야간 구분],"휴일"))</f>
        <v/>
      </c>
      <c r="U680">
        <f>IF($X680="","",COUNTIFS(상세표[사번키],INDEX(합계표[사번키],$X680),상세표[반영월],대상월키,상세표[야간당직],1,상세표[야간 구분],"평일",상세표[반영 기관],"서울병원"))</f>
        <v/>
      </c>
      <c r="V680">
        <f>IF($X680="","",COUNTIFS(상세표[사번키],INDEX(합계표[사번키],$X680),상세표[반영월],대상월키,상세표[야간당직],1,상세표[야간 구분],"휴일",상세표[반영 기관],"서울병원"))</f>
        <v/>
      </c>
      <c r="W680">
        <f>IF($X680="","",IF(ISNUMBER(MATCH(INDEX(합계표[사번키],$X680)&amp;"|"&amp;대상월키,월별근무지표[키],0)),"직접 입력",IF($L680="—","—","기관명단")))</f>
        <v/>
      </c>
      <c r="X680" s="4">
        <f>IFERROR(MATCH(675,합계표[판정순번],0),"")</f>
        <v/>
      </c>
    </row>
    <row r="681">
      <c r="A681">
        <f>IF($X681="","",INDEX(합계표[사번],$X681)&amp;"")</f>
        <v/>
      </c>
      <c r="B681">
        <f>IF($X681="","",INDEX(합계표[성명],$X681)&amp;"")</f>
        <v/>
      </c>
      <c r="C681">
        <f>IF($X681="","",INDEX(합계표[부서],$X681)&amp;"")</f>
        <v/>
      </c>
      <c r="D681">
        <f>IF($X681="","",INDEX(합계표[직위(요약)],$X681)&amp;"")</f>
        <v/>
      </c>
      <c r="E681">
        <f>IF($X681="","",INDEX(합계표[직급 공존],$X681)&amp;"")</f>
        <v/>
      </c>
      <c r="F681" s="20">
        <f>IF($X681="","",SUMIFS(합계표[시스템 합계],합계표[사번키],INDEX(합계표[사번키],$X681)))</f>
        <v/>
      </c>
      <c r="G681" s="20">
        <f>IF($X681="","",SUMIFS(상세표[기록 시간외],상세표[사번키],INDEX(합계표[사번키],$X681),상세표[기록월],대상월키))</f>
        <v/>
      </c>
      <c r="H681">
        <f>IF($X681="","",IF(ABS($F681-$G681)&lt;0.01,"일치","불일치(차이 "&amp;TEXT($G681-$F681,"0.00")&amp;")"))</f>
        <v/>
      </c>
      <c r="I681" s="20">
        <f>IF($X681="","",SUMIFS(상세표[기록 시간외],상세표[사번키],INDEX(합계표[사번키],$X681),상세표[기록월],대상월키,상세표[반영월],"&lt;&gt;"&amp;대상월키))</f>
        <v/>
      </c>
      <c r="J681" s="20">
        <f>IF($X681="","",SUMIFS(상세표[기록 시간외],상세표[사번키],INDEX(합계표[사번키],$X681),상세표[기록월],"&lt;&gt;"&amp;대상월키,상세표[반영월],대상월키))</f>
        <v/>
      </c>
      <c r="K681" s="20">
        <f>IF($X681="","",SUMIFS(상세표[기록 시간외],상세표[사번키],INDEX(합계표[사번키],$X681),상세표[반영월],대상월키))</f>
        <v/>
      </c>
      <c r="L681">
        <f>IF($X681="","",IFERROR(INDEX(월별근무지표[적용 급여병원],MATCH(INDEX(합계표[사번키],$X681)&amp;"|"&amp;대상월키,월별근무지표[키],0))&amp;"",IF(COUNTIF(기관표[사번키],INDEX(합계표[사번키],$X681))+COUNTIF(월별근무지표[사번키],INDEX(합계표[사번키],$X681))&gt;0,IFERROR(INDEX(기관표[급여지급병원(기준월)],MATCH(INDEX(합계표[사번키],$X681)&amp;"|"&amp;대상월키,기관표[키],0))&amp;"","—"),"—")))</f>
        <v/>
      </c>
      <c r="M681">
        <f>IF($X681="","",IF(NOT(COUNTIF(기관표[사번키],INDEX(합계표[사번키],$X681))+COUNTIF(월별근무지표[사번키],INDEX(합계표[사번키],$X681))&gt;0),"기관명단에 없음(다른 병원으로 발송)",IF($L681="서울병원","해당",IF(N($R681)&gt;0,"해당(말일 근무)",IF($L681="—","대상월 기관명단 없음(추가 필요)","비해당")))))</f>
        <v/>
      </c>
      <c r="N681" s="20">
        <f>IF($X681="","",SUMIFS(상세표[06~07시],상세표[사번키],INDEX(합계표[사번키],$X681),상세표[반영월],대상월키,상세표[반영 기관],"서울병원"))</f>
        <v/>
      </c>
      <c r="O681" s="20">
        <f>IF($X681="","",SUMIFS(상세표[07~18시],상세표[사번키],INDEX(합계표[사번키],$X681),상세표[반영월],대상월키,상세표[반영 기관],"서울병원"))</f>
        <v/>
      </c>
      <c r="P681" s="20">
        <f>IF($X681="","",SUMIFS(상세표[18~22시],상세표[사번키],INDEX(합계표[사번키],$X681),상세표[반영월],대상월키,상세표[반영 기관],"서울병원"))</f>
        <v/>
      </c>
      <c r="Q681" s="20">
        <f>IF($X681="","",SUMIFS(상세표[22~06시],상세표[사번키],INDEX(합계표[사번키],$X681),상세표[반영월],대상월키,상세표[반영 기관],"서울병원"))</f>
        <v/>
      </c>
      <c r="R681" s="20">
        <f>IF($X681="","",SUM($N681:$Q681))</f>
        <v/>
      </c>
      <c r="S681">
        <f>IF($X681="","",COUNTIFS(상세표[사번키],INDEX(합계표[사번키],$X681),상세표[반영월],대상월키,상세표[야간당직],1,상세표[야간 구분],"평일"))</f>
        <v/>
      </c>
      <c r="T681">
        <f>IF($X681="","",COUNTIFS(상세표[사번키],INDEX(합계표[사번키],$X681),상세표[반영월],대상월키,상세표[야간당직],1,상세표[야간 구분],"휴일"))</f>
        <v/>
      </c>
      <c r="U681">
        <f>IF($X681="","",COUNTIFS(상세표[사번키],INDEX(합계표[사번키],$X681),상세표[반영월],대상월키,상세표[야간당직],1,상세표[야간 구분],"평일",상세표[반영 기관],"서울병원"))</f>
        <v/>
      </c>
      <c r="V681">
        <f>IF($X681="","",COUNTIFS(상세표[사번키],INDEX(합계표[사번키],$X681),상세표[반영월],대상월키,상세표[야간당직],1,상세표[야간 구분],"휴일",상세표[반영 기관],"서울병원"))</f>
        <v/>
      </c>
      <c r="W681">
        <f>IF($X681="","",IF(ISNUMBER(MATCH(INDEX(합계표[사번키],$X681)&amp;"|"&amp;대상월키,월별근무지표[키],0)),"직접 입력",IF($L681="—","—","기관명단")))</f>
        <v/>
      </c>
      <c r="X681" s="4">
        <f>IFERROR(MATCH(676,합계표[판정순번],0),"")</f>
        <v/>
      </c>
    </row>
    <row r="682">
      <c r="A682">
        <f>IF($X682="","",INDEX(합계표[사번],$X682)&amp;"")</f>
        <v/>
      </c>
      <c r="B682">
        <f>IF($X682="","",INDEX(합계표[성명],$X682)&amp;"")</f>
        <v/>
      </c>
      <c r="C682">
        <f>IF($X682="","",INDEX(합계표[부서],$X682)&amp;"")</f>
        <v/>
      </c>
      <c r="D682">
        <f>IF($X682="","",INDEX(합계표[직위(요약)],$X682)&amp;"")</f>
        <v/>
      </c>
      <c r="E682">
        <f>IF($X682="","",INDEX(합계표[직급 공존],$X682)&amp;"")</f>
        <v/>
      </c>
      <c r="F682" s="20">
        <f>IF($X682="","",SUMIFS(합계표[시스템 합계],합계표[사번키],INDEX(합계표[사번키],$X682)))</f>
        <v/>
      </c>
      <c r="G682" s="20">
        <f>IF($X682="","",SUMIFS(상세표[기록 시간외],상세표[사번키],INDEX(합계표[사번키],$X682),상세표[기록월],대상월키))</f>
        <v/>
      </c>
      <c r="H682">
        <f>IF($X682="","",IF(ABS($F682-$G682)&lt;0.01,"일치","불일치(차이 "&amp;TEXT($G682-$F682,"0.00")&amp;")"))</f>
        <v/>
      </c>
      <c r="I682" s="20">
        <f>IF($X682="","",SUMIFS(상세표[기록 시간외],상세표[사번키],INDEX(합계표[사번키],$X682),상세표[기록월],대상월키,상세표[반영월],"&lt;&gt;"&amp;대상월키))</f>
        <v/>
      </c>
      <c r="J682" s="20">
        <f>IF($X682="","",SUMIFS(상세표[기록 시간외],상세표[사번키],INDEX(합계표[사번키],$X682),상세표[기록월],"&lt;&gt;"&amp;대상월키,상세표[반영월],대상월키))</f>
        <v/>
      </c>
      <c r="K682" s="20">
        <f>IF($X682="","",SUMIFS(상세표[기록 시간외],상세표[사번키],INDEX(합계표[사번키],$X682),상세표[반영월],대상월키))</f>
        <v/>
      </c>
      <c r="L682">
        <f>IF($X682="","",IFERROR(INDEX(월별근무지표[적용 급여병원],MATCH(INDEX(합계표[사번키],$X682)&amp;"|"&amp;대상월키,월별근무지표[키],0))&amp;"",IF(COUNTIF(기관표[사번키],INDEX(합계표[사번키],$X682))+COUNTIF(월별근무지표[사번키],INDEX(합계표[사번키],$X682))&gt;0,IFERROR(INDEX(기관표[급여지급병원(기준월)],MATCH(INDEX(합계표[사번키],$X682)&amp;"|"&amp;대상월키,기관표[키],0))&amp;"","—"),"—")))</f>
        <v/>
      </c>
      <c r="M682">
        <f>IF($X682="","",IF(NOT(COUNTIF(기관표[사번키],INDEX(합계표[사번키],$X682))+COUNTIF(월별근무지표[사번키],INDEX(합계표[사번키],$X682))&gt;0),"기관명단에 없음(다른 병원으로 발송)",IF($L682="서울병원","해당",IF(N($R682)&gt;0,"해당(말일 근무)",IF($L682="—","대상월 기관명단 없음(추가 필요)","비해당")))))</f>
        <v/>
      </c>
      <c r="N682" s="20">
        <f>IF($X682="","",SUMIFS(상세표[06~07시],상세표[사번키],INDEX(합계표[사번키],$X682),상세표[반영월],대상월키,상세표[반영 기관],"서울병원"))</f>
        <v/>
      </c>
      <c r="O682" s="20">
        <f>IF($X682="","",SUMIFS(상세표[07~18시],상세표[사번키],INDEX(합계표[사번키],$X682),상세표[반영월],대상월키,상세표[반영 기관],"서울병원"))</f>
        <v/>
      </c>
      <c r="P682" s="20">
        <f>IF($X682="","",SUMIFS(상세표[18~22시],상세표[사번키],INDEX(합계표[사번키],$X682),상세표[반영월],대상월키,상세표[반영 기관],"서울병원"))</f>
        <v/>
      </c>
      <c r="Q682" s="20">
        <f>IF($X682="","",SUMIFS(상세표[22~06시],상세표[사번키],INDEX(합계표[사번키],$X682),상세표[반영월],대상월키,상세표[반영 기관],"서울병원"))</f>
        <v/>
      </c>
      <c r="R682" s="20">
        <f>IF($X682="","",SUM($N682:$Q682))</f>
        <v/>
      </c>
      <c r="S682">
        <f>IF($X682="","",COUNTIFS(상세표[사번키],INDEX(합계표[사번키],$X682),상세표[반영월],대상월키,상세표[야간당직],1,상세표[야간 구분],"평일"))</f>
        <v/>
      </c>
      <c r="T682">
        <f>IF($X682="","",COUNTIFS(상세표[사번키],INDEX(합계표[사번키],$X682),상세표[반영월],대상월키,상세표[야간당직],1,상세표[야간 구분],"휴일"))</f>
        <v/>
      </c>
      <c r="U682">
        <f>IF($X682="","",COUNTIFS(상세표[사번키],INDEX(합계표[사번키],$X682),상세표[반영월],대상월키,상세표[야간당직],1,상세표[야간 구분],"평일",상세표[반영 기관],"서울병원"))</f>
        <v/>
      </c>
      <c r="V682">
        <f>IF($X682="","",COUNTIFS(상세표[사번키],INDEX(합계표[사번키],$X682),상세표[반영월],대상월키,상세표[야간당직],1,상세표[야간 구분],"휴일",상세표[반영 기관],"서울병원"))</f>
        <v/>
      </c>
      <c r="W682">
        <f>IF($X682="","",IF(ISNUMBER(MATCH(INDEX(합계표[사번키],$X682)&amp;"|"&amp;대상월키,월별근무지표[키],0)),"직접 입력",IF($L682="—","—","기관명단")))</f>
        <v/>
      </c>
      <c r="X682" s="4">
        <f>IFERROR(MATCH(677,합계표[판정순번],0),"")</f>
        <v/>
      </c>
    </row>
    <row r="683">
      <c r="A683">
        <f>IF($X683="","",INDEX(합계표[사번],$X683)&amp;"")</f>
        <v/>
      </c>
      <c r="B683">
        <f>IF($X683="","",INDEX(합계표[성명],$X683)&amp;"")</f>
        <v/>
      </c>
      <c r="C683">
        <f>IF($X683="","",INDEX(합계표[부서],$X683)&amp;"")</f>
        <v/>
      </c>
      <c r="D683">
        <f>IF($X683="","",INDEX(합계표[직위(요약)],$X683)&amp;"")</f>
        <v/>
      </c>
      <c r="E683">
        <f>IF($X683="","",INDEX(합계표[직급 공존],$X683)&amp;"")</f>
        <v/>
      </c>
      <c r="F683" s="20">
        <f>IF($X683="","",SUMIFS(합계표[시스템 합계],합계표[사번키],INDEX(합계표[사번키],$X683)))</f>
        <v/>
      </c>
      <c r="G683" s="20">
        <f>IF($X683="","",SUMIFS(상세표[기록 시간외],상세표[사번키],INDEX(합계표[사번키],$X683),상세표[기록월],대상월키))</f>
        <v/>
      </c>
      <c r="H683">
        <f>IF($X683="","",IF(ABS($F683-$G683)&lt;0.01,"일치","불일치(차이 "&amp;TEXT($G683-$F683,"0.00")&amp;")"))</f>
        <v/>
      </c>
      <c r="I683" s="20">
        <f>IF($X683="","",SUMIFS(상세표[기록 시간외],상세표[사번키],INDEX(합계표[사번키],$X683),상세표[기록월],대상월키,상세표[반영월],"&lt;&gt;"&amp;대상월키))</f>
        <v/>
      </c>
      <c r="J683" s="20">
        <f>IF($X683="","",SUMIFS(상세표[기록 시간외],상세표[사번키],INDEX(합계표[사번키],$X683),상세표[기록월],"&lt;&gt;"&amp;대상월키,상세표[반영월],대상월키))</f>
        <v/>
      </c>
      <c r="K683" s="20">
        <f>IF($X683="","",SUMIFS(상세표[기록 시간외],상세표[사번키],INDEX(합계표[사번키],$X683),상세표[반영월],대상월키))</f>
        <v/>
      </c>
      <c r="L683">
        <f>IF($X683="","",IFERROR(INDEX(월별근무지표[적용 급여병원],MATCH(INDEX(합계표[사번키],$X683)&amp;"|"&amp;대상월키,월별근무지표[키],0))&amp;"",IF(COUNTIF(기관표[사번키],INDEX(합계표[사번키],$X683))+COUNTIF(월별근무지표[사번키],INDEX(합계표[사번키],$X683))&gt;0,IFERROR(INDEX(기관표[급여지급병원(기준월)],MATCH(INDEX(합계표[사번키],$X683)&amp;"|"&amp;대상월키,기관표[키],0))&amp;"","—"),"—")))</f>
        <v/>
      </c>
      <c r="M683">
        <f>IF($X683="","",IF(NOT(COUNTIF(기관표[사번키],INDEX(합계표[사번키],$X683))+COUNTIF(월별근무지표[사번키],INDEX(합계표[사번키],$X683))&gt;0),"기관명단에 없음(다른 병원으로 발송)",IF($L683="서울병원","해당",IF(N($R683)&gt;0,"해당(말일 근무)",IF($L683="—","대상월 기관명단 없음(추가 필요)","비해당")))))</f>
        <v/>
      </c>
      <c r="N683" s="20">
        <f>IF($X683="","",SUMIFS(상세표[06~07시],상세표[사번키],INDEX(합계표[사번키],$X683),상세표[반영월],대상월키,상세표[반영 기관],"서울병원"))</f>
        <v/>
      </c>
      <c r="O683" s="20">
        <f>IF($X683="","",SUMIFS(상세표[07~18시],상세표[사번키],INDEX(합계표[사번키],$X683),상세표[반영월],대상월키,상세표[반영 기관],"서울병원"))</f>
        <v/>
      </c>
      <c r="P683" s="20">
        <f>IF($X683="","",SUMIFS(상세표[18~22시],상세표[사번키],INDEX(합계표[사번키],$X683),상세표[반영월],대상월키,상세표[반영 기관],"서울병원"))</f>
        <v/>
      </c>
      <c r="Q683" s="20">
        <f>IF($X683="","",SUMIFS(상세표[22~06시],상세표[사번키],INDEX(합계표[사번키],$X683),상세표[반영월],대상월키,상세표[반영 기관],"서울병원"))</f>
        <v/>
      </c>
      <c r="R683" s="20">
        <f>IF($X683="","",SUM($N683:$Q683))</f>
        <v/>
      </c>
      <c r="S683">
        <f>IF($X683="","",COUNTIFS(상세표[사번키],INDEX(합계표[사번키],$X683),상세표[반영월],대상월키,상세표[야간당직],1,상세표[야간 구분],"평일"))</f>
        <v/>
      </c>
      <c r="T683">
        <f>IF($X683="","",COUNTIFS(상세표[사번키],INDEX(합계표[사번키],$X683),상세표[반영월],대상월키,상세표[야간당직],1,상세표[야간 구분],"휴일"))</f>
        <v/>
      </c>
      <c r="U683">
        <f>IF($X683="","",COUNTIFS(상세표[사번키],INDEX(합계표[사번키],$X683),상세표[반영월],대상월키,상세표[야간당직],1,상세표[야간 구분],"평일",상세표[반영 기관],"서울병원"))</f>
        <v/>
      </c>
      <c r="V683">
        <f>IF($X683="","",COUNTIFS(상세표[사번키],INDEX(합계표[사번키],$X683),상세표[반영월],대상월키,상세표[야간당직],1,상세표[야간 구분],"휴일",상세표[반영 기관],"서울병원"))</f>
        <v/>
      </c>
      <c r="W683">
        <f>IF($X683="","",IF(ISNUMBER(MATCH(INDEX(합계표[사번키],$X683)&amp;"|"&amp;대상월키,월별근무지표[키],0)),"직접 입력",IF($L683="—","—","기관명단")))</f>
        <v/>
      </c>
      <c r="X683" s="4">
        <f>IFERROR(MATCH(678,합계표[판정순번],0),"")</f>
        <v/>
      </c>
    </row>
    <row r="684">
      <c r="A684">
        <f>IF($X684="","",INDEX(합계표[사번],$X684)&amp;"")</f>
        <v/>
      </c>
      <c r="B684">
        <f>IF($X684="","",INDEX(합계표[성명],$X684)&amp;"")</f>
        <v/>
      </c>
      <c r="C684">
        <f>IF($X684="","",INDEX(합계표[부서],$X684)&amp;"")</f>
        <v/>
      </c>
      <c r="D684">
        <f>IF($X684="","",INDEX(합계표[직위(요약)],$X684)&amp;"")</f>
        <v/>
      </c>
      <c r="E684">
        <f>IF($X684="","",INDEX(합계표[직급 공존],$X684)&amp;"")</f>
        <v/>
      </c>
      <c r="F684" s="20">
        <f>IF($X684="","",SUMIFS(합계표[시스템 합계],합계표[사번키],INDEX(합계표[사번키],$X684)))</f>
        <v/>
      </c>
      <c r="G684" s="20">
        <f>IF($X684="","",SUMIFS(상세표[기록 시간외],상세표[사번키],INDEX(합계표[사번키],$X684),상세표[기록월],대상월키))</f>
        <v/>
      </c>
      <c r="H684">
        <f>IF($X684="","",IF(ABS($F684-$G684)&lt;0.01,"일치","불일치(차이 "&amp;TEXT($G684-$F684,"0.00")&amp;")"))</f>
        <v/>
      </c>
      <c r="I684" s="20">
        <f>IF($X684="","",SUMIFS(상세표[기록 시간외],상세표[사번키],INDEX(합계표[사번키],$X684),상세표[기록월],대상월키,상세표[반영월],"&lt;&gt;"&amp;대상월키))</f>
        <v/>
      </c>
      <c r="J684" s="20">
        <f>IF($X684="","",SUMIFS(상세표[기록 시간외],상세표[사번키],INDEX(합계표[사번키],$X684),상세표[기록월],"&lt;&gt;"&amp;대상월키,상세표[반영월],대상월키))</f>
        <v/>
      </c>
      <c r="K684" s="20">
        <f>IF($X684="","",SUMIFS(상세표[기록 시간외],상세표[사번키],INDEX(합계표[사번키],$X684),상세표[반영월],대상월키))</f>
        <v/>
      </c>
      <c r="L684">
        <f>IF($X684="","",IFERROR(INDEX(월별근무지표[적용 급여병원],MATCH(INDEX(합계표[사번키],$X684)&amp;"|"&amp;대상월키,월별근무지표[키],0))&amp;"",IF(COUNTIF(기관표[사번키],INDEX(합계표[사번키],$X684))+COUNTIF(월별근무지표[사번키],INDEX(합계표[사번키],$X684))&gt;0,IFERROR(INDEX(기관표[급여지급병원(기준월)],MATCH(INDEX(합계표[사번키],$X684)&amp;"|"&amp;대상월키,기관표[키],0))&amp;"","—"),"—")))</f>
        <v/>
      </c>
      <c r="M684">
        <f>IF($X684="","",IF(NOT(COUNTIF(기관표[사번키],INDEX(합계표[사번키],$X684))+COUNTIF(월별근무지표[사번키],INDEX(합계표[사번키],$X684))&gt;0),"기관명단에 없음(다른 병원으로 발송)",IF($L684="서울병원","해당",IF(N($R684)&gt;0,"해당(말일 근무)",IF($L684="—","대상월 기관명단 없음(추가 필요)","비해당")))))</f>
        <v/>
      </c>
      <c r="N684" s="20">
        <f>IF($X684="","",SUMIFS(상세표[06~07시],상세표[사번키],INDEX(합계표[사번키],$X684),상세표[반영월],대상월키,상세표[반영 기관],"서울병원"))</f>
        <v/>
      </c>
      <c r="O684" s="20">
        <f>IF($X684="","",SUMIFS(상세표[07~18시],상세표[사번키],INDEX(합계표[사번키],$X684),상세표[반영월],대상월키,상세표[반영 기관],"서울병원"))</f>
        <v/>
      </c>
      <c r="P684" s="20">
        <f>IF($X684="","",SUMIFS(상세표[18~22시],상세표[사번키],INDEX(합계표[사번키],$X684),상세표[반영월],대상월키,상세표[반영 기관],"서울병원"))</f>
        <v/>
      </c>
      <c r="Q684" s="20">
        <f>IF($X684="","",SUMIFS(상세표[22~06시],상세표[사번키],INDEX(합계표[사번키],$X684),상세표[반영월],대상월키,상세표[반영 기관],"서울병원"))</f>
        <v/>
      </c>
      <c r="R684" s="20">
        <f>IF($X684="","",SUM($N684:$Q684))</f>
        <v/>
      </c>
      <c r="S684">
        <f>IF($X684="","",COUNTIFS(상세표[사번키],INDEX(합계표[사번키],$X684),상세표[반영월],대상월키,상세표[야간당직],1,상세표[야간 구분],"평일"))</f>
        <v/>
      </c>
      <c r="T684">
        <f>IF($X684="","",COUNTIFS(상세표[사번키],INDEX(합계표[사번키],$X684),상세표[반영월],대상월키,상세표[야간당직],1,상세표[야간 구분],"휴일"))</f>
        <v/>
      </c>
      <c r="U684">
        <f>IF($X684="","",COUNTIFS(상세표[사번키],INDEX(합계표[사번키],$X684),상세표[반영월],대상월키,상세표[야간당직],1,상세표[야간 구분],"평일",상세표[반영 기관],"서울병원"))</f>
        <v/>
      </c>
      <c r="V684">
        <f>IF($X684="","",COUNTIFS(상세표[사번키],INDEX(합계표[사번키],$X684),상세표[반영월],대상월키,상세표[야간당직],1,상세표[야간 구분],"휴일",상세표[반영 기관],"서울병원"))</f>
        <v/>
      </c>
      <c r="W684">
        <f>IF($X684="","",IF(ISNUMBER(MATCH(INDEX(합계표[사번키],$X684)&amp;"|"&amp;대상월키,월별근무지표[키],0)),"직접 입력",IF($L684="—","—","기관명단")))</f>
        <v/>
      </c>
      <c r="X684" s="4">
        <f>IFERROR(MATCH(679,합계표[판정순번],0),"")</f>
        <v/>
      </c>
    </row>
    <row r="685">
      <c r="A685">
        <f>IF($X685="","",INDEX(합계표[사번],$X685)&amp;"")</f>
        <v/>
      </c>
      <c r="B685">
        <f>IF($X685="","",INDEX(합계표[성명],$X685)&amp;"")</f>
        <v/>
      </c>
      <c r="C685">
        <f>IF($X685="","",INDEX(합계표[부서],$X685)&amp;"")</f>
        <v/>
      </c>
      <c r="D685">
        <f>IF($X685="","",INDEX(합계표[직위(요약)],$X685)&amp;"")</f>
        <v/>
      </c>
      <c r="E685">
        <f>IF($X685="","",INDEX(합계표[직급 공존],$X685)&amp;"")</f>
        <v/>
      </c>
      <c r="F685" s="20">
        <f>IF($X685="","",SUMIFS(합계표[시스템 합계],합계표[사번키],INDEX(합계표[사번키],$X685)))</f>
        <v/>
      </c>
      <c r="G685" s="20">
        <f>IF($X685="","",SUMIFS(상세표[기록 시간외],상세표[사번키],INDEX(합계표[사번키],$X685),상세표[기록월],대상월키))</f>
        <v/>
      </c>
      <c r="H685">
        <f>IF($X685="","",IF(ABS($F685-$G685)&lt;0.01,"일치","불일치(차이 "&amp;TEXT($G685-$F685,"0.00")&amp;")"))</f>
        <v/>
      </c>
      <c r="I685" s="20">
        <f>IF($X685="","",SUMIFS(상세표[기록 시간외],상세표[사번키],INDEX(합계표[사번키],$X685),상세표[기록월],대상월키,상세표[반영월],"&lt;&gt;"&amp;대상월키))</f>
        <v/>
      </c>
      <c r="J685" s="20">
        <f>IF($X685="","",SUMIFS(상세표[기록 시간외],상세표[사번키],INDEX(합계표[사번키],$X685),상세표[기록월],"&lt;&gt;"&amp;대상월키,상세표[반영월],대상월키))</f>
        <v/>
      </c>
      <c r="K685" s="20">
        <f>IF($X685="","",SUMIFS(상세표[기록 시간외],상세표[사번키],INDEX(합계표[사번키],$X685),상세표[반영월],대상월키))</f>
        <v/>
      </c>
      <c r="L685">
        <f>IF($X685="","",IFERROR(INDEX(월별근무지표[적용 급여병원],MATCH(INDEX(합계표[사번키],$X685)&amp;"|"&amp;대상월키,월별근무지표[키],0))&amp;"",IF(COUNTIF(기관표[사번키],INDEX(합계표[사번키],$X685))+COUNTIF(월별근무지표[사번키],INDEX(합계표[사번키],$X685))&gt;0,IFERROR(INDEX(기관표[급여지급병원(기준월)],MATCH(INDEX(합계표[사번키],$X685)&amp;"|"&amp;대상월키,기관표[키],0))&amp;"","—"),"—")))</f>
        <v/>
      </c>
      <c r="M685">
        <f>IF($X685="","",IF(NOT(COUNTIF(기관표[사번키],INDEX(합계표[사번키],$X685))+COUNTIF(월별근무지표[사번키],INDEX(합계표[사번키],$X685))&gt;0),"기관명단에 없음(다른 병원으로 발송)",IF($L685="서울병원","해당",IF(N($R685)&gt;0,"해당(말일 근무)",IF($L685="—","대상월 기관명단 없음(추가 필요)","비해당")))))</f>
        <v/>
      </c>
      <c r="N685" s="20">
        <f>IF($X685="","",SUMIFS(상세표[06~07시],상세표[사번키],INDEX(합계표[사번키],$X685),상세표[반영월],대상월키,상세표[반영 기관],"서울병원"))</f>
        <v/>
      </c>
      <c r="O685" s="20">
        <f>IF($X685="","",SUMIFS(상세표[07~18시],상세표[사번키],INDEX(합계표[사번키],$X685),상세표[반영월],대상월키,상세표[반영 기관],"서울병원"))</f>
        <v/>
      </c>
      <c r="P685" s="20">
        <f>IF($X685="","",SUMIFS(상세표[18~22시],상세표[사번키],INDEX(합계표[사번키],$X685),상세표[반영월],대상월키,상세표[반영 기관],"서울병원"))</f>
        <v/>
      </c>
      <c r="Q685" s="20">
        <f>IF($X685="","",SUMIFS(상세표[22~06시],상세표[사번키],INDEX(합계표[사번키],$X685),상세표[반영월],대상월키,상세표[반영 기관],"서울병원"))</f>
        <v/>
      </c>
      <c r="R685" s="20">
        <f>IF($X685="","",SUM($N685:$Q685))</f>
        <v/>
      </c>
      <c r="S685">
        <f>IF($X685="","",COUNTIFS(상세표[사번키],INDEX(합계표[사번키],$X685),상세표[반영월],대상월키,상세표[야간당직],1,상세표[야간 구분],"평일"))</f>
        <v/>
      </c>
      <c r="T685">
        <f>IF($X685="","",COUNTIFS(상세표[사번키],INDEX(합계표[사번키],$X685),상세표[반영월],대상월키,상세표[야간당직],1,상세표[야간 구분],"휴일"))</f>
        <v/>
      </c>
      <c r="U685">
        <f>IF($X685="","",COUNTIFS(상세표[사번키],INDEX(합계표[사번키],$X685),상세표[반영월],대상월키,상세표[야간당직],1,상세표[야간 구분],"평일",상세표[반영 기관],"서울병원"))</f>
        <v/>
      </c>
      <c r="V685">
        <f>IF($X685="","",COUNTIFS(상세표[사번키],INDEX(합계표[사번키],$X685),상세표[반영월],대상월키,상세표[야간당직],1,상세표[야간 구분],"휴일",상세표[반영 기관],"서울병원"))</f>
        <v/>
      </c>
      <c r="W685">
        <f>IF($X685="","",IF(ISNUMBER(MATCH(INDEX(합계표[사번키],$X685)&amp;"|"&amp;대상월키,월별근무지표[키],0)),"직접 입력",IF($L685="—","—","기관명단")))</f>
        <v/>
      </c>
      <c r="X685" s="4">
        <f>IFERROR(MATCH(680,합계표[판정순번],0),"")</f>
        <v/>
      </c>
    </row>
    <row r="686">
      <c r="A686">
        <f>IF($X686="","",INDEX(합계표[사번],$X686)&amp;"")</f>
        <v/>
      </c>
      <c r="B686">
        <f>IF($X686="","",INDEX(합계표[성명],$X686)&amp;"")</f>
        <v/>
      </c>
      <c r="C686">
        <f>IF($X686="","",INDEX(합계표[부서],$X686)&amp;"")</f>
        <v/>
      </c>
      <c r="D686">
        <f>IF($X686="","",INDEX(합계표[직위(요약)],$X686)&amp;"")</f>
        <v/>
      </c>
      <c r="E686">
        <f>IF($X686="","",INDEX(합계표[직급 공존],$X686)&amp;"")</f>
        <v/>
      </c>
      <c r="F686" s="20">
        <f>IF($X686="","",SUMIFS(합계표[시스템 합계],합계표[사번키],INDEX(합계표[사번키],$X686)))</f>
        <v/>
      </c>
      <c r="G686" s="20">
        <f>IF($X686="","",SUMIFS(상세표[기록 시간외],상세표[사번키],INDEX(합계표[사번키],$X686),상세표[기록월],대상월키))</f>
        <v/>
      </c>
      <c r="H686">
        <f>IF($X686="","",IF(ABS($F686-$G686)&lt;0.01,"일치","불일치(차이 "&amp;TEXT($G686-$F686,"0.00")&amp;")"))</f>
        <v/>
      </c>
      <c r="I686" s="20">
        <f>IF($X686="","",SUMIFS(상세표[기록 시간외],상세표[사번키],INDEX(합계표[사번키],$X686),상세표[기록월],대상월키,상세표[반영월],"&lt;&gt;"&amp;대상월키))</f>
        <v/>
      </c>
      <c r="J686" s="20">
        <f>IF($X686="","",SUMIFS(상세표[기록 시간외],상세표[사번키],INDEX(합계표[사번키],$X686),상세표[기록월],"&lt;&gt;"&amp;대상월키,상세표[반영월],대상월키))</f>
        <v/>
      </c>
      <c r="K686" s="20">
        <f>IF($X686="","",SUMIFS(상세표[기록 시간외],상세표[사번키],INDEX(합계표[사번키],$X686),상세표[반영월],대상월키))</f>
        <v/>
      </c>
      <c r="L686">
        <f>IF($X686="","",IFERROR(INDEX(월별근무지표[적용 급여병원],MATCH(INDEX(합계표[사번키],$X686)&amp;"|"&amp;대상월키,월별근무지표[키],0))&amp;"",IF(COUNTIF(기관표[사번키],INDEX(합계표[사번키],$X686))+COUNTIF(월별근무지표[사번키],INDEX(합계표[사번키],$X686))&gt;0,IFERROR(INDEX(기관표[급여지급병원(기준월)],MATCH(INDEX(합계표[사번키],$X686)&amp;"|"&amp;대상월키,기관표[키],0))&amp;"","—"),"—")))</f>
        <v/>
      </c>
      <c r="M686">
        <f>IF($X686="","",IF(NOT(COUNTIF(기관표[사번키],INDEX(합계표[사번키],$X686))+COUNTIF(월별근무지표[사번키],INDEX(합계표[사번키],$X686))&gt;0),"기관명단에 없음(다른 병원으로 발송)",IF($L686="서울병원","해당",IF(N($R686)&gt;0,"해당(말일 근무)",IF($L686="—","대상월 기관명단 없음(추가 필요)","비해당")))))</f>
        <v/>
      </c>
      <c r="N686" s="20">
        <f>IF($X686="","",SUMIFS(상세표[06~07시],상세표[사번키],INDEX(합계표[사번키],$X686),상세표[반영월],대상월키,상세표[반영 기관],"서울병원"))</f>
        <v/>
      </c>
      <c r="O686" s="20">
        <f>IF($X686="","",SUMIFS(상세표[07~18시],상세표[사번키],INDEX(합계표[사번키],$X686),상세표[반영월],대상월키,상세표[반영 기관],"서울병원"))</f>
        <v/>
      </c>
      <c r="P686" s="20">
        <f>IF($X686="","",SUMIFS(상세표[18~22시],상세표[사번키],INDEX(합계표[사번키],$X686),상세표[반영월],대상월키,상세표[반영 기관],"서울병원"))</f>
        <v/>
      </c>
      <c r="Q686" s="20">
        <f>IF($X686="","",SUMIFS(상세표[22~06시],상세표[사번키],INDEX(합계표[사번키],$X686),상세표[반영월],대상월키,상세표[반영 기관],"서울병원"))</f>
        <v/>
      </c>
      <c r="R686" s="20">
        <f>IF($X686="","",SUM($N686:$Q686))</f>
        <v/>
      </c>
      <c r="S686">
        <f>IF($X686="","",COUNTIFS(상세표[사번키],INDEX(합계표[사번키],$X686),상세표[반영월],대상월키,상세표[야간당직],1,상세표[야간 구분],"평일"))</f>
        <v/>
      </c>
      <c r="T686">
        <f>IF($X686="","",COUNTIFS(상세표[사번키],INDEX(합계표[사번키],$X686),상세표[반영월],대상월키,상세표[야간당직],1,상세표[야간 구분],"휴일"))</f>
        <v/>
      </c>
      <c r="U686">
        <f>IF($X686="","",COUNTIFS(상세표[사번키],INDEX(합계표[사번키],$X686),상세표[반영월],대상월키,상세표[야간당직],1,상세표[야간 구분],"평일",상세표[반영 기관],"서울병원"))</f>
        <v/>
      </c>
      <c r="V686">
        <f>IF($X686="","",COUNTIFS(상세표[사번키],INDEX(합계표[사번키],$X686),상세표[반영월],대상월키,상세표[야간당직],1,상세표[야간 구분],"휴일",상세표[반영 기관],"서울병원"))</f>
        <v/>
      </c>
      <c r="W686">
        <f>IF($X686="","",IF(ISNUMBER(MATCH(INDEX(합계표[사번키],$X686)&amp;"|"&amp;대상월키,월별근무지표[키],0)),"직접 입력",IF($L686="—","—","기관명단")))</f>
        <v/>
      </c>
      <c r="X686" s="4">
        <f>IFERROR(MATCH(681,합계표[판정순번],0),"")</f>
        <v/>
      </c>
    </row>
    <row r="687">
      <c r="A687">
        <f>IF($X687="","",INDEX(합계표[사번],$X687)&amp;"")</f>
        <v/>
      </c>
      <c r="B687">
        <f>IF($X687="","",INDEX(합계표[성명],$X687)&amp;"")</f>
        <v/>
      </c>
      <c r="C687">
        <f>IF($X687="","",INDEX(합계표[부서],$X687)&amp;"")</f>
        <v/>
      </c>
      <c r="D687">
        <f>IF($X687="","",INDEX(합계표[직위(요약)],$X687)&amp;"")</f>
        <v/>
      </c>
      <c r="E687">
        <f>IF($X687="","",INDEX(합계표[직급 공존],$X687)&amp;"")</f>
        <v/>
      </c>
      <c r="F687" s="20">
        <f>IF($X687="","",SUMIFS(합계표[시스템 합계],합계표[사번키],INDEX(합계표[사번키],$X687)))</f>
        <v/>
      </c>
      <c r="G687" s="20">
        <f>IF($X687="","",SUMIFS(상세표[기록 시간외],상세표[사번키],INDEX(합계표[사번키],$X687),상세표[기록월],대상월키))</f>
        <v/>
      </c>
      <c r="H687">
        <f>IF($X687="","",IF(ABS($F687-$G687)&lt;0.01,"일치","불일치(차이 "&amp;TEXT($G687-$F687,"0.00")&amp;")"))</f>
        <v/>
      </c>
      <c r="I687" s="20">
        <f>IF($X687="","",SUMIFS(상세표[기록 시간외],상세표[사번키],INDEX(합계표[사번키],$X687),상세표[기록월],대상월키,상세표[반영월],"&lt;&gt;"&amp;대상월키))</f>
        <v/>
      </c>
      <c r="J687" s="20">
        <f>IF($X687="","",SUMIFS(상세표[기록 시간외],상세표[사번키],INDEX(합계표[사번키],$X687),상세표[기록월],"&lt;&gt;"&amp;대상월키,상세표[반영월],대상월키))</f>
        <v/>
      </c>
      <c r="K687" s="20">
        <f>IF($X687="","",SUMIFS(상세표[기록 시간외],상세표[사번키],INDEX(합계표[사번키],$X687),상세표[반영월],대상월키))</f>
        <v/>
      </c>
      <c r="L687">
        <f>IF($X687="","",IFERROR(INDEX(월별근무지표[적용 급여병원],MATCH(INDEX(합계표[사번키],$X687)&amp;"|"&amp;대상월키,월별근무지표[키],0))&amp;"",IF(COUNTIF(기관표[사번키],INDEX(합계표[사번키],$X687))+COUNTIF(월별근무지표[사번키],INDEX(합계표[사번키],$X687))&gt;0,IFERROR(INDEX(기관표[급여지급병원(기준월)],MATCH(INDEX(합계표[사번키],$X687)&amp;"|"&amp;대상월키,기관표[키],0))&amp;"","—"),"—")))</f>
        <v/>
      </c>
      <c r="M687">
        <f>IF($X687="","",IF(NOT(COUNTIF(기관표[사번키],INDEX(합계표[사번키],$X687))+COUNTIF(월별근무지표[사번키],INDEX(합계표[사번키],$X687))&gt;0),"기관명단에 없음(다른 병원으로 발송)",IF($L687="서울병원","해당",IF(N($R687)&gt;0,"해당(말일 근무)",IF($L687="—","대상월 기관명단 없음(추가 필요)","비해당")))))</f>
        <v/>
      </c>
      <c r="N687" s="20">
        <f>IF($X687="","",SUMIFS(상세표[06~07시],상세표[사번키],INDEX(합계표[사번키],$X687),상세표[반영월],대상월키,상세표[반영 기관],"서울병원"))</f>
        <v/>
      </c>
      <c r="O687" s="20">
        <f>IF($X687="","",SUMIFS(상세표[07~18시],상세표[사번키],INDEX(합계표[사번키],$X687),상세표[반영월],대상월키,상세표[반영 기관],"서울병원"))</f>
        <v/>
      </c>
      <c r="P687" s="20">
        <f>IF($X687="","",SUMIFS(상세표[18~22시],상세표[사번키],INDEX(합계표[사번키],$X687),상세표[반영월],대상월키,상세표[반영 기관],"서울병원"))</f>
        <v/>
      </c>
      <c r="Q687" s="20">
        <f>IF($X687="","",SUMIFS(상세표[22~06시],상세표[사번키],INDEX(합계표[사번키],$X687),상세표[반영월],대상월키,상세표[반영 기관],"서울병원"))</f>
        <v/>
      </c>
      <c r="R687" s="20">
        <f>IF($X687="","",SUM($N687:$Q687))</f>
        <v/>
      </c>
      <c r="S687">
        <f>IF($X687="","",COUNTIFS(상세표[사번키],INDEX(합계표[사번키],$X687),상세표[반영월],대상월키,상세표[야간당직],1,상세표[야간 구분],"평일"))</f>
        <v/>
      </c>
      <c r="T687">
        <f>IF($X687="","",COUNTIFS(상세표[사번키],INDEX(합계표[사번키],$X687),상세표[반영월],대상월키,상세표[야간당직],1,상세표[야간 구분],"휴일"))</f>
        <v/>
      </c>
      <c r="U687">
        <f>IF($X687="","",COUNTIFS(상세표[사번키],INDEX(합계표[사번키],$X687),상세표[반영월],대상월키,상세표[야간당직],1,상세표[야간 구분],"평일",상세표[반영 기관],"서울병원"))</f>
        <v/>
      </c>
      <c r="V687">
        <f>IF($X687="","",COUNTIFS(상세표[사번키],INDEX(합계표[사번키],$X687),상세표[반영월],대상월키,상세표[야간당직],1,상세표[야간 구분],"휴일",상세표[반영 기관],"서울병원"))</f>
        <v/>
      </c>
      <c r="W687">
        <f>IF($X687="","",IF(ISNUMBER(MATCH(INDEX(합계표[사번키],$X687)&amp;"|"&amp;대상월키,월별근무지표[키],0)),"직접 입력",IF($L687="—","—","기관명단")))</f>
        <v/>
      </c>
      <c r="X687" s="4">
        <f>IFERROR(MATCH(682,합계표[판정순번],0),"")</f>
        <v/>
      </c>
    </row>
    <row r="688">
      <c r="A688">
        <f>IF($X688="","",INDEX(합계표[사번],$X688)&amp;"")</f>
        <v/>
      </c>
      <c r="B688">
        <f>IF($X688="","",INDEX(합계표[성명],$X688)&amp;"")</f>
        <v/>
      </c>
      <c r="C688">
        <f>IF($X688="","",INDEX(합계표[부서],$X688)&amp;"")</f>
        <v/>
      </c>
      <c r="D688">
        <f>IF($X688="","",INDEX(합계표[직위(요약)],$X688)&amp;"")</f>
        <v/>
      </c>
      <c r="E688">
        <f>IF($X688="","",INDEX(합계표[직급 공존],$X688)&amp;"")</f>
        <v/>
      </c>
      <c r="F688" s="20">
        <f>IF($X688="","",SUMIFS(합계표[시스템 합계],합계표[사번키],INDEX(합계표[사번키],$X688)))</f>
        <v/>
      </c>
      <c r="G688" s="20">
        <f>IF($X688="","",SUMIFS(상세표[기록 시간외],상세표[사번키],INDEX(합계표[사번키],$X688),상세표[기록월],대상월키))</f>
        <v/>
      </c>
      <c r="H688">
        <f>IF($X688="","",IF(ABS($F688-$G688)&lt;0.01,"일치","불일치(차이 "&amp;TEXT($G688-$F688,"0.00")&amp;")"))</f>
        <v/>
      </c>
      <c r="I688" s="20">
        <f>IF($X688="","",SUMIFS(상세표[기록 시간외],상세표[사번키],INDEX(합계표[사번키],$X688),상세표[기록월],대상월키,상세표[반영월],"&lt;&gt;"&amp;대상월키))</f>
        <v/>
      </c>
      <c r="J688" s="20">
        <f>IF($X688="","",SUMIFS(상세표[기록 시간외],상세표[사번키],INDEX(합계표[사번키],$X688),상세표[기록월],"&lt;&gt;"&amp;대상월키,상세표[반영월],대상월키))</f>
        <v/>
      </c>
      <c r="K688" s="20">
        <f>IF($X688="","",SUMIFS(상세표[기록 시간외],상세표[사번키],INDEX(합계표[사번키],$X688),상세표[반영월],대상월키))</f>
        <v/>
      </c>
      <c r="L688">
        <f>IF($X688="","",IFERROR(INDEX(월별근무지표[적용 급여병원],MATCH(INDEX(합계표[사번키],$X688)&amp;"|"&amp;대상월키,월별근무지표[키],0))&amp;"",IF(COUNTIF(기관표[사번키],INDEX(합계표[사번키],$X688))+COUNTIF(월별근무지표[사번키],INDEX(합계표[사번키],$X688))&gt;0,IFERROR(INDEX(기관표[급여지급병원(기준월)],MATCH(INDEX(합계표[사번키],$X688)&amp;"|"&amp;대상월키,기관표[키],0))&amp;"","—"),"—")))</f>
        <v/>
      </c>
      <c r="M688">
        <f>IF($X688="","",IF(NOT(COUNTIF(기관표[사번키],INDEX(합계표[사번키],$X688))+COUNTIF(월별근무지표[사번키],INDEX(합계표[사번키],$X688))&gt;0),"기관명단에 없음(다른 병원으로 발송)",IF($L688="서울병원","해당",IF(N($R688)&gt;0,"해당(말일 근무)",IF($L688="—","대상월 기관명단 없음(추가 필요)","비해당")))))</f>
        <v/>
      </c>
      <c r="N688" s="20">
        <f>IF($X688="","",SUMIFS(상세표[06~07시],상세표[사번키],INDEX(합계표[사번키],$X688),상세표[반영월],대상월키,상세표[반영 기관],"서울병원"))</f>
        <v/>
      </c>
      <c r="O688" s="20">
        <f>IF($X688="","",SUMIFS(상세표[07~18시],상세표[사번키],INDEX(합계표[사번키],$X688),상세표[반영월],대상월키,상세표[반영 기관],"서울병원"))</f>
        <v/>
      </c>
      <c r="P688" s="20">
        <f>IF($X688="","",SUMIFS(상세표[18~22시],상세표[사번키],INDEX(합계표[사번키],$X688),상세표[반영월],대상월키,상세표[반영 기관],"서울병원"))</f>
        <v/>
      </c>
      <c r="Q688" s="20">
        <f>IF($X688="","",SUMIFS(상세표[22~06시],상세표[사번키],INDEX(합계표[사번키],$X688),상세표[반영월],대상월키,상세표[반영 기관],"서울병원"))</f>
        <v/>
      </c>
      <c r="R688" s="20">
        <f>IF($X688="","",SUM($N688:$Q688))</f>
        <v/>
      </c>
      <c r="S688">
        <f>IF($X688="","",COUNTIFS(상세표[사번키],INDEX(합계표[사번키],$X688),상세표[반영월],대상월키,상세표[야간당직],1,상세표[야간 구분],"평일"))</f>
        <v/>
      </c>
      <c r="T688">
        <f>IF($X688="","",COUNTIFS(상세표[사번키],INDEX(합계표[사번키],$X688),상세표[반영월],대상월키,상세표[야간당직],1,상세표[야간 구분],"휴일"))</f>
        <v/>
      </c>
      <c r="U688">
        <f>IF($X688="","",COUNTIFS(상세표[사번키],INDEX(합계표[사번키],$X688),상세표[반영월],대상월키,상세표[야간당직],1,상세표[야간 구분],"평일",상세표[반영 기관],"서울병원"))</f>
        <v/>
      </c>
      <c r="V688">
        <f>IF($X688="","",COUNTIFS(상세표[사번키],INDEX(합계표[사번키],$X688),상세표[반영월],대상월키,상세표[야간당직],1,상세표[야간 구분],"휴일",상세표[반영 기관],"서울병원"))</f>
        <v/>
      </c>
      <c r="W688">
        <f>IF($X688="","",IF(ISNUMBER(MATCH(INDEX(합계표[사번키],$X688)&amp;"|"&amp;대상월키,월별근무지표[키],0)),"직접 입력",IF($L688="—","—","기관명단")))</f>
        <v/>
      </c>
      <c r="X688" s="4">
        <f>IFERROR(MATCH(683,합계표[판정순번],0),"")</f>
        <v/>
      </c>
    </row>
    <row r="689">
      <c r="A689">
        <f>IF($X689="","",INDEX(합계표[사번],$X689)&amp;"")</f>
        <v/>
      </c>
      <c r="B689">
        <f>IF($X689="","",INDEX(합계표[성명],$X689)&amp;"")</f>
        <v/>
      </c>
      <c r="C689">
        <f>IF($X689="","",INDEX(합계표[부서],$X689)&amp;"")</f>
        <v/>
      </c>
      <c r="D689">
        <f>IF($X689="","",INDEX(합계표[직위(요약)],$X689)&amp;"")</f>
        <v/>
      </c>
      <c r="E689">
        <f>IF($X689="","",INDEX(합계표[직급 공존],$X689)&amp;"")</f>
        <v/>
      </c>
      <c r="F689" s="20">
        <f>IF($X689="","",SUMIFS(합계표[시스템 합계],합계표[사번키],INDEX(합계표[사번키],$X689)))</f>
        <v/>
      </c>
      <c r="G689" s="20">
        <f>IF($X689="","",SUMIFS(상세표[기록 시간외],상세표[사번키],INDEX(합계표[사번키],$X689),상세표[기록월],대상월키))</f>
        <v/>
      </c>
      <c r="H689">
        <f>IF($X689="","",IF(ABS($F689-$G689)&lt;0.01,"일치","불일치(차이 "&amp;TEXT($G689-$F689,"0.00")&amp;")"))</f>
        <v/>
      </c>
      <c r="I689" s="20">
        <f>IF($X689="","",SUMIFS(상세표[기록 시간외],상세표[사번키],INDEX(합계표[사번키],$X689),상세표[기록월],대상월키,상세표[반영월],"&lt;&gt;"&amp;대상월키))</f>
        <v/>
      </c>
      <c r="J689" s="20">
        <f>IF($X689="","",SUMIFS(상세표[기록 시간외],상세표[사번키],INDEX(합계표[사번키],$X689),상세표[기록월],"&lt;&gt;"&amp;대상월키,상세표[반영월],대상월키))</f>
        <v/>
      </c>
      <c r="K689" s="20">
        <f>IF($X689="","",SUMIFS(상세표[기록 시간외],상세표[사번키],INDEX(합계표[사번키],$X689),상세표[반영월],대상월키))</f>
        <v/>
      </c>
      <c r="L689">
        <f>IF($X689="","",IFERROR(INDEX(월별근무지표[적용 급여병원],MATCH(INDEX(합계표[사번키],$X689)&amp;"|"&amp;대상월키,월별근무지표[키],0))&amp;"",IF(COUNTIF(기관표[사번키],INDEX(합계표[사번키],$X689))+COUNTIF(월별근무지표[사번키],INDEX(합계표[사번키],$X689))&gt;0,IFERROR(INDEX(기관표[급여지급병원(기준월)],MATCH(INDEX(합계표[사번키],$X689)&amp;"|"&amp;대상월키,기관표[키],0))&amp;"","—"),"—")))</f>
        <v/>
      </c>
      <c r="M689">
        <f>IF($X689="","",IF(NOT(COUNTIF(기관표[사번키],INDEX(합계표[사번키],$X689))+COUNTIF(월별근무지표[사번키],INDEX(합계표[사번키],$X689))&gt;0),"기관명단에 없음(다른 병원으로 발송)",IF($L689="서울병원","해당",IF(N($R689)&gt;0,"해당(말일 근무)",IF($L689="—","대상월 기관명단 없음(추가 필요)","비해당")))))</f>
        <v/>
      </c>
      <c r="N689" s="20">
        <f>IF($X689="","",SUMIFS(상세표[06~07시],상세표[사번키],INDEX(합계표[사번키],$X689),상세표[반영월],대상월키,상세표[반영 기관],"서울병원"))</f>
        <v/>
      </c>
      <c r="O689" s="20">
        <f>IF($X689="","",SUMIFS(상세표[07~18시],상세표[사번키],INDEX(합계표[사번키],$X689),상세표[반영월],대상월키,상세표[반영 기관],"서울병원"))</f>
        <v/>
      </c>
      <c r="P689" s="20">
        <f>IF($X689="","",SUMIFS(상세표[18~22시],상세표[사번키],INDEX(합계표[사번키],$X689),상세표[반영월],대상월키,상세표[반영 기관],"서울병원"))</f>
        <v/>
      </c>
      <c r="Q689" s="20">
        <f>IF($X689="","",SUMIFS(상세표[22~06시],상세표[사번키],INDEX(합계표[사번키],$X689),상세표[반영월],대상월키,상세표[반영 기관],"서울병원"))</f>
        <v/>
      </c>
      <c r="R689" s="20">
        <f>IF($X689="","",SUM($N689:$Q689))</f>
        <v/>
      </c>
      <c r="S689">
        <f>IF($X689="","",COUNTIFS(상세표[사번키],INDEX(합계표[사번키],$X689),상세표[반영월],대상월키,상세표[야간당직],1,상세표[야간 구분],"평일"))</f>
        <v/>
      </c>
      <c r="T689">
        <f>IF($X689="","",COUNTIFS(상세표[사번키],INDEX(합계표[사번키],$X689),상세표[반영월],대상월키,상세표[야간당직],1,상세표[야간 구분],"휴일"))</f>
        <v/>
      </c>
      <c r="U689">
        <f>IF($X689="","",COUNTIFS(상세표[사번키],INDEX(합계표[사번키],$X689),상세표[반영월],대상월키,상세표[야간당직],1,상세표[야간 구분],"평일",상세표[반영 기관],"서울병원"))</f>
        <v/>
      </c>
      <c r="V689">
        <f>IF($X689="","",COUNTIFS(상세표[사번키],INDEX(합계표[사번키],$X689),상세표[반영월],대상월키,상세표[야간당직],1,상세표[야간 구분],"휴일",상세표[반영 기관],"서울병원"))</f>
        <v/>
      </c>
      <c r="W689">
        <f>IF($X689="","",IF(ISNUMBER(MATCH(INDEX(합계표[사번키],$X689)&amp;"|"&amp;대상월키,월별근무지표[키],0)),"직접 입력",IF($L689="—","—","기관명단")))</f>
        <v/>
      </c>
      <c r="X689" s="4">
        <f>IFERROR(MATCH(684,합계표[판정순번],0),"")</f>
        <v/>
      </c>
    </row>
    <row r="690">
      <c r="A690">
        <f>IF($X690="","",INDEX(합계표[사번],$X690)&amp;"")</f>
        <v/>
      </c>
      <c r="B690">
        <f>IF($X690="","",INDEX(합계표[성명],$X690)&amp;"")</f>
        <v/>
      </c>
      <c r="C690">
        <f>IF($X690="","",INDEX(합계표[부서],$X690)&amp;"")</f>
        <v/>
      </c>
      <c r="D690">
        <f>IF($X690="","",INDEX(합계표[직위(요약)],$X690)&amp;"")</f>
        <v/>
      </c>
      <c r="E690">
        <f>IF($X690="","",INDEX(합계표[직급 공존],$X690)&amp;"")</f>
        <v/>
      </c>
      <c r="F690" s="20">
        <f>IF($X690="","",SUMIFS(합계표[시스템 합계],합계표[사번키],INDEX(합계표[사번키],$X690)))</f>
        <v/>
      </c>
      <c r="G690" s="20">
        <f>IF($X690="","",SUMIFS(상세표[기록 시간외],상세표[사번키],INDEX(합계표[사번키],$X690),상세표[기록월],대상월키))</f>
        <v/>
      </c>
      <c r="H690">
        <f>IF($X690="","",IF(ABS($F690-$G690)&lt;0.01,"일치","불일치(차이 "&amp;TEXT($G690-$F690,"0.00")&amp;")"))</f>
        <v/>
      </c>
      <c r="I690" s="20">
        <f>IF($X690="","",SUMIFS(상세표[기록 시간외],상세표[사번키],INDEX(합계표[사번키],$X690),상세표[기록월],대상월키,상세표[반영월],"&lt;&gt;"&amp;대상월키))</f>
        <v/>
      </c>
      <c r="J690" s="20">
        <f>IF($X690="","",SUMIFS(상세표[기록 시간외],상세표[사번키],INDEX(합계표[사번키],$X690),상세표[기록월],"&lt;&gt;"&amp;대상월키,상세표[반영월],대상월키))</f>
        <v/>
      </c>
      <c r="K690" s="20">
        <f>IF($X690="","",SUMIFS(상세표[기록 시간외],상세표[사번키],INDEX(합계표[사번키],$X690),상세표[반영월],대상월키))</f>
        <v/>
      </c>
      <c r="L690">
        <f>IF($X690="","",IFERROR(INDEX(월별근무지표[적용 급여병원],MATCH(INDEX(합계표[사번키],$X690)&amp;"|"&amp;대상월키,월별근무지표[키],0))&amp;"",IF(COUNTIF(기관표[사번키],INDEX(합계표[사번키],$X690))+COUNTIF(월별근무지표[사번키],INDEX(합계표[사번키],$X690))&gt;0,IFERROR(INDEX(기관표[급여지급병원(기준월)],MATCH(INDEX(합계표[사번키],$X690)&amp;"|"&amp;대상월키,기관표[키],0))&amp;"","—"),"—")))</f>
        <v/>
      </c>
      <c r="M690">
        <f>IF($X690="","",IF(NOT(COUNTIF(기관표[사번키],INDEX(합계표[사번키],$X690))+COUNTIF(월별근무지표[사번키],INDEX(합계표[사번키],$X690))&gt;0),"기관명단에 없음(다른 병원으로 발송)",IF($L690="서울병원","해당",IF(N($R690)&gt;0,"해당(말일 근무)",IF($L690="—","대상월 기관명단 없음(추가 필요)","비해당")))))</f>
        <v/>
      </c>
      <c r="N690" s="20">
        <f>IF($X690="","",SUMIFS(상세표[06~07시],상세표[사번키],INDEX(합계표[사번키],$X690),상세표[반영월],대상월키,상세표[반영 기관],"서울병원"))</f>
        <v/>
      </c>
      <c r="O690" s="20">
        <f>IF($X690="","",SUMIFS(상세표[07~18시],상세표[사번키],INDEX(합계표[사번키],$X690),상세표[반영월],대상월키,상세표[반영 기관],"서울병원"))</f>
        <v/>
      </c>
      <c r="P690" s="20">
        <f>IF($X690="","",SUMIFS(상세표[18~22시],상세표[사번키],INDEX(합계표[사번키],$X690),상세표[반영월],대상월키,상세표[반영 기관],"서울병원"))</f>
        <v/>
      </c>
      <c r="Q690" s="20">
        <f>IF($X690="","",SUMIFS(상세표[22~06시],상세표[사번키],INDEX(합계표[사번키],$X690),상세표[반영월],대상월키,상세표[반영 기관],"서울병원"))</f>
        <v/>
      </c>
      <c r="R690" s="20">
        <f>IF($X690="","",SUM($N690:$Q690))</f>
        <v/>
      </c>
      <c r="S690">
        <f>IF($X690="","",COUNTIFS(상세표[사번키],INDEX(합계표[사번키],$X690),상세표[반영월],대상월키,상세표[야간당직],1,상세표[야간 구분],"평일"))</f>
        <v/>
      </c>
      <c r="T690">
        <f>IF($X690="","",COUNTIFS(상세표[사번키],INDEX(합계표[사번키],$X690),상세표[반영월],대상월키,상세표[야간당직],1,상세표[야간 구분],"휴일"))</f>
        <v/>
      </c>
      <c r="U690">
        <f>IF($X690="","",COUNTIFS(상세표[사번키],INDEX(합계표[사번키],$X690),상세표[반영월],대상월키,상세표[야간당직],1,상세표[야간 구분],"평일",상세표[반영 기관],"서울병원"))</f>
        <v/>
      </c>
      <c r="V690">
        <f>IF($X690="","",COUNTIFS(상세표[사번키],INDEX(합계표[사번키],$X690),상세표[반영월],대상월키,상세표[야간당직],1,상세표[야간 구분],"휴일",상세표[반영 기관],"서울병원"))</f>
        <v/>
      </c>
      <c r="W690">
        <f>IF($X690="","",IF(ISNUMBER(MATCH(INDEX(합계표[사번키],$X690)&amp;"|"&amp;대상월키,월별근무지표[키],0)),"직접 입력",IF($L690="—","—","기관명단")))</f>
        <v/>
      </c>
      <c r="X690" s="4">
        <f>IFERROR(MATCH(685,합계표[판정순번],0),"")</f>
        <v/>
      </c>
    </row>
    <row r="691">
      <c r="A691">
        <f>IF($X691="","",INDEX(합계표[사번],$X691)&amp;"")</f>
        <v/>
      </c>
      <c r="B691">
        <f>IF($X691="","",INDEX(합계표[성명],$X691)&amp;"")</f>
        <v/>
      </c>
      <c r="C691">
        <f>IF($X691="","",INDEX(합계표[부서],$X691)&amp;"")</f>
        <v/>
      </c>
      <c r="D691">
        <f>IF($X691="","",INDEX(합계표[직위(요약)],$X691)&amp;"")</f>
        <v/>
      </c>
      <c r="E691">
        <f>IF($X691="","",INDEX(합계표[직급 공존],$X691)&amp;"")</f>
        <v/>
      </c>
      <c r="F691" s="20">
        <f>IF($X691="","",SUMIFS(합계표[시스템 합계],합계표[사번키],INDEX(합계표[사번키],$X691)))</f>
        <v/>
      </c>
      <c r="G691" s="20">
        <f>IF($X691="","",SUMIFS(상세표[기록 시간외],상세표[사번키],INDEX(합계표[사번키],$X691),상세표[기록월],대상월키))</f>
        <v/>
      </c>
      <c r="H691">
        <f>IF($X691="","",IF(ABS($F691-$G691)&lt;0.01,"일치","불일치(차이 "&amp;TEXT($G691-$F691,"0.00")&amp;")"))</f>
        <v/>
      </c>
      <c r="I691" s="20">
        <f>IF($X691="","",SUMIFS(상세표[기록 시간외],상세표[사번키],INDEX(합계표[사번키],$X691),상세표[기록월],대상월키,상세표[반영월],"&lt;&gt;"&amp;대상월키))</f>
        <v/>
      </c>
      <c r="J691" s="20">
        <f>IF($X691="","",SUMIFS(상세표[기록 시간외],상세표[사번키],INDEX(합계표[사번키],$X691),상세표[기록월],"&lt;&gt;"&amp;대상월키,상세표[반영월],대상월키))</f>
        <v/>
      </c>
      <c r="K691" s="20">
        <f>IF($X691="","",SUMIFS(상세표[기록 시간외],상세표[사번키],INDEX(합계표[사번키],$X691),상세표[반영월],대상월키))</f>
        <v/>
      </c>
      <c r="L691">
        <f>IF($X691="","",IFERROR(INDEX(월별근무지표[적용 급여병원],MATCH(INDEX(합계표[사번키],$X691)&amp;"|"&amp;대상월키,월별근무지표[키],0))&amp;"",IF(COUNTIF(기관표[사번키],INDEX(합계표[사번키],$X691))+COUNTIF(월별근무지표[사번키],INDEX(합계표[사번키],$X691))&gt;0,IFERROR(INDEX(기관표[급여지급병원(기준월)],MATCH(INDEX(합계표[사번키],$X691)&amp;"|"&amp;대상월키,기관표[키],0))&amp;"","—"),"—")))</f>
        <v/>
      </c>
      <c r="M691">
        <f>IF($X691="","",IF(NOT(COUNTIF(기관표[사번키],INDEX(합계표[사번키],$X691))+COUNTIF(월별근무지표[사번키],INDEX(합계표[사번키],$X691))&gt;0),"기관명단에 없음(다른 병원으로 발송)",IF($L691="서울병원","해당",IF(N($R691)&gt;0,"해당(말일 근무)",IF($L691="—","대상월 기관명단 없음(추가 필요)","비해당")))))</f>
        <v/>
      </c>
      <c r="N691" s="20">
        <f>IF($X691="","",SUMIFS(상세표[06~07시],상세표[사번키],INDEX(합계표[사번키],$X691),상세표[반영월],대상월키,상세표[반영 기관],"서울병원"))</f>
        <v/>
      </c>
      <c r="O691" s="20">
        <f>IF($X691="","",SUMIFS(상세표[07~18시],상세표[사번키],INDEX(합계표[사번키],$X691),상세표[반영월],대상월키,상세표[반영 기관],"서울병원"))</f>
        <v/>
      </c>
      <c r="P691" s="20">
        <f>IF($X691="","",SUMIFS(상세표[18~22시],상세표[사번키],INDEX(합계표[사번키],$X691),상세표[반영월],대상월키,상세표[반영 기관],"서울병원"))</f>
        <v/>
      </c>
      <c r="Q691" s="20">
        <f>IF($X691="","",SUMIFS(상세표[22~06시],상세표[사번키],INDEX(합계표[사번키],$X691),상세표[반영월],대상월키,상세표[반영 기관],"서울병원"))</f>
        <v/>
      </c>
      <c r="R691" s="20">
        <f>IF($X691="","",SUM($N691:$Q691))</f>
        <v/>
      </c>
      <c r="S691">
        <f>IF($X691="","",COUNTIFS(상세표[사번키],INDEX(합계표[사번키],$X691),상세표[반영월],대상월키,상세표[야간당직],1,상세표[야간 구분],"평일"))</f>
        <v/>
      </c>
      <c r="T691">
        <f>IF($X691="","",COUNTIFS(상세표[사번키],INDEX(합계표[사번키],$X691),상세표[반영월],대상월키,상세표[야간당직],1,상세표[야간 구분],"휴일"))</f>
        <v/>
      </c>
      <c r="U691">
        <f>IF($X691="","",COUNTIFS(상세표[사번키],INDEX(합계표[사번키],$X691),상세표[반영월],대상월키,상세표[야간당직],1,상세표[야간 구분],"평일",상세표[반영 기관],"서울병원"))</f>
        <v/>
      </c>
      <c r="V691">
        <f>IF($X691="","",COUNTIFS(상세표[사번키],INDEX(합계표[사번키],$X691),상세표[반영월],대상월키,상세표[야간당직],1,상세표[야간 구분],"휴일",상세표[반영 기관],"서울병원"))</f>
        <v/>
      </c>
      <c r="W691">
        <f>IF($X691="","",IF(ISNUMBER(MATCH(INDEX(합계표[사번키],$X691)&amp;"|"&amp;대상월키,월별근무지표[키],0)),"직접 입력",IF($L691="—","—","기관명단")))</f>
        <v/>
      </c>
      <c r="X691" s="4">
        <f>IFERROR(MATCH(686,합계표[판정순번],0),"")</f>
        <v/>
      </c>
    </row>
    <row r="692">
      <c r="A692">
        <f>IF($X692="","",INDEX(합계표[사번],$X692)&amp;"")</f>
        <v/>
      </c>
      <c r="B692">
        <f>IF($X692="","",INDEX(합계표[성명],$X692)&amp;"")</f>
        <v/>
      </c>
      <c r="C692">
        <f>IF($X692="","",INDEX(합계표[부서],$X692)&amp;"")</f>
        <v/>
      </c>
      <c r="D692">
        <f>IF($X692="","",INDEX(합계표[직위(요약)],$X692)&amp;"")</f>
        <v/>
      </c>
      <c r="E692">
        <f>IF($X692="","",INDEX(합계표[직급 공존],$X692)&amp;"")</f>
        <v/>
      </c>
      <c r="F692" s="20">
        <f>IF($X692="","",SUMIFS(합계표[시스템 합계],합계표[사번키],INDEX(합계표[사번키],$X692)))</f>
        <v/>
      </c>
      <c r="G692" s="20">
        <f>IF($X692="","",SUMIFS(상세표[기록 시간외],상세표[사번키],INDEX(합계표[사번키],$X692),상세표[기록월],대상월키))</f>
        <v/>
      </c>
      <c r="H692">
        <f>IF($X692="","",IF(ABS($F692-$G692)&lt;0.01,"일치","불일치(차이 "&amp;TEXT($G692-$F692,"0.00")&amp;")"))</f>
        <v/>
      </c>
      <c r="I692" s="20">
        <f>IF($X692="","",SUMIFS(상세표[기록 시간외],상세표[사번키],INDEX(합계표[사번키],$X692),상세표[기록월],대상월키,상세표[반영월],"&lt;&gt;"&amp;대상월키))</f>
        <v/>
      </c>
      <c r="J692" s="20">
        <f>IF($X692="","",SUMIFS(상세표[기록 시간외],상세표[사번키],INDEX(합계표[사번키],$X692),상세표[기록월],"&lt;&gt;"&amp;대상월키,상세표[반영월],대상월키))</f>
        <v/>
      </c>
      <c r="K692" s="20">
        <f>IF($X692="","",SUMIFS(상세표[기록 시간외],상세표[사번키],INDEX(합계표[사번키],$X692),상세표[반영월],대상월키))</f>
        <v/>
      </c>
      <c r="L692">
        <f>IF($X692="","",IFERROR(INDEX(월별근무지표[적용 급여병원],MATCH(INDEX(합계표[사번키],$X692)&amp;"|"&amp;대상월키,월별근무지표[키],0))&amp;"",IF(COUNTIF(기관표[사번키],INDEX(합계표[사번키],$X692))+COUNTIF(월별근무지표[사번키],INDEX(합계표[사번키],$X692))&gt;0,IFERROR(INDEX(기관표[급여지급병원(기준월)],MATCH(INDEX(합계표[사번키],$X692)&amp;"|"&amp;대상월키,기관표[키],0))&amp;"","—"),"—")))</f>
        <v/>
      </c>
      <c r="M692">
        <f>IF($X692="","",IF(NOT(COUNTIF(기관표[사번키],INDEX(합계표[사번키],$X692))+COUNTIF(월별근무지표[사번키],INDEX(합계표[사번키],$X692))&gt;0),"기관명단에 없음(다른 병원으로 발송)",IF($L692="서울병원","해당",IF(N($R692)&gt;0,"해당(말일 근무)",IF($L692="—","대상월 기관명단 없음(추가 필요)","비해당")))))</f>
        <v/>
      </c>
      <c r="N692" s="20">
        <f>IF($X692="","",SUMIFS(상세표[06~07시],상세표[사번키],INDEX(합계표[사번키],$X692),상세표[반영월],대상월키,상세표[반영 기관],"서울병원"))</f>
        <v/>
      </c>
      <c r="O692" s="20">
        <f>IF($X692="","",SUMIFS(상세표[07~18시],상세표[사번키],INDEX(합계표[사번키],$X692),상세표[반영월],대상월키,상세표[반영 기관],"서울병원"))</f>
        <v/>
      </c>
      <c r="P692" s="20">
        <f>IF($X692="","",SUMIFS(상세표[18~22시],상세표[사번키],INDEX(합계표[사번키],$X692),상세표[반영월],대상월키,상세표[반영 기관],"서울병원"))</f>
        <v/>
      </c>
      <c r="Q692" s="20">
        <f>IF($X692="","",SUMIFS(상세표[22~06시],상세표[사번키],INDEX(합계표[사번키],$X692),상세표[반영월],대상월키,상세표[반영 기관],"서울병원"))</f>
        <v/>
      </c>
      <c r="R692" s="20">
        <f>IF($X692="","",SUM($N692:$Q692))</f>
        <v/>
      </c>
      <c r="S692">
        <f>IF($X692="","",COUNTIFS(상세표[사번키],INDEX(합계표[사번키],$X692),상세표[반영월],대상월키,상세표[야간당직],1,상세표[야간 구분],"평일"))</f>
        <v/>
      </c>
      <c r="T692">
        <f>IF($X692="","",COUNTIFS(상세표[사번키],INDEX(합계표[사번키],$X692),상세표[반영월],대상월키,상세표[야간당직],1,상세표[야간 구분],"휴일"))</f>
        <v/>
      </c>
      <c r="U692">
        <f>IF($X692="","",COUNTIFS(상세표[사번키],INDEX(합계표[사번키],$X692),상세표[반영월],대상월키,상세표[야간당직],1,상세표[야간 구분],"평일",상세표[반영 기관],"서울병원"))</f>
        <v/>
      </c>
      <c r="V692">
        <f>IF($X692="","",COUNTIFS(상세표[사번키],INDEX(합계표[사번키],$X692),상세표[반영월],대상월키,상세표[야간당직],1,상세표[야간 구분],"휴일",상세표[반영 기관],"서울병원"))</f>
        <v/>
      </c>
      <c r="W692">
        <f>IF($X692="","",IF(ISNUMBER(MATCH(INDEX(합계표[사번키],$X692)&amp;"|"&amp;대상월키,월별근무지표[키],0)),"직접 입력",IF($L692="—","—","기관명단")))</f>
        <v/>
      </c>
      <c r="X692" s="4">
        <f>IFERROR(MATCH(687,합계표[판정순번],0),"")</f>
        <v/>
      </c>
    </row>
    <row r="693">
      <c r="A693">
        <f>IF($X693="","",INDEX(합계표[사번],$X693)&amp;"")</f>
        <v/>
      </c>
      <c r="B693">
        <f>IF($X693="","",INDEX(합계표[성명],$X693)&amp;"")</f>
        <v/>
      </c>
      <c r="C693">
        <f>IF($X693="","",INDEX(합계표[부서],$X693)&amp;"")</f>
        <v/>
      </c>
      <c r="D693">
        <f>IF($X693="","",INDEX(합계표[직위(요약)],$X693)&amp;"")</f>
        <v/>
      </c>
      <c r="E693">
        <f>IF($X693="","",INDEX(합계표[직급 공존],$X693)&amp;"")</f>
        <v/>
      </c>
      <c r="F693" s="20">
        <f>IF($X693="","",SUMIFS(합계표[시스템 합계],합계표[사번키],INDEX(합계표[사번키],$X693)))</f>
        <v/>
      </c>
      <c r="G693" s="20">
        <f>IF($X693="","",SUMIFS(상세표[기록 시간외],상세표[사번키],INDEX(합계표[사번키],$X693),상세표[기록월],대상월키))</f>
        <v/>
      </c>
      <c r="H693">
        <f>IF($X693="","",IF(ABS($F693-$G693)&lt;0.01,"일치","불일치(차이 "&amp;TEXT($G693-$F693,"0.00")&amp;")"))</f>
        <v/>
      </c>
      <c r="I693" s="20">
        <f>IF($X693="","",SUMIFS(상세표[기록 시간외],상세표[사번키],INDEX(합계표[사번키],$X693),상세표[기록월],대상월키,상세표[반영월],"&lt;&gt;"&amp;대상월키))</f>
        <v/>
      </c>
      <c r="J693" s="20">
        <f>IF($X693="","",SUMIFS(상세표[기록 시간외],상세표[사번키],INDEX(합계표[사번키],$X693),상세표[기록월],"&lt;&gt;"&amp;대상월키,상세표[반영월],대상월키))</f>
        <v/>
      </c>
      <c r="K693" s="20">
        <f>IF($X693="","",SUMIFS(상세표[기록 시간외],상세표[사번키],INDEX(합계표[사번키],$X693),상세표[반영월],대상월키))</f>
        <v/>
      </c>
      <c r="L693">
        <f>IF($X693="","",IFERROR(INDEX(월별근무지표[적용 급여병원],MATCH(INDEX(합계표[사번키],$X693)&amp;"|"&amp;대상월키,월별근무지표[키],0))&amp;"",IF(COUNTIF(기관표[사번키],INDEX(합계표[사번키],$X693))+COUNTIF(월별근무지표[사번키],INDEX(합계표[사번키],$X693))&gt;0,IFERROR(INDEX(기관표[급여지급병원(기준월)],MATCH(INDEX(합계표[사번키],$X693)&amp;"|"&amp;대상월키,기관표[키],0))&amp;"","—"),"—")))</f>
        <v/>
      </c>
      <c r="M693">
        <f>IF($X693="","",IF(NOT(COUNTIF(기관표[사번키],INDEX(합계표[사번키],$X693))+COUNTIF(월별근무지표[사번키],INDEX(합계표[사번키],$X693))&gt;0),"기관명단에 없음(다른 병원으로 발송)",IF($L693="서울병원","해당",IF(N($R693)&gt;0,"해당(말일 근무)",IF($L693="—","대상월 기관명단 없음(추가 필요)","비해당")))))</f>
        <v/>
      </c>
      <c r="N693" s="20">
        <f>IF($X693="","",SUMIFS(상세표[06~07시],상세표[사번키],INDEX(합계표[사번키],$X693),상세표[반영월],대상월키,상세표[반영 기관],"서울병원"))</f>
        <v/>
      </c>
      <c r="O693" s="20">
        <f>IF($X693="","",SUMIFS(상세표[07~18시],상세표[사번키],INDEX(합계표[사번키],$X693),상세표[반영월],대상월키,상세표[반영 기관],"서울병원"))</f>
        <v/>
      </c>
      <c r="P693" s="20">
        <f>IF($X693="","",SUMIFS(상세표[18~22시],상세표[사번키],INDEX(합계표[사번키],$X693),상세표[반영월],대상월키,상세표[반영 기관],"서울병원"))</f>
        <v/>
      </c>
      <c r="Q693" s="20">
        <f>IF($X693="","",SUMIFS(상세표[22~06시],상세표[사번키],INDEX(합계표[사번키],$X693),상세표[반영월],대상월키,상세표[반영 기관],"서울병원"))</f>
        <v/>
      </c>
      <c r="R693" s="20">
        <f>IF($X693="","",SUM($N693:$Q693))</f>
        <v/>
      </c>
      <c r="S693">
        <f>IF($X693="","",COUNTIFS(상세표[사번키],INDEX(합계표[사번키],$X693),상세표[반영월],대상월키,상세표[야간당직],1,상세표[야간 구분],"평일"))</f>
        <v/>
      </c>
      <c r="T693">
        <f>IF($X693="","",COUNTIFS(상세표[사번키],INDEX(합계표[사번키],$X693),상세표[반영월],대상월키,상세표[야간당직],1,상세표[야간 구분],"휴일"))</f>
        <v/>
      </c>
      <c r="U693">
        <f>IF($X693="","",COUNTIFS(상세표[사번키],INDEX(합계표[사번키],$X693),상세표[반영월],대상월키,상세표[야간당직],1,상세표[야간 구분],"평일",상세표[반영 기관],"서울병원"))</f>
        <v/>
      </c>
      <c r="V693">
        <f>IF($X693="","",COUNTIFS(상세표[사번키],INDEX(합계표[사번키],$X693),상세표[반영월],대상월키,상세표[야간당직],1,상세표[야간 구분],"휴일",상세표[반영 기관],"서울병원"))</f>
        <v/>
      </c>
      <c r="W693">
        <f>IF($X693="","",IF(ISNUMBER(MATCH(INDEX(합계표[사번키],$X693)&amp;"|"&amp;대상월키,월별근무지표[키],0)),"직접 입력",IF($L693="—","—","기관명단")))</f>
        <v/>
      </c>
      <c r="X693" s="4">
        <f>IFERROR(MATCH(688,합계표[판정순번],0),"")</f>
        <v/>
      </c>
    </row>
    <row r="694">
      <c r="A694">
        <f>IF($X694="","",INDEX(합계표[사번],$X694)&amp;"")</f>
        <v/>
      </c>
      <c r="B694">
        <f>IF($X694="","",INDEX(합계표[성명],$X694)&amp;"")</f>
        <v/>
      </c>
      <c r="C694">
        <f>IF($X694="","",INDEX(합계표[부서],$X694)&amp;"")</f>
        <v/>
      </c>
      <c r="D694">
        <f>IF($X694="","",INDEX(합계표[직위(요약)],$X694)&amp;"")</f>
        <v/>
      </c>
      <c r="E694">
        <f>IF($X694="","",INDEX(합계표[직급 공존],$X694)&amp;"")</f>
        <v/>
      </c>
      <c r="F694" s="20">
        <f>IF($X694="","",SUMIFS(합계표[시스템 합계],합계표[사번키],INDEX(합계표[사번키],$X694)))</f>
        <v/>
      </c>
      <c r="G694" s="20">
        <f>IF($X694="","",SUMIFS(상세표[기록 시간외],상세표[사번키],INDEX(합계표[사번키],$X694),상세표[기록월],대상월키))</f>
        <v/>
      </c>
      <c r="H694">
        <f>IF($X694="","",IF(ABS($F694-$G694)&lt;0.01,"일치","불일치(차이 "&amp;TEXT($G694-$F694,"0.00")&amp;")"))</f>
        <v/>
      </c>
      <c r="I694" s="20">
        <f>IF($X694="","",SUMIFS(상세표[기록 시간외],상세표[사번키],INDEX(합계표[사번키],$X694),상세표[기록월],대상월키,상세표[반영월],"&lt;&gt;"&amp;대상월키))</f>
        <v/>
      </c>
      <c r="J694" s="20">
        <f>IF($X694="","",SUMIFS(상세표[기록 시간외],상세표[사번키],INDEX(합계표[사번키],$X694),상세표[기록월],"&lt;&gt;"&amp;대상월키,상세표[반영월],대상월키))</f>
        <v/>
      </c>
      <c r="K694" s="20">
        <f>IF($X694="","",SUMIFS(상세표[기록 시간외],상세표[사번키],INDEX(합계표[사번키],$X694),상세표[반영월],대상월키))</f>
        <v/>
      </c>
      <c r="L694">
        <f>IF($X694="","",IFERROR(INDEX(월별근무지표[적용 급여병원],MATCH(INDEX(합계표[사번키],$X694)&amp;"|"&amp;대상월키,월별근무지표[키],0))&amp;"",IF(COUNTIF(기관표[사번키],INDEX(합계표[사번키],$X694))+COUNTIF(월별근무지표[사번키],INDEX(합계표[사번키],$X694))&gt;0,IFERROR(INDEX(기관표[급여지급병원(기준월)],MATCH(INDEX(합계표[사번키],$X694)&amp;"|"&amp;대상월키,기관표[키],0))&amp;"","—"),"—")))</f>
        <v/>
      </c>
      <c r="M694">
        <f>IF($X694="","",IF(NOT(COUNTIF(기관표[사번키],INDEX(합계표[사번키],$X694))+COUNTIF(월별근무지표[사번키],INDEX(합계표[사번키],$X694))&gt;0),"기관명단에 없음(다른 병원으로 발송)",IF($L694="서울병원","해당",IF(N($R694)&gt;0,"해당(말일 근무)",IF($L694="—","대상월 기관명단 없음(추가 필요)","비해당")))))</f>
        <v/>
      </c>
      <c r="N694" s="20">
        <f>IF($X694="","",SUMIFS(상세표[06~07시],상세표[사번키],INDEX(합계표[사번키],$X694),상세표[반영월],대상월키,상세표[반영 기관],"서울병원"))</f>
        <v/>
      </c>
      <c r="O694" s="20">
        <f>IF($X694="","",SUMIFS(상세표[07~18시],상세표[사번키],INDEX(합계표[사번키],$X694),상세표[반영월],대상월키,상세표[반영 기관],"서울병원"))</f>
        <v/>
      </c>
      <c r="P694" s="20">
        <f>IF($X694="","",SUMIFS(상세표[18~22시],상세표[사번키],INDEX(합계표[사번키],$X694),상세표[반영월],대상월키,상세표[반영 기관],"서울병원"))</f>
        <v/>
      </c>
      <c r="Q694" s="20">
        <f>IF($X694="","",SUMIFS(상세표[22~06시],상세표[사번키],INDEX(합계표[사번키],$X694),상세표[반영월],대상월키,상세표[반영 기관],"서울병원"))</f>
        <v/>
      </c>
      <c r="R694" s="20">
        <f>IF($X694="","",SUM($N694:$Q694))</f>
        <v/>
      </c>
      <c r="S694">
        <f>IF($X694="","",COUNTIFS(상세표[사번키],INDEX(합계표[사번키],$X694),상세표[반영월],대상월키,상세표[야간당직],1,상세표[야간 구분],"평일"))</f>
        <v/>
      </c>
      <c r="T694">
        <f>IF($X694="","",COUNTIFS(상세표[사번키],INDEX(합계표[사번키],$X694),상세표[반영월],대상월키,상세표[야간당직],1,상세표[야간 구분],"휴일"))</f>
        <v/>
      </c>
      <c r="U694">
        <f>IF($X694="","",COUNTIFS(상세표[사번키],INDEX(합계표[사번키],$X694),상세표[반영월],대상월키,상세표[야간당직],1,상세표[야간 구분],"평일",상세표[반영 기관],"서울병원"))</f>
        <v/>
      </c>
      <c r="V694">
        <f>IF($X694="","",COUNTIFS(상세표[사번키],INDEX(합계표[사번키],$X694),상세표[반영월],대상월키,상세표[야간당직],1,상세표[야간 구분],"휴일",상세표[반영 기관],"서울병원"))</f>
        <v/>
      </c>
      <c r="W694">
        <f>IF($X694="","",IF(ISNUMBER(MATCH(INDEX(합계표[사번키],$X694)&amp;"|"&amp;대상월키,월별근무지표[키],0)),"직접 입력",IF($L694="—","—","기관명단")))</f>
        <v/>
      </c>
      <c r="X694" s="4">
        <f>IFERROR(MATCH(689,합계표[판정순번],0),"")</f>
        <v/>
      </c>
    </row>
    <row r="695">
      <c r="A695">
        <f>IF($X695="","",INDEX(합계표[사번],$X695)&amp;"")</f>
        <v/>
      </c>
      <c r="B695">
        <f>IF($X695="","",INDEX(합계표[성명],$X695)&amp;"")</f>
        <v/>
      </c>
      <c r="C695">
        <f>IF($X695="","",INDEX(합계표[부서],$X695)&amp;"")</f>
        <v/>
      </c>
      <c r="D695">
        <f>IF($X695="","",INDEX(합계표[직위(요약)],$X695)&amp;"")</f>
        <v/>
      </c>
      <c r="E695">
        <f>IF($X695="","",INDEX(합계표[직급 공존],$X695)&amp;"")</f>
        <v/>
      </c>
      <c r="F695" s="20">
        <f>IF($X695="","",SUMIFS(합계표[시스템 합계],합계표[사번키],INDEX(합계표[사번키],$X695)))</f>
        <v/>
      </c>
      <c r="G695" s="20">
        <f>IF($X695="","",SUMIFS(상세표[기록 시간외],상세표[사번키],INDEX(합계표[사번키],$X695),상세표[기록월],대상월키))</f>
        <v/>
      </c>
      <c r="H695">
        <f>IF($X695="","",IF(ABS($F695-$G695)&lt;0.01,"일치","불일치(차이 "&amp;TEXT($G695-$F695,"0.00")&amp;")"))</f>
        <v/>
      </c>
      <c r="I695" s="20">
        <f>IF($X695="","",SUMIFS(상세표[기록 시간외],상세표[사번키],INDEX(합계표[사번키],$X695),상세표[기록월],대상월키,상세표[반영월],"&lt;&gt;"&amp;대상월키))</f>
        <v/>
      </c>
      <c r="J695" s="20">
        <f>IF($X695="","",SUMIFS(상세표[기록 시간외],상세표[사번키],INDEX(합계표[사번키],$X695),상세표[기록월],"&lt;&gt;"&amp;대상월키,상세표[반영월],대상월키))</f>
        <v/>
      </c>
      <c r="K695" s="20">
        <f>IF($X695="","",SUMIFS(상세표[기록 시간외],상세표[사번키],INDEX(합계표[사번키],$X695),상세표[반영월],대상월키))</f>
        <v/>
      </c>
      <c r="L695">
        <f>IF($X695="","",IFERROR(INDEX(월별근무지표[적용 급여병원],MATCH(INDEX(합계표[사번키],$X695)&amp;"|"&amp;대상월키,월별근무지표[키],0))&amp;"",IF(COUNTIF(기관표[사번키],INDEX(합계표[사번키],$X695))+COUNTIF(월별근무지표[사번키],INDEX(합계표[사번키],$X695))&gt;0,IFERROR(INDEX(기관표[급여지급병원(기준월)],MATCH(INDEX(합계표[사번키],$X695)&amp;"|"&amp;대상월키,기관표[키],0))&amp;"","—"),"—")))</f>
        <v/>
      </c>
      <c r="M695">
        <f>IF($X695="","",IF(NOT(COUNTIF(기관표[사번키],INDEX(합계표[사번키],$X695))+COUNTIF(월별근무지표[사번키],INDEX(합계표[사번키],$X695))&gt;0),"기관명단에 없음(다른 병원으로 발송)",IF($L695="서울병원","해당",IF(N($R695)&gt;0,"해당(말일 근무)",IF($L695="—","대상월 기관명단 없음(추가 필요)","비해당")))))</f>
        <v/>
      </c>
      <c r="N695" s="20">
        <f>IF($X695="","",SUMIFS(상세표[06~07시],상세표[사번키],INDEX(합계표[사번키],$X695),상세표[반영월],대상월키,상세표[반영 기관],"서울병원"))</f>
        <v/>
      </c>
      <c r="O695" s="20">
        <f>IF($X695="","",SUMIFS(상세표[07~18시],상세표[사번키],INDEX(합계표[사번키],$X695),상세표[반영월],대상월키,상세표[반영 기관],"서울병원"))</f>
        <v/>
      </c>
      <c r="P695" s="20">
        <f>IF($X695="","",SUMIFS(상세표[18~22시],상세표[사번키],INDEX(합계표[사번키],$X695),상세표[반영월],대상월키,상세표[반영 기관],"서울병원"))</f>
        <v/>
      </c>
      <c r="Q695" s="20">
        <f>IF($X695="","",SUMIFS(상세표[22~06시],상세표[사번키],INDEX(합계표[사번키],$X695),상세표[반영월],대상월키,상세표[반영 기관],"서울병원"))</f>
        <v/>
      </c>
      <c r="R695" s="20">
        <f>IF($X695="","",SUM($N695:$Q695))</f>
        <v/>
      </c>
      <c r="S695">
        <f>IF($X695="","",COUNTIFS(상세표[사번키],INDEX(합계표[사번키],$X695),상세표[반영월],대상월키,상세표[야간당직],1,상세표[야간 구분],"평일"))</f>
        <v/>
      </c>
      <c r="T695">
        <f>IF($X695="","",COUNTIFS(상세표[사번키],INDEX(합계표[사번키],$X695),상세표[반영월],대상월키,상세표[야간당직],1,상세표[야간 구분],"휴일"))</f>
        <v/>
      </c>
      <c r="U695">
        <f>IF($X695="","",COUNTIFS(상세표[사번키],INDEX(합계표[사번키],$X695),상세표[반영월],대상월키,상세표[야간당직],1,상세표[야간 구분],"평일",상세표[반영 기관],"서울병원"))</f>
        <v/>
      </c>
      <c r="V695">
        <f>IF($X695="","",COUNTIFS(상세표[사번키],INDEX(합계표[사번키],$X695),상세표[반영월],대상월키,상세표[야간당직],1,상세표[야간 구분],"휴일",상세표[반영 기관],"서울병원"))</f>
        <v/>
      </c>
      <c r="W695">
        <f>IF($X695="","",IF(ISNUMBER(MATCH(INDEX(합계표[사번키],$X695)&amp;"|"&amp;대상월키,월별근무지표[키],0)),"직접 입력",IF($L695="—","—","기관명단")))</f>
        <v/>
      </c>
      <c r="X695" s="4">
        <f>IFERROR(MATCH(690,합계표[판정순번],0),"")</f>
        <v/>
      </c>
    </row>
    <row r="696">
      <c r="A696">
        <f>IF($X696="","",INDEX(합계표[사번],$X696)&amp;"")</f>
        <v/>
      </c>
      <c r="B696">
        <f>IF($X696="","",INDEX(합계표[성명],$X696)&amp;"")</f>
        <v/>
      </c>
      <c r="C696">
        <f>IF($X696="","",INDEX(합계표[부서],$X696)&amp;"")</f>
        <v/>
      </c>
      <c r="D696">
        <f>IF($X696="","",INDEX(합계표[직위(요약)],$X696)&amp;"")</f>
        <v/>
      </c>
      <c r="E696">
        <f>IF($X696="","",INDEX(합계표[직급 공존],$X696)&amp;"")</f>
        <v/>
      </c>
      <c r="F696" s="20">
        <f>IF($X696="","",SUMIFS(합계표[시스템 합계],합계표[사번키],INDEX(합계표[사번키],$X696)))</f>
        <v/>
      </c>
      <c r="G696" s="20">
        <f>IF($X696="","",SUMIFS(상세표[기록 시간외],상세표[사번키],INDEX(합계표[사번키],$X696),상세표[기록월],대상월키))</f>
        <v/>
      </c>
      <c r="H696">
        <f>IF($X696="","",IF(ABS($F696-$G696)&lt;0.01,"일치","불일치(차이 "&amp;TEXT($G696-$F696,"0.00")&amp;")"))</f>
        <v/>
      </c>
      <c r="I696" s="20">
        <f>IF($X696="","",SUMIFS(상세표[기록 시간외],상세표[사번키],INDEX(합계표[사번키],$X696),상세표[기록월],대상월키,상세표[반영월],"&lt;&gt;"&amp;대상월키))</f>
        <v/>
      </c>
      <c r="J696" s="20">
        <f>IF($X696="","",SUMIFS(상세표[기록 시간외],상세표[사번키],INDEX(합계표[사번키],$X696),상세표[기록월],"&lt;&gt;"&amp;대상월키,상세표[반영월],대상월키))</f>
        <v/>
      </c>
      <c r="K696" s="20">
        <f>IF($X696="","",SUMIFS(상세표[기록 시간외],상세표[사번키],INDEX(합계표[사번키],$X696),상세표[반영월],대상월키))</f>
        <v/>
      </c>
      <c r="L696">
        <f>IF($X696="","",IFERROR(INDEX(월별근무지표[적용 급여병원],MATCH(INDEX(합계표[사번키],$X696)&amp;"|"&amp;대상월키,월별근무지표[키],0))&amp;"",IF(COUNTIF(기관표[사번키],INDEX(합계표[사번키],$X696))+COUNTIF(월별근무지표[사번키],INDEX(합계표[사번키],$X696))&gt;0,IFERROR(INDEX(기관표[급여지급병원(기준월)],MATCH(INDEX(합계표[사번키],$X696)&amp;"|"&amp;대상월키,기관표[키],0))&amp;"","—"),"—")))</f>
        <v/>
      </c>
      <c r="M696">
        <f>IF($X696="","",IF(NOT(COUNTIF(기관표[사번키],INDEX(합계표[사번키],$X696))+COUNTIF(월별근무지표[사번키],INDEX(합계표[사번키],$X696))&gt;0),"기관명단에 없음(다른 병원으로 발송)",IF($L696="서울병원","해당",IF(N($R696)&gt;0,"해당(말일 근무)",IF($L696="—","대상월 기관명단 없음(추가 필요)","비해당")))))</f>
        <v/>
      </c>
      <c r="N696" s="20">
        <f>IF($X696="","",SUMIFS(상세표[06~07시],상세표[사번키],INDEX(합계표[사번키],$X696),상세표[반영월],대상월키,상세표[반영 기관],"서울병원"))</f>
        <v/>
      </c>
      <c r="O696" s="20">
        <f>IF($X696="","",SUMIFS(상세표[07~18시],상세표[사번키],INDEX(합계표[사번키],$X696),상세표[반영월],대상월키,상세표[반영 기관],"서울병원"))</f>
        <v/>
      </c>
      <c r="P696" s="20">
        <f>IF($X696="","",SUMIFS(상세표[18~22시],상세표[사번키],INDEX(합계표[사번키],$X696),상세표[반영월],대상월키,상세표[반영 기관],"서울병원"))</f>
        <v/>
      </c>
      <c r="Q696" s="20">
        <f>IF($X696="","",SUMIFS(상세표[22~06시],상세표[사번키],INDEX(합계표[사번키],$X696),상세표[반영월],대상월키,상세표[반영 기관],"서울병원"))</f>
        <v/>
      </c>
      <c r="R696" s="20">
        <f>IF($X696="","",SUM($N696:$Q696))</f>
        <v/>
      </c>
      <c r="S696">
        <f>IF($X696="","",COUNTIFS(상세표[사번키],INDEX(합계표[사번키],$X696),상세표[반영월],대상월키,상세표[야간당직],1,상세표[야간 구분],"평일"))</f>
        <v/>
      </c>
      <c r="T696">
        <f>IF($X696="","",COUNTIFS(상세표[사번키],INDEX(합계표[사번키],$X696),상세표[반영월],대상월키,상세표[야간당직],1,상세표[야간 구분],"휴일"))</f>
        <v/>
      </c>
      <c r="U696">
        <f>IF($X696="","",COUNTIFS(상세표[사번키],INDEX(합계표[사번키],$X696),상세표[반영월],대상월키,상세표[야간당직],1,상세표[야간 구분],"평일",상세표[반영 기관],"서울병원"))</f>
        <v/>
      </c>
      <c r="V696">
        <f>IF($X696="","",COUNTIFS(상세표[사번키],INDEX(합계표[사번키],$X696),상세표[반영월],대상월키,상세표[야간당직],1,상세표[야간 구분],"휴일",상세표[반영 기관],"서울병원"))</f>
        <v/>
      </c>
      <c r="W696">
        <f>IF($X696="","",IF(ISNUMBER(MATCH(INDEX(합계표[사번키],$X696)&amp;"|"&amp;대상월키,월별근무지표[키],0)),"직접 입력",IF($L696="—","—","기관명단")))</f>
        <v/>
      </c>
      <c r="X696" s="4">
        <f>IFERROR(MATCH(691,합계표[판정순번],0),"")</f>
        <v/>
      </c>
    </row>
    <row r="697">
      <c r="A697">
        <f>IF($X697="","",INDEX(합계표[사번],$X697)&amp;"")</f>
        <v/>
      </c>
      <c r="B697">
        <f>IF($X697="","",INDEX(합계표[성명],$X697)&amp;"")</f>
        <v/>
      </c>
      <c r="C697">
        <f>IF($X697="","",INDEX(합계표[부서],$X697)&amp;"")</f>
        <v/>
      </c>
      <c r="D697">
        <f>IF($X697="","",INDEX(합계표[직위(요약)],$X697)&amp;"")</f>
        <v/>
      </c>
      <c r="E697">
        <f>IF($X697="","",INDEX(합계표[직급 공존],$X697)&amp;"")</f>
        <v/>
      </c>
      <c r="F697" s="20">
        <f>IF($X697="","",SUMIFS(합계표[시스템 합계],합계표[사번키],INDEX(합계표[사번키],$X697)))</f>
        <v/>
      </c>
      <c r="G697" s="20">
        <f>IF($X697="","",SUMIFS(상세표[기록 시간외],상세표[사번키],INDEX(합계표[사번키],$X697),상세표[기록월],대상월키))</f>
        <v/>
      </c>
      <c r="H697">
        <f>IF($X697="","",IF(ABS($F697-$G697)&lt;0.01,"일치","불일치(차이 "&amp;TEXT($G697-$F697,"0.00")&amp;")"))</f>
        <v/>
      </c>
      <c r="I697" s="20">
        <f>IF($X697="","",SUMIFS(상세표[기록 시간외],상세표[사번키],INDEX(합계표[사번키],$X697),상세표[기록월],대상월키,상세표[반영월],"&lt;&gt;"&amp;대상월키))</f>
        <v/>
      </c>
      <c r="J697" s="20">
        <f>IF($X697="","",SUMIFS(상세표[기록 시간외],상세표[사번키],INDEX(합계표[사번키],$X697),상세표[기록월],"&lt;&gt;"&amp;대상월키,상세표[반영월],대상월키))</f>
        <v/>
      </c>
      <c r="K697" s="20">
        <f>IF($X697="","",SUMIFS(상세표[기록 시간외],상세표[사번키],INDEX(합계표[사번키],$X697),상세표[반영월],대상월키))</f>
        <v/>
      </c>
      <c r="L697">
        <f>IF($X697="","",IFERROR(INDEX(월별근무지표[적용 급여병원],MATCH(INDEX(합계표[사번키],$X697)&amp;"|"&amp;대상월키,월별근무지표[키],0))&amp;"",IF(COUNTIF(기관표[사번키],INDEX(합계표[사번키],$X697))+COUNTIF(월별근무지표[사번키],INDEX(합계표[사번키],$X697))&gt;0,IFERROR(INDEX(기관표[급여지급병원(기준월)],MATCH(INDEX(합계표[사번키],$X697)&amp;"|"&amp;대상월키,기관표[키],0))&amp;"","—"),"—")))</f>
        <v/>
      </c>
      <c r="M697">
        <f>IF($X697="","",IF(NOT(COUNTIF(기관표[사번키],INDEX(합계표[사번키],$X697))+COUNTIF(월별근무지표[사번키],INDEX(합계표[사번키],$X697))&gt;0),"기관명단에 없음(다른 병원으로 발송)",IF($L697="서울병원","해당",IF(N($R697)&gt;0,"해당(말일 근무)",IF($L697="—","대상월 기관명단 없음(추가 필요)","비해당")))))</f>
        <v/>
      </c>
      <c r="N697" s="20">
        <f>IF($X697="","",SUMIFS(상세표[06~07시],상세표[사번키],INDEX(합계표[사번키],$X697),상세표[반영월],대상월키,상세표[반영 기관],"서울병원"))</f>
        <v/>
      </c>
      <c r="O697" s="20">
        <f>IF($X697="","",SUMIFS(상세표[07~18시],상세표[사번키],INDEX(합계표[사번키],$X697),상세표[반영월],대상월키,상세표[반영 기관],"서울병원"))</f>
        <v/>
      </c>
      <c r="P697" s="20">
        <f>IF($X697="","",SUMIFS(상세표[18~22시],상세표[사번키],INDEX(합계표[사번키],$X697),상세표[반영월],대상월키,상세표[반영 기관],"서울병원"))</f>
        <v/>
      </c>
      <c r="Q697" s="20">
        <f>IF($X697="","",SUMIFS(상세표[22~06시],상세표[사번키],INDEX(합계표[사번키],$X697),상세표[반영월],대상월키,상세표[반영 기관],"서울병원"))</f>
        <v/>
      </c>
      <c r="R697" s="20">
        <f>IF($X697="","",SUM($N697:$Q697))</f>
        <v/>
      </c>
      <c r="S697">
        <f>IF($X697="","",COUNTIFS(상세표[사번키],INDEX(합계표[사번키],$X697),상세표[반영월],대상월키,상세표[야간당직],1,상세표[야간 구분],"평일"))</f>
        <v/>
      </c>
      <c r="T697">
        <f>IF($X697="","",COUNTIFS(상세표[사번키],INDEX(합계표[사번키],$X697),상세표[반영월],대상월키,상세표[야간당직],1,상세표[야간 구분],"휴일"))</f>
        <v/>
      </c>
      <c r="U697">
        <f>IF($X697="","",COUNTIFS(상세표[사번키],INDEX(합계표[사번키],$X697),상세표[반영월],대상월키,상세표[야간당직],1,상세표[야간 구분],"평일",상세표[반영 기관],"서울병원"))</f>
        <v/>
      </c>
      <c r="V697">
        <f>IF($X697="","",COUNTIFS(상세표[사번키],INDEX(합계표[사번키],$X697),상세표[반영월],대상월키,상세표[야간당직],1,상세표[야간 구분],"휴일",상세표[반영 기관],"서울병원"))</f>
        <v/>
      </c>
      <c r="W697">
        <f>IF($X697="","",IF(ISNUMBER(MATCH(INDEX(합계표[사번키],$X697)&amp;"|"&amp;대상월키,월별근무지표[키],0)),"직접 입력",IF($L697="—","—","기관명단")))</f>
        <v/>
      </c>
      <c r="X697" s="4">
        <f>IFERROR(MATCH(692,합계표[판정순번],0),"")</f>
        <v/>
      </c>
    </row>
    <row r="698">
      <c r="A698">
        <f>IF($X698="","",INDEX(합계표[사번],$X698)&amp;"")</f>
        <v/>
      </c>
      <c r="B698">
        <f>IF($X698="","",INDEX(합계표[성명],$X698)&amp;"")</f>
        <v/>
      </c>
      <c r="C698">
        <f>IF($X698="","",INDEX(합계표[부서],$X698)&amp;"")</f>
        <v/>
      </c>
      <c r="D698">
        <f>IF($X698="","",INDEX(합계표[직위(요약)],$X698)&amp;"")</f>
        <v/>
      </c>
      <c r="E698">
        <f>IF($X698="","",INDEX(합계표[직급 공존],$X698)&amp;"")</f>
        <v/>
      </c>
      <c r="F698" s="20">
        <f>IF($X698="","",SUMIFS(합계표[시스템 합계],합계표[사번키],INDEX(합계표[사번키],$X698)))</f>
        <v/>
      </c>
      <c r="G698" s="20">
        <f>IF($X698="","",SUMIFS(상세표[기록 시간외],상세표[사번키],INDEX(합계표[사번키],$X698),상세표[기록월],대상월키))</f>
        <v/>
      </c>
      <c r="H698">
        <f>IF($X698="","",IF(ABS($F698-$G698)&lt;0.01,"일치","불일치(차이 "&amp;TEXT($G698-$F698,"0.00")&amp;")"))</f>
        <v/>
      </c>
      <c r="I698" s="20">
        <f>IF($X698="","",SUMIFS(상세표[기록 시간외],상세표[사번키],INDEX(합계표[사번키],$X698),상세표[기록월],대상월키,상세표[반영월],"&lt;&gt;"&amp;대상월키))</f>
        <v/>
      </c>
      <c r="J698" s="20">
        <f>IF($X698="","",SUMIFS(상세표[기록 시간외],상세표[사번키],INDEX(합계표[사번키],$X698),상세표[기록월],"&lt;&gt;"&amp;대상월키,상세표[반영월],대상월키))</f>
        <v/>
      </c>
      <c r="K698" s="20">
        <f>IF($X698="","",SUMIFS(상세표[기록 시간외],상세표[사번키],INDEX(합계표[사번키],$X698),상세표[반영월],대상월키))</f>
        <v/>
      </c>
      <c r="L698">
        <f>IF($X698="","",IFERROR(INDEX(월별근무지표[적용 급여병원],MATCH(INDEX(합계표[사번키],$X698)&amp;"|"&amp;대상월키,월별근무지표[키],0))&amp;"",IF(COUNTIF(기관표[사번키],INDEX(합계표[사번키],$X698))+COUNTIF(월별근무지표[사번키],INDEX(합계표[사번키],$X698))&gt;0,IFERROR(INDEX(기관표[급여지급병원(기준월)],MATCH(INDEX(합계표[사번키],$X698)&amp;"|"&amp;대상월키,기관표[키],0))&amp;"","—"),"—")))</f>
        <v/>
      </c>
      <c r="M698">
        <f>IF($X698="","",IF(NOT(COUNTIF(기관표[사번키],INDEX(합계표[사번키],$X698))+COUNTIF(월별근무지표[사번키],INDEX(합계표[사번키],$X698))&gt;0),"기관명단에 없음(다른 병원으로 발송)",IF($L698="서울병원","해당",IF(N($R698)&gt;0,"해당(말일 근무)",IF($L698="—","대상월 기관명단 없음(추가 필요)","비해당")))))</f>
        <v/>
      </c>
      <c r="N698" s="20">
        <f>IF($X698="","",SUMIFS(상세표[06~07시],상세표[사번키],INDEX(합계표[사번키],$X698),상세표[반영월],대상월키,상세표[반영 기관],"서울병원"))</f>
        <v/>
      </c>
      <c r="O698" s="20">
        <f>IF($X698="","",SUMIFS(상세표[07~18시],상세표[사번키],INDEX(합계표[사번키],$X698),상세표[반영월],대상월키,상세표[반영 기관],"서울병원"))</f>
        <v/>
      </c>
      <c r="P698" s="20">
        <f>IF($X698="","",SUMIFS(상세표[18~22시],상세표[사번키],INDEX(합계표[사번키],$X698),상세표[반영월],대상월키,상세표[반영 기관],"서울병원"))</f>
        <v/>
      </c>
      <c r="Q698" s="20">
        <f>IF($X698="","",SUMIFS(상세표[22~06시],상세표[사번키],INDEX(합계표[사번키],$X698),상세표[반영월],대상월키,상세표[반영 기관],"서울병원"))</f>
        <v/>
      </c>
      <c r="R698" s="20">
        <f>IF($X698="","",SUM($N698:$Q698))</f>
        <v/>
      </c>
      <c r="S698">
        <f>IF($X698="","",COUNTIFS(상세표[사번키],INDEX(합계표[사번키],$X698),상세표[반영월],대상월키,상세표[야간당직],1,상세표[야간 구분],"평일"))</f>
        <v/>
      </c>
      <c r="T698">
        <f>IF($X698="","",COUNTIFS(상세표[사번키],INDEX(합계표[사번키],$X698),상세표[반영월],대상월키,상세표[야간당직],1,상세표[야간 구분],"휴일"))</f>
        <v/>
      </c>
      <c r="U698">
        <f>IF($X698="","",COUNTIFS(상세표[사번키],INDEX(합계표[사번키],$X698),상세표[반영월],대상월키,상세표[야간당직],1,상세표[야간 구분],"평일",상세표[반영 기관],"서울병원"))</f>
        <v/>
      </c>
      <c r="V698">
        <f>IF($X698="","",COUNTIFS(상세표[사번키],INDEX(합계표[사번키],$X698),상세표[반영월],대상월키,상세표[야간당직],1,상세표[야간 구분],"휴일",상세표[반영 기관],"서울병원"))</f>
        <v/>
      </c>
      <c r="W698">
        <f>IF($X698="","",IF(ISNUMBER(MATCH(INDEX(합계표[사번키],$X698)&amp;"|"&amp;대상월키,월별근무지표[키],0)),"직접 입력",IF($L698="—","—","기관명단")))</f>
        <v/>
      </c>
      <c r="X698" s="4">
        <f>IFERROR(MATCH(693,합계표[판정순번],0),"")</f>
        <v/>
      </c>
    </row>
    <row r="699">
      <c r="A699">
        <f>IF($X699="","",INDEX(합계표[사번],$X699)&amp;"")</f>
        <v/>
      </c>
      <c r="B699">
        <f>IF($X699="","",INDEX(합계표[성명],$X699)&amp;"")</f>
        <v/>
      </c>
      <c r="C699">
        <f>IF($X699="","",INDEX(합계표[부서],$X699)&amp;"")</f>
        <v/>
      </c>
      <c r="D699">
        <f>IF($X699="","",INDEX(합계표[직위(요약)],$X699)&amp;"")</f>
        <v/>
      </c>
      <c r="E699">
        <f>IF($X699="","",INDEX(합계표[직급 공존],$X699)&amp;"")</f>
        <v/>
      </c>
      <c r="F699" s="20">
        <f>IF($X699="","",SUMIFS(합계표[시스템 합계],합계표[사번키],INDEX(합계표[사번키],$X699)))</f>
        <v/>
      </c>
      <c r="G699" s="20">
        <f>IF($X699="","",SUMIFS(상세표[기록 시간외],상세표[사번키],INDEX(합계표[사번키],$X699),상세표[기록월],대상월키))</f>
        <v/>
      </c>
      <c r="H699">
        <f>IF($X699="","",IF(ABS($F699-$G699)&lt;0.01,"일치","불일치(차이 "&amp;TEXT($G699-$F699,"0.00")&amp;")"))</f>
        <v/>
      </c>
      <c r="I699" s="20">
        <f>IF($X699="","",SUMIFS(상세표[기록 시간외],상세표[사번키],INDEX(합계표[사번키],$X699),상세표[기록월],대상월키,상세표[반영월],"&lt;&gt;"&amp;대상월키))</f>
        <v/>
      </c>
      <c r="J699" s="20">
        <f>IF($X699="","",SUMIFS(상세표[기록 시간외],상세표[사번키],INDEX(합계표[사번키],$X699),상세표[기록월],"&lt;&gt;"&amp;대상월키,상세표[반영월],대상월키))</f>
        <v/>
      </c>
      <c r="K699" s="20">
        <f>IF($X699="","",SUMIFS(상세표[기록 시간외],상세표[사번키],INDEX(합계표[사번키],$X699),상세표[반영월],대상월키))</f>
        <v/>
      </c>
      <c r="L699">
        <f>IF($X699="","",IFERROR(INDEX(월별근무지표[적용 급여병원],MATCH(INDEX(합계표[사번키],$X699)&amp;"|"&amp;대상월키,월별근무지표[키],0))&amp;"",IF(COUNTIF(기관표[사번키],INDEX(합계표[사번키],$X699))+COUNTIF(월별근무지표[사번키],INDEX(합계표[사번키],$X699))&gt;0,IFERROR(INDEX(기관표[급여지급병원(기준월)],MATCH(INDEX(합계표[사번키],$X699)&amp;"|"&amp;대상월키,기관표[키],0))&amp;"","—"),"—")))</f>
        <v/>
      </c>
      <c r="M699">
        <f>IF($X699="","",IF(NOT(COUNTIF(기관표[사번키],INDEX(합계표[사번키],$X699))+COUNTIF(월별근무지표[사번키],INDEX(합계표[사번키],$X699))&gt;0),"기관명단에 없음(다른 병원으로 발송)",IF($L699="서울병원","해당",IF(N($R699)&gt;0,"해당(말일 근무)",IF($L699="—","대상월 기관명단 없음(추가 필요)","비해당")))))</f>
        <v/>
      </c>
      <c r="N699" s="20">
        <f>IF($X699="","",SUMIFS(상세표[06~07시],상세표[사번키],INDEX(합계표[사번키],$X699),상세표[반영월],대상월키,상세표[반영 기관],"서울병원"))</f>
        <v/>
      </c>
      <c r="O699" s="20">
        <f>IF($X699="","",SUMIFS(상세표[07~18시],상세표[사번키],INDEX(합계표[사번키],$X699),상세표[반영월],대상월키,상세표[반영 기관],"서울병원"))</f>
        <v/>
      </c>
      <c r="P699" s="20">
        <f>IF($X699="","",SUMIFS(상세표[18~22시],상세표[사번키],INDEX(합계표[사번키],$X699),상세표[반영월],대상월키,상세표[반영 기관],"서울병원"))</f>
        <v/>
      </c>
      <c r="Q699" s="20">
        <f>IF($X699="","",SUMIFS(상세표[22~06시],상세표[사번키],INDEX(합계표[사번키],$X699),상세표[반영월],대상월키,상세표[반영 기관],"서울병원"))</f>
        <v/>
      </c>
      <c r="R699" s="20">
        <f>IF($X699="","",SUM($N699:$Q699))</f>
        <v/>
      </c>
      <c r="S699">
        <f>IF($X699="","",COUNTIFS(상세표[사번키],INDEX(합계표[사번키],$X699),상세표[반영월],대상월키,상세표[야간당직],1,상세표[야간 구분],"평일"))</f>
        <v/>
      </c>
      <c r="T699">
        <f>IF($X699="","",COUNTIFS(상세표[사번키],INDEX(합계표[사번키],$X699),상세표[반영월],대상월키,상세표[야간당직],1,상세표[야간 구분],"휴일"))</f>
        <v/>
      </c>
      <c r="U699">
        <f>IF($X699="","",COUNTIFS(상세표[사번키],INDEX(합계표[사번키],$X699),상세표[반영월],대상월키,상세표[야간당직],1,상세표[야간 구분],"평일",상세표[반영 기관],"서울병원"))</f>
        <v/>
      </c>
      <c r="V699">
        <f>IF($X699="","",COUNTIFS(상세표[사번키],INDEX(합계표[사번키],$X699),상세표[반영월],대상월키,상세표[야간당직],1,상세표[야간 구분],"휴일",상세표[반영 기관],"서울병원"))</f>
        <v/>
      </c>
      <c r="W699">
        <f>IF($X699="","",IF(ISNUMBER(MATCH(INDEX(합계표[사번키],$X699)&amp;"|"&amp;대상월키,월별근무지표[키],0)),"직접 입력",IF($L699="—","—","기관명단")))</f>
        <v/>
      </c>
      <c r="X699" s="4">
        <f>IFERROR(MATCH(694,합계표[판정순번],0),"")</f>
        <v/>
      </c>
    </row>
    <row r="700">
      <c r="A700">
        <f>IF($X700="","",INDEX(합계표[사번],$X700)&amp;"")</f>
        <v/>
      </c>
      <c r="B700">
        <f>IF($X700="","",INDEX(합계표[성명],$X700)&amp;"")</f>
        <v/>
      </c>
      <c r="C700">
        <f>IF($X700="","",INDEX(합계표[부서],$X700)&amp;"")</f>
        <v/>
      </c>
      <c r="D700">
        <f>IF($X700="","",INDEX(합계표[직위(요약)],$X700)&amp;"")</f>
        <v/>
      </c>
      <c r="E700">
        <f>IF($X700="","",INDEX(합계표[직급 공존],$X700)&amp;"")</f>
        <v/>
      </c>
      <c r="F700" s="20">
        <f>IF($X700="","",SUMIFS(합계표[시스템 합계],합계표[사번키],INDEX(합계표[사번키],$X700)))</f>
        <v/>
      </c>
      <c r="G700" s="20">
        <f>IF($X700="","",SUMIFS(상세표[기록 시간외],상세표[사번키],INDEX(합계표[사번키],$X700),상세표[기록월],대상월키))</f>
        <v/>
      </c>
      <c r="H700">
        <f>IF($X700="","",IF(ABS($F700-$G700)&lt;0.01,"일치","불일치(차이 "&amp;TEXT($G700-$F700,"0.00")&amp;")"))</f>
        <v/>
      </c>
      <c r="I700" s="20">
        <f>IF($X700="","",SUMIFS(상세표[기록 시간외],상세표[사번키],INDEX(합계표[사번키],$X700),상세표[기록월],대상월키,상세표[반영월],"&lt;&gt;"&amp;대상월키))</f>
        <v/>
      </c>
      <c r="J700" s="20">
        <f>IF($X700="","",SUMIFS(상세표[기록 시간외],상세표[사번키],INDEX(합계표[사번키],$X700),상세표[기록월],"&lt;&gt;"&amp;대상월키,상세표[반영월],대상월키))</f>
        <v/>
      </c>
      <c r="K700" s="20">
        <f>IF($X700="","",SUMIFS(상세표[기록 시간외],상세표[사번키],INDEX(합계표[사번키],$X700),상세표[반영월],대상월키))</f>
        <v/>
      </c>
      <c r="L700">
        <f>IF($X700="","",IFERROR(INDEX(월별근무지표[적용 급여병원],MATCH(INDEX(합계표[사번키],$X700)&amp;"|"&amp;대상월키,월별근무지표[키],0))&amp;"",IF(COUNTIF(기관표[사번키],INDEX(합계표[사번키],$X700))+COUNTIF(월별근무지표[사번키],INDEX(합계표[사번키],$X700))&gt;0,IFERROR(INDEX(기관표[급여지급병원(기준월)],MATCH(INDEX(합계표[사번키],$X700)&amp;"|"&amp;대상월키,기관표[키],0))&amp;"","—"),"—")))</f>
        <v/>
      </c>
      <c r="M700">
        <f>IF($X700="","",IF(NOT(COUNTIF(기관표[사번키],INDEX(합계표[사번키],$X700))+COUNTIF(월별근무지표[사번키],INDEX(합계표[사번키],$X700))&gt;0),"기관명단에 없음(다른 병원으로 발송)",IF($L700="서울병원","해당",IF(N($R700)&gt;0,"해당(말일 근무)",IF($L700="—","대상월 기관명단 없음(추가 필요)","비해당")))))</f>
        <v/>
      </c>
      <c r="N700" s="20">
        <f>IF($X700="","",SUMIFS(상세표[06~07시],상세표[사번키],INDEX(합계표[사번키],$X700),상세표[반영월],대상월키,상세표[반영 기관],"서울병원"))</f>
        <v/>
      </c>
      <c r="O700" s="20">
        <f>IF($X700="","",SUMIFS(상세표[07~18시],상세표[사번키],INDEX(합계표[사번키],$X700),상세표[반영월],대상월키,상세표[반영 기관],"서울병원"))</f>
        <v/>
      </c>
      <c r="P700" s="20">
        <f>IF($X700="","",SUMIFS(상세표[18~22시],상세표[사번키],INDEX(합계표[사번키],$X700),상세표[반영월],대상월키,상세표[반영 기관],"서울병원"))</f>
        <v/>
      </c>
      <c r="Q700" s="20">
        <f>IF($X700="","",SUMIFS(상세표[22~06시],상세표[사번키],INDEX(합계표[사번키],$X700),상세표[반영월],대상월키,상세표[반영 기관],"서울병원"))</f>
        <v/>
      </c>
      <c r="R700" s="20">
        <f>IF($X700="","",SUM($N700:$Q700))</f>
        <v/>
      </c>
      <c r="S700">
        <f>IF($X700="","",COUNTIFS(상세표[사번키],INDEX(합계표[사번키],$X700),상세표[반영월],대상월키,상세표[야간당직],1,상세표[야간 구분],"평일"))</f>
        <v/>
      </c>
      <c r="T700">
        <f>IF($X700="","",COUNTIFS(상세표[사번키],INDEX(합계표[사번키],$X700),상세표[반영월],대상월키,상세표[야간당직],1,상세표[야간 구분],"휴일"))</f>
        <v/>
      </c>
      <c r="U700">
        <f>IF($X700="","",COUNTIFS(상세표[사번키],INDEX(합계표[사번키],$X700),상세표[반영월],대상월키,상세표[야간당직],1,상세표[야간 구분],"평일",상세표[반영 기관],"서울병원"))</f>
        <v/>
      </c>
      <c r="V700">
        <f>IF($X700="","",COUNTIFS(상세표[사번키],INDEX(합계표[사번키],$X700),상세표[반영월],대상월키,상세표[야간당직],1,상세표[야간 구분],"휴일",상세표[반영 기관],"서울병원"))</f>
        <v/>
      </c>
      <c r="W700">
        <f>IF($X700="","",IF(ISNUMBER(MATCH(INDEX(합계표[사번키],$X700)&amp;"|"&amp;대상월키,월별근무지표[키],0)),"직접 입력",IF($L700="—","—","기관명단")))</f>
        <v/>
      </c>
      <c r="X700" s="4">
        <f>IFERROR(MATCH(695,합계표[판정순번],0),"")</f>
        <v/>
      </c>
    </row>
    <row r="701">
      <c r="A701">
        <f>IF($X701="","",INDEX(합계표[사번],$X701)&amp;"")</f>
        <v/>
      </c>
      <c r="B701">
        <f>IF($X701="","",INDEX(합계표[성명],$X701)&amp;"")</f>
        <v/>
      </c>
      <c r="C701">
        <f>IF($X701="","",INDEX(합계표[부서],$X701)&amp;"")</f>
        <v/>
      </c>
      <c r="D701">
        <f>IF($X701="","",INDEX(합계표[직위(요약)],$X701)&amp;"")</f>
        <v/>
      </c>
      <c r="E701">
        <f>IF($X701="","",INDEX(합계표[직급 공존],$X701)&amp;"")</f>
        <v/>
      </c>
      <c r="F701" s="20">
        <f>IF($X701="","",SUMIFS(합계표[시스템 합계],합계표[사번키],INDEX(합계표[사번키],$X701)))</f>
        <v/>
      </c>
      <c r="G701" s="20">
        <f>IF($X701="","",SUMIFS(상세표[기록 시간외],상세표[사번키],INDEX(합계표[사번키],$X701),상세표[기록월],대상월키))</f>
        <v/>
      </c>
      <c r="H701">
        <f>IF($X701="","",IF(ABS($F701-$G701)&lt;0.01,"일치","불일치(차이 "&amp;TEXT($G701-$F701,"0.00")&amp;")"))</f>
        <v/>
      </c>
      <c r="I701" s="20">
        <f>IF($X701="","",SUMIFS(상세표[기록 시간외],상세표[사번키],INDEX(합계표[사번키],$X701),상세표[기록월],대상월키,상세표[반영월],"&lt;&gt;"&amp;대상월키))</f>
        <v/>
      </c>
      <c r="J701" s="20">
        <f>IF($X701="","",SUMIFS(상세표[기록 시간외],상세표[사번키],INDEX(합계표[사번키],$X701),상세표[기록월],"&lt;&gt;"&amp;대상월키,상세표[반영월],대상월키))</f>
        <v/>
      </c>
      <c r="K701" s="20">
        <f>IF($X701="","",SUMIFS(상세표[기록 시간외],상세표[사번키],INDEX(합계표[사번키],$X701),상세표[반영월],대상월키))</f>
        <v/>
      </c>
      <c r="L701">
        <f>IF($X701="","",IFERROR(INDEX(월별근무지표[적용 급여병원],MATCH(INDEX(합계표[사번키],$X701)&amp;"|"&amp;대상월키,월별근무지표[키],0))&amp;"",IF(COUNTIF(기관표[사번키],INDEX(합계표[사번키],$X701))+COUNTIF(월별근무지표[사번키],INDEX(합계표[사번키],$X701))&gt;0,IFERROR(INDEX(기관표[급여지급병원(기준월)],MATCH(INDEX(합계표[사번키],$X701)&amp;"|"&amp;대상월키,기관표[키],0))&amp;"","—"),"—")))</f>
        <v/>
      </c>
      <c r="M701">
        <f>IF($X701="","",IF(NOT(COUNTIF(기관표[사번키],INDEX(합계표[사번키],$X701))+COUNTIF(월별근무지표[사번키],INDEX(합계표[사번키],$X701))&gt;0),"기관명단에 없음(다른 병원으로 발송)",IF($L701="서울병원","해당",IF(N($R701)&gt;0,"해당(말일 근무)",IF($L701="—","대상월 기관명단 없음(추가 필요)","비해당")))))</f>
        <v/>
      </c>
      <c r="N701" s="20">
        <f>IF($X701="","",SUMIFS(상세표[06~07시],상세표[사번키],INDEX(합계표[사번키],$X701),상세표[반영월],대상월키,상세표[반영 기관],"서울병원"))</f>
        <v/>
      </c>
      <c r="O701" s="20">
        <f>IF($X701="","",SUMIFS(상세표[07~18시],상세표[사번키],INDEX(합계표[사번키],$X701),상세표[반영월],대상월키,상세표[반영 기관],"서울병원"))</f>
        <v/>
      </c>
      <c r="P701" s="20">
        <f>IF($X701="","",SUMIFS(상세표[18~22시],상세표[사번키],INDEX(합계표[사번키],$X701),상세표[반영월],대상월키,상세표[반영 기관],"서울병원"))</f>
        <v/>
      </c>
      <c r="Q701" s="20">
        <f>IF($X701="","",SUMIFS(상세표[22~06시],상세표[사번키],INDEX(합계표[사번키],$X701),상세표[반영월],대상월키,상세표[반영 기관],"서울병원"))</f>
        <v/>
      </c>
      <c r="R701" s="20">
        <f>IF($X701="","",SUM($N701:$Q701))</f>
        <v/>
      </c>
      <c r="S701">
        <f>IF($X701="","",COUNTIFS(상세표[사번키],INDEX(합계표[사번키],$X701),상세표[반영월],대상월키,상세표[야간당직],1,상세표[야간 구분],"평일"))</f>
        <v/>
      </c>
      <c r="T701">
        <f>IF($X701="","",COUNTIFS(상세표[사번키],INDEX(합계표[사번키],$X701),상세표[반영월],대상월키,상세표[야간당직],1,상세표[야간 구분],"휴일"))</f>
        <v/>
      </c>
      <c r="U701">
        <f>IF($X701="","",COUNTIFS(상세표[사번키],INDEX(합계표[사번키],$X701),상세표[반영월],대상월키,상세표[야간당직],1,상세표[야간 구분],"평일",상세표[반영 기관],"서울병원"))</f>
        <v/>
      </c>
      <c r="V701">
        <f>IF($X701="","",COUNTIFS(상세표[사번키],INDEX(합계표[사번키],$X701),상세표[반영월],대상월키,상세표[야간당직],1,상세표[야간 구분],"휴일",상세표[반영 기관],"서울병원"))</f>
        <v/>
      </c>
      <c r="W701">
        <f>IF($X701="","",IF(ISNUMBER(MATCH(INDEX(합계표[사번키],$X701)&amp;"|"&amp;대상월키,월별근무지표[키],0)),"직접 입력",IF($L701="—","—","기관명단")))</f>
        <v/>
      </c>
      <c r="X701" s="4">
        <f>IFERROR(MATCH(696,합계표[판정순번],0),"")</f>
        <v/>
      </c>
    </row>
    <row r="702">
      <c r="A702">
        <f>IF($X702="","",INDEX(합계표[사번],$X702)&amp;"")</f>
        <v/>
      </c>
      <c r="B702">
        <f>IF($X702="","",INDEX(합계표[성명],$X702)&amp;"")</f>
        <v/>
      </c>
      <c r="C702">
        <f>IF($X702="","",INDEX(합계표[부서],$X702)&amp;"")</f>
        <v/>
      </c>
      <c r="D702">
        <f>IF($X702="","",INDEX(합계표[직위(요약)],$X702)&amp;"")</f>
        <v/>
      </c>
      <c r="E702">
        <f>IF($X702="","",INDEX(합계표[직급 공존],$X702)&amp;"")</f>
        <v/>
      </c>
      <c r="F702" s="20">
        <f>IF($X702="","",SUMIFS(합계표[시스템 합계],합계표[사번키],INDEX(합계표[사번키],$X702)))</f>
        <v/>
      </c>
      <c r="G702" s="20">
        <f>IF($X702="","",SUMIFS(상세표[기록 시간외],상세표[사번키],INDEX(합계표[사번키],$X702),상세표[기록월],대상월키))</f>
        <v/>
      </c>
      <c r="H702">
        <f>IF($X702="","",IF(ABS($F702-$G702)&lt;0.01,"일치","불일치(차이 "&amp;TEXT($G702-$F702,"0.00")&amp;")"))</f>
        <v/>
      </c>
      <c r="I702" s="20">
        <f>IF($X702="","",SUMIFS(상세표[기록 시간외],상세표[사번키],INDEX(합계표[사번키],$X702),상세표[기록월],대상월키,상세표[반영월],"&lt;&gt;"&amp;대상월키))</f>
        <v/>
      </c>
      <c r="J702" s="20">
        <f>IF($X702="","",SUMIFS(상세표[기록 시간외],상세표[사번키],INDEX(합계표[사번키],$X702),상세표[기록월],"&lt;&gt;"&amp;대상월키,상세표[반영월],대상월키))</f>
        <v/>
      </c>
      <c r="K702" s="20">
        <f>IF($X702="","",SUMIFS(상세표[기록 시간외],상세표[사번키],INDEX(합계표[사번키],$X702),상세표[반영월],대상월키))</f>
        <v/>
      </c>
      <c r="L702">
        <f>IF($X702="","",IFERROR(INDEX(월별근무지표[적용 급여병원],MATCH(INDEX(합계표[사번키],$X702)&amp;"|"&amp;대상월키,월별근무지표[키],0))&amp;"",IF(COUNTIF(기관표[사번키],INDEX(합계표[사번키],$X702))+COUNTIF(월별근무지표[사번키],INDEX(합계표[사번키],$X702))&gt;0,IFERROR(INDEX(기관표[급여지급병원(기준월)],MATCH(INDEX(합계표[사번키],$X702)&amp;"|"&amp;대상월키,기관표[키],0))&amp;"","—"),"—")))</f>
        <v/>
      </c>
      <c r="M702">
        <f>IF($X702="","",IF(NOT(COUNTIF(기관표[사번키],INDEX(합계표[사번키],$X702))+COUNTIF(월별근무지표[사번키],INDEX(합계표[사번키],$X702))&gt;0),"기관명단에 없음(다른 병원으로 발송)",IF($L702="서울병원","해당",IF(N($R702)&gt;0,"해당(말일 근무)",IF($L702="—","대상월 기관명단 없음(추가 필요)","비해당")))))</f>
        <v/>
      </c>
      <c r="N702" s="20">
        <f>IF($X702="","",SUMIFS(상세표[06~07시],상세표[사번키],INDEX(합계표[사번키],$X702),상세표[반영월],대상월키,상세표[반영 기관],"서울병원"))</f>
        <v/>
      </c>
      <c r="O702" s="20">
        <f>IF($X702="","",SUMIFS(상세표[07~18시],상세표[사번키],INDEX(합계표[사번키],$X702),상세표[반영월],대상월키,상세표[반영 기관],"서울병원"))</f>
        <v/>
      </c>
      <c r="P702" s="20">
        <f>IF($X702="","",SUMIFS(상세표[18~22시],상세표[사번키],INDEX(합계표[사번키],$X702),상세표[반영월],대상월키,상세표[반영 기관],"서울병원"))</f>
        <v/>
      </c>
      <c r="Q702" s="20">
        <f>IF($X702="","",SUMIFS(상세표[22~06시],상세표[사번키],INDEX(합계표[사번키],$X702),상세표[반영월],대상월키,상세표[반영 기관],"서울병원"))</f>
        <v/>
      </c>
      <c r="R702" s="20">
        <f>IF($X702="","",SUM($N702:$Q702))</f>
        <v/>
      </c>
      <c r="S702">
        <f>IF($X702="","",COUNTIFS(상세표[사번키],INDEX(합계표[사번키],$X702),상세표[반영월],대상월키,상세표[야간당직],1,상세표[야간 구분],"평일"))</f>
        <v/>
      </c>
      <c r="T702">
        <f>IF($X702="","",COUNTIFS(상세표[사번키],INDEX(합계표[사번키],$X702),상세표[반영월],대상월키,상세표[야간당직],1,상세표[야간 구분],"휴일"))</f>
        <v/>
      </c>
      <c r="U702">
        <f>IF($X702="","",COUNTIFS(상세표[사번키],INDEX(합계표[사번키],$X702),상세표[반영월],대상월키,상세표[야간당직],1,상세표[야간 구분],"평일",상세표[반영 기관],"서울병원"))</f>
        <v/>
      </c>
      <c r="V702">
        <f>IF($X702="","",COUNTIFS(상세표[사번키],INDEX(합계표[사번키],$X702),상세표[반영월],대상월키,상세표[야간당직],1,상세표[야간 구분],"휴일",상세표[반영 기관],"서울병원"))</f>
        <v/>
      </c>
      <c r="W702">
        <f>IF($X702="","",IF(ISNUMBER(MATCH(INDEX(합계표[사번키],$X702)&amp;"|"&amp;대상월키,월별근무지표[키],0)),"직접 입력",IF($L702="—","—","기관명단")))</f>
        <v/>
      </c>
      <c r="X702" s="4">
        <f>IFERROR(MATCH(697,합계표[판정순번],0),"")</f>
        <v/>
      </c>
    </row>
    <row r="703">
      <c r="A703">
        <f>IF($X703="","",INDEX(합계표[사번],$X703)&amp;"")</f>
        <v/>
      </c>
      <c r="B703">
        <f>IF($X703="","",INDEX(합계표[성명],$X703)&amp;"")</f>
        <v/>
      </c>
      <c r="C703">
        <f>IF($X703="","",INDEX(합계표[부서],$X703)&amp;"")</f>
        <v/>
      </c>
      <c r="D703">
        <f>IF($X703="","",INDEX(합계표[직위(요약)],$X703)&amp;"")</f>
        <v/>
      </c>
      <c r="E703">
        <f>IF($X703="","",INDEX(합계표[직급 공존],$X703)&amp;"")</f>
        <v/>
      </c>
      <c r="F703" s="20">
        <f>IF($X703="","",SUMIFS(합계표[시스템 합계],합계표[사번키],INDEX(합계표[사번키],$X703)))</f>
        <v/>
      </c>
      <c r="G703" s="20">
        <f>IF($X703="","",SUMIFS(상세표[기록 시간외],상세표[사번키],INDEX(합계표[사번키],$X703),상세표[기록월],대상월키))</f>
        <v/>
      </c>
      <c r="H703">
        <f>IF($X703="","",IF(ABS($F703-$G703)&lt;0.01,"일치","불일치(차이 "&amp;TEXT($G703-$F703,"0.00")&amp;")"))</f>
        <v/>
      </c>
      <c r="I703" s="20">
        <f>IF($X703="","",SUMIFS(상세표[기록 시간외],상세표[사번키],INDEX(합계표[사번키],$X703),상세표[기록월],대상월키,상세표[반영월],"&lt;&gt;"&amp;대상월키))</f>
        <v/>
      </c>
      <c r="J703" s="20">
        <f>IF($X703="","",SUMIFS(상세표[기록 시간외],상세표[사번키],INDEX(합계표[사번키],$X703),상세표[기록월],"&lt;&gt;"&amp;대상월키,상세표[반영월],대상월키))</f>
        <v/>
      </c>
      <c r="K703" s="20">
        <f>IF($X703="","",SUMIFS(상세표[기록 시간외],상세표[사번키],INDEX(합계표[사번키],$X703),상세표[반영월],대상월키))</f>
        <v/>
      </c>
      <c r="L703">
        <f>IF($X703="","",IFERROR(INDEX(월별근무지표[적용 급여병원],MATCH(INDEX(합계표[사번키],$X703)&amp;"|"&amp;대상월키,월별근무지표[키],0))&amp;"",IF(COUNTIF(기관표[사번키],INDEX(합계표[사번키],$X703))+COUNTIF(월별근무지표[사번키],INDEX(합계표[사번키],$X703))&gt;0,IFERROR(INDEX(기관표[급여지급병원(기준월)],MATCH(INDEX(합계표[사번키],$X703)&amp;"|"&amp;대상월키,기관표[키],0))&amp;"","—"),"—")))</f>
        <v/>
      </c>
      <c r="M703">
        <f>IF($X703="","",IF(NOT(COUNTIF(기관표[사번키],INDEX(합계표[사번키],$X703))+COUNTIF(월별근무지표[사번키],INDEX(합계표[사번키],$X703))&gt;0),"기관명단에 없음(다른 병원으로 발송)",IF($L703="서울병원","해당",IF(N($R703)&gt;0,"해당(말일 근무)",IF($L703="—","대상월 기관명단 없음(추가 필요)","비해당")))))</f>
        <v/>
      </c>
      <c r="N703" s="20">
        <f>IF($X703="","",SUMIFS(상세표[06~07시],상세표[사번키],INDEX(합계표[사번키],$X703),상세표[반영월],대상월키,상세표[반영 기관],"서울병원"))</f>
        <v/>
      </c>
      <c r="O703" s="20">
        <f>IF($X703="","",SUMIFS(상세표[07~18시],상세표[사번키],INDEX(합계표[사번키],$X703),상세표[반영월],대상월키,상세표[반영 기관],"서울병원"))</f>
        <v/>
      </c>
      <c r="P703" s="20">
        <f>IF($X703="","",SUMIFS(상세표[18~22시],상세표[사번키],INDEX(합계표[사번키],$X703),상세표[반영월],대상월키,상세표[반영 기관],"서울병원"))</f>
        <v/>
      </c>
      <c r="Q703" s="20">
        <f>IF($X703="","",SUMIFS(상세표[22~06시],상세표[사번키],INDEX(합계표[사번키],$X703),상세표[반영월],대상월키,상세표[반영 기관],"서울병원"))</f>
        <v/>
      </c>
      <c r="R703" s="20">
        <f>IF($X703="","",SUM($N703:$Q703))</f>
        <v/>
      </c>
      <c r="S703">
        <f>IF($X703="","",COUNTIFS(상세표[사번키],INDEX(합계표[사번키],$X703),상세표[반영월],대상월키,상세표[야간당직],1,상세표[야간 구분],"평일"))</f>
        <v/>
      </c>
      <c r="T703">
        <f>IF($X703="","",COUNTIFS(상세표[사번키],INDEX(합계표[사번키],$X703),상세표[반영월],대상월키,상세표[야간당직],1,상세표[야간 구분],"휴일"))</f>
        <v/>
      </c>
      <c r="U703">
        <f>IF($X703="","",COUNTIFS(상세표[사번키],INDEX(합계표[사번키],$X703),상세표[반영월],대상월키,상세표[야간당직],1,상세표[야간 구분],"평일",상세표[반영 기관],"서울병원"))</f>
        <v/>
      </c>
      <c r="V703">
        <f>IF($X703="","",COUNTIFS(상세표[사번키],INDEX(합계표[사번키],$X703),상세표[반영월],대상월키,상세표[야간당직],1,상세표[야간 구분],"휴일",상세표[반영 기관],"서울병원"))</f>
        <v/>
      </c>
      <c r="W703">
        <f>IF($X703="","",IF(ISNUMBER(MATCH(INDEX(합계표[사번키],$X703)&amp;"|"&amp;대상월키,월별근무지표[키],0)),"직접 입력",IF($L703="—","—","기관명단")))</f>
        <v/>
      </c>
      <c r="X703" s="4">
        <f>IFERROR(MATCH(698,합계표[판정순번],0),"")</f>
        <v/>
      </c>
    </row>
    <row r="704">
      <c r="A704">
        <f>IF($X704="","",INDEX(합계표[사번],$X704)&amp;"")</f>
        <v/>
      </c>
      <c r="B704">
        <f>IF($X704="","",INDEX(합계표[성명],$X704)&amp;"")</f>
        <v/>
      </c>
      <c r="C704">
        <f>IF($X704="","",INDEX(합계표[부서],$X704)&amp;"")</f>
        <v/>
      </c>
      <c r="D704">
        <f>IF($X704="","",INDEX(합계표[직위(요약)],$X704)&amp;"")</f>
        <v/>
      </c>
      <c r="E704">
        <f>IF($X704="","",INDEX(합계표[직급 공존],$X704)&amp;"")</f>
        <v/>
      </c>
      <c r="F704" s="20">
        <f>IF($X704="","",SUMIFS(합계표[시스템 합계],합계표[사번키],INDEX(합계표[사번키],$X704)))</f>
        <v/>
      </c>
      <c r="G704" s="20">
        <f>IF($X704="","",SUMIFS(상세표[기록 시간외],상세표[사번키],INDEX(합계표[사번키],$X704),상세표[기록월],대상월키))</f>
        <v/>
      </c>
      <c r="H704">
        <f>IF($X704="","",IF(ABS($F704-$G704)&lt;0.01,"일치","불일치(차이 "&amp;TEXT($G704-$F704,"0.00")&amp;")"))</f>
        <v/>
      </c>
      <c r="I704" s="20">
        <f>IF($X704="","",SUMIFS(상세표[기록 시간외],상세표[사번키],INDEX(합계표[사번키],$X704),상세표[기록월],대상월키,상세표[반영월],"&lt;&gt;"&amp;대상월키))</f>
        <v/>
      </c>
      <c r="J704" s="20">
        <f>IF($X704="","",SUMIFS(상세표[기록 시간외],상세표[사번키],INDEX(합계표[사번키],$X704),상세표[기록월],"&lt;&gt;"&amp;대상월키,상세표[반영월],대상월키))</f>
        <v/>
      </c>
      <c r="K704" s="20">
        <f>IF($X704="","",SUMIFS(상세표[기록 시간외],상세표[사번키],INDEX(합계표[사번키],$X704),상세표[반영월],대상월키))</f>
        <v/>
      </c>
      <c r="L704">
        <f>IF($X704="","",IFERROR(INDEX(월별근무지표[적용 급여병원],MATCH(INDEX(합계표[사번키],$X704)&amp;"|"&amp;대상월키,월별근무지표[키],0))&amp;"",IF(COUNTIF(기관표[사번키],INDEX(합계표[사번키],$X704))+COUNTIF(월별근무지표[사번키],INDEX(합계표[사번키],$X704))&gt;0,IFERROR(INDEX(기관표[급여지급병원(기준월)],MATCH(INDEX(합계표[사번키],$X704)&amp;"|"&amp;대상월키,기관표[키],0))&amp;"","—"),"—")))</f>
        <v/>
      </c>
      <c r="M704">
        <f>IF($X704="","",IF(NOT(COUNTIF(기관표[사번키],INDEX(합계표[사번키],$X704))+COUNTIF(월별근무지표[사번키],INDEX(합계표[사번키],$X704))&gt;0),"기관명단에 없음(다른 병원으로 발송)",IF($L704="서울병원","해당",IF(N($R704)&gt;0,"해당(말일 근무)",IF($L704="—","대상월 기관명단 없음(추가 필요)","비해당")))))</f>
        <v/>
      </c>
      <c r="N704" s="20">
        <f>IF($X704="","",SUMIFS(상세표[06~07시],상세표[사번키],INDEX(합계표[사번키],$X704),상세표[반영월],대상월키,상세표[반영 기관],"서울병원"))</f>
        <v/>
      </c>
      <c r="O704" s="20">
        <f>IF($X704="","",SUMIFS(상세표[07~18시],상세표[사번키],INDEX(합계표[사번키],$X704),상세표[반영월],대상월키,상세표[반영 기관],"서울병원"))</f>
        <v/>
      </c>
      <c r="P704" s="20">
        <f>IF($X704="","",SUMIFS(상세표[18~22시],상세표[사번키],INDEX(합계표[사번키],$X704),상세표[반영월],대상월키,상세표[반영 기관],"서울병원"))</f>
        <v/>
      </c>
      <c r="Q704" s="20">
        <f>IF($X704="","",SUMIFS(상세표[22~06시],상세표[사번키],INDEX(합계표[사번키],$X704),상세표[반영월],대상월키,상세표[반영 기관],"서울병원"))</f>
        <v/>
      </c>
      <c r="R704" s="20">
        <f>IF($X704="","",SUM($N704:$Q704))</f>
        <v/>
      </c>
      <c r="S704">
        <f>IF($X704="","",COUNTIFS(상세표[사번키],INDEX(합계표[사번키],$X704),상세표[반영월],대상월키,상세표[야간당직],1,상세표[야간 구분],"평일"))</f>
        <v/>
      </c>
      <c r="T704">
        <f>IF($X704="","",COUNTIFS(상세표[사번키],INDEX(합계표[사번키],$X704),상세표[반영월],대상월키,상세표[야간당직],1,상세표[야간 구분],"휴일"))</f>
        <v/>
      </c>
      <c r="U704">
        <f>IF($X704="","",COUNTIFS(상세표[사번키],INDEX(합계표[사번키],$X704),상세표[반영월],대상월키,상세표[야간당직],1,상세표[야간 구분],"평일",상세표[반영 기관],"서울병원"))</f>
        <v/>
      </c>
      <c r="V704">
        <f>IF($X704="","",COUNTIFS(상세표[사번키],INDEX(합계표[사번키],$X704),상세표[반영월],대상월키,상세표[야간당직],1,상세표[야간 구분],"휴일",상세표[반영 기관],"서울병원"))</f>
        <v/>
      </c>
      <c r="W704">
        <f>IF($X704="","",IF(ISNUMBER(MATCH(INDEX(합계표[사번키],$X704)&amp;"|"&amp;대상월키,월별근무지표[키],0)),"직접 입력",IF($L704="—","—","기관명단")))</f>
        <v/>
      </c>
      <c r="X704" s="4">
        <f>IFERROR(MATCH(699,합계표[판정순번],0),"")</f>
        <v/>
      </c>
    </row>
    <row r="705">
      <c r="A705">
        <f>IF($X705="","",INDEX(합계표[사번],$X705)&amp;"")</f>
        <v/>
      </c>
      <c r="B705">
        <f>IF($X705="","",INDEX(합계표[성명],$X705)&amp;"")</f>
        <v/>
      </c>
      <c r="C705">
        <f>IF($X705="","",INDEX(합계표[부서],$X705)&amp;"")</f>
        <v/>
      </c>
      <c r="D705">
        <f>IF($X705="","",INDEX(합계표[직위(요약)],$X705)&amp;"")</f>
        <v/>
      </c>
      <c r="E705">
        <f>IF($X705="","",INDEX(합계표[직급 공존],$X705)&amp;"")</f>
        <v/>
      </c>
      <c r="F705" s="20">
        <f>IF($X705="","",SUMIFS(합계표[시스템 합계],합계표[사번키],INDEX(합계표[사번키],$X705)))</f>
        <v/>
      </c>
      <c r="G705" s="20">
        <f>IF($X705="","",SUMIFS(상세표[기록 시간외],상세표[사번키],INDEX(합계표[사번키],$X705),상세표[기록월],대상월키))</f>
        <v/>
      </c>
      <c r="H705">
        <f>IF($X705="","",IF(ABS($F705-$G705)&lt;0.01,"일치","불일치(차이 "&amp;TEXT($G705-$F705,"0.00")&amp;")"))</f>
        <v/>
      </c>
      <c r="I705" s="20">
        <f>IF($X705="","",SUMIFS(상세표[기록 시간외],상세표[사번키],INDEX(합계표[사번키],$X705),상세표[기록월],대상월키,상세표[반영월],"&lt;&gt;"&amp;대상월키))</f>
        <v/>
      </c>
      <c r="J705" s="20">
        <f>IF($X705="","",SUMIFS(상세표[기록 시간외],상세표[사번키],INDEX(합계표[사번키],$X705),상세표[기록월],"&lt;&gt;"&amp;대상월키,상세표[반영월],대상월키))</f>
        <v/>
      </c>
      <c r="K705" s="20">
        <f>IF($X705="","",SUMIFS(상세표[기록 시간외],상세표[사번키],INDEX(합계표[사번키],$X705),상세표[반영월],대상월키))</f>
        <v/>
      </c>
      <c r="L705">
        <f>IF($X705="","",IFERROR(INDEX(월별근무지표[적용 급여병원],MATCH(INDEX(합계표[사번키],$X705)&amp;"|"&amp;대상월키,월별근무지표[키],0))&amp;"",IF(COUNTIF(기관표[사번키],INDEX(합계표[사번키],$X705))+COUNTIF(월별근무지표[사번키],INDEX(합계표[사번키],$X705))&gt;0,IFERROR(INDEX(기관표[급여지급병원(기준월)],MATCH(INDEX(합계표[사번키],$X705)&amp;"|"&amp;대상월키,기관표[키],0))&amp;"","—"),"—")))</f>
        <v/>
      </c>
      <c r="M705">
        <f>IF($X705="","",IF(NOT(COUNTIF(기관표[사번키],INDEX(합계표[사번키],$X705))+COUNTIF(월별근무지표[사번키],INDEX(합계표[사번키],$X705))&gt;0),"기관명단에 없음(다른 병원으로 발송)",IF($L705="서울병원","해당",IF(N($R705)&gt;0,"해당(말일 근무)",IF($L705="—","대상월 기관명단 없음(추가 필요)","비해당")))))</f>
        <v/>
      </c>
      <c r="N705" s="20">
        <f>IF($X705="","",SUMIFS(상세표[06~07시],상세표[사번키],INDEX(합계표[사번키],$X705),상세표[반영월],대상월키,상세표[반영 기관],"서울병원"))</f>
        <v/>
      </c>
      <c r="O705" s="20">
        <f>IF($X705="","",SUMIFS(상세표[07~18시],상세표[사번키],INDEX(합계표[사번키],$X705),상세표[반영월],대상월키,상세표[반영 기관],"서울병원"))</f>
        <v/>
      </c>
      <c r="P705" s="20">
        <f>IF($X705="","",SUMIFS(상세표[18~22시],상세표[사번키],INDEX(합계표[사번키],$X705),상세표[반영월],대상월키,상세표[반영 기관],"서울병원"))</f>
        <v/>
      </c>
      <c r="Q705" s="20">
        <f>IF($X705="","",SUMIFS(상세표[22~06시],상세표[사번키],INDEX(합계표[사번키],$X705),상세표[반영월],대상월키,상세표[반영 기관],"서울병원"))</f>
        <v/>
      </c>
      <c r="R705" s="20">
        <f>IF($X705="","",SUM($N705:$Q705))</f>
        <v/>
      </c>
      <c r="S705">
        <f>IF($X705="","",COUNTIFS(상세표[사번키],INDEX(합계표[사번키],$X705),상세표[반영월],대상월키,상세표[야간당직],1,상세표[야간 구분],"평일"))</f>
        <v/>
      </c>
      <c r="T705">
        <f>IF($X705="","",COUNTIFS(상세표[사번키],INDEX(합계표[사번키],$X705),상세표[반영월],대상월키,상세표[야간당직],1,상세표[야간 구분],"휴일"))</f>
        <v/>
      </c>
      <c r="U705">
        <f>IF($X705="","",COUNTIFS(상세표[사번키],INDEX(합계표[사번키],$X705),상세표[반영월],대상월키,상세표[야간당직],1,상세표[야간 구분],"평일",상세표[반영 기관],"서울병원"))</f>
        <v/>
      </c>
      <c r="V705">
        <f>IF($X705="","",COUNTIFS(상세표[사번키],INDEX(합계표[사번키],$X705),상세표[반영월],대상월키,상세표[야간당직],1,상세표[야간 구분],"휴일",상세표[반영 기관],"서울병원"))</f>
        <v/>
      </c>
      <c r="W705">
        <f>IF($X705="","",IF(ISNUMBER(MATCH(INDEX(합계표[사번키],$X705)&amp;"|"&amp;대상월키,월별근무지표[키],0)),"직접 입력",IF($L705="—","—","기관명단")))</f>
        <v/>
      </c>
      <c r="X705" s="4">
        <f>IFERROR(MATCH(700,합계표[판정순번],0),"")</f>
        <v/>
      </c>
    </row>
    <row r="706">
      <c r="A706">
        <f>IF($X706="","",INDEX(합계표[사번],$X706)&amp;"")</f>
        <v/>
      </c>
      <c r="B706">
        <f>IF($X706="","",INDEX(합계표[성명],$X706)&amp;"")</f>
        <v/>
      </c>
      <c r="C706">
        <f>IF($X706="","",INDEX(합계표[부서],$X706)&amp;"")</f>
        <v/>
      </c>
      <c r="D706">
        <f>IF($X706="","",INDEX(합계표[직위(요약)],$X706)&amp;"")</f>
        <v/>
      </c>
      <c r="E706">
        <f>IF($X706="","",INDEX(합계표[직급 공존],$X706)&amp;"")</f>
        <v/>
      </c>
      <c r="F706" s="20">
        <f>IF($X706="","",SUMIFS(합계표[시스템 합계],합계표[사번키],INDEX(합계표[사번키],$X706)))</f>
        <v/>
      </c>
      <c r="G706" s="20">
        <f>IF($X706="","",SUMIFS(상세표[기록 시간외],상세표[사번키],INDEX(합계표[사번키],$X706),상세표[기록월],대상월키))</f>
        <v/>
      </c>
      <c r="H706">
        <f>IF($X706="","",IF(ABS($F706-$G706)&lt;0.01,"일치","불일치(차이 "&amp;TEXT($G706-$F706,"0.00")&amp;")"))</f>
        <v/>
      </c>
      <c r="I706" s="20">
        <f>IF($X706="","",SUMIFS(상세표[기록 시간외],상세표[사번키],INDEX(합계표[사번키],$X706),상세표[기록월],대상월키,상세표[반영월],"&lt;&gt;"&amp;대상월키))</f>
        <v/>
      </c>
      <c r="J706" s="20">
        <f>IF($X706="","",SUMIFS(상세표[기록 시간외],상세표[사번키],INDEX(합계표[사번키],$X706),상세표[기록월],"&lt;&gt;"&amp;대상월키,상세표[반영월],대상월키))</f>
        <v/>
      </c>
      <c r="K706" s="20">
        <f>IF($X706="","",SUMIFS(상세표[기록 시간외],상세표[사번키],INDEX(합계표[사번키],$X706),상세표[반영월],대상월키))</f>
        <v/>
      </c>
      <c r="L706">
        <f>IF($X706="","",IFERROR(INDEX(월별근무지표[적용 급여병원],MATCH(INDEX(합계표[사번키],$X706)&amp;"|"&amp;대상월키,월별근무지표[키],0))&amp;"",IF(COUNTIF(기관표[사번키],INDEX(합계표[사번키],$X706))+COUNTIF(월별근무지표[사번키],INDEX(합계표[사번키],$X706))&gt;0,IFERROR(INDEX(기관표[급여지급병원(기준월)],MATCH(INDEX(합계표[사번키],$X706)&amp;"|"&amp;대상월키,기관표[키],0))&amp;"","—"),"—")))</f>
        <v/>
      </c>
      <c r="M706">
        <f>IF($X706="","",IF(NOT(COUNTIF(기관표[사번키],INDEX(합계표[사번키],$X706))+COUNTIF(월별근무지표[사번키],INDEX(합계표[사번키],$X706))&gt;0),"기관명단에 없음(다른 병원으로 발송)",IF($L706="서울병원","해당",IF(N($R706)&gt;0,"해당(말일 근무)",IF($L706="—","대상월 기관명단 없음(추가 필요)","비해당")))))</f>
        <v/>
      </c>
      <c r="N706" s="20">
        <f>IF($X706="","",SUMIFS(상세표[06~07시],상세표[사번키],INDEX(합계표[사번키],$X706),상세표[반영월],대상월키,상세표[반영 기관],"서울병원"))</f>
        <v/>
      </c>
      <c r="O706" s="20">
        <f>IF($X706="","",SUMIFS(상세표[07~18시],상세표[사번키],INDEX(합계표[사번키],$X706),상세표[반영월],대상월키,상세표[반영 기관],"서울병원"))</f>
        <v/>
      </c>
      <c r="P706" s="20">
        <f>IF($X706="","",SUMIFS(상세표[18~22시],상세표[사번키],INDEX(합계표[사번키],$X706),상세표[반영월],대상월키,상세표[반영 기관],"서울병원"))</f>
        <v/>
      </c>
      <c r="Q706" s="20">
        <f>IF($X706="","",SUMIFS(상세표[22~06시],상세표[사번키],INDEX(합계표[사번키],$X706),상세표[반영월],대상월키,상세표[반영 기관],"서울병원"))</f>
        <v/>
      </c>
      <c r="R706" s="20">
        <f>IF($X706="","",SUM($N706:$Q706))</f>
        <v/>
      </c>
      <c r="S706">
        <f>IF($X706="","",COUNTIFS(상세표[사번키],INDEX(합계표[사번키],$X706),상세표[반영월],대상월키,상세표[야간당직],1,상세표[야간 구분],"평일"))</f>
        <v/>
      </c>
      <c r="T706">
        <f>IF($X706="","",COUNTIFS(상세표[사번키],INDEX(합계표[사번키],$X706),상세표[반영월],대상월키,상세표[야간당직],1,상세표[야간 구분],"휴일"))</f>
        <v/>
      </c>
      <c r="U706">
        <f>IF($X706="","",COUNTIFS(상세표[사번키],INDEX(합계표[사번키],$X706),상세표[반영월],대상월키,상세표[야간당직],1,상세표[야간 구분],"평일",상세표[반영 기관],"서울병원"))</f>
        <v/>
      </c>
      <c r="V706">
        <f>IF($X706="","",COUNTIFS(상세표[사번키],INDEX(합계표[사번키],$X706),상세표[반영월],대상월키,상세표[야간당직],1,상세표[야간 구분],"휴일",상세표[반영 기관],"서울병원"))</f>
        <v/>
      </c>
      <c r="W706">
        <f>IF($X706="","",IF(ISNUMBER(MATCH(INDEX(합계표[사번키],$X706)&amp;"|"&amp;대상월키,월별근무지표[키],0)),"직접 입력",IF($L706="—","—","기관명단")))</f>
        <v/>
      </c>
      <c r="X706" s="4">
        <f>IFERROR(MATCH(701,합계표[판정순번],0),"")</f>
        <v/>
      </c>
    </row>
    <row r="707">
      <c r="A707">
        <f>IF($X707="","",INDEX(합계표[사번],$X707)&amp;"")</f>
        <v/>
      </c>
      <c r="B707">
        <f>IF($X707="","",INDEX(합계표[성명],$X707)&amp;"")</f>
        <v/>
      </c>
      <c r="C707">
        <f>IF($X707="","",INDEX(합계표[부서],$X707)&amp;"")</f>
        <v/>
      </c>
      <c r="D707">
        <f>IF($X707="","",INDEX(합계표[직위(요약)],$X707)&amp;"")</f>
        <v/>
      </c>
      <c r="E707">
        <f>IF($X707="","",INDEX(합계표[직급 공존],$X707)&amp;"")</f>
        <v/>
      </c>
      <c r="F707" s="20">
        <f>IF($X707="","",SUMIFS(합계표[시스템 합계],합계표[사번키],INDEX(합계표[사번키],$X707)))</f>
        <v/>
      </c>
      <c r="G707" s="20">
        <f>IF($X707="","",SUMIFS(상세표[기록 시간외],상세표[사번키],INDEX(합계표[사번키],$X707),상세표[기록월],대상월키))</f>
        <v/>
      </c>
      <c r="H707">
        <f>IF($X707="","",IF(ABS($F707-$G707)&lt;0.01,"일치","불일치(차이 "&amp;TEXT($G707-$F707,"0.00")&amp;")"))</f>
        <v/>
      </c>
      <c r="I707" s="20">
        <f>IF($X707="","",SUMIFS(상세표[기록 시간외],상세표[사번키],INDEX(합계표[사번키],$X707),상세표[기록월],대상월키,상세표[반영월],"&lt;&gt;"&amp;대상월키))</f>
        <v/>
      </c>
      <c r="J707" s="20">
        <f>IF($X707="","",SUMIFS(상세표[기록 시간외],상세표[사번키],INDEX(합계표[사번키],$X707),상세표[기록월],"&lt;&gt;"&amp;대상월키,상세표[반영월],대상월키))</f>
        <v/>
      </c>
      <c r="K707" s="20">
        <f>IF($X707="","",SUMIFS(상세표[기록 시간외],상세표[사번키],INDEX(합계표[사번키],$X707),상세표[반영월],대상월키))</f>
        <v/>
      </c>
      <c r="L707">
        <f>IF($X707="","",IFERROR(INDEX(월별근무지표[적용 급여병원],MATCH(INDEX(합계표[사번키],$X707)&amp;"|"&amp;대상월키,월별근무지표[키],0))&amp;"",IF(COUNTIF(기관표[사번키],INDEX(합계표[사번키],$X707))+COUNTIF(월별근무지표[사번키],INDEX(합계표[사번키],$X707))&gt;0,IFERROR(INDEX(기관표[급여지급병원(기준월)],MATCH(INDEX(합계표[사번키],$X707)&amp;"|"&amp;대상월키,기관표[키],0))&amp;"","—"),"—")))</f>
        <v/>
      </c>
      <c r="M707">
        <f>IF($X707="","",IF(NOT(COUNTIF(기관표[사번키],INDEX(합계표[사번키],$X707))+COUNTIF(월별근무지표[사번키],INDEX(합계표[사번키],$X707))&gt;0),"기관명단에 없음(다른 병원으로 발송)",IF($L707="서울병원","해당",IF(N($R707)&gt;0,"해당(말일 근무)",IF($L707="—","대상월 기관명단 없음(추가 필요)","비해당")))))</f>
        <v/>
      </c>
      <c r="N707" s="20">
        <f>IF($X707="","",SUMIFS(상세표[06~07시],상세표[사번키],INDEX(합계표[사번키],$X707),상세표[반영월],대상월키,상세표[반영 기관],"서울병원"))</f>
        <v/>
      </c>
      <c r="O707" s="20">
        <f>IF($X707="","",SUMIFS(상세표[07~18시],상세표[사번키],INDEX(합계표[사번키],$X707),상세표[반영월],대상월키,상세표[반영 기관],"서울병원"))</f>
        <v/>
      </c>
      <c r="P707" s="20">
        <f>IF($X707="","",SUMIFS(상세표[18~22시],상세표[사번키],INDEX(합계표[사번키],$X707),상세표[반영월],대상월키,상세표[반영 기관],"서울병원"))</f>
        <v/>
      </c>
      <c r="Q707" s="20">
        <f>IF($X707="","",SUMIFS(상세표[22~06시],상세표[사번키],INDEX(합계표[사번키],$X707),상세표[반영월],대상월키,상세표[반영 기관],"서울병원"))</f>
        <v/>
      </c>
      <c r="R707" s="20">
        <f>IF($X707="","",SUM($N707:$Q707))</f>
        <v/>
      </c>
      <c r="S707">
        <f>IF($X707="","",COUNTIFS(상세표[사번키],INDEX(합계표[사번키],$X707),상세표[반영월],대상월키,상세표[야간당직],1,상세표[야간 구분],"평일"))</f>
        <v/>
      </c>
      <c r="T707">
        <f>IF($X707="","",COUNTIFS(상세표[사번키],INDEX(합계표[사번키],$X707),상세표[반영월],대상월키,상세표[야간당직],1,상세표[야간 구분],"휴일"))</f>
        <v/>
      </c>
      <c r="U707">
        <f>IF($X707="","",COUNTIFS(상세표[사번키],INDEX(합계표[사번키],$X707),상세표[반영월],대상월키,상세표[야간당직],1,상세표[야간 구분],"평일",상세표[반영 기관],"서울병원"))</f>
        <v/>
      </c>
      <c r="V707">
        <f>IF($X707="","",COUNTIFS(상세표[사번키],INDEX(합계표[사번키],$X707),상세표[반영월],대상월키,상세표[야간당직],1,상세표[야간 구분],"휴일",상세표[반영 기관],"서울병원"))</f>
        <v/>
      </c>
      <c r="W707">
        <f>IF($X707="","",IF(ISNUMBER(MATCH(INDEX(합계표[사번키],$X707)&amp;"|"&amp;대상월키,월별근무지표[키],0)),"직접 입력",IF($L707="—","—","기관명단")))</f>
        <v/>
      </c>
      <c r="X707" s="4">
        <f>IFERROR(MATCH(702,합계표[판정순번],0),"")</f>
        <v/>
      </c>
    </row>
    <row r="708">
      <c r="A708">
        <f>IF($X708="","",INDEX(합계표[사번],$X708)&amp;"")</f>
        <v/>
      </c>
      <c r="B708">
        <f>IF($X708="","",INDEX(합계표[성명],$X708)&amp;"")</f>
        <v/>
      </c>
      <c r="C708">
        <f>IF($X708="","",INDEX(합계표[부서],$X708)&amp;"")</f>
        <v/>
      </c>
      <c r="D708">
        <f>IF($X708="","",INDEX(합계표[직위(요약)],$X708)&amp;"")</f>
        <v/>
      </c>
      <c r="E708">
        <f>IF($X708="","",INDEX(합계표[직급 공존],$X708)&amp;"")</f>
        <v/>
      </c>
      <c r="F708" s="20">
        <f>IF($X708="","",SUMIFS(합계표[시스템 합계],합계표[사번키],INDEX(합계표[사번키],$X708)))</f>
        <v/>
      </c>
      <c r="G708" s="20">
        <f>IF($X708="","",SUMIFS(상세표[기록 시간외],상세표[사번키],INDEX(합계표[사번키],$X708),상세표[기록월],대상월키))</f>
        <v/>
      </c>
      <c r="H708">
        <f>IF($X708="","",IF(ABS($F708-$G708)&lt;0.01,"일치","불일치(차이 "&amp;TEXT($G708-$F708,"0.00")&amp;")"))</f>
        <v/>
      </c>
      <c r="I708" s="20">
        <f>IF($X708="","",SUMIFS(상세표[기록 시간외],상세표[사번키],INDEX(합계표[사번키],$X708),상세표[기록월],대상월키,상세표[반영월],"&lt;&gt;"&amp;대상월키))</f>
        <v/>
      </c>
      <c r="J708" s="20">
        <f>IF($X708="","",SUMIFS(상세표[기록 시간외],상세표[사번키],INDEX(합계표[사번키],$X708),상세표[기록월],"&lt;&gt;"&amp;대상월키,상세표[반영월],대상월키))</f>
        <v/>
      </c>
      <c r="K708" s="20">
        <f>IF($X708="","",SUMIFS(상세표[기록 시간외],상세표[사번키],INDEX(합계표[사번키],$X708),상세표[반영월],대상월키))</f>
        <v/>
      </c>
      <c r="L708">
        <f>IF($X708="","",IFERROR(INDEX(월별근무지표[적용 급여병원],MATCH(INDEX(합계표[사번키],$X708)&amp;"|"&amp;대상월키,월별근무지표[키],0))&amp;"",IF(COUNTIF(기관표[사번키],INDEX(합계표[사번키],$X708))+COUNTIF(월별근무지표[사번키],INDEX(합계표[사번키],$X708))&gt;0,IFERROR(INDEX(기관표[급여지급병원(기준월)],MATCH(INDEX(합계표[사번키],$X708)&amp;"|"&amp;대상월키,기관표[키],0))&amp;"","—"),"—")))</f>
        <v/>
      </c>
      <c r="M708">
        <f>IF($X708="","",IF(NOT(COUNTIF(기관표[사번키],INDEX(합계표[사번키],$X708))+COUNTIF(월별근무지표[사번키],INDEX(합계표[사번키],$X708))&gt;0),"기관명단에 없음(다른 병원으로 발송)",IF($L708="서울병원","해당",IF(N($R708)&gt;0,"해당(말일 근무)",IF($L708="—","대상월 기관명단 없음(추가 필요)","비해당")))))</f>
        <v/>
      </c>
      <c r="N708" s="20">
        <f>IF($X708="","",SUMIFS(상세표[06~07시],상세표[사번키],INDEX(합계표[사번키],$X708),상세표[반영월],대상월키,상세표[반영 기관],"서울병원"))</f>
        <v/>
      </c>
      <c r="O708" s="20">
        <f>IF($X708="","",SUMIFS(상세표[07~18시],상세표[사번키],INDEX(합계표[사번키],$X708),상세표[반영월],대상월키,상세표[반영 기관],"서울병원"))</f>
        <v/>
      </c>
      <c r="P708" s="20">
        <f>IF($X708="","",SUMIFS(상세표[18~22시],상세표[사번키],INDEX(합계표[사번키],$X708),상세표[반영월],대상월키,상세표[반영 기관],"서울병원"))</f>
        <v/>
      </c>
      <c r="Q708" s="20">
        <f>IF($X708="","",SUMIFS(상세표[22~06시],상세표[사번키],INDEX(합계표[사번키],$X708),상세표[반영월],대상월키,상세표[반영 기관],"서울병원"))</f>
        <v/>
      </c>
      <c r="R708" s="20">
        <f>IF($X708="","",SUM($N708:$Q708))</f>
        <v/>
      </c>
      <c r="S708">
        <f>IF($X708="","",COUNTIFS(상세표[사번키],INDEX(합계표[사번키],$X708),상세표[반영월],대상월키,상세표[야간당직],1,상세표[야간 구분],"평일"))</f>
        <v/>
      </c>
      <c r="T708">
        <f>IF($X708="","",COUNTIFS(상세표[사번키],INDEX(합계표[사번키],$X708),상세표[반영월],대상월키,상세표[야간당직],1,상세표[야간 구분],"휴일"))</f>
        <v/>
      </c>
      <c r="U708">
        <f>IF($X708="","",COUNTIFS(상세표[사번키],INDEX(합계표[사번키],$X708),상세표[반영월],대상월키,상세표[야간당직],1,상세표[야간 구분],"평일",상세표[반영 기관],"서울병원"))</f>
        <v/>
      </c>
      <c r="V708">
        <f>IF($X708="","",COUNTIFS(상세표[사번키],INDEX(합계표[사번키],$X708),상세표[반영월],대상월키,상세표[야간당직],1,상세표[야간 구분],"휴일",상세표[반영 기관],"서울병원"))</f>
        <v/>
      </c>
      <c r="W708">
        <f>IF($X708="","",IF(ISNUMBER(MATCH(INDEX(합계표[사번키],$X708)&amp;"|"&amp;대상월키,월별근무지표[키],0)),"직접 입력",IF($L708="—","—","기관명단")))</f>
        <v/>
      </c>
      <c r="X708" s="4">
        <f>IFERROR(MATCH(703,합계표[판정순번],0),"")</f>
        <v/>
      </c>
    </row>
    <row r="709">
      <c r="A709">
        <f>IF($X709="","",INDEX(합계표[사번],$X709)&amp;"")</f>
        <v/>
      </c>
      <c r="B709">
        <f>IF($X709="","",INDEX(합계표[성명],$X709)&amp;"")</f>
        <v/>
      </c>
      <c r="C709">
        <f>IF($X709="","",INDEX(합계표[부서],$X709)&amp;"")</f>
        <v/>
      </c>
      <c r="D709">
        <f>IF($X709="","",INDEX(합계표[직위(요약)],$X709)&amp;"")</f>
        <v/>
      </c>
      <c r="E709">
        <f>IF($X709="","",INDEX(합계표[직급 공존],$X709)&amp;"")</f>
        <v/>
      </c>
      <c r="F709" s="20">
        <f>IF($X709="","",SUMIFS(합계표[시스템 합계],합계표[사번키],INDEX(합계표[사번키],$X709)))</f>
        <v/>
      </c>
      <c r="G709" s="20">
        <f>IF($X709="","",SUMIFS(상세표[기록 시간외],상세표[사번키],INDEX(합계표[사번키],$X709),상세표[기록월],대상월키))</f>
        <v/>
      </c>
      <c r="H709">
        <f>IF($X709="","",IF(ABS($F709-$G709)&lt;0.01,"일치","불일치(차이 "&amp;TEXT($G709-$F709,"0.00")&amp;")"))</f>
        <v/>
      </c>
      <c r="I709" s="20">
        <f>IF($X709="","",SUMIFS(상세표[기록 시간외],상세표[사번키],INDEX(합계표[사번키],$X709),상세표[기록월],대상월키,상세표[반영월],"&lt;&gt;"&amp;대상월키))</f>
        <v/>
      </c>
      <c r="J709" s="20">
        <f>IF($X709="","",SUMIFS(상세표[기록 시간외],상세표[사번키],INDEX(합계표[사번키],$X709),상세표[기록월],"&lt;&gt;"&amp;대상월키,상세표[반영월],대상월키))</f>
        <v/>
      </c>
      <c r="K709" s="20">
        <f>IF($X709="","",SUMIFS(상세표[기록 시간외],상세표[사번키],INDEX(합계표[사번키],$X709),상세표[반영월],대상월키))</f>
        <v/>
      </c>
      <c r="L709">
        <f>IF($X709="","",IFERROR(INDEX(월별근무지표[적용 급여병원],MATCH(INDEX(합계표[사번키],$X709)&amp;"|"&amp;대상월키,월별근무지표[키],0))&amp;"",IF(COUNTIF(기관표[사번키],INDEX(합계표[사번키],$X709))+COUNTIF(월별근무지표[사번키],INDEX(합계표[사번키],$X709))&gt;0,IFERROR(INDEX(기관표[급여지급병원(기준월)],MATCH(INDEX(합계표[사번키],$X709)&amp;"|"&amp;대상월키,기관표[키],0))&amp;"","—"),"—")))</f>
        <v/>
      </c>
      <c r="M709">
        <f>IF($X709="","",IF(NOT(COUNTIF(기관표[사번키],INDEX(합계표[사번키],$X709))+COUNTIF(월별근무지표[사번키],INDEX(합계표[사번키],$X709))&gt;0),"기관명단에 없음(다른 병원으로 발송)",IF($L709="서울병원","해당",IF(N($R709)&gt;0,"해당(말일 근무)",IF($L709="—","대상월 기관명단 없음(추가 필요)","비해당")))))</f>
        <v/>
      </c>
      <c r="N709" s="20">
        <f>IF($X709="","",SUMIFS(상세표[06~07시],상세표[사번키],INDEX(합계표[사번키],$X709),상세표[반영월],대상월키,상세표[반영 기관],"서울병원"))</f>
        <v/>
      </c>
      <c r="O709" s="20">
        <f>IF($X709="","",SUMIFS(상세표[07~18시],상세표[사번키],INDEX(합계표[사번키],$X709),상세표[반영월],대상월키,상세표[반영 기관],"서울병원"))</f>
        <v/>
      </c>
      <c r="P709" s="20">
        <f>IF($X709="","",SUMIFS(상세표[18~22시],상세표[사번키],INDEX(합계표[사번키],$X709),상세표[반영월],대상월키,상세표[반영 기관],"서울병원"))</f>
        <v/>
      </c>
      <c r="Q709" s="20">
        <f>IF($X709="","",SUMIFS(상세표[22~06시],상세표[사번키],INDEX(합계표[사번키],$X709),상세표[반영월],대상월키,상세표[반영 기관],"서울병원"))</f>
        <v/>
      </c>
      <c r="R709" s="20">
        <f>IF($X709="","",SUM($N709:$Q709))</f>
        <v/>
      </c>
      <c r="S709">
        <f>IF($X709="","",COUNTIFS(상세표[사번키],INDEX(합계표[사번키],$X709),상세표[반영월],대상월키,상세표[야간당직],1,상세표[야간 구분],"평일"))</f>
        <v/>
      </c>
      <c r="T709">
        <f>IF($X709="","",COUNTIFS(상세표[사번키],INDEX(합계표[사번키],$X709),상세표[반영월],대상월키,상세표[야간당직],1,상세표[야간 구분],"휴일"))</f>
        <v/>
      </c>
      <c r="U709">
        <f>IF($X709="","",COUNTIFS(상세표[사번키],INDEX(합계표[사번키],$X709),상세표[반영월],대상월키,상세표[야간당직],1,상세표[야간 구분],"평일",상세표[반영 기관],"서울병원"))</f>
        <v/>
      </c>
      <c r="V709">
        <f>IF($X709="","",COUNTIFS(상세표[사번키],INDEX(합계표[사번키],$X709),상세표[반영월],대상월키,상세표[야간당직],1,상세표[야간 구분],"휴일",상세표[반영 기관],"서울병원"))</f>
        <v/>
      </c>
      <c r="W709">
        <f>IF($X709="","",IF(ISNUMBER(MATCH(INDEX(합계표[사번키],$X709)&amp;"|"&amp;대상월키,월별근무지표[키],0)),"직접 입력",IF($L709="—","—","기관명단")))</f>
        <v/>
      </c>
      <c r="X709" s="4">
        <f>IFERROR(MATCH(704,합계표[판정순번],0),"")</f>
        <v/>
      </c>
    </row>
    <row r="710">
      <c r="A710">
        <f>IF($X710="","",INDEX(합계표[사번],$X710)&amp;"")</f>
        <v/>
      </c>
      <c r="B710">
        <f>IF($X710="","",INDEX(합계표[성명],$X710)&amp;"")</f>
        <v/>
      </c>
      <c r="C710">
        <f>IF($X710="","",INDEX(합계표[부서],$X710)&amp;"")</f>
        <v/>
      </c>
      <c r="D710">
        <f>IF($X710="","",INDEX(합계표[직위(요약)],$X710)&amp;"")</f>
        <v/>
      </c>
      <c r="E710">
        <f>IF($X710="","",INDEX(합계표[직급 공존],$X710)&amp;"")</f>
        <v/>
      </c>
      <c r="F710" s="20">
        <f>IF($X710="","",SUMIFS(합계표[시스템 합계],합계표[사번키],INDEX(합계표[사번키],$X710)))</f>
        <v/>
      </c>
      <c r="G710" s="20">
        <f>IF($X710="","",SUMIFS(상세표[기록 시간외],상세표[사번키],INDEX(합계표[사번키],$X710),상세표[기록월],대상월키))</f>
        <v/>
      </c>
      <c r="H710">
        <f>IF($X710="","",IF(ABS($F710-$G710)&lt;0.01,"일치","불일치(차이 "&amp;TEXT($G710-$F710,"0.00")&amp;")"))</f>
        <v/>
      </c>
      <c r="I710" s="20">
        <f>IF($X710="","",SUMIFS(상세표[기록 시간외],상세표[사번키],INDEX(합계표[사번키],$X710),상세표[기록월],대상월키,상세표[반영월],"&lt;&gt;"&amp;대상월키))</f>
        <v/>
      </c>
      <c r="J710" s="20">
        <f>IF($X710="","",SUMIFS(상세표[기록 시간외],상세표[사번키],INDEX(합계표[사번키],$X710),상세표[기록월],"&lt;&gt;"&amp;대상월키,상세표[반영월],대상월키))</f>
        <v/>
      </c>
      <c r="K710" s="20">
        <f>IF($X710="","",SUMIFS(상세표[기록 시간외],상세표[사번키],INDEX(합계표[사번키],$X710),상세표[반영월],대상월키))</f>
        <v/>
      </c>
      <c r="L710">
        <f>IF($X710="","",IFERROR(INDEX(월별근무지표[적용 급여병원],MATCH(INDEX(합계표[사번키],$X710)&amp;"|"&amp;대상월키,월별근무지표[키],0))&amp;"",IF(COUNTIF(기관표[사번키],INDEX(합계표[사번키],$X710))+COUNTIF(월별근무지표[사번키],INDEX(합계표[사번키],$X710))&gt;0,IFERROR(INDEX(기관표[급여지급병원(기준월)],MATCH(INDEX(합계표[사번키],$X710)&amp;"|"&amp;대상월키,기관표[키],0))&amp;"","—"),"—")))</f>
        <v/>
      </c>
      <c r="M710">
        <f>IF($X710="","",IF(NOT(COUNTIF(기관표[사번키],INDEX(합계표[사번키],$X710))+COUNTIF(월별근무지표[사번키],INDEX(합계표[사번키],$X710))&gt;0),"기관명단에 없음(다른 병원으로 발송)",IF($L710="서울병원","해당",IF(N($R710)&gt;0,"해당(말일 근무)",IF($L710="—","대상월 기관명단 없음(추가 필요)","비해당")))))</f>
        <v/>
      </c>
      <c r="N710" s="20">
        <f>IF($X710="","",SUMIFS(상세표[06~07시],상세표[사번키],INDEX(합계표[사번키],$X710),상세표[반영월],대상월키,상세표[반영 기관],"서울병원"))</f>
        <v/>
      </c>
      <c r="O710" s="20">
        <f>IF($X710="","",SUMIFS(상세표[07~18시],상세표[사번키],INDEX(합계표[사번키],$X710),상세표[반영월],대상월키,상세표[반영 기관],"서울병원"))</f>
        <v/>
      </c>
      <c r="P710" s="20">
        <f>IF($X710="","",SUMIFS(상세표[18~22시],상세표[사번키],INDEX(합계표[사번키],$X710),상세표[반영월],대상월키,상세표[반영 기관],"서울병원"))</f>
        <v/>
      </c>
      <c r="Q710" s="20">
        <f>IF($X710="","",SUMIFS(상세표[22~06시],상세표[사번키],INDEX(합계표[사번키],$X710),상세표[반영월],대상월키,상세표[반영 기관],"서울병원"))</f>
        <v/>
      </c>
      <c r="R710" s="20">
        <f>IF($X710="","",SUM($N710:$Q710))</f>
        <v/>
      </c>
      <c r="S710">
        <f>IF($X710="","",COUNTIFS(상세표[사번키],INDEX(합계표[사번키],$X710),상세표[반영월],대상월키,상세표[야간당직],1,상세표[야간 구분],"평일"))</f>
        <v/>
      </c>
      <c r="T710">
        <f>IF($X710="","",COUNTIFS(상세표[사번키],INDEX(합계표[사번키],$X710),상세표[반영월],대상월키,상세표[야간당직],1,상세표[야간 구분],"휴일"))</f>
        <v/>
      </c>
      <c r="U710">
        <f>IF($X710="","",COUNTIFS(상세표[사번키],INDEX(합계표[사번키],$X710),상세표[반영월],대상월키,상세표[야간당직],1,상세표[야간 구분],"평일",상세표[반영 기관],"서울병원"))</f>
        <v/>
      </c>
      <c r="V710">
        <f>IF($X710="","",COUNTIFS(상세표[사번키],INDEX(합계표[사번키],$X710),상세표[반영월],대상월키,상세표[야간당직],1,상세표[야간 구분],"휴일",상세표[반영 기관],"서울병원"))</f>
        <v/>
      </c>
      <c r="W710">
        <f>IF($X710="","",IF(ISNUMBER(MATCH(INDEX(합계표[사번키],$X710)&amp;"|"&amp;대상월키,월별근무지표[키],0)),"직접 입력",IF($L710="—","—","기관명단")))</f>
        <v/>
      </c>
      <c r="X710" s="4">
        <f>IFERROR(MATCH(705,합계표[판정순번],0),"")</f>
        <v/>
      </c>
    </row>
    <row r="711">
      <c r="A711">
        <f>IF($X711="","",INDEX(합계표[사번],$X711)&amp;"")</f>
        <v/>
      </c>
      <c r="B711">
        <f>IF($X711="","",INDEX(합계표[성명],$X711)&amp;"")</f>
        <v/>
      </c>
      <c r="C711">
        <f>IF($X711="","",INDEX(합계표[부서],$X711)&amp;"")</f>
        <v/>
      </c>
      <c r="D711">
        <f>IF($X711="","",INDEX(합계표[직위(요약)],$X711)&amp;"")</f>
        <v/>
      </c>
      <c r="E711">
        <f>IF($X711="","",INDEX(합계표[직급 공존],$X711)&amp;"")</f>
        <v/>
      </c>
      <c r="F711" s="20">
        <f>IF($X711="","",SUMIFS(합계표[시스템 합계],합계표[사번키],INDEX(합계표[사번키],$X711)))</f>
        <v/>
      </c>
      <c r="G711" s="20">
        <f>IF($X711="","",SUMIFS(상세표[기록 시간외],상세표[사번키],INDEX(합계표[사번키],$X711),상세표[기록월],대상월키))</f>
        <v/>
      </c>
      <c r="H711">
        <f>IF($X711="","",IF(ABS($F711-$G711)&lt;0.01,"일치","불일치(차이 "&amp;TEXT($G711-$F711,"0.00")&amp;")"))</f>
        <v/>
      </c>
      <c r="I711" s="20">
        <f>IF($X711="","",SUMIFS(상세표[기록 시간외],상세표[사번키],INDEX(합계표[사번키],$X711),상세표[기록월],대상월키,상세표[반영월],"&lt;&gt;"&amp;대상월키))</f>
        <v/>
      </c>
      <c r="J711" s="20">
        <f>IF($X711="","",SUMIFS(상세표[기록 시간외],상세표[사번키],INDEX(합계표[사번키],$X711),상세표[기록월],"&lt;&gt;"&amp;대상월키,상세표[반영월],대상월키))</f>
        <v/>
      </c>
      <c r="K711" s="20">
        <f>IF($X711="","",SUMIFS(상세표[기록 시간외],상세표[사번키],INDEX(합계표[사번키],$X711),상세표[반영월],대상월키))</f>
        <v/>
      </c>
      <c r="L711">
        <f>IF($X711="","",IFERROR(INDEX(월별근무지표[적용 급여병원],MATCH(INDEX(합계표[사번키],$X711)&amp;"|"&amp;대상월키,월별근무지표[키],0))&amp;"",IF(COUNTIF(기관표[사번키],INDEX(합계표[사번키],$X711))+COUNTIF(월별근무지표[사번키],INDEX(합계표[사번키],$X711))&gt;0,IFERROR(INDEX(기관표[급여지급병원(기준월)],MATCH(INDEX(합계표[사번키],$X711)&amp;"|"&amp;대상월키,기관표[키],0))&amp;"","—"),"—")))</f>
        <v/>
      </c>
      <c r="M711">
        <f>IF($X711="","",IF(NOT(COUNTIF(기관표[사번키],INDEX(합계표[사번키],$X711))+COUNTIF(월별근무지표[사번키],INDEX(합계표[사번키],$X711))&gt;0),"기관명단에 없음(다른 병원으로 발송)",IF($L711="서울병원","해당",IF(N($R711)&gt;0,"해당(말일 근무)",IF($L711="—","대상월 기관명단 없음(추가 필요)","비해당")))))</f>
        <v/>
      </c>
      <c r="N711" s="20">
        <f>IF($X711="","",SUMIFS(상세표[06~07시],상세표[사번키],INDEX(합계표[사번키],$X711),상세표[반영월],대상월키,상세표[반영 기관],"서울병원"))</f>
        <v/>
      </c>
      <c r="O711" s="20">
        <f>IF($X711="","",SUMIFS(상세표[07~18시],상세표[사번키],INDEX(합계표[사번키],$X711),상세표[반영월],대상월키,상세표[반영 기관],"서울병원"))</f>
        <v/>
      </c>
      <c r="P711" s="20">
        <f>IF($X711="","",SUMIFS(상세표[18~22시],상세표[사번키],INDEX(합계표[사번키],$X711),상세표[반영월],대상월키,상세표[반영 기관],"서울병원"))</f>
        <v/>
      </c>
      <c r="Q711" s="20">
        <f>IF($X711="","",SUMIFS(상세표[22~06시],상세표[사번키],INDEX(합계표[사번키],$X711),상세표[반영월],대상월키,상세표[반영 기관],"서울병원"))</f>
        <v/>
      </c>
      <c r="R711" s="20">
        <f>IF($X711="","",SUM($N711:$Q711))</f>
        <v/>
      </c>
      <c r="S711">
        <f>IF($X711="","",COUNTIFS(상세표[사번키],INDEX(합계표[사번키],$X711),상세표[반영월],대상월키,상세표[야간당직],1,상세표[야간 구분],"평일"))</f>
        <v/>
      </c>
      <c r="T711">
        <f>IF($X711="","",COUNTIFS(상세표[사번키],INDEX(합계표[사번키],$X711),상세표[반영월],대상월키,상세표[야간당직],1,상세표[야간 구분],"휴일"))</f>
        <v/>
      </c>
      <c r="U711">
        <f>IF($X711="","",COUNTIFS(상세표[사번키],INDEX(합계표[사번키],$X711),상세표[반영월],대상월키,상세표[야간당직],1,상세표[야간 구분],"평일",상세표[반영 기관],"서울병원"))</f>
        <v/>
      </c>
      <c r="V711">
        <f>IF($X711="","",COUNTIFS(상세표[사번키],INDEX(합계표[사번키],$X711),상세표[반영월],대상월키,상세표[야간당직],1,상세표[야간 구분],"휴일",상세표[반영 기관],"서울병원"))</f>
        <v/>
      </c>
      <c r="W711">
        <f>IF($X711="","",IF(ISNUMBER(MATCH(INDEX(합계표[사번키],$X711)&amp;"|"&amp;대상월키,월별근무지표[키],0)),"직접 입력",IF($L711="—","—","기관명단")))</f>
        <v/>
      </c>
      <c r="X711" s="4">
        <f>IFERROR(MATCH(706,합계표[판정순번],0),"")</f>
        <v/>
      </c>
    </row>
    <row r="712">
      <c r="A712">
        <f>IF($X712="","",INDEX(합계표[사번],$X712)&amp;"")</f>
        <v/>
      </c>
      <c r="B712">
        <f>IF($X712="","",INDEX(합계표[성명],$X712)&amp;"")</f>
        <v/>
      </c>
      <c r="C712">
        <f>IF($X712="","",INDEX(합계표[부서],$X712)&amp;"")</f>
        <v/>
      </c>
      <c r="D712">
        <f>IF($X712="","",INDEX(합계표[직위(요약)],$X712)&amp;"")</f>
        <v/>
      </c>
      <c r="E712">
        <f>IF($X712="","",INDEX(합계표[직급 공존],$X712)&amp;"")</f>
        <v/>
      </c>
      <c r="F712" s="20">
        <f>IF($X712="","",SUMIFS(합계표[시스템 합계],합계표[사번키],INDEX(합계표[사번키],$X712)))</f>
        <v/>
      </c>
      <c r="G712" s="20">
        <f>IF($X712="","",SUMIFS(상세표[기록 시간외],상세표[사번키],INDEX(합계표[사번키],$X712),상세표[기록월],대상월키))</f>
        <v/>
      </c>
      <c r="H712">
        <f>IF($X712="","",IF(ABS($F712-$G712)&lt;0.01,"일치","불일치(차이 "&amp;TEXT($G712-$F712,"0.00")&amp;")"))</f>
        <v/>
      </c>
      <c r="I712" s="20">
        <f>IF($X712="","",SUMIFS(상세표[기록 시간외],상세표[사번키],INDEX(합계표[사번키],$X712),상세표[기록월],대상월키,상세표[반영월],"&lt;&gt;"&amp;대상월키))</f>
        <v/>
      </c>
      <c r="J712" s="20">
        <f>IF($X712="","",SUMIFS(상세표[기록 시간외],상세표[사번키],INDEX(합계표[사번키],$X712),상세표[기록월],"&lt;&gt;"&amp;대상월키,상세표[반영월],대상월키))</f>
        <v/>
      </c>
      <c r="K712" s="20">
        <f>IF($X712="","",SUMIFS(상세표[기록 시간외],상세표[사번키],INDEX(합계표[사번키],$X712),상세표[반영월],대상월키))</f>
        <v/>
      </c>
      <c r="L712">
        <f>IF($X712="","",IFERROR(INDEX(월별근무지표[적용 급여병원],MATCH(INDEX(합계표[사번키],$X712)&amp;"|"&amp;대상월키,월별근무지표[키],0))&amp;"",IF(COUNTIF(기관표[사번키],INDEX(합계표[사번키],$X712))+COUNTIF(월별근무지표[사번키],INDEX(합계표[사번키],$X712))&gt;0,IFERROR(INDEX(기관표[급여지급병원(기준월)],MATCH(INDEX(합계표[사번키],$X712)&amp;"|"&amp;대상월키,기관표[키],0))&amp;"","—"),"—")))</f>
        <v/>
      </c>
      <c r="M712">
        <f>IF($X712="","",IF(NOT(COUNTIF(기관표[사번키],INDEX(합계표[사번키],$X712))+COUNTIF(월별근무지표[사번키],INDEX(합계표[사번키],$X712))&gt;0),"기관명단에 없음(다른 병원으로 발송)",IF($L712="서울병원","해당",IF(N($R712)&gt;0,"해당(말일 근무)",IF($L712="—","대상월 기관명단 없음(추가 필요)","비해당")))))</f>
        <v/>
      </c>
      <c r="N712" s="20">
        <f>IF($X712="","",SUMIFS(상세표[06~07시],상세표[사번키],INDEX(합계표[사번키],$X712),상세표[반영월],대상월키,상세표[반영 기관],"서울병원"))</f>
        <v/>
      </c>
      <c r="O712" s="20">
        <f>IF($X712="","",SUMIFS(상세표[07~18시],상세표[사번키],INDEX(합계표[사번키],$X712),상세표[반영월],대상월키,상세표[반영 기관],"서울병원"))</f>
        <v/>
      </c>
      <c r="P712" s="20">
        <f>IF($X712="","",SUMIFS(상세표[18~22시],상세표[사번키],INDEX(합계표[사번키],$X712),상세표[반영월],대상월키,상세표[반영 기관],"서울병원"))</f>
        <v/>
      </c>
      <c r="Q712" s="20">
        <f>IF($X712="","",SUMIFS(상세표[22~06시],상세표[사번키],INDEX(합계표[사번키],$X712),상세표[반영월],대상월키,상세표[반영 기관],"서울병원"))</f>
        <v/>
      </c>
      <c r="R712" s="20">
        <f>IF($X712="","",SUM($N712:$Q712))</f>
        <v/>
      </c>
      <c r="S712">
        <f>IF($X712="","",COUNTIFS(상세표[사번키],INDEX(합계표[사번키],$X712),상세표[반영월],대상월키,상세표[야간당직],1,상세표[야간 구분],"평일"))</f>
        <v/>
      </c>
      <c r="T712">
        <f>IF($X712="","",COUNTIFS(상세표[사번키],INDEX(합계표[사번키],$X712),상세표[반영월],대상월키,상세표[야간당직],1,상세표[야간 구분],"휴일"))</f>
        <v/>
      </c>
      <c r="U712">
        <f>IF($X712="","",COUNTIFS(상세표[사번키],INDEX(합계표[사번키],$X712),상세표[반영월],대상월키,상세표[야간당직],1,상세표[야간 구분],"평일",상세표[반영 기관],"서울병원"))</f>
        <v/>
      </c>
      <c r="V712">
        <f>IF($X712="","",COUNTIFS(상세표[사번키],INDEX(합계표[사번키],$X712),상세표[반영월],대상월키,상세표[야간당직],1,상세표[야간 구분],"휴일",상세표[반영 기관],"서울병원"))</f>
        <v/>
      </c>
      <c r="W712">
        <f>IF($X712="","",IF(ISNUMBER(MATCH(INDEX(합계표[사번키],$X712)&amp;"|"&amp;대상월키,월별근무지표[키],0)),"직접 입력",IF($L712="—","—","기관명단")))</f>
        <v/>
      </c>
      <c r="X712" s="4">
        <f>IFERROR(MATCH(707,합계표[판정순번],0),"")</f>
        <v/>
      </c>
    </row>
    <row r="713">
      <c r="A713">
        <f>IF($X713="","",INDEX(합계표[사번],$X713)&amp;"")</f>
        <v/>
      </c>
      <c r="B713">
        <f>IF($X713="","",INDEX(합계표[성명],$X713)&amp;"")</f>
        <v/>
      </c>
      <c r="C713">
        <f>IF($X713="","",INDEX(합계표[부서],$X713)&amp;"")</f>
        <v/>
      </c>
      <c r="D713">
        <f>IF($X713="","",INDEX(합계표[직위(요약)],$X713)&amp;"")</f>
        <v/>
      </c>
      <c r="E713">
        <f>IF($X713="","",INDEX(합계표[직급 공존],$X713)&amp;"")</f>
        <v/>
      </c>
      <c r="F713" s="20">
        <f>IF($X713="","",SUMIFS(합계표[시스템 합계],합계표[사번키],INDEX(합계표[사번키],$X713)))</f>
        <v/>
      </c>
      <c r="G713" s="20">
        <f>IF($X713="","",SUMIFS(상세표[기록 시간외],상세표[사번키],INDEX(합계표[사번키],$X713),상세표[기록월],대상월키))</f>
        <v/>
      </c>
      <c r="H713">
        <f>IF($X713="","",IF(ABS($F713-$G713)&lt;0.01,"일치","불일치(차이 "&amp;TEXT($G713-$F713,"0.00")&amp;")"))</f>
        <v/>
      </c>
      <c r="I713" s="20">
        <f>IF($X713="","",SUMIFS(상세표[기록 시간외],상세표[사번키],INDEX(합계표[사번키],$X713),상세표[기록월],대상월키,상세표[반영월],"&lt;&gt;"&amp;대상월키))</f>
        <v/>
      </c>
      <c r="J713" s="20">
        <f>IF($X713="","",SUMIFS(상세표[기록 시간외],상세표[사번키],INDEX(합계표[사번키],$X713),상세표[기록월],"&lt;&gt;"&amp;대상월키,상세표[반영월],대상월키))</f>
        <v/>
      </c>
      <c r="K713" s="20">
        <f>IF($X713="","",SUMIFS(상세표[기록 시간외],상세표[사번키],INDEX(합계표[사번키],$X713),상세표[반영월],대상월키))</f>
        <v/>
      </c>
      <c r="L713">
        <f>IF($X713="","",IFERROR(INDEX(월별근무지표[적용 급여병원],MATCH(INDEX(합계표[사번키],$X713)&amp;"|"&amp;대상월키,월별근무지표[키],0))&amp;"",IF(COUNTIF(기관표[사번키],INDEX(합계표[사번키],$X713))+COUNTIF(월별근무지표[사번키],INDEX(합계표[사번키],$X713))&gt;0,IFERROR(INDEX(기관표[급여지급병원(기준월)],MATCH(INDEX(합계표[사번키],$X713)&amp;"|"&amp;대상월키,기관표[키],0))&amp;"","—"),"—")))</f>
        <v/>
      </c>
      <c r="M713">
        <f>IF($X713="","",IF(NOT(COUNTIF(기관표[사번키],INDEX(합계표[사번키],$X713))+COUNTIF(월별근무지표[사번키],INDEX(합계표[사번키],$X713))&gt;0),"기관명단에 없음(다른 병원으로 발송)",IF($L713="서울병원","해당",IF(N($R713)&gt;0,"해당(말일 근무)",IF($L713="—","대상월 기관명단 없음(추가 필요)","비해당")))))</f>
        <v/>
      </c>
      <c r="N713" s="20">
        <f>IF($X713="","",SUMIFS(상세표[06~07시],상세표[사번키],INDEX(합계표[사번키],$X713),상세표[반영월],대상월키,상세표[반영 기관],"서울병원"))</f>
        <v/>
      </c>
      <c r="O713" s="20">
        <f>IF($X713="","",SUMIFS(상세표[07~18시],상세표[사번키],INDEX(합계표[사번키],$X713),상세표[반영월],대상월키,상세표[반영 기관],"서울병원"))</f>
        <v/>
      </c>
      <c r="P713" s="20">
        <f>IF($X713="","",SUMIFS(상세표[18~22시],상세표[사번키],INDEX(합계표[사번키],$X713),상세표[반영월],대상월키,상세표[반영 기관],"서울병원"))</f>
        <v/>
      </c>
      <c r="Q713" s="20">
        <f>IF($X713="","",SUMIFS(상세표[22~06시],상세표[사번키],INDEX(합계표[사번키],$X713),상세표[반영월],대상월키,상세표[반영 기관],"서울병원"))</f>
        <v/>
      </c>
      <c r="R713" s="20">
        <f>IF($X713="","",SUM($N713:$Q713))</f>
        <v/>
      </c>
      <c r="S713">
        <f>IF($X713="","",COUNTIFS(상세표[사번키],INDEX(합계표[사번키],$X713),상세표[반영월],대상월키,상세표[야간당직],1,상세표[야간 구분],"평일"))</f>
        <v/>
      </c>
      <c r="T713">
        <f>IF($X713="","",COUNTIFS(상세표[사번키],INDEX(합계표[사번키],$X713),상세표[반영월],대상월키,상세표[야간당직],1,상세표[야간 구분],"휴일"))</f>
        <v/>
      </c>
      <c r="U713">
        <f>IF($X713="","",COUNTIFS(상세표[사번키],INDEX(합계표[사번키],$X713),상세표[반영월],대상월키,상세표[야간당직],1,상세표[야간 구분],"평일",상세표[반영 기관],"서울병원"))</f>
        <v/>
      </c>
      <c r="V713">
        <f>IF($X713="","",COUNTIFS(상세표[사번키],INDEX(합계표[사번키],$X713),상세표[반영월],대상월키,상세표[야간당직],1,상세표[야간 구분],"휴일",상세표[반영 기관],"서울병원"))</f>
        <v/>
      </c>
      <c r="W713">
        <f>IF($X713="","",IF(ISNUMBER(MATCH(INDEX(합계표[사번키],$X713)&amp;"|"&amp;대상월키,월별근무지표[키],0)),"직접 입력",IF($L713="—","—","기관명단")))</f>
        <v/>
      </c>
      <c r="X713" s="4">
        <f>IFERROR(MATCH(708,합계표[판정순번],0),"")</f>
        <v/>
      </c>
    </row>
    <row r="714">
      <c r="A714">
        <f>IF($X714="","",INDEX(합계표[사번],$X714)&amp;"")</f>
        <v/>
      </c>
      <c r="B714">
        <f>IF($X714="","",INDEX(합계표[성명],$X714)&amp;"")</f>
        <v/>
      </c>
      <c r="C714">
        <f>IF($X714="","",INDEX(합계표[부서],$X714)&amp;"")</f>
        <v/>
      </c>
      <c r="D714">
        <f>IF($X714="","",INDEX(합계표[직위(요약)],$X714)&amp;"")</f>
        <v/>
      </c>
      <c r="E714">
        <f>IF($X714="","",INDEX(합계표[직급 공존],$X714)&amp;"")</f>
        <v/>
      </c>
      <c r="F714" s="20">
        <f>IF($X714="","",SUMIFS(합계표[시스템 합계],합계표[사번키],INDEX(합계표[사번키],$X714)))</f>
        <v/>
      </c>
      <c r="G714" s="20">
        <f>IF($X714="","",SUMIFS(상세표[기록 시간외],상세표[사번키],INDEX(합계표[사번키],$X714),상세표[기록월],대상월키))</f>
        <v/>
      </c>
      <c r="H714">
        <f>IF($X714="","",IF(ABS($F714-$G714)&lt;0.01,"일치","불일치(차이 "&amp;TEXT($G714-$F714,"0.00")&amp;")"))</f>
        <v/>
      </c>
      <c r="I714" s="20">
        <f>IF($X714="","",SUMIFS(상세표[기록 시간외],상세표[사번키],INDEX(합계표[사번키],$X714),상세표[기록월],대상월키,상세표[반영월],"&lt;&gt;"&amp;대상월키))</f>
        <v/>
      </c>
      <c r="J714" s="20">
        <f>IF($X714="","",SUMIFS(상세표[기록 시간외],상세표[사번키],INDEX(합계표[사번키],$X714),상세표[기록월],"&lt;&gt;"&amp;대상월키,상세표[반영월],대상월키))</f>
        <v/>
      </c>
      <c r="K714" s="20">
        <f>IF($X714="","",SUMIFS(상세표[기록 시간외],상세표[사번키],INDEX(합계표[사번키],$X714),상세표[반영월],대상월키))</f>
        <v/>
      </c>
      <c r="L714">
        <f>IF($X714="","",IFERROR(INDEX(월별근무지표[적용 급여병원],MATCH(INDEX(합계표[사번키],$X714)&amp;"|"&amp;대상월키,월별근무지표[키],0))&amp;"",IF(COUNTIF(기관표[사번키],INDEX(합계표[사번키],$X714))+COUNTIF(월별근무지표[사번키],INDEX(합계표[사번키],$X714))&gt;0,IFERROR(INDEX(기관표[급여지급병원(기준월)],MATCH(INDEX(합계표[사번키],$X714)&amp;"|"&amp;대상월키,기관표[키],0))&amp;"","—"),"—")))</f>
        <v/>
      </c>
      <c r="M714">
        <f>IF($X714="","",IF(NOT(COUNTIF(기관표[사번키],INDEX(합계표[사번키],$X714))+COUNTIF(월별근무지표[사번키],INDEX(합계표[사번키],$X714))&gt;0),"기관명단에 없음(다른 병원으로 발송)",IF($L714="서울병원","해당",IF(N($R714)&gt;0,"해당(말일 근무)",IF($L714="—","대상월 기관명단 없음(추가 필요)","비해당")))))</f>
        <v/>
      </c>
      <c r="N714" s="20">
        <f>IF($X714="","",SUMIFS(상세표[06~07시],상세표[사번키],INDEX(합계표[사번키],$X714),상세표[반영월],대상월키,상세표[반영 기관],"서울병원"))</f>
        <v/>
      </c>
      <c r="O714" s="20">
        <f>IF($X714="","",SUMIFS(상세표[07~18시],상세표[사번키],INDEX(합계표[사번키],$X714),상세표[반영월],대상월키,상세표[반영 기관],"서울병원"))</f>
        <v/>
      </c>
      <c r="P714" s="20">
        <f>IF($X714="","",SUMIFS(상세표[18~22시],상세표[사번키],INDEX(합계표[사번키],$X714),상세표[반영월],대상월키,상세표[반영 기관],"서울병원"))</f>
        <v/>
      </c>
      <c r="Q714" s="20">
        <f>IF($X714="","",SUMIFS(상세표[22~06시],상세표[사번키],INDEX(합계표[사번키],$X714),상세표[반영월],대상월키,상세표[반영 기관],"서울병원"))</f>
        <v/>
      </c>
      <c r="R714" s="20">
        <f>IF($X714="","",SUM($N714:$Q714))</f>
        <v/>
      </c>
      <c r="S714">
        <f>IF($X714="","",COUNTIFS(상세표[사번키],INDEX(합계표[사번키],$X714),상세표[반영월],대상월키,상세표[야간당직],1,상세표[야간 구분],"평일"))</f>
        <v/>
      </c>
      <c r="T714">
        <f>IF($X714="","",COUNTIFS(상세표[사번키],INDEX(합계표[사번키],$X714),상세표[반영월],대상월키,상세표[야간당직],1,상세표[야간 구분],"휴일"))</f>
        <v/>
      </c>
      <c r="U714">
        <f>IF($X714="","",COUNTIFS(상세표[사번키],INDEX(합계표[사번키],$X714),상세표[반영월],대상월키,상세표[야간당직],1,상세표[야간 구분],"평일",상세표[반영 기관],"서울병원"))</f>
        <v/>
      </c>
      <c r="V714">
        <f>IF($X714="","",COUNTIFS(상세표[사번키],INDEX(합계표[사번키],$X714),상세표[반영월],대상월키,상세표[야간당직],1,상세표[야간 구분],"휴일",상세표[반영 기관],"서울병원"))</f>
        <v/>
      </c>
      <c r="W714">
        <f>IF($X714="","",IF(ISNUMBER(MATCH(INDEX(합계표[사번키],$X714)&amp;"|"&amp;대상월키,월별근무지표[키],0)),"직접 입력",IF($L714="—","—","기관명단")))</f>
        <v/>
      </c>
      <c r="X714" s="4">
        <f>IFERROR(MATCH(709,합계표[판정순번],0),"")</f>
        <v/>
      </c>
    </row>
    <row r="715">
      <c r="A715">
        <f>IF($X715="","",INDEX(합계표[사번],$X715)&amp;"")</f>
        <v/>
      </c>
      <c r="B715">
        <f>IF($X715="","",INDEX(합계표[성명],$X715)&amp;"")</f>
        <v/>
      </c>
      <c r="C715">
        <f>IF($X715="","",INDEX(합계표[부서],$X715)&amp;"")</f>
        <v/>
      </c>
      <c r="D715">
        <f>IF($X715="","",INDEX(합계표[직위(요약)],$X715)&amp;"")</f>
        <v/>
      </c>
      <c r="E715">
        <f>IF($X715="","",INDEX(합계표[직급 공존],$X715)&amp;"")</f>
        <v/>
      </c>
      <c r="F715" s="20">
        <f>IF($X715="","",SUMIFS(합계표[시스템 합계],합계표[사번키],INDEX(합계표[사번키],$X715)))</f>
        <v/>
      </c>
      <c r="G715" s="20">
        <f>IF($X715="","",SUMIFS(상세표[기록 시간외],상세표[사번키],INDEX(합계표[사번키],$X715),상세표[기록월],대상월키))</f>
        <v/>
      </c>
      <c r="H715">
        <f>IF($X715="","",IF(ABS($F715-$G715)&lt;0.01,"일치","불일치(차이 "&amp;TEXT($G715-$F715,"0.00")&amp;")"))</f>
        <v/>
      </c>
      <c r="I715" s="20">
        <f>IF($X715="","",SUMIFS(상세표[기록 시간외],상세표[사번키],INDEX(합계표[사번키],$X715),상세표[기록월],대상월키,상세표[반영월],"&lt;&gt;"&amp;대상월키))</f>
        <v/>
      </c>
      <c r="J715" s="20">
        <f>IF($X715="","",SUMIFS(상세표[기록 시간외],상세표[사번키],INDEX(합계표[사번키],$X715),상세표[기록월],"&lt;&gt;"&amp;대상월키,상세표[반영월],대상월키))</f>
        <v/>
      </c>
      <c r="K715" s="20">
        <f>IF($X715="","",SUMIFS(상세표[기록 시간외],상세표[사번키],INDEX(합계표[사번키],$X715),상세표[반영월],대상월키))</f>
        <v/>
      </c>
      <c r="L715">
        <f>IF($X715="","",IFERROR(INDEX(월별근무지표[적용 급여병원],MATCH(INDEX(합계표[사번키],$X715)&amp;"|"&amp;대상월키,월별근무지표[키],0))&amp;"",IF(COUNTIF(기관표[사번키],INDEX(합계표[사번키],$X715))+COUNTIF(월별근무지표[사번키],INDEX(합계표[사번키],$X715))&gt;0,IFERROR(INDEX(기관표[급여지급병원(기준월)],MATCH(INDEX(합계표[사번키],$X715)&amp;"|"&amp;대상월키,기관표[키],0))&amp;"","—"),"—")))</f>
        <v/>
      </c>
      <c r="M715">
        <f>IF($X715="","",IF(NOT(COUNTIF(기관표[사번키],INDEX(합계표[사번키],$X715))+COUNTIF(월별근무지표[사번키],INDEX(합계표[사번키],$X715))&gt;0),"기관명단에 없음(다른 병원으로 발송)",IF($L715="서울병원","해당",IF(N($R715)&gt;0,"해당(말일 근무)",IF($L715="—","대상월 기관명단 없음(추가 필요)","비해당")))))</f>
        <v/>
      </c>
      <c r="N715" s="20">
        <f>IF($X715="","",SUMIFS(상세표[06~07시],상세표[사번키],INDEX(합계표[사번키],$X715),상세표[반영월],대상월키,상세표[반영 기관],"서울병원"))</f>
        <v/>
      </c>
      <c r="O715" s="20">
        <f>IF($X715="","",SUMIFS(상세표[07~18시],상세표[사번키],INDEX(합계표[사번키],$X715),상세표[반영월],대상월키,상세표[반영 기관],"서울병원"))</f>
        <v/>
      </c>
      <c r="P715" s="20">
        <f>IF($X715="","",SUMIFS(상세표[18~22시],상세표[사번키],INDEX(합계표[사번키],$X715),상세표[반영월],대상월키,상세표[반영 기관],"서울병원"))</f>
        <v/>
      </c>
      <c r="Q715" s="20">
        <f>IF($X715="","",SUMIFS(상세표[22~06시],상세표[사번키],INDEX(합계표[사번키],$X715),상세표[반영월],대상월키,상세표[반영 기관],"서울병원"))</f>
        <v/>
      </c>
      <c r="R715" s="20">
        <f>IF($X715="","",SUM($N715:$Q715))</f>
        <v/>
      </c>
      <c r="S715">
        <f>IF($X715="","",COUNTIFS(상세표[사번키],INDEX(합계표[사번키],$X715),상세표[반영월],대상월키,상세표[야간당직],1,상세표[야간 구분],"평일"))</f>
        <v/>
      </c>
      <c r="T715">
        <f>IF($X715="","",COUNTIFS(상세표[사번키],INDEX(합계표[사번키],$X715),상세표[반영월],대상월키,상세표[야간당직],1,상세표[야간 구분],"휴일"))</f>
        <v/>
      </c>
      <c r="U715">
        <f>IF($X715="","",COUNTIFS(상세표[사번키],INDEX(합계표[사번키],$X715),상세표[반영월],대상월키,상세표[야간당직],1,상세표[야간 구분],"평일",상세표[반영 기관],"서울병원"))</f>
        <v/>
      </c>
      <c r="V715">
        <f>IF($X715="","",COUNTIFS(상세표[사번키],INDEX(합계표[사번키],$X715),상세표[반영월],대상월키,상세표[야간당직],1,상세표[야간 구분],"휴일",상세표[반영 기관],"서울병원"))</f>
        <v/>
      </c>
      <c r="W715">
        <f>IF($X715="","",IF(ISNUMBER(MATCH(INDEX(합계표[사번키],$X715)&amp;"|"&amp;대상월키,월별근무지표[키],0)),"직접 입력",IF($L715="—","—","기관명단")))</f>
        <v/>
      </c>
      <c r="X715" s="4">
        <f>IFERROR(MATCH(710,합계표[판정순번],0),"")</f>
        <v/>
      </c>
    </row>
    <row r="716">
      <c r="A716">
        <f>IF($X716="","",INDEX(합계표[사번],$X716)&amp;"")</f>
        <v/>
      </c>
      <c r="B716">
        <f>IF($X716="","",INDEX(합계표[성명],$X716)&amp;"")</f>
        <v/>
      </c>
      <c r="C716">
        <f>IF($X716="","",INDEX(합계표[부서],$X716)&amp;"")</f>
        <v/>
      </c>
      <c r="D716">
        <f>IF($X716="","",INDEX(합계표[직위(요약)],$X716)&amp;"")</f>
        <v/>
      </c>
      <c r="E716">
        <f>IF($X716="","",INDEX(합계표[직급 공존],$X716)&amp;"")</f>
        <v/>
      </c>
      <c r="F716" s="20">
        <f>IF($X716="","",SUMIFS(합계표[시스템 합계],합계표[사번키],INDEX(합계표[사번키],$X716)))</f>
        <v/>
      </c>
      <c r="G716" s="20">
        <f>IF($X716="","",SUMIFS(상세표[기록 시간외],상세표[사번키],INDEX(합계표[사번키],$X716),상세표[기록월],대상월키))</f>
        <v/>
      </c>
      <c r="H716">
        <f>IF($X716="","",IF(ABS($F716-$G716)&lt;0.01,"일치","불일치(차이 "&amp;TEXT($G716-$F716,"0.00")&amp;")"))</f>
        <v/>
      </c>
      <c r="I716" s="20">
        <f>IF($X716="","",SUMIFS(상세표[기록 시간외],상세표[사번키],INDEX(합계표[사번키],$X716),상세표[기록월],대상월키,상세표[반영월],"&lt;&gt;"&amp;대상월키))</f>
        <v/>
      </c>
      <c r="J716" s="20">
        <f>IF($X716="","",SUMIFS(상세표[기록 시간외],상세표[사번키],INDEX(합계표[사번키],$X716),상세표[기록월],"&lt;&gt;"&amp;대상월키,상세표[반영월],대상월키))</f>
        <v/>
      </c>
      <c r="K716" s="20">
        <f>IF($X716="","",SUMIFS(상세표[기록 시간외],상세표[사번키],INDEX(합계표[사번키],$X716),상세표[반영월],대상월키))</f>
        <v/>
      </c>
      <c r="L716">
        <f>IF($X716="","",IFERROR(INDEX(월별근무지표[적용 급여병원],MATCH(INDEX(합계표[사번키],$X716)&amp;"|"&amp;대상월키,월별근무지표[키],0))&amp;"",IF(COUNTIF(기관표[사번키],INDEX(합계표[사번키],$X716))+COUNTIF(월별근무지표[사번키],INDEX(합계표[사번키],$X716))&gt;0,IFERROR(INDEX(기관표[급여지급병원(기준월)],MATCH(INDEX(합계표[사번키],$X716)&amp;"|"&amp;대상월키,기관표[키],0))&amp;"","—"),"—")))</f>
        <v/>
      </c>
      <c r="M716">
        <f>IF($X716="","",IF(NOT(COUNTIF(기관표[사번키],INDEX(합계표[사번키],$X716))+COUNTIF(월별근무지표[사번키],INDEX(합계표[사번키],$X716))&gt;0),"기관명단에 없음(다른 병원으로 발송)",IF($L716="서울병원","해당",IF(N($R716)&gt;0,"해당(말일 근무)",IF($L716="—","대상월 기관명단 없음(추가 필요)","비해당")))))</f>
        <v/>
      </c>
      <c r="N716" s="20">
        <f>IF($X716="","",SUMIFS(상세표[06~07시],상세표[사번키],INDEX(합계표[사번키],$X716),상세표[반영월],대상월키,상세표[반영 기관],"서울병원"))</f>
        <v/>
      </c>
      <c r="O716" s="20">
        <f>IF($X716="","",SUMIFS(상세표[07~18시],상세표[사번키],INDEX(합계표[사번키],$X716),상세표[반영월],대상월키,상세표[반영 기관],"서울병원"))</f>
        <v/>
      </c>
      <c r="P716" s="20">
        <f>IF($X716="","",SUMIFS(상세표[18~22시],상세표[사번키],INDEX(합계표[사번키],$X716),상세표[반영월],대상월키,상세표[반영 기관],"서울병원"))</f>
        <v/>
      </c>
      <c r="Q716" s="20">
        <f>IF($X716="","",SUMIFS(상세표[22~06시],상세표[사번키],INDEX(합계표[사번키],$X716),상세표[반영월],대상월키,상세표[반영 기관],"서울병원"))</f>
        <v/>
      </c>
      <c r="R716" s="20">
        <f>IF($X716="","",SUM($N716:$Q716))</f>
        <v/>
      </c>
      <c r="S716">
        <f>IF($X716="","",COUNTIFS(상세표[사번키],INDEX(합계표[사번키],$X716),상세표[반영월],대상월키,상세표[야간당직],1,상세표[야간 구분],"평일"))</f>
        <v/>
      </c>
      <c r="T716">
        <f>IF($X716="","",COUNTIFS(상세표[사번키],INDEX(합계표[사번키],$X716),상세표[반영월],대상월키,상세표[야간당직],1,상세표[야간 구분],"휴일"))</f>
        <v/>
      </c>
      <c r="U716">
        <f>IF($X716="","",COUNTIFS(상세표[사번키],INDEX(합계표[사번키],$X716),상세표[반영월],대상월키,상세표[야간당직],1,상세표[야간 구분],"평일",상세표[반영 기관],"서울병원"))</f>
        <v/>
      </c>
      <c r="V716">
        <f>IF($X716="","",COUNTIFS(상세표[사번키],INDEX(합계표[사번키],$X716),상세표[반영월],대상월키,상세표[야간당직],1,상세표[야간 구분],"휴일",상세표[반영 기관],"서울병원"))</f>
        <v/>
      </c>
      <c r="W716">
        <f>IF($X716="","",IF(ISNUMBER(MATCH(INDEX(합계표[사번키],$X716)&amp;"|"&amp;대상월키,월별근무지표[키],0)),"직접 입력",IF($L716="—","—","기관명단")))</f>
        <v/>
      </c>
      <c r="X716" s="4">
        <f>IFERROR(MATCH(711,합계표[판정순번],0),"")</f>
        <v/>
      </c>
    </row>
    <row r="717">
      <c r="A717">
        <f>IF($X717="","",INDEX(합계표[사번],$X717)&amp;"")</f>
        <v/>
      </c>
      <c r="B717">
        <f>IF($X717="","",INDEX(합계표[성명],$X717)&amp;"")</f>
        <v/>
      </c>
      <c r="C717">
        <f>IF($X717="","",INDEX(합계표[부서],$X717)&amp;"")</f>
        <v/>
      </c>
      <c r="D717">
        <f>IF($X717="","",INDEX(합계표[직위(요약)],$X717)&amp;"")</f>
        <v/>
      </c>
      <c r="E717">
        <f>IF($X717="","",INDEX(합계표[직급 공존],$X717)&amp;"")</f>
        <v/>
      </c>
      <c r="F717" s="20">
        <f>IF($X717="","",SUMIFS(합계표[시스템 합계],합계표[사번키],INDEX(합계표[사번키],$X717)))</f>
        <v/>
      </c>
      <c r="G717" s="20">
        <f>IF($X717="","",SUMIFS(상세표[기록 시간외],상세표[사번키],INDEX(합계표[사번키],$X717),상세표[기록월],대상월키))</f>
        <v/>
      </c>
      <c r="H717">
        <f>IF($X717="","",IF(ABS($F717-$G717)&lt;0.01,"일치","불일치(차이 "&amp;TEXT($G717-$F717,"0.00")&amp;")"))</f>
        <v/>
      </c>
      <c r="I717" s="20">
        <f>IF($X717="","",SUMIFS(상세표[기록 시간외],상세표[사번키],INDEX(합계표[사번키],$X717),상세표[기록월],대상월키,상세표[반영월],"&lt;&gt;"&amp;대상월키))</f>
        <v/>
      </c>
      <c r="J717" s="20">
        <f>IF($X717="","",SUMIFS(상세표[기록 시간외],상세표[사번키],INDEX(합계표[사번키],$X717),상세표[기록월],"&lt;&gt;"&amp;대상월키,상세표[반영월],대상월키))</f>
        <v/>
      </c>
      <c r="K717" s="20">
        <f>IF($X717="","",SUMIFS(상세표[기록 시간외],상세표[사번키],INDEX(합계표[사번키],$X717),상세표[반영월],대상월키))</f>
        <v/>
      </c>
      <c r="L717">
        <f>IF($X717="","",IFERROR(INDEX(월별근무지표[적용 급여병원],MATCH(INDEX(합계표[사번키],$X717)&amp;"|"&amp;대상월키,월별근무지표[키],0))&amp;"",IF(COUNTIF(기관표[사번키],INDEX(합계표[사번키],$X717))+COUNTIF(월별근무지표[사번키],INDEX(합계표[사번키],$X717))&gt;0,IFERROR(INDEX(기관표[급여지급병원(기준월)],MATCH(INDEX(합계표[사번키],$X717)&amp;"|"&amp;대상월키,기관표[키],0))&amp;"","—"),"—")))</f>
        <v/>
      </c>
      <c r="M717">
        <f>IF($X717="","",IF(NOT(COUNTIF(기관표[사번키],INDEX(합계표[사번키],$X717))+COUNTIF(월별근무지표[사번키],INDEX(합계표[사번키],$X717))&gt;0),"기관명단에 없음(다른 병원으로 발송)",IF($L717="서울병원","해당",IF(N($R717)&gt;0,"해당(말일 근무)",IF($L717="—","대상월 기관명단 없음(추가 필요)","비해당")))))</f>
        <v/>
      </c>
      <c r="N717" s="20">
        <f>IF($X717="","",SUMIFS(상세표[06~07시],상세표[사번키],INDEX(합계표[사번키],$X717),상세표[반영월],대상월키,상세표[반영 기관],"서울병원"))</f>
        <v/>
      </c>
      <c r="O717" s="20">
        <f>IF($X717="","",SUMIFS(상세표[07~18시],상세표[사번키],INDEX(합계표[사번키],$X717),상세표[반영월],대상월키,상세표[반영 기관],"서울병원"))</f>
        <v/>
      </c>
      <c r="P717" s="20">
        <f>IF($X717="","",SUMIFS(상세표[18~22시],상세표[사번키],INDEX(합계표[사번키],$X717),상세표[반영월],대상월키,상세표[반영 기관],"서울병원"))</f>
        <v/>
      </c>
      <c r="Q717" s="20">
        <f>IF($X717="","",SUMIFS(상세표[22~06시],상세표[사번키],INDEX(합계표[사번키],$X717),상세표[반영월],대상월키,상세표[반영 기관],"서울병원"))</f>
        <v/>
      </c>
      <c r="R717" s="20">
        <f>IF($X717="","",SUM($N717:$Q717))</f>
        <v/>
      </c>
      <c r="S717">
        <f>IF($X717="","",COUNTIFS(상세표[사번키],INDEX(합계표[사번키],$X717),상세표[반영월],대상월키,상세표[야간당직],1,상세표[야간 구분],"평일"))</f>
        <v/>
      </c>
      <c r="T717">
        <f>IF($X717="","",COUNTIFS(상세표[사번키],INDEX(합계표[사번키],$X717),상세표[반영월],대상월키,상세표[야간당직],1,상세표[야간 구분],"휴일"))</f>
        <v/>
      </c>
      <c r="U717">
        <f>IF($X717="","",COUNTIFS(상세표[사번키],INDEX(합계표[사번키],$X717),상세표[반영월],대상월키,상세표[야간당직],1,상세표[야간 구분],"평일",상세표[반영 기관],"서울병원"))</f>
        <v/>
      </c>
      <c r="V717">
        <f>IF($X717="","",COUNTIFS(상세표[사번키],INDEX(합계표[사번키],$X717),상세표[반영월],대상월키,상세표[야간당직],1,상세표[야간 구분],"휴일",상세표[반영 기관],"서울병원"))</f>
        <v/>
      </c>
      <c r="W717">
        <f>IF($X717="","",IF(ISNUMBER(MATCH(INDEX(합계표[사번키],$X717)&amp;"|"&amp;대상월키,월별근무지표[키],0)),"직접 입력",IF($L717="—","—","기관명단")))</f>
        <v/>
      </c>
      <c r="X717" s="4">
        <f>IFERROR(MATCH(712,합계표[판정순번],0),"")</f>
        <v/>
      </c>
    </row>
    <row r="718">
      <c r="A718">
        <f>IF($X718="","",INDEX(합계표[사번],$X718)&amp;"")</f>
        <v/>
      </c>
      <c r="B718">
        <f>IF($X718="","",INDEX(합계표[성명],$X718)&amp;"")</f>
        <v/>
      </c>
      <c r="C718">
        <f>IF($X718="","",INDEX(합계표[부서],$X718)&amp;"")</f>
        <v/>
      </c>
      <c r="D718">
        <f>IF($X718="","",INDEX(합계표[직위(요약)],$X718)&amp;"")</f>
        <v/>
      </c>
      <c r="E718">
        <f>IF($X718="","",INDEX(합계표[직급 공존],$X718)&amp;"")</f>
        <v/>
      </c>
      <c r="F718" s="20">
        <f>IF($X718="","",SUMIFS(합계표[시스템 합계],합계표[사번키],INDEX(합계표[사번키],$X718)))</f>
        <v/>
      </c>
      <c r="G718" s="20">
        <f>IF($X718="","",SUMIFS(상세표[기록 시간외],상세표[사번키],INDEX(합계표[사번키],$X718),상세표[기록월],대상월키))</f>
        <v/>
      </c>
      <c r="H718">
        <f>IF($X718="","",IF(ABS($F718-$G718)&lt;0.01,"일치","불일치(차이 "&amp;TEXT($G718-$F718,"0.00")&amp;")"))</f>
        <v/>
      </c>
      <c r="I718" s="20">
        <f>IF($X718="","",SUMIFS(상세표[기록 시간외],상세표[사번키],INDEX(합계표[사번키],$X718),상세표[기록월],대상월키,상세표[반영월],"&lt;&gt;"&amp;대상월키))</f>
        <v/>
      </c>
      <c r="J718" s="20">
        <f>IF($X718="","",SUMIFS(상세표[기록 시간외],상세표[사번키],INDEX(합계표[사번키],$X718),상세표[기록월],"&lt;&gt;"&amp;대상월키,상세표[반영월],대상월키))</f>
        <v/>
      </c>
      <c r="K718" s="20">
        <f>IF($X718="","",SUMIFS(상세표[기록 시간외],상세표[사번키],INDEX(합계표[사번키],$X718),상세표[반영월],대상월키))</f>
        <v/>
      </c>
      <c r="L718">
        <f>IF($X718="","",IFERROR(INDEX(월별근무지표[적용 급여병원],MATCH(INDEX(합계표[사번키],$X718)&amp;"|"&amp;대상월키,월별근무지표[키],0))&amp;"",IF(COUNTIF(기관표[사번키],INDEX(합계표[사번키],$X718))+COUNTIF(월별근무지표[사번키],INDEX(합계표[사번키],$X718))&gt;0,IFERROR(INDEX(기관표[급여지급병원(기준월)],MATCH(INDEX(합계표[사번키],$X718)&amp;"|"&amp;대상월키,기관표[키],0))&amp;"","—"),"—")))</f>
        <v/>
      </c>
      <c r="M718">
        <f>IF($X718="","",IF(NOT(COUNTIF(기관표[사번키],INDEX(합계표[사번키],$X718))+COUNTIF(월별근무지표[사번키],INDEX(합계표[사번키],$X718))&gt;0),"기관명단에 없음(다른 병원으로 발송)",IF($L718="서울병원","해당",IF(N($R718)&gt;0,"해당(말일 근무)",IF($L718="—","대상월 기관명단 없음(추가 필요)","비해당")))))</f>
        <v/>
      </c>
      <c r="N718" s="20">
        <f>IF($X718="","",SUMIFS(상세표[06~07시],상세표[사번키],INDEX(합계표[사번키],$X718),상세표[반영월],대상월키,상세표[반영 기관],"서울병원"))</f>
        <v/>
      </c>
      <c r="O718" s="20">
        <f>IF($X718="","",SUMIFS(상세표[07~18시],상세표[사번키],INDEX(합계표[사번키],$X718),상세표[반영월],대상월키,상세표[반영 기관],"서울병원"))</f>
        <v/>
      </c>
      <c r="P718" s="20">
        <f>IF($X718="","",SUMIFS(상세표[18~22시],상세표[사번키],INDEX(합계표[사번키],$X718),상세표[반영월],대상월키,상세표[반영 기관],"서울병원"))</f>
        <v/>
      </c>
      <c r="Q718" s="20">
        <f>IF($X718="","",SUMIFS(상세표[22~06시],상세표[사번키],INDEX(합계표[사번키],$X718),상세표[반영월],대상월키,상세표[반영 기관],"서울병원"))</f>
        <v/>
      </c>
      <c r="R718" s="20">
        <f>IF($X718="","",SUM($N718:$Q718))</f>
        <v/>
      </c>
      <c r="S718">
        <f>IF($X718="","",COUNTIFS(상세표[사번키],INDEX(합계표[사번키],$X718),상세표[반영월],대상월키,상세표[야간당직],1,상세표[야간 구분],"평일"))</f>
        <v/>
      </c>
      <c r="T718">
        <f>IF($X718="","",COUNTIFS(상세표[사번키],INDEX(합계표[사번키],$X718),상세표[반영월],대상월키,상세표[야간당직],1,상세표[야간 구분],"휴일"))</f>
        <v/>
      </c>
      <c r="U718">
        <f>IF($X718="","",COUNTIFS(상세표[사번키],INDEX(합계표[사번키],$X718),상세표[반영월],대상월키,상세표[야간당직],1,상세표[야간 구분],"평일",상세표[반영 기관],"서울병원"))</f>
        <v/>
      </c>
      <c r="V718">
        <f>IF($X718="","",COUNTIFS(상세표[사번키],INDEX(합계표[사번키],$X718),상세표[반영월],대상월키,상세표[야간당직],1,상세표[야간 구분],"휴일",상세표[반영 기관],"서울병원"))</f>
        <v/>
      </c>
      <c r="W718">
        <f>IF($X718="","",IF(ISNUMBER(MATCH(INDEX(합계표[사번키],$X718)&amp;"|"&amp;대상월키,월별근무지표[키],0)),"직접 입력",IF($L718="—","—","기관명단")))</f>
        <v/>
      </c>
      <c r="X718" s="4">
        <f>IFERROR(MATCH(713,합계표[판정순번],0),"")</f>
        <v/>
      </c>
    </row>
    <row r="719">
      <c r="A719">
        <f>IF($X719="","",INDEX(합계표[사번],$X719)&amp;"")</f>
        <v/>
      </c>
      <c r="B719">
        <f>IF($X719="","",INDEX(합계표[성명],$X719)&amp;"")</f>
        <v/>
      </c>
      <c r="C719">
        <f>IF($X719="","",INDEX(합계표[부서],$X719)&amp;"")</f>
        <v/>
      </c>
      <c r="D719">
        <f>IF($X719="","",INDEX(합계표[직위(요약)],$X719)&amp;"")</f>
        <v/>
      </c>
      <c r="E719">
        <f>IF($X719="","",INDEX(합계표[직급 공존],$X719)&amp;"")</f>
        <v/>
      </c>
      <c r="F719" s="20">
        <f>IF($X719="","",SUMIFS(합계표[시스템 합계],합계표[사번키],INDEX(합계표[사번키],$X719)))</f>
        <v/>
      </c>
      <c r="G719" s="20">
        <f>IF($X719="","",SUMIFS(상세표[기록 시간외],상세표[사번키],INDEX(합계표[사번키],$X719),상세표[기록월],대상월키))</f>
        <v/>
      </c>
      <c r="H719">
        <f>IF($X719="","",IF(ABS($F719-$G719)&lt;0.01,"일치","불일치(차이 "&amp;TEXT($G719-$F719,"0.00")&amp;")"))</f>
        <v/>
      </c>
      <c r="I719" s="20">
        <f>IF($X719="","",SUMIFS(상세표[기록 시간외],상세표[사번키],INDEX(합계표[사번키],$X719),상세표[기록월],대상월키,상세표[반영월],"&lt;&gt;"&amp;대상월키))</f>
        <v/>
      </c>
      <c r="J719" s="20">
        <f>IF($X719="","",SUMIFS(상세표[기록 시간외],상세표[사번키],INDEX(합계표[사번키],$X719),상세표[기록월],"&lt;&gt;"&amp;대상월키,상세표[반영월],대상월키))</f>
        <v/>
      </c>
      <c r="K719" s="20">
        <f>IF($X719="","",SUMIFS(상세표[기록 시간외],상세표[사번키],INDEX(합계표[사번키],$X719),상세표[반영월],대상월키))</f>
        <v/>
      </c>
      <c r="L719">
        <f>IF($X719="","",IFERROR(INDEX(월별근무지표[적용 급여병원],MATCH(INDEX(합계표[사번키],$X719)&amp;"|"&amp;대상월키,월별근무지표[키],0))&amp;"",IF(COUNTIF(기관표[사번키],INDEX(합계표[사번키],$X719))+COUNTIF(월별근무지표[사번키],INDEX(합계표[사번키],$X719))&gt;0,IFERROR(INDEX(기관표[급여지급병원(기준월)],MATCH(INDEX(합계표[사번키],$X719)&amp;"|"&amp;대상월키,기관표[키],0))&amp;"","—"),"—")))</f>
        <v/>
      </c>
      <c r="M719">
        <f>IF($X719="","",IF(NOT(COUNTIF(기관표[사번키],INDEX(합계표[사번키],$X719))+COUNTIF(월별근무지표[사번키],INDEX(합계표[사번키],$X719))&gt;0),"기관명단에 없음(다른 병원으로 발송)",IF($L719="서울병원","해당",IF(N($R719)&gt;0,"해당(말일 근무)",IF($L719="—","대상월 기관명단 없음(추가 필요)","비해당")))))</f>
        <v/>
      </c>
      <c r="N719" s="20">
        <f>IF($X719="","",SUMIFS(상세표[06~07시],상세표[사번키],INDEX(합계표[사번키],$X719),상세표[반영월],대상월키,상세표[반영 기관],"서울병원"))</f>
        <v/>
      </c>
      <c r="O719" s="20">
        <f>IF($X719="","",SUMIFS(상세표[07~18시],상세표[사번키],INDEX(합계표[사번키],$X719),상세표[반영월],대상월키,상세표[반영 기관],"서울병원"))</f>
        <v/>
      </c>
      <c r="P719" s="20">
        <f>IF($X719="","",SUMIFS(상세표[18~22시],상세표[사번키],INDEX(합계표[사번키],$X719),상세표[반영월],대상월키,상세표[반영 기관],"서울병원"))</f>
        <v/>
      </c>
      <c r="Q719" s="20">
        <f>IF($X719="","",SUMIFS(상세표[22~06시],상세표[사번키],INDEX(합계표[사번키],$X719),상세표[반영월],대상월키,상세표[반영 기관],"서울병원"))</f>
        <v/>
      </c>
      <c r="R719" s="20">
        <f>IF($X719="","",SUM($N719:$Q719))</f>
        <v/>
      </c>
      <c r="S719">
        <f>IF($X719="","",COUNTIFS(상세표[사번키],INDEX(합계표[사번키],$X719),상세표[반영월],대상월키,상세표[야간당직],1,상세표[야간 구분],"평일"))</f>
        <v/>
      </c>
      <c r="T719">
        <f>IF($X719="","",COUNTIFS(상세표[사번키],INDEX(합계표[사번키],$X719),상세표[반영월],대상월키,상세표[야간당직],1,상세표[야간 구분],"휴일"))</f>
        <v/>
      </c>
      <c r="U719">
        <f>IF($X719="","",COUNTIFS(상세표[사번키],INDEX(합계표[사번키],$X719),상세표[반영월],대상월키,상세표[야간당직],1,상세표[야간 구분],"평일",상세표[반영 기관],"서울병원"))</f>
        <v/>
      </c>
      <c r="V719">
        <f>IF($X719="","",COUNTIFS(상세표[사번키],INDEX(합계표[사번키],$X719),상세표[반영월],대상월키,상세표[야간당직],1,상세표[야간 구분],"휴일",상세표[반영 기관],"서울병원"))</f>
        <v/>
      </c>
      <c r="W719">
        <f>IF($X719="","",IF(ISNUMBER(MATCH(INDEX(합계표[사번키],$X719)&amp;"|"&amp;대상월키,월별근무지표[키],0)),"직접 입력",IF($L719="—","—","기관명단")))</f>
        <v/>
      </c>
      <c r="X719" s="4">
        <f>IFERROR(MATCH(714,합계표[판정순번],0),"")</f>
        <v/>
      </c>
    </row>
    <row r="720">
      <c r="A720">
        <f>IF($X720="","",INDEX(합계표[사번],$X720)&amp;"")</f>
        <v/>
      </c>
      <c r="B720">
        <f>IF($X720="","",INDEX(합계표[성명],$X720)&amp;"")</f>
        <v/>
      </c>
      <c r="C720">
        <f>IF($X720="","",INDEX(합계표[부서],$X720)&amp;"")</f>
        <v/>
      </c>
      <c r="D720">
        <f>IF($X720="","",INDEX(합계표[직위(요약)],$X720)&amp;"")</f>
        <v/>
      </c>
      <c r="E720">
        <f>IF($X720="","",INDEX(합계표[직급 공존],$X720)&amp;"")</f>
        <v/>
      </c>
      <c r="F720" s="20">
        <f>IF($X720="","",SUMIFS(합계표[시스템 합계],합계표[사번키],INDEX(합계표[사번키],$X720)))</f>
        <v/>
      </c>
      <c r="G720" s="20">
        <f>IF($X720="","",SUMIFS(상세표[기록 시간외],상세표[사번키],INDEX(합계표[사번키],$X720),상세표[기록월],대상월키))</f>
        <v/>
      </c>
      <c r="H720">
        <f>IF($X720="","",IF(ABS($F720-$G720)&lt;0.01,"일치","불일치(차이 "&amp;TEXT($G720-$F720,"0.00")&amp;")"))</f>
        <v/>
      </c>
      <c r="I720" s="20">
        <f>IF($X720="","",SUMIFS(상세표[기록 시간외],상세표[사번키],INDEX(합계표[사번키],$X720),상세표[기록월],대상월키,상세표[반영월],"&lt;&gt;"&amp;대상월키))</f>
        <v/>
      </c>
      <c r="J720" s="20">
        <f>IF($X720="","",SUMIFS(상세표[기록 시간외],상세표[사번키],INDEX(합계표[사번키],$X720),상세표[기록월],"&lt;&gt;"&amp;대상월키,상세표[반영월],대상월키))</f>
        <v/>
      </c>
      <c r="K720" s="20">
        <f>IF($X720="","",SUMIFS(상세표[기록 시간외],상세표[사번키],INDEX(합계표[사번키],$X720),상세표[반영월],대상월키))</f>
        <v/>
      </c>
      <c r="L720">
        <f>IF($X720="","",IFERROR(INDEX(월별근무지표[적용 급여병원],MATCH(INDEX(합계표[사번키],$X720)&amp;"|"&amp;대상월키,월별근무지표[키],0))&amp;"",IF(COUNTIF(기관표[사번키],INDEX(합계표[사번키],$X720))+COUNTIF(월별근무지표[사번키],INDEX(합계표[사번키],$X720))&gt;0,IFERROR(INDEX(기관표[급여지급병원(기준월)],MATCH(INDEX(합계표[사번키],$X720)&amp;"|"&amp;대상월키,기관표[키],0))&amp;"","—"),"—")))</f>
        <v/>
      </c>
      <c r="M720">
        <f>IF($X720="","",IF(NOT(COUNTIF(기관표[사번키],INDEX(합계표[사번키],$X720))+COUNTIF(월별근무지표[사번키],INDEX(합계표[사번키],$X720))&gt;0),"기관명단에 없음(다른 병원으로 발송)",IF($L720="서울병원","해당",IF(N($R720)&gt;0,"해당(말일 근무)",IF($L720="—","대상월 기관명단 없음(추가 필요)","비해당")))))</f>
        <v/>
      </c>
      <c r="N720" s="20">
        <f>IF($X720="","",SUMIFS(상세표[06~07시],상세표[사번키],INDEX(합계표[사번키],$X720),상세표[반영월],대상월키,상세표[반영 기관],"서울병원"))</f>
        <v/>
      </c>
      <c r="O720" s="20">
        <f>IF($X720="","",SUMIFS(상세표[07~18시],상세표[사번키],INDEX(합계표[사번키],$X720),상세표[반영월],대상월키,상세표[반영 기관],"서울병원"))</f>
        <v/>
      </c>
      <c r="P720" s="20">
        <f>IF($X720="","",SUMIFS(상세표[18~22시],상세표[사번키],INDEX(합계표[사번키],$X720),상세표[반영월],대상월키,상세표[반영 기관],"서울병원"))</f>
        <v/>
      </c>
      <c r="Q720" s="20">
        <f>IF($X720="","",SUMIFS(상세표[22~06시],상세표[사번키],INDEX(합계표[사번키],$X720),상세표[반영월],대상월키,상세표[반영 기관],"서울병원"))</f>
        <v/>
      </c>
      <c r="R720" s="20">
        <f>IF($X720="","",SUM($N720:$Q720))</f>
        <v/>
      </c>
      <c r="S720">
        <f>IF($X720="","",COUNTIFS(상세표[사번키],INDEX(합계표[사번키],$X720),상세표[반영월],대상월키,상세표[야간당직],1,상세표[야간 구분],"평일"))</f>
        <v/>
      </c>
      <c r="T720">
        <f>IF($X720="","",COUNTIFS(상세표[사번키],INDEX(합계표[사번키],$X720),상세표[반영월],대상월키,상세표[야간당직],1,상세표[야간 구분],"휴일"))</f>
        <v/>
      </c>
      <c r="U720">
        <f>IF($X720="","",COUNTIFS(상세표[사번키],INDEX(합계표[사번키],$X720),상세표[반영월],대상월키,상세표[야간당직],1,상세표[야간 구분],"평일",상세표[반영 기관],"서울병원"))</f>
        <v/>
      </c>
      <c r="V720">
        <f>IF($X720="","",COUNTIFS(상세표[사번키],INDEX(합계표[사번키],$X720),상세표[반영월],대상월키,상세표[야간당직],1,상세표[야간 구분],"휴일",상세표[반영 기관],"서울병원"))</f>
        <v/>
      </c>
      <c r="W720">
        <f>IF($X720="","",IF(ISNUMBER(MATCH(INDEX(합계표[사번키],$X720)&amp;"|"&amp;대상월키,월별근무지표[키],0)),"직접 입력",IF($L720="—","—","기관명단")))</f>
        <v/>
      </c>
      <c r="X720" s="4">
        <f>IFERROR(MATCH(715,합계표[판정순번],0),"")</f>
        <v/>
      </c>
    </row>
    <row r="721">
      <c r="A721">
        <f>IF($X721="","",INDEX(합계표[사번],$X721)&amp;"")</f>
        <v/>
      </c>
      <c r="B721">
        <f>IF($X721="","",INDEX(합계표[성명],$X721)&amp;"")</f>
        <v/>
      </c>
      <c r="C721">
        <f>IF($X721="","",INDEX(합계표[부서],$X721)&amp;"")</f>
        <v/>
      </c>
      <c r="D721">
        <f>IF($X721="","",INDEX(합계표[직위(요약)],$X721)&amp;"")</f>
        <v/>
      </c>
      <c r="E721">
        <f>IF($X721="","",INDEX(합계표[직급 공존],$X721)&amp;"")</f>
        <v/>
      </c>
      <c r="F721" s="20">
        <f>IF($X721="","",SUMIFS(합계표[시스템 합계],합계표[사번키],INDEX(합계표[사번키],$X721)))</f>
        <v/>
      </c>
      <c r="G721" s="20">
        <f>IF($X721="","",SUMIFS(상세표[기록 시간외],상세표[사번키],INDEX(합계표[사번키],$X721),상세표[기록월],대상월키))</f>
        <v/>
      </c>
      <c r="H721">
        <f>IF($X721="","",IF(ABS($F721-$G721)&lt;0.01,"일치","불일치(차이 "&amp;TEXT($G721-$F721,"0.00")&amp;")"))</f>
        <v/>
      </c>
      <c r="I721" s="20">
        <f>IF($X721="","",SUMIFS(상세표[기록 시간외],상세표[사번키],INDEX(합계표[사번키],$X721),상세표[기록월],대상월키,상세표[반영월],"&lt;&gt;"&amp;대상월키))</f>
        <v/>
      </c>
      <c r="J721" s="20">
        <f>IF($X721="","",SUMIFS(상세표[기록 시간외],상세표[사번키],INDEX(합계표[사번키],$X721),상세표[기록월],"&lt;&gt;"&amp;대상월키,상세표[반영월],대상월키))</f>
        <v/>
      </c>
      <c r="K721" s="20">
        <f>IF($X721="","",SUMIFS(상세표[기록 시간외],상세표[사번키],INDEX(합계표[사번키],$X721),상세표[반영월],대상월키))</f>
        <v/>
      </c>
      <c r="L721">
        <f>IF($X721="","",IFERROR(INDEX(월별근무지표[적용 급여병원],MATCH(INDEX(합계표[사번키],$X721)&amp;"|"&amp;대상월키,월별근무지표[키],0))&amp;"",IF(COUNTIF(기관표[사번키],INDEX(합계표[사번키],$X721))+COUNTIF(월별근무지표[사번키],INDEX(합계표[사번키],$X721))&gt;0,IFERROR(INDEX(기관표[급여지급병원(기준월)],MATCH(INDEX(합계표[사번키],$X721)&amp;"|"&amp;대상월키,기관표[키],0))&amp;"","—"),"—")))</f>
        <v/>
      </c>
      <c r="M721">
        <f>IF($X721="","",IF(NOT(COUNTIF(기관표[사번키],INDEX(합계표[사번키],$X721))+COUNTIF(월별근무지표[사번키],INDEX(합계표[사번키],$X721))&gt;0),"기관명단에 없음(다른 병원으로 발송)",IF($L721="서울병원","해당",IF(N($R721)&gt;0,"해당(말일 근무)",IF($L721="—","대상월 기관명단 없음(추가 필요)","비해당")))))</f>
        <v/>
      </c>
      <c r="N721" s="20">
        <f>IF($X721="","",SUMIFS(상세표[06~07시],상세표[사번키],INDEX(합계표[사번키],$X721),상세표[반영월],대상월키,상세표[반영 기관],"서울병원"))</f>
        <v/>
      </c>
      <c r="O721" s="20">
        <f>IF($X721="","",SUMIFS(상세표[07~18시],상세표[사번키],INDEX(합계표[사번키],$X721),상세표[반영월],대상월키,상세표[반영 기관],"서울병원"))</f>
        <v/>
      </c>
      <c r="P721" s="20">
        <f>IF($X721="","",SUMIFS(상세표[18~22시],상세표[사번키],INDEX(합계표[사번키],$X721),상세표[반영월],대상월키,상세표[반영 기관],"서울병원"))</f>
        <v/>
      </c>
      <c r="Q721" s="20">
        <f>IF($X721="","",SUMIFS(상세표[22~06시],상세표[사번키],INDEX(합계표[사번키],$X721),상세표[반영월],대상월키,상세표[반영 기관],"서울병원"))</f>
        <v/>
      </c>
      <c r="R721" s="20">
        <f>IF($X721="","",SUM($N721:$Q721))</f>
        <v/>
      </c>
      <c r="S721">
        <f>IF($X721="","",COUNTIFS(상세표[사번키],INDEX(합계표[사번키],$X721),상세표[반영월],대상월키,상세표[야간당직],1,상세표[야간 구분],"평일"))</f>
        <v/>
      </c>
      <c r="T721">
        <f>IF($X721="","",COUNTIFS(상세표[사번키],INDEX(합계표[사번키],$X721),상세표[반영월],대상월키,상세표[야간당직],1,상세표[야간 구분],"휴일"))</f>
        <v/>
      </c>
      <c r="U721">
        <f>IF($X721="","",COUNTIFS(상세표[사번키],INDEX(합계표[사번키],$X721),상세표[반영월],대상월키,상세표[야간당직],1,상세표[야간 구분],"평일",상세표[반영 기관],"서울병원"))</f>
        <v/>
      </c>
      <c r="V721">
        <f>IF($X721="","",COUNTIFS(상세표[사번키],INDEX(합계표[사번키],$X721),상세표[반영월],대상월키,상세표[야간당직],1,상세표[야간 구분],"휴일",상세표[반영 기관],"서울병원"))</f>
        <v/>
      </c>
      <c r="W721">
        <f>IF($X721="","",IF(ISNUMBER(MATCH(INDEX(합계표[사번키],$X721)&amp;"|"&amp;대상월키,월별근무지표[키],0)),"직접 입력",IF($L721="—","—","기관명단")))</f>
        <v/>
      </c>
      <c r="X721" s="4">
        <f>IFERROR(MATCH(716,합계표[판정순번],0),"")</f>
        <v/>
      </c>
    </row>
    <row r="722">
      <c r="A722">
        <f>IF($X722="","",INDEX(합계표[사번],$X722)&amp;"")</f>
        <v/>
      </c>
      <c r="B722">
        <f>IF($X722="","",INDEX(합계표[성명],$X722)&amp;"")</f>
        <v/>
      </c>
      <c r="C722">
        <f>IF($X722="","",INDEX(합계표[부서],$X722)&amp;"")</f>
        <v/>
      </c>
      <c r="D722">
        <f>IF($X722="","",INDEX(합계표[직위(요약)],$X722)&amp;"")</f>
        <v/>
      </c>
      <c r="E722">
        <f>IF($X722="","",INDEX(합계표[직급 공존],$X722)&amp;"")</f>
        <v/>
      </c>
      <c r="F722" s="20">
        <f>IF($X722="","",SUMIFS(합계표[시스템 합계],합계표[사번키],INDEX(합계표[사번키],$X722)))</f>
        <v/>
      </c>
      <c r="G722" s="20">
        <f>IF($X722="","",SUMIFS(상세표[기록 시간외],상세표[사번키],INDEX(합계표[사번키],$X722),상세표[기록월],대상월키))</f>
        <v/>
      </c>
      <c r="H722">
        <f>IF($X722="","",IF(ABS($F722-$G722)&lt;0.01,"일치","불일치(차이 "&amp;TEXT($G722-$F722,"0.00")&amp;")"))</f>
        <v/>
      </c>
      <c r="I722" s="20">
        <f>IF($X722="","",SUMIFS(상세표[기록 시간외],상세표[사번키],INDEX(합계표[사번키],$X722),상세표[기록월],대상월키,상세표[반영월],"&lt;&gt;"&amp;대상월키))</f>
        <v/>
      </c>
      <c r="J722" s="20">
        <f>IF($X722="","",SUMIFS(상세표[기록 시간외],상세표[사번키],INDEX(합계표[사번키],$X722),상세표[기록월],"&lt;&gt;"&amp;대상월키,상세표[반영월],대상월키))</f>
        <v/>
      </c>
      <c r="K722" s="20">
        <f>IF($X722="","",SUMIFS(상세표[기록 시간외],상세표[사번키],INDEX(합계표[사번키],$X722),상세표[반영월],대상월키))</f>
        <v/>
      </c>
      <c r="L722">
        <f>IF($X722="","",IFERROR(INDEX(월별근무지표[적용 급여병원],MATCH(INDEX(합계표[사번키],$X722)&amp;"|"&amp;대상월키,월별근무지표[키],0))&amp;"",IF(COUNTIF(기관표[사번키],INDEX(합계표[사번키],$X722))+COUNTIF(월별근무지표[사번키],INDEX(합계표[사번키],$X722))&gt;0,IFERROR(INDEX(기관표[급여지급병원(기준월)],MATCH(INDEX(합계표[사번키],$X722)&amp;"|"&amp;대상월키,기관표[키],0))&amp;"","—"),"—")))</f>
        <v/>
      </c>
      <c r="M722">
        <f>IF($X722="","",IF(NOT(COUNTIF(기관표[사번키],INDEX(합계표[사번키],$X722))+COUNTIF(월별근무지표[사번키],INDEX(합계표[사번키],$X722))&gt;0),"기관명단에 없음(다른 병원으로 발송)",IF($L722="서울병원","해당",IF(N($R722)&gt;0,"해당(말일 근무)",IF($L722="—","대상월 기관명단 없음(추가 필요)","비해당")))))</f>
        <v/>
      </c>
      <c r="N722" s="20">
        <f>IF($X722="","",SUMIFS(상세표[06~07시],상세표[사번키],INDEX(합계표[사번키],$X722),상세표[반영월],대상월키,상세표[반영 기관],"서울병원"))</f>
        <v/>
      </c>
      <c r="O722" s="20">
        <f>IF($X722="","",SUMIFS(상세표[07~18시],상세표[사번키],INDEX(합계표[사번키],$X722),상세표[반영월],대상월키,상세표[반영 기관],"서울병원"))</f>
        <v/>
      </c>
      <c r="P722" s="20">
        <f>IF($X722="","",SUMIFS(상세표[18~22시],상세표[사번키],INDEX(합계표[사번키],$X722),상세표[반영월],대상월키,상세표[반영 기관],"서울병원"))</f>
        <v/>
      </c>
      <c r="Q722" s="20">
        <f>IF($X722="","",SUMIFS(상세표[22~06시],상세표[사번키],INDEX(합계표[사번키],$X722),상세표[반영월],대상월키,상세표[반영 기관],"서울병원"))</f>
        <v/>
      </c>
      <c r="R722" s="20">
        <f>IF($X722="","",SUM($N722:$Q722))</f>
        <v/>
      </c>
      <c r="S722">
        <f>IF($X722="","",COUNTIFS(상세표[사번키],INDEX(합계표[사번키],$X722),상세표[반영월],대상월키,상세표[야간당직],1,상세표[야간 구분],"평일"))</f>
        <v/>
      </c>
      <c r="T722">
        <f>IF($X722="","",COUNTIFS(상세표[사번키],INDEX(합계표[사번키],$X722),상세표[반영월],대상월키,상세표[야간당직],1,상세표[야간 구분],"휴일"))</f>
        <v/>
      </c>
      <c r="U722">
        <f>IF($X722="","",COUNTIFS(상세표[사번키],INDEX(합계표[사번키],$X722),상세표[반영월],대상월키,상세표[야간당직],1,상세표[야간 구분],"평일",상세표[반영 기관],"서울병원"))</f>
        <v/>
      </c>
      <c r="V722">
        <f>IF($X722="","",COUNTIFS(상세표[사번키],INDEX(합계표[사번키],$X722),상세표[반영월],대상월키,상세표[야간당직],1,상세표[야간 구분],"휴일",상세표[반영 기관],"서울병원"))</f>
        <v/>
      </c>
      <c r="W722">
        <f>IF($X722="","",IF(ISNUMBER(MATCH(INDEX(합계표[사번키],$X722)&amp;"|"&amp;대상월키,월별근무지표[키],0)),"직접 입력",IF($L722="—","—","기관명단")))</f>
        <v/>
      </c>
      <c r="X722" s="4">
        <f>IFERROR(MATCH(717,합계표[판정순번],0),"")</f>
        <v/>
      </c>
    </row>
    <row r="723">
      <c r="A723">
        <f>IF($X723="","",INDEX(합계표[사번],$X723)&amp;"")</f>
        <v/>
      </c>
      <c r="B723">
        <f>IF($X723="","",INDEX(합계표[성명],$X723)&amp;"")</f>
        <v/>
      </c>
      <c r="C723">
        <f>IF($X723="","",INDEX(합계표[부서],$X723)&amp;"")</f>
        <v/>
      </c>
      <c r="D723">
        <f>IF($X723="","",INDEX(합계표[직위(요약)],$X723)&amp;"")</f>
        <v/>
      </c>
      <c r="E723">
        <f>IF($X723="","",INDEX(합계표[직급 공존],$X723)&amp;"")</f>
        <v/>
      </c>
      <c r="F723" s="20">
        <f>IF($X723="","",SUMIFS(합계표[시스템 합계],합계표[사번키],INDEX(합계표[사번키],$X723)))</f>
        <v/>
      </c>
      <c r="G723" s="20">
        <f>IF($X723="","",SUMIFS(상세표[기록 시간외],상세표[사번키],INDEX(합계표[사번키],$X723),상세표[기록월],대상월키))</f>
        <v/>
      </c>
      <c r="H723">
        <f>IF($X723="","",IF(ABS($F723-$G723)&lt;0.01,"일치","불일치(차이 "&amp;TEXT($G723-$F723,"0.00")&amp;")"))</f>
        <v/>
      </c>
      <c r="I723" s="20">
        <f>IF($X723="","",SUMIFS(상세표[기록 시간외],상세표[사번키],INDEX(합계표[사번키],$X723),상세표[기록월],대상월키,상세표[반영월],"&lt;&gt;"&amp;대상월키))</f>
        <v/>
      </c>
      <c r="J723" s="20">
        <f>IF($X723="","",SUMIFS(상세표[기록 시간외],상세표[사번키],INDEX(합계표[사번키],$X723),상세표[기록월],"&lt;&gt;"&amp;대상월키,상세표[반영월],대상월키))</f>
        <v/>
      </c>
      <c r="K723" s="20">
        <f>IF($X723="","",SUMIFS(상세표[기록 시간외],상세표[사번키],INDEX(합계표[사번키],$X723),상세표[반영월],대상월키))</f>
        <v/>
      </c>
      <c r="L723">
        <f>IF($X723="","",IFERROR(INDEX(월별근무지표[적용 급여병원],MATCH(INDEX(합계표[사번키],$X723)&amp;"|"&amp;대상월키,월별근무지표[키],0))&amp;"",IF(COUNTIF(기관표[사번키],INDEX(합계표[사번키],$X723))+COUNTIF(월별근무지표[사번키],INDEX(합계표[사번키],$X723))&gt;0,IFERROR(INDEX(기관표[급여지급병원(기준월)],MATCH(INDEX(합계표[사번키],$X723)&amp;"|"&amp;대상월키,기관표[키],0))&amp;"","—"),"—")))</f>
        <v/>
      </c>
      <c r="M723">
        <f>IF($X723="","",IF(NOT(COUNTIF(기관표[사번키],INDEX(합계표[사번키],$X723))+COUNTIF(월별근무지표[사번키],INDEX(합계표[사번키],$X723))&gt;0),"기관명단에 없음(다른 병원으로 발송)",IF($L723="서울병원","해당",IF(N($R723)&gt;0,"해당(말일 근무)",IF($L723="—","대상월 기관명단 없음(추가 필요)","비해당")))))</f>
        <v/>
      </c>
      <c r="N723" s="20">
        <f>IF($X723="","",SUMIFS(상세표[06~07시],상세표[사번키],INDEX(합계표[사번키],$X723),상세표[반영월],대상월키,상세표[반영 기관],"서울병원"))</f>
        <v/>
      </c>
      <c r="O723" s="20">
        <f>IF($X723="","",SUMIFS(상세표[07~18시],상세표[사번키],INDEX(합계표[사번키],$X723),상세표[반영월],대상월키,상세표[반영 기관],"서울병원"))</f>
        <v/>
      </c>
      <c r="P723" s="20">
        <f>IF($X723="","",SUMIFS(상세표[18~22시],상세표[사번키],INDEX(합계표[사번키],$X723),상세표[반영월],대상월키,상세표[반영 기관],"서울병원"))</f>
        <v/>
      </c>
      <c r="Q723" s="20">
        <f>IF($X723="","",SUMIFS(상세표[22~06시],상세표[사번키],INDEX(합계표[사번키],$X723),상세표[반영월],대상월키,상세표[반영 기관],"서울병원"))</f>
        <v/>
      </c>
      <c r="R723" s="20">
        <f>IF($X723="","",SUM($N723:$Q723))</f>
        <v/>
      </c>
      <c r="S723">
        <f>IF($X723="","",COUNTIFS(상세표[사번키],INDEX(합계표[사번키],$X723),상세표[반영월],대상월키,상세표[야간당직],1,상세표[야간 구분],"평일"))</f>
        <v/>
      </c>
      <c r="T723">
        <f>IF($X723="","",COUNTIFS(상세표[사번키],INDEX(합계표[사번키],$X723),상세표[반영월],대상월키,상세표[야간당직],1,상세표[야간 구분],"휴일"))</f>
        <v/>
      </c>
      <c r="U723">
        <f>IF($X723="","",COUNTIFS(상세표[사번키],INDEX(합계표[사번키],$X723),상세표[반영월],대상월키,상세표[야간당직],1,상세표[야간 구분],"평일",상세표[반영 기관],"서울병원"))</f>
        <v/>
      </c>
      <c r="V723">
        <f>IF($X723="","",COUNTIFS(상세표[사번키],INDEX(합계표[사번키],$X723),상세표[반영월],대상월키,상세표[야간당직],1,상세표[야간 구분],"휴일",상세표[반영 기관],"서울병원"))</f>
        <v/>
      </c>
      <c r="W723">
        <f>IF($X723="","",IF(ISNUMBER(MATCH(INDEX(합계표[사번키],$X723)&amp;"|"&amp;대상월키,월별근무지표[키],0)),"직접 입력",IF($L723="—","—","기관명단")))</f>
        <v/>
      </c>
      <c r="X723" s="4">
        <f>IFERROR(MATCH(718,합계표[판정순번],0),"")</f>
        <v/>
      </c>
    </row>
    <row r="724">
      <c r="A724">
        <f>IF($X724="","",INDEX(합계표[사번],$X724)&amp;"")</f>
        <v/>
      </c>
      <c r="B724">
        <f>IF($X724="","",INDEX(합계표[성명],$X724)&amp;"")</f>
        <v/>
      </c>
      <c r="C724">
        <f>IF($X724="","",INDEX(합계표[부서],$X724)&amp;"")</f>
        <v/>
      </c>
      <c r="D724">
        <f>IF($X724="","",INDEX(합계표[직위(요약)],$X724)&amp;"")</f>
        <v/>
      </c>
      <c r="E724">
        <f>IF($X724="","",INDEX(합계표[직급 공존],$X724)&amp;"")</f>
        <v/>
      </c>
      <c r="F724" s="20">
        <f>IF($X724="","",SUMIFS(합계표[시스템 합계],합계표[사번키],INDEX(합계표[사번키],$X724)))</f>
        <v/>
      </c>
      <c r="G724" s="20">
        <f>IF($X724="","",SUMIFS(상세표[기록 시간외],상세표[사번키],INDEX(합계표[사번키],$X724),상세표[기록월],대상월키))</f>
        <v/>
      </c>
      <c r="H724">
        <f>IF($X724="","",IF(ABS($F724-$G724)&lt;0.01,"일치","불일치(차이 "&amp;TEXT($G724-$F724,"0.00")&amp;")"))</f>
        <v/>
      </c>
      <c r="I724" s="20">
        <f>IF($X724="","",SUMIFS(상세표[기록 시간외],상세표[사번키],INDEX(합계표[사번키],$X724),상세표[기록월],대상월키,상세표[반영월],"&lt;&gt;"&amp;대상월키))</f>
        <v/>
      </c>
      <c r="J724" s="20">
        <f>IF($X724="","",SUMIFS(상세표[기록 시간외],상세표[사번키],INDEX(합계표[사번키],$X724),상세표[기록월],"&lt;&gt;"&amp;대상월키,상세표[반영월],대상월키))</f>
        <v/>
      </c>
      <c r="K724" s="20">
        <f>IF($X724="","",SUMIFS(상세표[기록 시간외],상세표[사번키],INDEX(합계표[사번키],$X724),상세표[반영월],대상월키))</f>
        <v/>
      </c>
      <c r="L724">
        <f>IF($X724="","",IFERROR(INDEX(월별근무지표[적용 급여병원],MATCH(INDEX(합계표[사번키],$X724)&amp;"|"&amp;대상월키,월별근무지표[키],0))&amp;"",IF(COUNTIF(기관표[사번키],INDEX(합계표[사번키],$X724))+COUNTIF(월별근무지표[사번키],INDEX(합계표[사번키],$X724))&gt;0,IFERROR(INDEX(기관표[급여지급병원(기준월)],MATCH(INDEX(합계표[사번키],$X724)&amp;"|"&amp;대상월키,기관표[키],0))&amp;"","—"),"—")))</f>
        <v/>
      </c>
      <c r="M724">
        <f>IF($X724="","",IF(NOT(COUNTIF(기관표[사번키],INDEX(합계표[사번키],$X724))+COUNTIF(월별근무지표[사번키],INDEX(합계표[사번키],$X724))&gt;0),"기관명단에 없음(다른 병원으로 발송)",IF($L724="서울병원","해당",IF(N($R724)&gt;0,"해당(말일 근무)",IF($L724="—","대상월 기관명단 없음(추가 필요)","비해당")))))</f>
        <v/>
      </c>
      <c r="N724" s="20">
        <f>IF($X724="","",SUMIFS(상세표[06~07시],상세표[사번키],INDEX(합계표[사번키],$X724),상세표[반영월],대상월키,상세표[반영 기관],"서울병원"))</f>
        <v/>
      </c>
      <c r="O724" s="20">
        <f>IF($X724="","",SUMIFS(상세표[07~18시],상세표[사번키],INDEX(합계표[사번키],$X724),상세표[반영월],대상월키,상세표[반영 기관],"서울병원"))</f>
        <v/>
      </c>
      <c r="P724" s="20">
        <f>IF($X724="","",SUMIFS(상세표[18~22시],상세표[사번키],INDEX(합계표[사번키],$X724),상세표[반영월],대상월키,상세표[반영 기관],"서울병원"))</f>
        <v/>
      </c>
      <c r="Q724" s="20">
        <f>IF($X724="","",SUMIFS(상세표[22~06시],상세표[사번키],INDEX(합계표[사번키],$X724),상세표[반영월],대상월키,상세표[반영 기관],"서울병원"))</f>
        <v/>
      </c>
      <c r="R724" s="20">
        <f>IF($X724="","",SUM($N724:$Q724))</f>
        <v/>
      </c>
      <c r="S724">
        <f>IF($X724="","",COUNTIFS(상세표[사번키],INDEX(합계표[사번키],$X724),상세표[반영월],대상월키,상세표[야간당직],1,상세표[야간 구분],"평일"))</f>
        <v/>
      </c>
      <c r="T724">
        <f>IF($X724="","",COUNTIFS(상세표[사번키],INDEX(합계표[사번키],$X724),상세표[반영월],대상월키,상세표[야간당직],1,상세표[야간 구분],"휴일"))</f>
        <v/>
      </c>
      <c r="U724">
        <f>IF($X724="","",COUNTIFS(상세표[사번키],INDEX(합계표[사번키],$X724),상세표[반영월],대상월키,상세표[야간당직],1,상세표[야간 구분],"평일",상세표[반영 기관],"서울병원"))</f>
        <v/>
      </c>
      <c r="V724">
        <f>IF($X724="","",COUNTIFS(상세표[사번키],INDEX(합계표[사번키],$X724),상세표[반영월],대상월키,상세표[야간당직],1,상세표[야간 구분],"휴일",상세표[반영 기관],"서울병원"))</f>
        <v/>
      </c>
      <c r="W724">
        <f>IF($X724="","",IF(ISNUMBER(MATCH(INDEX(합계표[사번키],$X724)&amp;"|"&amp;대상월키,월별근무지표[키],0)),"직접 입력",IF($L724="—","—","기관명단")))</f>
        <v/>
      </c>
      <c r="X724" s="4">
        <f>IFERROR(MATCH(719,합계표[판정순번],0),"")</f>
        <v/>
      </c>
    </row>
    <row r="725">
      <c r="A725">
        <f>IF($X725="","",INDEX(합계표[사번],$X725)&amp;"")</f>
        <v/>
      </c>
      <c r="B725">
        <f>IF($X725="","",INDEX(합계표[성명],$X725)&amp;"")</f>
        <v/>
      </c>
      <c r="C725">
        <f>IF($X725="","",INDEX(합계표[부서],$X725)&amp;"")</f>
        <v/>
      </c>
      <c r="D725">
        <f>IF($X725="","",INDEX(합계표[직위(요약)],$X725)&amp;"")</f>
        <v/>
      </c>
      <c r="E725">
        <f>IF($X725="","",INDEX(합계표[직급 공존],$X725)&amp;"")</f>
        <v/>
      </c>
      <c r="F725" s="20">
        <f>IF($X725="","",SUMIFS(합계표[시스템 합계],합계표[사번키],INDEX(합계표[사번키],$X725)))</f>
        <v/>
      </c>
      <c r="G725" s="20">
        <f>IF($X725="","",SUMIFS(상세표[기록 시간외],상세표[사번키],INDEX(합계표[사번키],$X725),상세표[기록월],대상월키))</f>
        <v/>
      </c>
      <c r="H725">
        <f>IF($X725="","",IF(ABS($F725-$G725)&lt;0.01,"일치","불일치(차이 "&amp;TEXT($G725-$F725,"0.00")&amp;")"))</f>
        <v/>
      </c>
      <c r="I725" s="20">
        <f>IF($X725="","",SUMIFS(상세표[기록 시간외],상세표[사번키],INDEX(합계표[사번키],$X725),상세표[기록월],대상월키,상세표[반영월],"&lt;&gt;"&amp;대상월키))</f>
        <v/>
      </c>
      <c r="J725" s="20">
        <f>IF($X725="","",SUMIFS(상세표[기록 시간외],상세표[사번키],INDEX(합계표[사번키],$X725),상세표[기록월],"&lt;&gt;"&amp;대상월키,상세표[반영월],대상월키))</f>
        <v/>
      </c>
      <c r="K725" s="20">
        <f>IF($X725="","",SUMIFS(상세표[기록 시간외],상세표[사번키],INDEX(합계표[사번키],$X725),상세표[반영월],대상월키))</f>
        <v/>
      </c>
      <c r="L725">
        <f>IF($X725="","",IFERROR(INDEX(월별근무지표[적용 급여병원],MATCH(INDEX(합계표[사번키],$X725)&amp;"|"&amp;대상월키,월별근무지표[키],0))&amp;"",IF(COUNTIF(기관표[사번키],INDEX(합계표[사번키],$X725))+COUNTIF(월별근무지표[사번키],INDEX(합계표[사번키],$X725))&gt;0,IFERROR(INDEX(기관표[급여지급병원(기준월)],MATCH(INDEX(합계표[사번키],$X725)&amp;"|"&amp;대상월키,기관표[키],0))&amp;"","—"),"—")))</f>
        <v/>
      </c>
      <c r="M725">
        <f>IF($X725="","",IF(NOT(COUNTIF(기관표[사번키],INDEX(합계표[사번키],$X725))+COUNTIF(월별근무지표[사번키],INDEX(합계표[사번키],$X725))&gt;0),"기관명단에 없음(다른 병원으로 발송)",IF($L725="서울병원","해당",IF(N($R725)&gt;0,"해당(말일 근무)",IF($L725="—","대상월 기관명단 없음(추가 필요)","비해당")))))</f>
        <v/>
      </c>
      <c r="N725" s="20">
        <f>IF($X725="","",SUMIFS(상세표[06~07시],상세표[사번키],INDEX(합계표[사번키],$X725),상세표[반영월],대상월키,상세표[반영 기관],"서울병원"))</f>
        <v/>
      </c>
      <c r="O725" s="20">
        <f>IF($X725="","",SUMIFS(상세표[07~18시],상세표[사번키],INDEX(합계표[사번키],$X725),상세표[반영월],대상월키,상세표[반영 기관],"서울병원"))</f>
        <v/>
      </c>
      <c r="P725" s="20">
        <f>IF($X725="","",SUMIFS(상세표[18~22시],상세표[사번키],INDEX(합계표[사번키],$X725),상세표[반영월],대상월키,상세표[반영 기관],"서울병원"))</f>
        <v/>
      </c>
      <c r="Q725" s="20">
        <f>IF($X725="","",SUMIFS(상세표[22~06시],상세표[사번키],INDEX(합계표[사번키],$X725),상세표[반영월],대상월키,상세표[반영 기관],"서울병원"))</f>
        <v/>
      </c>
      <c r="R725" s="20">
        <f>IF($X725="","",SUM($N725:$Q725))</f>
        <v/>
      </c>
      <c r="S725">
        <f>IF($X725="","",COUNTIFS(상세표[사번키],INDEX(합계표[사번키],$X725),상세표[반영월],대상월키,상세표[야간당직],1,상세표[야간 구분],"평일"))</f>
        <v/>
      </c>
      <c r="T725">
        <f>IF($X725="","",COUNTIFS(상세표[사번키],INDEX(합계표[사번키],$X725),상세표[반영월],대상월키,상세표[야간당직],1,상세표[야간 구분],"휴일"))</f>
        <v/>
      </c>
      <c r="U725">
        <f>IF($X725="","",COUNTIFS(상세표[사번키],INDEX(합계표[사번키],$X725),상세표[반영월],대상월키,상세표[야간당직],1,상세표[야간 구분],"평일",상세표[반영 기관],"서울병원"))</f>
        <v/>
      </c>
      <c r="V725">
        <f>IF($X725="","",COUNTIFS(상세표[사번키],INDEX(합계표[사번키],$X725),상세표[반영월],대상월키,상세표[야간당직],1,상세표[야간 구분],"휴일",상세표[반영 기관],"서울병원"))</f>
        <v/>
      </c>
      <c r="W725">
        <f>IF($X725="","",IF(ISNUMBER(MATCH(INDEX(합계표[사번키],$X725)&amp;"|"&amp;대상월키,월별근무지표[키],0)),"직접 입력",IF($L725="—","—","기관명단")))</f>
        <v/>
      </c>
      <c r="X725" s="4">
        <f>IFERROR(MATCH(720,합계표[판정순번],0),"")</f>
        <v/>
      </c>
    </row>
    <row r="726">
      <c r="A726">
        <f>IF($X726="","",INDEX(합계표[사번],$X726)&amp;"")</f>
        <v/>
      </c>
      <c r="B726">
        <f>IF($X726="","",INDEX(합계표[성명],$X726)&amp;"")</f>
        <v/>
      </c>
      <c r="C726">
        <f>IF($X726="","",INDEX(합계표[부서],$X726)&amp;"")</f>
        <v/>
      </c>
      <c r="D726">
        <f>IF($X726="","",INDEX(합계표[직위(요약)],$X726)&amp;"")</f>
        <v/>
      </c>
      <c r="E726">
        <f>IF($X726="","",INDEX(합계표[직급 공존],$X726)&amp;"")</f>
        <v/>
      </c>
      <c r="F726" s="20">
        <f>IF($X726="","",SUMIFS(합계표[시스템 합계],합계표[사번키],INDEX(합계표[사번키],$X726)))</f>
        <v/>
      </c>
      <c r="G726" s="20">
        <f>IF($X726="","",SUMIFS(상세표[기록 시간외],상세표[사번키],INDEX(합계표[사번키],$X726),상세표[기록월],대상월키))</f>
        <v/>
      </c>
      <c r="H726">
        <f>IF($X726="","",IF(ABS($F726-$G726)&lt;0.01,"일치","불일치(차이 "&amp;TEXT($G726-$F726,"0.00")&amp;")"))</f>
        <v/>
      </c>
      <c r="I726" s="20">
        <f>IF($X726="","",SUMIFS(상세표[기록 시간외],상세표[사번키],INDEX(합계표[사번키],$X726),상세표[기록월],대상월키,상세표[반영월],"&lt;&gt;"&amp;대상월키))</f>
        <v/>
      </c>
      <c r="J726" s="20">
        <f>IF($X726="","",SUMIFS(상세표[기록 시간외],상세표[사번키],INDEX(합계표[사번키],$X726),상세표[기록월],"&lt;&gt;"&amp;대상월키,상세표[반영월],대상월키))</f>
        <v/>
      </c>
      <c r="K726" s="20">
        <f>IF($X726="","",SUMIFS(상세표[기록 시간외],상세표[사번키],INDEX(합계표[사번키],$X726),상세표[반영월],대상월키))</f>
        <v/>
      </c>
      <c r="L726">
        <f>IF($X726="","",IFERROR(INDEX(월별근무지표[적용 급여병원],MATCH(INDEX(합계표[사번키],$X726)&amp;"|"&amp;대상월키,월별근무지표[키],0))&amp;"",IF(COUNTIF(기관표[사번키],INDEX(합계표[사번키],$X726))+COUNTIF(월별근무지표[사번키],INDEX(합계표[사번키],$X726))&gt;0,IFERROR(INDEX(기관표[급여지급병원(기준월)],MATCH(INDEX(합계표[사번키],$X726)&amp;"|"&amp;대상월키,기관표[키],0))&amp;"","—"),"—")))</f>
        <v/>
      </c>
      <c r="M726">
        <f>IF($X726="","",IF(NOT(COUNTIF(기관표[사번키],INDEX(합계표[사번키],$X726))+COUNTIF(월별근무지표[사번키],INDEX(합계표[사번키],$X726))&gt;0),"기관명단에 없음(다른 병원으로 발송)",IF($L726="서울병원","해당",IF(N($R726)&gt;0,"해당(말일 근무)",IF($L726="—","대상월 기관명단 없음(추가 필요)","비해당")))))</f>
        <v/>
      </c>
      <c r="N726" s="20">
        <f>IF($X726="","",SUMIFS(상세표[06~07시],상세표[사번키],INDEX(합계표[사번키],$X726),상세표[반영월],대상월키,상세표[반영 기관],"서울병원"))</f>
        <v/>
      </c>
      <c r="O726" s="20">
        <f>IF($X726="","",SUMIFS(상세표[07~18시],상세표[사번키],INDEX(합계표[사번키],$X726),상세표[반영월],대상월키,상세표[반영 기관],"서울병원"))</f>
        <v/>
      </c>
      <c r="P726" s="20">
        <f>IF($X726="","",SUMIFS(상세표[18~22시],상세표[사번키],INDEX(합계표[사번키],$X726),상세표[반영월],대상월키,상세표[반영 기관],"서울병원"))</f>
        <v/>
      </c>
      <c r="Q726" s="20">
        <f>IF($X726="","",SUMIFS(상세표[22~06시],상세표[사번키],INDEX(합계표[사번키],$X726),상세표[반영월],대상월키,상세표[반영 기관],"서울병원"))</f>
        <v/>
      </c>
      <c r="R726" s="20">
        <f>IF($X726="","",SUM($N726:$Q726))</f>
        <v/>
      </c>
      <c r="S726">
        <f>IF($X726="","",COUNTIFS(상세표[사번키],INDEX(합계표[사번키],$X726),상세표[반영월],대상월키,상세표[야간당직],1,상세표[야간 구분],"평일"))</f>
        <v/>
      </c>
      <c r="T726">
        <f>IF($X726="","",COUNTIFS(상세표[사번키],INDEX(합계표[사번키],$X726),상세표[반영월],대상월키,상세표[야간당직],1,상세표[야간 구분],"휴일"))</f>
        <v/>
      </c>
      <c r="U726">
        <f>IF($X726="","",COUNTIFS(상세표[사번키],INDEX(합계표[사번키],$X726),상세표[반영월],대상월키,상세표[야간당직],1,상세표[야간 구분],"평일",상세표[반영 기관],"서울병원"))</f>
        <v/>
      </c>
      <c r="V726">
        <f>IF($X726="","",COUNTIFS(상세표[사번키],INDEX(합계표[사번키],$X726),상세표[반영월],대상월키,상세표[야간당직],1,상세표[야간 구분],"휴일",상세표[반영 기관],"서울병원"))</f>
        <v/>
      </c>
      <c r="W726">
        <f>IF($X726="","",IF(ISNUMBER(MATCH(INDEX(합계표[사번키],$X726)&amp;"|"&amp;대상월키,월별근무지표[키],0)),"직접 입력",IF($L726="—","—","기관명단")))</f>
        <v/>
      </c>
      <c r="X726" s="4">
        <f>IFERROR(MATCH(721,합계표[판정순번],0),"")</f>
        <v/>
      </c>
    </row>
    <row r="727">
      <c r="A727">
        <f>IF($X727="","",INDEX(합계표[사번],$X727)&amp;"")</f>
        <v/>
      </c>
      <c r="B727">
        <f>IF($X727="","",INDEX(합계표[성명],$X727)&amp;"")</f>
        <v/>
      </c>
      <c r="C727">
        <f>IF($X727="","",INDEX(합계표[부서],$X727)&amp;"")</f>
        <v/>
      </c>
      <c r="D727">
        <f>IF($X727="","",INDEX(합계표[직위(요약)],$X727)&amp;"")</f>
        <v/>
      </c>
      <c r="E727">
        <f>IF($X727="","",INDEX(합계표[직급 공존],$X727)&amp;"")</f>
        <v/>
      </c>
      <c r="F727" s="20">
        <f>IF($X727="","",SUMIFS(합계표[시스템 합계],합계표[사번키],INDEX(합계표[사번키],$X727)))</f>
        <v/>
      </c>
      <c r="G727" s="20">
        <f>IF($X727="","",SUMIFS(상세표[기록 시간외],상세표[사번키],INDEX(합계표[사번키],$X727),상세표[기록월],대상월키))</f>
        <v/>
      </c>
      <c r="H727">
        <f>IF($X727="","",IF(ABS($F727-$G727)&lt;0.01,"일치","불일치(차이 "&amp;TEXT($G727-$F727,"0.00")&amp;")"))</f>
        <v/>
      </c>
      <c r="I727" s="20">
        <f>IF($X727="","",SUMIFS(상세표[기록 시간외],상세표[사번키],INDEX(합계표[사번키],$X727),상세표[기록월],대상월키,상세표[반영월],"&lt;&gt;"&amp;대상월키))</f>
        <v/>
      </c>
      <c r="J727" s="20">
        <f>IF($X727="","",SUMIFS(상세표[기록 시간외],상세표[사번키],INDEX(합계표[사번키],$X727),상세표[기록월],"&lt;&gt;"&amp;대상월키,상세표[반영월],대상월키))</f>
        <v/>
      </c>
      <c r="K727" s="20">
        <f>IF($X727="","",SUMIFS(상세표[기록 시간외],상세표[사번키],INDEX(합계표[사번키],$X727),상세표[반영월],대상월키))</f>
        <v/>
      </c>
      <c r="L727">
        <f>IF($X727="","",IFERROR(INDEX(월별근무지표[적용 급여병원],MATCH(INDEX(합계표[사번키],$X727)&amp;"|"&amp;대상월키,월별근무지표[키],0))&amp;"",IF(COUNTIF(기관표[사번키],INDEX(합계표[사번키],$X727))+COUNTIF(월별근무지표[사번키],INDEX(합계표[사번키],$X727))&gt;0,IFERROR(INDEX(기관표[급여지급병원(기준월)],MATCH(INDEX(합계표[사번키],$X727)&amp;"|"&amp;대상월키,기관표[키],0))&amp;"","—"),"—")))</f>
        <v/>
      </c>
      <c r="M727">
        <f>IF($X727="","",IF(NOT(COUNTIF(기관표[사번키],INDEX(합계표[사번키],$X727))+COUNTIF(월별근무지표[사번키],INDEX(합계표[사번키],$X727))&gt;0),"기관명단에 없음(다른 병원으로 발송)",IF($L727="서울병원","해당",IF(N($R727)&gt;0,"해당(말일 근무)",IF($L727="—","대상월 기관명단 없음(추가 필요)","비해당")))))</f>
        <v/>
      </c>
      <c r="N727" s="20">
        <f>IF($X727="","",SUMIFS(상세표[06~07시],상세표[사번키],INDEX(합계표[사번키],$X727),상세표[반영월],대상월키,상세표[반영 기관],"서울병원"))</f>
        <v/>
      </c>
      <c r="O727" s="20">
        <f>IF($X727="","",SUMIFS(상세표[07~18시],상세표[사번키],INDEX(합계표[사번키],$X727),상세표[반영월],대상월키,상세표[반영 기관],"서울병원"))</f>
        <v/>
      </c>
      <c r="P727" s="20">
        <f>IF($X727="","",SUMIFS(상세표[18~22시],상세표[사번키],INDEX(합계표[사번키],$X727),상세표[반영월],대상월키,상세표[반영 기관],"서울병원"))</f>
        <v/>
      </c>
      <c r="Q727" s="20">
        <f>IF($X727="","",SUMIFS(상세표[22~06시],상세표[사번키],INDEX(합계표[사번키],$X727),상세표[반영월],대상월키,상세표[반영 기관],"서울병원"))</f>
        <v/>
      </c>
      <c r="R727" s="20">
        <f>IF($X727="","",SUM($N727:$Q727))</f>
        <v/>
      </c>
      <c r="S727">
        <f>IF($X727="","",COUNTIFS(상세표[사번키],INDEX(합계표[사번키],$X727),상세표[반영월],대상월키,상세표[야간당직],1,상세표[야간 구분],"평일"))</f>
        <v/>
      </c>
      <c r="T727">
        <f>IF($X727="","",COUNTIFS(상세표[사번키],INDEX(합계표[사번키],$X727),상세표[반영월],대상월키,상세표[야간당직],1,상세표[야간 구분],"휴일"))</f>
        <v/>
      </c>
      <c r="U727">
        <f>IF($X727="","",COUNTIFS(상세표[사번키],INDEX(합계표[사번키],$X727),상세표[반영월],대상월키,상세표[야간당직],1,상세표[야간 구분],"평일",상세표[반영 기관],"서울병원"))</f>
        <v/>
      </c>
      <c r="V727">
        <f>IF($X727="","",COUNTIFS(상세표[사번키],INDEX(합계표[사번키],$X727),상세표[반영월],대상월키,상세표[야간당직],1,상세표[야간 구분],"휴일",상세표[반영 기관],"서울병원"))</f>
        <v/>
      </c>
      <c r="W727">
        <f>IF($X727="","",IF(ISNUMBER(MATCH(INDEX(합계표[사번키],$X727)&amp;"|"&amp;대상월키,월별근무지표[키],0)),"직접 입력",IF($L727="—","—","기관명단")))</f>
        <v/>
      </c>
      <c r="X727" s="4">
        <f>IFERROR(MATCH(722,합계표[판정순번],0),"")</f>
        <v/>
      </c>
    </row>
    <row r="728">
      <c r="A728">
        <f>IF($X728="","",INDEX(합계표[사번],$X728)&amp;"")</f>
        <v/>
      </c>
      <c r="B728">
        <f>IF($X728="","",INDEX(합계표[성명],$X728)&amp;"")</f>
        <v/>
      </c>
      <c r="C728">
        <f>IF($X728="","",INDEX(합계표[부서],$X728)&amp;"")</f>
        <v/>
      </c>
      <c r="D728">
        <f>IF($X728="","",INDEX(합계표[직위(요약)],$X728)&amp;"")</f>
        <v/>
      </c>
      <c r="E728">
        <f>IF($X728="","",INDEX(합계표[직급 공존],$X728)&amp;"")</f>
        <v/>
      </c>
      <c r="F728" s="20">
        <f>IF($X728="","",SUMIFS(합계표[시스템 합계],합계표[사번키],INDEX(합계표[사번키],$X728)))</f>
        <v/>
      </c>
      <c r="G728" s="20">
        <f>IF($X728="","",SUMIFS(상세표[기록 시간외],상세표[사번키],INDEX(합계표[사번키],$X728),상세표[기록월],대상월키))</f>
        <v/>
      </c>
      <c r="H728">
        <f>IF($X728="","",IF(ABS($F728-$G728)&lt;0.01,"일치","불일치(차이 "&amp;TEXT($G728-$F728,"0.00")&amp;")"))</f>
        <v/>
      </c>
      <c r="I728" s="20">
        <f>IF($X728="","",SUMIFS(상세표[기록 시간외],상세표[사번키],INDEX(합계표[사번키],$X728),상세표[기록월],대상월키,상세표[반영월],"&lt;&gt;"&amp;대상월키))</f>
        <v/>
      </c>
      <c r="J728" s="20">
        <f>IF($X728="","",SUMIFS(상세표[기록 시간외],상세표[사번키],INDEX(합계표[사번키],$X728),상세표[기록월],"&lt;&gt;"&amp;대상월키,상세표[반영월],대상월키))</f>
        <v/>
      </c>
      <c r="K728" s="20">
        <f>IF($X728="","",SUMIFS(상세표[기록 시간외],상세표[사번키],INDEX(합계표[사번키],$X728),상세표[반영월],대상월키))</f>
        <v/>
      </c>
      <c r="L728">
        <f>IF($X728="","",IFERROR(INDEX(월별근무지표[적용 급여병원],MATCH(INDEX(합계표[사번키],$X728)&amp;"|"&amp;대상월키,월별근무지표[키],0))&amp;"",IF(COUNTIF(기관표[사번키],INDEX(합계표[사번키],$X728))+COUNTIF(월별근무지표[사번키],INDEX(합계표[사번키],$X728))&gt;0,IFERROR(INDEX(기관표[급여지급병원(기준월)],MATCH(INDEX(합계표[사번키],$X728)&amp;"|"&amp;대상월키,기관표[키],0))&amp;"","—"),"—")))</f>
        <v/>
      </c>
      <c r="M728">
        <f>IF($X728="","",IF(NOT(COUNTIF(기관표[사번키],INDEX(합계표[사번키],$X728))+COUNTIF(월별근무지표[사번키],INDEX(합계표[사번키],$X728))&gt;0),"기관명단에 없음(다른 병원으로 발송)",IF($L728="서울병원","해당",IF(N($R728)&gt;0,"해당(말일 근무)",IF($L728="—","대상월 기관명단 없음(추가 필요)","비해당")))))</f>
        <v/>
      </c>
      <c r="N728" s="20">
        <f>IF($X728="","",SUMIFS(상세표[06~07시],상세표[사번키],INDEX(합계표[사번키],$X728),상세표[반영월],대상월키,상세표[반영 기관],"서울병원"))</f>
        <v/>
      </c>
      <c r="O728" s="20">
        <f>IF($X728="","",SUMIFS(상세표[07~18시],상세표[사번키],INDEX(합계표[사번키],$X728),상세표[반영월],대상월키,상세표[반영 기관],"서울병원"))</f>
        <v/>
      </c>
      <c r="P728" s="20">
        <f>IF($X728="","",SUMIFS(상세표[18~22시],상세표[사번키],INDEX(합계표[사번키],$X728),상세표[반영월],대상월키,상세표[반영 기관],"서울병원"))</f>
        <v/>
      </c>
      <c r="Q728" s="20">
        <f>IF($X728="","",SUMIFS(상세표[22~06시],상세표[사번키],INDEX(합계표[사번키],$X728),상세표[반영월],대상월키,상세표[반영 기관],"서울병원"))</f>
        <v/>
      </c>
      <c r="R728" s="20">
        <f>IF($X728="","",SUM($N728:$Q728))</f>
        <v/>
      </c>
      <c r="S728">
        <f>IF($X728="","",COUNTIFS(상세표[사번키],INDEX(합계표[사번키],$X728),상세표[반영월],대상월키,상세표[야간당직],1,상세표[야간 구분],"평일"))</f>
        <v/>
      </c>
      <c r="T728">
        <f>IF($X728="","",COUNTIFS(상세표[사번키],INDEX(합계표[사번키],$X728),상세표[반영월],대상월키,상세표[야간당직],1,상세표[야간 구분],"휴일"))</f>
        <v/>
      </c>
      <c r="U728">
        <f>IF($X728="","",COUNTIFS(상세표[사번키],INDEX(합계표[사번키],$X728),상세표[반영월],대상월키,상세표[야간당직],1,상세표[야간 구분],"평일",상세표[반영 기관],"서울병원"))</f>
        <v/>
      </c>
      <c r="V728">
        <f>IF($X728="","",COUNTIFS(상세표[사번키],INDEX(합계표[사번키],$X728),상세표[반영월],대상월키,상세표[야간당직],1,상세표[야간 구분],"휴일",상세표[반영 기관],"서울병원"))</f>
        <v/>
      </c>
      <c r="W728">
        <f>IF($X728="","",IF(ISNUMBER(MATCH(INDEX(합계표[사번키],$X728)&amp;"|"&amp;대상월키,월별근무지표[키],0)),"직접 입력",IF($L728="—","—","기관명단")))</f>
        <v/>
      </c>
      <c r="X728" s="4">
        <f>IFERROR(MATCH(723,합계표[판정순번],0),"")</f>
        <v/>
      </c>
    </row>
    <row r="729">
      <c r="A729">
        <f>IF($X729="","",INDEX(합계표[사번],$X729)&amp;"")</f>
        <v/>
      </c>
      <c r="B729">
        <f>IF($X729="","",INDEX(합계표[성명],$X729)&amp;"")</f>
        <v/>
      </c>
      <c r="C729">
        <f>IF($X729="","",INDEX(합계표[부서],$X729)&amp;"")</f>
        <v/>
      </c>
      <c r="D729">
        <f>IF($X729="","",INDEX(합계표[직위(요약)],$X729)&amp;"")</f>
        <v/>
      </c>
      <c r="E729">
        <f>IF($X729="","",INDEX(합계표[직급 공존],$X729)&amp;"")</f>
        <v/>
      </c>
      <c r="F729" s="20">
        <f>IF($X729="","",SUMIFS(합계표[시스템 합계],합계표[사번키],INDEX(합계표[사번키],$X729)))</f>
        <v/>
      </c>
      <c r="G729" s="20">
        <f>IF($X729="","",SUMIFS(상세표[기록 시간외],상세표[사번키],INDEX(합계표[사번키],$X729),상세표[기록월],대상월키))</f>
        <v/>
      </c>
      <c r="H729">
        <f>IF($X729="","",IF(ABS($F729-$G729)&lt;0.01,"일치","불일치(차이 "&amp;TEXT($G729-$F729,"0.00")&amp;")"))</f>
        <v/>
      </c>
      <c r="I729" s="20">
        <f>IF($X729="","",SUMIFS(상세표[기록 시간외],상세표[사번키],INDEX(합계표[사번키],$X729),상세표[기록월],대상월키,상세표[반영월],"&lt;&gt;"&amp;대상월키))</f>
        <v/>
      </c>
      <c r="J729" s="20">
        <f>IF($X729="","",SUMIFS(상세표[기록 시간외],상세표[사번키],INDEX(합계표[사번키],$X729),상세표[기록월],"&lt;&gt;"&amp;대상월키,상세표[반영월],대상월키))</f>
        <v/>
      </c>
      <c r="K729" s="20">
        <f>IF($X729="","",SUMIFS(상세표[기록 시간외],상세표[사번키],INDEX(합계표[사번키],$X729),상세표[반영월],대상월키))</f>
        <v/>
      </c>
      <c r="L729">
        <f>IF($X729="","",IFERROR(INDEX(월별근무지표[적용 급여병원],MATCH(INDEX(합계표[사번키],$X729)&amp;"|"&amp;대상월키,월별근무지표[키],0))&amp;"",IF(COUNTIF(기관표[사번키],INDEX(합계표[사번키],$X729))+COUNTIF(월별근무지표[사번키],INDEX(합계표[사번키],$X729))&gt;0,IFERROR(INDEX(기관표[급여지급병원(기준월)],MATCH(INDEX(합계표[사번키],$X729)&amp;"|"&amp;대상월키,기관표[키],0))&amp;"","—"),"—")))</f>
        <v/>
      </c>
      <c r="M729">
        <f>IF($X729="","",IF(NOT(COUNTIF(기관표[사번키],INDEX(합계표[사번키],$X729))+COUNTIF(월별근무지표[사번키],INDEX(합계표[사번키],$X729))&gt;0),"기관명단에 없음(다른 병원으로 발송)",IF($L729="서울병원","해당",IF(N($R729)&gt;0,"해당(말일 근무)",IF($L729="—","대상월 기관명단 없음(추가 필요)","비해당")))))</f>
        <v/>
      </c>
      <c r="N729" s="20">
        <f>IF($X729="","",SUMIFS(상세표[06~07시],상세표[사번키],INDEX(합계표[사번키],$X729),상세표[반영월],대상월키,상세표[반영 기관],"서울병원"))</f>
        <v/>
      </c>
      <c r="O729" s="20">
        <f>IF($X729="","",SUMIFS(상세표[07~18시],상세표[사번키],INDEX(합계표[사번키],$X729),상세표[반영월],대상월키,상세표[반영 기관],"서울병원"))</f>
        <v/>
      </c>
      <c r="P729" s="20">
        <f>IF($X729="","",SUMIFS(상세표[18~22시],상세표[사번키],INDEX(합계표[사번키],$X729),상세표[반영월],대상월키,상세표[반영 기관],"서울병원"))</f>
        <v/>
      </c>
      <c r="Q729" s="20">
        <f>IF($X729="","",SUMIFS(상세표[22~06시],상세표[사번키],INDEX(합계표[사번키],$X729),상세표[반영월],대상월키,상세표[반영 기관],"서울병원"))</f>
        <v/>
      </c>
      <c r="R729" s="20">
        <f>IF($X729="","",SUM($N729:$Q729))</f>
        <v/>
      </c>
      <c r="S729">
        <f>IF($X729="","",COUNTIFS(상세표[사번키],INDEX(합계표[사번키],$X729),상세표[반영월],대상월키,상세표[야간당직],1,상세표[야간 구분],"평일"))</f>
        <v/>
      </c>
      <c r="T729">
        <f>IF($X729="","",COUNTIFS(상세표[사번키],INDEX(합계표[사번키],$X729),상세표[반영월],대상월키,상세표[야간당직],1,상세표[야간 구분],"휴일"))</f>
        <v/>
      </c>
      <c r="U729">
        <f>IF($X729="","",COUNTIFS(상세표[사번키],INDEX(합계표[사번키],$X729),상세표[반영월],대상월키,상세표[야간당직],1,상세표[야간 구분],"평일",상세표[반영 기관],"서울병원"))</f>
        <v/>
      </c>
      <c r="V729">
        <f>IF($X729="","",COUNTIFS(상세표[사번키],INDEX(합계표[사번키],$X729),상세표[반영월],대상월키,상세표[야간당직],1,상세표[야간 구분],"휴일",상세표[반영 기관],"서울병원"))</f>
        <v/>
      </c>
      <c r="W729">
        <f>IF($X729="","",IF(ISNUMBER(MATCH(INDEX(합계표[사번키],$X729)&amp;"|"&amp;대상월키,월별근무지표[키],0)),"직접 입력",IF($L729="—","—","기관명단")))</f>
        <v/>
      </c>
      <c r="X729" s="4">
        <f>IFERROR(MATCH(724,합계표[판정순번],0),"")</f>
        <v/>
      </c>
    </row>
    <row r="730">
      <c r="A730">
        <f>IF($X730="","",INDEX(합계표[사번],$X730)&amp;"")</f>
        <v/>
      </c>
      <c r="B730">
        <f>IF($X730="","",INDEX(합계표[성명],$X730)&amp;"")</f>
        <v/>
      </c>
      <c r="C730">
        <f>IF($X730="","",INDEX(합계표[부서],$X730)&amp;"")</f>
        <v/>
      </c>
      <c r="D730">
        <f>IF($X730="","",INDEX(합계표[직위(요약)],$X730)&amp;"")</f>
        <v/>
      </c>
      <c r="E730">
        <f>IF($X730="","",INDEX(합계표[직급 공존],$X730)&amp;"")</f>
        <v/>
      </c>
      <c r="F730" s="20">
        <f>IF($X730="","",SUMIFS(합계표[시스템 합계],합계표[사번키],INDEX(합계표[사번키],$X730)))</f>
        <v/>
      </c>
      <c r="G730" s="20">
        <f>IF($X730="","",SUMIFS(상세표[기록 시간외],상세표[사번키],INDEX(합계표[사번키],$X730),상세표[기록월],대상월키))</f>
        <v/>
      </c>
      <c r="H730">
        <f>IF($X730="","",IF(ABS($F730-$G730)&lt;0.01,"일치","불일치(차이 "&amp;TEXT($G730-$F730,"0.00")&amp;")"))</f>
        <v/>
      </c>
      <c r="I730" s="20">
        <f>IF($X730="","",SUMIFS(상세표[기록 시간외],상세표[사번키],INDEX(합계표[사번키],$X730),상세표[기록월],대상월키,상세표[반영월],"&lt;&gt;"&amp;대상월키))</f>
        <v/>
      </c>
      <c r="J730" s="20">
        <f>IF($X730="","",SUMIFS(상세표[기록 시간외],상세표[사번키],INDEX(합계표[사번키],$X730),상세표[기록월],"&lt;&gt;"&amp;대상월키,상세표[반영월],대상월키))</f>
        <v/>
      </c>
      <c r="K730" s="20">
        <f>IF($X730="","",SUMIFS(상세표[기록 시간외],상세표[사번키],INDEX(합계표[사번키],$X730),상세표[반영월],대상월키))</f>
        <v/>
      </c>
      <c r="L730">
        <f>IF($X730="","",IFERROR(INDEX(월별근무지표[적용 급여병원],MATCH(INDEX(합계표[사번키],$X730)&amp;"|"&amp;대상월키,월별근무지표[키],0))&amp;"",IF(COUNTIF(기관표[사번키],INDEX(합계표[사번키],$X730))+COUNTIF(월별근무지표[사번키],INDEX(합계표[사번키],$X730))&gt;0,IFERROR(INDEX(기관표[급여지급병원(기준월)],MATCH(INDEX(합계표[사번키],$X730)&amp;"|"&amp;대상월키,기관표[키],0))&amp;"","—"),"—")))</f>
        <v/>
      </c>
      <c r="M730">
        <f>IF($X730="","",IF(NOT(COUNTIF(기관표[사번키],INDEX(합계표[사번키],$X730))+COUNTIF(월별근무지표[사번키],INDEX(합계표[사번키],$X730))&gt;0),"기관명단에 없음(다른 병원으로 발송)",IF($L730="서울병원","해당",IF(N($R730)&gt;0,"해당(말일 근무)",IF($L730="—","대상월 기관명단 없음(추가 필요)","비해당")))))</f>
        <v/>
      </c>
      <c r="N730" s="20">
        <f>IF($X730="","",SUMIFS(상세표[06~07시],상세표[사번키],INDEX(합계표[사번키],$X730),상세표[반영월],대상월키,상세표[반영 기관],"서울병원"))</f>
        <v/>
      </c>
      <c r="O730" s="20">
        <f>IF($X730="","",SUMIFS(상세표[07~18시],상세표[사번키],INDEX(합계표[사번키],$X730),상세표[반영월],대상월키,상세표[반영 기관],"서울병원"))</f>
        <v/>
      </c>
      <c r="P730" s="20">
        <f>IF($X730="","",SUMIFS(상세표[18~22시],상세표[사번키],INDEX(합계표[사번키],$X730),상세표[반영월],대상월키,상세표[반영 기관],"서울병원"))</f>
        <v/>
      </c>
      <c r="Q730" s="20">
        <f>IF($X730="","",SUMIFS(상세표[22~06시],상세표[사번키],INDEX(합계표[사번키],$X730),상세표[반영월],대상월키,상세표[반영 기관],"서울병원"))</f>
        <v/>
      </c>
      <c r="R730" s="20">
        <f>IF($X730="","",SUM($N730:$Q730))</f>
        <v/>
      </c>
      <c r="S730">
        <f>IF($X730="","",COUNTIFS(상세표[사번키],INDEX(합계표[사번키],$X730),상세표[반영월],대상월키,상세표[야간당직],1,상세표[야간 구분],"평일"))</f>
        <v/>
      </c>
      <c r="T730">
        <f>IF($X730="","",COUNTIFS(상세표[사번키],INDEX(합계표[사번키],$X730),상세표[반영월],대상월키,상세표[야간당직],1,상세표[야간 구분],"휴일"))</f>
        <v/>
      </c>
      <c r="U730">
        <f>IF($X730="","",COUNTIFS(상세표[사번키],INDEX(합계표[사번키],$X730),상세표[반영월],대상월키,상세표[야간당직],1,상세표[야간 구분],"평일",상세표[반영 기관],"서울병원"))</f>
        <v/>
      </c>
      <c r="V730">
        <f>IF($X730="","",COUNTIFS(상세표[사번키],INDEX(합계표[사번키],$X730),상세표[반영월],대상월키,상세표[야간당직],1,상세표[야간 구분],"휴일",상세표[반영 기관],"서울병원"))</f>
        <v/>
      </c>
      <c r="W730">
        <f>IF($X730="","",IF(ISNUMBER(MATCH(INDEX(합계표[사번키],$X730)&amp;"|"&amp;대상월키,월별근무지표[키],0)),"직접 입력",IF($L730="—","—","기관명단")))</f>
        <v/>
      </c>
      <c r="X730" s="4">
        <f>IFERROR(MATCH(725,합계표[판정순번],0),"")</f>
        <v/>
      </c>
    </row>
    <row r="731">
      <c r="A731">
        <f>IF($X731="","",INDEX(합계표[사번],$X731)&amp;"")</f>
        <v/>
      </c>
      <c r="B731">
        <f>IF($X731="","",INDEX(합계표[성명],$X731)&amp;"")</f>
        <v/>
      </c>
      <c r="C731">
        <f>IF($X731="","",INDEX(합계표[부서],$X731)&amp;"")</f>
        <v/>
      </c>
      <c r="D731">
        <f>IF($X731="","",INDEX(합계표[직위(요약)],$X731)&amp;"")</f>
        <v/>
      </c>
      <c r="E731">
        <f>IF($X731="","",INDEX(합계표[직급 공존],$X731)&amp;"")</f>
        <v/>
      </c>
      <c r="F731" s="20">
        <f>IF($X731="","",SUMIFS(합계표[시스템 합계],합계표[사번키],INDEX(합계표[사번키],$X731)))</f>
        <v/>
      </c>
      <c r="G731" s="20">
        <f>IF($X731="","",SUMIFS(상세표[기록 시간외],상세표[사번키],INDEX(합계표[사번키],$X731),상세표[기록월],대상월키))</f>
        <v/>
      </c>
      <c r="H731">
        <f>IF($X731="","",IF(ABS($F731-$G731)&lt;0.01,"일치","불일치(차이 "&amp;TEXT($G731-$F731,"0.00")&amp;")"))</f>
        <v/>
      </c>
      <c r="I731" s="20">
        <f>IF($X731="","",SUMIFS(상세표[기록 시간외],상세표[사번키],INDEX(합계표[사번키],$X731),상세표[기록월],대상월키,상세표[반영월],"&lt;&gt;"&amp;대상월키))</f>
        <v/>
      </c>
      <c r="J731" s="20">
        <f>IF($X731="","",SUMIFS(상세표[기록 시간외],상세표[사번키],INDEX(합계표[사번키],$X731),상세표[기록월],"&lt;&gt;"&amp;대상월키,상세표[반영월],대상월키))</f>
        <v/>
      </c>
      <c r="K731" s="20">
        <f>IF($X731="","",SUMIFS(상세표[기록 시간외],상세표[사번키],INDEX(합계표[사번키],$X731),상세표[반영월],대상월키))</f>
        <v/>
      </c>
      <c r="L731">
        <f>IF($X731="","",IFERROR(INDEX(월별근무지표[적용 급여병원],MATCH(INDEX(합계표[사번키],$X731)&amp;"|"&amp;대상월키,월별근무지표[키],0))&amp;"",IF(COUNTIF(기관표[사번키],INDEX(합계표[사번키],$X731))+COUNTIF(월별근무지표[사번키],INDEX(합계표[사번키],$X731))&gt;0,IFERROR(INDEX(기관표[급여지급병원(기준월)],MATCH(INDEX(합계표[사번키],$X731)&amp;"|"&amp;대상월키,기관표[키],0))&amp;"","—"),"—")))</f>
        <v/>
      </c>
      <c r="M731">
        <f>IF($X731="","",IF(NOT(COUNTIF(기관표[사번키],INDEX(합계표[사번키],$X731))+COUNTIF(월별근무지표[사번키],INDEX(합계표[사번키],$X731))&gt;0),"기관명단에 없음(다른 병원으로 발송)",IF($L731="서울병원","해당",IF(N($R731)&gt;0,"해당(말일 근무)",IF($L731="—","대상월 기관명단 없음(추가 필요)","비해당")))))</f>
        <v/>
      </c>
      <c r="N731" s="20">
        <f>IF($X731="","",SUMIFS(상세표[06~07시],상세표[사번키],INDEX(합계표[사번키],$X731),상세표[반영월],대상월키,상세표[반영 기관],"서울병원"))</f>
        <v/>
      </c>
      <c r="O731" s="20">
        <f>IF($X731="","",SUMIFS(상세표[07~18시],상세표[사번키],INDEX(합계표[사번키],$X731),상세표[반영월],대상월키,상세표[반영 기관],"서울병원"))</f>
        <v/>
      </c>
      <c r="P731" s="20">
        <f>IF($X731="","",SUMIFS(상세표[18~22시],상세표[사번키],INDEX(합계표[사번키],$X731),상세표[반영월],대상월키,상세표[반영 기관],"서울병원"))</f>
        <v/>
      </c>
      <c r="Q731" s="20">
        <f>IF($X731="","",SUMIFS(상세표[22~06시],상세표[사번키],INDEX(합계표[사번키],$X731),상세표[반영월],대상월키,상세표[반영 기관],"서울병원"))</f>
        <v/>
      </c>
      <c r="R731" s="20">
        <f>IF($X731="","",SUM($N731:$Q731))</f>
        <v/>
      </c>
      <c r="S731">
        <f>IF($X731="","",COUNTIFS(상세표[사번키],INDEX(합계표[사번키],$X731),상세표[반영월],대상월키,상세표[야간당직],1,상세표[야간 구분],"평일"))</f>
        <v/>
      </c>
      <c r="T731">
        <f>IF($X731="","",COUNTIFS(상세표[사번키],INDEX(합계표[사번키],$X731),상세표[반영월],대상월키,상세표[야간당직],1,상세표[야간 구분],"휴일"))</f>
        <v/>
      </c>
      <c r="U731">
        <f>IF($X731="","",COUNTIFS(상세표[사번키],INDEX(합계표[사번키],$X731),상세표[반영월],대상월키,상세표[야간당직],1,상세표[야간 구분],"평일",상세표[반영 기관],"서울병원"))</f>
        <v/>
      </c>
      <c r="V731">
        <f>IF($X731="","",COUNTIFS(상세표[사번키],INDEX(합계표[사번키],$X731),상세표[반영월],대상월키,상세표[야간당직],1,상세표[야간 구분],"휴일",상세표[반영 기관],"서울병원"))</f>
        <v/>
      </c>
      <c r="W731">
        <f>IF($X731="","",IF(ISNUMBER(MATCH(INDEX(합계표[사번키],$X731)&amp;"|"&amp;대상월키,월별근무지표[키],0)),"직접 입력",IF($L731="—","—","기관명단")))</f>
        <v/>
      </c>
      <c r="X731" s="4">
        <f>IFERROR(MATCH(726,합계표[판정순번],0),"")</f>
        <v/>
      </c>
    </row>
    <row r="732">
      <c r="A732">
        <f>IF($X732="","",INDEX(합계표[사번],$X732)&amp;"")</f>
        <v/>
      </c>
      <c r="B732">
        <f>IF($X732="","",INDEX(합계표[성명],$X732)&amp;"")</f>
        <v/>
      </c>
      <c r="C732">
        <f>IF($X732="","",INDEX(합계표[부서],$X732)&amp;"")</f>
        <v/>
      </c>
      <c r="D732">
        <f>IF($X732="","",INDEX(합계표[직위(요약)],$X732)&amp;"")</f>
        <v/>
      </c>
      <c r="E732">
        <f>IF($X732="","",INDEX(합계표[직급 공존],$X732)&amp;"")</f>
        <v/>
      </c>
      <c r="F732" s="20">
        <f>IF($X732="","",SUMIFS(합계표[시스템 합계],합계표[사번키],INDEX(합계표[사번키],$X732)))</f>
        <v/>
      </c>
      <c r="G732" s="20">
        <f>IF($X732="","",SUMIFS(상세표[기록 시간외],상세표[사번키],INDEX(합계표[사번키],$X732),상세표[기록월],대상월키))</f>
        <v/>
      </c>
      <c r="H732">
        <f>IF($X732="","",IF(ABS($F732-$G732)&lt;0.01,"일치","불일치(차이 "&amp;TEXT($G732-$F732,"0.00")&amp;")"))</f>
        <v/>
      </c>
      <c r="I732" s="20">
        <f>IF($X732="","",SUMIFS(상세표[기록 시간외],상세표[사번키],INDEX(합계표[사번키],$X732),상세표[기록월],대상월키,상세표[반영월],"&lt;&gt;"&amp;대상월키))</f>
        <v/>
      </c>
      <c r="J732" s="20">
        <f>IF($X732="","",SUMIFS(상세표[기록 시간외],상세표[사번키],INDEX(합계표[사번키],$X732),상세표[기록월],"&lt;&gt;"&amp;대상월키,상세표[반영월],대상월키))</f>
        <v/>
      </c>
      <c r="K732" s="20">
        <f>IF($X732="","",SUMIFS(상세표[기록 시간외],상세표[사번키],INDEX(합계표[사번키],$X732),상세표[반영월],대상월키))</f>
        <v/>
      </c>
      <c r="L732">
        <f>IF($X732="","",IFERROR(INDEX(월별근무지표[적용 급여병원],MATCH(INDEX(합계표[사번키],$X732)&amp;"|"&amp;대상월키,월별근무지표[키],0))&amp;"",IF(COUNTIF(기관표[사번키],INDEX(합계표[사번키],$X732))+COUNTIF(월별근무지표[사번키],INDEX(합계표[사번키],$X732))&gt;0,IFERROR(INDEX(기관표[급여지급병원(기준월)],MATCH(INDEX(합계표[사번키],$X732)&amp;"|"&amp;대상월키,기관표[키],0))&amp;"","—"),"—")))</f>
        <v/>
      </c>
      <c r="M732">
        <f>IF($X732="","",IF(NOT(COUNTIF(기관표[사번키],INDEX(합계표[사번키],$X732))+COUNTIF(월별근무지표[사번키],INDEX(합계표[사번키],$X732))&gt;0),"기관명단에 없음(다른 병원으로 발송)",IF($L732="서울병원","해당",IF(N($R732)&gt;0,"해당(말일 근무)",IF($L732="—","대상월 기관명단 없음(추가 필요)","비해당")))))</f>
        <v/>
      </c>
      <c r="N732" s="20">
        <f>IF($X732="","",SUMIFS(상세표[06~07시],상세표[사번키],INDEX(합계표[사번키],$X732),상세표[반영월],대상월키,상세표[반영 기관],"서울병원"))</f>
        <v/>
      </c>
      <c r="O732" s="20">
        <f>IF($X732="","",SUMIFS(상세표[07~18시],상세표[사번키],INDEX(합계표[사번키],$X732),상세표[반영월],대상월키,상세표[반영 기관],"서울병원"))</f>
        <v/>
      </c>
      <c r="P732" s="20">
        <f>IF($X732="","",SUMIFS(상세표[18~22시],상세표[사번키],INDEX(합계표[사번키],$X732),상세표[반영월],대상월키,상세표[반영 기관],"서울병원"))</f>
        <v/>
      </c>
      <c r="Q732" s="20">
        <f>IF($X732="","",SUMIFS(상세표[22~06시],상세표[사번키],INDEX(합계표[사번키],$X732),상세표[반영월],대상월키,상세표[반영 기관],"서울병원"))</f>
        <v/>
      </c>
      <c r="R732" s="20">
        <f>IF($X732="","",SUM($N732:$Q732))</f>
        <v/>
      </c>
      <c r="S732">
        <f>IF($X732="","",COUNTIFS(상세표[사번키],INDEX(합계표[사번키],$X732),상세표[반영월],대상월키,상세표[야간당직],1,상세표[야간 구분],"평일"))</f>
        <v/>
      </c>
      <c r="T732">
        <f>IF($X732="","",COUNTIFS(상세표[사번키],INDEX(합계표[사번키],$X732),상세표[반영월],대상월키,상세표[야간당직],1,상세표[야간 구분],"휴일"))</f>
        <v/>
      </c>
      <c r="U732">
        <f>IF($X732="","",COUNTIFS(상세표[사번키],INDEX(합계표[사번키],$X732),상세표[반영월],대상월키,상세표[야간당직],1,상세표[야간 구분],"평일",상세표[반영 기관],"서울병원"))</f>
        <v/>
      </c>
      <c r="V732">
        <f>IF($X732="","",COUNTIFS(상세표[사번키],INDEX(합계표[사번키],$X732),상세표[반영월],대상월키,상세표[야간당직],1,상세표[야간 구분],"휴일",상세표[반영 기관],"서울병원"))</f>
        <v/>
      </c>
      <c r="W732">
        <f>IF($X732="","",IF(ISNUMBER(MATCH(INDEX(합계표[사번키],$X732)&amp;"|"&amp;대상월키,월별근무지표[키],0)),"직접 입력",IF($L732="—","—","기관명단")))</f>
        <v/>
      </c>
      <c r="X732" s="4">
        <f>IFERROR(MATCH(727,합계표[판정순번],0),"")</f>
        <v/>
      </c>
    </row>
    <row r="733">
      <c r="A733">
        <f>IF($X733="","",INDEX(합계표[사번],$X733)&amp;"")</f>
        <v/>
      </c>
      <c r="B733">
        <f>IF($X733="","",INDEX(합계표[성명],$X733)&amp;"")</f>
        <v/>
      </c>
      <c r="C733">
        <f>IF($X733="","",INDEX(합계표[부서],$X733)&amp;"")</f>
        <v/>
      </c>
      <c r="D733">
        <f>IF($X733="","",INDEX(합계표[직위(요약)],$X733)&amp;"")</f>
        <v/>
      </c>
      <c r="E733">
        <f>IF($X733="","",INDEX(합계표[직급 공존],$X733)&amp;"")</f>
        <v/>
      </c>
      <c r="F733" s="20">
        <f>IF($X733="","",SUMIFS(합계표[시스템 합계],합계표[사번키],INDEX(합계표[사번키],$X733)))</f>
        <v/>
      </c>
      <c r="G733" s="20">
        <f>IF($X733="","",SUMIFS(상세표[기록 시간외],상세표[사번키],INDEX(합계표[사번키],$X733),상세표[기록월],대상월키))</f>
        <v/>
      </c>
      <c r="H733">
        <f>IF($X733="","",IF(ABS($F733-$G733)&lt;0.01,"일치","불일치(차이 "&amp;TEXT($G733-$F733,"0.00")&amp;")"))</f>
        <v/>
      </c>
      <c r="I733" s="20">
        <f>IF($X733="","",SUMIFS(상세표[기록 시간외],상세표[사번키],INDEX(합계표[사번키],$X733),상세표[기록월],대상월키,상세표[반영월],"&lt;&gt;"&amp;대상월키))</f>
        <v/>
      </c>
      <c r="J733" s="20">
        <f>IF($X733="","",SUMIFS(상세표[기록 시간외],상세표[사번키],INDEX(합계표[사번키],$X733),상세표[기록월],"&lt;&gt;"&amp;대상월키,상세표[반영월],대상월키))</f>
        <v/>
      </c>
      <c r="K733" s="20">
        <f>IF($X733="","",SUMIFS(상세표[기록 시간외],상세표[사번키],INDEX(합계표[사번키],$X733),상세표[반영월],대상월키))</f>
        <v/>
      </c>
      <c r="L733">
        <f>IF($X733="","",IFERROR(INDEX(월별근무지표[적용 급여병원],MATCH(INDEX(합계표[사번키],$X733)&amp;"|"&amp;대상월키,월별근무지표[키],0))&amp;"",IF(COUNTIF(기관표[사번키],INDEX(합계표[사번키],$X733))+COUNTIF(월별근무지표[사번키],INDEX(합계표[사번키],$X733))&gt;0,IFERROR(INDEX(기관표[급여지급병원(기준월)],MATCH(INDEX(합계표[사번키],$X733)&amp;"|"&amp;대상월키,기관표[키],0))&amp;"","—"),"—")))</f>
        <v/>
      </c>
      <c r="M733">
        <f>IF($X733="","",IF(NOT(COUNTIF(기관표[사번키],INDEX(합계표[사번키],$X733))+COUNTIF(월별근무지표[사번키],INDEX(합계표[사번키],$X733))&gt;0),"기관명단에 없음(다른 병원으로 발송)",IF($L733="서울병원","해당",IF(N($R733)&gt;0,"해당(말일 근무)",IF($L733="—","대상월 기관명단 없음(추가 필요)","비해당")))))</f>
        <v/>
      </c>
      <c r="N733" s="20">
        <f>IF($X733="","",SUMIFS(상세표[06~07시],상세표[사번키],INDEX(합계표[사번키],$X733),상세표[반영월],대상월키,상세표[반영 기관],"서울병원"))</f>
        <v/>
      </c>
      <c r="O733" s="20">
        <f>IF($X733="","",SUMIFS(상세표[07~18시],상세표[사번키],INDEX(합계표[사번키],$X733),상세표[반영월],대상월키,상세표[반영 기관],"서울병원"))</f>
        <v/>
      </c>
      <c r="P733" s="20">
        <f>IF($X733="","",SUMIFS(상세표[18~22시],상세표[사번키],INDEX(합계표[사번키],$X733),상세표[반영월],대상월키,상세표[반영 기관],"서울병원"))</f>
        <v/>
      </c>
      <c r="Q733" s="20">
        <f>IF($X733="","",SUMIFS(상세표[22~06시],상세표[사번키],INDEX(합계표[사번키],$X733),상세표[반영월],대상월키,상세표[반영 기관],"서울병원"))</f>
        <v/>
      </c>
      <c r="R733" s="20">
        <f>IF($X733="","",SUM($N733:$Q733))</f>
        <v/>
      </c>
      <c r="S733">
        <f>IF($X733="","",COUNTIFS(상세표[사번키],INDEX(합계표[사번키],$X733),상세표[반영월],대상월키,상세표[야간당직],1,상세표[야간 구분],"평일"))</f>
        <v/>
      </c>
      <c r="T733">
        <f>IF($X733="","",COUNTIFS(상세표[사번키],INDEX(합계표[사번키],$X733),상세표[반영월],대상월키,상세표[야간당직],1,상세표[야간 구분],"휴일"))</f>
        <v/>
      </c>
      <c r="U733">
        <f>IF($X733="","",COUNTIFS(상세표[사번키],INDEX(합계표[사번키],$X733),상세표[반영월],대상월키,상세표[야간당직],1,상세표[야간 구분],"평일",상세표[반영 기관],"서울병원"))</f>
        <v/>
      </c>
      <c r="V733">
        <f>IF($X733="","",COUNTIFS(상세표[사번키],INDEX(합계표[사번키],$X733),상세표[반영월],대상월키,상세표[야간당직],1,상세표[야간 구분],"휴일",상세표[반영 기관],"서울병원"))</f>
        <v/>
      </c>
      <c r="W733">
        <f>IF($X733="","",IF(ISNUMBER(MATCH(INDEX(합계표[사번키],$X733)&amp;"|"&amp;대상월키,월별근무지표[키],0)),"직접 입력",IF($L733="—","—","기관명단")))</f>
        <v/>
      </c>
      <c r="X733" s="4">
        <f>IFERROR(MATCH(728,합계표[판정순번],0),"")</f>
        <v/>
      </c>
    </row>
    <row r="734">
      <c r="A734">
        <f>IF($X734="","",INDEX(합계표[사번],$X734)&amp;"")</f>
        <v/>
      </c>
      <c r="B734">
        <f>IF($X734="","",INDEX(합계표[성명],$X734)&amp;"")</f>
        <v/>
      </c>
      <c r="C734">
        <f>IF($X734="","",INDEX(합계표[부서],$X734)&amp;"")</f>
        <v/>
      </c>
      <c r="D734">
        <f>IF($X734="","",INDEX(합계표[직위(요약)],$X734)&amp;"")</f>
        <v/>
      </c>
      <c r="E734">
        <f>IF($X734="","",INDEX(합계표[직급 공존],$X734)&amp;"")</f>
        <v/>
      </c>
      <c r="F734" s="20">
        <f>IF($X734="","",SUMIFS(합계표[시스템 합계],합계표[사번키],INDEX(합계표[사번키],$X734)))</f>
        <v/>
      </c>
      <c r="G734" s="20">
        <f>IF($X734="","",SUMIFS(상세표[기록 시간외],상세표[사번키],INDEX(합계표[사번키],$X734),상세표[기록월],대상월키))</f>
        <v/>
      </c>
      <c r="H734">
        <f>IF($X734="","",IF(ABS($F734-$G734)&lt;0.01,"일치","불일치(차이 "&amp;TEXT($G734-$F734,"0.00")&amp;")"))</f>
        <v/>
      </c>
      <c r="I734" s="20">
        <f>IF($X734="","",SUMIFS(상세표[기록 시간외],상세표[사번키],INDEX(합계표[사번키],$X734),상세표[기록월],대상월키,상세표[반영월],"&lt;&gt;"&amp;대상월키))</f>
        <v/>
      </c>
      <c r="J734" s="20">
        <f>IF($X734="","",SUMIFS(상세표[기록 시간외],상세표[사번키],INDEX(합계표[사번키],$X734),상세표[기록월],"&lt;&gt;"&amp;대상월키,상세표[반영월],대상월키))</f>
        <v/>
      </c>
      <c r="K734" s="20">
        <f>IF($X734="","",SUMIFS(상세표[기록 시간외],상세표[사번키],INDEX(합계표[사번키],$X734),상세표[반영월],대상월키))</f>
        <v/>
      </c>
      <c r="L734">
        <f>IF($X734="","",IFERROR(INDEX(월별근무지표[적용 급여병원],MATCH(INDEX(합계표[사번키],$X734)&amp;"|"&amp;대상월키,월별근무지표[키],0))&amp;"",IF(COUNTIF(기관표[사번키],INDEX(합계표[사번키],$X734))+COUNTIF(월별근무지표[사번키],INDEX(합계표[사번키],$X734))&gt;0,IFERROR(INDEX(기관표[급여지급병원(기준월)],MATCH(INDEX(합계표[사번키],$X734)&amp;"|"&amp;대상월키,기관표[키],0))&amp;"","—"),"—")))</f>
        <v/>
      </c>
      <c r="M734">
        <f>IF($X734="","",IF(NOT(COUNTIF(기관표[사번키],INDEX(합계표[사번키],$X734))+COUNTIF(월별근무지표[사번키],INDEX(합계표[사번키],$X734))&gt;0),"기관명단에 없음(다른 병원으로 발송)",IF($L734="서울병원","해당",IF(N($R734)&gt;0,"해당(말일 근무)",IF($L734="—","대상월 기관명단 없음(추가 필요)","비해당")))))</f>
        <v/>
      </c>
      <c r="N734" s="20">
        <f>IF($X734="","",SUMIFS(상세표[06~07시],상세표[사번키],INDEX(합계표[사번키],$X734),상세표[반영월],대상월키,상세표[반영 기관],"서울병원"))</f>
        <v/>
      </c>
      <c r="O734" s="20">
        <f>IF($X734="","",SUMIFS(상세표[07~18시],상세표[사번키],INDEX(합계표[사번키],$X734),상세표[반영월],대상월키,상세표[반영 기관],"서울병원"))</f>
        <v/>
      </c>
      <c r="P734" s="20">
        <f>IF($X734="","",SUMIFS(상세표[18~22시],상세표[사번키],INDEX(합계표[사번키],$X734),상세표[반영월],대상월키,상세표[반영 기관],"서울병원"))</f>
        <v/>
      </c>
      <c r="Q734" s="20">
        <f>IF($X734="","",SUMIFS(상세표[22~06시],상세표[사번키],INDEX(합계표[사번키],$X734),상세표[반영월],대상월키,상세표[반영 기관],"서울병원"))</f>
        <v/>
      </c>
      <c r="R734" s="20">
        <f>IF($X734="","",SUM($N734:$Q734))</f>
        <v/>
      </c>
      <c r="S734">
        <f>IF($X734="","",COUNTIFS(상세표[사번키],INDEX(합계표[사번키],$X734),상세표[반영월],대상월키,상세표[야간당직],1,상세표[야간 구분],"평일"))</f>
        <v/>
      </c>
      <c r="T734">
        <f>IF($X734="","",COUNTIFS(상세표[사번키],INDEX(합계표[사번키],$X734),상세표[반영월],대상월키,상세표[야간당직],1,상세표[야간 구분],"휴일"))</f>
        <v/>
      </c>
      <c r="U734">
        <f>IF($X734="","",COUNTIFS(상세표[사번키],INDEX(합계표[사번키],$X734),상세표[반영월],대상월키,상세표[야간당직],1,상세표[야간 구분],"평일",상세표[반영 기관],"서울병원"))</f>
        <v/>
      </c>
      <c r="V734">
        <f>IF($X734="","",COUNTIFS(상세표[사번키],INDEX(합계표[사번키],$X734),상세표[반영월],대상월키,상세표[야간당직],1,상세표[야간 구분],"휴일",상세표[반영 기관],"서울병원"))</f>
        <v/>
      </c>
      <c r="W734">
        <f>IF($X734="","",IF(ISNUMBER(MATCH(INDEX(합계표[사번키],$X734)&amp;"|"&amp;대상월키,월별근무지표[키],0)),"직접 입력",IF($L734="—","—","기관명단")))</f>
        <v/>
      </c>
      <c r="X734" s="4">
        <f>IFERROR(MATCH(729,합계표[판정순번],0),"")</f>
        <v/>
      </c>
    </row>
    <row r="735">
      <c r="A735">
        <f>IF($X735="","",INDEX(합계표[사번],$X735)&amp;"")</f>
        <v/>
      </c>
      <c r="B735">
        <f>IF($X735="","",INDEX(합계표[성명],$X735)&amp;"")</f>
        <v/>
      </c>
      <c r="C735">
        <f>IF($X735="","",INDEX(합계표[부서],$X735)&amp;"")</f>
        <v/>
      </c>
      <c r="D735">
        <f>IF($X735="","",INDEX(합계표[직위(요약)],$X735)&amp;"")</f>
        <v/>
      </c>
      <c r="E735">
        <f>IF($X735="","",INDEX(합계표[직급 공존],$X735)&amp;"")</f>
        <v/>
      </c>
      <c r="F735" s="20">
        <f>IF($X735="","",SUMIFS(합계표[시스템 합계],합계표[사번키],INDEX(합계표[사번키],$X735)))</f>
        <v/>
      </c>
      <c r="G735" s="20">
        <f>IF($X735="","",SUMIFS(상세표[기록 시간외],상세표[사번키],INDEX(합계표[사번키],$X735),상세표[기록월],대상월키))</f>
        <v/>
      </c>
      <c r="H735">
        <f>IF($X735="","",IF(ABS($F735-$G735)&lt;0.01,"일치","불일치(차이 "&amp;TEXT($G735-$F735,"0.00")&amp;")"))</f>
        <v/>
      </c>
      <c r="I735" s="20">
        <f>IF($X735="","",SUMIFS(상세표[기록 시간외],상세표[사번키],INDEX(합계표[사번키],$X735),상세표[기록월],대상월키,상세표[반영월],"&lt;&gt;"&amp;대상월키))</f>
        <v/>
      </c>
      <c r="J735" s="20">
        <f>IF($X735="","",SUMIFS(상세표[기록 시간외],상세표[사번키],INDEX(합계표[사번키],$X735),상세표[기록월],"&lt;&gt;"&amp;대상월키,상세표[반영월],대상월키))</f>
        <v/>
      </c>
      <c r="K735" s="20">
        <f>IF($X735="","",SUMIFS(상세표[기록 시간외],상세표[사번키],INDEX(합계표[사번키],$X735),상세표[반영월],대상월키))</f>
        <v/>
      </c>
      <c r="L735">
        <f>IF($X735="","",IFERROR(INDEX(월별근무지표[적용 급여병원],MATCH(INDEX(합계표[사번키],$X735)&amp;"|"&amp;대상월키,월별근무지표[키],0))&amp;"",IF(COUNTIF(기관표[사번키],INDEX(합계표[사번키],$X735))+COUNTIF(월별근무지표[사번키],INDEX(합계표[사번키],$X735))&gt;0,IFERROR(INDEX(기관표[급여지급병원(기준월)],MATCH(INDEX(합계표[사번키],$X735)&amp;"|"&amp;대상월키,기관표[키],0))&amp;"","—"),"—")))</f>
        <v/>
      </c>
      <c r="M735">
        <f>IF($X735="","",IF(NOT(COUNTIF(기관표[사번키],INDEX(합계표[사번키],$X735))+COUNTIF(월별근무지표[사번키],INDEX(합계표[사번키],$X735))&gt;0),"기관명단에 없음(다른 병원으로 발송)",IF($L735="서울병원","해당",IF(N($R735)&gt;0,"해당(말일 근무)",IF($L735="—","대상월 기관명단 없음(추가 필요)","비해당")))))</f>
        <v/>
      </c>
      <c r="N735" s="20">
        <f>IF($X735="","",SUMIFS(상세표[06~07시],상세표[사번키],INDEX(합계표[사번키],$X735),상세표[반영월],대상월키,상세표[반영 기관],"서울병원"))</f>
        <v/>
      </c>
      <c r="O735" s="20">
        <f>IF($X735="","",SUMIFS(상세표[07~18시],상세표[사번키],INDEX(합계표[사번키],$X735),상세표[반영월],대상월키,상세표[반영 기관],"서울병원"))</f>
        <v/>
      </c>
      <c r="P735" s="20">
        <f>IF($X735="","",SUMIFS(상세표[18~22시],상세표[사번키],INDEX(합계표[사번키],$X735),상세표[반영월],대상월키,상세표[반영 기관],"서울병원"))</f>
        <v/>
      </c>
      <c r="Q735" s="20">
        <f>IF($X735="","",SUMIFS(상세표[22~06시],상세표[사번키],INDEX(합계표[사번키],$X735),상세표[반영월],대상월키,상세표[반영 기관],"서울병원"))</f>
        <v/>
      </c>
      <c r="R735" s="20">
        <f>IF($X735="","",SUM($N735:$Q735))</f>
        <v/>
      </c>
      <c r="S735">
        <f>IF($X735="","",COUNTIFS(상세표[사번키],INDEX(합계표[사번키],$X735),상세표[반영월],대상월키,상세표[야간당직],1,상세표[야간 구분],"평일"))</f>
        <v/>
      </c>
      <c r="T735">
        <f>IF($X735="","",COUNTIFS(상세표[사번키],INDEX(합계표[사번키],$X735),상세표[반영월],대상월키,상세표[야간당직],1,상세표[야간 구분],"휴일"))</f>
        <v/>
      </c>
      <c r="U735">
        <f>IF($X735="","",COUNTIFS(상세표[사번키],INDEX(합계표[사번키],$X735),상세표[반영월],대상월키,상세표[야간당직],1,상세표[야간 구분],"평일",상세표[반영 기관],"서울병원"))</f>
        <v/>
      </c>
      <c r="V735">
        <f>IF($X735="","",COUNTIFS(상세표[사번키],INDEX(합계표[사번키],$X735),상세표[반영월],대상월키,상세표[야간당직],1,상세표[야간 구분],"휴일",상세표[반영 기관],"서울병원"))</f>
        <v/>
      </c>
      <c r="W735">
        <f>IF($X735="","",IF(ISNUMBER(MATCH(INDEX(합계표[사번키],$X735)&amp;"|"&amp;대상월키,월별근무지표[키],0)),"직접 입력",IF($L735="—","—","기관명단")))</f>
        <v/>
      </c>
      <c r="X735" s="4">
        <f>IFERROR(MATCH(730,합계표[판정순번],0),"")</f>
        <v/>
      </c>
    </row>
    <row r="736">
      <c r="A736">
        <f>IF($X736="","",INDEX(합계표[사번],$X736)&amp;"")</f>
        <v/>
      </c>
      <c r="B736">
        <f>IF($X736="","",INDEX(합계표[성명],$X736)&amp;"")</f>
        <v/>
      </c>
      <c r="C736">
        <f>IF($X736="","",INDEX(합계표[부서],$X736)&amp;"")</f>
        <v/>
      </c>
      <c r="D736">
        <f>IF($X736="","",INDEX(합계표[직위(요약)],$X736)&amp;"")</f>
        <v/>
      </c>
      <c r="E736">
        <f>IF($X736="","",INDEX(합계표[직급 공존],$X736)&amp;"")</f>
        <v/>
      </c>
      <c r="F736" s="20">
        <f>IF($X736="","",SUMIFS(합계표[시스템 합계],합계표[사번키],INDEX(합계표[사번키],$X736)))</f>
        <v/>
      </c>
      <c r="G736" s="20">
        <f>IF($X736="","",SUMIFS(상세표[기록 시간외],상세표[사번키],INDEX(합계표[사번키],$X736),상세표[기록월],대상월키))</f>
        <v/>
      </c>
      <c r="H736">
        <f>IF($X736="","",IF(ABS($F736-$G736)&lt;0.01,"일치","불일치(차이 "&amp;TEXT($G736-$F736,"0.00")&amp;")"))</f>
        <v/>
      </c>
      <c r="I736" s="20">
        <f>IF($X736="","",SUMIFS(상세표[기록 시간외],상세표[사번키],INDEX(합계표[사번키],$X736),상세표[기록월],대상월키,상세표[반영월],"&lt;&gt;"&amp;대상월키))</f>
        <v/>
      </c>
      <c r="J736" s="20">
        <f>IF($X736="","",SUMIFS(상세표[기록 시간외],상세표[사번키],INDEX(합계표[사번키],$X736),상세표[기록월],"&lt;&gt;"&amp;대상월키,상세표[반영월],대상월키))</f>
        <v/>
      </c>
      <c r="K736" s="20">
        <f>IF($X736="","",SUMIFS(상세표[기록 시간외],상세표[사번키],INDEX(합계표[사번키],$X736),상세표[반영월],대상월키))</f>
        <v/>
      </c>
      <c r="L736">
        <f>IF($X736="","",IFERROR(INDEX(월별근무지표[적용 급여병원],MATCH(INDEX(합계표[사번키],$X736)&amp;"|"&amp;대상월키,월별근무지표[키],0))&amp;"",IF(COUNTIF(기관표[사번키],INDEX(합계표[사번키],$X736))+COUNTIF(월별근무지표[사번키],INDEX(합계표[사번키],$X736))&gt;0,IFERROR(INDEX(기관표[급여지급병원(기준월)],MATCH(INDEX(합계표[사번키],$X736)&amp;"|"&amp;대상월키,기관표[키],0))&amp;"","—"),"—")))</f>
        <v/>
      </c>
      <c r="M736">
        <f>IF($X736="","",IF(NOT(COUNTIF(기관표[사번키],INDEX(합계표[사번키],$X736))+COUNTIF(월별근무지표[사번키],INDEX(합계표[사번키],$X736))&gt;0),"기관명단에 없음(다른 병원으로 발송)",IF($L736="서울병원","해당",IF(N($R736)&gt;0,"해당(말일 근무)",IF($L736="—","대상월 기관명단 없음(추가 필요)","비해당")))))</f>
        <v/>
      </c>
      <c r="N736" s="20">
        <f>IF($X736="","",SUMIFS(상세표[06~07시],상세표[사번키],INDEX(합계표[사번키],$X736),상세표[반영월],대상월키,상세표[반영 기관],"서울병원"))</f>
        <v/>
      </c>
      <c r="O736" s="20">
        <f>IF($X736="","",SUMIFS(상세표[07~18시],상세표[사번키],INDEX(합계표[사번키],$X736),상세표[반영월],대상월키,상세표[반영 기관],"서울병원"))</f>
        <v/>
      </c>
      <c r="P736" s="20">
        <f>IF($X736="","",SUMIFS(상세표[18~22시],상세표[사번키],INDEX(합계표[사번키],$X736),상세표[반영월],대상월키,상세표[반영 기관],"서울병원"))</f>
        <v/>
      </c>
      <c r="Q736" s="20">
        <f>IF($X736="","",SUMIFS(상세표[22~06시],상세표[사번키],INDEX(합계표[사번키],$X736),상세표[반영월],대상월키,상세표[반영 기관],"서울병원"))</f>
        <v/>
      </c>
      <c r="R736" s="20">
        <f>IF($X736="","",SUM($N736:$Q736))</f>
        <v/>
      </c>
      <c r="S736">
        <f>IF($X736="","",COUNTIFS(상세표[사번키],INDEX(합계표[사번키],$X736),상세표[반영월],대상월키,상세표[야간당직],1,상세표[야간 구분],"평일"))</f>
        <v/>
      </c>
      <c r="T736">
        <f>IF($X736="","",COUNTIFS(상세표[사번키],INDEX(합계표[사번키],$X736),상세표[반영월],대상월키,상세표[야간당직],1,상세표[야간 구분],"휴일"))</f>
        <v/>
      </c>
      <c r="U736">
        <f>IF($X736="","",COUNTIFS(상세표[사번키],INDEX(합계표[사번키],$X736),상세표[반영월],대상월키,상세표[야간당직],1,상세표[야간 구분],"평일",상세표[반영 기관],"서울병원"))</f>
        <v/>
      </c>
      <c r="V736">
        <f>IF($X736="","",COUNTIFS(상세표[사번키],INDEX(합계표[사번키],$X736),상세표[반영월],대상월키,상세표[야간당직],1,상세표[야간 구분],"휴일",상세표[반영 기관],"서울병원"))</f>
        <v/>
      </c>
      <c r="W736">
        <f>IF($X736="","",IF(ISNUMBER(MATCH(INDEX(합계표[사번키],$X736)&amp;"|"&amp;대상월키,월별근무지표[키],0)),"직접 입력",IF($L736="—","—","기관명단")))</f>
        <v/>
      </c>
      <c r="X736" s="4">
        <f>IFERROR(MATCH(731,합계표[판정순번],0),"")</f>
        <v/>
      </c>
    </row>
    <row r="737">
      <c r="A737">
        <f>IF($X737="","",INDEX(합계표[사번],$X737)&amp;"")</f>
        <v/>
      </c>
      <c r="B737">
        <f>IF($X737="","",INDEX(합계표[성명],$X737)&amp;"")</f>
        <v/>
      </c>
      <c r="C737">
        <f>IF($X737="","",INDEX(합계표[부서],$X737)&amp;"")</f>
        <v/>
      </c>
      <c r="D737">
        <f>IF($X737="","",INDEX(합계표[직위(요약)],$X737)&amp;"")</f>
        <v/>
      </c>
      <c r="E737">
        <f>IF($X737="","",INDEX(합계표[직급 공존],$X737)&amp;"")</f>
        <v/>
      </c>
      <c r="F737" s="20">
        <f>IF($X737="","",SUMIFS(합계표[시스템 합계],합계표[사번키],INDEX(합계표[사번키],$X737)))</f>
        <v/>
      </c>
      <c r="G737" s="20">
        <f>IF($X737="","",SUMIFS(상세표[기록 시간외],상세표[사번키],INDEX(합계표[사번키],$X737),상세표[기록월],대상월키))</f>
        <v/>
      </c>
      <c r="H737">
        <f>IF($X737="","",IF(ABS($F737-$G737)&lt;0.01,"일치","불일치(차이 "&amp;TEXT($G737-$F737,"0.00")&amp;")"))</f>
        <v/>
      </c>
      <c r="I737" s="20">
        <f>IF($X737="","",SUMIFS(상세표[기록 시간외],상세표[사번키],INDEX(합계표[사번키],$X737),상세표[기록월],대상월키,상세표[반영월],"&lt;&gt;"&amp;대상월키))</f>
        <v/>
      </c>
      <c r="J737" s="20">
        <f>IF($X737="","",SUMIFS(상세표[기록 시간외],상세표[사번키],INDEX(합계표[사번키],$X737),상세표[기록월],"&lt;&gt;"&amp;대상월키,상세표[반영월],대상월키))</f>
        <v/>
      </c>
      <c r="K737" s="20">
        <f>IF($X737="","",SUMIFS(상세표[기록 시간외],상세표[사번키],INDEX(합계표[사번키],$X737),상세표[반영월],대상월키))</f>
        <v/>
      </c>
      <c r="L737">
        <f>IF($X737="","",IFERROR(INDEX(월별근무지표[적용 급여병원],MATCH(INDEX(합계표[사번키],$X737)&amp;"|"&amp;대상월키,월별근무지표[키],0))&amp;"",IF(COUNTIF(기관표[사번키],INDEX(합계표[사번키],$X737))+COUNTIF(월별근무지표[사번키],INDEX(합계표[사번키],$X737))&gt;0,IFERROR(INDEX(기관표[급여지급병원(기준월)],MATCH(INDEX(합계표[사번키],$X737)&amp;"|"&amp;대상월키,기관표[키],0))&amp;"","—"),"—")))</f>
        <v/>
      </c>
      <c r="M737">
        <f>IF($X737="","",IF(NOT(COUNTIF(기관표[사번키],INDEX(합계표[사번키],$X737))+COUNTIF(월별근무지표[사번키],INDEX(합계표[사번키],$X737))&gt;0),"기관명단에 없음(다른 병원으로 발송)",IF($L737="서울병원","해당",IF(N($R737)&gt;0,"해당(말일 근무)",IF($L737="—","대상월 기관명단 없음(추가 필요)","비해당")))))</f>
        <v/>
      </c>
      <c r="N737" s="20">
        <f>IF($X737="","",SUMIFS(상세표[06~07시],상세표[사번키],INDEX(합계표[사번키],$X737),상세표[반영월],대상월키,상세표[반영 기관],"서울병원"))</f>
        <v/>
      </c>
      <c r="O737" s="20">
        <f>IF($X737="","",SUMIFS(상세표[07~18시],상세표[사번키],INDEX(합계표[사번키],$X737),상세표[반영월],대상월키,상세표[반영 기관],"서울병원"))</f>
        <v/>
      </c>
      <c r="P737" s="20">
        <f>IF($X737="","",SUMIFS(상세표[18~22시],상세표[사번키],INDEX(합계표[사번키],$X737),상세표[반영월],대상월키,상세표[반영 기관],"서울병원"))</f>
        <v/>
      </c>
      <c r="Q737" s="20">
        <f>IF($X737="","",SUMIFS(상세표[22~06시],상세표[사번키],INDEX(합계표[사번키],$X737),상세표[반영월],대상월키,상세표[반영 기관],"서울병원"))</f>
        <v/>
      </c>
      <c r="R737" s="20">
        <f>IF($X737="","",SUM($N737:$Q737))</f>
        <v/>
      </c>
      <c r="S737">
        <f>IF($X737="","",COUNTIFS(상세표[사번키],INDEX(합계표[사번키],$X737),상세표[반영월],대상월키,상세표[야간당직],1,상세표[야간 구분],"평일"))</f>
        <v/>
      </c>
      <c r="T737">
        <f>IF($X737="","",COUNTIFS(상세표[사번키],INDEX(합계표[사번키],$X737),상세표[반영월],대상월키,상세표[야간당직],1,상세표[야간 구분],"휴일"))</f>
        <v/>
      </c>
      <c r="U737">
        <f>IF($X737="","",COUNTIFS(상세표[사번키],INDEX(합계표[사번키],$X737),상세표[반영월],대상월키,상세표[야간당직],1,상세표[야간 구분],"평일",상세표[반영 기관],"서울병원"))</f>
        <v/>
      </c>
      <c r="V737">
        <f>IF($X737="","",COUNTIFS(상세표[사번키],INDEX(합계표[사번키],$X737),상세표[반영월],대상월키,상세표[야간당직],1,상세표[야간 구분],"휴일",상세표[반영 기관],"서울병원"))</f>
        <v/>
      </c>
      <c r="W737">
        <f>IF($X737="","",IF(ISNUMBER(MATCH(INDEX(합계표[사번키],$X737)&amp;"|"&amp;대상월키,월별근무지표[키],0)),"직접 입력",IF($L737="—","—","기관명단")))</f>
        <v/>
      </c>
      <c r="X737" s="4">
        <f>IFERROR(MATCH(732,합계표[판정순번],0),"")</f>
        <v/>
      </c>
    </row>
    <row r="738">
      <c r="A738">
        <f>IF($X738="","",INDEX(합계표[사번],$X738)&amp;"")</f>
        <v/>
      </c>
      <c r="B738">
        <f>IF($X738="","",INDEX(합계표[성명],$X738)&amp;"")</f>
        <v/>
      </c>
      <c r="C738">
        <f>IF($X738="","",INDEX(합계표[부서],$X738)&amp;"")</f>
        <v/>
      </c>
      <c r="D738">
        <f>IF($X738="","",INDEX(합계표[직위(요약)],$X738)&amp;"")</f>
        <v/>
      </c>
      <c r="E738">
        <f>IF($X738="","",INDEX(합계표[직급 공존],$X738)&amp;"")</f>
        <v/>
      </c>
      <c r="F738" s="20">
        <f>IF($X738="","",SUMIFS(합계표[시스템 합계],합계표[사번키],INDEX(합계표[사번키],$X738)))</f>
        <v/>
      </c>
      <c r="G738" s="20">
        <f>IF($X738="","",SUMIFS(상세표[기록 시간외],상세표[사번키],INDEX(합계표[사번키],$X738),상세표[기록월],대상월키))</f>
        <v/>
      </c>
      <c r="H738">
        <f>IF($X738="","",IF(ABS($F738-$G738)&lt;0.01,"일치","불일치(차이 "&amp;TEXT($G738-$F738,"0.00")&amp;")"))</f>
        <v/>
      </c>
      <c r="I738" s="20">
        <f>IF($X738="","",SUMIFS(상세표[기록 시간외],상세표[사번키],INDEX(합계표[사번키],$X738),상세표[기록월],대상월키,상세표[반영월],"&lt;&gt;"&amp;대상월키))</f>
        <v/>
      </c>
      <c r="J738" s="20">
        <f>IF($X738="","",SUMIFS(상세표[기록 시간외],상세표[사번키],INDEX(합계표[사번키],$X738),상세표[기록월],"&lt;&gt;"&amp;대상월키,상세표[반영월],대상월키))</f>
        <v/>
      </c>
      <c r="K738" s="20">
        <f>IF($X738="","",SUMIFS(상세표[기록 시간외],상세표[사번키],INDEX(합계표[사번키],$X738),상세표[반영월],대상월키))</f>
        <v/>
      </c>
      <c r="L738">
        <f>IF($X738="","",IFERROR(INDEX(월별근무지표[적용 급여병원],MATCH(INDEX(합계표[사번키],$X738)&amp;"|"&amp;대상월키,월별근무지표[키],0))&amp;"",IF(COUNTIF(기관표[사번키],INDEX(합계표[사번키],$X738))+COUNTIF(월별근무지표[사번키],INDEX(합계표[사번키],$X738))&gt;0,IFERROR(INDEX(기관표[급여지급병원(기준월)],MATCH(INDEX(합계표[사번키],$X738)&amp;"|"&amp;대상월키,기관표[키],0))&amp;"","—"),"—")))</f>
        <v/>
      </c>
      <c r="M738">
        <f>IF($X738="","",IF(NOT(COUNTIF(기관표[사번키],INDEX(합계표[사번키],$X738))+COUNTIF(월별근무지표[사번키],INDEX(합계표[사번키],$X738))&gt;0),"기관명단에 없음(다른 병원으로 발송)",IF($L738="서울병원","해당",IF(N($R738)&gt;0,"해당(말일 근무)",IF($L738="—","대상월 기관명단 없음(추가 필요)","비해당")))))</f>
        <v/>
      </c>
      <c r="N738" s="20">
        <f>IF($X738="","",SUMIFS(상세표[06~07시],상세표[사번키],INDEX(합계표[사번키],$X738),상세표[반영월],대상월키,상세표[반영 기관],"서울병원"))</f>
        <v/>
      </c>
      <c r="O738" s="20">
        <f>IF($X738="","",SUMIFS(상세표[07~18시],상세표[사번키],INDEX(합계표[사번키],$X738),상세표[반영월],대상월키,상세표[반영 기관],"서울병원"))</f>
        <v/>
      </c>
      <c r="P738" s="20">
        <f>IF($X738="","",SUMIFS(상세표[18~22시],상세표[사번키],INDEX(합계표[사번키],$X738),상세표[반영월],대상월키,상세표[반영 기관],"서울병원"))</f>
        <v/>
      </c>
      <c r="Q738" s="20">
        <f>IF($X738="","",SUMIFS(상세표[22~06시],상세표[사번키],INDEX(합계표[사번키],$X738),상세표[반영월],대상월키,상세표[반영 기관],"서울병원"))</f>
        <v/>
      </c>
      <c r="R738" s="20">
        <f>IF($X738="","",SUM($N738:$Q738))</f>
        <v/>
      </c>
      <c r="S738">
        <f>IF($X738="","",COUNTIFS(상세표[사번키],INDEX(합계표[사번키],$X738),상세표[반영월],대상월키,상세표[야간당직],1,상세표[야간 구분],"평일"))</f>
        <v/>
      </c>
      <c r="T738">
        <f>IF($X738="","",COUNTIFS(상세표[사번키],INDEX(합계표[사번키],$X738),상세표[반영월],대상월키,상세표[야간당직],1,상세표[야간 구분],"휴일"))</f>
        <v/>
      </c>
      <c r="U738">
        <f>IF($X738="","",COUNTIFS(상세표[사번키],INDEX(합계표[사번키],$X738),상세표[반영월],대상월키,상세표[야간당직],1,상세표[야간 구분],"평일",상세표[반영 기관],"서울병원"))</f>
        <v/>
      </c>
      <c r="V738">
        <f>IF($X738="","",COUNTIFS(상세표[사번키],INDEX(합계표[사번키],$X738),상세표[반영월],대상월키,상세표[야간당직],1,상세표[야간 구분],"휴일",상세표[반영 기관],"서울병원"))</f>
        <v/>
      </c>
      <c r="W738">
        <f>IF($X738="","",IF(ISNUMBER(MATCH(INDEX(합계표[사번키],$X738)&amp;"|"&amp;대상월키,월별근무지표[키],0)),"직접 입력",IF($L738="—","—","기관명단")))</f>
        <v/>
      </c>
      <c r="X738" s="4">
        <f>IFERROR(MATCH(733,합계표[판정순번],0),"")</f>
        <v/>
      </c>
    </row>
    <row r="739">
      <c r="A739">
        <f>IF($X739="","",INDEX(합계표[사번],$X739)&amp;"")</f>
        <v/>
      </c>
      <c r="B739">
        <f>IF($X739="","",INDEX(합계표[성명],$X739)&amp;"")</f>
        <v/>
      </c>
      <c r="C739">
        <f>IF($X739="","",INDEX(합계표[부서],$X739)&amp;"")</f>
        <v/>
      </c>
      <c r="D739">
        <f>IF($X739="","",INDEX(합계표[직위(요약)],$X739)&amp;"")</f>
        <v/>
      </c>
      <c r="E739">
        <f>IF($X739="","",INDEX(합계표[직급 공존],$X739)&amp;"")</f>
        <v/>
      </c>
      <c r="F739" s="20">
        <f>IF($X739="","",SUMIFS(합계표[시스템 합계],합계표[사번키],INDEX(합계표[사번키],$X739)))</f>
        <v/>
      </c>
      <c r="G739" s="20">
        <f>IF($X739="","",SUMIFS(상세표[기록 시간외],상세표[사번키],INDEX(합계표[사번키],$X739),상세표[기록월],대상월키))</f>
        <v/>
      </c>
      <c r="H739">
        <f>IF($X739="","",IF(ABS($F739-$G739)&lt;0.01,"일치","불일치(차이 "&amp;TEXT($G739-$F739,"0.00")&amp;")"))</f>
        <v/>
      </c>
      <c r="I739" s="20">
        <f>IF($X739="","",SUMIFS(상세표[기록 시간외],상세표[사번키],INDEX(합계표[사번키],$X739),상세표[기록월],대상월키,상세표[반영월],"&lt;&gt;"&amp;대상월키))</f>
        <v/>
      </c>
      <c r="J739" s="20">
        <f>IF($X739="","",SUMIFS(상세표[기록 시간외],상세표[사번키],INDEX(합계표[사번키],$X739),상세표[기록월],"&lt;&gt;"&amp;대상월키,상세표[반영월],대상월키))</f>
        <v/>
      </c>
      <c r="K739" s="20">
        <f>IF($X739="","",SUMIFS(상세표[기록 시간외],상세표[사번키],INDEX(합계표[사번키],$X739),상세표[반영월],대상월키))</f>
        <v/>
      </c>
      <c r="L739">
        <f>IF($X739="","",IFERROR(INDEX(월별근무지표[적용 급여병원],MATCH(INDEX(합계표[사번키],$X739)&amp;"|"&amp;대상월키,월별근무지표[키],0))&amp;"",IF(COUNTIF(기관표[사번키],INDEX(합계표[사번키],$X739))+COUNTIF(월별근무지표[사번키],INDEX(합계표[사번키],$X739))&gt;0,IFERROR(INDEX(기관표[급여지급병원(기준월)],MATCH(INDEX(합계표[사번키],$X739)&amp;"|"&amp;대상월키,기관표[키],0))&amp;"","—"),"—")))</f>
        <v/>
      </c>
      <c r="M739">
        <f>IF($X739="","",IF(NOT(COUNTIF(기관표[사번키],INDEX(합계표[사번키],$X739))+COUNTIF(월별근무지표[사번키],INDEX(합계표[사번키],$X739))&gt;0),"기관명단에 없음(다른 병원으로 발송)",IF($L739="서울병원","해당",IF(N($R739)&gt;0,"해당(말일 근무)",IF($L739="—","대상월 기관명단 없음(추가 필요)","비해당")))))</f>
        <v/>
      </c>
      <c r="N739" s="20">
        <f>IF($X739="","",SUMIFS(상세표[06~07시],상세표[사번키],INDEX(합계표[사번키],$X739),상세표[반영월],대상월키,상세표[반영 기관],"서울병원"))</f>
        <v/>
      </c>
      <c r="O739" s="20">
        <f>IF($X739="","",SUMIFS(상세표[07~18시],상세표[사번키],INDEX(합계표[사번키],$X739),상세표[반영월],대상월키,상세표[반영 기관],"서울병원"))</f>
        <v/>
      </c>
      <c r="P739" s="20">
        <f>IF($X739="","",SUMIFS(상세표[18~22시],상세표[사번키],INDEX(합계표[사번키],$X739),상세표[반영월],대상월키,상세표[반영 기관],"서울병원"))</f>
        <v/>
      </c>
      <c r="Q739" s="20">
        <f>IF($X739="","",SUMIFS(상세표[22~06시],상세표[사번키],INDEX(합계표[사번키],$X739),상세표[반영월],대상월키,상세표[반영 기관],"서울병원"))</f>
        <v/>
      </c>
      <c r="R739" s="20">
        <f>IF($X739="","",SUM($N739:$Q739))</f>
        <v/>
      </c>
      <c r="S739">
        <f>IF($X739="","",COUNTIFS(상세표[사번키],INDEX(합계표[사번키],$X739),상세표[반영월],대상월키,상세표[야간당직],1,상세표[야간 구분],"평일"))</f>
        <v/>
      </c>
      <c r="T739">
        <f>IF($X739="","",COUNTIFS(상세표[사번키],INDEX(합계표[사번키],$X739),상세표[반영월],대상월키,상세표[야간당직],1,상세표[야간 구분],"휴일"))</f>
        <v/>
      </c>
      <c r="U739">
        <f>IF($X739="","",COUNTIFS(상세표[사번키],INDEX(합계표[사번키],$X739),상세표[반영월],대상월키,상세표[야간당직],1,상세표[야간 구분],"평일",상세표[반영 기관],"서울병원"))</f>
        <v/>
      </c>
      <c r="V739">
        <f>IF($X739="","",COUNTIFS(상세표[사번키],INDEX(합계표[사번키],$X739),상세표[반영월],대상월키,상세표[야간당직],1,상세표[야간 구분],"휴일",상세표[반영 기관],"서울병원"))</f>
        <v/>
      </c>
      <c r="W739">
        <f>IF($X739="","",IF(ISNUMBER(MATCH(INDEX(합계표[사번키],$X739)&amp;"|"&amp;대상월키,월별근무지표[키],0)),"직접 입력",IF($L739="—","—","기관명단")))</f>
        <v/>
      </c>
      <c r="X739" s="4">
        <f>IFERROR(MATCH(734,합계표[판정순번],0),"")</f>
        <v/>
      </c>
    </row>
    <row r="740">
      <c r="A740">
        <f>IF($X740="","",INDEX(합계표[사번],$X740)&amp;"")</f>
        <v/>
      </c>
      <c r="B740">
        <f>IF($X740="","",INDEX(합계표[성명],$X740)&amp;"")</f>
        <v/>
      </c>
      <c r="C740">
        <f>IF($X740="","",INDEX(합계표[부서],$X740)&amp;"")</f>
        <v/>
      </c>
      <c r="D740">
        <f>IF($X740="","",INDEX(합계표[직위(요약)],$X740)&amp;"")</f>
        <v/>
      </c>
      <c r="E740">
        <f>IF($X740="","",INDEX(합계표[직급 공존],$X740)&amp;"")</f>
        <v/>
      </c>
      <c r="F740" s="20">
        <f>IF($X740="","",SUMIFS(합계표[시스템 합계],합계표[사번키],INDEX(합계표[사번키],$X740)))</f>
        <v/>
      </c>
      <c r="G740" s="20">
        <f>IF($X740="","",SUMIFS(상세표[기록 시간외],상세표[사번키],INDEX(합계표[사번키],$X740),상세표[기록월],대상월키))</f>
        <v/>
      </c>
      <c r="H740">
        <f>IF($X740="","",IF(ABS($F740-$G740)&lt;0.01,"일치","불일치(차이 "&amp;TEXT($G740-$F740,"0.00")&amp;")"))</f>
        <v/>
      </c>
      <c r="I740" s="20">
        <f>IF($X740="","",SUMIFS(상세표[기록 시간외],상세표[사번키],INDEX(합계표[사번키],$X740),상세표[기록월],대상월키,상세표[반영월],"&lt;&gt;"&amp;대상월키))</f>
        <v/>
      </c>
      <c r="J740" s="20">
        <f>IF($X740="","",SUMIFS(상세표[기록 시간외],상세표[사번키],INDEX(합계표[사번키],$X740),상세표[기록월],"&lt;&gt;"&amp;대상월키,상세표[반영월],대상월키))</f>
        <v/>
      </c>
      <c r="K740" s="20">
        <f>IF($X740="","",SUMIFS(상세표[기록 시간외],상세표[사번키],INDEX(합계표[사번키],$X740),상세표[반영월],대상월키))</f>
        <v/>
      </c>
      <c r="L740">
        <f>IF($X740="","",IFERROR(INDEX(월별근무지표[적용 급여병원],MATCH(INDEX(합계표[사번키],$X740)&amp;"|"&amp;대상월키,월별근무지표[키],0))&amp;"",IF(COUNTIF(기관표[사번키],INDEX(합계표[사번키],$X740))+COUNTIF(월별근무지표[사번키],INDEX(합계표[사번키],$X740))&gt;0,IFERROR(INDEX(기관표[급여지급병원(기준월)],MATCH(INDEX(합계표[사번키],$X740)&amp;"|"&amp;대상월키,기관표[키],0))&amp;"","—"),"—")))</f>
        <v/>
      </c>
      <c r="M740">
        <f>IF($X740="","",IF(NOT(COUNTIF(기관표[사번키],INDEX(합계표[사번키],$X740))+COUNTIF(월별근무지표[사번키],INDEX(합계표[사번키],$X740))&gt;0),"기관명단에 없음(다른 병원으로 발송)",IF($L740="서울병원","해당",IF(N($R740)&gt;0,"해당(말일 근무)",IF($L740="—","대상월 기관명단 없음(추가 필요)","비해당")))))</f>
        <v/>
      </c>
      <c r="N740" s="20">
        <f>IF($X740="","",SUMIFS(상세표[06~07시],상세표[사번키],INDEX(합계표[사번키],$X740),상세표[반영월],대상월키,상세표[반영 기관],"서울병원"))</f>
        <v/>
      </c>
      <c r="O740" s="20">
        <f>IF($X740="","",SUMIFS(상세표[07~18시],상세표[사번키],INDEX(합계표[사번키],$X740),상세표[반영월],대상월키,상세표[반영 기관],"서울병원"))</f>
        <v/>
      </c>
      <c r="P740" s="20">
        <f>IF($X740="","",SUMIFS(상세표[18~22시],상세표[사번키],INDEX(합계표[사번키],$X740),상세표[반영월],대상월키,상세표[반영 기관],"서울병원"))</f>
        <v/>
      </c>
      <c r="Q740" s="20">
        <f>IF($X740="","",SUMIFS(상세표[22~06시],상세표[사번키],INDEX(합계표[사번키],$X740),상세표[반영월],대상월키,상세표[반영 기관],"서울병원"))</f>
        <v/>
      </c>
      <c r="R740" s="20">
        <f>IF($X740="","",SUM($N740:$Q740))</f>
        <v/>
      </c>
      <c r="S740">
        <f>IF($X740="","",COUNTIFS(상세표[사번키],INDEX(합계표[사번키],$X740),상세표[반영월],대상월키,상세표[야간당직],1,상세표[야간 구분],"평일"))</f>
        <v/>
      </c>
      <c r="T740">
        <f>IF($X740="","",COUNTIFS(상세표[사번키],INDEX(합계표[사번키],$X740),상세표[반영월],대상월키,상세표[야간당직],1,상세표[야간 구분],"휴일"))</f>
        <v/>
      </c>
      <c r="U740">
        <f>IF($X740="","",COUNTIFS(상세표[사번키],INDEX(합계표[사번키],$X740),상세표[반영월],대상월키,상세표[야간당직],1,상세표[야간 구분],"평일",상세표[반영 기관],"서울병원"))</f>
        <v/>
      </c>
      <c r="V740">
        <f>IF($X740="","",COUNTIFS(상세표[사번키],INDEX(합계표[사번키],$X740),상세표[반영월],대상월키,상세표[야간당직],1,상세표[야간 구분],"휴일",상세표[반영 기관],"서울병원"))</f>
        <v/>
      </c>
      <c r="W740">
        <f>IF($X740="","",IF(ISNUMBER(MATCH(INDEX(합계표[사번키],$X740)&amp;"|"&amp;대상월키,월별근무지표[키],0)),"직접 입력",IF($L740="—","—","기관명단")))</f>
        <v/>
      </c>
      <c r="X740" s="4">
        <f>IFERROR(MATCH(735,합계표[판정순번],0),"")</f>
        <v/>
      </c>
    </row>
    <row r="741">
      <c r="A741">
        <f>IF($X741="","",INDEX(합계표[사번],$X741)&amp;"")</f>
        <v/>
      </c>
      <c r="B741">
        <f>IF($X741="","",INDEX(합계표[성명],$X741)&amp;"")</f>
        <v/>
      </c>
      <c r="C741">
        <f>IF($X741="","",INDEX(합계표[부서],$X741)&amp;"")</f>
        <v/>
      </c>
      <c r="D741">
        <f>IF($X741="","",INDEX(합계표[직위(요약)],$X741)&amp;"")</f>
        <v/>
      </c>
      <c r="E741">
        <f>IF($X741="","",INDEX(합계표[직급 공존],$X741)&amp;"")</f>
        <v/>
      </c>
      <c r="F741" s="20">
        <f>IF($X741="","",SUMIFS(합계표[시스템 합계],합계표[사번키],INDEX(합계표[사번키],$X741)))</f>
        <v/>
      </c>
      <c r="G741" s="20">
        <f>IF($X741="","",SUMIFS(상세표[기록 시간외],상세표[사번키],INDEX(합계표[사번키],$X741),상세표[기록월],대상월키))</f>
        <v/>
      </c>
      <c r="H741">
        <f>IF($X741="","",IF(ABS($F741-$G741)&lt;0.01,"일치","불일치(차이 "&amp;TEXT($G741-$F741,"0.00")&amp;")"))</f>
        <v/>
      </c>
      <c r="I741" s="20">
        <f>IF($X741="","",SUMIFS(상세표[기록 시간외],상세표[사번키],INDEX(합계표[사번키],$X741),상세표[기록월],대상월키,상세표[반영월],"&lt;&gt;"&amp;대상월키))</f>
        <v/>
      </c>
      <c r="J741" s="20">
        <f>IF($X741="","",SUMIFS(상세표[기록 시간외],상세표[사번키],INDEX(합계표[사번키],$X741),상세표[기록월],"&lt;&gt;"&amp;대상월키,상세표[반영월],대상월키))</f>
        <v/>
      </c>
      <c r="K741" s="20">
        <f>IF($X741="","",SUMIFS(상세표[기록 시간외],상세표[사번키],INDEX(합계표[사번키],$X741),상세표[반영월],대상월키))</f>
        <v/>
      </c>
      <c r="L741">
        <f>IF($X741="","",IFERROR(INDEX(월별근무지표[적용 급여병원],MATCH(INDEX(합계표[사번키],$X741)&amp;"|"&amp;대상월키,월별근무지표[키],0))&amp;"",IF(COUNTIF(기관표[사번키],INDEX(합계표[사번키],$X741))+COUNTIF(월별근무지표[사번키],INDEX(합계표[사번키],$X741))&gt;0,IFERROR(INDEX(기관표[급여지급병원(기준월)],MATCH(INDEX(합계표[사번키],$X741)&amp;"|"&amp;대상월키,기관표[키],0))&amp;"","—"),"—")))</f>
        <v/>
      </c>
      <c r="M741">
        <f>IF($X741="","",IF(NOT(COUNTIF(기관표[사번키],INDEX(합계표[사번키],$X741))+COUNTIF(월별근무지표[사번키],INDEX(합계표[사번키],$X741))&gt;0),"기관명단에 없음(다른 병원으로 발송)",IF($L741="서울병원","해당",IF(N($R741)&gt;0,"해당(말일 근무)",IF($L741="—","대상월 기관명단 없음(추가 필요)","비해당")))))</f>
        <v/>
      </c>
      <c r="N741" s="20">
        <f>IF($X741="","",SUMIFS(상세표[06~07시],상세표[사번키],INDEX(합계표[사번키],$X741),상세표[반영월],대상월키,상세표[반영 기관],"서울병원"))</f>
        <v/>
      </c>
      <c r="O741" s="20">
        <f>IF($X741="","",SUMIFS(상세표[07~18시],상세표[사번키],INDEX(합계표[사번키],$X741),상세표[반영월],대상월키,상세표[반영 기관],"서울병원"))</f>
        <v/>
      </c>
      <c r="P741" s="20">
        <f>IF($X741="","",SUMIFS(상세표[18~22시],상세표[사번키],INDEX(합계표[사번키],$X741),상세표[반영월],대상월키,상세표[반영 기관],"서울병원"))</f>
        <v/>
      </c>
      <c r="Q741" s="20">
        <f>IF($X741="","",SUMIFS(상세표[22~06시],상세표[사번키],INDEX(합계표[사번키],$X741),상세표[반영월],대상월키,상세표[반영 기관],"서울병원"))</f>
        <v/>
      </c>
      <c r="R741" s="20">
        <f>IF($X741="","",SUM($N741:$Q741))</f>
        <v/>
      </c>
      <c r="S741">
        <f>IF($X741="","",COUNTIFS(상세표[사번키],INDEX(합계표[사번키],$X741),상세표[반영월],대상월키,상세표[야간당직],1,상세표[야간 구분],"평일"))</f>
        <v/>
      </c>
      <c r="T741">
        <f>IF($X741="","",COUNTIFS(상세표[사번키],INDEX(합계표[사번키],$X741),상세표[반영월],대상월키,상세표[야간당직],1,상세표[야간 구분],"휴일"))</f>
        <v/>
      </c>
      <c r="U741">
        <f>IF($X741="","",COUNTIFS(상세표[사번키],INDEX(합계표[사번키],$X741),상세표[반영월],대상월키,상세표[야간당직],1,상세표[야간 구분],"평일",상세표[반영 기관],"서울병원"))</f>
        <v/>
      </c>
      <c r="V741">
        <f>IF($X741="","",COUNTIFS(상세표[사번키],INDEX(합계표[사번키],$X741),상세표[반영월],대상월키,상세표[야간당직],1,상세표[야간 구분],"휴일",상세표[반영 기관],"서울병원"))</f>
        <v/>
      </c>
      <c r="W741">
        <f>IF($X741="","",IF(ISNUMBER(MATCH(INDEX(합계표[사번키],$X741)&amp;"|"&amp;대상월키,월별근무지표[키],0)),"직접 입력",IF($L741="—","—","기관명단")))</f>
        <v/>
      </c>
      <c r="X741" s="4">
        <f>IFERROR(MATCH(736,합계표[판정순번],0),"")</f>
        <v/>
      </c>
    </row>
    <row r="742">
      <c r="A742">
        <f>IF($X742="","",INDEX(합계표[사번],$X742)&amp;"")</f>
        <v/>
      </c>
      <c r="B742">
        <f>IF($X742="","",INDEX(합계표[성명],$X742)&amp;"")</f>
        <v/>
      </c>
      <c r="C742">
        <f>IF($X742="","",INDEX(합계표[부서],$X742)&amp;"")</f>
        <v/>
      </c>
      <c r="D742">
        <f>IF($X742="","",INDEX(합계표[직위(요약)],$X742)&amp;"")</f>
        <v/>
      </c>
      <c r="E742">
        <f>IF($X742="","",INDEX(합계표[직급 공존],$X742)&amp;"")</f>
        <v/>
      </c>
      <c r="F742" s="20">
        <f>IF($X742="","",SUMIFS(합계표[시스템 합계],합계표[사번키],INDEX(합계표[사번키],$X742)))</f>
        <v/>
      </c>
      <c r="G742" s="20">
        <f>IF($X742="","",SUMIFS(상세표[기록 시간외],상세표[사번키],INDEX(합계표[사번키],$X742),상세표[기록월],대상월키))</f>
        <v/>
      </c>
      <c r="H742">
        <f>IF($X742="","",IF(ABS($F742-$G742)&lt;0.01,"일치","불일치(차이 "&amp;TEXT($G742-$F742,"0.00")&amp;")"))</f>
        <v/>
      </c>
      <c r="I742" s="20">
        <f>IF($X742="","",SUMIFS(상세표[기록 시간외],상세표[사번키],INDEX(합계표[사번키],$X742),상세표[기록월],대상월키,상세표[반영월],"&lt;&gt;"&amp;대상월키))</f>
        <v/>
      </c>
      <c r="J742" s="20">
        <f>IF($X742="","",SUMIFS(상세표[기록 시간외],상세표[사번키],INDEX(합계표[사번키],$X742),상세표[기록월],"&lt;&gt;"&amp;대상월키,상세표[반영월],대상월키))</f>
        <v/>
      </c>
      <c r="K742" s="20">
        <f>IF($X742="","",SUMIFS(상세표[기록 시간외],상세표[사번키],INDEX(합계표[사번키],$X742),상세표[반영월],대상월키))</f>
        <v/>
      </c>
      <c r="L742">
        <f>IF($X742="","",IFERROR(INDEX(월별근무지표[적용 급여병원],MATCH(INDEX(합계표[사번키],$X742)&amp;"|"&amp;대상월키,월별근무지표[키],0))&amp;"",IF(COUNTIF(기관표[사번키],INDEX(합계표[사번키],$X742))+COUNTIF(월별근무지표[사번키],INDEX(합계표[사번키],$X742))&gt;0,IFERROR(INDEX(기관표[급여지급병원(기준월)],MATCH(INDEX(합계표[사번키],$X742)&amp;"|"&amp;대상월키,기관표[키],0))&amp;"","—"),"—")))</f>
        <v/>
      </c>
      <c r="M742">
        <f>IF($X742="","",IF(NOT(COUNTIF(기관표[사번키],INDEX(합계표[사번키],$X742))+COUNTIF(월별근무지표[사번키],INDEX(합계표[사번키],$X742))&gt;0),"기관명단에 없음(다른 병원으로 발송)",IF($L742="서울병원","해당",IF(N($R742)&gt;0,"해당(말일 근무)",IF($L742="—","대상월 기관명단 없음(추가 필요)","비해당")))))</f>
        <v/>
      </c>
      <c r="N742" s="20">
        <f>IF($X742="","",SUMIFS(상세표[06~07시],상세표[사번키],INDEX(합계표[사번키],$X742),상세표[반영월],대상월키,상세표[반영 기관],"서울병원"))</f>
        <v/>
      </c>
      <c r="O742" s="20">
        <f>IF($X742="","",SUMIFS(상세표[07~18시],상세표[사번키],INDEX(합계표[사번키],$X742),상세표[반영월],대상월키,상세표[반영 기관],"서울병원"))</f>
        <v/>
      </c>
      <c r="P742" s="20">
        <f>IF($X742="","",SUMIFS(상세표[18~22시],상세표[사번키],INDEX(합계표[사번키],$X742),상세표[반영월],대상월키,상세표[반영 기관],"서울병원"))</f>
        <v/>
      </c>
      <c r="Q742" s="20">
        <f>IF($X742="","",SUMIFS(상세표[22~06시],상세표[사번키],INDEX(합계표[사번키],$X742),상세표[반영월],대상월키,상세표[반영 기관],"서울병원"))</f>
        <v/>
      </c>
      <c r="R742" s="20">
        <f>IF($X742="","",SUM($N742:$Q742))</f>
        <v/>
      </c>
      <c r="S742">
        <f>IF($X742="","",COUNTIFS(상세표[사번키],INDEX(합계표[사번키],$X742),상세표[반영월],대상월키,상세표[야간당직],1,상세표[야간 구분],"평일"))</f>
        <v/>
      </c>
      <c r="T742">
        <f>IF($X742="","",COUNTIFS(상세표[사번키],INDEX(합계표[사번키],$X742),상세표[반영월],대상월키,상세표[야간당직],1,상세표[야간 구분],"휴일"))</f>
        <v/>
      </c>
      <c r="U742">
        <f>IF($X742="","",COUNTIFS(상세표[사번키],INDEX(합계표[사번키],$X742),상세표[반영월],대상월키,상세표[야간당직],1,상세표[야간 구분],"평일",상세표[반영 기관],"서울병원"))</f>
        <v/>
      </c>
      <c r="V742">
        <f>IF($X742="","",COUNTIFS(상세표[사번키],INDEX(합계표[사번키],$X742),상세표[반영월],대상월키,상세표[야간당직],1,상세표[야간 구분],"휴일",상세표[반영 기관],"서울병원"))</f>
        <v/>
      </c>
      <c r="W742">
        <f>IF($X742="","",IF(ISNUMBER(MATCH(INDEX(합계표[사번키],$X742)&amp;"|"&amp;대상월키,월별근무지표[키],0)),"직접 입력",IF($L742="—","—","기관명단")))</f>
        <v/>
      </c>
      <c r="X742" s="4">
        <f>IFERROR(MATCH(737,합계표[판정순번],0),"")</f>
        <v/>
      </c>
    </row>
    <row r="743">
      <c r="A743">
        <f>IF($X743="","",INDEX(합계표[사번],$X743)&amp;"")</f>
        <v/>
      </c>
      <c r="B743">
        <f>IF($X743="","",INDEX(합계표[성명],$X743)&amp;"")</f>
        <v/>
      </c>
      <c r="C743">
        <f>IF($X743="","",INDEX(합계표[부서],$X743)&amp;"")</f>
        <v/>
      </c>
      <c r="D743">
        <f>IF($X743="","",INDEX(합계표[직위(요약)],$X743)&amp;"")</f>
        <v/>
      </c>
      <c r="E743">
        <f>IF($X743="","",INDEX(합계표[직급 공존],$X743)&amp;"")</f>
        <v/>
      </c>
      <c r="F743" s="20">
        <f>IF($X743="","",SUMIFS(합계표[시스템 합계],합계표[사번키],INDEX(합계표[사번키],$X743)))</f>
        <v/>
      </c>
      <c r="G743" s="20">
        <f>IF($X743="","",SUMIFS(상세표[기록 시간외],상세표[사번키],INDEX(합계표[사번키],$X743),상세표[기록월],대상월키))</f>
        <v/>
      </c>
      <c r="H743">
        <f>IF($X743="","",IF(ABS($F743-$G743)&lt;0.01,"일치","불일치(차이 "&amp;TEXT($G743-$F743,"0.00")&amp;")"))</f>
        <v/>
      </c>
      <c r="I743" s="20">
        <f>IF($X743="","",SUMIFS(상세표[기록 시간외],상세표[사번키],INDEX(합계표[사번키],$X743),상세표[기록월],대상월키,상세표[반영월],"&lt;&gt;"&amp;대상월키))</f>
        <v/>
      </c>
      <c r="J743" s="20">
        <f>IF($X743="","",SUMIFS(상세표[기록 시간외],상세표[사번키],INDEX(합계표[사번키],$X743),상세표[기록월],"&lt;&gt;"&amp;대상월키,상세표[반영월],대상월키))</f>
        <v/>
      </c>
      <c r="K743" s="20">
        <f>IF($X743="","",SUMIFS(상세표[기록 시간외],상세표[사번키],INDEX(합계표[사번키],$X743),상세표[반영월],대상월키))</f>
        <v/>
      </c>
      <c r="L743">
        <f>IF($X743="","",IFERROR(INDEX(월별근무지표[적용 급여병원],MATCH(INDEX(합계표[사번키],$X743)&amp;"|"&amp;대상월키,월별근무지표[키],0))&amp;"",IF(COUNTIF(기관표[사번키],INDEX(합계표[사번키],$X743))+COUNTIF(월별근무지표[사번키],INDEX(합계표[사번키],$X743))&gt;0,IFERROR(INDEX(기관표[급여지급병원(기준월)],MATCH(INDEX(합계표[사번키],$X743)&amp;"|"&amp;대상월키,기관표[키],0))&amp;"","—"),"—")))</f>
        <v/>
      </c>
      <c r="M743">
        <f>IF($X743="","",IF(NOT(COUNTIF(기관표[사번키],INDEX(합계표[사번키],$X743))+COUNTIF(월별근무지표[사번키],INDEX(합계표[사번키],$X743))&gt;0),"기관명단에 없음(다른 병원으로 발송)",IF($L743="서울병원","해당",IF(N($R743)&gt;0,"해당(말일 근무)",IF($L743="—","대상월 기관명단 없음(추가 필요)","비해당")))))</f>
        <v/>
      </c>
      <c r="N743" s="20">
        <f>IF($X743="","",SUMIFS(상세표[06~07시],상세표[사번키],INDEX(합계표[사번키],$X743),상세표[반영월],대상월키,상세표[반영 기관],"서울병원"))</f>
        <v/>
      </c>
      <c r="O743" s="20">
        <f>IF($X743="","",SUMIFS(상세표[07~18시],상세표[사번키],INDEX(합계표[사번키],$X743),상세표[반영월],대상월키,상세표[반영 기관],"서울병원"))</f>
        <v/>
      </c>
      <c r="P743" s="20">
        <f>IF($X743="","",SUMIFS(상세표[18~22시],상세표[사번키],INDEX(합계표[사번키],$X743),상세표[반영월],대상월키,상세표[반영 기관],"서울병원"))</f>
        <v/>
      </c>
      <c r="Q743" s="20">
        <f>IF($X743="","",SUMIFS(상세표[22~06시],상세표[사번키],INDEX(합계표[사번키],$X743),상세표[반영월],대상월키,상세표[반영 기관],"서울병원"))</f>
        <v/>
      </c>
      <c r="R743" s="20">
        <f>IF($X743="","",SUM($N743:$Q743))</f>
        <v/>
      </c>
      <c r="S743">
        <f>IF($X743="","",COUNTIFS(상세표[사번키],INDEX(합계표[사번키],$X743),상세표[반영월],대상월키,상세표[야간당직],1,상세표[야간 구분],"평일"))</f>
        <v/>
      </c>
      <c r="T743">
        <f>IF($X743="","",COUNTIFS(상세표[사번키],INDEX(합계표[사번키],$X743),상세표[반영월],대상월키,상세표[야간당직],1,상세표[야간 구분],"휴일"))</f>
        <v/>
      </c>
      <c r="U743">
        <f>IF($X743="","",COUNTIFS(상세표[사번키],INDEX(합계표[사번키],$X743),상세표[반영월],대상월키,상세표[야간당직],1,상세표[야간 구분],"평일",상세표[반영 기관],"서울병원"))</f>
        <v/>
      </c>
      <c r="V743">
        <f>IF($X743="","",COUNTIFS(상세표[사번키],INDEX(합계표[사번키],$X743),상세표[반영월],대상월키,상세표[야간당직],1,상세표[야간 구분],"휴일",상세표[반영 기관],"서울병원"))</f>
        <v/>
      </c>
      <c r="W743">
        <f>IF($X743="","",IF(ISNUMBER(MATCH(INDEX(합계표[사번키],$X743)&amp;"|"&amp;대상월키,월별근무지표[키],0)),"직접 입력",IF($L743="—","—","기관명단")))</f>
        <v/>
      </c>
      <c r="X743" s="4">
        <f>IFERROR(MATCH(738,합계표[판정순번],0),"")</f>
        <v/>
      </c>
    </row>
    <row r="744">
      <c r="A744">
        <f>IF($X744="","",INDEX(합계표[사번],$X744)&amp;"")</f>
        <v/>
      </c>
      <c r="B744">
        <f>IF($X744="","",INDEX(합계표[성명],$X744)&amp;"")</f>
        <v/>
      </c>
      <c r="C744">
        <f>IF($X744="","",INDEX(합계표[부서],$X744)&amp;"")</f>
        <v/>
      </c>
      <c r="D744">
        <f>IF($X744="","",INDEX(합계표[직위(요약)],$X744)&amp;"")</f>
        <v/>
      </c>
      <c r="E744">
        <f>IF($X744="","",INDEX(합계표[직급 공존],$X744)&amp;"")</f>
        <v/>
      </c>
      <c r="F744" s="20">
        <f>IF($X744="","",SUMIFS(합계표[시스템 합계],합계표[사번키],INDEX(합계표[사번키],$X744)))</f>
        <v/>
      </c>
      <c r="G744" s="20">
        <f>IF($X744="","",SUMIFS(상세표[기록 시간외],상세표[사번키],INDEX(합계표[사번키],$X744),상세표[기록월],대상월키))</f>
        <v/>
      </c>
      <c r="H744">
        <f>IF($X744="","",IF(ABS($F744-$G744)&lt;0.01,"일치","불일치(차이 "&amp;TEXT($G744-$F744,"0.00")&amp;")"))</f>
        <v/>
      </c>
      <c r="I744" s="20">
        <f>IF($X744="","",SUMIFS(상세표[기록 시간외],상세표[사번키],INDEX(합계표[사번키],$X744),상세표[기록월],대상월키,상세표[반영월],"&lt;&gt;"&amp;대상월키))</f>
        <v/>
      </c>
      <c r="J744" s="20">
        <f>IF($X744="","",SUMIFS(상세표[기록 시간외],상세표[사번키],INDEX(합계표[사번키],$X744),상세표[기록월],"&lt;&gt;"&amp;대상월키,상세표[반영월],대상월키))</f>
        <v/>
      </c>
      <c r="K744" s="20">
        <f>IF($X744="","",SUMIFS(상세표[기록 시간외],상세표[사번키],INDEX(합계표[사번키],$X744),상세표[반영월],대상월키))</f>
        <v/>
      </c>
      <c r="L744">
        <f>IF($X744="","",IFERROR(INDEX(월별근무지표[적용 급여병원],MATCH(INDEX(합계표[사번키],$X744)&amp;"|"&amp;대상월키,월별근무지표[키],0))&amp;"",IF(COUNTIF(기관표[사번키],INDEX(합계표[사번키],$X744))+COUNTIF(월별근무지표[사번키],INDEX(합계표[사번키],$X744))&gt;0,IFERROR(INDEX(기관표[급여지급병원(기준월)],MATCH(INDEX(합계표[사번키],$X744)&amp;"|"&amp;대상월키,기관표[키],0))&amp;"","—"),"—")))</f>
        <v/>
      </c>
      <c r="M744">
        <f>IF($X744="","",IF(NOT(COUNTIF(기관표[사번키],INDEX(합계표[사번키],$X744))+COUNTIF(월별근무지표[사번키],INDEX(합계표[사번키],$X744))&gt;0),"기관명단에 없음(다른 병원으로 발송)",IF($L744="서울병원","해당",IF(N($R744)&gt;0,"해당(말일 근무)",IF($L744="—","대상월 기관명단 없음(추가 필요)","비해당")))))</f>
        <v/>
      </c>
      <c r="N744" s="20">
        <f>IF($X744="","",SUMIFS(상세표[06~07시],상세표[사번키],INDEX(합계표[사번키],$X744),상세표[반영월],대상월키,상세표[반영 기관],"서울병원"))</f>
        <v/>
      </c>
      <c r="O744" s="20">
        <f>IF($X744="","",SUMIFS(상세표[07~18시],상세표[사번키],INDEX(합계표[사번키],$X744),상세표[반영월],대상월키,상세표[반영 기관],"서울병원"))</f>
        <v/>
      </c>
      <c r="P744" s="20">
        <f>IF($X744="","",SUMIFS(상세표[18~22시],상세표[사번키],INDEX(합계표[사번키],$X744),상세표[반영월],대상월키,상세표[반영 기관],"서울병원"))</f>
        <v/>
      </c>
      <c r="Q744" s="20">
        <f>IF($X744="","",SUMIFS(상세표[22~06시],상세표[사번키],INDEX(합계표[사번키],$X744),상세표[반영월],대상월키,상세표[반영 기관],"서울병원"))</f>
        <v/>
      </c>
      <c r="R744" s="20">
        <f>IF($X744="","",SUM($N744:$Q744))</f>
        <v/>
      </c>
      <c r="S744">
        <f>IF($X744="","",COUNTIFS(상세표[사번키],INDEX(합계표[사번키],$X744),상세표[반영월],대상월키,상세표[야간당직],1,상세표[야간 구분],"평일"))</f>
        <v/>
      </c>
      <c r="T744">
        <f>IF($X744="","",COUNTIFS(상세표[사번키],INDEX(합계표[사번키],$X744),상세표[반영월],대상월키,상세표[야간당직],1,상세표[야간 구분],"휴일"))</f>
        <v/>
      </c>
      <c r="U744">
        <f>IF($X744="","",COUNTIFS(상세표[사번키],INDEX(합계표[사번키],$X744),상세표[반영월],대상월키,상세표[야간당직],1,상세표[야간 구분],"평일",상세표[반영 기관],"서울병원"))</f>
        <v/>
      </c>
      <c r="V744">
        <f>IF($X744="","",COUNTIFS(상세표[사번키],INDEX(합계표[사번키],$X744),상세표[반영월],대상월키,상세표[야간당직],1,상세표[야간 구분],"휴일",상세표[반영 기관],"서울병원"))</f>
        <v/>
      </c>
      <c r="W744">
        <f>IF($X744="","",IF(ISNUMBER(MATCH(INDEX(합계표[사번키],$X744)&amp;"|"&amp;대상월키,월별근무지표[키],0)),"직접 입력",IF($L744="—","—","기관명단")))</f>
        <v/>
      </c>
      <c r="X744" s="4">
        <f>IFERROR(MATCH(739,합계표[판정순번],0),"")</f>
        <v/>
      </c>
    </row>
    <row r="745">
      <c r="A745">
        <f>IF($X745="","",INDEX(합계표[사번],$X745)&amp;"")</f>
        <v/>
      </c>
      <c r="B745">
        <f>IF($X745="","",INDEX(합계표[성명],$X745)&amp;"")</f>
        <v/>
      </c>
      <c r="C745">
        <f>IF($X745="","",INDEX(합계표[부서],$X745)&amp;"")</f>
        <v/>
      </c>
      <c r="D745">
        <f>IF($X745="","",INDEX(합계표[직위(요약)],$X745)&amp;"")</f>
        <v/>
      </c>
      <c r="E745">
        <f>IF($X745="","",INDEX(합계표[직급 공존],$X745)&amp;"")</f>
        <v/>
      </c>
      <c r="F745" s="20">
        <f>IF($X745="","",SUMIFS(합계표[시스템 합계],합계표[사번키],INDEX(합계표[사번키],$X745)))</f>
        <v/>
      </c>
      <c r="G745" s="20">
        <f>IF($X745="","",SUMIFS(상세표[기록 시간외],상세표[사번키],INDEX(합계표[사번키],$X745),상세표[기록월],대상월키))</f>
        <v/>
      </c>
      <c r="H745">
        <f>IF($X745="","",IF(ABS($F745-$G745)&lt;0.01,"일치","불일치(차이 "&amp;TEXT($G745-$F745,"0.00")&amp;")"))</f>
        <v/>
      </c>
      <c r="I745" s="20">
        <f>IF($X745="","",SUMIFS(상세표[기록 시간외],상세표[사번키],INDEX(합계표[사번키],$X745),상세표[기록월],대상월키,상세표[반영월],"&lt;&gt;"&amp;대상월키))</f>
        <v/>
      </c>
      <c r="J745" s="20">
        <f>IF($X745="","",SUMIFS(상세표[기록 시간외],상세표[사번키],INDEX(합계표[사번키],$X745),상세표[기록월],"&lt;&gt;"&amp;대상월키,상세표[반영월],대상월키))</f>
        <v/>
      </c>
      <c r="K745" s="20">
        <f>IF($X745="","",SUMIFS(상세표[기록 시간외],상세표[사번키],INDEX(합계표[사번키],$X745),상세표[반영월],대상월키))</f>
        <v/>
      </c>
      <c r="L745">
        <f>IF($X745="","",IFERROR(INDEX(월별근무지표[적용 급여병원],MATCH(INDEX(합계표[사번키],$X745)&amp;"|"&amp;대상월키,월별근무지표[키],0))&amp;"",IF(COUNTIF(기관표[사번키],INDEX(합계표[사번키],$X745))+COUNTIF(월별근무지표[사번키],INDEX(합계표[사번키],$X745))&gt;0,IFERROR(INDEX(기관표[급여지급병원(기준월)],MATCH(INDEX(합계표[사번키],$X745)&amp;"|"&amp;대상월키,기관표[키],0))&amp;"","—"),"—")))</f>
        <v/>
      </c>
      <c r="M745">
        <f>IF($X745="","",IF(NOT(COUNTIF(기관표[사번키],INDEX(합계표[사번키],$X745))+COUNTIF(월별근무지표[사번키],INDEX(합계표[사번키],$X745))&gt;0),"기관명단에 없음(다른 병원으로 발송)",IF($L745="서울병원","해당",IF(N($R745)&gt;0,"해당(말일 근무)",IF($L745="—","대상월 기관명단 없음(추가 필요)","비해당")))))</f>
        <v/>
      </c>
      <c r="N745" s="20">
        <f>IF($X745="","",SUMIFS(상세표[06~07시],상세표[사번키],INDEX(합계표[사번키],$X745),상세표[반영월],대상월키,상세표[반영 기관],"서울병원"))</f>
        <v/>
      </c>
      <c r="O745" s="20">
        <f>IF($X745="","",SUMIFS(상세표[07~18시],상세표[사번키],INDEX(합계표[사번키],$X745),상세표[반영월],대상월키,상세표[반영 기관],"서울병원"))</f>
        <v/>
      </c>
      <c r="P745" s="20">
        <f>IF($X745="","",SUMIFS(상세표[18~22시],상세표[사번키],INDEX(합계표[사번키],$X745),상세표[반영월],대상월키,상세표[반영 기관],"서울병원"))</f>
        <v/>
      </c>
      <c r="Q745" s="20">
        <f>IF($X745="","",SUMIFS(상세표[22~06시],상세표[사번키],INDEX(합계표[사번키],$X745),상세표[반영월],대상월키,상세표[반영 기관],"서울병원"))</f>
        <v/>
      </c>
      <c r="R745" s="20">
        <f>IF($X745="","",SUM($N745:$Q745))</f>
        <v/>
      </c>
      <c r="S745">
        <f>IF($X745="","",COUNTIFS(상세표[사번키],INDEX(합계표[사번키],$X745),상세표[반영월],대상월키,상세표[야간당직],1,상세표[야간 구분],"평일"))</f>
        <v/>
      </c>
      <c r="T745">
        <f>IF($X745="","",COUNTIFS(상세표[사번키],INDEX(합계표[사번키],$X745),상세표[반영월],대상월키,상세표[야간당직],1,상세표[야간 구분],"휴일"))</f>
        <v/>
      </c>
      <c r="U745">
        <f>IF($X745="","",COUNTIFS(상세표[사번키],INDEX(합계표[사번키],$X745),상세표[반영월],대상월키,상세표[야간당직],1,상세표[야간 구분],"평일",상세표[반영 기관],"서울병원"))</f>
        <v/>
      </c>
      <c r="V745">
        <f>IF($X745="","",COUNTIFS(상세표[사번키],INDEX(합계표[사번키],$X745),상세표[반영월],대상월키,상세표[야간당직],1,상세표[야간 구분],"휴일",상세표[반영 기관],"서울병원"))</f>
        <v/>
      </c>
      <c r="W745">
        <f>IF($X745="","",IF(ISNUMBER(MATCH(INDEX(합계표[사번키],$X745)&amp;"|"&amp;대상월키,월별근무지표[키],0)),"직접 입력",IF($L745="—","—","기관명단")))</f>
        <v/>
      </c>
      <c r="X745" s="4">
        <f>IFERROR(MATCH(740,합계표[판정순번],0),"")</f>
        <v/>
      </c>
    </row>
    <row r="746">
      <c r="A746">
        <f>IF($X746="","",INDEX(합계표[사번],$X746)&amp;"")</f>
        <v/>
      </c>
      <c r="B746">
        <f>IF($X746="","",INDEX(합계표[성명],$X746)&amp;"")</f>
        <v/>
      </c>
      <c r="C746">
        <f>IF($X746="","",INDEX(합계표[부서],$X746)&amp;"")</f>
        <v/>
      </c>
      <c r="D746">
        <f>IF($X746="","",INDEX(합계표[직위(요약)],$X746)&amp;"")</f>
        <v/>
      </c>
      <c r="E746">
        <f>IF($X746="","",INDEX(합계표[직급 공존],$X746)&amp;"")</f>
        <v/>
      </c>
      <c r="F746" s="20">
        <f>IF($X746="","",SUMIFS(합계표[시스템 합계],합계표[사번키],INDEX(합계표[사번키],$X746)))</f>
        <v/>
      </c>
      <c r="G746" s="20">
        <f>IF($X746="","",SUMIFS(상세표[기록 시간외],상세표[사번키],INDEX(합계표[사번키],$X746),상세표[기록월],대상월키))</f>
        <v/>
      </c>
      <c r="H746">
        <f>IF($X746="","",IF(ABS($F746-$G746)&lt;0.01,"일치","불일치(차이 "&amp;TEXT($G746-$F746,"0.00")&amp;")"))</f>
        <v/>
      </c>
      <c r="I746" s="20">
        <f>IF($X746="","",SUMIFS(상세표[기록 시간외],상세표[사번키],INDEX(합계표[사번키],$X746),상세표[기록월],대상월키,상세표[반영월],"&lt;&gt;"&amp;대상월키))</f>
        <v/>
      </c>
      <c r="J746" s="20">
        <f>IF($X746="","",SUMIFS(상세표[기록 시간외],상세표[사번키],INDEX(합계표[사번키],$X746),상세표[기록월],"&lt;&gt;"&amp;대상월키,상세표[반영월],대상월키))</f>
        <v/>
      </c>
      <c r="K746" s="20">
        <f>IF($X746="","",SUMIFS(상세표[기록 시간외],상세표[사번키],INDEX(합계표[사번키],$X746),상세표[반영월],대상월키))</f>
        <v/>
      </c>
      <c r="L746">
        <f>IF($X746="","",IFERROR(INDEX(월별근무지표[적용 급여병원],MATCH(INDEX(합계표[사번키],$X746)&amp;"|"&amp;대상월키,월별근무지표[키],0))&amp;"",IF(COUNTIF(기관표[사번키],INDEX(합계표[사번키],$X746))+COUNTIF(월별근무지표[사번키],INDEX(합계표[사번키],$X746))&gt;0,IFERROR(INDEX(기관표[급여지급병원(기준월)],MATCH(INDEX(합계표[사번키],$X746)&amp;"|"&amp;대상월키,기관표[키],0))&amp;"","—"),"—")))</f>
        <v/>
      </c>
      <c r="M746">
        <f>IF($X746="","",IF(NOT(COUNTIF(기관표[사번키],INDEX(합계표[사번키],$X746))+COUNTIF(월별근무지표[사번키],INDEX(합계표[사번키],$X746))&gt;0),"기관명단에 없음(다른 병원으로 발송)",IF($L746="서울병원","해당",IF(N($R746)&gt;0,"해당(말일 근무)",IF($L746="—","대상월 기관명단 없음(추가 필요)","비해당")))))</f>
        <v/>
      </c>
      <c r="N746" s="20">
        <f>IF($X746="","",SUMIFS(상세표[06~07시],상세표[사번키],INDEX(합계표[사번키],$X746),상세표[반영월],대상월키,상세표[반영 기관],"서울병원"))</f>
        <v/>
      </c>
      <c r="O746" s="20">
        <f>IF($X746="","",SUMIFS(상세표[07~18시],상세표[사번키],INDEX(합계표[사번키],$X746),상세표[반영월],대상월키,상세표[반영 기관],"서울병원"))</f>
        <v/>
      </c>
      <c r="P746" s="20">
        <f>IF($X746="","",SUMIFS(상세표[18~22시],상세표[사번키],INDEX(합계표[사번키],$X746),상세표[반영월],대상월키,상세표[반영 기관],"서울병원"))</f>
        <v/>
      </c>
      <c r="Q746" s="20">
        <f>IF($X746="","",SUMIFS(상세표[22~06시],상세표[사번키],INDEX(합계표[사번키],$X746),상세표[반영월],대상월키,상세표[반영 기관],"서울병원"))</f>
        <v/>
      </c>
      <c r="R746" s="20">
        <f>IF($X746="","",SUM($N746:$Q746))</f>
        <v/>
      </c>
      <c r="S746">
        <f>IF($X746="","",COUNTIFS(상세표[사번키],INDEX(합계표[사번키],$X746),상세표[반영월],대상월키,상세표[야간당직],1,상세표[야간 구분],"평일"))</f>
        <v/>
      </c>
      <c r="T746">
        <f>IF($X746="","",COUNTIFS(상세표[사번키],INDEX(합계표[사번키],$X746),상세표[반영월],대상월키,상세표[야간당직],1,상세표[야간 구분],"휴일"))</f>
        <v/>
      </c>
      <c r="U746">
        <f>IF($X746="","",COUNTIFS(상세표[사번키],INDEX(합계표[사번키],$X746),상세표[반영월],대상월키,상세표[야간당직],1,상세표[야간 구분],"평일",상세표[반영 기관],"서울병원"))</f>
        <v/>
      </c>
      <c r="V746">
        <f>IF($X746="","",COUNTIFS(상세표[사번키],INDEX(합계표[사번키],$X746),상세표[반영월],대상월키,상세표[야간당직],1,상세표[야간 구분],"휴일",상세표[반영 기관],"서울병원"))</f>
        <v/>
      </c>
      <c r="W746">
        <f>IF($X746="","",IF(ISNUMBER(MATCH(INDEX(합계표[사번키],$X746)&amp;"|"&amp;대상월키,월별근무지표[키],0)),"직접 입력",IF($L746="—","—","기관명단")))</f>
        <v/>
      </c>
      <c r="X746" s="4">
        <f>IFERROR(MATCH(741,합계표[판정순번],0),"")</f>
        <v/>
      </c>
    </row>
    <row r="747">
      <c r="A747">
        <f>IF($X747="","",INDEX(합계표[사번],$X747)&amp;"")</f>
        <v/>
      </c>
      <c r="B747">
        <f>IF($X747="","",INDEX(합계표[성명],$X747)&amp;"")</f>
        <v/>
      </c>
      <c r="C747">
        <f>IF($X747="","",INDEX(합계표[부서],$X747)&amp;"")</f>
        <v/>
      </c>
      <c r="D747">
        <f>IF($X747="","",INDEX(합계표[직위(요약)],$X747)&amp;"")</f>
        <v/>
      </c>
      <c r="E747">
        <f>IF($X747="","",INDEX(합계표[직급 공존],$X747)&amp;"")</f>
        <v/>
      </c>
      <c r="F747" s="20">
        <f>IF($X747="","",SUMIFS(합계표[시스템 합계],합계표[사번키],INDEX(합계표[사번키],$X747)))</f>
        <v/>
      </c>
      <c r="G747" s="20">
        <f>IF($X747="","",SUMIFS(상세표[기록 시간외],상세표[사번키],INDEX(합계표[사번키],$X747),상세표[기록월],대상월키))</f>
        <v/>
      </c>
      <c r="H747">
        <f>IF($X747="","",IF(ABS($F747-$G747)&lt;0.01,"일치","불일치(차이 "&amp;TEXT($G747-$F747,"0.00")&amp;")"))</f>
        <v/>
      </c>
      <c r="I747" s="20">
        <f>IF($X747="","",SUMIFS(상세표[기록 시간외],상세표[사번키],INDEX(합계표[사번키],$X747),상세표[기록월],대상월키,상세표[반영월],"&lt;&gt;"&amp;대상월키))</f>
        <v/>
      </c>
      <c r="J747" s="20">
        <f>IF($X747="","",SUMIFS(상세표[기록 시간외],상세표[사번키],INDEX(합계표[사번키],$X747),상세표[기록월],"&lt;&gt;"&amp;대상월키,상세표[반영월],대상월키))</f>
        <v/>
      </c>
      <c r="K747" s="20">
        <f>IF($X747="","",SUMIFS(상세표[기록 시간외],상세표[사번키],INDEX(합계표[사번키],$X747),상세표[반영월],대상월키))</f>
        <v/>
      </c>
      <c r="L747">
        <f>IF($X747="","",IFERROR(INDEX(월별근무지표[적용 급여병원],MATCH(INDEX(합계표[사번키],$X747)&amp;"|"&amp;대상월키,월별근무지표[키],0))&amp;"",IF(COUNTIF(기관표[사번키],INDEX(합계표[사번키],$X747))+COUNTIF(월별근무지표[사번키],INDEX(합계표[사번키],$X747))&gt;0,IFERROR(INDEX(기관표[급여지급병원(기준월)],MATCH(INDEX(합계표[사번키],$X747)&amp;"|"&amp;대상월키,기관표[키],0))&amp;"","—"),"—")))</f>
        <v/>
      </c>
      <c r="M747">
        <f>IF($X747="","",IF(NOT(COUNTIF(기관표[사번키],INDEX(합계표[사번키],$X747))+COUNTIF(월별근무지표[사번키],INDEX(합계표[사번키],$X747))&gt;0),"기관명단에 없음(다른 병원으로 발송)",IF($L747="서울병원","해당",IF(N($R747)&gt;0,"해당(말일 근무)",IF($L747="—","대상월 기관명단 없음(추가 필요)","비해당")))))</f>
        <v/>
      </c>
      <c r="N747" s="20">
        <f>IF($X747="","",SUMIFS(상세표[06~07시],상세표[사번키],INDEX(합계표[사번키],$X747),상세표[반영월],대상월키,상세표[반영 기관],"서울병원"))</f>
        <v/>
      </c>
      <c r="O747" s="20">
        <f>IF($X747="","",SUMIFS(상세표[07~18시],상세표[사번키],INDEX(합계표[사번키],$X747),상세표[반영월],대상월키,상세표[반영 기관],"서울병원"))</f>
        <v/>
      </c>
      <c r="P747" s="20">
        <f>IF($X747="","",SUMIFS(상세표[18~22시],상세표[사번키],INDEX(합계표[사번키],$X747),상세표[반영월],대상월키,상세표[반영 기관],"서울병원"))</f>
        <v/>
      </c>
      <c r="Q747" s="20">
        <f>IF($X747="","",SUMIFS(상세표[22~06시],상세표[사번키],INDEX(합계표[사번키],$X747),상세표[반영월],대상월키,상세표[반영 기관],"서울병원"))</f>
        <v/>
      </c>
      <c r="R747" s="20">
        <f>IF($X747="","",SUM($N747:$Q747))</f>
        <v/>
      </c>
      <c r="S747">
        <f>IF($X747="","",COUNTIFS(상세표[사번키],INDEX(합계표[사번키],$X747),상세표[반영월],대상월키,상세표[야간당직],1,상세표[야간 구분],"평일"))</f>
        <v/>
      </c>
      <c r="T747">
        <f>IF($X747="","",COUNTIFS(상세표[사번키],INDEX(합계표[사번키],$X747),상세표[반영월],대상월키,상세표[야간당직],1,상세표[야간 구분],"휴일"))</f>
        <v/>
      </c>
      <c r="U747">
        <f>IF($X747="","",COUNTIFS(상세표[사번키],INDEX(합계표[사번키],$X747),상세표[반영월],대상월키,상세표[야간당직],1,상세표[야간 구분],"평일",상세표[반영 기관],"서울병원"))</f>
        <v/>
      </c>
      <c r="V747">
        <f>IF($X747="","",COUNTIFS(상세표[사번키],INDEX(합계표[사번키],$X747),상세표[반영월],대상월키,상세표[야간당직],1,상세표[야간 구분],"휴일",상세표[반영 기관],"서울병원"))</f>
        <v/>
      </c>
      <c r="W747">
        <f>IF($X747="","",IF(ISNUMBER(MATCH(INDEX(합계표[사번키],$X747)&amp;"|"&amp;대상월키,월별근무지표[키],0)),"직접 입력",IF($L747="—","—","기관명단")))</f>
        <v/>
      </c>
      <c r="X747" s="4">
        <f>IFERROR(MATCH(742,합계표[판정순번],0),"")</f>
        <v/>
      </c>
    </row>
    <row r="748">
      <c r="A748">
        <f>IF($X748="","",INDEX(합계표[사번],$X748)&amp;"")</f>
        <v/>
      </c>
      <c r="B748">
        <f>IF($X748="","",INDEX(합계표[성명],$X748)&amp;"")</f>
        <v/>
      </c>
      <c r="C748">
        <f>IF($X748="","",INDEX(합계표[부서],$X748)&amp;"")</f>
        <v/>
      </c>
      <c r="D748">
        <f>IF($X748="","",INDEX(합계표[직위(요약)],$X748)&amp;"")</f>
        <v/>
      </c>
      <c r="E748">
        <f>IF($X748="","",INDEX(합계표[직급 공존],$X748)&amp;"")</f>
        <v/>
      </c>
      <c r="F748" s="20">
        <f>IF($X748="","",SUMIFS(합계표[시스템 합계],합계표[사번키],INDEX(합계표[사번키],$X748)))</f>
        <v/>
      </c>
      <c r="G748" s="20">
        <f>IF($X748="","",SUMIFS(상세표[기록 시간외],상세표[사번키],INDEX(합계표[사번키],$X748),상세표[기록월],대상월키))</f>
        <v/>
      </c>
      <c r="H748">
        <f>IF($X748="","",IF(ABS($F748-$G748)&lt;0.01,"일치","불일치(차이 "&amp;TEXT($G748-$F748,"0.00")&amp;")"))</f>
        <v/>
      </c>
      <c r="I748" s="20">
        <f>IF($X748="","",SUMIFS(상세표[기록 시간외],상세표[사번키],INDEX(합계표[사번키],$X748),상세표[기록월],대상월키,상세표[반영월],"&lt;&gt;"&amp;대상월키))</f>
        <v/>
      </c>
      <c r="J748" s="20">
        <f>IF($X748="","",SUMIFS(상세표[기록 시간외],상세표[사번키],INDEX(합계표[사번키],$X748),상세표[기록월],"&lt;&gt;"&amp;대상월키,상세표[반영월],대상월키))</f>
        <v/>
      </c>
      <c r="K748" s="20">
        <f>IF($X748="","",SUMIFS(상세표[기록 시간외],상세표[사번키],INDEX(합계표[사번키],$X748),상세표[반영월],대상월키))</f>
        <v/>
      </c>
      <c r="L748">
        <f>IF($X748="","",IFERROR(INDEX(월별근무지표[적용 급여병원],MATCH(INDEX(합계표[사번키],$X748)&amp;"|"&amp;대상월키,월별근무지표[키],0))&amp;"",IF(COUNTIF(기관표[사번키],INDEX(합계표[사번키],$X748))+COUNTIF(월별근무지표[사번키],INDEX(합계표[사번키],$X748))&gt;0,IFERROR(INDEX(기관표[급여지급병원(기준월)],MATCH(INDEX(합계표[사번키],$X748)&amp;"|"&amp;대상월키,기관표[키],0))&amp;"","—"),"—")))</f>
        <v/>
      </c>
      <c r="M748">
        <f>IF($X748="","",IF(NOT(COUNTIF(기관표[사번키],INDEX(합계표[사번키],$X748))+COUNTIF(월별근무지표[사번키],INDEX(합계표[사번키],$X748))&gt;0),"기관명단에 없음(다른 병원으로 발송)",IF($L748="서울병원","해당",IF(N($R748)&gt;0,"해당(말일 근무)",IF($L748="—","대상월 기관명단 없음(추가 필요)","비해당")))))</f>
        <v/>
      </c>
      <c r="N748" s="20">
        <f>IF($X748="","",SUMIFS(상세표[06~07시],상세표[사번키],INDEX(합계표[사번키],$X748),상세표[반영월],대상월키,상세표[반영 기관],"서울병원"))</f>
        <v/>
      </c>
      <c r="O748" s="20">
        <f>IF($X748="","",SUMIFS(상세표[07~18시],상세표[사번키],INDEX(합계표[사번키],$X748),상세표[반영월],대상월키,상세표[반영 기관],"서울병원"))</f>
        <v/>
      </c>
      <c r="P748" s="20">
        <f>IF($X748="","",SUMIFS(상세표[18~22시],상세표[사번키],INDEX(합계표[사번키],$X748),상세표[반영월],대상월키,상세표[반영 기관],"서울병원"))</f>
        <v/>
      </c>
      <c r="Q748" s="20">
        <f>IF($X748="","",SUMIFS(상세표[22~06시],상세표[사번키],INDEX(합계표[사번키],$X748),상세표[반영월],대상월키,상세표[반영 기관],"서울병원"))</f>
        <v/>
      </c>
      <c r="R748" s="20">
        <f>IF($X748="","",SUM($N748:$Q748))</f>
        <v/>
      </c>
      <c r="S748">
        <f>IF($X748="","",COUNTIFS(상세표[사번키],INDEX(합계표[사번키],$X748),상세표[반영월],대상월키,상세표[야간당직],1,상세표[야간 구분],"평일"))</f>
        <v/>
      </c>
      <c r="T748">
        <f>IF($X748="","",COUNTIFS(상세표[사번키],INDEX(합계표[사번키],$X748),상세표[반영월],대상월키,상세표[야간당직],1,상세표[야간 구분],"휴일"))</f>
        <v/>
      </c>
      <c r="U748">
        <f>IF($X748="","",COUNTIFS(상세표[사번키],INDEX(합계표[사번키],$X748),상세표[반영월],대상월키,상세표[야간당직],1,상세표[야간 구분],"평일",상세표[반영 기관],"서울병원"))</f>
        <v/>
      </c>
      <c r="V748">
        <f>IF($X748="","",COUNTIFS(상세표[사번키],INDEX(합계표[사번키],$X748),상세표[반영월],대상월키,상세표[야간당직],1,상세표[야간 구분],"휴일",상세표[반영 기관],"서울병원"))</f>
        <v/>
      </c>
      <c r="W748">
        <f>IF($X748="","",IF(ISNUMBER(MATCH(INDEX(합계표[사번키],$X748)&amp;"|"&amp;대상월키,월별근무지표[키],0)),"직접 입력",IF($L748="—","—","기관명단")))</f>
        <v/>
      </c>
      <c r="X748" s="4">
        <f>IFERROR(MATCH(743,합계표[판정순번],0),"")</f>
        <v/>
      </c>
    </row>
    <row r="749">
      <c r="A749">
        <f>IF($X749="","",INDEX(합계표[사번],$X749)&amp;"")</f>
        <v/>
      </c>
      <c r="B749">
        <f>IF($X749="","",INDEX(합계표[성명],$X749)&amp;"")</f>
        <v/>
      </c>
      <c r="C749">
        <f>IF($X749="","",INDEX(합계표[부서],$X749)&amp;"")</f>
        <v/>
      </c>
      <c r="D749">
        <f>IF($X749="","",INDEX(합계표[직위(요약)],$X749)&amp;"")</f>
        <v/>
      </c>
      <c r="E749">
        <f>IF($X749="","",INDEX(합계표[직급 공존],$X749)&amp;"")</f>
        <v/>
      </c>
      <c r="F749" s="20">
        <f>IF($X749="","",SUMIFS(합계표[시스템 합계],합계표[사번키],INDEX(합계표[사번키],$X749)))</f>
        <v/>
      </c>
      <c r="G749" s="20">
        <f>IF($X749="","",SUMIFS(상세표[기록 시간외],상세표[사번키],INDEX(합계표[사번키],$X749),상세표[기록월],대상월키))</f>
        <v/>
      </c>
      <c r="H749">
        <f>IF($X749="","",IF(ABS($F749-$G749)&lt;0.01,"일치","불일치(차이 "&amp;TEXT($G749-$F749,"0.00")&amp;")"))</f>
        <v/>
      </c>
      <c r="I749" s="20">
        <f>IF($X749="","",SUMIFS(상세표[기록 시간외],상세표[사번키],INDEX(합계표[사번키],$X749),상세표[기록월],대상월키,상세표[반영월],"&lt;&gt;"&amp;대상월키))</f>
        <v/>
      </c>
      <c r="J749" s="20">
        <f>IF($X749="","",SUMIFS(상세표[기록 시간외],상세표[사번키],INDEX(합계표[사번키],$X749),상세표[기록월],"&lt;&gt;"&amp;대상월키,상세표[반영월],대상월키))</f>
        <v/>
      </c>
      <c r="K749" s="20">
        <f>IF($X749="","",SUMIFS(상세표[기록 시간외],상세표[사번키],INDEX(합계표[사번키],$X749),상세표[반영월],대상월키))</f>
        <v/>
      </c>
      <c r="L749">
        <f>IF($X749="","",IFERROR(INDEX(월별근무지표[적용 급여병원],MATCH(INDEX(합계표[사번키],$X749)&amp;"|"&amp;대상월키,월별근무지표[키],0))&amp;"",IF(COUNTIF(기관표[사번키],INDEX(합계표[사번키],$X749))+COUNTIF(월별근무지표[사번키],INDEX(합계표[사번키],$X749))&gt;0,IFERROR(INDEX(기관표[급여지급병원(기준월)],MATCH(INDEX(합계표[사번키],$X749)&amp;"|"&amp;대상월키,기관표[키],0))&amp;"","—"),"—")))</f>
        <v/>
      </c>
      <c r="M749">
        <f>IF($X749="","",IF(NOT(COUNTIF(기관표[사번키],INDEX(합계표[사번키],$X749))+COUNTIF(월별근무지표[사번키],INDEX(합계표[사번키],$X749))&gt;0),"기관명단에 없음(다른 병원으로 발송)",IF($L749="서울병원","해당",IF(N($R749)&gt;0,"해당(말일 근무)",IF($L749="—","대상월 기관명단 없음(추가 필요)","비해당")))))</f>
        <v/>
      </c>
      <c r="N749" s="20">
        <f>IF($X749="","",SUMIFS(상세표[06~07시],상세표[사번키],INDEX(합계표[사번키],$X749),상세표[반영월],대상월키,상세표[반영 기관],"서울병원"))</f>
        <v/>
      </c>
      <c r="O749" s="20">
        <f>IF($X749="","",SUMIFS(상세표[07~18시],상세표[사번키],INDEX(합계표[사번키],$X749),상세표[반영월],대상월키,상세표[반영 기관],"서울병원"))</f>
        <v/>
      </c>
      <c r="P749" s="20">
        <f>IF($X749="","",SUMIFS(상세표[18~22시],상세표[사번키],INDEX(합계표[사번키],$X749),상세표[반영월],대상월키,상세표[반영 기관],"서울병원"))</f>
        <v/>
      </c>
      <c r="Q749" s="20">
        <f>IF($X749="","",SUMIFS(상세표[22~06시],상세표[사번키],INDEX(합계표[사번키],$X749),상세표[반영월],대상월키,상세표[반영 기관],"서울병원"))</f>
        <v/>
      </c>
      <c r="R749" s="20">
        <f>IF($X749="","",SUM($N749:$Q749))</f>
        <v/>
      </c>
      <c r="S749">
        <f>IF($X749="","",COUNTIFS(상세표[사번키],INDEX(합계표[사번키],$X749),상세표[반영월],대상월키,상세표[야간당직],1,상세표[야간 구분],"평일"))</f>
        <v/>
      </c>
      <c r="T749">
        <f>IF($X749="","",COUNTIFS(상세표[사번키],INDEX(합계표[사번키],$X749),상세표[반영월],대상월키,상세표[야간당직],1,상세표[야간 구분],"휴일"))</f>
        <v/>
      </c>
      <c r="U749">
        <f>IF($X749="","",COUNTIFS(상세표[사번키],INDEX(합계표[사번키],$X749),상세표[반영월],대상월키,상세표[야간당직],1,상세표[야간 구분],"평일",상세표[반영 기관],"서울병원"))</f>
        <v/>
      </c>
      <c r="V749">
        <f>IF($X749="","",COUNTIFS(상세표[사번키],INDEX(합계표[사번키],$X749),상세표[반영월],대상월키,상세표[야간당직],1,상세표[야간 구분],"휴일",상세표[반영 기관],"서울병원"))</f>
        <v/>
      </c>
      <c r="W749">
        <f>IF($X749="","",IF(ISNUMBER(MATCH(INDEX(합계표[사번키],$X749)&amp;"|"&amp;대상월키,월별근무지표[키],0)),"직접 입력",IF($L749="—","—","기관명단")))</f>
        <v/>
      </c>
      <c r="X749" s="4">
        <f>IFERROR(MATCH(744,합계표[판정순번],0),"")</f>
        <v/>
      </c>
    </row>
    <row r="750">
      <c r="A750">
        <f>IF($X750="","",INDEX(합계표[사번],$X750)&amp;"")</f>
        <v/>
      </c>
      <c r="B750">
        <f>IF($X750="","",INDEX(합계표[성명],$X750)&amp;"")</f>
        <v/>
      </c>
      <c r="C750">
        <f>IF($X750="","",INDEX(합계표[부서],$X750)&amp;"")</f>
        <v/>
      </c>
      <c r="D750">
        <f>IF($X750="","",INDEX(합계표[직위(요약)],$X750)&amp;"")</f>
        <v/>
      </c>
      <c r="E750">
        <f>IF($X750="","",INDEX(합계표[직급 공존],$X750)&amp;"")</f>
        <v/>
      </c>
      <c r="F750" s="20">
        <f>IF($X750="","",SUMIFS(합계표[시스템 합계],합계표[사번키],INDEX(합계표[사번키],$X750)))</f>
        <v/>
      </c>
      <c r="G750" s="20">
        <f>IF($X750="","",SUMIFS(상세표[기록 시간외],상세표[사번키],INDEX(합계표[사번키],$X750),상세표[기록월],대상월키))</f>
        <v/>
      </c>
      <c r="H750">
        <f>IF($X750="","",IF(ABS($F750-$G750)&lt;0.01,"일치","불일치(차이 "&amp;TEXT($G750-$F750,"0.00")&amp;")"))</f>
        <v/>
      </c>
      <c r="I750" s="20">
        <f>IF($X750="","",SUMIFS(상세표[기록 시간외],상세표[사번키],INDEX(합계표[사번키],$X750),상세표[기록월],대상월키,상세표[반영월],"&lt;&gt;"&amp;대상월키))</f>
        <v/>
      </c>
      <c r="J750" s="20">
        <f>IF($X750="","",SUMIFS(상세표[기록 시간외],상세표[사번키],INDEX(합계표[사번키],$X750),상세표[기록월],"&lt;&gt;"&amp;대상월키,상세표[반영월],대상월키))</f>
        <v/>
      </c>
      <c r="K750" s="20">
        <f>IF($X750="","",SUMIFS(상세표[기록 시간외],상세표[사번키],INDEX(합계표[사번키],$X750),상세표[반영월],대상월키))</f>
        <v/>
      </c>
      <c r="L750">
        <f>IF($X750="","",IFERROR(INDEX(월별근무지표[적용 급여병원],MATCH(INDEX(합계표[사번키],$X750)&amp;"|"&amp;대상월키,월별근무지표[키],0))&amp;"",IF(COUNTIF(기관표[사번키],INDEX(합계표[사번키],$X750))+COUNTIF(월별근무지표[사번키],INDEX(합계표[사번키],$X750))&gt;0,IFERROR(INDEX(기관표[급여지급병원(기준월)],MATCH(INDEX(합계표[사번키],$X750)&amp;"|"&amp;대상월키,기관표[키],0))&amp;"","—"),"—")))</f>
        <v/>
      </c>
      <c r="M750">
        <f>IF($X750="","",IF(NOT(COUNTIF(기관표[사번키],INDEX(합계표[사번키],$X750))+COUNTIF(월별근무지표[사번키],INDEX(합계표[사번키],$X750))&gt;0),"기관명단에 없음(다른 병원으로 발송)",IF($L750="서울병원","해당",IF(N($R750)&gt;0,"해당(말일 근무)",IF($L750="—","대상월 기관명단 없음(추가 필요)","비해당")))))</f>
        <v/>
      </c>
      <c r="N750" s="20">
        <f>IF($X750="","",SUMIFS(상세표[06~07시],상세표[사번키],INDEX(합계표[사번키],$X750),상세표[반영월],대상월키,상세표[반영 기관],"서울병원"))</f>
        <v/>
      </c>
      <c r="O750" s="20">
        <f>IF($X750="","",SUMIFS(상세표[07~18시],상세표[사번키],INDEX(합계표[사번키],$X750),상세표[반영월],대상월키,상세표[반영 기관],"서울병원"))</f>
        <v/>
      </c>
      <c r="P750" s="20">
        <f>IF($X750="","",SUMIFS(상세표[18~22시],상세표[사번키],INDEX(합계표[사번키],$X750),상세표[반영월],대상월키,상세표[반영 기관],"서울병원"))</f>
        <v/>
      </c>
      <c r="Q750" s="20">
        <f>IF($X750="","",SUMIFS(상세표[22~06시],상세표[사번키],INDEX(합계표[사번키],$X750),상세표[반영월],대상월키,상세표[반영 기관],"서울병원"))</f>
        <v/>
      </c>
      <c r="R750" s="20">
        <f>IF($X750="","",SUM($N750:$Q750))</f>
        <v/>
      </c>
      <c r="S750">
        <f>IF($X750="","",COUNTIFS(상세표[사번키],INDEX(합계표[사번키],$X750),상세표[반영월],대상월키,상세표[야간당직],1,상세표[야간 구분],"평일"))</f>
        <v/>
      </c>
      <c r="T750">
        <f>IF($X750="","",COUNTIFS(상세표[사번키],INDEX(합계표[사번키],$X750),상세표[반영월],대상월키,상세표[야간당직],1,상세표[야간 구분],"휴일"))</f>
        <v/>
      </c>
      <c r="U750">
        <f>IF($X750="","",COUNTIFS(상세표[사번키],INDEX(합계표[사번키],$X750),상세표[반영월],대상월키,상세표[야간당직],1,상세표[야간 구분],"평일",상세표[반영 기관],"서울병원"))</f>
        <v/>
      </c>
      <c r="V750">
        <f>IF($X750="","",COUNTIFS(상세표[사번키],INDEX(합계표[사번키],$X750),상세표[반영월],대상월키,상세표[야간당직],1,상세표[야간 구분],"휴일",상세표[반영 기관],"서울병원"))</f>
        <v/>
      </c>
      <c r="W750">
        <f>IF($X750="","",IF(ISNUMBER(MATCH(INDEX(합계표[사번키],$X750)&amp;"|"&amp;대상월키,월별근무지표[키],0)),"직접 입력",IF($L750="—","—","기관명단")))</f>
        <v/>
      </c>
      <c r="X750" s="4">
        <f>IFERROR(MATCH(745,합계표[판정순번],0),"")</f>
        <v/>
      </c>
    </row>
    <row r="751">
      <c r="A751">
        <f>IF($X751="","",INDEX(합계표[사번],$X751)&amp;"")</f>
        <v/>
      </c>
      <c r="B751">
        <f>IF($X751="","",INDEX(합계표[성명],$X751)&amp;"")</f>
        <v/>
      </c>
      <c r="C751">
        <f>IF($X751="","",INDEX(합계표[부서],$X751)&amp;"")</f>
        <v/>
      </c>
      <c r="D751">
        <f>IF($X751="","",INDEX(합계표[직위(요약)],$X751)&amp;"")</f>
        <v/>
      </c>
      <c r="E751">
        <f>IF($X751="","",INDEX(합계표[직급 공존],$X751)&amp;"")</f>
        <v/>
      </c>
      <c r="F751" s="20">
        <f>IF($X751="","",SUMIFS(합계표[시스템 합계],합계표[사번키],INDEX(합계표[사번키],$X751)))</f>
        <v/>
      </c>
      <c r="G751" s="20">
        <f>IF($X751="","",SUMIFS(상세표[기록 시간외],상세표[사번키],INDEX(합계표[사번키],$X751),상세표[기록월],대상월키))</f>
        <v/>
      </c>
      <c r="H751">
        <f>IF($X751="","",IF(ABS($F751-$G751)&lt;0.01,"일치","불일치(차이 "&amp;TEXT($G751-$F751,"0.00")&amp;")"))</f>
        <v/>
      </c>
      <c r="I751" s="20">
        <f>IF($X751="","",SUMIFS(상세표[기록 시간외],상세표[사번키],INDEX(합계표[사번키],$X751),상세표[기록월],대상월키,상세표[반영월],"&lt;&gt;"&amp;대상월키))</f>
        <v/>
      </c>
      <c r="J751" s="20">
        <f>IF($X751="","",SUMIFS(상세표[기록 시간외],상세표[사번키],INDEX(합계표[사번키],$X751),상세표[기록월],"&lt;&gt;"&amp;대상월키,상세표[반영월],대상월키))</f>
        <v/>
      </c>
      <c r="K751" s="20">
        <f>IF($X751="","",SUMIFS(상세표[기록 시간외],상세표[사번키],INDEX(합계표[사번키],$X751),상세표[반영월],대상월키))</f>
        <v/>
      </c>
      <c r="L751">
        <f>IF($X751="","",IFERROR(INDEX(월별근무지표[적용 급여병원],MATCH(INDEX(합계표[사번키],$X751)&amp;"|"&amp;대상월키,월별근무지표[키],0))&amp;"",IF(COUNTIF(기관표[사번키],INDEX(합계표[사번키],$X751))+COUNTIF(월별근무지표[사번키],INDEX(합계표[사번키],$X751))&gt;0,IFERROR(INDEX(기관표[급여지급병원(기준월)],MATCH(INDEX(합계표[사번키],$X751)&amp;"|"&amp;대상월키,기관표[키],0))&amp;"","—"),"—")))</f>
        <v/>
      </c>
      <c r="M751">
        <f>IF($X751="","",IF(NOT(COUNTIF(기관표[사번키],INDEX(합계표[사번키],$X751))+COUNTIF(월별근무지표[사번키],INDEX(합계표[사번키],$X751))&gt;0),"기관명단에 없음(다른 병원으로 발송)",IF($L751="서울병원","해당",IF(N($R751)&gt;0,"해당(말일 근무)",IF($L751="—","대상월 기관명단 없음(추가 필요)","비해당")))))</f>
        <v/>
      </c>
      <c r="N751" s="20">
        <f>IF($X751="","",SUMIFS(상세표[06~07시],상세표[사번키],INDEX(합계표[사번키],$X751),상세표[반영월],대상월키,상세표[반영 기관],"서울병원"))</f>
        <v/>
      </c>
      <c r="O751" s="20">
        <f>IF($X751="","",SUMIFS(상세표[07~18시],상세표[사번키],INDEX(합계표[사번키],$X751),상세표[반영월],대상월키,상세표[반영 기관],"서울병원"))</f>
        <v/>
      </c>
      <c r="P751" s="20">
        <f>IF($X751="","",SUMIFS(상세표[18~22시],상세표[사번키],INDEX(합계표[사번키],$X751),상세표[반영월],대상월키,상세표[반영 기관],"서울병원"))</f>
        <v/>
      </c>
      <c r="Q751" s="20">
        <f>IF($X751="","",SUMIFS(상세표[22~06시],상세표[사번키],INDEX(합계표[사번키],$X751),상세표[반영월],대상월키,상세표[반영 기관],"서울병원"))</f>
        <v/>
      </c>
      <c r="R751" s="20">
        <f>IF($X751="","",SUM($N751:$Q751))</f>
        <v/>
      </c>
      <c r="S751">
        <f>IF($X751="","",COUNTIFS(상세표[사번키],INDEX(합계표[사번키],$X751),상세표[반영월],대상월키,상세표[야간당직],1,상세표[야간 구분],"평일"))</f>
        <v/>
      </c>
      <c r="T751">
        <f>IF($X751="","",COUNTIFS(상세표[사번키],INDEX(합계표[사번키],$X751),상세표[반영월],대상월키,상세표[야간당직],1,상세표[야간 구분],"휴일"))</f>
        <v/>
      </c>
      <c r="U751">
        <f>IF($X751="","",COUNTIFS(상세표[사번키],INDEX(합계표[사번키],$X751),상세표[반영월],대상월키,상세표[야간당직],1,상세표[야간 구분],"평일",상세표[반영 기관],"서울병원"))</f>
        <v/>
      </c>
      <c r="V751">
        <f>IF($X751="","",COUNTIFS(상세표[사번키],INDEX(합계표[사번키],$X751),상세표[반영월],대상월키,상세표[야간당직],1,상세표[야간 구분],"휴일",상세표[반영 기관],"서울병원"))</f>
        <v/>
      </c>
      <c r="W751">
        <f>IF($X751="","",IF(ISNUMBER(MATCH(INDEX(합계표[사번키],$X751)&amp;"|"&amp;대상월키,월별근무지표[키],0)),"직접 입력",IF($L751="—","—","기관명단")))</f>
        <v/>
      </c>
      <c r="X751" s="4">
        <f>IFERROR(MATCH(746,합계표[판정순번],0),"")</f>
        <v/>
      </c>
    </row>
    <row r="752">
      <c r="A752">
        <f>IF($X752="","",INDEX(합계표[사번],$X752)&amp;"")</f>
        <v/>
      </c>
      <c r="B752">
        <f>IF($X752="","",INDEX(합계표[성명],$X752)&amp;"")</f>
        <v/>
      </c>
      <c r="C752">
        <f>IF($X752="","",INDEX(합계표[부서],$X752)&amp;"")</f>
        <v/>
      </c>
      <c r="D752">
        <f>IF($X752="","",INDEX(합계표[직위(요약)],$X752)&amp;"")</f>
        <v/>
      </c>
      <c r="E752">
        <f>IF($X752="","",INDEX(합계표[직급 공존],$X752)&amp;"")</f>
        <v/>
      </c>
      <c r="F752" s="20">
        <f>IF($X752="","",SUMIFS(합계표[시스템 합계],합계표[사번키],INDEX(합계표[사번키],$X752)))</f>
        <v/>
      </c>
      <c r="G752" s="20">
        <f>IF($X752="","",SUMIFS(상세표[기록 시간외],상세표[사번키],INDEX(합계표[사번키],$X752),상세표[기록월],대상월키))</f>
        <v/>
      </c>
      <c r="H752">
        <f>IF($X752="","",IF(ABS($F752-$G752)&lt;0.01,"일치","불일치(차이 "&amp;TEXT($G752-$F752,"0.00")&amp;")"))</f>
        <v/>
      </c>
      <c r="I752" s="20">
        <f>IF($X752="","",SUMIFS(상세표[기록 시간외],상세표[사번키],INDEX(합계표[사번키],$X752),상세표[기록월],대상월키,상세표[반영월],"&lt;&gt;"&amp;대상월키))</f>
        <v/>
      </c>
      <c r="J752" s="20">
        <f>IF($X752="","",SUMIFS(상세표[기록 시간외],상세표[사번키],INDEX(합계표[사번키],$X752),상세표[기록월],"&lt;&gt;"&amp;대상월키,상세표[반영월],대상월키))</f>
        <v/>
      </c>
      <c r="K752" s="20">
        <f>IF($X752="","",SUMIFS(상세표[기록 시간외],상세표[사번키],INDEX(합계표[사번키],$X752),상세표[반영월],대상월키))</f>
        <v/>
      </c>
      <c r="L752">
        <f>IF($X752="","",IFERROR(INDEX(월별근무지표[적용 급여병원],MATCH(INDEX(합계표[사번키],$X752)&amp;"|"&amp;대상월키,월별근무지표[키],0))&amp;"",IF(COUNTIF(기관표[사번키],INDEX(합계표[사번키],$X752))+COUNTIF(월별근무지표[사번키],INDEX(합계표[사번키],$X752))&gt;0,IFERROR(INDEX(기관표[급여지급병원(기준월)],MATCH(INDEX(합계표[사번키],$X752)&amp;"|"&amp;대상월키,기관표[키],0))&amp;"","—"),"—")))</f>
        <v/>
      </c>
      <c r="M752">
        <f>IF($X752="","",IF(NOT(COUNTIF(기관표[사번키],INDEX(합계표[사번키],$X752))+COUNTIF(월별근무지표[사번키],INDEX(합계표[사번키],$X752))&gt;0),"기관명단에 없음(다른 병원으로 발송)",IF($L752="서울병원","해당",IF(N($R752)&gt;0,"해당(말일 근무)",IF($L752="—","대상월 기관명단 없음(추가 필요)","비해당")))))</f>
        <v/>
      </c>
      <c r="N752" s="20">
        <f>IF($X752="","",SUMIFS(상세표[06~07시],상세표[사번키],INDEX(합계표[사번키],$X752),상세표[반영월],대상월키,상세표[반영 기관],"서울병원"))</f>
        <v/>
      </c>
      <c r="O752" s="20">
        <f>IF($X752="","",SUMIFS(상세표[07~18시],상세표[사번키],INDEX(합계표[사번키],$X752),상세표[반영월],대상월키,상세표[반영 기관],"서울병원"))</f>
        <v/>
      </c>
      <c r="P752" s="20">
        <f>IF($X752="","",SUMIFS(상세표[18~22시],상세표[사번키],INDEX(합계표[사번키],$X752),상세표[반영월],대상월키,상세표[반영 기관],"서울병원"))</f>
        <v/>
      </c>
      <c r="Q752" s="20">
        <f>IF($X752="","",SUMIFS(상세표[22~06시],상세표[사번키],INDEX(합계표[사번키],$X752),상세표[반영월],대상월키,상세표[반영 기관],"서울병원"))</f>
        <v/>
      </c>
      <c r="R752" s="20">
        <f>IF($X752="","",SUM($N752:$Q752))</f>
        <v/>
      </c>
      <c r="S752">
        <f>IF($X752="","",COUNTIFS(상세표[사번키],INDEX(합계표[사번키],$X752),상세표[반영월],대상월키,상세표[야간당직],1,상세표[야간 구분],"평일"))</f>
        <v/>
      </c>
      <c r="T752">
        <f>IF($X752="","",COUNTIFS(상세표[사번키],INDEX(합계표[사번키],$X752),상세표[반영월],대상월키,상세표[야간당직],1,상세표[야간 구분],"휴일"))</f>
        <v/>
      </c>
      <c r="U752">
        <f>IF($X752="","",COUNTIFS(상세표[사번키],INDEX(합계표[사번키],$X752),상세표[반영월],대상월키,상세표[야간당직],1,상세표[야간 구분],"평일",상세표[반영 기관],"서울병원"))</f>
        <v/>
      </c>
      <c r="V752">
        <f>IF($X752="","",COUNTIFS(상세표[사번키],INDEX(합계표[사번키],$X752),상세표[반영월],대상월키,상세표[야간당직],1,상세표[야간 구분],"휴일",상세표[반영 기관],"서울병원"))</f>
        <v/>
      </c>
      <c r="W752">
        <f>IF($X752="","",IF(ISNUMBER(MATCH(INDEX(합계표[사번키],$X752)&amp;"|"&amp;대상월키,월별근무지표[키],0)),"직접 입력",IF($L752="—","—","기관명단")))</f>
        <v/>
      </c>
      <c r="X752" s="4">
        <f>IFERROR(MATCH(747,합계표[판정순번],0),"")</f>
        <v/>
      </c>
    </row>
    <row r="753">
      <c r="A753">
        <f>IF($X753="","",INDEX(합계표[사번],$X753)&amp;"")</f>
        <v/>
      </c>
      <c r="B753">
        <f>IF($X753="","",INDEX(합계표[성명],$X753)&amp;"")</f>
        <v/>
      </c>
      <c r="C753">
        <f>IF($X753="","",INDEX(합계표[부서],$X753)&amp;"")</f>
        <v/>
      </c>
      <c r="D753">
        <f>IF($X753="","",INDEX(합계표[직위(요약)],$X753)&amp;"")</f>
        <v/>
      </c>
      <c r="E753">
        <f>IF($X753="","",INDEX(합계표[직급 공존],$X753)&amp;"")</f>
        <v/>
      </c>
      <c r="F753" s="20">
        <f>IF($X753="","",SUMIFS(합계표[시스템 합계],합계표[사번키],INDEX(합계표[사번키],$X753)))</f>
        <v/>
      </c>
      <c r="G753" s="20">
        <f>IF($X753="","",SUMIFS(상세표[기록 시간외],상세표[사번키],INDEX(합계표[사번키],$X753),상세표[기록월],대상월키))</f>
        <v/>
      </c>
      <c r="H753">
        <f>IF($X753="","",IF(ABS($F753-$G753)&lt;0.01,"일치","불일치(차이 "&amp;TEXT($G753-$F753,"0.00")&amp;")"))</f>
        <v/>
      </c>
      <c r="I753" s="20">
        <f>IF($X753="","",SUMIFS(상세표[기록 시간외],상세표[사번키],INDEX(합계표[사번키],$X753),상세표[기록월],대상월키,상세표[반영월],"&lt;&gt;"&amp;대상월키))</f>
        <v/>
      </c>
      <c r="J753" s="20">
        <f>IF($X753="","",SUMIFS(상세표[기록 시간외],상세표[사번키],INDEX(합계표[사번키],$X753),상세표[기록월],"&lt;&gt;"&amp;대상월키,상세표[반영월],대상월키))</f>
        <v/>
      </c>
      <c r="K753" s="20">
        <f>IF($X753="","",SUMIFS(상세표[기록 시간외],상세표[사번키],INDEX(합계표[사번키],$X753),상세표[반영월],대상월키))</f>
        <v/>
      </c>
      <c r="L753">
        <f>IF($X753="","",IFERROR(INDEX(월별근무지표[적용 급여병원],MATCH(INDEX(합계표[사번키],$X753)&amp;"|"&amp;대상월키,월별근무지표[키],0))&amp;"",IF(COUNTIF(기관표[사번키],INDEX(합계표[사번키],$X753))+COUNTIF(월별근무지표[사번키],INDEX(합계표[사번키],$X753))&gt;0,IFERROR(INDEX(기관표[급여지급병원(기준월)],MATCH(INDEX(합계표[사번키],$X753)&amp;"|"&amp;대상월키,기관표[키],0))&amp;"","—"),"—")))</f>
        <v/>
      </c>
      <c r="M753">
        <f>IF($X753="","",IF(NOT(COUNTIF(기관표[사번키],INDEX(합계표[사번키],$X753))+COUNTIF(월별근무지표[사번키],INDEX(합계표[사번키],$X753))&gt;0),"기관명단에 없음(다른 병원으로 발송)",IF($L753="서울병원","해당",IF(N($R753)&gt;0,"해당(말일 근무)",IF($L753="—","대상월 기관명단 없음(추가 필요)","비해당")))))</f>
        <v/>
      </c>
      <c r="N753" s="20">
        <f>IF($X753="","",SUMIFS(상세표[06~07시],상세표[사번키],INDEX(합계표[사번키],$X753),상세표[반영월],대상월키,상세표[반영 기관],"서울병원"))</f>
        <v/>
      </c>
      <c r="O753" s="20">
        <f>IF($X753="","",SUMIFS(상세표[07~18시],상세표[사번키],INDEX(합계표[사번키],$X753),상세표[반영월],대상월키,상세표[반영 기관],"서울병원"))</f>
        <v/>
      </c>
      <c r="P753" s="20">
        <f>IF($X753="","",SUMIFS(상세표[18~22시],상세표[사번키],INDEX(합계표[사번키],$X753),상세표[반영월],대상월키,상세표[반영 기관],"서울병원"))</f>
        <v/>
      </c>
      <c r="Q753" s="20">
        <f>IF($X753="","",SUMIFS(상세표[22~06시],상세표[사번키],INDEX(합계표[사번키],$X753),상세표[반영월],대상월키,상세표[반영 기관],"서울병원"))</f>
        <v/>
      </c>
      <c r="R753" s="20">
        <f>IF($X753="","",SUM($N753:$Q753))</f>
        <v/>
      </c>
      <c r="S753">
        <f>IF($X753="","",COUNTIFS(상세표[사번키],INDEX(합계표[사번키],$X753),상세표[반영월],대상월키,상세표[야간당직],1,상세표[야간 구분],"평일"))</f>
        <v/>
      </c>
      <c r="T753">
        <f>IF($X753="","",COUNTIFS(상세표[사번키],INDEX(합계표[사번키],$X753),상세표[반영월],대상월키,상세표[야간당직],1,상세표[야간 구분],"휴일"))</f>
        <v/>
      </c>
      <c r="U753">
        <f>IF($X753="","",COUNTIFS(상세표[사번키],INDEX(합계표[사번키],$X753),상세표[반영월],대상월키,상세표[야간당직],1,상세표[야간 구분],"평일",상세표[반영 기관],"서울병원"))</f>
        <v/>
      </c>
      <c r="V753">
        <f>IF($X753="","",COUNTIFS(상세표[사번키],INDEX(합계표[사번키],$X753),상세표[반영월],대상월키,상세표[야간당직],1,상세표[야간 구분],"휴일",상세표[반영 기관],"서울병원"))</f>
        <v/>
      </c>
      <c r="W753">
        <f>IF($X753="","",IF(ISNUMBER(MATCH(INDEX(합계표[사번키],$X753)&amp;"|"&amp;대상월키,월별근무지표[키],0)),"직접 입력",IF($L753="—","—","기관명단")))</f>
        <v/>
      </c>
      <c r="X753" s="4">
        <f>IFERROR(MATCH(748,합계표[판정순번],0),"")</f>
        <v/>
      </c>
    </row>
    <row r="754">
      <c r="A754">
        <f>IF($X754="","",INDEX(합계표[사번],$X754)&amp;"")</f>
        <v/>
      </c>
      <c r="B754">
        <f>IF($X754="","",INDEX(합계표[성명],$X754)&amp;"")</f>
        <v/>
      </c>
      <c r="C754">
        <f>IF($X754="","",INDEX(합계표[부서],$X754)&amp;"")</f>
        <v/>
      </c>
      <c r="D754">
        <f>IF($X754="","",INDEX(합계표[직위(요약)],$X754)&amp;"")</f>
        <v/>
      </c>
      <c r="E754">
        <f>IF($X754="","",INDEX(합계표[직급 공존],$X754)&amp;"")</f>
        <v/>
      </c>
      <c r="F754" s="20">
        <f>IF($X754="","",SUMIFS(합계표[시스템 합계],합계표[사번키],INDEX(합계표[사번키],$X754)))</f>
        <v/>
      </c>
      <c r="G754" s="20">
        <f>IF($X754="","",SUMIFS(상세표[기록 시간외],상세표[사번키],INDEX(합계표[사번키],$X754),상세표[기록월],대상월키))</f>
        <v/>
      </c>
      <c r="H754">
        <f>IF($X754="","",IF(ABS($F754-$G754)&lt;0.01,"일치","불일치(차이 "&amp;TEXT($G754-$F754,"0.00")&amp;")"))</f>
        <v/>
      </c>
      <c r="I754" s="20">
        <f>IF($X754="","",SUMIFS(상세표[기록 시간외],상세표[사번키],INDEX(합계표[사번키],$X754),상세표[기록월],대상월키,상세표[반영월],"&lt;&gt;"&amp;대상월키))</f>
        <v/>
      </c>
      <c r="J754" s="20">
        <f>IF($X754="","",SUMIFS(상세표[기록 시간외],상세표[사번키],INDEX(합계표[사번키],$X754),상세표[기록월],"&lt;&gt;"&amp;대상월키,상세표[반영월],대상월키))</f>
        <v/>
      </c>
      <c r="K754" s="20">
        <f>IF($X754="","",SUMIFS(상세표[기록 시간외],상세표[사번키],INDEX(합계표[사번키],$X754),상세표[반영월],대상월키))</f>
        <v/>
      </c>
      <c r="L754">
        <f>IF($X754="","",IFERROR(INDEX(월별근무지표[적용 급여병원],MATCH(INDEX(합계표[사번키],$X754)&amp;"|"&amp;대상월키,월별근무지표[키],0))&amp;"",IF(COUNTIF(기관표[사번키],INDEX(합계표[사번키],$X754))+COUNTIF(월별근무지표[사번키],INDEX(합계표[사번키],$X754))&gt;0,IFERROR(INDEX(기관표[급여지급병원(기준월)],MATCH(INDEX(합계표[사번키],$X754)&amp;"|"&amp;대상월키,기관표[키],0))&amp;"","—"),"—")))</f>
        <v/>
      </c>
      <c r="M754">
        <f>IF($X754="","",IF(NOT(COUNTIF(기관표[사번키],INDEX(합계표[사번키],$X754))+COUNTIF(월별근무지표[사번키],INDEX(합계표[사번키],$X754))&gt;0),"기관명단에 없음(다른 병원으로 발송)",IF($L754="서울병원","해당",IF(N($R754)&gt;0,"해당(말일 근무)",IF($L754="—","대상월 기관명단 없음(추가 필요)","비해당")))))</f>
        <v/>
      </c>
      <c r="N754" s="20">
        <f>IF($X754="","",SUMIFS(상세표[06~07시],상세표[사번키],INDEX(합계표[사번키],$X754),상세표[반영월],대상월키,상세표[반영 기관],"서울병원"))</f>
        <v/>
      </c>
      <c r="O754" s="20">
        <f>IF($X754="","",SUMIFS(상세표[07~18시],상세표[사번키],INDEX(합계표[사번키],$X754),상세표[반영월],대상월키,상세표[반영 기관],"서울병원"))</f>
        <v/>
      </c>
      <c r="P754" s="20">
        <f>IF($X754="","",SUMIFS(상세표[18~22시],상세표[사번키],INDEX(합계표[사번키],$X754),상세표[반영월],대상월키,상세표[반영 기관],"서울병원"))</f>
        <v/>
      </c>
      <c r="Q754" s="20">
        <f>IF($X754="","",SUMIFS(상세표[22~06시],상세표[사번키],INDEX(합계표[사번키],$X754),상세표[반영월],대상월키,상세표[반영 기관],"서울병원"))</f>
        <v/>
      </c>
      <c r="R754" s="20">
        <f>IF($X754="","",SUM($N754:$Q754))</f>
        <v/>
      </c>
      <c r="S754">
        <f>IF($X754="","",COUNTIFS(상세표[사번키],INDEX(합계표[사번키],$X754),상세표[반영월],대상월키,상세표[야간당직],1,상세표[야간 구분],"평일"))</f>
        <v/>
      </c>
      <c r="T754">
        <f>IF($X754="","",COUNTIFS(상세표[사번키],INDEX(합계표[사번키],$X754),상세표[반영월],대상월키,상세표[야간당직],1,상세표[야간 구분],"휴일"))</f>
        <v/>
      </c>
      <c r="U754">
        <f>IF($X754="","",COUNTIFS(상세표[사번키],INDEX(합계표[사번키],$X754),상세표[반영월],대상월키,상세표[야간당직],1,상세표[야간 구분],"평일",상세표[반영 기관],"서울병원"))</f>
        <v/>
      </c>
      <c r="V754">
        <f>IF($X754="","",COUNTIFS(상세표[사번키],INDEX(합계표[사번키],$X754),상세표[반영월],대상월키,상세표[야간당직],1,상세표[야간 구분],"휴일",상세표[반영 기관],"서울병원"))</f>
        <v/>
      </c>
      <c r="W754">
        <f>IF($X754="","",IF(ISNUMBER(MATCH(INDEX(합계표[사번키],$X754)&amp;"|"&amp;대상월키,월별근무지표[키],0)),"직접 입력",IF($L754="—","—","기관명단")))</f>
        <v/>
      </c>
      <c r="X754" s="4">
        <f>IFERROR(MATCH(749,합계표[판정순번],0),"")</f>
        <v/>
      </c>
    </row>
    <row r="755">
      <c r="A755">
        <f>IF($X755="","",INDEX(합계표[사번],$X755)&amp;"")</f>
        <v/>
      </c>
      <c r="B755">
        <f>IF($X755="","",INDEX(합계표[성명],$X755)&amp;"")</f>
        <v/>
      </c>
      <c r="C755">
        <f>IF($X755="","",INDEX(합계표[부서],$X755)&amp;"")</f>
        <v/>
      </c>
      <c r="D755">
        <f>IF($X755="","",INDEX(합계표[직위(요약)],$X755)&amp;"")</f>
        <v/>
      </c>
      <c r="E755">
        <f>IF($X755="","",INDEX(합계표[직급 공존],$X755)&amp;"")</f>
        <v/>
      </c>
      <c r="F755" s="20">
        <f>IF($X755="","",SUMIFS(합계표[시스템 합계],합계표[사번키],INDEX(합계표[사번키],$X755)))</f>
        <v/>
      </c>
      <c r="G755" s="20">
        <f>IF($X755="","",SUMIFS(상세표[기록 시간외],상세표[사번키],INDEX(합계표[사번키],$X755),상세표[기록월],대상월키))</f>
        <v/>
      </c>
      <c r="H755">
        <f>IF($X755="","",IF(ABS($F755-$G755)&lt;0.01,"일치","불일치(차이 "&amp;TEXT($G755-$F755,"0.00")&amp;")"))</f>
        <v/>
      </c>
      <c r="I755" s="20">
        <f>IF($X755="","",SUMIFS(상세표[기록 시간외],상세표[사번키],INDEX(합계표[사번키],$X755),상세표[기록월],대상월키,상세표[반영월],"&lt;&gt;"&amp;대상월키))</f>
        <v/>
      </c>
      <c r="J755" s="20">
        <f>IF($X755="","",SUMIFS(상세표[기록 시간외],상세표[사번키],INDEX(합계표[사번키],$X755),상세표[기록월],"&lt;&gt;"&amp;대상월키,상세표[반영월],대상월키))</f>
        <v/>
      </c>
      <c r="K755" s="20">
        <f>IF($X755="","",SUMIFS(상세표[기록 시간외],상세표[사번키],INDEX(합계표[사번키],$X755),상세표[반영월],대상월키))</f>
        <v/>
      </c>
      <c r="L755">
        <f>IF($X755="","",IFERROR(INDEX(월별근무지표[적용 급여병원],MATCH(INDEX(합계표[사번키],$X755)&amp;"|"&amp;대상월키,월별근무지표[키],0))&amp;"",IF(COUNTIF(기관표[사번키],INDEX(합계표[사번키],$X755))+COUNTIF(월별근무지표[사번키],INDEX(합계표[사번키],$X755))&gt;0,IFERROR(INDEX(기관표[급여지급병원(기준월)],MATCH(INDEX(합계표[사번키],$X755)&amp;"|"&amp;대상월키,기관표[키],0))&amp;"","—"),"—")))</f>
        <v/>
      </c>
      <c r="M755">
        <f>IF($X755="","",IF(NOT(COUNTIF(기관표[사번키],INDEX(합계표[사번키],$X755))+COUNTIF(월별근무지표[사번키],INDEX(합계표[사번키],$X755))&gt;0),"기관명단에 없음(다른 병원으로 발송)",IF($L755="서울병원","해당",IF(N($R755)&gt;0,"해당(말일 근무)",IF($L755="—","대상월 기관명단 없음(추가 필요)","비해당")))))</f>
        <v/>
      </c>
      <c r="N755" s="20">
        <f>IF($X755="","",SUMIFS(상세표[06~07시],상세표[사번키],INDEX(합계표[사번키],$X755),상세표[반영월],대상월키,상세표[반영 기관],"서울병원"))</f>
        <v/>
      </c>
      <c r="O755" s="20">
        <f>IF($X755="","",SUMIFS(상세표[07~18시],상세표[사번키],INDEX(합계표[사번키],$X755),상세표[반영월],대상월키,상세표[반영 기관],"서울병원"))</f>
        <v/>
      </c>
      <c r="P755" s="20">
        <f>IF($X755="","",SUMIFS(상세표[18~22시],상세표[사번키],INDEX(합계표[사번키],$X755),상세표[반영월],대상월키,상세표[반영 기관],"서울병원"))</f>
        <v/>
      </c>
      <c r="Q755" s="20">
        <f>IF($X755="","",SUMIFS(상세표[22~06시],상세표[사번키],INDEX(합계표[사번키],$X755),상세표[반영월],대상월키,상세표[반영 기관],"서울병원"))</f>
        <v/>
      </c>
      <c r="R755" s="20">
        <f>IF($X755="","",SUM($N755:$Q755))</f>
        <v/>
      </c>
      <c r="S755">
        <f>IF($X755="","",COUNTIFS(상세표[사번키],INDEX(합계표[사번키],$X755),상세표[반영월],대상월키,상세표[야간당직],1,상세표[야간 구분],"평일"))</f>
        <v/>
      </c>
      <c r="T755">
        <f>IF($X755="","",COUNTIFS(상세표[사번키],INDEX(합계표[사번키],$X755),상세표[반영월],대상월키,상세표[야간당직],1,상세표[야간 구분],"휴일"))</f>
        <v/>
      </c>
      <c r="U755">
        <f>IF($X755="","",COUNTIFS(상세표[사번키],INDEX(합계표[사번키],$X755),상세표[반영월],대상월키,상세표[야간당직],1,상세표[야간 구분],"평일",상세표[반영 기관],"서울병원"))</f>
        <v/>
      </c>
      <c r="V755">
        <f>IF($X755="","",COUNTIFS(상세표[사번키],INDEX(합계표[사번키],$X755),상세표[반영월],대상월키,상세표[야간당직],1,상세표[야간 구분],"휴일",상세표[반영 기관],"서울병원"))</f>
        <v/>
      </c>
      <c r="W755">
        <f>IF($X755="","",IF(ISNUMBER(MATCH(INDEX(합계표[사번키],$X755)&amp;"|"&amp;대상월키,월별근무지표[키],0)),"직접 입력",IF($L755="—","—","기관명단")))</f>
        <v/>
      </c>
      <c r="X755" s="4">
        <f>IFERROR(MATCH(750,합계표[판정순번],0),"")</f>
        <v/>
      </c>
    </row>
    <row r="756">
      <c r="A756">
        <f>IF($X756="","",INDEX(합계표[사번],$X756)&amp;"")</f>
        <v/>
      </c>
      <c r="B756">
        <f>IF($X756="","",INDEX(합계표[성명],$X756)&amp;"")</f>
        <v/>
      </c>
      <c r="C756">
        <f>IF($X756="","",INDEX(합계표[부서],$X756)&amp;"")</f>
        <v/>
      </c>
      <c r="D756">
        <f>IF($X756="","",INDEX(합계표[직위(요약)],$X756)&amp;"")</f>
        <v/>
      </c>
      <c r="E756">
        <f>IF($X756="","",INDEX(합계표[직급 공존],$X756)&amp;"")</f>
        <v/>
      </c>
      <c r="F756" s="20">
        <f>IF($X756="","",SUMIFS(합계표[시스템 합계],합계표[사번키],INDEX(합계표[사번키],$X756)))</f>
        <v/>
      </c>
      <c r="G756" s="20">
        <f>IF($X756="","",SUMIFS(상세표[기록 시간외],상세표[사번키],INDEX(합계표[사번키],$X756),상세표[기록월],대상월키))</f>
        <v/>
      </c>
      <c r="H756">
        <f>IF($X756="","",IF(ABS($F756-$G756)&lt;0.01,"일치","불일치(차이 "&amp;TEXT($G756-$F756,"0.00")&amp;")"))</f>
        <v/>
      </c>
      <c r="I756" s="20">
        <f>IF($X756="","",SUMIFS(상세표[기록 시간외],상세표[사번키],INDEX(합계표[사번키],$X756),상세표[기록월],대상월키,상세표[반영월],"&lt;&gt;"&amp;대상월키))</f>
        <v/>
      </c>
      <c r="J756" s="20">
        <f>IF($X756="","",SUMIFS(상세표[기록 시간외],상세표[사번키],INDEX(합계표[사번키],$X756),상세표[기록월],"&lt;&gt;"&amp;대상월키,상세표[반영월],대상월키))</f>
        <v/>
      </c>
      <c r="K756" s="20">
        <f>IF($X756="","",SUMIFS(상세표[기록 시간외],상세표[사번키],INDEX(합계표[사번키],$X756),상세표[반영월],대상월키))</f>
        <v/>
      </c>
      <c r="L756">
        <f>IF($X756="","",IFERROR(INDEX(월별근무지표[적용 급여병원],MATCH(INDEX(합계표[사번키],$X756)&amp;"|"&amp;대상월키,월별근무지표[키],0))&amp;"",IF(COUNTIF(기관표[사번키],INDEX(합계표[사번키],$X756))+COUNTIF(월별근무지표[사번키],INDEX(합계표[사번키],$X756))&gt;0,IFERROR(INDEX(기관표[급여지급병원(기준월)],MATCH(INDEX(합계표[사번키],$X756)&amp;"|"&amp;대상월키,기관표[키],0))&amp;"","—"),"—")))</f>
        <v/>
      </c>
      <c r="M756">
        <f>IF($X756="","",IF(NOT(COUNTIF(기관표[사번키],INDEX(합계표[사번키],$X756))+COUNTIF(월별근무지표[사번키],INDEX(합계표[사번키],$X756))&gt;0),"기관명단에 없음(다른 병원으로 발송)",IF($L756="서울병원","해당",IF(N($R756)&gt;0,"해당(말일 근무)",IF($L756="—","대상월 기관명단 없음(추가 필요)","비해당")))))</f>
        <v/>
      </c>
      <c r="N756" s="20">
        <f>IF($X756="","",SUMIFS(상세표[06~07시],상세표[사번키],INDEX(합계표[사번키],$X756),상세표[반영월],대상월키,상세표[반영 기관],"서울병원"))</f>
        <v/>
      </c>
      <c r="O756" s="20">
        <f>IF($X756="","",SUMIFS(상세표[07~18시],상세표[사번키],INDEX(합계표[사번키],$X756),상세표[반영월],대상월키,상세표[반영 기관],"서울병원"))</f>
        <v/>
      </c>
      <c r="P756" s="20">
        <f>IF($X756="","",SUMIFS(상세표[18~22시],상세표[사번키],INDEX(합계표[사번키],$X756),상세표[반영월],대상월키,상세표[반영 기관],"서울병원"))</f>
        <v/>
      </c>
      <c r="Q756" s="20">
        <f>IF($X756="","",SUMIFS(상세표[22~06시],상세표[사번키],INDEX(합계표[사번키],$X756),상세표[반영월],대상월키,상세표[반영 기관],"서울병원"))</f>
        <v/>
      </c>
      <c r="R756" s="20">
        <f>IF($X756="","",SUM($N756:$Q756))</f>
        <v/>
      </c>
      <c r="S756">
        <f>IF($X756="","",COUNTIFS(상세표[사번키],INDEX(합계표[사번키],$X756),상세표[반영월],대상월키,상세표[야간당직],1,상세표[야간 구분],"평일"))</f>
        <v/>
      </c>
      <c r="T756">
        <f>IF($X756="","",COUNTIFS(상세표[사번키],INDEX(합계표[사번키],$X756),상세표[반영월],대상월키,상세표[야간당직],1,상세표[야간 구분],"휴일"))</f>
        <v/>
      </c>
      <c r="U756">
        <f>IF($X756="","",COUNTIFS(상세표[사번키],INDEX(합계표[사번키],$X756),상세표[반영월],대상월키,상세표[야간당직],1,상세표[야간 구분],"평일",상세표[반영 기관],"서울병원"))</f>
        <v/>
      </c>
      <c r="V756">
        <f>IF($X756="","",COUNTIFS(상세표[사번키],INDEX(합계표[사번키],$X756),상세표[반영월],대상월키,상세표[야간당직],1,상세표[야간 구분],"휴일",상세표[반영 기관],"서울병원"))</f>
        <v/>
      </c>
      <c r="W756">
        <f>IF($X756="","",IF(ISNUMBER(MATCH(INDEX(합계표[사번키],$X756)&amp;"|"&amp;대상월키,월별근무지표[키],0)),"직접 입력",IF($L756="—","—","기관명단")))</f>
        <v/>
      </c>
      <c r="X756" s="4">
        <f>IFERROR(MATCH(751,합계표[판정순번],0),"")</f>
        <v/>
      </c>
    </row>
    <row r="757">
      <c r="A757">
        <f>IF($X757="","",INDEX(합계표[사번],$X757)&amp;"")</f>
        <v/>
      </c>
      <c r="B757">
        <f>IF($X757="","",INDEX(합계표[성명],$X757)&amp;"")</f>
        <v/>
      </c>
      <c r="C757">
        <f>IF($X757="","",INDEX(합계표[부서],$X757)&amp;"")</f>
        <v/>
      </c>
      <c r="D757">
        <f>IF($X757="","",INDEX(합계표[직위(요약)],$X757)&amp;"")</f>
        <v/>
      </c>
      <c r="E757">
        <f>IF($X757="","",INDEX(합계표[직급 공존],$X757)&amp;"")</f>
        <v/>
      </c>
      <c r="F757" s="20">
        <f>IF($X757="","",SUMIFS(합계표[시스템 합계],합계표[사번키],INDEX(합계표[사번키],$X757)))</f>
        <v/>
      </c>
      <c r="G757" s="20">
        <f>IF($X757="","",SUMIFS(상세표[기록 시간외],상세표[사번키],INDEX(합계표[사번키],$X757),상세표[기록월],대상월키))</f>
        <v/>
      </c>
      <c r="H757">
        <f>IF($X757="","",IF(ABS($F757-$G757)&lt;0.01,"일치","불일치(차이 "&amp;TEXT($G757-$F757,"0.00")&amp;")"))</f>
        <v/>
      </c>
      <c r="I757" s="20">
        <f>IF($X757="","",SUMIFS(상세표[기록 시간외],상세표[사번키],INDEX(합계표[사번키],$X757),상세표[기록월],대상월키,상세표[반영월],"&lt;&gt;"&amp;대상월키))</f>
        <v/>
      </c>
      <c r="J757" s="20">
        <f>IF($X757="","",SUMIFS(상세표[기록 시간외],상세표[사번키],INDEX(합계표[사번키],$X757),상세표[기록월],"&lt;&gt;"&amp;대상월키,상세표[반영월],대상월키))</f>
        <v/>
      </c>
      <c r="K757" s="20">
        <f>IF($X757="","",SUMIFS(상세표[기록 시간외],상세표[사번키],INDEX(합계표[사번키],$X757),상세표[반영월],대상월키))</f>
        <v/>
      </c>
      <c r="L757">
        <f>IF($X757="","",IFERROR(INDEX(월별근무지표[적용 급여병원],MATCH(INDEX(합계표[사번키],$X757)&amp;"|"&amp;대상월키,월별근무지표[키],0))&amp;"",IF(COUNTIF(기관표[사번키],INDEX(합계표[사번키],$X757))+COUNTIF(월별근무지표[사번키],INDEX(합계표[사번키],$X757))&gt;0,IFERROR(INDEX(기관표[급여지급병원(기준월)],MATCH(INDEX(합계표[사번키],$X757)&amp;"|"&amp;대상월키,기관표[키],0))&amp;"","—"),"—")))</f>
        <v/>
      </c>
      <c r="M757">
        <f>IF($X757="","",IF(NOT(COUNTIF(기관표[사번키],INDEX(합계표[사번키],$X757))+COUNTIF(월별근무지표[사번키],INDEX(합계표[사번키],$X757))&gt;0),"기관명단에 없음(다른 병원으로 발송)",IF($L757="서울병원","해당",IF(N($R757)&gt;0,"해당(말일 근무)",IF($L757="—","대상월 기관명단 없음(추가 필요)","비해당")))))</f>
        <v/>
      </c>
      <c r="N757" s="20">
        <f>IF($X757="","",SUMIFS(상세표[06~07시],상세표[사번키],INDEX(합계표[사번키],$X757),상세표[반영월],대상월키,상세표[반영 기관],"서울병원"))</f>
        <v/>
      </c>
      <c r="O757" s="20">
        <f>IF($X757="","",SUMIFS(상세표[07~18시],상세표[사번키],INDEX(합계표[사번키],$X757),상세표[반영월],대상월키,상세표[반영 기관],"서울병원"))</f>
        <v/>
      </c>
      <c r="P757" s="20">
        <f>IF($X757="","",SUMIFS(상세표[18~22시],상세표[사번키],INDEX(합계표[사번키],$X757),상세표[반영월],대상월키,상세표[반영 기관],"서울병원"))</f>
        <v/>
      </c>
      <c r="Q757" s="20">
        <f>IF($X757="","",SUMIFS(상세표[22~06시],상세표[사번키],INDEX(합계표[사번키],$X757),상세표[반영월],대상월키,상세표[반영 기관],"서울병원"))</f>
        <v/>
      </c>
      <c r="R757" s="20">
        <f>IF($X757="","",SUM($N757:$Q757))</f>
        <v/>
      </c>
      <c r="S757">
        <f>IF($X757="","",COUNTIFS(상세표[사번키],INDEX(합계표[사번키],$X757),상세표[반영월],대상월키,상세표[야간당직],1,상세표[야간 구분],"평일"))</f>
        <v/>
      </c>
      <c r="T757">
        <f>IF($X757="","",COUNTIFS(상세표[사번키],INDEX(합계표[사번키],$X757),상세표[반영월],대상월키,상세표[야간당직],1,상세표[야간 구분],"휴일"))</f>
        <v/>
      </c>
      <c r="U757">
        <f>IF($X757="","",COUNTIFS(상세표[사번키],INDEX(합계표[사번키],$X757),상세표[반영월],대상월키,상세표[야간당직],1,상세표[야간 구분],"평일",상세표[반영 기관],"서울병원"))</f>
        <v/>
      </c>
      <c r="V757">
        <f>IF($X757="","",COUNTIFS(상세표[사번키],INDEX(합계표[사번키],$X757),상세표[반영월],대상월키,상세표[야간당직],1,상세표[야간 구분],"휴일",상세표[반영 기관],"서울병원"))</f>
        <v/>
      </c>
      <c r="W757">
        <f>IF($X757="","",IF(ISNUMBER(MATCH(INDEX(합계표[사번키],$X757)&amp;"|"&amp;대상월키,월별근무지표[키],0)),"직접 입력",IF($L757="—","—","기관명단")))</f>
        <v/>
      </c>
      <c r="X757" s="4">
        <f>IFERROR(MATCH(752,합계표[판정순번],0),"")</f>
        <v/>
      </c>
    </row>
    <row r="758">
      <c r="A758">
        <f>IF($X758="","",INDEX(합계표[사번],$X758)&amp;"")</f>
        <v/>
      </c>
      <c r="B758">
        <f>IF($X758="","",INDEX(합계표[성명],$X758)&amp;"")</f>
        <v/>
      </c>
      <c r="C758">
        <f>IF($X758="","",INDEX(합계표[부서],$X758)&amp;"")</f>
        <v/>
      </c>
      <c r="D758">
        <f>IF($X758="","",INDEX(합계표[직위(요약)],$X758)&amp;"")</f>
        <v/>
      </c>
      <c r="E758">
        <f>IF($X758="","",INDEX(합계표[직급 공존],$X758)&amp;"")</f>
        <v/>
      </c>
      <c r="F758" s="20">
        <f>IF($X758="","",SUMIFS(합계표[시스템 합계],합계표[사번키],INDEX(합계표[사번키],$X758)))</f>
        <v/>
      </c>
      <c r="G758" s="20">
        <f>IF($X758="","",SUMIFS(상세표[기록 시간외],상세표[사번키],INDEX(합계표[사번키],$X758),상세표[기록월],대상월키))</f>
        <v/>
      </c>
      <c r="H758">
        <f>IF($X758="","",IF(ABS($F758-$G758)&lt;0.01,"일치","불일치(차이 "&amp;TEXT($G758-$F758,"0.00")&amp;")"))</f>
        <v/>
      </c>
      <c r="I758" s="20">
        <f>IF($X758="","",SUMIFS(상세표[기록 시간외],상세표[사번키],INDEX(합계표[사번키],$X758),상세표[기록월],대상월키,상세표[반영월],"&lt;&gt;"&amp;대상월키))</f>
        <v/>
      </c>
      <c r="J758" s="20">
        <f>IF($X758="","",SUMIFS(상세표[기록 시간외],상세표[사번키],INDEX(합계표[사번키],$X758),상세표[기록월],"&lt;&gt;"&amp;대상월키,상세표[반영월],대상월키))</f>
        <v/>
      </c>
      <c r="K758" s="20">
        <f>IF($X758="","",SUMIFS(상세표[기록 시간외],상세표[사번키],INDEX(합계표[사번키],$X758),상세표[반영월],대상월키))</f>
        <v/>
      </c>
      <c r="L758">
        <f>IF($X758="","",IFERROR(INDEX(월별근무지표[적용 급여병원],MATCH(INDEX(합계표[사번키],$X758)&amp;"|"&amp;대상월키,월별근무지표[키],0))&amp;"",IF(COUNTIF(기관표[사번키],INDEX(합계표[사번키],$X758))+COUNTIF(월별근무지표[사번키],INDEX(합계표[사번키],$X758))&gt;0,IFERROR(INDEX(기관표[급여지급병원(기준월)],MATCH(INDEX(합계표[사번키],$X758)&amp;"|"&amp;대상월키,기관표[키],0))&amp;"","—"),"—")))</f>
        <v/>
      </c>
      <c r="M758">
        <f>IF($X758="","",IF(NOT(COUNTIF(기관표[사번키],INDEX(합계표[사번키],$X758))+COUNTIF(월별근무지표[사번키],INDEX(합계표[사번키],$X758))&gt;0),"기관명단에 없음(다른 병원으로 발송)",IF($L758="서울병원","해당",IF(N($R758)&gt;0,"해당(말일 근무)",IF($L758="—","대상월 기관명단 없음(추가 필요)","비해당")))))</f>
        <v/>
      </c>
      <c r="N758" s="20">
        <f>IF($X758="","",SUMIFS(상세표[06~07시],상세표[사번키],INDEX(합계표[사번키],$X758),상세표[반영월],대상월키,상세표[반영 기관],"서울병원"))</f>
        <v/>
      </c>
      <c r="O758" s="20">
        <f>IF($X758="","",SUMIFS(상세표[07~18시],상세표[사번키],INDEX(합계표[사번키],$X758),상세표[반영월],대상월키,상세표[반영 기관],"서울병원"))</f>
        <v/>
      </c>
      <c r="P758" s="20">
        <f>IF($X758="","",SUMIFS(상세표[18~22시],상세표[사번키],INDEX(합계표[사번키],$X758),상세표[반영월],대상월키,상세표[반영 기관],"서울병원"))</f>
        <v/>
      </c>
      <c r="Q758" s="20">
        <f>IF($X758="","",SUMIFS(상세표[22~06시],상세표[사번키],INDEX(합계표[사번키],$X758),상세표[반영월],대상월키,상세표[반영 기관],"서울병원"))</f>
        <v/>
      </c>
      <c r="R758" s="20">
        <f>IF($X758="","",SUM($N758:$Q758))</f>
        <v/>
      </c>
      <c r="S758">
        <f>IF($X758="","",COUNTIFS(상세표[사번키],INDEX(합계표[사번키],$X758),상세표[반영월],대상월키,상세표[야간당직],1,상세표[야간 구분],"평일"))</f>
        <v/>
      </c>
      <c r="T758">
        <f>IF($X758="","",COUNTIFS(상세표[사번키],INDEX(합계표[사번키],$X758),상세표[반영월],대상월키,상세표[야간당직],1,상세표[야간 구분],"휴일"))</f>
        <v/>
      </c>
      <c r="U758">
        <f>IF($X758="","",COUNTIFS(상세표[사번키],INDEX(합계표[사번키],$X758),상세표[반영월],대상월키,상세표[야간당직],1,상세표[야간 구분],"평일",상세표[반영 기관],"서울병원"))</f>
        <v/>
      </c>
      <c r="V758">
        <f>IF($X758="","",COUNTIFS(상세표[사번키],INDEX(합계표[사번키],$X758),상세표[반영월],대상월키,상세표[야간당직],1,상세표[야간 구분],"휴일",상세표[반영 기관],"서울병원"))</f>
        <v/>
      </c>
      <c r="W758">
        <f>IF($X758="","",IF(ISNUMBER(MATCH(INDEX(합계표[사번키],$X758)&amp;"|"&amp;대상월키,월별근무지표[키],0)),"직접 입력",IF($L758="—","—","기관명단")))</f>
        <v/>
      </c>
      <c r="X758" s="4">
        <f>IFERROR(MATCH(753,합계표[판정순번],0),"")</f>
        <v/>
      </c>
    </row>
    <row r="759">
      <c r="A759">
        <f>IF($X759="","",INDEX(합계표[사번],$X759)&amp;"")</f>
        <v/>
      </c>
      <c r="B759">
        <f>IF($X759="","",INDEX(합계표[성명],$X759)&amp;"")</f>
        <v/>
      </c>
      <c r="C759">
        <f>IF($X759="","",INDEX(합계표[부서],$X759)&amp;"")</f>
        <v/>
      </c>
      <c r="D759">
        <f>IF($X759="","",INDEX(합계표[직위(요약)],$X759)&amp;"")</f>
        <v/>
      </c>
      <c r="E759">
        <f>IF($X759="","",INDEX(합계표[직급 공존],$X759)&amp;"")</f>
        <v/>
      </c>
      <c r="F759" s="20">
        <f>IF($X759="","",SUMIFS(합계표[시스템 합계],합계표[사번키],INDEX(합계표[사번키],$X759)))</f>
        <v/>
      </c>
      <c r="G759" s="20">
        <f>IF($X759="","",SUMIFS(상세표[기록 시간외],상세표[사번키],INDEX(합계표[사번키],$X759),상세표[기록월],대상월키))</f>
        <v/>
      </c>
      <c r="H759">
        <f>IF($X759="","",IF(ABS($F759-$G759)&lt;0.01,"일치","불일치(차이 "&amp;TEXT($G759-$F759,"0.00")&amp;")"))</f>
        <v/>
      </c>
      <c r="I759" s="20">
        <f>IF($X759="","",SUMIFS(상세표[기록 시간외],상세표[사번키],INDEX(합계표[사번키],$X759),상세표[기록월],대상월키,상세표[반영월],"&lt;&gt;"&amp;대상월키))</f>
        <v/>
      </c>
      <c r="J759" s="20">
        <f>IF($X759="","",SUMIFS(상세표[기록 시간외],상세표[사번키],INDEX(합계표[사번키],$X759),상세표[기록월],"&lt;&gt;"&amp;대상월키,상세표[반영월],대상월키))</f>
        <v/>
      </c>
      <c r="K759" s="20">
        <f>IF($X759="","",SUMIFS(상세표[기록 시간외],상세표[사번키],INDEX(합계표[사번키],$X759),상세표[반영월],대상월키))</f>
        <v/>
      </c>
      <c r="L759">
        <f>IF($X759="","",IFERROR(INDEX(월별근무지표[적용 급여병원],MATCH(INDEX(합계표[사번키],$X759)&amp;"|"&amp;대상월키,월별근무지표[키],0))&amp;"",IF(COUNTIF(기관표[사번키],INDEX(합계표[사번키],$X759))+COUNTIF(월별근무지표[사번키],INDEX(합계표[사번키],$X759))&gt;0,IFERROR(INDEX(기관표[급여지급병원(기준월)],MATCH(INDEX(합계표[사번키],$X759)&amp;"|"&amp;대상월키,기관표[키],0))&amp;"","—"),"—")))</f>
        <v/>
      </c>
      <c r="M759">
        <f>IF($X759="","",IF(NOT(COUNTIF(기관표[사번키],INDEX(합계표[사번키],$X759))+COUNTIF(월별근무지표[사번키],INDEX(합계표[사번키],$X759))&gt;0),"기관명단에 없음(다른 병원으로 발송)",IF($L759="서울병원","해당",IF(N($R759)&gt;0,"해당(말일 근무)",IF($L759="—","대상월 기관명단 없음(추가 필요)","비해당")))))</f>
        <v/>
      </c>
      <c r="N759" s="20">
        <f>IF($X759="","",SUMIFS(상세표[06~07시],상세표[사번키],INDEX(합계표[사번키],$X759),상세표[반영월],대상월키,상세표[반영 기관],"서울병원"))</f>
        <v/>
      </c>
      <c r="O759" s="20">
        <f>IF($X759="","",SUMIFS(상세표[07~18시],상세표[사번키],INDEX(합계표[사번키],$X759),상세표[반영월],대상월키,상세표[반영 기관],"서울병원"))</f>
        <v/>
      </c>
      <c r="P759" s="20">
        <f>IF($X759="","",SUMIFS(상세표[18~22시],상세표[사번키],INDEX(합계표[사번키],$X759),상세표[반영월],대상월키,상세표[반영 기관],"서울병원"))</f>
        <v/>
      </c>
      <c r="Q759" s="20">
        <f>IF($X759="","",SUMIFS(상세표[22~06시],상세표[사번키],INDEX(합계표[사번키],$X759),상세표[반영월],대상월키,상세표[반영 기관],"서울병원"))</f>
        <v/>
      </c>
      <c r="R759" s="20">
        <f>IF($X759="","",SUM($N759:$Q759))</f>
        <v/>
      </c>
      <c r="S759">
        <f>IF($X759="","",COUNTIFS(상세표[사번키],INDEX(합계표[사번키],$X759),상세표[반영월],대상월키,상세표[야간당직],1,상세표[야간 구분],"평일"))</f>
        <v/>
      </c>
      <c r="T759">
        <f>IF($X759="","",COUNTIFS(상세표[사번키],INDEX(합계표[사번키],$X759),상세표[반영월],대상월키,상세표[야간당직],1,상세표[야간 구분],"휴일"))</f>
        <v/>
      </c>
      <c r="U759">
        <f>IF($X759="","",COUNTIFS(상세표[사번키],INDEX(합계표[사번키],$X759),상세표[반영월],대상월키,상세표[야간당직],1,상세표[야간 구분],"평일",상세표[반영 기관],"서울병원"))</f>
        <v/>
      </c>
      <c r="V759">
        <f>IF($X759="","",COUNTIFS(상세표[사번키],INDEX(합계표[사번키],$X759),상세표[반영월],대상월키,상세표[야간당직],1,상세표[야간 구분],"휴일",상세표[반영 기관],"서울병원"))</f>
        <v/>
      </c>
      <c r="W759">
        <f>IF($X759="","",IF(ISNUMBER(MATCH(INDEX(합계표[사번키],$X759)&amp;"|"&amp;대상월키,월별근무지표[키],0)),"직접 입력",IF($L759="—","—","기관명단")))</f>
        <v/>
      </c>
      <c r="X759" s="4">
        <f>IFERROR(MATCH(754,합계표[판정순번],0),"")</f>
        <v/>
      </c>
    </row>
    <row r="760">
      <c r="A760">
        <f>IF($X760="","",INDEX(합계표[사번],$X760)&amp;"")</f>
        <v/>
      </c>
      <c r="B760">
        <f>IF($X760="","",INDEX(합계표[성명],$X760)&amp;"")</f>
        <v/>
      </c>
      <c r="C760">
        <f>IF($X760="","",INDEX(합계표[부서],$X760)&amp;"")</f>
        <v/>
      </c>
      <c r="D760">
        <f>IF($X760="","",INDEX(합계표[직위(요약)],$X760)&amp;"")</f>
        <v/>
      </c>
      <c r="E760">
        <f>IF($X760="","",INDEX(합계표[직급 공존],$X760)&amp;"")</f>
        <v/>
      </c>
      <c r="F760" s="20">
        <f>IF($X760="","",SUMIFS(합계표[시스템 합계],합계표[사번키],INDEX(합계표[사번키],$X760)))</f>
        <v/>
      </c>
      <c r="G760" s="20">
        <f>IF($X760="","",SUMIFS(상세표[기록 시간외],상세표[사번키],INDEX(합계표[사번키],$X760),상세표[기록월],대상월키))</f>
        <v/>
      </c>
      <c r="H760">
        <f>IF($X760="","",IF(ABS($F760-$G760)&lt;0.01,"일치","불일치(차이 "&amp;TEXT($G760-$F760,"0.00")&amp;")"))</f>
        <v/>
      </c>
      <c r="I760" s="20">
        <f>IF($X760="","",SUMIFS(상세표[기록 시간외],상세표[사번키],INDEX(합계표[사번키],$X760),상세표[기록월],대상월키,상세표[반영월],"&lt;&gt;"&amp;대상월키))</f>
        <v/>
      </c>
      <c r="J760" s="20">
        <f>IF($X760="","",SUMIFS(상세표[기록 시간외],상세표[사번키],INDEX(합계표[사번키],$X760),상세표[기록월],"&lt;&gt;"&amp;대상월키,상세표[반영월],대상월키))</f>
        <v/>
      </c>
      <c r="K760" s="20">
        <f>IF($X760="","",SUMIFS(상세표[기록 시간외],상세표[사번키],INDEX(합계표[사번키],$X760),상세표[반영월],대상월키))</f>
        <v/>
      </c>
      <c r="L760">
        <f>IF($X760="","",IFERROR(INDEX(월별근무지표[적용 급여병원],MATCH(INDEX(합계표[사번키],$X760)&amp;"|"&amp;대상월키,월별근무지표[키],0))&amp;"",IF(COUNTIF(기관표[사번키],INDEX(합계표[사번키],$X760))+COUNTIF(월별근무지표[사번키],INDEX(합계표[사번키],$X760))&gt;0,IFERROR(INDEX(기관표[급여지급병원(기준월)],MATCH(INDEX(합계표[사번키],$X760)&amp;"|"&amp;대상월키,기관표[키],0))&amp;"","—"),"—")))</f>
        <v/>
      </c>
      <c r="M760">
        <f>IF($X760="","",IF(NOT(COUNTIF(기관표[사번키],INDEX(합계표[사번키],$X760))+COUNTIF(월별근무지표[사번키],INDEX(합계표[사번키],$X760))&gt;0),"기관명단에 없음(다른 병원으로 발송)",IF($L760="서울병원","해당",IF(N($R760)&gt;0,"해당(말일 근무)",IF($L760="—","대상월 기관명단 없음(추가 필요)","비해당")))))</f>
        <v/>
      </c>
      <c r="N760" s="20">
        <f>IF($X760="","",SUMIFS(상세표[06~07시],상세표[사번키],INDEX(합계표[사번키],$X760),상세표[반영월],대상월키,상세표[반영 기관],"서울병원"))</f>
        <v/>
      </c>
      <c r="O760" s="20">
        <f>IF($X760="","",SUMIFS(상세표[07~18시],상세표[사번키],INDEX(합계표[사번키],$X760),상세표[반영월],대상월키,상세표[반영 기관],"서울병원"))</f>
        <v/>
      </c>
      <c r="P760" s="20">
        <f>IF($X760="","",SUMIFS(상세표[18~22시],상세표[사번키],INDEX(합계표[사번키],$X760),상세표[반영월],대상월키,상세표[반영 기관],"서울병원"))</f>
        <v/>
      </c>
      <c r="Q760" s="20">
        <f>IF($X760="","",SUMIFS(상세표[22~06시],상세표[사번키],INDEX(합계표[사번키],$X760),상세표[반영월],대상월키,상세표[반영 기관],"서울병원"))</f>
        <v/>
      </c>
      <c r="R760" s="20">
        <f>IF($X760="","",SUM($N760:$Q760))</f>
        <v/>
      </c>
      <c r="S760">
        <f>IF($X760="","",COUNTIFS(상세표[사번키],INDEX(합계표[사번키],$X760),상세표[반영월],대상월키,상세표[야간당직],1,상세표[야간 구분],"평일"))</f>
        <v/>
      </c>
      <c r="T760">
        <f>IF($X760="","",COUNTIFS(상세표[사번키],INDEX(합계표[사번키],$X760),상세표[반영월],대상월키,상세표[야간당직],1,상세표[야간 구분],"휴일"))</f>
        <v/>
      </c>
      <c r="U760">
        <f>IF($X760="","",COUNTIFS(상세표[사번키],INDEX(합계표[사번키],$X760),상세표[반영월],대상월키,상세표[야간당직],1,상세표[야간 구분],"평일",상세표[반영 기관],"서울병원"))</f>
        <v/>
      </c>
      <c r="V760">
        <f>IF($X760="","",COUNTIFS(상세표[사번키],INDEX(합계표[사번키],$X760),상세표[반영월],대상월키,상세표[야간당직],1,상세표[야간 구분],"휴일",상세표[반영 기관],"서울병원"))</f>
        <v/>
      </c>
      <c r="W760">
        <f>IF($X760="","",IF(ISNUMBER(MATCH(INDEX(합계표[사번키],$X760)&amp;"|"&amp;대상월키,월별근무지표[키],0)),"직접 입력",IF($L760="—","—","기관명단")))</f>
        <v/>
      </c>
      <c r="X760" s="4">
        <f>IFERROR(MATCH(755,합계표[판정순번],0),"")</f>
        <v/>
      </c>
    </row>
    <row r="761">
      <c r="A761">
        <f>IF($X761="","",INDEX(합계표[사번],$X761)&amp;"")</f>
        <v/>
      </c>
      <c r="B761">
        <f>IF($X761="","",INDEX(합계표[성명],$X761)&amp;"")</f>
        <v/>
      </c>
      <c r="C761">
        <f>IF($X761="","",INDEX(합계표[부서],$X761)&amp;"")</f>
        <v/>
      </c>
      <c r="D761">
        <f>IF($X761="","",INDEX(합계표[직위(요약)],$X761)&amp;"")</f>
        <v/>
      </c>
      <c r="E761">
        <f>IF($X761="","",INDEX(합계표[직급 공존],$X761)&amp;"")</f>
        <v/>
      </c>
      <c r="F761" s="20">
        <f>IF($X761="","",SUMIFS(합계표[시스템 합계],합계표[사번키],INDEX(합계표[사번키],$X761)))</f>
        <v/>
      </c>
      <c r="G761" s="20">
        <f>IF($X761="","",SUMIFS(상세표[기록 시간외],상세표[사번키],INDEX(합계표[사번키],$X761),상세표[기록월],대상월키))</f>
        <v/>
      </c>
      <c r="H761">
        <f>IF($X761="","",IF(ABS($F761-$G761)&lt;0.01,"일치","불일치(차이 "&amp;TEXT($G761-$F761,"0.00")&amp;")"))</f>
        <v/>
      </c>
      <c r="I761" s="20">
        <f>IF($X761="","",SUMIFS(상세표[기록 시간외],상세표[사번키],INDEX(합계표[사번키],$X761),상세표[기록월],대상월키,상세표[반영월],"&lt;&gt;"&amp;대상월키))</f>
        <v/>
      </c>
      <c r="J761" s="20">
        <f>IF($X761="","",SUMIFS(상세표[기록 시간외],상세표[사번키],INDEX(합계표[사번키],$X761),상세표[기록월],"&lt;&gt;"&amp;대상월키,상세표[반영월],대상월키))</f>
        <v/>
      </c>
      <c r="K761" s="20">
        <f>IF($X761="","",SUMIFS(상세표[기록 시간외],상세표[사번키],INDEX(합계표[사번키],$X761),상세표[반영월],대상월키))</f>
        <v/>
      </c>
      <c r="L761">
        <f>IF($X761="","",IFERROR(INDEX(월별근무지표[적용 급여병원],MATCH(INDEX(합계표[사번키],$X761)&amp;"|"&amp;대상월키,월별근무지표[키],0))&amp;"",IF(COUNTIF(기관표[사번키],INDEX(합계표[사번키],$X761))+COUNTIF(월별근무지표[사번키],INDEX(합계표[사번키],$X761))&gt;0,IFERROR(INDEX(기관표[급여지급병원(기준월)],MATCH(INDEX(합계표[사번키],$X761)&amp;"|"&amp;대상월키,기관표[키],0))&amp;"","—"),"—")))</f>
        <v/>
      </c>
      <c r="M761">
        <f>IF($X761="","",IF(NOT(COUNTIF(기관표[사번키],INDEX(합계표[사번키],$X761))+COUNTIF(월별근무지표[사번키],INDEX(합계표[사번키],$X761))&gt;0),"기관명단에 없음(다른 병원으로 발송)",IF($L761="서울병원","해당",IF(N($R761)&gt;0,"해당(말일 근무)",IF($L761="—","대상월 기관명단 없음(추가 필요)","비해당")))))</f>
        <v/>
      </c>
      <c r="N761" s="20">
        <f>IF($X761="","",SUMIFS(상세표[06~07시],상세표[사번키],INDEX(합계표[사번키],$X761),상세표[반영월],대상월키,상세표[반영 기관],"서울병원"))</f>
        <v/>
      </c>
      <c r="O761" s="20">
        <f>IF($X761="","",SUMIFS(상세표[07~18시],상세표[사번키],INDEX(합계표[사번키],$X761),상세표[반영월],대상월키,상세표[반영 기관],"서울병원"))</f>
        <v/>
      </c>
      <c r="P761" s="20">
        <f>IF($X761="","",SUMIFS(상세표[18~22시],상세표[사번키],INDEX(합계표[사번키],$X761),상세표[반영월],대상월키,상세표[반영 기관],"서울병원"))</f>
        <v/>
      </c>
      <c r="Q761" s="20">
        <f>IF($X761="","",SUMIFS(상세표[22~06시],상세표[사번키],INDEX(합계표[사번키],$X761),상세표[반영월],대상월키,상세표[반영 기관],"서울병원"))</f>
        <v/>
      </c>
      <c r="R761" s="20">
        <f>IF($X761="","",SUM($N761:$Q761))</f>
        <v/>
      </c>
      <c r="S761">
        <f>IF($X761="","",COUNTIFS(상세표[사번키],INDEX(합계표[사번키],$X761),상세표[반영월],대상월키,상세표[야간당직],1,상세표[야간 구분],"평일"))</f>
        <v/>
      </c>
      <c r="T761">
        <f>IF($X761="","",COUNTIFS(상세표[사번키],INDEX(합계표[사번키],$X761),상세표[반영월],대상월키,상세표[야간당직],1,상세표[야간 구분],"휴일"))</f>
        <v/>
      </c>
      <c r="U761">
        <f>IF($X761="","",COUNTIFS(상세표[사번키],INDEX(합계표[사번키],$X761),상세표[반영월],대상월키,상세표[야간당직],1,상세표[야간 구분],"평일",상세표[반영 기관],"서울병원"))</f>
        <v/>
      </c>
      <c r="V761">
        <f>IF($X761="","",COUNTIFS(상세표[사번키],INDEX(합계표[사번키],$X761),상세표[반영월],대상월키,상세표[야간당직],1,상세표[야간 구분],"휴일",상세표[반영 기관],"서울병원"))</f>
        <v/>
      </c>
      <c r="W761">
        <f>IF($X761="","",IF(ISNUMBER(MATCH(INDEX(합계표[사번키],$X761)&amp;"|"&amp;대상월키,월별근무지표[키],0)),"직접 입력",IF($L761="—","—","기관명단")))</f>
        <v/>
      </c>
      <c r="X761" s="4">
        <f>IFERROR(MATCH(756,합계표[판정순번],0),"")</f>
        <v/>
      </c>
    </row>
    <row r="762">
      <c r="A762">
        <f>IF($X762="","",INDEX(합계표[사번],$X762)&amp;"")</f>
        <v/>
      </c>
      <c r="B762">
        <f>IF($X762="","",INDEX(합계표[성명],$X762)&amp;"")</f>
        <v/>
      </c>
      <c r="C762">
        <f>IF($X762="","",INDEX(합계표[부서],$X762)&amp;"")</f>
        <v/>
      </c>
      <c r="D762">
        <f>IF($X762="","",INDEX(합계표[직위(요약)],$X762)&amp;"")</f>
        <v/>
      </c>
      <c r="E762">
        <f>IF($X762="","",INDEX(합계표[직급 공존],$X762)&amp;"")</f>
        <v/>
      </c>
      <c r="F762" s="20">
        <f>IF($X762="","",SUMIFS(합계표[시스템 합계],합계표[사번키],INDEX(합계표[사번키],$X762)))</f>
        <v/>
      </c>
      <c r="G762" s="20">
        <f>IF($X762="","",SUMIFS(상세표[기록 시간외],상세표[사번키],INDEX(합계표[사번키],$X762),상세표[기록월],대상월키))</f>
        <v/>
      </c>
      <c r="H762">
        <f>IF($X762="","",IF(ABS($F762-$G762)&lt;0.01,"일치","불일치(차이 "&amp;TEXT($G762-$F762,"0.00")&amp;")"))</f>
        <v/>
      </c>
      <c r="I762" s="20">
        <f>IF($X762="","",SUMIFS(상세표[기록 시간외],상세표[사번키],INDEX(합계표[사번키],$X762),상세표[기록월],대상월키,상세표[반영월],"&lt;&gt;"&amp;대상월키))</f>
        <v/>
      </c>
      <c r="J762" s="20">
        <f>IF($X762="","",SUMIFS(상세표[기록 시간외],상세표[사번키],INDEX(합계표[사번키],$X762),상세표[기록월],"&lt;&gt;"&amp;대상월키,상세표[반영월],대상월키))</f>
        <v/>
      </c>
      <c r="K762" s="20">
        <f>IF($X762="","",SUMIFS(상세표[기록 시간외],상세표[사번키],INDEX(합계표[사번키],$X762),상세표[반영월],대상월키))</f>
        <v/>
      </c>
      <c r="L762">
        <f>IF($X762="","",IFERROR(INDEX(월별근무지표[적용 급여병원],MATCH(INDEX(합계표[사번키],$X762)&amp;"|"&amp;대상월키,월별근무지표[키],0))&amp;"",IF(COUNTIF(기관표[사번키],INDEX(합계표[사번키],$X762))+COUNTIF(월별근무지표[사번키],INDEX(합계표[사번키],$X762))&gt;0,IFERROR(INDEX(기관표[급여지급병원(기준월)],MATCH(INDEX(합계표[사번키],$X762)&amp;"|"&amp;대상월키,기관표[키],0))&amp;"","—"),"—")))</f>
        <v/>
      </c>
      <c r="M762">
        <f>IF($X762="","",IF(NOT(COUNTIF(기관표[사번키],INDEX(합계표[사번키],$X762))+COUNTIF(월별근무지표[사번키],INDEX(합계표[사번키],$X762))&gt;0),"기관명단에 없음(다른 병원으로 발송)",IF($L762="서울병원","해당",IF(N($R762)&gt;0,"해당(말일 근무)",IF($L762="—","대상월 기관명단 없음(추가 필요)","비해당")))))</f>
        <v/>
      </c>
      <c r="N762" s="20">
        <f>IF($X762="","",SUMIFS(상세표[06~07시],상세표[사번키],INDEX(합계표[사번키],$X762),상세표[반영월],대상월키,상세표[반영 기관],"서울병원"))</f>
        <v/>
      </c>
      <c r="O762" s="20">
        <f>IF($X762="","",SUMIFS(상세표[07~18시],상세표[사번키],INDEX(합계표[사번키],$X762),상세표[반영월],대상월키,상세표[반영 기관],"서울병원"))</f>
        <v/>
      </c>
      <c r="P762" s="20">
        <f>IF($X762="","",SUMIFS(상세표[18~22시],상세표[사번키],INDEX(합계표[사번키],$X762),상세표[반영월],대상월키,상세표[반영 기관],"서울병원"))</f>
        <v/>
      </c>
      <c r="Q762" s="20">
        <f>IF($X762="","",SUMIFS(상세표[22~06시],상세표[사번키],INDEX(합계표[사번키],$X762),상세표[반영월],대상월키,상세표[반영 기관],"서울병원"))</f>
        <v/>
      </c>
      <c r="R762" s="20">
        <f>IF($X762="","",SUM($N762:$Q762))</f>
        <v/>
      </c>
      <c r="S762">
        <f>IF($X762="","",COUNTIFS(상세표[사번키],INDEX(합계표[사번키],$X762),상세표[반영월],대상월키,상세표[야간당직],1,상세표[야간 구분],"평일"))</f>
        <v/>
      </c>
      <c r="T762">
        <f>IF($X762="","",COUNTIFS(상세표[사번키],INDEX(합계표[사번키],$X762),상세표[반영월],대상월키,상세표[야간당직],1,상세표[야간 구분],"휴일"))</f>
        <v/>
      </c>
      <c r="U762">
        <f>IF($X762="","",COUNTIFS(상세표[사번키],INDEX(합계표[사번키],$X762),상세표[반영월],대상월키,상세표[야간당직],1,상세표[야간 구분],"평일",상세표[반영 기관],"서울병원"))</f>
        <v/>
      </c>
      <c r="V762">
        <f>IF($X762="","",COUNTIFS(상세표[사번키],INDEX(합계표[사번키],$X762),상세표[반영월],대상월키,상세표[야간당직],1,상세표[야간 구분],"휴일",상세표[반영 기관],"서울병원"))</f>
        <v/>
      </c>
      <c r="W762">
        <f>IF($X762="","",IF(ISNUMBER(MATCH(INDEX(합계표[사번키],$X762)&amp;"|"&amp;대상월키,월별근무지표[키],0)),"직접 입력",IF($L762="—","—","기관명단")))</f>
        <v/>
      </c>
      <c r="X762" s="4">
        <f>IFERROR(MATCH(757,합계표[판정순번],0),"")</f>
        <v/>
      </c>
    </row>
    <row r="763">
      <c r="A763">
        <f>IF($X763="","",INDEX(합계표[사번],$X763)&amp;"")</f>
        <v/>
      </c>
      <c r="B763">
        <f>IF($X763="","",INDEX(합계표[성명],$X763)&amp;"")</f>
        <v/>
      </c>
      <c r="C763">
        <f>IF($X763="","",INDEX(합계표[부서],$X763)&amp;"")</f>
        <v/>
      </c>
      <c r="D763">
        <f>IF($X763="","",INDEX(합계표[직위(요약)],$X763)&amp;"")</f>
        <v/>
      </c>
      <c r="E763">
        <f>IF($X763="","",INDEX(합계표[직급 공존],$X763)&amp;"")</f>
        <v/>
      </c>
      <c r="F763" s="20">
        <f>IF($X763="","",SUMIFS(합계표[시스템 합계],합계표[사번키],INDEX(합계표[사번키],$X763)))</f>
        <v/>
      </c>
      <c r="G763" s="20">
        <f>IF($X763="","",SUMIFS(상세표[기록 시간외],상세표[사번키],INDEX(합계표[사번키],$X763),상세표[기록월],대상월키))</f>
        <v/>
      </c>
      <c r="H763">
        <f>IF($X763="","",IF(ABS($F763-$G763)&lt;0.01,"일치","불일치(차이 "&amp;TEXT($G763-$F763,"0.00")&amp;")"))</f>
        <v/>
      </c>
      <c r="I763" s="20">
        <f>IF($X763="","",SUMIFS(상세표[기록 시간외],상세표[사번키],INDEX(합계표[사번키],$X763),상세표[기록월],대상월키,상세표[반영월],"&lt;&gt;"&amp;대상월키))</f>
        <v/>
      </c>
      <c r="J763" s="20">
        <f>IF($X763="","",SUMIFS(상세표[기록 시간외],상세표[사번키],INDEX(합계표[사번키],$X763),상세표[기록월],"&lt;&gt;"&amp;대상월키,상세표[반영월],대상월키))</f>
        <v/>
      </c>
      <c r="K763" s="20">
        <f>IF($X763="","",SUMIFS(상세표[기록 시간외],상세표[사번키],INDEX(합계표[사번키],$X763),상세표[반영월],대상월키))</f>
        <v/>
      </c>
      <c r="L763">
        <f>IF($X763="","",IFERROR(INDEX(월별근무지표[적용 급여병원],MATCH(INDEX(합계표[사번키],$X763)&amp;"|"&amp;대상월키,월별근무지표[키],0))&amp;"",IF(COUNTIF(기관표[사번키],INDEX(합계표[사번키],$X763))+COUNTIF(월별근무지표[사번키],INDEX(합계표[사번키],$X763))&gt;0,IFERROR(INDEX(기관표[급여지급병원(기준월)],MATCH(INDEX(합계표[사번키],$X763)&amp;"|"&amp;대상월키,기관표[키],0))&amp;"","—"),"—")))</f>
        <v/>
      </c>
      <c r="M763">
        <f>IF($X763="","",IF(NOT(COUNTIF(기관표[사번키],INDEX(합계표[사번키],$X763))+COUNTIF(월별근무지표[사번키],INDEX(합계표[사번키],$X763))&gt;0),"기관명단에 없음(다른 병원으로 발송)",IF($L763="서울병원","해당",IF(N($R763)&gt;0,"해당(말일 근무)",IF($L763="—","대상월 기관명단 없음(추가 필요)","비해당")))))</f>
        <v/>
      </c>
      <c r="N763" s="20">
        <f>IF($X763="","",SUMIFS(상세표[06~07시],상세표[사번키],INDEX(합계표[사번키],$X763),상세표[반영월],대상월키,상세표[반영 기관],"서울병원"))</f>
        <v/>
      </c>
      <c r="O763" s="20">
        <f>IF($X763="","",SUMIFS(상세표[07~18시],상세표[사번키],INDEX(합계표[사번키],$X763),상세표[반영월],대상월키,상세표[반영 기관],"서울병원"))</f>
        <v/>
      </c>
      <c r="P763" s="20">
        <f>IF($X763="","",SUMIFS(상세표[18~22시],상세표[사번키],INDEX(합계표[사번키],$X763),상세표[반영월],대상월키,상세표[반영 기관],"서울병원"))</f>
        <v/>
      </c>
      <c r="Q763" s="20">
        <f>IF($X763="","",SUMIFS(상세표[22~06시],상세표[사번키],INDEX(합계표[사번키],$X763),상세표[반영월],대상월키,상세표[반영 기관],"서울병원"))</f>
        <v/>
      </c>
      <c r="R763" s="20">
        <f>IF($X763="","",SUM($N763:$Q763))</f>
        <v/>
      </c>
      <c r="S763">
        <f>IF($X763="","",COUNTIFS(상세표[사번키],INDEX(합계표[사번키],$X763),상세표[반영월],대상월키,상세표[야간당직],1,상세표[야간 구분],"평일"))</f>
        <v/>
      </c>
      <c r="T763">
        <f>IF($X763="","",COUNTIFS(상세표[사번키],INDEX(합계표[사번키],$X763),상세표[반영월],대상월키,상세표[야간당직],1,상세표[야간 구분],"휴일"))</f>
        <v/>
      </c>
      <c r="U763">
        <f>IF($X763="","",COUNTIFS(상세표[사번키],INDEX(합계표[사번키],$X763),상세표[반영월],대상월키,상세표[야간당직],1,상세표[야간 구분],"평일",상세표[반영 기관],"서울병원"))</f>
        <v/>
      </c>
      <c r="V763">
        <f>IF($X763="","",COUNTIFS(상세표[사번키],INDEX(합계표[사번키],$X763),상세표[반영월],대상월키,상세표[야간당직],1,상세표[야간 구분],"휴일",상세표[반영 기관],"서울병원"))</f>
        <v/>
      </c>
      <c r="W763">
        <f>IF($X763="","",IF(ISNUMBER(MATCH(INDEX(합계표[사번키],$X763)&amp;"|"&amp;대상월키,월별근무지표[키],0)),"직접 입력",IF($L763="—","—","기관명단")))</f>
        <v/>
      </c>
      <c r="X763" s="4">
        <f>IFERROR(MATCH(758,합계표[판정순번],0),"")</f>
        <v/>
      </c>
    </row>
    <row r="764">
      <c r="A764">
        <f>IF($X764="","",INDEX(합계표[사번],$X764)&amp;"")</f>
        <v/>
      </c>
      <c r="B764">
        <f>IF($X764="","",INDEX(합계표[성명],$X764)&amp;"")</f>
        <v/>
      </c>
      <c r="C764">
        <f>IF($X764="","",INDEX(합계표[부서],$X764)&amp;"")</f>
        <v/>
      </c>
      <c r="D764">
        <f>IF($X764="","",INDEX(합계표[직위(요약)],$X764)&amp;"")</f>
        <v/>
      </c>
      <c r="E764">
        <f>IF($X764="","",INDEX(합계표[직급 공존],$X764)&amp;"")</f>
        <v/>
      </c>
      <c r="F764" s="20">
        <f>IF($X764="","",SUMIFS(합계표[시스템 합계],합계표[사번키],INDEX(합계표[사번키],$X764)))</f>
        <v/>
      </c>
      <c r="G764" s="20">
        <f>IF($X764="","",SUMIFS(상세표[기록 시간외],상세표[사번키],INDEX(합계표[사번키],$X764),상세표[기록월],대상월키))</f>
        <v/>
      </c>
      <c r="H764">
        <f>IF($X764="","",IF(ABS($F764-$G764)&lt;0.01,"일치","불일치(차이 "&amp;TEXT($G764-$F764,"0.00")&amp;")"))</f>
        <v/>
      </c>
      <c r="I764" s="20">
        <f>IF($X764="","",SUMIFS(상세표[기록 시간외],상세표[사번키],INDEX(합계표[사번키],$X764),상세표[기록월],대상월키,상세표[반영월],"&lt;&gt;"&amp;대상월키))</f>
        <v/>
      </c>
      <c r="J764" s="20">
        <f>IF($X764="","",SUMIFS(상세표[기록 시간외],상세표[사번키],INDEX(합계표[사번키],$X764),상세표[기록월],"&lt;&gt;"&amp;대상월키,상세표[반영월],대상월키))</f>
        <v/>
      </c>
      <c r="K764" s="20">
        <f>IF($X764="","",SUMIFS(상세표[기록 시간외],상세표[사번키],INDEX(합계표[사번키],$X764),상세표[반영월],대상월키))</f>
        <v/>
      </c>
      <c r="L764">
        <f>IF($X764="","",IFERROR(INDEX(월별근무지표[적용 급여병원],MATCH(INDEX(합계표[사번키],$X764)&amp;"|"&amp;대상월키,월별근무지표[키],0))&amp;"",IF(COUNTIF(기관표[사번키],INDEX(합계표[사번키],$X764))+COUNTIF(월별근무지표[사번키],INDEX(합계표[사번키],$X764))&gt;0,IFERROR(INDEX(기관표[급여지급병원(기준월)],MATCH(INDEX(합계표[사번키],$X764)&amp;"|"&amp;대상월키,기관표[키],0))&amp;"","—"),"—")))</f>
        <v/>
      </c>
      <c r="M764">
        <f>IF($X764="","",IF(NOT(COUNTIF(기관표[사번키],INDEX(합계표[사번키],$X764))+COUNTIF(월별근무지표[사번키],INDEX(합계표[사번키],$X764))&gt;0),"기관명단에 없음(다른 병원으로 발송)",IF($L764="서울병원","해당",IF(N($R764)&gt;0,"해당(말일 근무)",IF($L764="—","대상월 기관명단 없음(추가 필요)","비해당")))))</f>
        <v/>
      </c>
      <c r="N764" s="20">
        <f>IF($X764="","",SUMIFS(상세표[06~07시],상세표[사번키],INDEX(합계표[사번키],$X764),상세표[반영월],대상월키,상세표[반영 기관],"서울병원"))</f>
        <v/>
      </c>
      <c r="O764" s="20">
        <f>IF($X764="","",SUMIFS(상세표[07~18시],상세표[사번키],INDEX(합계표[사번키],$X764),상세표[반영월],대상월키,상세표[반영 기관],"서울병원"))</f>
        <v/>
      </c>
      <c r="P764" s="20">
        <f>IF($X764="","",SUMIFS(상세표[18~22시],상세표[사번키],INDEX(합계표[사번키],$X764),상세표[반영월],대상월키,상세표[반영 기관],"서울병원"))</f>
        <v/>
      </c>
      <c r="Q764" s="20">
        <f>IF($X764="","",SUMIFS(상세표[22~06시],상세표[사번키],INDEX(합계표[사번키],$X764),상세표[반영월],대상월키,상세표[반영 기관],"서울병원"))</f>
        <v/>
      </c>
      <c r="R764" s="20">
        <f>IF($X764="","",SUM($N764:$Q764))</f>
        <v/>
      </c>
      <c r="S764">
        <f>IF($X764="","",COUNTIFS(상세표[사번키],INDEX(합계표[사번키],$X764),상세표[반영월],대상월키,상세표[야간당직],1,상세표[야간 구분],"평일"))</f>
        <v/>
      </c>
      <c r="T764">
        <f>IF($X764="","",COUNTIFS(상세표[사번키],INDEX(합계표[사번키],$X764),상세표[반영월],대상월키,상세표[야간당직],1,상세표[야간 구분],"휴일"))</f>
        <v/>
      </c>
      <c r="U764">
        <f>IF($X764="","",COUNTIFS(상세표[사번키],INDEX(합계표[사번키],$X764),상세표[반영월],대상월키,상세표[야간당직],1,상세표[야간 구분],"평일",상세표[반영 기관],"서울병원"))</f>
        <v/>
      </c>
      <c r="V764">
        <f>IF($X764="","",COUNTIFS(상세표[사번키],INDEX(합계표[사번키],$X764),상세표[반영월],대상월키,상세표[야간당직],1,상세표[야간 구분],"휴일",상세표[반영 기관],"서울병원"))</f>
        <v/>
      </c>
      <c r="W764">
        <f>IF($X764="","",IF(ISNUMBER(MATCH(INDEX(합계표[사번키],$X764)&amp;"|"&amp;대상월키,월별근무지표[키],0)),"직접 입력",IF($L764="—","—","기관명단")))</f>
        <v/>
      </c>
      <c r="X764" s="4">
        <f>IFERROR(MATCH(759,합계표[판정순번],0),"")</f>
        <v/>
      </c>
    </row>
    <row r="765">
      <c r="A765">
        <f>IF($X765="","",INDEX(합계표[사번],$X765)&amp;"")</f>
        <v/>
      </c>
      <c r="B765">
        <f>IF($X765="","",INDEX(합계표[성명],$X765)&amp;"")</f>
        <v/>
      </c>
      <c r="C765">
        <f>IF($X765="","",INDEX(합계표[부서],$X765)&amp;"")</f>
        <v/>
      </c>
      <c r="D765">
        <f>IF($X765="","",INDEX(합계표[직위(요약)],$X765)&amp;"")</f>
        <v/>
      </c>
      <c r="E765">
        <f>IF($X765="","",INDEX(합계표[직급 공존],$X765)&amp;"")</f>
        <v/>
      </c>
      <c r="F765" s="20">
        <f>IF($X765="","",SUMIFS(합계표[시스템 합계],합계표[사번키],INDEX(합계표[사번키],$X765)))</f>
        <v/>
      </c>
      <c r="G765" s="20">
        <f>IF($X765="","",SUMIFS(상세표[기록 시간외],상세표[사번키],INDEX(합계표[사번키],$X765),상세표[기록월],대상월키))</f>
        <v/>
      </c>
      <c r="H765">
        <f>IF($X765="","",IF(ABS($F765-$G765)&lt;0.01,"일치","불일치(차이 "&amp;TEXT($G765-$F765,"0.00")&amp;")"))</f>
        <v/>
      </c>
      <c r="I765" s="20">
        <f>IF($X765="","",SUMIFS(상세표[기록 시간외],상세표[사번키],INDEX(합계표[사번키],$X765),상세표[기록월],대상월키,상세표[반영월],"&lt;&gt;"&amp;대상월키))</f>
        <v/>
      </c>
      <c r="J765" s="20">
        <f>IF($X765="","",SUMIFS(상세표[기록 시간외],상세표[사번키],INDEX(합계표[사번키],$X765),상세표[기록월],"&lt;&gt;"&amp;대상월키,상세표[반영월],대상월키))</f>
        <v/>
      </c>
      <c r="K765" s="20">
        <f>IF($X765="","",SUMIFS(상세표[기록 시간외],상세표[사번키],INDEX(합계표[사번키],$X765),상세표[반영월],대상월키))</f>
        <v/>
      </c>
      <c r="L765">
        <f>IF($X765="","",IFERROR(INDEX(월별근무지표[적용 급여병원],MATCH(INDEX(합계표[사번키],$X765)&amp;"|"&amp;대상월키,월별근무지표[키],0))&amp;"",IF(COUNTIF(기관표[사번키],INDEX(합계표[사번키],$X765))+COUNTIF(월별근무지표[사번키],INDEX(합계표[사번키],$X765))&gt;0,IFERROR(INDEX(기관표[급여지급병원(기준월)],MATCH(INDEX(합계표[사번키],$X765)&amp;"|"&amp;대상월키,기관표[키],0))&amp;"","—"),"—")))</f>
        <v/>
      </c>
      <c r="M765">
        <f>IF($X765="","",IF(NOT(COUNTIF(기관표[사번키],INDEX(합계표[사번키],$X765))+COUNTIF(월별근무지표[사번키],INDEX(합계표[사번키],$X765))&gt;0),"기관명단에 없음(다른 병원으로 발송)",IF($L765="서울병원","해당",IF(N($R765)&gt;0,"해당(말일 근무)",IF($L765="—","대상월 기관명단 없음(추가 필요)","비해당")))))</f>
        <v/>
      </c>
      <c r="N765" s="20">
        <f>IF($X765="","",SUMIFS(상세표[06~07시],상세표[사번키],INDEX(합계표[사번키],$X765),상세표[반영월],대상월키,상세표[반영 기관],"서울병원"))</f>
        <v/>
      </c>
      <c r="O765" s="20">
        <f>IF($X765="","",SUMIFS(상세표[07~18시],상세표[사번키],INDEX(합계표[사번키],$X765),상세표[반영월],대상월키,상세표[반영 기관],"서울병원"))</f>
        <v/>
      </c>
      <c r="P765" s="20">
        <f>IF($X765="","",SUMIFS(상세표[18~22시],상세표[사번키],INDEX(합계표[사번키],$X765),상세표[반영월],대상월키,상세표[반영 기관],"서울병원"))</f>
        <v/>
      </c>
      <c r="Q765" s="20">
        <f>IF($X765="","",SUMIFS(상세표[22~06시],상세표[사번키],INDEX(합계표[사번키],$X765),상세표[반영월],대상월키,상세표[반영 기관],"서울병원"))</f>
        <v/>
      </c>
      <c r="R765" s="20">
        <f>IF($X765="","",SUM($N765:$Q765))</f>
        <v/>
      </c>
      <c r="S765">
        <f>IF($X765="","",COUNTIFS(상세표[사번키],INDEX(합계표[사번키],$X765),상세표[반영월],대상월키,상세표[야간당직],1,상세표[야간 구분],"평일"))</f>
        <v/>
      </c>
      <c r="T765">
        <f>IF($X765="","",COUNTIFS(상세표[사번키],INDEX(합계표[사번키],$X765),상세표[반영월],대상월키,상세표[야간당직],1,상세표[야간 구분],"휴일"))</f>
        <v/>
      </c>
      <c r="U765">
        <f>IF($X765="","",COUNTIFS(상세표[사번키],INDEX(합계표[사번키],$X765),상세표[반영월],대상월키,상세표[야간당직],1,상세표[야간 구분],"평일",상세표[반영 기관],"서울병원"))</f>
        <v/>
      </c>
      <c r="V765">
        <f>IF($X765="","",COUNTIFS(상세표[사번키],INDEX(합계표[사번키],$X765),상세표[반영월],대상월키,상세표[야간당직],1,상세표[야간 구분],"휴일",상세표[반영 기관],"서울병원"))</f>
        <v/>
      </c>
      <c r="W765">
        <f>IF($X765="","",IF(ISNUMBER(MATCH(INDEX(합계표[사번키],$X765)&amp;"|"&amp;대상월키,월별근무지표[키],0)),"직접 입력",IF($L765="—","—","기관명단")))</f>
        <v/>
      </c>
      <c r="X765" s="4">
        <f>IFERROR(MATCH(760,합계표[판정순번],0),"")</f>
        <v/>
      </c>
    </row>
    <row r="766">
      <c r="A766">
        <f>IF($X766="","",INDEX(합계표[사번],$X766)&amp;"")</f>
        <v/>
      </c>
      <c r="B766">
        <f>IF($X766="","",INDEX(합계표[성명],$X766)&amp;"")</f>
        <v/>
      </c>
      <c r="C766">
        <f>IF($X766="","",INDEX(합계표[부서],$X766)&amp;"")</f>
        <v/>
      </c>
      <c r="D766">
        <f>IF($X766="","",INDEX(합계표[직위(요약)],$X766)&amp;"")</f>
        <v/>
      </c>
      <c r="E766">
        <f>IF($X766="","",INDEX(합계표[직급 공존],$X766)&amp;"")</f>
        <v/>
      </c>
      <c r="F766" s="20">
        <f>IF($X766="","",SUMIFS(합계표[시스템 합계],합계표[사번키],INDEX(합계표[사번키],$X766)))</f>
        <v/>
      </c>
      <c r="G766" s="20">
        <f>IF($X766="","",SUMIFS(상세표[기록 시간외],상세표[사번키],INDEX(합계표[사번키],$X766),상세표[기록월],대상월키))</f>
        <v/>
      </c>
      <c r="H766">
        <f>IF($X766="","",IF(ABS($F766-$G766)&lt;0.01,"일치","불일치(차이 "&amp;TEXT($G766-$F766,"0.00")&amp;")"))</f>
        <v/>
      </c>
      <c r="I766" s="20">
        <f>IF($X766="","",SUMIFS(상세표[기록 시간외],상세표[사번키],INDEX(합계표[사번키],$X766),상세표[기록월],대상월키,상세표[반영월],"&lt;&gt;"&amp;대상월키))</f>
        <v/>
      </c>
      <c r="J766" s="20">
        <f>IF($X766="","",SUMIFS(상세표[기록 시간외],상세표[사번키],INDEX(합계표[사번키],$X766),상세표[기록월],"&lt;&gt;"&amp;대상월키,상세표[반영월],대상월키))</f>
        <v/>
      </c>
      <c r="K766" s="20">
        <f>IF($X766="","",SUMIFS(상세표[기록 시간외],상세표[사번키],INDEX(합계표[사번키],$X766),상세표[반영월],대상월키))</f>
        <v/>
      </c>
      <c r="L766">
        <f>IF($X766="","",IFERROR(INDEX(월별근무지표[적용 급여병원],MATCH(INDEX(합계표[사번키],$X766)&amp;"|"&amp;대상월키,월별근무지표[키],0))&amp;"",IF(COUNTIF(기관표[사번키],INDEX(합계표[사번키],$X766))+COUNTIF(월별근무지표[사번키],INDEX(합계표[사번키],$X766))&gt;0,IFERROR(INDEX(기관표[급여지급병원(기준월)],MATCH(INDEX(합계표[사번키],$X766)&amp;"|"&amp;대상월키,기관표[키],0))&amp;"","—"),"—")))</f>
        <v/>
      </c>
      <c r="M766">
        <f>IF($X766="","",IF(NOT(COUNTIF(기관표[사번키],INDEX(합계표[사번키],$X766))+COUNTIF(월별근무지표[사번키],INDEX(합계표[사번키],$X766))&gt;0),"기관명단에 없음(다른 병원으로 발송)",IF($L766="서울병원","해당",IF(N($R766)&gt;0,"해당(말일 근무)",IF($L766="—","대상월 기관명단 없음(추가 필요)","비해당")))))</f>
        <v/>
      </c>
      <c r="N766" s="20">
        <f>IF($X766="","",SUMIFS(상세표[06~07시],상세표[사번키],INDEX(합계표[사번키],$X766),상세표[반영월],대상월키,상세표[반영 기관],"서울병원"))</f>
        <v/>
      </c>
      <c r="O766" s="20">
        <f>IF($X766="","",SUMIFS(상세표[07~18시],상세표[사번키],INDEX(합계표[사번키],$X766),상세표[반영월],대상월키,상세표[반영 기관],"서울병원"))</f>
        <v/>
      </c>
      <c r="P766" s="20">
        <f>IF($X766="","",SUMIFS(상세표[18~22시],상세표[사번키],INDEX(합계표[사번키],$X766),상세표[반영월],대상월키,상세표[반영 기관],"서울병원"))</f>
        <v/>
      </c>
      <c r="Q766" s="20">
        <f>IF($X766="","",SUMIFS(상세표[22~06시],상세표[사번키],INDEX(합계표[사번키],$X766),상세표[반영월],대상월키,상세표[반영 기관],"서울병원"))</f>
        <v/>
      </c>
      <c r="R766" s="20">
        <f>IF($X766="","",SUM($N766:$Q766))</f>
        <v/>
      </c>
      <c r="S766">
        <f>IF($X766="","",COUNTIFS(상세표[사번키],INDEX(합계표[사번키],$X766),상세표[반영월],대상월키,상세표[야간당직],1,상세표[야간 구분],"평일"))</f>
        <v/>
      </c>
      <c r="T766">
        <f>IF($X766="","",COUNTIFS(상세표[사번키],INDEX(합계표[사번키],$X766),상세표[반영월],대상월키,상세표[야간당직],1,상세표[야간 구분],"휴일"))</f>
        <v/>
      </c>
      <c r="U766">
        <f>IF($X766="","",COUNTIFS(상세표[사번키],INDEX(합계표[사번키],$X766),상세표[반영월],대상월키,상세표[야간당직],1,상세표[야간 구분],"평일",상세표[반영 기관],"서울병원"))</f>
        <v/>
      </c>
      <c r="V766">
        <f>IF($X766="","",COUNTIFS(상세표[사번키],INDEX(합계표[사번키],$X766),상세표[반영월],대상월키,상세표[야간당직],1,상세표[야간 구분],"휴일",상세표[반영 기관],"서울병원"))</f>
        <v/>
      </c>
      <c r="W766">
        <f>IF($X766="","",IF(ISNUMBER(MATCH(INDEX(합계표[사번키],$X766)&amp;"|"&amp;대상월키,월별근무지표[키],0)),"직접 입력",IF($L766="—","—","기관명단")))</f>
        <v/>
      </c>
      <c r="X766" s="4">
        <f>IFERROR(MATCH(761,합계표[판정순번],0),"")</f>
        <v/>
      </c>
    </row>
    <row r="767">
      <c r="A767">
        <f>IF($X767="","",INDEX(합계표[사번],$X767)&amp;"")</f>
        <v/>
      </c>
      <c r="B767">
        <f>IF($X767="","",INDEX(합계표[성명],$X767)&amp;"")</f>
        <v/>
      </c>
      <c r="C767">
        <f>IF($X767="","",INDEX(합계표[부서],$X767)&amp;"")</f>
        <v/>
      </c>
      <c r="D767">
        <f>IF($X767="","",INDEX(합계표[직위(요약)],$X767)&amp;"")</f>
        <v/>
      </c>
      <c r="E767">
        <f>IF($X767="","",INDEX(합계표[직급 공존],$X767)&amp;"")</f>
        <v/>
      </c>
      <c r="F767" s="20">
        <f>IF($X767="","",SUMIFS(합계표[시스템 합계],합계표[사번키],INDEX(합계표[사번키],$X767)))</f>
        <v/>
      </c>
      <c r="G767" s="20">
        <f>IF($X767="","",SUMIFS(상세표[기록 시간외],상세표[사번키],INDEX(합계표[사번키],$X767),상세표[기록월],대상월키))</f>
        <v/>
      </c>
      <c r="H767">
        <f>IF($X767="","",IF(ABS($F767-$G767)&lt;0.01,"일치","불일치(차이 "&amp;TEXT($G767-$F767,"0.00")&amp;")"))</f>
        <v/>
      </c>
      <c r="I767" s="20">
        <f>IF($X767="","",SUMIFS(상세표[기록 시간외],상세표[사번키],INDEX(합계표[사번키],$X767),상세표[기록월],대상월키,상세표[반영월],"&lt;&gt;"&amp;대상월키))</f>
        <v/>
      </c>
      <c r="J767" s="20">
        <f>IF($X767="","",SUMIFS(상세표[기록 시간외],상세표[사번키],INDEX(합계표[사번키],$X767),상세표[기록월],"&lt;&gt;"&amp;대상월키,상세표[반영월],대상월키))</f>
        <v/>
      </c>
      <c r="K767" s="20">
        <f>IF($X767="","",SUMIFS(상세표[기록 시간외],상세표[사번키],INDEX(합계표[사번키],$X767),상세표[반영월],대상월키))</f>
        <v/>
      </c>
      <c r="L767">
        <f>IF($X767="","",IFERROR(INDEX(월별근무지표[적용 급여병원],MATCH(INDEX(합계표[사번키],$X767)&amp;"|"&amp;대상월키,월별근무지표[키],0))&amp;"",IF(COUNTIF(기관표[사번키],INDEX(합계표[사번키],$X767))+COUNTIF(월별근무지표[사번키],INDEX(합계표[사번키],$X767))&gt;0,IFERROR(INDEX(기관표[급여지급병원(기준월)],MATCH(INDEX(합계표[사번키],$X767)&amp;"|"&amp;대상월키,기관표[키],0))&amp;"","—"),"—")))</f>
        <v/>
      </c>
      <c r="M767">
        <f>IF($X767="","",IF(NOT(COUNTIF(기관표[사번키],INDEX(합계표[사번키],$X767))+COUNTIF(월별근무지표[사번키],INDEX(합계표[사번키],$X767))&gt;0),"기관명단에 없음(다른 병원으로 발송)",IF($L767="서울병원","해당",IF(N($R767)&gt;0,"해당(말일 근무)",IF($L767="—","대상월 기관명단 없음(추가 필요)","비해당")))))</f>
        <v/>
      </c>
      <c r="N767" s="20">
        <f>IF($X767="","",SUMIFS(상세표[06~07시],상세표[사번키],INDEX(합계표[사번키],$X767),상세표[반영월],대상월키,상세표[반영 기관],"서울병원"))</f>
        <v/>
      </c>
      <c r="O767" s="20">
        <f>IF($X767="","",SUMIFS(상세표[07~18시],상세표[사번키],INDEX(합계표[사번키],$X767),상세표[반영월],대상월키,상세표[반영 기관],"서울병원"))</f>
        <v/>
      </c>
      <c r="P767" s="20">
        <f>IF($X767="","",SUMIFS(상세표[18~22시],상세표[사번키],INDEX(합계표[사번키],$X767),상세표[반영월],대상월키,상세표[반영 기관],"서울병원"))</f>
        <v/>
      </c>
      <c r="Q767" s="20">
        <f>IF($X767="","",SUMIFS(상세표[22~06시],상세표[사번키],INDEX(합계표[사번키],$X767),상세표[반영월],대상월키,상세표[반영 기관],"서울병원"))</f>
        <v/>
      </c>
      <c r="R767" s="20">
        <f>IF($X767="","",SUM($N767:$Q767))</f>
        <v/>
      </c>
      <c r="S767">
        <f>IF($X767="","",COUNTIFS(상세표[사번키],INDEX(합계표[사번키],$X767),상세표[반영월],대상월키,상세표[야간당직],1,상세표[야간 구분],"평일"))</f>
        <v/>
      </c>
      <c r="T767">
        <f>IF($X767="","",COUNTIFS(상세표[사번키],INDEX(합계표[사번키],$X767),상세표[반영월],대상월키,상세표[야간당직],1,상세표[야간 구분],"휴일"))</f>
        <v/>
      </c>
      <c r="U767">
        <f>IF($X767="","",COUNTIFS(상세표[사번키],INDEX(합계표[사번키],$X767),상세표[반영월],대상월키,상세표[야간당직],1,상세표[야간 구분],"평일",상세표[반영 기관],"서울병원"))</f>
        <v/>
      </c>
      <c r="V767">
        <f>IF($X767="","",COUNTIFS(상세표[사번키],INDEX(합계표[사번키],$X767),상세표[반영월],대상월키,상세표[야간당직],1,상세표[야간 구분],"휴일",상세표[반영 기관],"서울병원"))</f>
        <v/>
      </c>
      <c r="W767">
        <f>IF($X767="","",IF(ISNUMBER(MATCH(INDEX(합계표[사번키],$X767)&amp;"|"&amp;대상월키,월별근무지표[키],0)),"직접 입력",IF($L767="—","—","기관명단")))</f>
        <v/>
      </c>
      <c r="X767" s="4">
        <f>IFERROR(MATCH(762,합계표[판정순번],0),"")</f>
        <v/>
      </c>
    </row>
    <row r="768">
      <c r="A768">
        <f>IF($X768="","",INDEX(합계표[사번],$X768)&amp;"")</f>
        <v/>
      </c>
      <c r="B768">
        <f>IF($X768="","",INDEX(합계표[성명],$X768)&amp;"")</f>
        <v/>
      </c>
      <c r="C768">
        <f>IF($X768="","",INDEX(합계표[부서],$X768)&amp;"")</f>
        <v/>
      </c>
      <c r="D768">
        <f>IF($X768="","",INDEX(합계표[직위(요약)],$X768)&amp;"")</f>
        <v/>
      </c>
      <c r="E768">
        <f>IF($X768="","",INDEX(합계표[직급 공존],$X768)&amp;"")</f>
        <v/>
      </c>
      <c r="F768" s="20">
        <f>IF($X768="","",SUMIFS(합계표[시스템 합계],합계표[사번키],INDEX(합계표[사번키],$X768)))</f>
        <v/>
      </c>
      <c r="G768" s="20">
        <f>IF($X768="","",SUMIFS(상세표[기록 시간외],상세표[사번키],INDEX(합계표[사번키],$X768),상세표[기록월],대상월키))</f>
        <v/>
      </c>
      <c r="H768">
        <f>IF($X768="","",IF(ABS($F768-$G768)&lt;0.01,"일치","불일치(차이 "&amp;TEXT($G768-$F768,"0.00")&amp;")"))</f>
        <v/>
      </c>
      <c r="I768" s="20">
        <f>IF($X768="","",SUMIFS(상세표[기록 시간외],상세표[사번키],INDEX(합계표[사번키],$X768),상세표[기록월],대상월키,상세표[반영월],"&lt;&gt;"&amp;대상월키))</f>
        <v/>
      </c>
      <c r="J768" s="20">
        <f>IF($X768="","",SUMIFS(상세표[기록 시간외],상세표[사번키],INDEX(합계표[사번키],$X768),상세표[기록월],"&lt;&gt;"&amp;대상월키,상세표[반영월],대상월키))</f>
        <v/>
      </c>
      <c r="K768" s="20">
        <f>IF($X768="","",SUMIFS(상세표[기록 시간외],상세표[사번키],INDEX(합계표[사번키],$X768),상세표[반영월],대상월키))</f>
        <v/>
      </c>
      <c r="L768">
        <f>IF($X768="","",IFERROR(INDEX(월별근무지표[적용 급여병원],MATCH(INDEX(합계표[사번키],$X768)&amp;"|"&amp;대상월키,월별근무지표[키],0))&amp;"",IF(COUNTIF(기관표[사번키],INDEX(합계표[사번키],$X768))+COUNTIF(월별근무지표[사번키],INDEX(합계표[사번키],$X768))&gt;0,IFERROR(INDEX(기관표[급여지급병원(기준월)],MATCH(INDEX(합계표[사번키],$X768)&amp;"|"&amp;대상월키,기관표[키],0))&amp;"","—"),"—")))</f>
        <v/>
      </c>
      <c r="M768">
        <f>IF($X768="","",IF(NOT(COUNTIF(기관표[사번키],INDEX(합계표[사번키],$X768))+COUNTIF(월별근무지표[사번키],INDEX(합계표[사번키],$X768))&gt;0),"기관명단에 없음(다른 병원으로 발송)",IF($L768="서울병원","해당",IF(N($R768)&gt;0,"해당(말일 근무)",IF($L768="—","대상월 기관명단 없음(추가 필요)","비해당")))))</f>
        <v/>
      </c>
      <c r="N768" s="20">
        <f>IF($X768="","",SUMIFS(상세표[06~07시],상세표[사번키],INDEX(합계표[사번키],$X768),상세표[반영월],대상월키,상세표[반영 기관],"서울병원"))</f>
        <v/>
      </c>
      <c r="O768" s="20">
        <f>IF($X768="","",SUMIFS(상세표[07~18시],상세표[사번키],INDEX(합계표[사번키],$X768),상세표[반영월],대상월키,상세표[반영 기관],"서울병원"))</f>
        <v/>
      </c>
      <c r="P768" s="20">
        <f>IF($X768="","",SUMIFS(상세표[18~22시],상세표[사번키],INDEX(합계표[사번키],$X768),상세표[반영월],대상월키,상세표[반영 기관],"서울병원"))</f>
        <v/>
      </c>
      <c r="Q768" s="20">
        <f>IF($X768="","",SUMIFS(상세표[22~06시],상세표[사번키],INDEX(합계표[사번키],$X768),상세표[반영월],대상월키,상세표[반영 기관],"서울병원"))</f>
        <v/>
      </c>
      <c r="R768" s="20">
        <f>IF($X768="","",SUM($N768:$Q768))</f>
        <v/>
      </c>
      <c r="S768">
        <f>IF($X768="","",COUNTIFS(상세표[사번키],INDEX(합계표[사번키],$X768),상세표[반영월],대상월키,상세표[야간당직],1,상세표[야간 구분],"평일"))</f>
        <v/>
      </c>
      <c r="T768">
        <f>IF($X768="","",COUNTIFS(상세표[사번키],INDEX(합계표[사번키],$X768),상세표[반영월],대상월키,상세표[야간당직],1,상세표[야간 구분],"휴일"))</f>
        <v/>
      </c>
      <c r="U768">
        <f>IF($X768="","",COUNTIFS(상세표[사번키],INDEX(합계표[사번키],$X768),상세표[반영월],대상월키,상세표[야간당직],1,상세표[야간 구분],"평일",상세표[반영 기관],"서울병원"))</f>
        <v/>
      </c>
      <c r="V768">
        <f>IF($X768="","",COUNTIFS(상세표[사번키],INDEX(합계표[사번키],$X768),상세표[반영월],대상월키,상세표[야간당직],1,상세표[야간 구분],"휴일",상세표[반영 기관],"서울병원"))</f>
        <v/>
      </c>
      <c r="W768">
        <f>IF($X768="","",IF(ISNUMBER(MATCH(INDEX(합계표[사번키],$X768)&amp;"|"&amp;대상월키,월별근무지표[키],0)),"직접 입력",IF($L768="—","—","기관명단")))</f>
        <v/>
      </c>
      <c r="X768" s="4">
        <f>IFERROR(MATCH(763,합계표[판정순번],0),"")</f>
        <v/>
      </c>
    </row>
    <row r="769">
      <c r="A769">
        <f>IF($X769="","",INDEX(합계표[사번],$X769)&amp;"")</f>
        <v/>
      </c>
      <c r="B769">
        <f>IF($X769="","",INDEX(합계표[성명],$X769)&amp;"")</f>
        <v/>
      </c>
      <c r="C769">
        <f>IF($X769="","",INDEX(합계표[부서],$X769)&amp;"")</f>
        <v/>
      </c>
      <c r="D769">
        <f>IF($X769="","",INDEX(합계표[직위(요약)],$X769)&amp;"")</f>
        <v/>
      </c>
      <c r="E769">
        <f>IF($X769="","",INDEX(합계표[직급 공존],$X769)&amp;"")</f>
        <v/>
      </c>
      <c r="F769" s="20">
        <f>IF($X769="","",SUMIFS(합계표[시스템 합계],합계표[사번키],INDEX(합계표[사번키],$X769)))</f>
        <v/>
      </c>
      <c r="G769" s="20">
        <f>IF($X769="","",SUMIFS(상세표[기록 시간외],상세표[사번키],INDEX(합계표[사번키],$X769),상세표[기록월],대상월키))</f>
        <v/>
      </c>
      <c r="H769">
        <f>IF($X769="","",IF(ABS($F769-$G769)&lt;0.01,"일치","불일치(차이 "&amp;TEXT($G769-$F769,"0.00")&amp;")"))</f>
        <v/>
      </c>
      <c r="I769" s="20">
        <f>IF($X769="","",SUMIFS(상세표[기록 시간외],상세표[사번키],INDEX(합계표[사번키],$X769),상세표[기록월],대상월키,상세표[반영월],"&lt;&gt;"&amp;대상월키))</f>
        <v/>
      </c>
      <c r="J769" s="20">
        <f>IF($X769="","",SUMIFS(상세표[기록 시간외],상세표[사번키],INDEX(합계표[사번키],$X769),상세표[기록월],"&lt;&gt;"&amp;대상월키,상세표[반영월],대상월키))</f>
        <v/>
      </c>
      <c r="K769" s="20">
        <f>IF($X769="","",SUMIFS(상세표[기록 시간외],상세표[사번키],INDEX(합계표[사번키],$X769),상세표[반영월],대상월키))</f>
        <v/>
      </c>
      <c r="L769">
        <f>IF($X769="","",IFERROR(INDEX(월별근무지표[적용 급여병원],MATCH(INDEX(합계표[사번키],$X769)&amp;"|"&amp;대상월키,월별근무지표[키],0))&amp;"",IF(COUNTIF(기관표[사번키],INDEX(합계표[사번키],$X769))+COUNTIF(월별근무지표[사번키],INDEX(합계표[사번키],$X769))&gt;0,IFERROR(INDEX(기관표[급여지급병원(기준월)],MATCH(INDEX(합계표[사번키],$X769)&amp;"|"&amp;대상월키,기관표[키],0))&amp;"","—"),"—")))</f>
        <v/>
      </c>
      <c r="M769">
        <f>IF($X769="","",IF(NOT(COUNTIF(기관표[사번키],INDEX(합계표[사번키],$X769))+COUNTIF(월별근무지표[사번키],INDEX(합계표[사번키],$X769))&gt;0),"기관명단에 없음(다른 병원으로 발송)",IF($L769="서울병원","해당",IF(N($R769)&gt;0,"해당(말일 근무)",IF($L769="—","대상월 기관명단 없음(추가 필요)","비해당")))))</f>
        <v/>
      </c>
      <c r="N769" s="20">
        <f>IF($X769="","",SUMIFS(상세표[06~07시],상세표[사번키],INDEX(합계표[사번키],$X769),상세표[반영월],대상월키,상세표[반영 기관],"서울병원"))</f>
        <v/>
      </c>
      <c r="O769" s="20">
        <f>IF($X769="","",SUMIFS(상세표[07~18시],상세표[사번키],INDEX(합계표[사번키],$X769),상세표[반영월],대상월키,상세표[반영 기관],"서울병원"))</f>
        <v/>
      </c>
      <c r="P769" s="20">
        <f>IF($X769="","",SUMIFS(상세표[18~22시],상세표[사번키],INDEX(합계표[사번키],$X769),상세표[반영월],대상월키,상세표[반영 기관],"서울병원"))</f>
        <v/>
      </c>
      <c r="Q769" s="20">
        <f>IF($X769="","",SUMIFS(상세표[22~06시],상세표[사번키],INDEX(합계표[사번키],$X769),상세표[반영월],대상월키,상세표[반영 기관],"서울병원"))</f>
        <v/>
      </c>
      <c r="R769" s="20">
        <f>IF($X769="","",SUM($N769:$Q769))</f>
        <v/>
      </c>
      <c r="S769">
        <f>IF($X769="","",COUNTIFS(상세표[사번키],INDEX(합계표[사번키],$X769),상세표[반영월],대상월키,상세표[야간당직],1,상세표[야간 구분],"평일"))</f>
        <v/>
      </c>
      <c r="T769">
        <f>IF($X769="","",COUNTIFS(상세표[사번키],INDEX(합계표[사번키],$X769),상세표[반영월],대상월키,상세표[야간당직],1,상세표[야간 구분],"휴일"))</f>
        <v/>
      </c>
      <c r="U769">
        <f>IF($X769="","",COUNTIFS(상세표[사번키],INDEX(합계표[사번키],$X769),상세표[반영월],대상월키,상세표[야간당직],1,상세표[야간 구분],"평일",상세표[반영 기관],"서울병원"))</f>
        <v/>
      </c>
      <c r="V769">
        <f>IF($X769="","",COUNTIFS(상세표[사번키],INDEX(합계표[사번키],$X769),상세표[반영월],대상월키,상세표[야간당직],1,상세표[야간 구분],"휴일",상세표[반영 기관],"서울병원"))</f>
        <v/>
      </c>
      <c r="W769">
        <f>IF($X769="","",IF(ISNUMBER(MATCH(INDEX(합계표[사번키],$X769)&amp;"|"&amp;대상월키,월별근무지표[키],0)),"직접 입력",IF($L769="—","—","기관명단")))</f>
        <v/>
      </c>
      <c r="X769" s="4">
        <f>IFERROR(MATCH(764,합계표[판정순번],0),"")</f>
        <v/>
      </c>
    </row>
    <row r="770">
      <c r="A770">
        <f>IF($X770="","",INDEX(합계표[사번],$X770)&amp;"")</f>
        <v/>
      </c>
      <c r="B770">
        <f>IF($X770="","",INDEX(합계표[성명],$X770)&amp;"")</f>
        <v/>
      </c>
      <c r="C770">
        <f>IF($X770="","",INDEX(합계표[부서],$X770)&amp;"")</f>
        <v/>
      </c>
      <c r="D770">
        <f>IF($X770="","",INDEX(합계표[직위(요약)],$X770)&amp;"")</f>
        <v/>
      </c>
      <c r="E770">
        <f>IF($X770="","",INDEX(합계표[직급 공존],$X770)&amp;"")</f>
        <v/>
      </c>
      <c r="F770" s="20">
        <f>IF($X770="","",SUMIFS(합계표[시스템 합계],합계표[사번키],INDEX(합계표[사번키],$X770)))</f>
        <v/>
      </c>
      <c r="G770" s="20">
        <f>IF($X770="","",SUMIFS(상세표[기록 시간외],상세표[사번키],INDEX(합계표[사번키],$X770),상세표[기록월],대상월키))</f>
        <v/>
      </c>
      <c r="H770">
        <f>IF($X770="","",IF(ABS($F770-$G770)&lt;0.01,"일치","불일치(차이 "&amp;TEXT($G770-$F770,"0.00")&amp;")"))</f>
        <v/>
      </c>
      <c r="I770" s="20">
        <f>IF($X770="","",SUMIFS(상세표[기록 시간외],상세표[사번키],INDEX(합계표[사번키],$X770),상세표[기록월],대상월키,상세표[반영월],"&lt;&gt;"&amp;대상월키))</f>
        <v/>
      </c>
      <c r="J770" s="20">
        <f>IF($X770="","",SUMIFS(상세표[기록 시간외],상세표[사번키],INDEX(합계표[사번키],$X770),상세표[기록월],"&lt;&gt;"&amp;대상월키,상세표[반영월],대상월키))</f>
        <v/>
      </c>
      <c r="K770" s="20">
        <f>IF($X770="","",SUMIFS(상세표[기록 시간외],상세표[사번키],INDEX(합계표[사번키],$X770),상세표[반영월],대상월키))</f>
        <v/>
      </c>
      <c r="L770">
        <f>IF($X770="","",IFERROR(INDEX(월별근무지표[적용 급여병원],MATCH(INDEX(합계표[사번키],$X770)&amp;"|"&amp;대상월키,월별근무지표[키],0))&amp;"",IF(COUNTIF(기관표[사번키],INDEX(합계표[사번키],$X770))+COUNTIF(월별근무지표[사번키],INDEX(합계표[사번키],$X770))&gt;0,IFERROR(INDEX(기관표[급여지급병원(기준월)],MATCH(INDEX(합계표[사번키],$X770)&amp;"|"&amp;대상월키,기관표[키],0))&amp;"","—"),"—")))</f>
        <v/>
      </c>
      <c r="M770">
        <f>IF($X770="","",IF(NOT(COUNTIF(기관표[사번키],INDEX(합계표[사번키],$X770))+COUNTIF(월별근무지표[사번키],INDEX(합계표[사번키],$X770))&gt;0),"기관명단에 없음(다른 병원으로 발송)",IF($L770="서울병원","해당",IF(N($R770)&gt;0,"해당(말일 근무)",IF($L770="—","대상월 기관명단 없음(추가 필요)","비해당")))))</f>
        <v/>
      </c>
      <c r="N770" s="20">
        <f>IF($X770="","",SUMIFS(상세표[06~07시],상세표[사번키],INDEX(합계표[사번키],$X770),상세표[반영월],대상월키,상세표[반영 기관],"서울병원"))</f>
        <v/>
      </c>
      <c r="O770" s="20">
        <f>IF($X770="","",SUMIFS(상세표[07~18시],상세표[사번키],INDEX(합계표[사번키],$X770),상세표[반영월],대상월키,상세표[반영 기관],"서울병원"))</f>
        <v/>
      </c>
      <c r="P770" s="20">
        <f>IF($X770="","",SUMIFS(상세표[18~22시],상세표[사번키],INDEX(합계표[사번키],$X770),상세표[반영월],대상월키,상세표[반영 기관],"서울병원"))</f>
        <v/>
      </c>
      <c r="Q770" s="20">
        <f>IF($X770="","",SUMIFS(상세표[22~06시],상세표[사번키],INDEX(합계표[사번키],$X770),상세표[반영월],대상월키,상세표[반영 기관],"서울병원"))</f>
        <v/>
      </c>
      <c r="R770" s="20">
        <f>IF($X770="","",SUM($N770:$Q770))</f>
        <v/>
      </c>
      <c r="S770">
        <f>IF($X770="","",COUNTIFS(상세표[사번키],INDEX(합계표[사번키],$X770),상세표[반영월],대상월키,상세표[야간당직],1,상세표[야간 구분],"평일"))</f>
        <v/>
      </c>
      <c r="T770">
        <f>IF($X770="","",COUNTIFS(상세표[사번키],INDEX(합계표[사번키],$X770),상세표[반영월],대상월키,상세표[야간당직],1,상세표[야간 구분],"휴일"))</f>
        <v/>
      </c>
      <c r="U770">
        <f>IF($X770="","",COUNTIFS(상세표[사번키],INDEX(합계표[사번키],$X770),상세표[반영월],대상월키,상세표[야간당직],1,상세표[야간 구분],"평일",상세표[반영 기관],"서울병원"))</f>
        <v/>
      </c>
      <c r="V770">
        <f>IF($X770="","",COUNTIFS(상세표[사번키],INDEX(합계표[사번키],$X770),상세표[반영월],대상월키,상세표[야간당직],1,상세표[야간 구분],"휴일",상세표[반영 기관],"서울병원"))</f>
        <v/>
      </c>
      <c r="W770">
        <f>IF($X770="","",IF(ISNUMBER(MATCH(INDEX(합계표[사번키],$X770)&amp;"|"&amp;대상월키,월별근무지표[키],0)),"직접 입력",IF($L770="—","—","기관명단")))</f>
        <v/>
      </c>
      <c r="X770" s="4">
        <f>IFERROR(MATCH(765,합계표[판정순번],0),"")</f>
        <v/>
      </c>
    </row>
    <row r="771">
      <c r="A771">
        <f>IF($X771="","",INDEX(합계표[사번],$X771)&amp;"")</f>
        <v/>
      </c>
      <c r="B771">
        <f>IF($X771="","",INDEX(합계표[성명],$X771)&amp;"")</f>
        <v/>
      </c>
      <c r="C771">
        <f>IF($X771="","",INDEX(합계표[부서],$X771)&amp;"")</f>
        <v/>
      </c>
      <c r="D771">
        <f>IF($X771="","",INDEX(합계표[직위(요약)],$X771)&amp;"")</f>
        <v/>
      </c>
      <c r="E771">
        <f>IF($X771="","",INDEX(합계표[직급 공존],$X771)&amp;"")</f>
        <v/>
      </c>
      <c r="F771" s="20">
        <f>IF($X771="","",SUMIFS(합계표[시스템 합계],합계표[사번키],INDEX(합계표[사번키],$X771)))</f>
        <v/>
      </c>
      <c r="G771" s="20">
        <f>IF($X771="","",SUMIFS(상세표[기록 시간외],상세표[사번키],INDEX(합계표[사번키],$X771),상세표[기록월],대상월키))</f>
        <v/>
      </c>
      <c r="H771">
        <f>IF($X771="","",IF(ABS($F771-$G771)&lt;0.01,"일치","불일치(차이 "&amp;TEXT($G771-$F771,"0.00")&amp;")"))</f>
        <v/>
      </c>
      <c r="I771" s="20">
        <f>IF($X771="","",SUMIFS(상세표[기록 시간외],상세표[사번키],INDEX(합계표[사번키],$X771),상세표[기록월],대상월키,상세표[반영월],"&lt;&gt;"&amp;대상월키))</f>
        <v/>
      </c>
      <c r="J771" s="20">
        <f>IF($X771="","",SUMIFS(상세표[기록 시간외],상세표[사번키],INDEX(합계표[사번키],$X771),상세표[기록월],"&lt;&gt;"&amp;대상월키,상세표[반영월],대상월키))</f>
        <v/>
      </c>
      <c r="K771" s="20">
        <f>IF($X771="","",SUMIFS(상세표[기록 시간외],상세표[사번키],INDEX(합계표[사번키],$X771),상세표[반영월],대상월키))</f>
        <v/>
      </c>
      <c r="L771">
        <f>IF($X771="","",IFERROR(INDEX(월별근무지표[적용 급여병원],MATCH(INDEX(합계표[사번키],$X771)&amp;"|"&amp;대상월키,월별근무지표[키],0))&amp;"",IF(COUNTIF(기관표[사번키],INDEX(합계표[사번키],$X771))+COUNTIF(월별근무지표[사번키],INDEX(합계표[사번키],$X771))&gt;0,IFERROR(INDEX(기관표[급여지급병원(기준월)],MATCH(INDEX(합계표[사번키],$X771)&amp;"|"&amp;대상월키,기관표[키],0))&amp;"","—"),"—")))</f>
        <v/>
      </c>
      <c r="M771">
        <f>IF($X771="","",IF(NOT(COUNTIF(기관표[사번키],INDEX(합계표[사번키],$X771))+COUNTIF(월별근무지표[사번키],INDEX(합계표[사번키],$X771))&gt;0),"기관명단에 없음(다른 병원으로 발송)",IF($L771="서울병원","해당",IF(N($R771)&gt;0,"해당(말일 근무)",IF($L771="—","대상월 기관명단 없음(추가 필요)","비해당")))))</f>
        <v/>
      </c>
      <c r="N771" s="20">
        <f>IF($X771="","",SUMIFS(상세표[06~07시],상세표[사번키],INDEX(합계표[사번키],$X771),상세표[반영월],대상월키,상세표[반영 기관],"서울병원"))</f>
        <v/>
      </c>
      <c r="O771" s="20">
        <f>IF($X771="","",SUMIFS(상세표[07~18시],상세표[사번키],INDEX(합계표[사번키],$X771),상세표[반영월],대상월키,상세표[반영 기관],"서울병원"))</f>
        <v/>
      </c>
      <c r="P771" s="20">
        <f>IF($X771="","",SUMIFS(상세표[18~22시],상세표[사번키],INDEX(합계표[사번키],$X771),상세표[반영월],대상월키,상세표[반영 기관],"서울병원"))</f>
        <v/>
      </c>
      <c r="Q771" s="20">
        <f>IF($X771="","",SUMIFS(상세표[22~06시],상세표[사번키],INDEX(합계표[사번키],$X771),상세표[반영월],대상월키,상세표[반영 기관],"서울병원"))</f>
        <v/>
      </c>
      <c r="R771" s="20">
        <f>IF($X771="","",SUM($N771:$Q771))</f>
        <v/>
      </c>
      <c r="S771">
        <f>IF($X771="","",COUNTIFS(상세표[사번키],INDEX(합계표[사번키],$X771),상세표[반영월],대상월키,상세표[야간당직],1,상세표[야간 구분],"평일"))</f>
        <v/>
      </c>
      <c r="T771">
        <f>IF($X771="","",COUNTIFS(상세표[사번키],INDEX(합계표[사번키],$X771),상세표[반영월],대상월키,상세표[야간당직],1,상세표[야간 구분],"휴일"))</f>
        <v/>
      </c>
      <c r="U771">
        <f>IF($X771="","",COUNTIFS(상세표[사번키],INDEX(합계표[사번키],$X771),상세표[반영월],대상월키,상세표[야간당직],1,상세표[야간 구분],"평일",상세표[반영 기관],"서울병원"))</f>
        <v/>
      </c>
      <c r="V771">
        <f>IF($X771="","",COUNTIFS(상세표[사번키],INDEX(합계표[사번키],$X771),상세표[반영월],대상월키,상세표[야간당직],1,상세표[야간 구분],"휴일",상세표[반영 기관],"서울병원"))</f>
        <v/>
      </c>
      <c r="W771">
        <f>IF($X771="","",IF(ISNUMBER(MATCH(INDEX(합계표[사번키],$X771)&amp;"|"&amp;대상월키,월별근무지표[키],0)),"직접 입력",IF($L771="—","—","기관명단")))</f>
        <v/>
      </c>
      <c r="X771" s="4">
        <f>IFERROR(MATCH(766,합계표[판정순번],0),"")</f>
        <v/>
      </c>
    </row>
    <row r="772">
      <c r="A772">
        <f>IF($X772="","",INDEX(합계표[사번],$X772)&amp;"")</f>
        <v/>
      </c>
      <c r="B772">
        <f>IF($X772="","",INDEX(합계표[성명],$X772)&amp;"")</f>
        <v/>
      </c>
      <c r="C772">
        <f>IF($X772="","",INDEX(합계표[부서],$X772)&amp;"")</f>
        <v/>
      </c>
      <c r="D772">
        <f>IF($X772="","",INDEX(합계표[직위(요약)],$X772)&amp;"")</f>
        <v/>
      </c>
      <c r="E772">
        <f>IF($X772="","",INDEX(합계표[직급 공존],$X772)&amp;"")</f>
        <v/>
      </c>
      <c r="F772" s="20">
        <f>IF($X772="","",SUMIFS(합계표[시스템 합계],합계표[사번키],INDEX(합계표[사번키],$X772)))</f>
        <v/>
      </c>
      <c r="G772" s="20">
        <f>IF($X772="","",SUMIFS(상세표[기록 시간외],상세표[사번키],INDEX(합계표[사번키],$X772),상세표[기록월],대상월키))</f>
        <v/>
      </c>
      <c r="H772">
        <f>IF($X772="","",IF(ABS($F772-$G772)&lt;0.01,"일치","불일치(차이 "&amp;TEXT($G772-$F772,"0.00")&amp;")"))</f>
        <v/>
      </c>
      <c r="I772" s="20">
        <f>IF($X772="","",SUMIFS(상세표[기록 시간외],상세표[사번키],INDEX(합계표[사번키],$X772),상세표[기록월],대상월키,상세표[반영월],"&lt;&gt;"&amp;대상월키))</f>
        <v/>
      </c>
      <c r="J772" s="20">
        <f>IF($X772="","",SUMIFS(상세표[기록 시간외],상세표[사번키],INDEX(합계표[사번키],$X772),상세표[기록월],"&lt;&gt;"&amp;대상월키,상세표[반영월],대상월키))</f>
        <v/>
      </c>
      <c r="K772" s="20">
        <f>IF($X772="","",SUMIFS(상세표[기록 시간외],상세표[사번키],INDEX(합계표[사번키],$X772),상세표[반영월],대상월키))</f>
        <v/>
      </c>
      <c r="L772">
        <f>IF($X772="","",IFERROR(INDEX(월별근무지표[적용 급여병원],MATCH(INDEX(합계표[사번키],$X772)&amp;"|"&amp;대상월키,월별근무지표[키],0))&amp;"",IF(COUNTIF(기관표[사번키],INDEX(합계표[사번키],$X772))+COUNTIF(월별근무지표[사번키],INDEX(합계표[사번키],$X772))&gt;0,IFERROR(INDEX(기관표[급여지급병원(기준월)],MATCH(INDEX(합계표[사번키],$X772)&amp;"|"&amp;대상월키,기관표[키],0))&amp;"","—"),"—")))</f>
        <v/>
      </c>
      <c r="M772">
        <f>IF($X772="","",IF(NOT(COUNTIF(기관표[사번키],INDEX(합계표[사번키],$X772))+COUNTIF(월별근무지표[사번키],INDEX(합계표[사번키],$X772))&gt;0),"기관명단에 없음(다른 병원으로 발송)",IF($L772="서울병원","해당",IF(N($R772)&gt;0,"해당(말일 근무)",IF($L772="—","대상월 기관명단 없음(추가 필요)","비해당")))))</f>
        <v/>
      </c>
      <c r="N772" s="20">
        <f>IF($X772="","",SUMIFS(상세표[06~07시],상세표[사번키],INDEX(합계표[사번키],$X772),상세표[반영월],대상월키,상세표[반영 기관],"서울병원"))</f>
        <v/>
      </c>
      <c r="O772" s="20">
        <f>IF($X772="","",SUMIFS(상세표[07~18시],상세표[사번키],INDEX(합계표[사번키],$X772),상세표[반영월],대상월키,상세표[반영 기관],"서울병원"))</f>
        <v/>
      </c>
      <c r="P772" s="20">
        <f>IF($X772="","",SUMIFS(상세표[18~22시],상세표[사번키],INDEX(합계표[사번키],$X772),상세표[반영월],대상월키,상세표[반영 기관],"서울병원"))</f>
        <v/>
      </c>
      <c r="Q772" s="20">
        <f>IF($X772="","",SUMIFS(상세표[22~06시],상세표[사번키],INDEX(합계표[사번키],$X772),상세표[반영월],대상월키,상세표[반영 기관],"서울병원"))</f>
        <v/>
      </c>
      <c r="R772" s="20">
        <f>IF($X772="","",SUM($N772:$Q772))</f>
        <v/>
      </c>
      <c r="S772">
        <f>IF($X772="","",COUNTIFS(상세표[사번키],INDEX(합계표[사번키],$X772),상세표[반영월],대상월키,상세표[야간당직],1,상세표[야간 구분],"평일"))</f>
        <v/>
      </c>
      <c r="T772">
        <f>IF($X772="","",COUNTIFS(상세표[사번키],INDEX(합계표[사번키],$X772),상세표[반영월],대상월키,상세표[야간당직],1,상세표[야간 구분],"휴일"))</f>
        <v/>
      </c>
      <c r="U772">
        <f>IF($X772="","",COUNTIFS(상세표[사번키],INDEX(합계표[사번키],$X772),상세표[반영월],대상월키,상세표[야간당직],1,상세표[야간 구분],"평일",상세표[반영 기관],"서울병원"))</f>
        <v/>
      </c>
      <c r="V772">
        <f>IF($X772="","",COUNTIFS(상세표[사번키],INDEX(합계표[사번키],$X772),상세표[반영월],대상월키,상세표[야간당직],1,상세표[야간 구분],"휴일",상세표[반영 기관],"서울병원"))</f>
        <v/>
      </c>
      <c r="W772">
        <f>IF($X772="","",IF(ISNUMBER(MATCH(INDEX(합계표[사번키],$X772)&amp;"|"&amp;대상월키,월별근무지표[키],0)),"직접 입력",IF($L772="—","—","기관명단")))</f>
        <v/>
      </c>
      <c r="X772" s="4">
        <f>IFERROR(MATCH(767,합계표[판정순번],0),"")</f>
        <v/>
      </c>
    </row>
    <row r="773">
      <c r="A773">
        <f>IF($X773="","",INDEX(합계표[사번],$X773)&amp;"")</f>
        <v/>
      </c>
      <c r="B773">
        <f>IF($X773="","",INDEX(합계표[성명],$X773)&amp;"")</f>
        <v/>
      </c>
      <c r="C773">
        <f>IF($X773="","",INDEX(합계표[부서],$X773)&amp;"")</f>
        <v/>
      </c>
      <c r="D773">
        <f>IF($X773="","",INDEX(합계표[직위(요약)],$X773)&amp;"")</f>
        <v/>
      </c>
      <c r="E773">
        <f>IF($X773="","",INDEX(합계표[직급 공존],$X773)&amp;"")</f>
        <v/>
      </c>
      <c r="F773" s="20">
        <f>IF($X773="","",SUMIFS(합계표[시스템 합계],합계표[사번키],INDEX(합계표[사번키],$X773)))</f>
        <v/>
      </c>
      <c r="G773" s="20">
        <f>IF($X773="","",SUMIFS(상세표[기록 시간외],상세표[사번키],INDEX(합계표[사번키],$X773),상세표[기록월],대상월키))</f>
        <v/>
      </c>
      <c r="H773">
        <f>IF($X773="","",IF(ABS($F773-$G773)&lt;0.01,"일치","불일치(차이 "&amp;TEXT($G773-$F773,"0.00")&amp;")"))</f>
        <v/>
      </c>
      <c r="I773" s="20">
        <f>IF($X773="","",SUMIFS(상세표[기록 시간외],상세표[사번키],INDEX(합계표[사번키],$X773),상세표[기록월],대상월키,상세표[반영월],"&lt;&gt;"&amp;대상월키))</f>
        <v/>
      </c>
      <c r="J773" s="20">
        <f>IF($X773="","",SUMIFS(상세표[기록 시간외],상세표[사번키],INDEX(합계표[사번키],$X773),상세표[기록월],"&lt;&gt;"&amp;대상월키,상세표[반영월],대상월키))</f>
        <v/>
      </c>
      <c r="K773" s="20">
        <f>IF($X773="","",SUMIFS(상세표[기록 시간외],상세표[사번키],INDEX(합계표[사번키],$X773),상세표[반영월],대상월키))</f>
        <v/>
      </c>
      <c r="L773">
        <f>IF($X773="","",IFERROR(INDEX(월별근무지표[적용 급여병원],MATCH(INDEX(합계표[사번키],$X773)&amp;"|"&amp;대상월키,월별근무지표[키],0))&amp;"",IF(COUNTIF(기관표[사번키],INDEX(합계표[사번키],$X773))+COUNTIF(월별근무지표[사번키],INDEX(합계표[사번키],$X773))&gt;0,IFERROR(INDEX(기관표[급여지급병원(기준월)],MATCH(INDEX(합계표[사번키],$X773)&amp;"|"&amp;대상월키,기관표[키],0))&amp;"","—"),"—")))</f>
        <v/>
      </c>
      <c r="M773">
        <f>IF($X773="","",IF(NOT(COUNTIF(기관표[사번키],INDEX(합계표[사번키],$X773))+COUNTIF(월별근무지표[사번키],INDEX(합계표[사번키],$X773))&gt;0),"기관명단에 없음(다른 병원으로 발송)",IF($L773="서울병원","해당",IF(N($R773)&gt;0,"해당(말일 근무)",IF($L773="—","대상월 기관명단 없음(추가 필요)","비해당")))))</f>
        <v/>
      </c>
      <c r="N773" s="20">
        <f>IF($X773="","",SUMIFS(상세표[06~07시],상세표[사번키],INDEX(합계표[사번키],$X773),상세표[반영월],대상월키,상세표[반영 기관],"서울병원"))</f>
        <v/>
      </c>
      <c r="O773" s="20">
        <f>IF($X773="","",SUMIFS(상세표[07~18시],상세표[사번키],INDEX(합계표[사번키],$X773),상세표[반영월],대상월키,상세표[반영 기관],"서울병원"))</f>
        <v/>
      </c>
      <c r="P773" s="20">
        <f>IF($X773="","",SUMIFS(상세표[18~22시],상세표[사번키],INDEX(합계표[사번키],$X773),상세표[반영월],대상월키,상세표[반영 기관],"서울병원"))</f>
        <v/>
      </c>
      <c r="Q773" s="20">
        <f>IF($X773="","",SUMIFS(상세표[22~06시],상세표[사번키],INDEX(합계표[사번키],$X773),상세표[반영월],대상월키,상세표[반영 기관],"서울병원"))</f>
        <v/>
      </c>
      <c r="R773" s="20">
        <f>IF($X773="","",SUM($N773:$Q773))</f>
        <v/>
      </c>
      <c r="S773">
        <f>IF($X773="","",COUNTIFS(상세표[사번키],INDEX(합계표[사번키],$X773),상세표[반영월],대상월키,상세표[야간당직],1,상세표[야간 구분],"평일"))</f>
        <v/>
      </c>
      <c r="T773">
        <f>IF($X773="","",COUNTIFS(상세표[사번키],INDEX(합계표[사번키],$X773),상세표[반영월],대상월키,상세표[야간당직],1,상세표[야간 구분],"휴일"))</f>
        <v/>
      </c>
      <c r="U773">
        <f>IF($X773="","",COUNTIFS(상세표[사번키],INDEX(합계표[사번키],$X773),상세표[반영월],대상월키,상세표[야간당직],1,상세표[야간 구분],"평일",상세표[반영 기관],"서울병원"))</f>
        <v/>
      </c>
      <c r="V773">
        <f>IF($X773="","",COUNTIFS(상세표[사번키],INDEX(합계표[사번키],$X773),상세표[반영월],대상월키,상세표[야간당직],1,상세표[야간 구분],"휴일",상세표[반영 기관],"서울병원"))</f>
        <v/>
      </c>
      <c r="W773">
        <f>IF($X773="","",IF(ISNUMBER(MATCH(INDEX(합계표[사번키],$X773)&amp;"|"&amp;대상월키,월별근무지표[키],0)),"직접 입력",IF($L773="—","—","기관명단")))</f>
        <v/>
      </c>
      <c r="X773" s="4">
        <f>IFERROR(MATCH(768,합계표[판정순번],0),"")</f>
        <v/>
      </c>
    </row>
    <row r="774">
      <c r="A774">
        <f>IF($X774="","",INDEX(합계표[사번],$X774)&amp;"")</f>
        <v/>
      </c>
      <c r="B774">
        <f>IF($X774="","",INDEX(합계표[성명],$X774)&amp;"")</f>
        <v/>
      </c>
      <c r="C774">
        <f>IF($X774="","",INDEX(합계표[부서],$X774)&amp;"")</f>
        <v/>
      </c>
      <c r="D774">
        <f>IF($X774="","",INDEX(합계표[직위(요약)],$X774)&amp;"")</f>
        <v/>
      </c>
      <c r="E774">
        <f>IF($X774="","",INDEX(합계표[직급 공존],$X774)&amp;"")</f>
        <v/>
      </c>
      <c r="F774" s="20">
        <f>IF($X774="","",SUMIFS(합계표[시스템 합계],합계표[사번키],INDEX(합계표[사번키],$X774)))</f>
        <v/>
      </c>
      <c r="G774" s="20">
        <f>IF($X774="","",SUMIFS(상세표[기록 시간외],상세표[사번키],INDEX(합계표[사번키],$X774),상세표[기록월],대상월키))</f>
        <v/>
      </c>
      <c r="H774">
        <f>IF($X774="","",IF(ABS($F774-$G774)&lt;0.01,"일치","불일치(차이 "&amp;TEXT($G774-$F774,"0.00")&amp;")"))</f>
        <v/>
      </c>
      <c r="I774" s="20">
        <f>IF($X774="","",SUMIFS(상세표[기록 시간외],상세표[사번키],INDEX(합계표[사번키],$X774),상세표[기록월],대상월키,상세표[반영월],"&lt;&gt;"&amp;대상월키))</f>
        <v/>
      </c>
      <c r="J774" s="20">
        <f>IF($X774="","",SUMIFS(상세표[기록 시간외],상세표[사번키],INDEX(합계표[사번키],$X774),상세표[기록월],"&lt;&gt;"&amp;대상월키,상세표[반영월],대상월키))</f>
        <v/>
      </c>
      <c r="K774" s="20">
        <f>IF($X774="","",SUMIFS(상세표[기록 시간외],상세표[사번키],INDEX(합계표[사번키],$X774),상세표[반영월],대상월키))</f>
        <v/>
      </c>
      <c r="L774">
        <f>IF($X774="","",IFERROR(INDEX(월별근무지표[적용 급여병원],MATCH(INDEX(합계표[사번키],$X774)&amp;"|"&amp;대상월키,월별근무지표[키],0))&amp;"",IF(COUNTIF(기관표[사번키],INDEX(합계표[사번키],$X774))+COUNTIF(월별근무지표[사번키],INDEX(합계표[사번키],$X774))&gt;0,IFERROR(INDEX(기관표[급여지급병원(기준월)],MATCH(INDEX(합계표[사번키],$X774)&amp;"|"&amp;대상월키,기관표[키],0))&amp;"","—"),"—")))</f>
        <v/>
      </c>
      <c r="M774">
        <f>IF($X774="","",IF(NOT(COUNTIF(기관표[사번키],INDEX(합계표[사번키],$X774))+COUNTIF(월별근무지표[사번키],INDEX(합계표[사번키],$X774))&gt;0),"기관명단에 없음(다른 병원으로 발송)",IF($L774="서울병원","해당",IF(N($R774)&gt;0,"해당(말일 근무)",IF($L774="—","대상월 기관명단 없음(추가 필요)","비해당")))))</f>
        <v/>
      </c>
      <c r="N774" s="20">
        <f>IF($X774="","",SUMIFS(상세표[06~07시],상세표[사번키],INDEX(합계표[사번키],$X774),상세표[반영월],대상월키,상세표[반영 기관],"서울병원"))</f>
        <v/>
      </c>
      <c r="O774" s="20">
        <f>IF($X774="","",SUMIFS(상세표[07~18시],상세표[사번키],INDEX(합계표[사번키],$X774),상세표[반영월],대상월키,상세표[반영 기관],"서울병원"))</f>
        <v/>
      </c>
      <c r="P774" s="20">
        <f>IF($X774="","",SUMIFS(상세표[18~22시],상세표[사번키],INDEX(합계표[사번키],$X774),상세표[반영월],대상월키,상세표[반영 기관],"서울병원"))</f>
        <v/>
      </c>
      <c r="Q774" s="20">
        <f>IF($X774="","",SUMIFS(상세표[22~06시],상세표[사번키],INDEX(합계표[사번키],$X774),상세표[반영월],대상월키,상세표[반영 기관],"서울병원"))</f>
        <v/>
      </c>
      <c r="R774" s="20">
        <f>IF($X774="","",SUM($N774:$Q774))</f>
        <v/>
      </c>
      <c r="S774">
        <f>IF($X774="","",COUNTIFS(상세표[사번키],INDEX(합계표[사번키],$X774),상세표[반영월],대상월키,상세표[야간당직],1,상세표[야간 구분],"평일"))</f>
        <v/>
      </c>
      <c r="T774">
        <f>IF($X774="","",COUNTIFS(상세표[사번키],INDEX(합계표[사번키],$X774),상세표[반영월],대상월키,상세표[야간당직],1,상세표[야간 구분],"휴일"))</f>
        <v/>
      </c>
      <c r="U774">
        <f>IF($X774="","",COUNTIFS(상세표[사번키],INDEX(합계표[사번키],$X774),상세표[반영월],대상월키,상세표[야간당직],1,상세표[야간 구분],"평일",상세표[반영 기관],"서울병원"))</f>
        <v/>
      </c>
      <c r="V774">
        <f>IF($X774="","",COUNTIFS(상세표[사번키],INDEX(합계표[사번키],$X774),상세표[반영월],대상월키,상세표[야간당직],1,상세표[야간 구분],"휴일",상세표[반영 기관],"서울병원"))</f>
        <v/>
      </c>
      <c r="W774">
        <f>IF($X774="","",IF(ISNUMBER(MATCH(INDEX(합계표[사번키],$X774)&amp;"|"&amp;대상월키,월별근무지표[키],0)),"직접 입력",IF($L774="—","—","기관명단")))</f>
        <v/>
      </c>
      <c r="X774" s="4">
        <f>IFERROR(MATCH(769,합계표[판정순번],0),"")</f>
        <v/>
      </c>
    </row>
    <row r="775">
      <c r="A775">
        <f>IF($X775="","",INDEX(합계표[사번],$X775)&amp;"")</f>
        <v/>
      </c>
      <c r="B775">
        <f>IF($X775="","",INDEX(합계표[성명],$X775)&amp;"")</f>
        <v/>
      </c>
      <c r="C775">
        <f>IF($X775="","",INDEX(합계표[부서],$X775)&amp;"")</f>
        <v/>
      </c>
      <c r="D775">
        <f>IF($X775="","",INDEX(합계표[직위(요약)],$X775)&amp;"")</f>
        <v/>
      </c>
      <c r="E775">
        <f>IF($X775="","",INDEX(합계표[직급 공존],$X775)&amp;"")</f>
        <v/>
      </c>
      <c r="F775" s="20">
        <f>IF($X775="","",SUMIFS(합계표[시스템 합계],합계표[사번키],INDEX(합계표[사번키],$X775)))</f>
        <v/>
      </c>
      <c r="G775" s="20">
        <f>IF($X775="","",SUMIFS(상세표[기록 시간외],상세표[사번키],INDEX(합계표[사번키],$X775),상세표[기록월],대상월키))</f>
        <v/>
      </c>
      <c r="H775">
        <f>IF($X775="","",IF(ABS($F775-$G775)&lt;0.01,"일치","불일치(차이 "&amp;TEXT($G775-$F775,"0.00")&amp;")"))</f>
        <v/>
      </c>
      <c r="I775" s="20">
        <f>IF($X775="","",SUMIFS(상세표[기록 시간외],상세표[사번키],INDEX(합계표[사번키],$X775),상세표[기록월],대상월키,상세표[반영월],"&lt;&gt;"&amp;대상월키))</f>
        <v/>
      </c>
      <c r="J775" s="20">
        <f>IF($X775="","",SUMIFS(상세표[기록 시간외],상세표[사번키],INDEX(합계표[사번키],$X775),상세표[기록월],"&lt;&gt;"&amp;대상월키,상세표[반영월],대상월키))</f>
        <v/>
      </c>
      <c r="K775" s="20">
        <f>IF($X775="","",SUMIFS(상세표[기록 시간외],상세표[사번키],INDEX(합계표[사번키],$X775),상세표[반영월],대상월키))</f>
        <v/>
      </c>
      <c r="L775">
        <f>IF($X775="","",IFERROR(INDEX(월별근무지표[적용 급여병원],MATCH(INDEX(합계표[사번키],$X775)&amp;"|"&amp;대상월키,월별근무지표[키],0))&amp;"",IF(COUNTIF(기관표[사번키],INDEX(합계표[사번키],$X775))+COUNTIF(월별근무지표[사번키],INDEX(합계표[사번키],$X775))&gt;0,IFERROR(INDEX(기관표[급여지급병원(기준월)],MATCH(INDEX(합계표[사번키],$X775)&amp;"|"&amp;대상월키,기관표[키],0))&amp;"","—"),"—")))</f>
        <v/>
      </c>
      <c r="M775">
        <f>IF($X775="","",IF(NOT(COUNTIF(기관표[사번키],INDEX(합계표[사번키],$X775))+COUNTIF(월별근무지표[사번키],INDEX(합계표[사번키],$X775))&gt;0),"기관명단에 없음(다른 병원으로 발송)",IF($L775="서울병원","해당",IF(N($R775)&gt;0,"해당(말일 근무)",IF($L775="—","대상월 기관명단 없음(추가 필요)","비해당")))))</f>
        <v/>
      </c>
      <c r="N775" s="20">
        <f>IF($X775="","",SUMIFS(상세표[06~07시],상세표[사번키],INDEX(합계표[사번키],$X775),상세표[반영월],대상월키,상세표[반영 기관],"서울병원"))</f>
        <v/>
      </c>
      <c r="O775" s="20">
        <f>IF($X775="","",SUMIFS(상세표[07~18시],상세표[사번키],INDEX(합계표[사번키],$X775),상세표[반영월],대상월키,상세표[반영 기관],"서울병원"))</f>
        <v/>
      </c>
      <c r="P775" s="20">
        <f>IF($X775="","",SUMIFS(상세표[18~22시],상세표[사번키],INDEX(합계표[사번키],$X775),상세표[반영월],대상월키,상세표[반영 기관],"서울병원"))</f>
        <v/>
      </c>
      <c r="Q775" s="20">
        <f>IF($X775="","",SUMIFS(상세표[22~06시],상세표[사번키],INDEX(합계표[사번키],$X775),상세표[반영월],대상월키,상세표[반영 기관],"서울병원"))</f>
        <v/>
      </c>
      <c r="R775" s="20">
        <f>IF($X775="","",SUM($N775:$Q775))</f>
        <v/>
      </c>
      <c r="S775">
        <f>IF($X775="","",COUNTIFS(상세표[사번키],INDEX(합계표[사번키],$X775),상세표[반영월],대상월키,상세표[야간당직],1,상세표[야간 구분],"평일"))</f>
        <v/>
      </c>
      <c r="T775">
        <f>IF($X775="","",COUNTIFS(상세표[사번키],INDEX(합계표[사번키],$X775),상세표[반영월],대상월키,상세표[야간당직],1,상세표[야간 구분],"휴일"))</f>
        <v/>
      </c>
      <c r="U775">
        <f>IF($X775="","",COUNTIFS(상세표[사번키],INDEX(합계표[사번키],$X775),상세표[반영월],대상월키,상세표[야간당직],1,상세표[야간 구분],"평일",상세표[반영 기관],"서울병원"))</f>
        <v/>
      </c>
      <c r="V775">
        <f>IF($X775="","",COUNTIFS(상세표[사번키],INDEX(합계표[사번키],$X775),상세표[반영월],대상월키,상세표[야간당직],1,상세표[야간 구분],"휴일",상세표[반영 기관],"서울병원"))</f>
        <v/>
      </c>
      <c r="W775">
        <f>IF($X775="","",IF(ISNUMBER(MATCH(INDEX(합계표[사번키],$X775)&amp;"|"&amp;대상월키,월별근무지표[키],0)),"직접 입력",IF($L775="—","—","기관명단")))</f>
        <v/>
      </c>
      <c r="X775" s="4">
        <f>IFERROR(MATCH(770,합계표[판정순번],0),"")</f>
        <v/>
      </c>
    </row>
    <row r="776">
      <c r="A776">
        <f>IF($X776="","",INDEX(합계표[사번],$X776)&amp;"")</f>
        <v/>
      </c>
      <c r="B776">
        <f>IF($X776="","",INDEX(합계표[성명],$X776)&amp;"")</f>
        <v/>
      </c>
      <c r="C776">
        <f>IF($X776="","",INDEX(합계표[부서],$X776)&amp;"")</f>
        <v/>
      </c>
      <c r="D776">
        <f>IF($X776="","",INDEX(합계표[직위(요약)],$X776)&amp;"")</f>
        <v/>
      </c>
      <c r="E776">
        <f>IF($X776="","",INDEX(합계표[직급 공존],$X776)&amp;"")</f>
        <v/>
      </c>
      <c r="F776" s="20">
        <f>IF($X776="","",SUMIFS(합계표[시스템 합계],합계표[사번키],INDEX(합계표[사번키],$X776)))</f>
        <v/>
      </c>
      <c r="G776" s="20">
        <f>IF($X776="","",SUMIFS(상세표[기록 시간외],상세표[사번키],INDEX(합계표[사번키],$X776),상세표[기록월],대상월키))</f>
        <v/>
      </c>
      <c r="H776">
        <f>IF($X776="","",IF(ABS($F776-$G776)&lt;0.01,"일치","불일치(차이 "&amp;TEXT($G776-$F776,"0.00")&amp;")"))</f>
        <v/>
      </c>
      <c r="I776" s="20">
        <f>IF($X776="","",SUMIFS(상세표[기록 시간외],상세표[사번키],INDEX(합계표[사번키],$X776),상세표[기록월],대상월키,상세표[반영월],"&lt;&gt;"&amp;대상월키))</f>
        <v/>
      </c>
      <c r="J776" s="20">
        <f>IF($X776="","",SUMIFS(상세표[기록 시간외],상세표[사번키],INDEX(합계표[사번키],$X776),상세표[기록월],"&lt;&gt;"&amp;대상월키,상세표[반영월],대상월키))</f>
        <v/>
      </c>
      <c r="K776" s="20">
        <f>IF($X776="","",SUMIFS(상세표[기록 시간외],상세표[사번키],INDEX(합계표[사번키],$X776),상세표[반영월],대상월키))</f>
        <v/>
      </c>
      <c r="L776">
        <f>IF($X776="","",IFERROR(INDEX(월별근무지표[적용 급여병원],MATCH(INDEX(합계표[사번키],$X776)&amp;"|"&amp;대상월키,월별근무지표[키],0))&amp;"",IF(COUNTIF(기관표[사번키],INDEX(합계표[사번키],$X776))+COUNTIF(월별근무지표[사번키],INDEX(합계표[사번키],$X776))&gt;0,IFERROR(INDEX(기관표[급여지급병원(기준월)],MATCH(INDEX(합계표[사번키],$X776)&amp;"|"&amp;대상월키,기관표[키],0))&amp;"","—"),"—")))</f>
        <v/>
      </c>
      <c r="M776">
        <f>IF($X776="","",IF(NOT(COUNTIF(기관표[사번키],INDEX(합계표[사번키],$X776))+COUNTIF(월별근무지표[사번키],INDEX(합계표[사번키],$X776))&gt;0),"기관명단에 없음(다른 병원으로 발송)",IF($L776="서울병원","해당",IF(N($R776)&gt;0,"해당(말일 근무)",IF($L776="—","대상월 기관명단 없음(추가 필요)","비해당")))))</f>
        <v/>
      </c>
      <c r="N776" s="20">
        <f>IF($X776="","",SUMIFS(상세표[06~07시],상세표[사번키],INDEX(합계표[사번키],$X776),상세표[반영월],대상월키,상세표[반영 기관],"서울병원"))</f>
        <v/>
      </c>
      <c r="O776" s="20">
        <f>IF($X776="","",SUMIFS(상세표[07~18시],상세표[사번키],INDEX(합계표[사번키],$X776),상세표[반영월],대상월키,상세표[반영 기관],"서울병원"))</f>
        <v/>
      </c>
      <c r="P776" s="20">
        <f>IF($X776="","",SUMIFS(상세표[18~22시],상세표[사번키],INDEX(합계표[사번키],$X776),상세표[반영월],대상월키,상세표[반영 기관],"서울병원"))</f>
        <v/>
      </c>
      <c r="Q776" s="20">
        <f>IF($X776="","",SUMIFS(상세표[22~06시],상세표[사번키],INDEX(합계표[사번키],$X776),상세표[반영월],대상월키,상세표[반영 기관],"서울병원"))</f>
        <v/>
      </c>
      <c r="R776" s="20">
        <f>IF($X776="","",SUM($N776:$Q776))</f>
        <v/>
      </c>
      <c r="S776">
        <f>IF($X776="","",COUNTIFS(상세표[사번키],INDEX(합계표[사번키],$X776),상세표[반영월],대상월키,상세표[야간당직],1,상세표[야간 구분],"평일"))</f>
        <v/>
      </c>
      <c r="T776">
        <f>IF($X776="","",COUNTIFS(상세표[사번키],INDEX(합계표[사번키],$X776),상세표[반영월],대상월키,상세표[야간당직],1,상세표[야간 구분],"휴일"))</f>
        <v/>
      </c>
      <c r="U776">
        <f>IF($X776="","",COUNTIFS(상세표[사번키],INDEX(합계표[사번키],$X776),상세표[반영월],대상월키,상세표[야간당직],1,상세표[야간 구분],"평일",상세표[반영 기관],"서울병원"))</f>
        <v/>
      </c>
      <c r="V776">
        <f>IF($X776="","",COUNTIFS(상세표[사번키],INDEX(합계표[사번키],$X776),상세표[반영월],대상월키,상세표[야간당직],1,상세표[야간 구분],"휴일",상세표[반영 기관],"서울병원"))</f>
        <v/>
      </c>
      <c r="W776">
        <f>IF($X776="","",IF(ISNUMBER(MATCH(INDEX(합계표[사번키],$X776)&amp;"|"&amp;대상월키,월별근무지표[키],0)),"직접 입력",IF($L776="—","—","기관명단")))</f>
        <v/>
      </c>
      <c r="X776" s="4">
        <f>IFERROR(MATCH(771,합계표[판정순번],0),"")</f>
        <v/>
      </c>
    </row>
    <row r="777">
      <c r="A777">
        <f>IF($X777="","",INDEX(합계표[사번],$X777)&amp;"")</f>
        <v/>
      </c>
      <c r="B777">
        <f>IF($X777="","",INDEX(합계표[성명],$X777)&amp;"")</f>
        <v/>
      </c>
      <c r="C777">
        <f>IF($X777="","",INDEX(합계표[부서],$X777)&amp;"")</f>
        <v/>
      </c>
      <c r="D777">
        <f>IF($X777="","",INDEX(합계표[직위(요약)],$X777)&amp;"")</f>
        <v/>
      </c>
      <c r="E777">
        <f>IF($X777="","",INDEX(합계표[직급 공존],$X777)&amp;"")</f>
        <v/>
      </c>
      <c r="F777" s="20">
        <f>IF($X777="","",SUMIFS(합계표[시스템 합계],합계표[사번키],INDEX(합계표[사번키],$X777)))</f>
        <v/>
      </c>
      <c r="G777" s="20">
        <f>IF($X777="","",SUMIFS(상세표[기록 시간외],상세표[사번키],INDEX(합계표[사번키],$X777),상세표[기록월],대상월키))</f>
        <v/>
      </c>
      <c r="H777">
        <f>IF($X777="","",IF(ABS($F777-$G777)&lt;0.01,"일치","불일치(차이 "&amp;TEXT($G777-$F777,"0.00")&amp;")"))</f>
        <v/>
      </c>
      <c r="I777" s="20">
        <f>IF($X777="","",SUMIFS(상세표[기록 시간외],상세표[사번키],INDEX(합계표[사번키],$X777),상세표[기록월],대상월키,상세표[반영월],"&lt;&gt;"&amp;대상월키))</f>
        <v/>
      </c>
      <c r="J777" s="20">
        <f>IF($X777="","",SUMIFS(상세표[기록 시간외],상세표[사번키],INDEX(합계표[사번키],$X777),상세표[기록월],"&lt;&gt;"&amp;대상월키,상세표[반영월],대상월키))</f>
        <v/>
      </c>
      <c r="K777" s="20">
        <f>IF($X777="","",SUMIFS(상세표[기록 시간외],상세표[사번키],INDEX(합계표[사번키],$X777),상세표[반영월],대상월키))</f>
        <v/>
      </c>
      <c r="L777">
        <f>IF($X777="","",IFERROR(INDEX(월별근무지표[적용 급여병원],MATCH(INDEX(합계표[사번키],$X777)&amp;"|"&amp;대상월키,월별근무지표[키],0))&amp;"",IF(COUNTIF(기관표[사번키],INDEX(합계표[사번키],$X777))+COUNTIF(월별근무지표[사번키],INDEX(합계표[사번키],$X777))&gt;0,IFERROR(INDEX(기관표[급여지급병원(기준월)],MATCH(INDEX(합계표[사번키],$X777)&amp;"|"&amp;대상월키,기관표[키],0))&amp;"","—"),"—")))</f>
        <v/>
      </c>
      <c r="M777">
        <f>IF($X777="","",IF(NOT(COUNTIF(기관표[사번키],INDEX(합계표[사번키],$X777))+COUNTIF(월별근무지표[사번키],INDEX(합계표[사번키],$X777))&gt;0),"기관명단에 없음(다른 병원으로 발송)",IF($L777="서울병원","해당",IF(N($R777)&gt;0,"해당(말일 근무)",IF($L777="—","대상월 기관명단 없음(추가 필요)","비해당")))))</f>
        <v/>
      </c>
      <c r="N777" s="20">
        <f>IF($X777="","",SUMIFS(상세표[06~07시],상세표[사번키],INDEX(합계표[사번키],$X777),상세표[반영월],대상월키,상세표[반영 기관],"서울병원"))</f>
        <v/>
      </c>
      <c r="O777" s="20">
        <f>IF($X777="","",SUMIFS(상세표[07~18시],상세표[사번키],INDEX(합계표[사번키],$X777),상세표[반영월],대상월키,상세표[반영 기관],"서울병원"))</f>
        <v/>
      </c>
      <c r="P777" s="20">
        <f>IF($X777="","",SUMIFS(상세표[18~22시],상세표[사번키],INDEX(합계표[사번키],$X777),상세표[반영월],대상월키,상세표[반영 기관],"서울병원"))</f>
        <v/>
      </c>
      <c r="Q777" s="20">
        <f>IF($X777="","",SUMIFS(상세표[22~06시],상세표[사번키],INDEX(합계표[사번키],$X777),상세표[반영월],대상월키,상세표[반영 기관],"서울병원"))</f>
        <v/>
      </c>
      <c r="R777" s="20">
        <f>IF($X777="","",SUM($N777:$Q777))</f>
        <v/>
      </c>
      <c r="S777">
        <f>IF($X777="","",COUNTIFS(상세표[사번키],INDEX(합계표[사번키],$X777),상세표[반영월],대상월키,상세표[야간당직],1,상세표[야간 구분],"평일"))</f>
        <v/>
      </c>
      <c r="T777">
        <f>IF($X777="","",COUNTIFS(상세표[사번키],INDEX(합계표[사번키],$X777),상세표[반영월],대상월키,상세표[야간당직],1,상세표[야간 구분],"휴일"))</f>
        <v/>
      </c>
      <c r="U777">
        <f>IF($X777="","",COUNTIFS(상세표[사번키],INDEX(합계표[사번키],$X777),상세표[반영월],대상월키,상세표[야간당직],1,상세표[야간 구분],"평일",상세표[반영 기관],"서울병원"))</f>
        <v/>
      </c>
      <c r="V777">
        <f>IF($X777="","",COUNTIFS(상세표[사번키],INDEX(합계표[사번키],$X777),상세표[반영월],대상월키,상세표[야간당직],1,상세표[야간 구분],"휴일",상세표[반영 기관],"서울병원"))</f>
        <v/>
      </c>
      <c r="W777">
        <f>IF($X777="","",IF(ISNUMBER(MATCH(INDEX(합계표[사번키],$X777)&amp;"|"&amp;대상월키,월별근무지표[키],0)),"직접 입력",IF($L777="—","—","기관명단")))</f>
        <v/>
      </c>
      <c r="X777" s="4">
        <f>IFERROR(MATCH(772,합계표[판정순번],0),"")</f>
        <v/>
      </c>
    </row>
    <row r="778">
      <c r="A778">
        <f>IF($X778="","",INDEX(합계표[사번],$X778)&amp;"")</f>
        <v/>
      </c>
      <c r="B778">
        <f>IF($X778="","",INDEX(합계표[성명],$X778)&amp;"")</f>
        <v/>
      </c>
      <c r="C778">
        <f>IF($X778="","",INDEX(합계표[부서],$X778)&amp;"")</f>
        <v/>
      </c>
      <c r="D778">
        <f>IF($X778="","",INDEX(합계표[직위(요약)],$X778)&amp;"")</f>
        <v/>
      </c>
      <c r="E778">
        <f>IF($X778="","",INDEX(합계표[직급 공존],$X778)&amp;"")</f>
        <v/>
      </c>
      <c r="F778" s="20">
        <f>IF($X778="","",SUMIFS(합계표[시스템 합계],합계표[사번키],INDEX(합계표[사번키],$X778)))</f>
        <v/>
      </c>
      <c r="G778" s="20">
        <f>IF($X778="","",SUMIFS(상세표[기록 시간외],상세표[사번키],INDEX(합계표[사번키],$X778),상세표[기록월],대상월키))</f>
        <v/>
      </c>
      <c r="H778">
        <f>IF($X778="","",IF(ABS($F778-$G778)&lt;0.01,"일치","불일치(차이 "&amp;TEXT($G778-$F778,"0.00")&amp;")"))</f>
        <v/>
      </c>
      <c r="I778" s="20">
        <f>IF($X778="","",SUMIFS(상세표[기록 시간외],상세표[사번키],INDEX(합계표[사번키],$X778),상세표[기록월],대상월키,상세표[반영월],"&lt;&gt;"&amp;대상월키))</f>
        <v/>
      </c>
      <c r="J778" s="20">
        <f>IF($X778="","",SUMIFS(상세표[기록 시간외],상세표[사번키],INDEX(합계표[사번키],$X778),상세표[기록월],"&lt;&gt;"&amp;대상월키,상세표[반영월],대상월키))</f>
        <v/>
      </c>
      <c r="K778" s="20">
        <f>IF($X778="","",SUMIFS(상세표[기록 시간외],상세표[사번키],INDEX(합계표[사번키],$X778),상세표[반영월],대상월키))</f>
        <v/>
      </c>
      <c r="L778">
        <f>IF($X778="","",IFERROR(INDEX(월별근무지표[적용 급여병원],MATCH(INDEX(합계표[사번키],$X778)&amp;"|"&amp;대상월키,월별근무지표[키],0))&amp;"",IF(COUNTIF(기관표[사번키],INDEX(합계표[사번키],$X778))+COUNTIF(월별근무지표[사번키],INDEX(합계표[사번키],$X778))&gt;0,IFERROR(INDEX(기관표[급여지급병원(기준월)],MATCH(INDEX(합계표[사번키],$X778)&amp;"|"&amp;대상월키,기관표[키],0))&amp;"","—"),"—")))</f>
        <v/>
      </c>
      <c r="M778">
        <f>IF($X778="","",IF(NOT(COUNTIF(기관표[사번키],INDEX(합계표[사번키],$X778))+COUNTIF(월별근무지표[사번키],INDEX(합계표[사번키],$X778))&gt;0),"기관명단에 없음(다른 병원으로 발송)",IF($L778="서울병원","해당",IF(N($R778)&gt;0,"해당(말일 근무)",IF($L778="—","대상월 기관명단 없음(추가 필요)","비해당")))))</f>
        <v/>
      </c>
      <c r="N778" s="20">
        <f>IF($X778="","",SUMIFS(상세표[06~07시],상세표[사번키],INDEX(합계표[사번키],$X778),상세표[반영월],대상월키,상세표[반영 기관],"서울병원"))</f>
        <v/>
      </c>
      <c r="O778" s="20">
        <f>IF($X778="","",SUMIFS(상세표[07~18시],상세표[사번키],INDEX(합계표[사번키],$X778),상세표[반영월],대상월키,상세표[반영 기관],"서울병원"))</f>
        <v/>
      </c>
      <c r="P778" s="20">
        <f>IF($X778="","",SUMIFS(상세표[18~22시],상세표[사번키],INDEX(합계표[사번키],$X778),상세표[반영월],대상월키,상세표[반영 기관],"서울병원"))</f>
        <v/>
      </c>
      <c r="Q778" s="20">
        <f>IF($X778="","",SUMIFS(상세표[22~06시],상세표[사번키],INDEX(합계표[사번키],$X778),상세표[반영월],대상월키,상세표[반영 기관],"서울병원"))</f>
        <v/>
      </c>
      <c r="R778" s="20">
        <f>IF($X778="","",SUM($N778:$Q778))</f>
        <v/>
      </c>
      <c r="S778">
        <f>IF($X778="","",COUNTIFS(상세표[사번키],INDEX(합계표[사번키],$X778),상세표[반영월],대상월키,상세표[야간당직],1,상세표[야간 구분],"평일"))</f>
        <v/>
      </c>
      <c r="T778">
        <f>IF($X778="","",COUNTIFS(상세표[사번키],INDEX(합계표[사번키],$X778),상세표[반영월],대상월키,상세표[야간당직],1,상세표[야간 구분],"휴일"))</f>
        <v/>
      </c>
      <c r="U778">
        <f>IF($X778="","",COUNTIFS(상세표[사번키],INDEX(합계표[사번키],$X778),상세표[반영월],대상월키,상세표[야간당직],1,상세표[야간 구분],"평일",상세표[반영 기관],"서울병원"))</f>
        <v/>
      </c>
      <c r="V778">
        <f>IF($X778="","",COUNTIFS(상세표[사번키],INDEX(합계표[사번키],$X778),상세표[반영월],대상월키,상세표[야간당직],1,상세표[야간 구분],"휴일",상세표[반영 기관],"서울병원"))</f>
        <v/>
      </c>
      <c r="W778">
        <f>IF($X778="","",IF(ISNUMBER(MATCH(INDEX(합계표[사번키],$X778)&amp;"|"&amp;대상월키,월별근무지표[키],0)),"직접 입력",IF($L778="—","—","기관명단")))</f>
        <v/>
      </c>
      <c r="X778" s="4">
        <f>IFERROR(MATCH(773,합계표[판정순번],0),"")</f>
        <v/>
      </c>
    </row>
    <row r="779">
      <c r="A779">
        <f>IF($X779="","",INDEX(합계표[사번],$X779)&amp;"")</f>
        <v/>
      </c>
      <c r="B779">
        <f>IF($X779="","",INDEX(합계표[성명],$X779)&amp;"")</f>
        <v/>
      </c>
      <c r="C779">
        <f>IF($X779="","",INDEX(합계표[부서],$X779)&amp;"")</f>
        <v/>
      </c>
      <c r="D779">
        <f>IF($X779="","",INDEX(합계표[직위(요약)],$X779)&amp;"")</f>
        <v/>
      </c>
      <c r="E779">
        <f>IF($X779="","",INDEX(합계표[직급 공존],$X779)&amp;"")</f>
        <v/>
      </c>
      <c r="F779" s="20">
        <f>IF($X779="","",SUMIFS(합계표[시스템 합계],합계표[사번키],INDEX(합계표[사번키],$X779)))</f>
        <v/>
      </c>
      <c r="G779" s="20">
        <f>IF($X779="","",SUMIFS(상세표[기록 시간외],상세표[사번키],INDEX(합계표[사번키],$X779),상세표[기록월],대상월키))</f>
        <v/>
      </c>
      <c r="H779">
        <f>IF($X779="","",IF(ABS($F779-$G779)&lt;0.01,"일치","불일치(차이 "&amp;TEXT($G779-$F779,"0.00")&amp;")"))</f>
        <v/>
      </c>
      <c r="I779" s="20">
        <f>IF($X779="","",SUMIFS(상세표[기록 시간외],상세표[사번키],INDEX(합계표[사번키],$X779),상세표[기록월],대상월키,상세표[반영월],"&lt;&gt;"&amp;대상월키))</f>
        <v/>
      </c>
      <c r="J779" s="20">
        <f>IF($X779="","",SUMIFS(상세표[기록 시간외],상세표[사번키],INDEX(합계표[사번키],$X779),상세표[기록월],"&lt;&gt;"&amp;대상월키,상세표[반영월],대상월키))</f>
        <v/>
      </c>
      <c r="K779" s="20">
        <f>IF($X779="","",SUMIFS(상세표[기록 시간외],상세표[사번키],INDEX(합계표[사번키],$X779),상세표[반영월],대상월키))</f>
        <v/>
      </c>
      <c r="L779">
        <f>IF($X779="","",IFERROR(INDEX(월별근무지표[적용 급여병원],MATCH(INDEX(합계표[사번키],$X779)&amp;"|"&amp;대상월키,월별근무지표[키],0))&amp;"",IF(COUNTIF(기관표[사번키],INDEX(합계표[사번키],$X779))+COUNTIF(월별근무지표[사번키],INDEX(합계표[사번키],$X779))&gt;0,IFERROR(INDEX(기관표[급여지급병원(기준월)],MATCH(INDEX(합계표[사번키],$X779)&amp;"|"&amp;대상월키,기관표[키],0))&amp;"","—"),"—")))</f>
        <v/>
      </c>
      <c r="M779">
        <f>IF($X779="","",IF(NOT(COUNTIF(기관표[사번키],INDEX(합계표[사번키],$X779))+COUNTIF(월별근무지표[사번키],INDEX(합계표[사번키],$X779))&gt;0),"기관명단에 없음(다른 병원으로 발송)",IF($L779="서울병원","해당",IF(N($R779)&gt;0,"해당(말일 근무)",IF($L779="—","대상월 기관명단 없음(추가 필요)","비해당")))))</f>
        <v/>
      </c>
      <c r="N779" s="20">
        <f>IF($X779="","",SUMIFS(상세표[06~07시],상세표[사번키],INDEX(합계표[사번키],$X779),상세표[반영월],대상월키,상세표[반영 기관],"서울병원"))</f>
        <v/>
      </c>
      <c r="O779" s="20">
        <f>IF($X779="","",SUMIFS(상세표[07~18시],상세표[사번키],INDEX(합계표[사번키],$X779),상세표[반영월],대상월키,상세표[반영 기관],"서울병원"))</f>
        <v/>
      </c>
      <c r="P779" s="20">
        <f>IF($X779="","",SUMIFS(상세표[18~22시],상세표[사번키],INDEX(합계표[사번키],$X779),상세표[반영월],대상월키,상세표[반영 기관],"서울병원"))</f>
        <v/>
      </c>
      <c r="Q779" s="20">
        <f>IF($X779="","",SUMIFS(상세표[22~06시],상세표[사번키],INDEX(합계표[사번키],$X779),상세표[반영월],대상월키,상세표[반영 기관],"서울병원"))</f>
        <v/>
      </c>
      <c r="R779" s="20">
        <f>IF($X779="","",SUM($N779:$Q779))</f>
        <v/>
      </c>
      <c r="S779">
        <f>IF($X779="","",COUNTIFS(상세표[사번키],INDEX(합계표[사번키],$X779),상세표[반영월],대상월키,상세표[야간당직],1,상세표[야간 구분],"평일"))</f>
        <v/>
      </c>
      <c r="T779">
        <f>IF($X779="","",COUNTIFS(상세표[사번키],INDEX(합계표[사번키],$X779),상세표[반영월],대상월키,상세표[야간당직],1,상세표[야간 구분],"휴일"))</f>
        <v/>
      </c>
      <c r="U779">
        <f>IF($X779="","",COUNTIFS(상세표[사번키],INDEX(합계표[사번키],$X779),상세표[반영월],대상월키,상세표[야간당직],1,상세표[야간 구분],"평일",상세표[반영 기관],"서울병원"))</f>
        <v/>
      </c>
      <c r="V779">
        <f>IF($X779="","",COUNTIFS(상세표[사번키],INDEX(합계표[사번키],$X779),상세표[반영월],대상월키,상세표[야간당직],1,상세표[야간 구분],"휴일",상세표[반영 기관],"서울병원"))</f>
        <v/>
      </c>
      <c r="W779">
        <f>IF($X779="","",IF(ISNUMBER(MATCH(INDEX(합계표[사번키],$X779)&amp;"|"&amp;대상월키,월별근무지표[키],0)),"직접 입력",IF($L779="—","—","기관명단")))</f>
        <v/>
      </c>
      <c r="X779" s="4">
        <f>IFERROR(MATCH(774,합계표[판정순번],0),"")</f>
        <v/>
      </c>
    </row>
    <row r="780">
      <c r="A780">
        <f>IF($X780="","",INDEX(합계표[사번],$X780)&amp;"")</f>
        <v/>
      </c>
      <c r="B780">
        <f>IF($X780="","",INDEX(합계표[성명],$X780)&amp;"")</f>
        <v/>
      </c>
      <c r="C780">
        <f>IF($X780="","",INDEX(합계표[부서],$X780)&amp;"")</f>
        <v/>
      </c>
      <c r="D780">
        <f>IF($X780="","",INDEX(합계표[직위(요약)],$X780)&amp;"")</f>
        <v/>
      </c>
      <c r="E780">
        <f>IF($X780="","",INDEX(합계표[직급 공존],$X780)&amp;"")</f>
        <v/>
      </c>
      <c r="F780" s="20">
        <f>IF($X780="","",SUMIFS(합계표[시스템 합계],합계표[사번키],INDEX(합계표[사번키],$X780)))</f>
        <v/>
      </c>
      <c r="G780" s="20">
        <f>IF($X780="","",SUMIFS(상세표[기록 시간외],상세표[사번키],INDEX(합계표[사번키],$X780),상세표[기록월],대상월키))</f>
        <v/>
      </c>
      <c r="H780">
        <f>IF($X780="","",IF(ABS($F780-$G780)&lt;0.01,"일치","불일치(차이 "&amp;TEXT($G780-$F780,"0.00")&amp;")"))</f>
        <v/>
      </c>
      <c r="I780" s="20">
        <f>IF($X780="","",SUMIFS(상세표[기록 시간외],상세표[사번키],INDEX(합계표[사번키],$X780),상세표[기록월],대상월키,상세표[반영월],"&lt;&gt;"&amp;대상월키))</f>
        <v/>
      </c>
      <c r="J780" s="20">
        <f>IF($X780="","",SUMIFS(상세표[기록 시간외],상세표[사번키],INDEX(합계표[사번키],$X780),상세표[기록월],"&lt;&gt;"&amp;대상월키,상세표[반영월],대상월키))</f>
        <v/>
      </c>
      <c r="K780" s="20">
        <f>IF($X780="","",SUMIFS(상세표[기록 시간외],상세표[사번키],INDEX(합계표[사번키],$X780),상세표[반영월],대상월키))</f>
        <v/>
      </c>
      <c r="L780">
        <f>IF($X780="","",IFERROR(INDEX(월별근무지표[적용 급여병원],MATCH(INDEX(합계표[사번키],$X780)&amp;"|"&amp;대상월키,월별근무지표[키],0))&amp;"",IF(COUNTIF(기관표[사번키],INDEX(합계표[사번키],$X780))+COUNTIF(월별근무지표[사번키],INDEX(합계표[사번키],$X780))&gt;0,IFERROR(INDEX(기관표[급여지급병원(기준월)],MATCH(INDEX(합계표[사번키],$X780)&amp;"|"&amp;대상월키,기관표[키],0))&amp;"","—"),"—")))</f>
        <v/>
      </c>
      <c r="M780">
        <f>IF($X780="","",IF(NOT(COUNTIF(기관표[사번키],INDEX(합계표[사번키],$X780))+COUNTIF(월별근무지표[사번키],INDEX(합계표[사번키],$X780))&gt;0),"기관명단에 없음(다른 병원으로 발송)",IF($L780="서울병원","해당",IF(N($R780)&gt;0,"해당(말일 근무)",IF($L780="—","대상월 기관명단 없음(추가 필요)","비해당")))))</f>
        <v/>
      </c>
      <c r="N780" s="20">
        <f>IF($X780="","",SUMIFS(상세표[06~07시],상세표[사번키],INDEX(합계표[사번키],$X780),상세표[반영월],대상월키,상세표[반영 기관],"서울병원"))</f>
        <v/>
      </c>
      <c r="O780" s="20">
        <f>IF($X780="","",SUMIFS(상세표[07~18시],상세표[사번키],INDEX(합계표[사번키],$X780),상세표[반영월],대상월키,상세표[반영 기관],"서울병원"))</f>
        <v/>
      </c>
      <c r="P780" s="20">
        <f>IF($X780="","",SUMIFS(상세표[18~22시],상세표[사번키],INDEX(합계표[사번키],$X780),상세표[반영월],대상월키,상세표[반영 기관],"서울병원"))</f>
        <v/>
      </c>
      <c r="Q780" s="20">
        <f>IF($X780="","",SUMIFS(상세표[22~06시],상세표[사번키],INDEX(합계표[사번키],$X780),상세표[반영월],대상월키,상세표[반영 기관],"서울병원"))</f>
        <v/>
      </c>
      <c r="R780" s="20">
        <f>IF($X780="","",SUM($N780:$Q780))</f>
        <v/>
      </c>
      <c r="S780">
        <f>IF($X780="","",COUNTIFS(상세표[사번키],INDEX(합계표[사번키],$X780),상세표[반영월],대상월키,상세표[야간당직],1,상세표[야간 구분],"평일"))</f>
        <v/>
      </c>
      <c r="T780">
        <f>IF($X780="","",COUNTIFS(상세표[사번키],INDEX(합계표[사번키],$X780),상세표[반영월],대상월키,상세표[야간당직],1,상세표[야간 구분],"휴일"))</f>
        <v/>
      </c>
      <c r="U780">
        <f>IF($X780="","",COUNTIFS(상세표[사번키],INDEX(합계표[사번키],$X780),상세표[반영월],대상월키,상세표[야간당직],1,상세표[야간 구분],"평일",상세표[반영 기관],"서울병원"))</f>
        <v/>
      </c>
      <c r="V780">
        <f>IF($X780="","",COUNTIFS(상세표[사번키],INDEX(합계표[사번키],$X780),상세표[반영월],대상월키,상세표[야간당직],1,상세표[야간 구분],"휴일",상세표[반영 기관],"서울병원"))</f>
        <v/>
      </c>
      <c r="W780">
        <f>IF($X780="","",IF(ISNUMBER(MATCH(INDEX(합계표[사번키],$X780)&amp;"|"&amp;대상월키,월별근무지표[키],0)),"직접 입력",IF($L780="—","—","기관명단")))</f>
        <v/>
      </c>
      <c r="X780" s="4">
        <f>IFERROR(MATCH(775,합계표[판정순번],0),"")</f>
        <v/>
      </c>
    </row>
    <row r="781">
      <c r="A781">
        <f>IF($X781="","",INDEX(합계표[사번],$X781)&amp;"")</f>
        <v/>
      </c>
      <c r="B781">
        <f>IF($X781="","",INDEX(합계표[성명],$X781)&amp;"")</f>
        <v/>
      </c>
      <c r="C781">
        <f>IF($X781="","",INDEX(합계표[부서],$X781)&amp;"")</f>
        <v/>
      </c>
      <c r="D781">
        <f>IF($X781="","",INDEX(합계표[직위(요약)],$X781)&amp;"")</f>
        <v/>
      </c>
      <c r="E781">
        <f>IF($X781="","",INDEX(합계표[직급 공존],$X781)&amp;"")</f>
        <v/>
      </c>
      <c r="F781" s="20">
        <f>IF($X781="","",SUMIFS(합계표[시스템 합계],합계표[사번키],INDEX(합계표[사번키],$X781)))</f>
        <v/>
      </c>
      <c r="G781" s="20">
        <f>IF($X781="","",SUMIFS(상세표[기록 시간외],상세표[사번키],INDEX(합계표[사번키],$X781),상세표[기록월],대상월키))</f>
        <v/>
      </c>
      <c r="H781">
        <f>IF($X781="","",IF(ABS($F781-$G781)&lt;0.01,"일치","불일치(차이 "&amp;TEXT($G781-$F781,"0.00")&amp;")"))</f>
        <v/>
      </c>
      <c r="I781" s="20">
        <f>IF($X781="","",SUMIFS(상세표[기록 시간외],상세표[사번키],INDEX(합계표[사번키],$X781),상세표[기록월],대상월키,상세표[반영월],"&lt;&gt;"&amp;대상월키))</f>
        <v/>
      </c>
      <c r="J781" s="20">
        <f>IF($X781="","",SUMIFS(상세표[기록 시간외],상세표[사번키],INDEX(합계표[사번키],$X781),상세표[기록월],"&lt;&gt;"&amp;대상월키,상세표[반영월],대상월키))</f>
        <v/>
      </c>
      <c r="K781" s="20">
        <f>IF($X781="","",SUMIFS(상세표[기록 시간외],상세표[사번키],INDEX(합계표[사번키],$X781),상세표[반영월],대상월키))</f>
        <v/>
      </c>
      <c r="L781">
        <f>IF($X781="","",IFERROR(INDEX(월별근무지표[적용 급여병원],MATCH(INDEX(합계표[사번키],$X781)&amp;"|"&amp;대상월키,월별근무지표[키],0))&amp;"",IF(COUNTIF(기관표[사번키],INDEX(합계표[사번키],$X781))+COUNTIF(월별근무지표[사번키],INDEX(합계표[사번키],$X781))&gt;0,IFERROR(INDEX(기관표[급여지급병원(기준월)],MATCH(INDEX(합계표[사번키],$X781)&amp;"|"&amp;대상월키,기관표[키],0))&amp;"","—"),"—")))</f>
        <v/>
      </c>
      <c r="M781">
        <f>IF($X781="","",IF(NOT(COUNTIF(기관표[사번키],INDEX(합계표[사번키],$X781))+COUNTIF(월별근무지표[사번키],INDEX(합계표[사번키],$X781))&gt;0),"기관명단에 없음(다른 병원으로 발송)",IF($L781="서울병원","해당",IF(N($R781)&gt;0,"해당(말일 근무)",IF($L781="—","대상월 기관명단 없음(추가 필요)","비해당")))))</f>
        <v/>
      </c>
      <c r="N781" s="20">
        <f>IF($X781="","",SUMIFS(상세표[06~07시],상세표[사번키],INDEX(합계표[사번키],$X781),상세표[반영월],대상월키,상세표[반영 기관],"서울병원"))</f>
        <v/>
      </c>
      <c r="O781" s="20">
        <f>IF($X781="","",SUMIFS(상세표[07~18시],상세표[사번키],INDEX(합계표[사번키],$X781),상세표[반영월],대상월키,상세표[반영 기관],"서울병원"))</f>
        <v/>
      </c>
      <c r="P781" s="20">
        <f>IF($X781="","",SUMIFS(상세표[18~22시],상세표[사번키],INDEX(합계표[사번키],$X781),상세표[반영월],대상월키,상세표[반영 기관],"서울병원"))</f>
        <v/>
      </c>
      <c r="Q781" s="20">
        <f>IF($X781="","",SUMIFS(상세표[22~06시],상세표[사번키],INDEX(합계표[사번키],$X781),상세표[반영월],대상월키,상세표[반영 기관],"서울병원"))</f>
        <v/>
      </c>
      <c r="R781" s="20">
        <f>IF($X781="","",SUM($N781:$Q781))</f>
        <v/>
      </c>
      <c r="S781">
        <f>IF($X781="","",COUNTIFS(상세표[사번키],INDEX(합계표[사번키],$X781),상세표[반영월],대상월키,상세표[야간당직],1,상세표[야간 구분],"평일"))</f>
        <v/>
      </c>
      <c r="T781">
        <f>IF($X781="","",COUNTIFS(상세표[사번키],INDEX(합계표[사번키],$X781),상세표[반영월],대상월키,상세표[야간당직],1,상세표[야간 구분],"휴일"))</f>
        <v/>
      </c>
      <c r="U781">
        <f>IF($X781="","",COUNTIFS(상세표[사번키],INDEX(합계표[사번키],$X781),상세표[반영월],대상월키,상세표[야간당직],1,상세표[야간 구분],"평일",상세표[반영 기관],"서울병원"))</f>
        <v/>
      </c>
      <c r="V781">
        <f>IF($X781="","",COUNTIFS(상세표[사번키],INDEX(합계표[사번키],$X781),상세표[반영월],대상월키,상세표[야간당직],1,상세표[야간 구분],"휴일",상세표[반영 기관],"서울병원"))</f>
        <v/>
      </c>
      <c r="W781">
        <f>IF($X781="","",IF(ISNUMBER(MATCH(INDEX(합계표[사번키],$X781)&amp;"|"&amp;대상월키,월별근무지표[키],0)),"직접 입력",IF($L781="—","—","기관명단")))</f>
        <v/>
      </c>
      <c r="X781" s="4">
        <f>IFERROR(MATCH(776,합계표[판정순번],0),"")</f>
        <v/>
      </c>
    </row>
    <row r="782">
      <c r="A782">
        <f>IF($X782="","",INDEX(합계표[사번],$X782)&amp;"")</f>
        <v/>
      </c>
      <c r="B782">
        <f>IF($X782="","",INDEX(합계표[성명],$X782)&amp;"")</f>
        <v/>
      </c>
      <c r="C782">
        <f>IF($X782="","",INDEX(합계표[부서],$X782)&amp;"")</f>
        <v/>
      </c>
      <c r="D782">
        <f>IF($X782="","",INDEX(합계표[직위(요약)],$X782)&amp;"")</f>
        <v/>
      </c>
      <c r="E782">
        <f>IF($X782="","",INDEX(합계표[직급 공존],$X782)&amp;"")</f>
        <v/>
      </c>
      <c r="F782" s="20">
        <f>IF($X782="","",SUMIFS(합계표[시스템 합계],합계표[사번키],INDEX(합계표[사번키],$X782)))</f>
        <v/>
      </c>
      <c r="G782" s="20">
        <f>IF($X782="","",SUMIFS(상세표[기록 시간외],상세표[사번키],INDEX(합계표[사번키],$X782),상세표[기록월],대상월키))</f>
        <v/>
      </c>
      <c r="H782">
        <f>IF($X782="","",IF(ABS($F782-$G782)&lt;0.01,"일치","불일치(차이 "&amp;TEXT($G782-$F782,"0.00")&amp;")"))</f>
        <v/>
      </c>
      <c r="I782" s="20">
        <f>IF($X782="","",SUMIFS(상세표[기록 시간외],상세표[사번키],INDEX(합계표[사번키],$X782),상세표[기록월],대상월키,상세표[반영월],"&lt;&gt;"&amp;대상월키))</f>
        <v/>
      </c>
      <c r="J782" s="20">
        <f>IF($X782="","",SUMIFS(상세표[기록 시간외],상세표[사번키],INDEX(합계표[사번키],$X782),상세표[기록월],"&lt;&gt;"&amp;대상월키,상세표[반영월],대상월키))</f>
        <v/>
      </c>
      <c r="K782" s="20">
        <f>IF($X782="","",SUMIFS(상세표[기록 시간외],상세표[사번키],INDEX(합계표[사번키],$X782),상세표[반영월],대상월키))</f>
        <v/>
      </c>
      <c r="L782">
        <f>IF($X782="","",IFERROR(INDEX(월별근무지표[적용 급여병원],MATCH(INDEX(합계표[사번키],$X782)&amp;"|"&amp;대상월키,월별근무지표[키],0))&amp;"",IF(COUNTIF(기관표[사번키],INDEX(합계표[사번키],$X782))+COUNTIF(월별근무지표[사번키],INDEX(합계표[사번키],$X782))&gt;0,IFERROR(INDEX(기관표[급여지급병원(기준월)],MATCH(INDEX(합계표[사번키],$X782)&amp;"|"&amp;대상월키,기관표[키],0))&amp;"","—"),"—")))</f>
        <v/>
      </c>
      <c r="M782">
        <f>IF($X782="","",IF(NOT(COUNTIF(기관표[사번키],INDEX(합계표[사번키],$X782))+COUNTIF(월별근무지표[사번키],INDEX(합계표[사번키],$X782))&gt;0),"기관명단에 없음(다른 병원으로 발송)",IF($L782="서울병원","해당",IF(N($R782)&gt;0,"해당(말일 근무)",IF($L782="—","대상월 기관명단 없음(추가 필요)","비해당")))))</f>
        <v/>
      </c>
      <c r="N782" s="20">
        <f>IF($X782="","",SUMIFS(상세표[06~07시],상세표[사번키],INDEX(합계표[사번키],$X782),상세표[반영월],대상월키,상세표[반영 기관],"서울병원"))</f>
        <v/>
      </c>
      <c r="O782" s="20">
        <f>IF($X782="","",SUMIFS(상세표[07~18시],상세표[사번키],INDEX(합계표[사번키],$X782),상세표[반영월],대상월키,상세표[반영 기관],"서울병원"))</f>
        <v/>
      </c>
      <c r="P782" s="20">
        <f>IF($X782="","",SUMIFS(상세표[18~22시],상세표[사번키],INDEX(합계표[사번키],$X782),상세표[반영월],대상월키,상세표[반영 기관],"서울병원"))</f>
        <v/>
      </c>
      <c r="Q782" s="20">
        <f>IF($X782="","",SUMIFS(상세표[22~06시],상세표[사번키],INDEX(합계표[사번키],$X782),상세표[반영월],대상월키,상세표[반영 기관],"서울병원"))</f>
        <v/>
      </c>
      <c r="R782" s="20">
        <f>IF($X782="","",SUM($N782:$Q782))</f>
        <v/>
      </c>
      <c r="S782">
        <f>IF($X782="","",COUNTIFS(상세표[사번키],INDEX(합계표[사번키],$X782),상세표[반영월],대상월키,상세표[야간당직],1,상세표[야간 구분],"평일"))</f>
        <v/>
      </c>
      <c r="T782">
        <f>IF($X782="","",COUNTIFS(상세표[사번키],INDEX(합계표[사번키],$X782),상세표[반영월],대상월키,상세표[야간당직],1,상세표[야간 구분],"휴일"))</f>
        <v/>
      </c>
      <c r="U782">
        <f>IF($X782="","",COUNTIFS(상세표[사번키],INDEX(합계표[사번키],$X782),상세표[반영월],대상월키,상세표[야간당직],1,상세표[야간 구분],"평일",상세표[반영 기관],"서울병원"))</f>
        <v/>
      </c>
      <c r="V782">
        <f>IF($X782="","",COUNTIFS(상세표[사번키],INDEX(합계표[사번키],$X782),상세표[반영월],대상월키,상세표[야간당직],1,상세표[야간 구분],"휴일",상세표[반영 기관],"서울병원"))</f>
        <v/>
      </c>
      <c r="W782">
        <f>IF($X782="","",IF(ISNUMBER(MATCH(INDEX(합계표[사번키],$X782)&amp;"|"&amp;대상월키,월별근무지표[키],0)),"직접 입력",IF($L782="—","—","기관명단")))</f>
        <v/>
      </c>
      <c r="X782" s="4">
        <f>IFERROR(MATCH(777,합계표[판정순번],0),"")</f>
        <v/>
      </c>
    </row>
    <row r="783">
      <c r="A783">
        <f>IF($X783="","",INDEX(합계표[사번],$X783)&amp;"")</f>
        <v/>
      </c>
      <c r="B783">
        <f>IF($X783="","",INDEX(합계표[성명],$X783)&amp;"")</f>
        <v/>
      </c>
      <c r="C783">
        <f>IF($X783="","",INDEX(합계표[부서],$X783)&amp;"")</f>
        <v/>
      </c>
      <c r="D783">
        <f>IF($X783="","",INDEX(합계표[직위(요약)],$X783)&amp;"")</f>
        <v/>
      </c>
      <c r="E783">
        <f>IF($X783="","",INDEX(합계표[직급 공존],$X783)&amp;"")</f>
        <v/>
      </c>
      <c r="F783" s="20">
        <f>IF($X783="","",SUMIFS(합계표[시스템 합계],합계표[사번키],INDEX(합계표[사번키],$X783)))</f>
        <v/>
      </c>
      <c r="G783" s="20">
        <f>IF($X783="","",SUMIFS(상세표[기록 시간외],상세표[사번키],INDEX(합계표[사번키],$X783),상세표[기록월],대상월키))</f>
        <v/>
      </c>
      <c r="H783">
        <f>IF($X783="","",IF(ABS($F783-$G783)&lt;0.01,"일치","불일치(차이 "&amp;TEXT($G783-$F783,"0.00")&amp;")"))</f>
        <v/>
      </c>
      <c r="I783" s="20">
        <f>IF($X783="","",SUMIFS(상세표[기록 시간외],상세표[사번키],INDEX(합계표[사번키],$X783),상세표[기록월],대상월키,상세표[반영월],"&lt;&gt;"&amp;대상월키))</f>
        <v/>
      </c>
      <c r="J783" s="20">
        <f>IF($X783="","",SUMIFS(상세표[기록 시간외],상세표[사번키],INDEX(합계표[사번키],$X783),상세표[기록월],"&lt;&gt;"&amp;대상월키,상세표[반영월],대상월키))</f>
        <v/>
      </c>
      <c r="K783" s="20">
        <f>IF($X783="","",SUMIFS(상세표[기록 시간외],상세표[사번키],INDEX(합계표[사번키],$X783),상세표[반영월],대상월키))</f>
        <v/>
      </c>
      <c r="L783">
        <f>IF($X783="","",IFERROR(INDEX(월별근무지표[적용 급여병원],MATCH(INDEX(합계표[사번키],$X783)&amp;"|"&amp;대상월키,월별근무지표[키],0))&amp;"",IF(COUNTIF(기관표[사번키],INDEX(합계표[사번키],$X783))+COUNTIF(월별근무지표[사번키],INDEX(합계표[사번키],$X783))&gt;0,IFERROR(INDEX(기관표[급여지급병원(기준월)],MATCH(INDEX(합계표[사번키],$X783)&amp;"|"&amp;대상월키,기관표[키],0))&amp;"","—"),"—")))</f>
        <v/>
      </c>
      <c r="M783">
        <f>IF($X783="","",IF(NOT(COUNTIF(기관표[사번키],INDEX(합계표[사번키],$X783))+COUNTIF(월별근무지표[사번키],INDEX(합계표[사번키],$X783))&gt;0),"기관명단에 없음(다른 병원으로 발송)",IF($L783="서울병원","해당",IF(N($R783)&gt;0,"해당(말일 근무)",IF($L783="—","대상월 기관명단 없음(추가 필요)","비해당")))))</f>
        <v/>
      </c>
      <c r="N783" s="20">
        <f>IF($X783="","",SUMIFS(상세표[06~07시],상세표[사번키],INDEX(합계표[사번키],$X783),상세표[반영월],대상월키,상세표[반영 기관],"서울병원"))</f>
        <v/>
      </c>
      <c r="O783" s="20">
        <f>IF($X783="","",SUMIFS(상세표[07~18시],상세표[사번키],INDEX(합계표[사번키],$X783),상세표[반영월],대상월키,상세표[반영 기관],"서울병원"))</f>
        <v/>
      </c>
      <c r="P783" s="20">
        <f>IF($X783="","",SUMIFS(상세표[18~22시],상세표[사번키],INDEX(합계표[사번키],$X783),상세표[반영월],대상월키,상세표[반영 기관],"서울병원"))</f>
        <v/>
      </c>
      <c r="Q783" s="20">
        <f>IF($X783="","",SUMIFS(상세표[22~06시],상세표[사번키],INDEX(합계표[사번키],$X783),상세표[반영월],대상월키,상세표[반영 기관],"서울병원"))</f>
        <v/>
      </c>
      <c r="R783" s="20">
        <f>IF($X783="","",SUM($N783:$Q783))</f>
        <v/>
      </c>
      <c r="S783">
        <f>IF($X783="","",COUNTIFS(상세표[사번키],INDEX(합계표[사번키],$X783),상세표[반영월],대상월키,상세표[야간당직],1,상세표[야간 구분],"평일"))</f>
        <v/>
      </c>
      <c r="T783">
        <f>IF($X783="","",COUNTIFS(상세표[사번키],INDEX(합계표[사번키],$X783),상세표[반영월],대상월키,상세표[야간당직],1,상세표[야간 구분],"휴일"))</f>
        <v/>
      </c>
      <c r="U783">
        <f>IF($X783="","",COUNTIFS(상세표[사번키],INDEX(합계표[사번키],$X783),상세표[반영월],대상월키,상세표[야간당직],1,상세표[야간 구분],"평일",상세표[반영 기관],"서울병원"))</f>
        <v/>
      </c>
      <c r="V783">
        <f>IF($X783="","",COUNTIFS(상세표[사번키],INDEX(합계표[사번키],$X783),상세표[반영월],대상월키,상세표[야간당직],1,상세표[야간 구분],"휴일",상세표[반영 기관],"서울병원"))</f>
        <v/>
      </c>
      <c r="W783">
        <f>IF($X783="","",IF(ISNUMBER(MATCH(INDEX(합계표[사번키],$X783)&amp;"|"&amp;대상월키,월별근무지표[키],0)),"직접 입력",IF($L783="—","—","기관명단")))</f>
        <v/>
      </c>
      <c r="X783" s="4">
        <f>IFERROR(MATCH(778,합계표[판정순번],0),"")</f>
        <v/>
      </c>
    </row>
    <row r="784">
      <c r="A784">
        <f>IF($X784="","",INDEX(합계표[사번],$X784)&amp;"")</f>
        <v/>
      </c>
      <c r="B784">
        <f>IF($X784="","",INDEX(합계표[성명],$X784)&amp;"")</f>
        <v/>
      </c>
      <c r="C784">
        <f>IF($X784="","",INDEX(합계표[부서],$X784)&amp;"")</f>
        <v/>
      </c>
      <c r="D784">
        <f>IF($X784="","",INDEX(합계표[직위(요약)],$X784)&amp;"")</f>
        <v/>
      </c>
      <c r="E784">
        <f>IF($X784="","",INDEX(합계표[직급 공존],$X784)&amp;"")</f>
        <v/>
      </c>
      <c r="F784" s="20">
        <f>IF($X784="","",SUMIFS(합계표[시스템 합계],합계표[사번키],INDEX(합계표[사번키],$X784)))</f>
        <v/>
      </c>
      <c r="G784" s="20">
        <f>IF($X784="","",SUMIFS(상세표[기록 시간외],상세표[사번키],INDEX(합계표[사번키],$X784),상세표[기록월],대상월키))</f>
        <v/>
      </c>
      <c r="H784">
        <f>IF($X784="","",IF(ABS($F784-$G784)&lt;0.01,"일치","불일치(차이 "&amp;TEXT($G784-$F784,"0.00")&amp;")"))</f>
        <v/>
      </c>
      <c r="I784" s="20">
        <f>IF($X784="","",SUMIFS(상세표[기록 시간외],상세표[사번키],INDEX(합계표[사번키],$X784),상세표[기록월],대상월키,상세표[반영월],"&lt;&gt;"&amp;대상월키))</f>
        <v/>
      </c>
      <c r="J784" s="20">
        <f>IF($X784="","",SUMIFS(상세표[기록 시간외],상세표[사번키],INDEX(합계표[사번키],$X784),상세표[기록월],"&lt;&gt;"&amp;대상월키,상세표[반영월],대상월키))</f>
        <v/>
      </c>
      <c r="K784" s="20">
        <f>IF($X784="","",SUMIFS(상세표[기록 시간외],상세표[사번키],INDEX(합계표[사번키],$X784),상세표[반영월],대상월키))</f>
        <v/>
      </c>
      <c r="L784">
        <f>IF($X784="","",IFERROR(INDEX(월별근무지표[적용 급여병원],MATCH(INDEX(합계표[사번키],$X784)&amp;"|"&amp;대상월키,월별근무지표[키],0))&amp;"",IF(COUNTIF(기관표[사번키],INDEX(합계표[사번키],$X784))+COUNTIF(월별근무지표[사번키],INDEX(합계표[사번키],$X784))&gt;0,IFERROR(INDEX(기관표[급여지급병원(기준월)],MATCH(INDEX(합계표[사번키],$X784)&amp;"|"&amp;대상월키,기관표[키],0))&amp;"","—"),"—")))</f>
        <v/>
      </c>
      <c r="M784">
        <f>IF($X784="","",IF(NOT(COUNTIF(기관표[사번키],INDEX(합계표[사번키],$X784))+COUNTIF(월별근무지표[사번키],INDEX(합계표[사번키],$X784))&gt;0),"기관명단에 없음(다른 병원으로 발송)",IF($L784="서울병원","해당",IF(N($R784)&gt;0,"해당(말일 근무)",IF($L784="—","대상월 기관명단 없음(추가 필요)","비해당")))))</f>
        <v/>
      </c>
      <c r="N784" s="20">
        <f>IF($X784="","",SUMIFS(상세표[06~07시],상세표[사번키],INDEX(합계표[사번키],$X784),상세표[반영월],대상월키,상세표[반영 기관],"서울병원"))</f>
        <v/>
      </c>
      <c r="O784" s="20">
        <f>IF($X784="","",SUMIFS(상세표[07~18시],상세표[사번키],INDEX(합계표[사번키],$X784),상세표[반영월],대상월키,상세표[반영 기관],"서울병원"))</f>
        <v/>
      </c>
      <c r="P784" s="20">
        <f>IF($X784="","",SUMIFS(상세표[18~22시],상세표[사번키],INDEX(합계표[사번키],$X784),상세표[반영월],대상월키,상세표[반영 기관],"서울병원"))</f>
        <v/>
      </c>
      <c r="Q784" s="20">
        <f>IF($X784="","",SUMIFS(상세표[22~06시],상세표[사번키],INDEX(합계표[사번키],$X784),상세표[반영월],대상월키,상세표[반영 기관],"서울병원"))</f>
        <v/>
      </c>
      <c r="R784" s="20">
        <f>IF($X784="","",SUM($N784:$Q784))</f>
        <v/>
      </c>
      <c r="S784">
        <f>IF($X784="","",COUNTIFS(상세표[사번키],INDEX(합계표[사번키],$X784),상세표[반영월],대상월키,상세표[야간당직],1,상세표[야간 구분],"평일"))</f>
        <v/>
      </c>
      <c r="T784">
        <f>IF($X784="","",COUNTIFS(상세표[사번키],INDEX(합계표[사번키],$X784),상세표[반영월],대상월키,상세표[야간당직],1,상세표[야간 구분],"휴일"))</f>
        <v/>
      </c>
      <c r="U784">
        <f>IF($X784="","",COUNTIFS(상세표[사번키],INDEX(합계표[사번키],$X784),상세표[반영월],대상월키,상세표[야간당직],1,상세표[야간 구분],"평일",상세표[반영 기관],"서울병원"))</f>
        <v/>
      </c>
      <c r="V784">
        <f>IF($X784="","",COUNTIFS(상세표[사번키],INDEX(합계표[사번키],$X784),상세표[반영월],대상월키,상세표[야간당직],1,상세표[야간 구분],"휴일",상세표[반영 기관],"서울병원"))</f>
        <v/>
      </c>
      <c r="W784">
        <f>IF($X784="","",IF(ISNUMBER(MATCH(INDEX(합계표[사번키],$X784)&amp;"|"&amp;대상월키,월별근무지표[키],0)),"직접 입력",IF($L784="—","—","기관명단")))</f>
        <v/>
      </c>
      <c r="X784" s="4">
        <f>IFERROR(MATCH(779,합계표[판정순번],0),"")</f>
        <v/>
      </c>
    </row>
    <row r="785">
      <c r="A785">
        <f>IF($X785="","",INDEX(합계표[사번],$X785)&amp;"")</f>
        <v/>
      </c>
      <c r="B785">
        <f>IF($X785="","",INDEX(합계표[성명],$X785)&amp;"")</f>
        <v/>
      </c>
      <c r="C785">
        <f>IF($X785="","",INDEX(합계표[부서],$X785)&amp;"")</f>
        <v/>
      </c>
      <c r="D785">
        <f>IF($X785="","",INDEX(합계표[직위(요약)],$X785)&amp;"")</f>
        <v/>
      </c>
      <c r="E785">
        <f>IF($X785="","",INDEX(합계표[직급 공존],$X785)&amp;"")</f>
        <v/>
      </c>
      <c r="F785" s="20">
        <f>IF($X785="","",SUMIFS(합계표[시스템 합계],합계표[사번키],INDEX(합계표[사번키],$X785)))</f>
        <v/>
      </c>
      <c r="G785" s="20">
        <f>IF($X785="","",SUMIFS(상세표[기록 시간외],상세표[사번키],INDEX(합계표[사번키],$X785),상세표[기록월],대상월키))</f>
        <v/>
      </c>
      <c r="H785">
        <f>IF($X785="","",IF(ABS($F785-$G785)&lt;0.01,"일치","불일치(차이 "&amp;TEXT($G785-$F785,"0.00")&amp;")"))</f>
        <v/>
      </c>
      <c r="I785" s="20">
        <f>IF($X785="","",SUMIFS(상세표[기록 시간외],상세표[사번키],INDEX(합계표[사번키],$X785),상세표[기록월],대상월키,상세표[반영월],"&lt;&gt;"&amp;대상월키))</f>
        <v/>
      </c>
      <c r="J785" s="20">
        <f>IF($X785="","",SUMIFS(상세표[기록 시간외],상세표[사번키],INDEX(합계표[사번키],$X785),상세표[기록월],"&lt;&gt;"&amp;대상월키,상세표[반영월],대상월키))</f>
        <v/>
      </c>
      <c r="K785" s="20">
        <f>IF($X785="","",SUMIFS(상세표[기록 시간외],상세표[사번키],INDEX(합계표[사번키],$X785),상세표[반영월],대상월키))</f>
        <v/>
      </c>
      <c r="L785">
        <f>IF($X785="","",IFERROR(INDEX(월별근무지표[적용 급여병원],MATCH(INDEX(합계표[사번키],$X785)&amp;"|"&amp;대상월키,월별근무지표[키],0))&amp;"",IF(COUNTIF(기관표[사번키],INDEX(합계표[사번키],$X785))+COUNTIF(월별근무지표[사번키],INDEX(합계표[사번키],$X785))&gt;0,IFERROR(INDEX(기관표[급여지급병원(기준월)],MATCH(INDEX(합계표[사번키],$X785)&amp;"|"&amp;대상월키,기관표[키],0))&amp;"","—"),"—")))</f>
        <v/>
      </c>
      <c r="M785">
        <f>IF($X785="","",IF(NOT(COUNTIF(기관표[사번키],INDEX(합계표[사번키],$X785))+COUNTIF(월별근무지표[사번키],INDEX(합계표[사번키],$X785))&gt;0),"기관명단에 없음(다른 병원으로 발송)",IF($L785="서울병원","해당",IF(N($R785)&gt;0,"해당(말일 근무)",IF($L785="—","대상월 기관명단 없음(추가 필요)","비해당")))))</f>
        <v/>
      </c>
      <c r="N785" s="20">
        <f>IF($X785="","",SUMIFS(상세표[06~07시],상세표[사번키],INDEX(합계표[사번키],$X785),상세표[반영월],대상월키,상세표[반영 기관],"서울병원"))</f>
        <v/>
      </c>
      <c r="O785" s="20">
        <f>IF($X785="","",SUMIFS(상세표[07~18시],상세표[사번키],INDEX(합계표[사번키],$X785),상세표[반영월],대상월키,상세표[반영 기관],"서울병원"))</f>
        <v/>
      </c>
      <c r="P785" s="20">
        <f>IF($X785="","",SUMIFS(상세표[18~22시],상세표[사번키],INDEX(합계표[사번키],$X785),상세표[반영월],대상월키,상세표[반영 기관],"서울병원"))</f>
        <v/>
      </c>
      <c r="Q785" s="20">
        <f>IF($X785="","",SUMIFS(상세표[22~06시],상세표[사번키],INDEX(합계표[사번키],$X785),상세표[반영월],대상월키,상세표[반영 기관],"서울병원"))</f>
        <v/>
      </c>
      <c r="R785" s="20">
        <f>IF($X785="","",SUM($N785:$Q785))</f>
        <v/>
      </c>
      <c r="S785">
        <f>IF($X785="","",COUNTIFS(상세표[사번키],INDEX(합계표[사번키],$X785),상세표[반영월],대상월키,상세표[야간당직],1,상세표[야간 구분],"평일"))</f>
        <v/>
      </c>
      <c r="T785">
        <f>IF($X785="","",COUNTIFS(상세표[사번키],INDEX(합계표[사번키],$X785),상세표[반영월],대상월키,상세표[야간당직],1,상세표[야간 구분],"휴일"))</f>
        <v/>
      </c>
      <c r="U785">
        <f>IF($X785="","",COUNTIFS(상세표[사번키],INDEX(합계표[사번키],$X785),상세표[반영월],대상월키,상세표[야간당직],1,상세표[야간 구분],"평일",상세표[반영 기관],"서울병원"))</f>
        <v/>
      </c>
      <c r="V785">
        <f>IF($X785="","",COUNTIFS(상세표[사번키],INDEX(합계표[사번키],$X785),상세표[반영월],대상월키,상세표[야간당직],1,상세표[야간 구분],"휴일",상세표[반영 기관],"서울병원"))</f>
        <v/>
      </c>
      <c r="W785">
        <f>IF($X785="","",IF(ISNUMBER(MATCH(INDEX(합계표[사번키],$X785)&amp;"|"&amp;대상월키,월별근무지표[키],0)),"직접 입력",IF($L785="—","—","기관명단")))</f>
        <v/>
      </c>
      <c r="X785" s="4">
        <f>IFERROR(MATCH(780,합계표[판정순번],0),"")</f>
        <v/>
      </c>
    </row>
    <row r="786">
      <c r="A786">
        <f>IF($X786="","",INDEX(합계표[사번],$X786)&amp;"")</f>
        <v/>
      </c>
      <c r="B786">
        <f>IF($X786="","",INDEX(합계표[성명],$X786)&amp;"")</f>
        <v/>
      </c>
      <c r="C786">
        <f>IF($X786="","",INDEX(합계표[부서],$X786)&amp;"")</f>
        <v/>
      </c>
      <c r="D786">
        <f>IF($X786="","",INDEX(합계표[직위(요약)],$X786)&amp;"")</f>
        <v/>
      </c>
      <c r="E786">
        <f>IF($X786="","",INDEX(합계표[직급 공존],$X786)&amp;"")</f>
        <v/>
      </c>
      <c r="F786" s="20">
        <f>IF($X786="","",SUMIFS(합계표[시스템 합계],합계표[사번키],INDEX(합계표[사번키],$X786)))</f>
        <v/>
      </c>
      <c r="G786" s="20">
        <f>IF($X786="","",SUMIFS(상세표[기록 시간외],상세표[사번키],INDEX(합계표[사번키],$X786),상세표[기록월],대상월키))</f>
        <v/>
      </c>
      <c r="H786">
        <f>IF($X786="","",IF(ABS($F786-$G786)&lt;0.01,"일치","불일치(차이 "&amp;TEXT($G786-$F786,"0.00")&amp;")"))</f>
        <v/>
      </c>
      <c r="I786" s="20">
        <f>IF($X786="","",SUMIFS(상세표[기록 시간외],상세표[사번키],INDEX(합계표[사번키],$X786),상세표[기록월],대상월키,상세표[반영월],"&lt;&gt;"&amp;대상월키))</f>
        <v/>
      </c>
      <c r="J786" s="20">
        <f>IF($X786="","",SUMIFS(상세표[기록 시간외],상세표[사번키],INDEX(합계표[사번키],$X786),상세표[기록월],"&lt;&gt;"&amp;대상월키,상세표[반영월],대상월키))</f>
        <v/>
      </c>
      <c r="K786" s="20">
        <f>IF($X786="","",SUMIFS(상세표[기록 시간외],상세표[사번키],INDEX(합계표[사번키],$X786),상세표[반영월],대상월키))</f>
        <v/>
      </c>
      <c r="L786">
        <f>IF($X786="","",IFERROR(INDEX(월별근무지표[적용 급여병원],MATCH(INDEX(합계표[사번키],$X786)&amp;"|"&amp;대상월키,월별근무지표[키],0))&amp;"",IF(COUNTIF(기관표[사번키],INDEX(합계표[사번키],$X786))+COUNTIF(월별근무지표[사번키],INDEX(합계표[사번키],$X786))&gt;0,IFERROR(INDEX(기관표[급여지급병원(기준월)],MATCH(INDEX(합계표[사번키],$X786)&amp;"|"&amp;대상월키,기관표[키],0))&amp;"","—"),"—")))</f>
        <v/>
      </c>
      <c r="M786">
        <f>IF($X786="","",IF(NOT(COUNTIF(기관표[사번키],INDEX(합계표[사번키],$X786))+COUNTIF(월별근무지표[사번키],INDEX(합계표[사번키],$X786))&gt;0),"기관명단에 없음(다른 병원으로 발송)",IF($L786="서울병원","해당",IF(N($R786)&gt;0,"해당(말일 근무)",IF($L786="—","대상월 기관명단 없음(추가 필요)","비해당")))))</f>
        <v/>
      </c>
      <c r="N786" s="20">
        <f>IF($X786="","",SUMIFS(상세표[06~07시],상세표[사번키],INDEX(합계표[사번키],$X786),상세표[반영월],대상월키,상세표[반영 기관],"서울병원"))</f>
        <v/>
      </c>
      <c r="O786" s="20">
        <f>IF($X786="","",SUMIFS(상세표[07~18시],상세표[사번키],INDEX(합계표[사번키],$X786),상세표[반영월],대상월키,상세표[반영 기관],"서울병원"))</f>
        <v/>
      </c>
      <c r="P786" s="20">
        <f>IF($X786="","",SUMIFS(상세표[18~22시],상세표[사번키],INDEX(합계표[사번키],$X786),상세표[반영월],대상월키,상세표[반영 기관],"서울병원"))</f>
        <v/>
      </c>
      <c r="Q786" s="20">
        <f>IF($X786="","",SUMIFS(상세표[22~06시],상세표[사번키],INDEX(합계표[사번키],$X786),상세표[반영월],대상월키,상세표[반영 기관],"서울병원"))</f>
        <v/>
      </c>
      <c r="R786" s="20">
        <f>IF($X786="","",SUM($N786:$Q786))</f>
        <v/>
      </c>
      <c r="S786">
        <f>IF($X786="","",COUNTIFS(상세표[사번키],INDEX(합계표[사번키],$X786),상세표[반영월],대상월키,상세표[야간당직],1,상세표[야간 구분],"평일"))</f>
        <v/>
      </c>
      <c r="T786">
        <f>IF($X786="","",COUNTIFS(상세표[사번키],INDEX(합계표[사번키],$X786),상세표[반영월],대상월키,상세표[야간당직],1,상세표[야간 구분],"휴일"))</f>
        <v/>
      </c>
      <c r="U786">
        <f>IF($X786="","",COUNTIFS(상세표[사번키],INDEX(합계표[사번키],$X786),상세표[반영월],대상월키,상세표[야간당직],1,상세표[야간 구분],"평일",상세표[반영 기관],"서울병원"))</f>
        <v/>
      </c>
      <c r="V786">
        <f>IF($X786="","",COUNTIFS(상세표[사번키],INDEX(합계표[사번키],$X786),상세표[반영월],대상월키,상세표[야간당직],1,상세표[야간 구분],"휴일",상세표[반영 기관],"서울병원"))</f>
        <v/>
      </c>
      <c r="W786">
        <f>IF($X786="","",IF(ISNUMBER(MATCH(INDEX(합계표[사번키],$X786)&amp;"|"&amp;대상월키,월별근무지표[키],0)),"직접 입력",IF($L786="—","—","기관명단")))</f>
        <v/>
      </c>
      <c r="X786" s="4">
        <f>IFERROR(MATCH(781,합계표[판정순번],0),"")</f>
        <v/>
      </c>
    </row>
    <row r="787">
      <c r="A787">
        <f>IF($X787="","",INDEX(합계표[사번],$X787)&amp;"")</f>
        <v/>
      </c>
      <c r="B787">
        <f>IF($X787="","",INDEX(합계표[성명],$X787)&amp;"")</f>
        <v/>
      </c>
      <c r="C787">
        <f>IF($X787="","",INDEX(합계표[부서],$X787)&amp;"")</f>
        <v/>
      </c>
      <c r="D787">
        <f>IF($X787="","",INDEX(합계표[직위(요약)],$X787)&amp;"")</f>
        <v/>
      </c>
      <c r="E787">
        <f>IF($X787="","",INDEX(합계표[직급 공존],$X787)&amp;"")</f>
        <v/>
      </c>
      <c r="F787" s="20">
        <f>IF($X787="","",SUMIFS(합계표[시스템 합계],합계표[사번키],INDEX(합계표[사번키],$X787)))</f>
        <v/>
      </c>
      <c r="G787" s="20">
        <f>IF($X787="","",SUMIFS(상세표[기록 시간외],상세표[사번키],INDEX(합계표[사번키],$X787),상세표[기록월],대상월키))</f>
        <v/>
      </c>
      <c r="H787">
        <f>IF($X787="","",IF(ABS($F787-$G787)&lt;0.01,"일치","불일치(차이 "&amp;TEXT($G787-$F787,"0.00")&amp;")"))</f>
        <v/>
      </c>
      <c r="I787" s="20">
        <f>IF($X787="","",SUMIFS(상세표[기록 시간외],상세표[사번키],INDEX(합계표[사번키],$X787),상세표[기록월],대상월키,상세표[반영월],"&lt;&gt;"&amp;대상월키))</f>
        <v/>
      </c>
      <c r="J787" s="20">
        <f>IF($X787="","",SUMIFS(상세표[기록 시간외],상세표[사번키],INDEX(합계표[사번키],$X787),상세표[기록월],"&lt;&gt;"&amp;대상월키,상세표[반영월],대상월키))</f>
        <v/>
      </c>
      <c r="K787" s="20">
        <f>IF($X787="","",SUMIFS(상세표[기록 시간외],상세표[사번키],INDEX(합계표[사번키],$X787),상세표[반영월],대상월키))</f>
        <v/>
      </c>
      <c r="L787">
        <f>IF($X787="","",IFERROR(INDEX(월별근무지표[적용 급여병원],MATCH(INDEX(합계표[사번키],$X787)&amp;"|"&amp;대상월키,월별근무지표[키],0))&amp;"",IF(COUNTIF(기관표[사번키],INDEX(합계표[사번키],$X787))+COUNTIF(월별근무지표[사번키],INDEX(합계표[사번키],$X787))&gt;0,IFERROR(INDEX(기관표[급여지급병원(기준월)],MATCH(INDEX(합계표[사번키],$X787)&amp;"|"&amp;대상월키,기관표[키],0))&amp;"","—"),"—")))</f>
        <v/>
      </c>
      <c r="M787">
        <f>IF($X787="","",IF(NOT(COUNTIF(기관표[사번키],INDEX(합계표[사번키],$X787))+COUNTIF(월별근무지표[사번키],INDEX(합계표[사번키],$X787))&gt;0),"기관명단에 없음(다른 병원으로 발송)",IF($L787="서울병원","해당",IF(N($R787)&gt;0,"해당(말일 근무)",IF($L787="—","대상월 기관명단 없음(추가 필요)","비해당")))))</f>
        <v/>
      </c>
      <c r="N787" s="20">
        <f>IF($X787="","",SUMIFS(상세표[06~07시],상세표[사번키],INDEX(합계표[사번키],$X787),상세표[반영월],대상월키,상세표[반영 기관],"서울병원"))</f>
        <v/>
      </c>
      <c r="O787" s="20">
        <f>IF($X787="","",SUMIFS(상세표[07~18시],상세표[사번키],INDEX(합계표[사번키],$X787),상세표[반영월],대상월키,상세표[반영 기관],"서울병원"))</f>
        <v/>
      </c>
      <c r="P787" s="20">
        <f>IF($X787="","",SUMIFS(상세표[18~22시],상세표[사번키],INDEX(합계표[사번키],$X787),상세표[반영월],대상월키,상세표[반영 기관],"서울병원"))</f>
        <v/>
      </c>
      <c r="Q787" s="20">
        <f>IF($X787="","",SUMIFS(상세표[22~06시],상세표[사번키],INDEX(합계표[사번키],$X787),상세표[반영월],대상월키,상세표[반영 기관],"서울병원"))</f>
        <v/>
      </c>
      <c r="R787" s="20">
        <f>IF($X787="","",SUM($N787:$Q787))</f>
        <v/>
      </c>
      <c r="S787">
        <f>IF($X787="","",COUNTIFS(상세표[사번키],INDEX(합계표[사번키],$X787),상세표[반영월],대상월키,상세표[야간당직],1,상세표[야간 구분],"평일"))</f>
        <v/>
      </c>
      <c r="T787">
        <f>IF($X787="","",COUNTIFS(상세표[사번키],INDEX(합계표[사번키],$X787),상세표[반영월],대상월키,상세표[야간당직],1,상세표[야간 구분],"휴일"))</f>
        <v/>
      </c>
      <c r="U787">
        <f>IF($X787="","",COUNTIFS(상세표[사번키],INDEX(합계표[사번키],$X787),상세표[반영월],대상월키,상세표[야간당직],1,상세표[야간 구분],"평일",상세표[반영 기관],"서울병원"))</f>
        <v/>
      </c>
      <c r="V787">
        <f>IF($X787="","",COUNTIFS(상세표[사번키],INDEX(합계표[사번키],$X787),상세표[반영월],대상월키,상세표[야간당직],1,상세표[야간 구분],"휴일",상세표[반영 기관],"서울병원"))</f>
        <v/>
      </c>
      <c r="W787">
        <f>IF($X787="","",IF(ISNUMBER(MATCH(INDEX(합계표[사번키],$X787)&amp;"|"&amp;대상월키,월별근무지표[키],0)),"직접 입력",IF($L787="—","—","기관명단")))</f>
        <v/>
      </c>
      <c r="X787" s="4">
        <f>IFERROR(MATCH(782,합계표[판정순번],0),"")</f>
        <v/>
      </c>
    </row>
    <row r="788">
      <c r="A788">
        <f>IF($X788="","",INDEX(합계표[사번],$X788)&amp;"")</f>
        <v/>
      </c>
      <c r="B788">
        <f>IF($X788="","",INDEX(합계표[성명],$X788)&amp;"")</f>
        <v/>
      </c>
      <c r="C788">
        <f>IF($X788="","",INDEX(합계표[부서],$X788)&amp;"")</f>
        <v/>
      </c>
      <c r="D788">
        <f>IF($X788="","",INDEX(합계표[직위(요약)],$X788)&amp;"")</f>
        <v/>
      </c>
      <c r="E788">
        <f>IF($X788="","",INDEX(합계표[직급 공존],$X788)&amp;"")</f>
        <v/>
      </c>
      <c r="F788" s="20">
        <f>IF($X788="","",SUMIFS(합계표[시스템 합계],합계표[사번키],INDEX(합계표[사번키],$X788)))</f>
        <v/>
      </c>
      <c r="G788" s="20">
        <f>IF($X788="","",SUMIFS(상세표[기록 시간외],상세표[사번키],INDEX(합계표[사번키],$X788),상세표[기록월],대상월키))</f>
        <v/>
      </c>
      <c r="H788">
        <f>IF($X788="","",IF(ABS($F788-$G788)&lt;0.01,"일치","불일치(차이 "&amp;TEXT($G788-$F788,"0.00")&amp;")"))</f>
        <v/>
      </c>
      <c r="I788" s="20">
        <f>IF($X788="","",SUMIFS(상세표[기록 시간외],상세표[사번키],INDEX(합계표[사번키],$X788),상세표[기록월],대상월키,상세표[반영월],"&lt;&gt;"&amp;대상월키))</f>
        <v/>
      </c>
      <c r="J788" s="20">
        <f>IF($X788="","",SUMIFS(상세표[기록 시간외],상세표[사번키],INDEX(합계표[사번키],$X788),상세표[기록월],"&lt;&gt;"&amp;대상월키,상세표[반영월],대상월키))</f>
        <v/>
      </c>
      <c r="K788" s="20">
        <f>IF($X788="","",SUMIFS(상세표[기록 시간외],상세표[사번키],INDEX(합계표[사번키],$X788),상세표[반영월],대상월키))</f>
        <v/>
      </c>
      <c r="L788">
        <f>IF($X788="","",IFERROR(INDEX(월별근무지표[적용 급여병원],MATCH(INDEX(합계표[사번키],$X788)&amp;"|"&amp;대상월키,월별근무지표[키],0))&amp;"",IF(COUNTIF(기관표[사번키],INDEX(합계표[사번키],$X788))+COUNTIF(월별근무지표[사번키],INDEX(합계표[사번키],$X788))&gt;0,IFERROR(INDEX(기관표[급여지급병원(기준월)],MATCH(INDEX(합계표[사번키],$X788)&amp;"|"&amp;대상월키,기관표[키],0))&amp;"","—"),"—")))</f>
        <v/>
      </c>
      <c r="M788">
        <f>IF($X788="","",IF(NOT(COUNTIF(기관표[사번키],INDEX(합계표[사번키],$X788))+COUNTIF(월별근무지표[사번키],INDEX(합계표[사번키],$X788))&gt;0),"기관명단에 없음(다른 병원으로 발송)",IF($L788="서울병원","해당",IF(N($R788)&gt;0,"해당(말일 근무)",IF($L788="—","대상월 기관명단 없음(추가 필요)","비해당")))))</f>
        <v/>
      </c>
      <c r="N788" s="20">
        <f>IF($X788="","",SUMIFS(상세표[06~07시],상세표[사번키],INDEX(합계표[사번키],$X788),상세표[반영월],대상월키,상세표[반영 기관],"서울병원"))</f>
        <v/>
      </c>
      <c r="O788" s="20">
        <f>IF($X788="","",SUMIFS(상세표[07~18시],상세표[사번키],INDEX(합계표[사번키],$X788),상세표[반영월],대상월키,상세표[반영 기관],"서울병원"))</f>
        <v/>
      </c>
      <c r="P788" s="20">
        <f>IF($X788="","",SUMIFS(상세표[18~22시],상세표[사번키],INDEX(합계표[사번키],$X788),상세표[반영월],대상월키,상세표[반영 기관],"서울병원"))</f>
        <v/>
      </c>
      <c r="Q788" s="20">
        <f>IF($X788="","",SUMIFS(상세표[22~06시],상세표[사번키],INDEX(합계표[사번키],$X788),상세표[반영월],대상월키,상세표[반영 기관],"서울병원"))</f>
        <v/>
      </c>
      <c r="R788" s="20">
        <f>IF($X788="","",SUM($N788:$Q788))</f>
        <v/>
      </c>
      <c r="S788">
        <f>IF($X788="","",COUNTIFS(상세표[사번키],INDEX(합계표[사번키],$X788),상세표[반영월],대상월키,상세표[야간당직],1,상세표[야간 구분],"평일"))</f>
        <v/>
      </c>
      <c r="T788">
        <f>IF($X788="","",COUNTIFS(상세표[사번키],INDEX(합계표[사번키],$X788),상세표[반영월],대상월키,상세표[야간당직],1,상세표[야간 구분],"휴일"))</f>
        <v/>
      </c>
      <c r="U788">
        <f>IF($X788="","",COUNTIFS(상세표[사번키],INDEX(합계표[사번키],$X788),상세표[반영월],대상월키,상세표[야간당직],1,상세표[야간 구분],"평일",상세표[반영 기관],"서울병원"))</f>
        <v/>
      </c>
      <c r="V788">
        <f>IF($X788="","",COUNTIFS(상세표[사번키],INDEX(합계표[사번키],$X788),상세표[반영월],대상월키,상세표[야간당직],1,상세표[야간 구분],"휴일",상세표[반영 기관],"서울병원"))</f>
        <v/>
      </c>
      <c r="W788">
        <f>IF($X788="","",IF(ISNUMBER(MATCH(INDEX(합계표[사번키],$X788)&amp;"|"&amp;대상월키,월별근무지표[키],0)),"직접 입력",IF($L788="—","—","기관명단")))</f>
        <v/>
      </c>
      <c r="X788" s="4">
        <f>IFERROR(MATCH(783,합계표[판정순번],0),"")</f>
        <v/>
      </c>
    </row>
    <row r="789">
      <c r="A789">
        <f>IF($X789="","",INDEX(합계표[사번],$X789)&amp;"")</f>
        <v/>
      </c>
      <c r="B789">
        <f>IF($X789="","",INDEX(합계표[성명],$X789)&amp;"")</f>
        <v/>
      </c>
      <c r="C789">
        <f>IF($X789="","",INDEX(합계표[부서],$X789)&amp;"")</f>
        <v/>
      </c>
      <c r="D789">
        <f>IF($X789="","",INDEX(합계표[직위(요약)],$X789)&amp;"")</f>
        <v/>
      </c>
      <c r="E789">
        <f>IF($X789="","",INDEX(합계표[직급 공존],$X789)&amp;"")</f>
        <v/>
      </c>
      <c r="F789" s="20">
        <f>IF($X789="","",SUMIFS(합계표[시스템 합계],합계표[사번키],INDEX(합계표[사번키],$X789)))</f>
        <v/>
      </c>
      <c r="G789" s="20">
        <f>IF($X789="","",SUMIFS(상세표[기록 시간외],상세표[사번키],INDEX(합계표[사번키],$X789),상세표[기록월],대상월키))</f>
        <v/>
      </c>
      <c r="H789">
        <f>IF($X789="","",IF(ABS($F789-$G789)&lt;0.01,"일치","불일치(차이 "&amp;TEXT($G789-$F789,"0.00")&amp;")"))</f>
        <v/>
      </c>
      <c r="I789" s="20">
        <f>IF($X789="","",SUMIFS(상세표[기록 시간외],상세표[사번키],INDEX(합계표[사번키],$X789),상세표[기록월],대상월키,상세표[반영월],"&lt;&gt;"&amp;대상월키))</f>
        <v/>
      </c>
      <c r="J789" s="20">
        <f>IF($X789="","",SUMIFS(상세표[기록 시간외],상세표[사번키],INDEX(합계표[사번키],$X789),상세표[기록월],"&lt;&gt;"&amp;대상월키,상세표[반영월],대상월키))</f>
        <v/>
      </c>
      <c r="K789" s="20">
        <f>IF($X789="","",SUMIFS(상세표[기록 시간외],상세표[사번키],INDEX(합계표[사번키],$X789),상세표[반영월],대상월키))</f>
        <v/>
      </c>
      <c r="L789">
        <f>IF($X789="","",IFERROR(INDEX(월별근무지표[적용 급여병원],MATCH(INDEX(합계표[사번키],$X789)&amp;"|"&amp;대상월키,월별근무지표[키],0))&amp;"",IF(COUNTIF(기관표[사번키],INDEX(합계표[사번키],$X789))+COUNTIF(월별근무지표[사번키],INDEX(합계표[사번키],$X789))&gt;0,IFERROR(INDEX(기관표[급여지급병원(기준월)],MATCH(INDEX(합계표[사번키],$X789)&amp;"|"&amp;대상월키,기관표[키],0))&amp;"","—"),"—")))</f>
        <v/>
      </c>
      <c r="M789">
        <f>IF($X789="","",IF(NOT(COUNTIF(기관표[사번키],INDEX(합계표[사번키],$X789))+COUNTIF(월별근무지표[사번키],INDEX(합계표[사번키],$X789))&gt;0),"기관명단에 없음(다른 병원으로 발송)",IF($L789="서울병원","해당",IF(N($R789)&gt;0,"해당(말일 근무)",IF($L789="—","대상월 기관명단 없음(추가 필요)","비해당")))))</f>
        <v/>
      </c>
      <c r="N789" s="20">
        <f>IF($X789="","",SUMIFS(상세표[06~07시],상세표[사번키],INDEX(합계표[사번키],$X789),상세표[반영월],대상월키,상세표[반영 기관],"서울병원"))</f>
        <v/>
      </c>
      <c r="O789" s="20">
        <f>IF($X789="","",SUMIFS(상세표[07~18시],상세표[사번키],INDEX(합계표[사번키],$X789),상세표[반영월],대상월키,상세표[반영 기관],"서울병원"))</f>
        <v/>
      </c>
      <c r="P789" s="20">
        <f>IF($X789="","",SUMIFS(상세표[18~22시],상세표[사번키],INDEX(합계표[사번키],$X789),상세표[반영월],대상월키,상세표[반영 기관],"서울병원"))</f>
        <v/>
      </c>
      <c r="Q789" s="20">
        <f>IF($X789="","",SUMIFS(상세표[22~06시],상세표[사번키],INDEX(합계표[사번키],$X789),상세표[반영월],대상월키,상세표[반영 기관],"서울병원"))</f>
        <v/>
      </c>
      <c r="R789" s="20">
        <f>IF($X789="","",SUM($N789:$Q789))</f>
        <v/>
      </c>
      <c r="S789">
        <f>IF($X789="","",COUNTIFS(상세표[사번키],INDEX(합계표[사번키],$X789),상세표[반영월],대상월키,상세표[야간당직],1,상세표[야간 구분],"평일"))</f>
        <v/>
      </c>
      <c r="T789">
        <f>IF($X789="","",COUNTIFS(상세표[사번키],INDEX(합계표[사번키],$X789),상세표[반영월],대상월키,상세표[야간당직],1,상세표[야간 구분],"휴일"))</f>
        <v/>
      </c>
      <c r="U789">
        <f>IF($X789="","",COUNTIFS(상세표[사번키],INDEX(합계표[사번키],$X789),상세표[반영월],대상월키,상세표[야간당직],1,상세표[야간 구분],"평일",상세표[반영 기관],"서울병원"))</f>
        <v/>
      </c>
      <c r="V789">
        <f>IF($X789="","",COUNTIFS(상세표[사번키],INDEX(합계표[사번키],$X789),상세표[반영월],대상월키,상세표[야간당직],1,상세표[야간 구분],"휴일",상세표[반영 기관],"서울병원"))</f>
        <v/>
      </c>
      <c r="W789">
        <f>IF($X789="","",IF(ISNUMBER(MATCH(INDEX(합계표[사번키],$X789)&amp;"|"&amp;대상월키,월별근무지표[키],0)),"직접 입력",IF($L789="—","—","기관명단")))</f>
        <v/>
      </c>
      <c r="X789" s="4">
        <f>IFERROR(MATCH(784,합계표[판정순번],0),"")</f>
        <v/>
      </c>
    </row>
    <row r="790">
      <c r="A790">
        <f>IF($X790="","",INDEX(합계표[사번],$X790)&amp;"")</f>
        <v/>
      </c>
      <c r="B790">
        <f>IF($X790="","",INDEX(합계표[성명],$X790)&amp;"")</f>
        <v/>
      </c>
      <c r="C790">
        <f>IF($X790="","",INDEX(합계표[부서],$X790)&amp;"")</f>
        <v/>
      </c>
      <c r="D790">
        <f>IF($X790="","",INDEX(합계표[직위(요약)],$X790)&amp;"")</f>
        <v/>
      </c>
      <c r="E790">
        <f>IF($X790="","",INDEX(합계표[직급 공존],$X790)&amp;"")</f>
        <v/>
      </c>
      <c r="F790" s="20">
        <f>IF($X790="","",SUMIFS(합계표[시스템 합계],합계표[사번키],INDEX(합계표[사번키],$X790)))</f>
        <v/>
      </c>
      <c r="G790" s="20">
        <f>IF($X790="","",SUMIFS(상세표[기록 시간외],상세표[사번키],INDEX(합계표[사번키],$X790),상세표[기록월],대상월키))</f>
        <v/>
      </c>
      <c r="H790">
        <f>IF($X790="","",IF(ABS($F790-$G790)&lt;0.01,"일치","불일치(차이 "&amp;TEXT($G790-$F790,"0.00")&amp;")"))</f>
        <v/>
      </c>
      <c r="I790" s="20">
        <f>IF($X790="","",SUMIFS(상세표[기록 시간외],상세표[사번키],INDEX(합계표[사번키],$X790),상세표[기록월],대상월키,상세표[반영월],"&lt;&gt;"&amp;대상월키))</f>
        <v/>
      </c>
      <c r="J790" s="20">
        <f>IF($X790="","",SUMIFS(상세표[기록 시간외],상세표[사번키],INDEX(합계표[사번키],$X790),상세표[기록월],"&lt;&gt;"&amp;대상월키,상세표[반영월],대상월키))</f>
        <v/>
      </c>
      <c r="K790" s="20">
        <f>IF($X790="","",SUMIFS(상세표[기록 시간외],상세표[사번키],INDEX(합계표[사번키],$X790),상세표[반영월],대상월키))</f>
        <v/>
      </c>
      <c r="L790">
        <f>IF($X790="","",IFERROR(INDEX(월별근무지표[적용 급여병원],MATCH(INDEX(합계표[사번키],$X790)&amp;"|"&amp;대상월키,월별근무지표[키],0))&amp;"",IF(COUNTIF(기관표[사번키],INDEX(합계표[사번키],$X790))+COUNTIF(월별근무지표[사번키],INDEX(합계표[사번키],$X790))&gt;0,IFERROR(INDEX(기관표[급여지급병원(기준월)],MATCH(INDEX(합계표[사번키],$X790)&amp;"|"&amp;대상월키,기관표[키],0))&amp;"","—"),"—")))</f>
        <v/>
      </c>
      <c r="M790">
        <f>IF($X790="","",IF(NOT(COUNTIF(기관표[사번키],INDEX(합계표[사번키],$X790))+COUNTIF(월별근무지표[사번키],INDEX(합계표[사번키],$X790))&gt;0),"기관명단에 없음(다른 병원으로 발송)",IF($L790="서울병원","해당",IF(N($R790)&gt;0,"해당(말일 근무)",IF($L790="—","대상월 기관명단 없음(추가 필요)","비해당")))))</f>
        <v/>
      </c>
      <c r="N790" s="20">
        <f>IF($X790="","",SUMIFS(상세표[06~07시],상세표[사번키],INDEX(합계표[사번키],$X790),상세표[반영월],대상월키,상세표[반영 기관],"서울병원"))</f>
        <v/>
      </c>
      <c r="O790" s="20">
        <f>IF($X790="","",SUMIFS(상세표[07~18시],상세표[사번키],INDEX(합계표[사번키],$X790),상세표[반영월],대상월키,상세표[반영 기관],"서울병원"))</f>
        <v/>
      </c>
      <c r="P790" s="20">
        <f>IF($X790="","",SUMIFS(상세표[18~22시],상세표[사번키],INDEX(합계표[사번키],$X790),상세표[반영월],대상월키,상세표[반영 기관],"서울병원"))</f>
        <v/>
      </c>
      <c r="Q790" s="20">
        <f>IF($X790="","",SUMIFS(상세표[22~06시],상세표[사번키],INDEX(합계표[사번키],$X790),상세표[반영월],대상월키,상세표[반영 기관],"서울병원"))</f>
        <v/>
      </c>
      <c r="R790" s="20">
        <f>IF($X790="","",SUM($N790:$Q790))</f>
        <v/>
      </c>
      <c r="S790">
        <f>IF($X790="","",COUNTIFS(상세표[사번키],INDEX(합계표[사번키],$X790),상세표[반영월],대상월키,상세표[야간당직],1,상세표[야간 구분],"평일"))</f>
        <v/>
      </c>
      <c r="T790">
        <f>IF($X790="","",COUNTIFS(상세표[사번키],INDEX(합계표[사번키],$X790),상세표[반영월],대상월키,상세표[야간당직],1,상세표[야간 구분],"휴일"))</f>
        <v/>
      </c>
      <c r="U790">
        <f>IF($X790="","",COUNTIFS(상세표[사번키],INDEX(합계표[사번키],$X790),상세표[반영월],대상월키,상세표[야간당직],1,상세표[야간 구분],"평일",상세표[반영 기관],"서울병원"))</f>
        <v/>
      </c>
      <c r="V790">
        <f>IF($X790="","",COUNTIFS(상세표[사번키],INDEX(합계표[사번키],$X790),상세표[반영월],대상월키,상세표[야간당직],1,상세표[야간 구분],"휴일",상세표[반영 기관],"서울병원"))</f>
        <v/>
      </c>
      <c r="W790">
        <f>IF($X790="","",IF(ISNUMBER(MATCH(INDEX(합계표[사번키],$X790)&amp;"|"&amp;대상월키,월별근무지표[키],0)),"직접 입력",IF($L790="—","—","기관명단")))</f>
        <v/>
      </c>
      <c r="X790" s="4">
        <f>IFERROR(MATCH(785,합계표[판정순번],0),"")</f>
        <v/>
      </c>
    </row>
    <row r="791">
      <c r="A791">
        <f>IF($X791="","",INDEX(합계표[사번],$X791)&amp;"")</f>
        <v/>
      </c>
      <c r="B791">
        <f>IF($X791="","",INDEX(합계표[성명],$X791)&amp;"")</f>
        <v/>
      </c>
      <c r="C791">
        <f>IF($X791="","",INDEX(합계표[부서],$X791)&amp;"")</f>
        <v/>
      </c>
      <c r="D791">
        <f>IF($X791="","",INDEX(합계표[직위(요약)],$X791)&amp;"")</f>
        <v/>
      </c>
      <c r="E791">
        <f>IF($X791="","",INDEX(합계표[직급 공존],$X791)&amp;"")</f>
        <v/>
      </c>
      <c r="F791" s="20">
        <f>IF($X791="","",SUMIFS(합계표[시스템 합계],합계표[사번키],INDEX(합계표[사번키],$X791)))</f>
        <v/>
      </c>
      <c r="G791" s="20">
        <f>IF($X791="","",SUMIFS(상세표[기록 시간외],상세표[사번키],INDEX(합계표[사번키],$X791),상세표[기록월],대상월키))</f>
        <v/>
      </c>
      <c r="H791">
        <f>IF($X791="","",IF(ABS($F791-$G791)&lt;0.01,"일치","불일치(차이 "&amp;TEXT($G791-$F791,"0.00")&amp;")"))</f>
        <v/>
      </c>
      <c r="I791" s="20">
        <f>IF($X791="","",SUMIFS(상세표[기록 시간외],상세표[사번키],INDEX(합계표[사번키],$X791),상세표[기록월],대상월키,상세표[반영월],"&lt;&gt;"&amp;대상월키))</f>
        <v/>
      </c>
      <c r="J791" s="20">
        <f>IF($X791="","",SUMIFS(상세표[기록 시간외],상세표[사번키],INDEX(합계표[사번키],$X791),상세표[기록월],"&lt;&gt;"&amp;대상월키,상세표[반영월],대상월키))</f>
        <v/>
      </c>
      <c r="K791" s="20">
        <f>IF($X791="","",SUMIFS(상세표[기록 시간외],상세표[사번키],INDEX(합계표[사번키],$X791),상세표[반영월],대상월키))</f>
        <v/>
      </c>
      <c r="L791">
        <f>IF($X791="","",IFERROR(INDEX(월별근무지표[적용 급여병원],MATCH(INDEX(합계표[사번키],$X791)&amp;"|"&amp;대상월키,월별근무지표[키],0))&amp;"",IF(COUNTIF(기관표[사번키],INDEX(합계표[사번키],$X791))+COUNTIF(월별근무지표[사번키],INDEX(합계표[사번키],$X791))&gt;0,IFERROR(INDEX(기관표[급여지급병원(기준월)],MATCH(INDEX(합계표[사번키],$X791)&amp;"|"&amp;대상월키,기관표[키],0))&amp;"","—"),"—")))</f>
        <v/>
      </c>
      <c r="M791">
        <f>IF($X791="","",IF(NOT(COUNTIF(기관표[사번키],INDEX(합계표[사번키],$X791))+COUNTIF(월별근무지표[사번키],INDEX(합계표[사번키],$X791))&gt;0),"기관명단에 없음(다른 병원으로 발송)",IF($L791="서울병원","해당",IF(N($R791)&gt;0,"해당(말일 근무)",IF($L791="—","대상월 기관명단 없음(추가 필요)","비해당")))))</f>
        <v/>
      </c>
      <c r="N791" s="20">
        <f>IF($X791="","",SUMIFS(상세표[06~07시],상세표[사번키],INDEX(합계표[사번키],$X791),상세표[반영월],대상월키,상세표[반영 기관],"서울병원"))</f>
        <v/>
      </c>
      <c r="O791" s="20">
        <f>IF($X791="","",SUMIFS(상세표[07~18시],상세표[사번키],INDEX(합계표[사번키],$X791),상세표[반영월],대상월키,상세표[반영 기관],"서울병원"))</f>
        <v/>
      </c>
      <c r="P791" s="20">
        <f>IF($X791="","",SUMIFS(상세표[18~22시],상세표[사번키],INDEX(합계표[사번키],$X791),상세표[반영월],대상월키,상세표[반영 기관],"서울병원"))</f>
        <v/>
      </c>
      <c r="Q791" s="20">
        <f>IF($X791="","",SUMIFS(상세표[22~06시],상세표[사번키],INDEX(합계표[사번키],$X791),상세표[반영월],대상월키,상세표[반영 기관],"서울병원"))</f>
        <v/>
      </c>
      <c r="R791" s="20">
        <f>IF($X791="","",SUM($N791:$Q791))</f>
        <v/>
      </c>
      <c r="S791">
        <f>IF($X791="","",COUNTIFS(상세표[사번키],INDEX(합계표[사번키],$X791),상세표[반영월],대상월키,상세표[야간당직],1,상세표[야간 구분],"평일"))</f>
        <v/>
      </c>
      <c r="T791">
        <f>IF($X791="","",COUNTIFS(상세표[사번키],INDEX(합계표[사번키],$X791),상세표[반영월],대상월키,상세표[야간당직],1,상세표[야간 구분],"휴일"))</f>
        <v/>
      </c>
      <c r="U791">
        <f>IF($X791="","",COUNTIFS(상세표[사번키],INDEX(합계표[사번키],$X791),상세표[반영월],대상월키,상세표[야간당직],1,상세표[야간 구분],"평일",상세표[반영 기관],"서울병원"))</f>
        <v/>
      </c>
      <c r="V791">
        <f>IF($X791="","",COUNTIFS(상세표[사번키],INDEX(합계표[사번키],$X791),상세표[반영월],대상월키,상세표[야간당직],1,상세표[야간 구분],"휴일",상세표[반영 기관],"서울병원"))</f>
        <v/>
      </c>
      <c r="W791">
        <f>IF($X791="","",IF(ISNUMBER(MATCH(INDEX(합계표[사번키],$X791)&amp;"|"&amp;대상월키,월별근무지표[키],0)),"직접 입력",IF($L791="—","—","기관명단")))</f>
        <v/>
      </c>
      <c r="X791" s="4">
        <f>IFERROR(MATCH(786,합계표[판정순번],0),"")</f>
        <v/>
      </c>
    </row>
    <row r="792">
      <c r="A792">
        <f>IF($X792="","",INDEX(합계표[사번],$X792)&amp;"")</f>
        <v/>
      </c>
      <c r="B792">
        <f>IF($X792="","",INDEX(합계표[성명],$X792)&amp;"")</f>
        <v/>
      </c>
      <c r="C792">
        <f>IF($X792="","",INDEX(합계표[부서],$X792)&amp;"")</f>
        <v/>
      </c>
      <c r="D792">
        <f>IF($X792="","",INDEX(합계표[직위(요약)],$X792)&amp;"")</f>
        <v/>
      </c>
      <c r="E792">
        <f>IF($X792="","",INDEX(합계표[직급 공존],$X792)&amp;"")</f>
        <v/>
      </c>
      <c r="F792" s="20">
        <f>IF($X792="","",SUMIFS(합계표[시스템 합계],합계표[사번키],INDEX(합계표[사번키],$X792)))</f>
        <v/>
      </c>
      <c r="G792" s="20">
        <f>IF($X792="","",SUMIFS(상세표[기록 시간외],상세표[사번키],INDEX(합계표[사번키],$X792),상세표[기록월],대상월키))</f>
        <v/>
      </c>
      <c r="H792">
        <f>IF($X792="","",IF(ABS($F792-$G792)&lt;0.01,"일치","불일치(차이 "&amp;TEXT($G792-$F792,"0.00")&amp;")"))</f>
        <v/>
      </c>
      <c r="I792" s="20">
        <f>IF($X792="","",SUMIFS(상세표[기록 시간외],상세표[사번키],INDEX(합계표[사번키],$X792),상세표[기록월],대상월키,상세표[반영월],"&lt;&gt;"&amp;대상월키))</f>
        <v/>
      </c>
      <c r="J792" s="20">
        <f>IF($X792="","",SUMIFS(상세표[기록 시간외],상세표[사번키],INDEX(합계표[사번키],$X792),상세표[기록월],"&lt;&gt;"&amp;대상월키,상세표[반영월],대상월키))</f>
        <v/>
      </c>
      <c r="K792" s="20">
        <f>IF($X792="","",SUMIFS(상세표[기록 시간외],상세표[사번키],INDEX(합계표[사번키],$X792),상세표[반영월],대상월키))</f>
        <v/>
      </c>
      <c r="L792">
        <f>IF($X792="","",IFERROR(INDEX(월별근무지표[적용 급여병원],MATCH(INDEX(합계표[사번키],$X792)&amp;"|"&amp;대상월키,월별근무지표[키],0))&amp;"",IF(COUNTIF(기관표[사번키],INDEX(합계표[사번키],$X792))+COUNTIF(월별근무지표[사번키],INDEX(합계표[사번키],$X792))&gt;0,IFERROR(INDEX(기관표[급여지급병원(기준월)],MATCH(INDEX(합계표[사번키],$X792)&amp;"|"&amp;대상월키,기관표[키],0))&amp;"","—"),"—")))</f>
        <v/>
      </c>
      <c r="M792">
        <f>IF($X792="","",IF(NOT(COUNTIF(기관표[사번키],INDEX(합계표[사번키],$X792))+COUNTIF(월별근무지표[사번키],INDEX(합계표[사번키],$X792))&gt;0),"기관명단에 없음(다른 병원으로 발송)",IF($L792="서울병원","해당",IF(N($R792)&gt;0,"해당(말일 근무)",IF($L792="—","대상월 기관명단 없음(추가 필요)","비해당")))))</f>
        <v/>
      </c>
      <c r="N792" s="20">
        <f>IF($X792="","",SUMIFS(상세표[06~07시],상세표[사번키],INDEX(합계표[사번키],$X792),상세표[반영월],대상월키,상세표[반영 기관],"서울병원"))</f>
        <v/>
      </c>
      <c r="O792" s="20">
        <f>IF($X792="","",SUMIFS(상세표[07~18시],상세표[사번키],INDEX(합계표[사번키],$X792),상세표[반영월],대상월키,상세표[반영 기관],"서울병원"))</f>
        <v/>
      </c>
      <c r="P792" s="20">
        <f>IF($X792="","",SUMIFS(상세표[18~22시],상세표[사번키],INDEX(합계표[사번키],$X792),상세표[반영월],대상월키,상세표[반영 기관],"서울병원"))</f>
        <v/>
      </c>
      <c r="Q792" s="20">
        <f>IF($X792="","",SUMIFS(상세표[22~06시],상세표[사번키],INDEX(합계표[사번키],$X792),상세표[반영월],대상월키,상세표[반영 기관],"서울병원"))</f>
        <v/>
      </c>
      <c r="R792" s="20">
        <f>IF($X792="","",SUM($N792:$Q792))</f>
        <v/>
      </c>
      <c r="S792">
        <f>IF($X792="","",COUNTIFS(상세표[사번키],INDEX(합계표[사번키],$X792),상세표[반영월],대상월키,상세표[야간당직],1,상세표[야간 구분],"평일"))</f>
        <v/>
      </c>
      <c r="T792">
        <f>IF($X792="","",COUNTIFS(상세표[사번키],INDEX(합계표[사번키],$X792),상세표[반영월],대상월키,상세표[야간당직],1,상세표[야간 구분],"휴일"))</f>
        <v/>
      </c>
      <c r="U792">
        <f>IF($X792="","",COUNTIFS(상세표[사번키],INDEX(합계표[사번키],$X792),상세표[반영월],대상월키,상세표[야간당직],1,상세표[야간 구분],"평일",상세표[반영 기관],"서울병원"))</f>
        <v/>
      </c>
      <c r="V792">
        <f>IF($X792="","",COUNTIFS(상세표[사번키],INDEX(합계표[사번키],$X792),상세표[반영월],대상월키,상세표[야간당직],1,상세표[야간 구분],"휴일",상세표[반영 기관],"서울병원"))</f>
        <v/>
      </c>
      <c r="W792">
        <f>IF($X792="","",IF(ISNUMBER(MATCH(INDEX(합계표[사번키],$X792)&amp;"|"&amp;대상월키,월별근무지표[키],0)),"직접 입력",IF($L792="—","—","기관명단")))</f>
        <v/>
      </c>
      <c r="X792" s="4">
        <f>IFERROR(MATCH(787,합계표[판정순번],0),"")</f>
        <v/>
      </c>
    </row>
    <row r="793">
      <c r="A793">
        <f>IF($X793="","",INDEX(합계표[사번],$X793)&amp;"")</f>
        <v/>
      </c>
      <c r="B793">
        <f>IF($X793="","",INDEX(합계표[성명],$X793)&amp;"")</f>
        <v/>
      </c>
      <c r="C793">
        <f>IF($X793="","",INDEX(합계표[부서],$X793)&amp;"")</f>
        <v/>
      </c>
      <c r="D793">
        <f>IF($X793="","",INDEX(합계표[직위(요약)],$X793)&amp;"")</f>
        <v/>
      </c>
      <c r="E793">
        <f>IF($X793="","",INDEX(합계표[직급 공존],$X793)&amp;"")</f>
        <v/>
      </c>
      <c r="F793" s="20">
        <f>IF($X793="","",SUMIFS(합계표[시스템 합계],합계표[사번키],INDEX(합계표[사번키],$X793)))</f>
        <v/>
      </c>
      <c r="G793" s="20">
        <f>IF($X793="","",SUMIFS(상세표[기록 시간외],상세표[사번키],INDEX(합계표[사번키],$X793),상세표[기록월],대상월키))</f>
        <v/>
      </c>
      <c r="H793">
        <f>IF($X793="","",IF(ABS($F793-$G793)&lt;0.01,"일치","불일치(차이 "&amp;TEXT($G793-$F793,"0.00")&amp;")"))</f>
        <v/>
      </c>
      <c r="I793" s="20">
        <f>IF($X793="","",SUMIFS(상세표[기록 시간외],상세표[사번키],INDEX(합계표[사번키],$X793),상세표[기록월],대상월키,상세표[반영월],"&lt;&gt;"&amp;대상월키))</f>
        <v/>
      </c>
      <c r="J793" s="20">
        <f>IF($X793="","",SUMIFS(상세표[기록 시간외],상세표[사번키],INDEX(합계표[사번키],$X793),상세표[기록월],"&lt;&gt;"&amp;대상월키,상세표[반영월],대상월키))</f>
        <v/>
      </c>
      <c r="K793" s="20">
        <f>IF($X793="","",SUMIFS(상세표[기록 시간외],상세표[사번키],INDEX(합계표[사번키],$X793),상세표[반영월],대상월키))</f>
        <v/>
      </c>
      <c r="L793">
        <f>IF($X793="","",IFERROR(INDEX(월별근무지표[적용 급여병원],MATCH(INDEX(합계표[사번키],$X793)&amp;"|"&amp;대상월키,월별근무지표[키],0))&amp;"",IF(COUNTIF(기관표[사번키],INDEX(합계표[사번키],$X793))+COUNTIF(월별근무지표[사번키],INDEX(합계표[사번키],$X793))&gt;0,IFERROR(INDEX(기관표[급여지급병원(기준월)],MATCH(INDEX(합계표[사번키],$X793)&amp;"|"&amp;대상월키,기관표[키],0))&amp;"","—"),"—")))</f>
        <v/>
      </c>
      <c r="M793">
        <f>IF($X793="","",IF(NOT(COUNTIF(기관표[사번키],INDEX(합계표[사번키],$X793))+COUNTIF(월별근무지표[사번키],INDEX(합계표[사번키],$X793))&gt;0),"기관명단에 없음(다른 병원으로 발송)",IF($L793="서울병원","해당",IF(N($R793)&gt;0,"해당(말일 근무)",IF($L793="—","대상월 기관명단 없음(추가 필요)","비해당")))))</f>
        <v/>
      </c>
      <c r="N793" s="20">
        <f>IF($X793="","",SUMIFS(상세표[06~07시],상세표[사번키],INDEX(합계표[사번키],$X793),상세표[반영월],대상월키,상세표[반영 기관],"서울병원"))</f>
        <v/>
      </c>
      <c r="O793" s="20">
        <f>IF($X793="","",SUMIFS(상세표[07~18시],상세표[사번키],INDEX(합계표[사번키],$X793),상세표[반영월],대상월키,상세표[반영 기관],"서울병원"))</f>
        <v/>
      </c>
      <c r="P793" s="20">
        <f>IF($X793="","",SUMIFS(상세표[18~22시],상세표[사번키],INDEX(합계표[사번키],$X793),상세표[반영월],대상월키,상세표[반영 기관],"서울병원"))</f>
        <v/>
      </c>
      <c r="Q793" s="20">
        <f>IF($X793="","",SUMIFS(상세표[22~06시],상세표[사번키],INDEX(합계표[사번키],$X793),상세표[반영월],대상월키,상세표[반영 기관],"서울병원"))</f>
        <v/>
      </c>
      <c r="R793" s="20">
        <f>IF($X793="","",SUM($N793:$Q793))</f>
        <v/>
      </c>
      <c r="S793">
        <f>IF($X793="","",COUNTIFS(상세표[사번키],INDEX(합계표[사번키],$X793),상세표[반영월],대상월키,상세표[야간당직],1,상세표[야간 구분],"평일"))</f>
        <v/>
      </c>
      <c r="T793">
        <f>IF($X793="","",COUNTIFS(상세표[사번키],INDEX(합계표[사번키],$X793),상세표[반영월],대상월키,상세표[야간당직],1,상세표[야간 구분],"휴일"))</f>
        <v/>
      </c>
      <c r="U793">
        <f>IF($X793="","",COUNTIFS(상세표[사번키],INDEX(합계표[사번키],$X793),상세표[반영월],대상월키,상세표[야간당직],1,상세표[야간 구분],"평일",상세표[반영 기관],"서울병원"))</f>
        <v/>
      </c>
      <c r="V793">
        <f>IF($X793="","",COUNTIFS(상세표[사번키],INDEX(합계표[사번키],$X793),상세표[반영월],대상월키,상세표[야간당직],1,상세표[야간 구분],"휴일",상세표[반영 기관],"서울병원"))</f>
        <v/>
      </c>
      <c r="W793">
        <f>IF($X793="","",IF(ISNUMBER(MATCH(INDEX(합계표[사번키],$X793)&amp;"|"&amp;대상월키,월별근무지표[키],0)),"직접 입력",IF($L793="—","—","기관명단")))</f>
        <v/>
      </c>
      <c r="X793" s="4">
        <f>IFERROR(MATCH(788,합계표[판정순번],0),"")</f>
        <v/>
      </c>
    </row>
    <row r="794">
      <c r="A794">
        <f>IF($X794="","",INDEX(합계표[사번],$X794)&amp;"")</f>
        <v/>
      </c>
      <c r="B794">
        <f>IF($X794="","",INDEX(합계표[성명],$X794)&amp;"")</f>
        <v/>
      </c>
      <c r="C794">
        <f>IF($X794="","",INDEX(합계표[부서],$X794)&amp;"")</f>
        <v/>
      </c>
      <c r="D794">
        <f>IF($X794="","",INDEX(합계표[직위(요약)],$X794)&amp;"")</f>
        <v/>
      </c>
      <c r="E794">
        <f>IF($X794="","",INDEX(합계표[직급 공존],$X794)&amp;"")</f>
        <v/>
      </c>
      <c r="F794" s="20">
        <f>IF($X794="","",SUMIFS(합계표[시스템 합계],합계표[사번키],INDEX(합계표[사번키],$X794)))</f>
        <v/>
      </c>
      <c r="G794" s="20">
        <f>IF($X794="","",SUMIFS(상세표[기록 시간외],상세표[사번키],INDEX(합계표[사번키],$X794),상세표[기록월],대상월키))</f>
        <v/>
      </c>
      <c r="H794">
        <f>IF($X794="","",IF(ABS($F794-$G794)&lt;0.01,"일치","불일치(차이 "&amp;TEXT($G794-$F794,"0.00")&amp;")"))</f>
        <v/>
      </c>
      <c r="I794" s="20">
        <f>IF($X794="","",SUMIFS(상세표[기록 시간외],상세표[사번키],INDEX(합계표[사번키],$X794),상세표[기록월],대상월키,상세표[반영월],"&lt;&gt;"&amp;대상월키))</f>
        <v/>
      </c>
      <c r="J794" s="20">
        <f>IF($X794="","",SUMIFS(상세표[기록 시간외],상세표[사번키],INDEX(합계표[사번키],$X794),상세표[기록월],"&lt;&gt;"&amp;대상월키,상세표[반영월],대상월키))</f>
        <v/>
      </c>
      <c r="K794" s="20">
        <f>IF($X794="","",SUMIFS(상세표[기록 시간외],상세표[사번키],INDEX(합계표[사번키],$X794),상세표[반영월],대상월키))</f>
        <v/>
      </c>
      <c r="L794">
        <f>IF($X794="","",IFERROR(INDEX(월별근무지표[적용 급여병원],MATCH(INDEX(합계표[사번키],$X794)&amp;"|"&amp;대상월키,월별근무지표[키],0))&amp;"",IF(COUNTIF(기관표[사번키],INDEX(합계표[사번키],$X794))+COUNTIF(월별근무지표[사번키],INDEX(합계표[사번키],$X794))&gt;0,IFERROR(INDEX(기관표[급여지급병원(기준월)],MATCH(INDEX(합계표[사번키],$X794)&amp;"|"&amp;대상월키,기관표[키],0))&amp;"","—"),"—")))</f>
        <v/>
      </c>
      <c r="M794">
        <f>IF($X794="","",IF(NOT(COUNTIF(기관표[사번키],INDEX(합계표[사번키],$X794))+COUNTIF(월별근무지표[사번키],INDEX(합계표[사번키],$X794))&gt;0),"기관명단에 없음(다른 병원으로 발송)",IF($L794="서울병원","해당",IF(N($R794)&gt;0,"해당(말일 근무)",IF($L794="—","대상월 기관명단 없음(추가 필요)","비해당")))))</f>
        <v/>
      </c>
      <c r="N794" s="20">
        <f>IF($X794="","",SUMIFS(상세표[06~07시],상세표[사번키],INDEX(합계표[사번키],$X794),상세표[반영월],대상월키,상세표[반영 기관],"서울병원"))</f>
        <v/>
      </c>
      <c r="O794" s="20">
        <f>IF($X794="","",SUMIFS(상세표[07~18시],상세표[사번키],INDEX(합계표[사번키],$X794),상세표[반영월],대상월키,상세표[반영 기관],"서울병원"))</f>
        <v/>
      </c>
      <c r="P794" s="20">
        <f>IF($X794="","",SUMIFS(상세표[18~22시],상세표[사번키],INDEX(합계표[사번키],$X794),상세표[반영월],대상월키,상세표[반영 기관],"서울병원"))</f>
        <v/>
      </c>
      <c r="Q794" s="20">
        <f>IF($X794="","",SUMIFS(상세표[22~06시],상세표[사번키],INDEX(합계표[사번키],$X794),상세표[반영월],대상월키,상세표[반영 기관],"서울병원"))</f>
        <v/>
      </c>
      <c r="R794" s="20">
        <f>IF($X794="","",SUM($N794:$Q794))</f>
        <v/>
      </c>
      <c r="S794">
        <f>IF($X794="","",COUNTIFS(상세표[사번키],INDEX(합계표[사번키],$X794),상세표[반영월],대상월키,상세표[야간당직],1,상세표[야간 구분],"평일"))</f>
        <v/>
      </c>
      <c r="T794">
        <f>IF($X794="","",COUNTIFS(상세표[사번키],INDEX(합계표[사번키],$X794),상세표[반영월],대상월키,상세표[야간당직],1,상세표[야간 구분],"휴일"))</f>
        <v/>
      </c>
      <c r="U794">
        <f>IF($X794="","",COUNTIFS(상세표[사번키],INDEX(합계표[사번키],$X794),상세표[반영월],대상월키,상세표[야간당직],1,상세표[야간 구분],"평일",상세표[반영 기관],"서울병원"))</f>
        <v/>
      </c>
      <c r="V794">
        <f>IF($X794="","",COUNTIFS(상세표[사번키],INDEX(합계표[사번키],$X794),상세표[반영월],대상월키,상세표[야간당직],1,상세표[야간 구분],"휴일",상세표[반영 기관],"서울병원"))</f>
        <v/>
      </c>
      <c r="W794">
        <f>IF($X794="","",IF(ISNUMBER(MATCH(INDEX(합계표[사번키],$X794)&amp;"|"&amp;대상월키,월별근무지표[키],0)),"직접 입력",IF($L794="—","—","기관명단")))</f>
        <v/>
      </c>
      <c r="X794" s="4">
        <f>IFERROR(MATCH(789,합계표[판정순번],0),"")</f>
        <v/>
      </c>
    </row>
    <row r="795">
      <c r="A795">
        <f>IF($X795="","",INDEX(합계표[사번],$X795)&amp;"")</f>
        <v/>
      </c>
      <c r="B795">
        <f>IF($X795="","",INDEX(합계표[성명],$X795)&amp;"")</f>
        <v/>
      </c>
      <c r="C795">
        <f>IF($X795="","",INDEX(합계표[부서],$X795)&amp;"")</f>
        <v/>
      </c>
      <c r="D795">
        <f>IF($X795="","",INDEX(합계표[직위(요약)],$X795)&amp;"")</f>
        <v/>
      </c>
      <c r="E795">
        <f>IF($X795="","",INDEX(합계표[직급 공존],$X795)&amp;"")</f>
        <v/>
      </c>
      <c r="F795" s="20">
        <f>IF($X795="","",SUMIFS(합계표[시스템 합계],합계표[사번키],INDEX(합계표[사번키],$X795)))</f>
        <v/>
      </c>
      <c r="G795" s="20">
        <f>IF($X795="","",SUMIFS(상세표[기록 시간외],상세표[사번키],INDEX(합계표[사번키],$X795),상세표[기록월],대상월키))</f>
        <v/>
      </c>
      <c r="H795">
        <f>IF($X795="","",IF(ABS($F795-$G795)&lt;0.01,"일치","불일치(차이 "&amp;TEXT($G795-$F795,"0.00")&amp;")"))</f>
        <v/>
      </c>
      <c r="I795" s="20">
        <f>IF($X795="","",SUMIFS(상세표[기록 시간외],상세표[사번키],INDEX(합계표[사번키],$X795),상세표[기록월],대상월키,상세표[반영월],"&lt;&gt;"&amp;대상월키))</f>
        <v/>
      </c>
      <c r="J795" s="20">
        <f>IF($X795="","",SUMIFS(상세표[기록 시간외],상세표[사번키],INDEX(합계표[사번키],$X795),상세표[기록월],"&lt;&gt;"&amp;대상월키,상세표[반영월],대상월키))</f>
        <v/>
      </c>
      <c r="K795" s="20">
        <f>IF($X795="","",SUMIFS(상세표[기록 시간외],상세표[사번키],INDEX(합계표[사번키],$X795),상세표[반영월],대상월키))</f>
        <v/>
      </c>
      <c r="L795">
        <f>IF($X795="","",IFERROR(INDEX(월별근무지표[적용 급여병원],MATCH(INDEX(합계표[사번키],$X795)&amp;"|"&amp;대상월키,월별근무지표[키],0))&amp;"",IF(COUNTIF(기관표[사번키],INDEX(합계표[사번키],$X795))+COUNTIF(월별근무지표[사번키],INDEX(합계표[사번키],$X795))&gt;0,IFERROR(INDEX(기관표[급여지급병원(기준월)],MATCH(INDEX(합계표[사번키],$X795)&amp;"|"&amp;대상월키,기관표[키],0))&amp;"","—"),"—")))</f>
        <v/>
      </c>
      <c r="M795">
        <f>IF($X795="","",IF(NOT(COUNTIF(기관표[사번키],INDEX(합계표[사번키],$X795))+COUNTIF(월별근무지표[사번키],INDEX(합계표[사번키],$X795))&gt;0),"기관명단에 없음(다른 병원으로 발송)",IF($L795="서울병원","해당",IF(N($R795)&gt;0,"해당(말일 근무)",IF($L795="—","대상월 기관명단 없음(추가 필요)","비해당")))))</f>
        <v/>
      </c>
      <c r="N795" s="20">
        <f>IF($X795="","",SUMIFS(상세표[06~07시],상세표[사번키],INDEX(합계표[사번키],$X795),상세표[반영월],대상월키,상세표[반영 기관],"서울병원"))</f>
        <v/>
      </c>
      <c r="O795" s="20">
        <f>IF($X795="","",SUMIFS(상세표[07~18시],상세표[사번키],INDEX(합계표[사번키],$X795),상세표[반영월],대상월키,상세표[반영 기관],"서울병원"))</f>
        <v/>
      </c>
      <c r="P795" s="20">
        <f>IF($X795="","",SUMIFS(상세표[18~22시],상세표[사번키],INDEX(합계표[사번키],$X795),상세표[반영월],대상월키,상세표[반영 기관],"서울병원"))</f>
        <v/>
      </c>
      <c r="Q795" s="20">
        <f>IF($X795="","",SUMIFS(상세표[22~06시],상세표[사번키],INDEX(합계표[사번키],$X795),상세표[반영월],대상월키,상세표[반영 기관],"서울병원"))</f>
        <v/>
      </c>
      <c r="R795" s="20">
        <f>IF($X795="","",SUM($N795:$Q795))</f>
        <v/>
      </c>
      <c r="S795">
        <f>IF($X795="","",COUNTIFS(상세표[사번키],INDEX(합계표[사번키],$X795),상세표[반영월],대상월키,상세표[야간당직],1,상세표[야간 구분],"평일"))</f>
        <v/>
      </c>
      <c r="T795">
        <f>IF($X795="","",COUNTIFS(상세표[사번키],INDEX(합계표[사번키],$X795),상세표[반영월],대상월키,상세표[야간당직],1,상세표[야간 구분],"휴일"))</f>
        <v/>
      </c>
      <c r="U795">
        <f>IF($X795="","",COUNTIFS(상세표[사번키],INDEX(합계표[사번키],$X795),상세표[반영월],대상월키,상세표[야간당직],1,상세표[야간 구분],"평일",상세표[반영 기관],"서울병원"))</f>
        <v/>
      </c>
      <c r="V795">
        <f>IF($X795="","",COUNTIFS(상세표[사번키],INDEX(합계표[사번키],$X795),상세표[반영월],대상월키,상세표[야간당직],1,상세표[야간 구분],"휴일",상세표[반영 기관],"서울병원"))</f>
        <v/>
      </c>
      <c r="W795">
        <f>IF($X795="","",IF(ISNUMBER(MATCH(INDEX(합계표[사번키],$X795)&amp;"|"&amp;대상월키,월별근무지표[키],0)),"직접 입력",IF($L795="—","—","기관명단")))</f>
        <v/>
      </c>
      <c r="X795" s="4">
        <f>IFERROR(MATCH(790,합계표[판정순번],0),"")</f>
        <v/>
      </c>
    </row>
    <row r="796">
      <c r="A796">
        <f>IF($X796="","",INDEX(합계표[사번],$X796)&amp;"")</f>
        <v/>
      </c>
      <c r="B796">
        <f>IF($X796="","",INDEX(합계표[성명],$X796)&amp;"")</f>
        <v/>
      </c>
      <c r="C796">
        <f>IF($X796="","",INDEX(합계표[부서],$X796)&amp;"")</f>
        <v/>
      </c>
      <c r="D796">
        <f>IF($X796="","",INDEX(합계표[직위(요약)],$X796)&amp;"")</f>
        <v/>
      </c>
      <c r="E796">
        <f>IF($X796="","",INDEX(합계표[직급 공존],$X796)&amp;"")</f>
        <v/>
      </c>
      <c r="F796" s="20">
        <f>IF($X796="","",SUMIFS(합계표[시스템 합계],합계표[사번키],INDEX(합계표[사번키],$X796)))</f>
        <v/>
      </c>
      <c r="G796" s="20">
        <f>IF($X796="","",SUMIFS(상세표[기록 시간외],상세표[사번키],INDEX(합계표[사번키],$X796),상세표[기록월],대상월키))</f>
        <v/>
      </c>
      <c r="H796">
        <f>IF($X796="","",IF(ABS($F796-$G796)&lt;0.01,"일치","불일치(차이 "&amp;TEXT($G796-$F796,"0.00")&amp;")"))</f>
        <v/>
      </c>
      <c r="I796" s="20">
        <f>IF($X796="","",SUMIFS(상세표[기록 시간외],상세표[사번키],INDEX(합계표[사번키],$X796),상세표[기록월],대상월키,상세표[반영월],"&lt;&gt;"&amp;대상월키))</f>
        <v/>
      </c>
      <c r="J796" s="20">
        <f>IF($X796="","",SUMIFS(상세표[기록 시간외],상세표[사번키],INDEX(합계표[사번키],$X796),상세표[기록월],"&lt;&gt;"&amp;대상월키,상세표[반영월],대상월키))</f>
        <v/>
      </c>
      <c r="K796" s="20">
        <f>IF($X796="","",SUMIFS(상세표[기록 시간외],상세표[사번키],INDEX(합계표[사번키],$X796),상세표[반영월],대상월키))</f>
        <v/>
      </c>
      <c r="L796">
        <f>IF($X796="","",IFERROR(INDEX(월별근무지표[적용 급여병원],MATCH(INDEX(합계표[사번키],$X796)&amp;"|"&amp;대상월키,월별근무지표[키],0))&amp;"",IF(COUNTIF(기관표[사번키],INDEX(합계표[사번키],$X796))+COUNTIF(월별근무지표[사번키],INDEX(합계표[사번키],$X796))&gt;0,IFERROR(INDEX(기관표[급여지급병원(기준월)],MATCH(INDEX(합계표[사번키],$X796)&amp;"|"&amp;대상월키,기관표[키],0))&amp;"","—"),"—")))</f>
        <v/>
      </c>
      <c r="M796">
        <f>IF($X796="","",IF(NOT(COUNTIF(기관표[사번키],INDEX(합계표[사번키],$X796))+COUNTIF(월별근무지표[사번키],INDEX(합계표[사번키],$X796))&gt;0),"기관명단에 없음(다른 병원으로 발송)",IF($L796="서울병원","해당",IF(N($R796)&gt;0,"해당(말일 근무)",IF($L796="—","대상월 기관명단 없음(추가 필요)","비해당")))))</f>
        <v/>
      </c>
      <c r="N796" s="20">
        <f>IF($X796="","",SUMIFS(상세표[06~07시],상세표[사번키],INDEX(합계표[사번키],$X796),상세표[반영월],대상월키,상세표[반영 기관],"서울병원"))</f>
        <v/>
      </c>
      <c r="O796" s="20">
        <f>IF($X796="","",SUMIFS(상세표[07~18시],상세표[사번키],INDEX(합계표[사번키],$X796),상세표[반영월],대상월키,상세표[반영 기관],"서울병원"))</f>
        <v/>
      </c>
      <c r="P796" s="20">
        <f>IF($X796="","",SUMIFS(상세표[18~22시],상세표[사번키],INDEX(합계표[사번키],$X796),상세표[반영월],대상월키,상세표[반영 기관],"서울병원"))</f>
        <v/>
      </c>
      <c r="Q796" s="20">
        <f>IF($X796="","",SUMIFS(상세표[22~06시],상세표[사번키],INDEX(합계표[사번키],$X796),상세표[반영월],대상월키,상세표[반영 기관],"서울병원"))</f>
        <v/>
      </c>
      <c r="R796" s="20">
        <f>IF($X796="","",SUM($N796:$Q796))</f>
        <v/>
      </c>
      <c r="S796">
        <f>IF($X796="","",COUNTIFS(상세표[사번키],INDEX(합계표[사번키],$X796),상세표[반영월],대상월키,상세표[야간당직],1,상세표[야간 구분],"평일"))</f>
        <v/>
      </c>
      <c r="T796">
        <f>IF($X796="","",COUNTIFS(상세표[사번키],INDEX(합계표[사번키],$X796),상세표[반영월],대상월키,상세표[야간당직],1,상세표[야간 구분],"휴일"))</f>
        <v/>
      </c>
      <c r="U796">
        <f>IF($X796="","",COUNTIFS(상세표[사번키],INDEX(합계표[사번키],$X796),상세표[반영월],대상월키,상세표[야간당직],1,상세표[야간 구분],"평일",상세표[반영 기관],"서울병원"))</f>
        <v/>
      </c>
      <c r="V796">
        <f>IF($X796="","",COUNTIFS(상세표[사번키],INDEX(합계표[사번키],$X796),상세표[반영월],대상월키,상세표[야간당직],1,상세표[야간 구분],"휴일",상세표[반영 기관],"서울병원"))</f>
        <v/>
      </c>
      <c r="W796">
        <f>IF($X796="","",IF(ISNUMBER(MATCH(INDEX(합계표[사번키],$X796)&amp;"|"&amp;대상월키,월별근무지표[키],0)),"직접 입력",IF($L796="—","—","기관명단")))</f>
        <v/>
      </c>
      <c r="X796" s="4">
        <f>IFERROR(MATCH(791,합계표[판정순번],0),"")</f>
        <v/>
      </c>
    </row>
    <row r="797">
      <c r="A797">
        <f>IF($X797="","",INDEX(합계표[사번],$X797)&amp;"")</f>
        <v/>
      </c>
      <c r="B797">
        <f>IF($X797="","",INDEX(합계표[성명],$X797)&amp;"")</f>
        <v/>
      </c>
      <c r="C797">
        <f>IF($X797="","",INDEX(합계표[부서],$X797)&amp;"")</f>
        <v/>
      </c>
      <c r="D797">
        <f>IF($X797="","",INDEX(합계표[직위(요약)],$X797)&amp;"")</f>
        <v/>
      </c>
      <c r="E797">
        <f>IF($X797="","",INDEX(합계표[직급 공존],$X797)&amp;"")</f>
        <v/>
      </c>
      <c r="F797" s="20">
        <f>IF($X797="","",SUMIFS(합계표[시스템 합계],합계표[사번키],INDEX(합계표[사번키],$X797)))</f>
        <v/>
      </c>
      <c r="G797" s="20">
        <f>IF($X797="","",SUMIFS(상세표[기록 시간외],상세표[사번키],INDEX(합계표[사번키],$X797),상세표[기록월],대상월키))</f>
        <v/>
      </c>
      <c r="H797">
        <f>IF($X797="","",IF(ABS($F797-$G797)&lt;0.01,"일치","불일치(차이 "&amp;TEXT($G797-$F797,"0.00")&amp;")"))</f>
        <v/>
      </c>
      <c r="I797" s="20">
        <f>IF($X797="","",SUMIFS(상세표[기록 시간외],상세표[사번키],INDEX(합계표[사번키],$X797),상세표[기록월],대상월키,상세표[반영월],"&lt;&gt;"&amp;대상월키))</f>
        <v/>
      </c>
      <c r="J797" s="20">
        <f>IF($X797="","",SUMIFS(상세표[기록 시간외],상세표[사번키],INDEX(합계표[사번키],$X797),상세표[기록월],"&lt;&gt;"&amp;대상월키,상세표[반영월],대상월키))</f>
        <v/>
      </c>
      <c r="K797" s="20">
        <f>IF($X797="","",SUMIFS(상세표[기록 시간외],상세표[사번키],INDEX(합계표[사번키],$X797),상세표[반영월],대상월키))</f>
        <v/>
      </c>
      <c r="L797">
        <f>IF($X797="","",IFERROR(INDEX(월별근무지표[적용 급여병원],MATCH(INDEX(합계표[사번키],$X797)&amp;"|"&amp;대상월키,월별근무지표[키],0))&amp;"",IF(COUNTIF(기관표[사번키],INDEX(합계표[사번키],$X797))+COUNTIF(월별근무지표[사번키],INDEX(합계표[사번키],$X797))&gt;0,IFERROR(INDEX(기관표[급여지급병원(기준월)],MATCH(INDEX(합계표[사번키],$X797)&amp;"|"&amp;대상월키,기관표[키],0))&amp;"","—"),"—")))</f>
        <v/>
      </c>
      <c r="M797">
        <f>IF($X797="","",IF(NOT(COUNTIF(기관표[사번키],INDEX(합계표[사번키],$X797))+COUNTIF(월별근무지표[사번키],INDEX(합계표[사번키],$X797))&gt;0),"기관명단에 없음(다른 병원으로 발송)",IF($L797="서울병원","해당",IF(N($R797)&gt;0,"해당(말일 근무)",IF($L797="—","대상월 기관명단 없음(추가 필요)","비해당")))))</f>
        <v/>
      </c>
      <c r="N797" s="20">
        <f>IF($X797="","",SUMIFS(상세표[06~07시],상세표[사번키],INDEX(합계표[사번키],$X797),상세표[반영월],대상월키,상세표[반영 기관],"서울병원"))</f>
        <v/>
      </c>
      <c r="O797" s="20">
        <f>IF($X797="","",SUMIFS(상세표[07~18시],상세표[사번키],INDEX(합계표[사번키],$X797),상세표[반영월],대상월키,상세표[반영 기관],"서울병원"))</f>
        <v/>
      </c>
      <c r="P797" s="20">
        <f>IF($X797="","",SUMIFS(상세표[18~22시],상세표[사번키],INDEX(합계표[사번키],$X797),상세표[반영월],대상월키,상세표[반영 기관],"서울병원"))</f>
        <v/>
      </c>
      <c r="Q797" s="20">
        <f>IF($X797="","",SUMIFS(상세표[22~06시],상세표[사번키],INDEX(합계표[사번키],$X797),상세표[반영월],대상월키,상세표[반영 기관],"서울병원"))</f>
        <v/>
      </c>
      <c r="R797" s="20">
        <f>IF($X797="","",SUM($N797:$Q797))</f>
        <v/>
      </c>
      <c r="S797">
        <f>IF($X797="","",COUNTIFS(상세표[사번키],INDEX(합계표[사번키],$X797),상세표[반영월],대상월키,상세표[야간당직],1,상세표[야간 구분],"평일"))</f>
        <v/>
      </c>
      <c r="T797">
        <f>IF($X797="","",COUNTIFS(상세표[사번키],INDEX(합계표[사번키],$X797),상세표[반영월],대상월키,상세표[야간당직],1,상세표[야간 구분],"휴일"))</f>
        <v/>
      </c>
      <c r="U797">
        <f>IF($X797="","",COUNTIFS(상세표[사번키],INDEX(합계표[사번키],$X797),상세표[반영월],대상월키,상세표[야간당직],1,상세표[야간 구분],"평일",상세표[반영 기관],"서울병원"))</f>
        <v/>
      </c>
      <c r="V797">
        <f>IF($X797="","",COUNTIFS(상세표[사번키],INDEX(합계표[사번키],$X797),상세표[반영월],대상월키,상세표[야간당직],1,상세표[야간 구분],"휴일",상세표[반영 기관],"서울병원"))</f>
        <v/>
      </c>
      <c r="W797">
        <f>IF($X797="","",IF(ISNUMBER(MATCH(INDEX(합계표[사번키],$X797)&amp;"|"&amp;대상월키,월별근무지표[키],0)),"직접 입력",IF($L797="—","—","기관명단")))</f>
        <v/>
      </c>
      <c r="X797" s="4">
        <f>IFERROR(MATCH(792,합계표[판정순번],0),"")</f>
        <v/>
      </c>
    </row>
    <row r="798">
      <c r="A798">
        <f>IF($X798="","",INDEX(합계표[사번],$X798)&amp;"")</f>
        <v/>
      </c>
      <c r="B798">
        <f>IF($X798="","",INDEX(합계표[성명],$X798)&amp;"")</f>
        <v/>
      </c>
      <c r="C798">
        <f>IF($X798="","",INDEX(합계표[부서],$X798)&amp;"")</f>
        <v/>
      </c>
      <c r="D798">
        <f>IF($X798="","",INDEX(합계표[직위(요약)],$X798)&amp;"")</f>
        <v/>
      </c>
      <c r="E798">
        <f>IF($X798="","",INDEX(합계표[직급 공존],$X798)&amp;"")</f>
        <v/>
      </c>
      <c r="F798" s="20">
        <f>IF($X798="","",SUMIFS(합계표[시스템 합계],합계표[사번키],INDEX(합계표[사번키],$X798)))</f>
        <v/>
      </c>
      <c r="G798" s="20">
        <f>IF($X798="","",SUMIFS(상세표[기록 시간외],상세표[사번키],INDEX(합계표[사번키],$X798),상세표[기록월],대상월키))</f>
        <v/>
      </c>
      <c r="H798">
        <f>IF($X798="","",IF(ABS($F798-$G798)&lt;0.01,"일치","불일치(차이 "&amp;TEXT($G798-$F798,"0.00")&amp;")"))</f>
        <v/>
      </c>
      <c r="I798" s="20">
        <f>IF($X798="","",SUMIFS(상세표[기록 시간외],상세표[사번키],INDEX(합계표[사번키],$X798),상세표[기록월],대상월키,상세표[반영월],"&lt;&gt;"&amp;대상월키))</f>
        <v/>
      </c>
      <c r="J798" s="20">
        <f>IF($X798="","",SUMIFS(상세표[기록 시간외],상세표[사번키],INDEX(합계표[사번키],$X798),상세표[기록월],"&lt;&gt;"&amp;대상월키,상세표[반영월],대상월키))</f>
        <v/>
      </c>
      <c r="K798" s="20">
        <f>IF($X798="","",SUMIFS(상세표[기록 시간외],상세표[사번키],INDEX(합계표[사번키],$X798),상세표[반영월],대상월키))</f>
        <v/>
      </c>
      <c r="L798">
        <f>IF($X798="","",IFERROR(INDEX(월별근무지표[적용 급여병원],MATCH(INDEX(합계표[사번키],$X798)&amp;"|"&amp;대상월키,월별근무지표[키],0))&amp;"",IF(COUNTIF(기관표[사번키],INDEX(합계표[사번키],$X798))+COUNTIF(월별근무지표[사번키],INDEX(합계표[사번키],$X798))&gt;0,IFERROR(INDEX(기관표[급여지급병원(기준월)],MATCH(INDEX(합계표[사번키],$X798)&amp;"|"&amp;대상월키,기관표[키],0))&amp;"","—"),"—")))</f>
        <v/>
      </c>
      <c r="M798">
        <f>IF($X798="","",IF(NOT(COUNTIF(기관표[사번키],INDEX(합계표[사번키],$X798))+COUNTIF(월별근무지표[사번키],INDEX(합계표[사번키],$X798))&gt;0),"기관명단에 없음(다른 병원으로 발송)",IF($L798="서울병원","해당",IF(N($R798)&gt;0,"해당(말일 근무)",IF($L798="—","대상월 기관명단 없음(추가 필요)","비해당")))))</f>
        <v/>
      </c>
      <c r="N798" s="20">
        <f>IF($X798="","",SUMIFS(상세표[06~07시],상세표[사번키],INDEX(합계표[사번키],$X798),상세표[반영월],대상월키,상세표[반영 기관],"서울병원"))</f>
        <v/>
      </c>
      <c r="O798" s="20">
        <f>IF($X798="","",SUMIFS(상세표[07~18시],상세표[사번키],INDEX(합계표[사번키],$X798),상세표[반영월],대상월키,상세표[반영 기관],"서울병원"))</f>
        <v/>
      </c>
      <c r="P798" s="20">
        <f>IF($X798="","",SUMIFS(상세표[18~22시],상세표[사번키],INDEX(합계표[사번키],$X798),상세표[반영월],대상월키,상세표[반영 기관],"서울병원"))</f>
        <v/>
      </c>
      <c r="Q798" s="20">
        <f>IF($X798="","",SUMIFS(상세표[22~06시],상세표[사번키],INDEX(합계표[사번키],$X798),상세표[반영월],대상월키,상세표[반영 기관],"서울병원"))</f>
        <v/>
      </c>
      <c r="R798" s="20">
        <f>IF($X798="","",SUM($N798:$Q798))</f>
        <v/>
      </c>
      <c r="S798">
        <f>IF($X798="","",COUNTIFS(상세표[사번키],INDEX(합계표[사번키],$X798),상세표[반영월],대상월키,상세표[야간당직],1,상세표[야간 구분],"평일"))</f>
        <v/>
      </c>
      <c r="T798">
        <f>IF($X798="","",COUNTIFS(상세표[사번키],INDEX(합계표[사번키],$X798),상세표[반영월],대상월키,상세표[야간당직],1,상세표[야간 구분],"휴일"))</f>
        <v/>
      </c>
      <c r="U798">
        <f>IF($X798="","",COUNTIFS(상세표[사번키],INDEX(합계표[사번키],$X798),상세표[반영월],대상월키,상세표[야간당직],1,상세표[야간 구분],"평일",상세표[반영 기관],"서울병원"))</f>
        <v/>
      </c>
      <c r="V798">
        <f>IF($X798="","",COUNTIFS(상세표[사번키],INDEX(합계표[사번키],$X798),상세표[반영월],대상월키,상세표[야간당직],1,상세표[야간 구분],"휴일",상세표[반영 기관],"서울병원"))</f>
        <v/>
      </c>
      <c r="W798">
        <f>IF($X798="","",IF(ISNUMBER(MATCH(INDEX(합계표[사번키],$X798)&amp;"|"&amp;대상월키,월별근무지표[키],0)),"직접 입력",IF($L798="—","—","기관명단")))</f>
        <v/>
      </c>
      <c r="X798" s="4">
        <f>IFERROR(MATCH(793,합계표[판정순번],0),"")</f>
        <v/>
      </c>
    </row>
    <row r="799">
      <c r="A799">
        <f>IF($X799="","",INDEX(합계표[사번],$X799)&amp;"")</f>
        <v/>
      </c>
      <c r="B799">
        <f>IF($X799="","",INDEX(합계표[성명],$X799)&amp;"")</f>
        <v/>
      </c>
      <c r="C799">
        <f>IF($X799="","",INDEX(합계표[부서],$X799)&amp;"")</f>
        <v/>
      </c>
      <c r="D799">
        <f>IF($X799="","",INDEX(합계표[직위(요약)],$X799)&amp;"")</f>
        <v/>
      </c>
      <c r="E799">
        <f>IF($X799="","",INDEX(합계표[직급 공존],$X799)&amp;"")</f>
        <v/>
      </c>
      <c r="F799" s="20">
        <f>IF($X799="","",SUMIFS(합계표[시스템 합계],합계표[사번키],INDEX(합계표[사번키],$X799)))</f>
        <v/>
      </c>
      <c r="G799" s="20">
        <f>IF($X799="","",SUMIFS(상세표[기록 시간외],상세표[사번키],INDEX(합계표[사번키],$X799),상세표[기록월],대상월키))</f>
        <v/>
      </c>
      <c r="H799">
        <f>IF($X799="","",IF(ABS($F799-$G799)&lt;0.01,"일치","불일치(차이 "&amp;TEXT($G799-$F799,"0.00")&amp;")"))</f>
        <v/>
      </c>
      <c r="I799" s="20">
        <f>IF($X799="","",SUMIFS(상세표[기록 시간외],상세표[사번키],INDEX(합계표[사번키],$X799),상세표[기록월],대상월키,상세표[반영월],"&lt;&gt;"&amp;대상월키))</f>
        <v/>
      </c>
      <c r="J799" s="20">
        <f>IF($X799="","",SUMIFS(상세표[기록 시간외],상세표[사번키],INDEX(합계표[사번키],$X799),상세표[기록월],"&lt;&gt;"&amp;대상월키,상세표[반영월],대상월키))</f>
        <v/>
      </c>
      <c r="K799" s="20">
        <f>IF($X799="","",SUMIFS(상세표[기록 시간외],상세표[사번키],INDEX(합계표[사번키],$X799),상세표[반영월],대상월키))</f>
        <v/>
      </c>
      <c r="L799">
        <f>IF($X799="","",IFERROR(INDEX(월별근무지표[적용 급여병원],MATCH(INDEX(합계표[사번키],$X799)&amp;"|"&amp;대상월키,월별근무지표[키],0))&amp;"",IF(COUNTIF(기관표[사번키],INDEX(합계표[사번키],$X799))+COUNTIF(월별근무지표[사번키],INDEX(합계표[사번키],$X799))&gt;0,IFERROR(INDEX(기관표[급여지급병원(기준월)],MATCH(INDEX(합계표[사번키],$X799)&amp;"|"&amp;대상월키,기관표[키],0))&amp;"","—"),"—")))</f>
        <v/>
      </c>
      <c r="M799">
        <f>IF($X799="","",IF(NOT(COUNTIF(기관표[사번키],INDEX(합계표[사번키],$X799))+COUNTIF(월별근무지표[사번키],INDEX(합계표[사번키],$X799))&gt;0),"기관명단에 없음(다른 병원으로 발송)",IF($L799="서울병원","해당",IF(N($R799)&gt;0,"해당(말일 근무)",IF($L799="—","대상월 기관명단 없음(추가 필요)","비해당")))))</f>
        <v/>
      </c>
      <c r="N799" s="20">
        <f>IF($X799="","",SUMIFS(상세표[06~07시],상세표[사번키],INDEX(합계표[사번키],$X799),상세표[반영월],대상월키,상세표[반영 기관],"서울병원"))</f>
        <v/>
      </c>
      <c r="O799" s="20">
        <f>IF($X799="","",SUMIFS(상세표[07~18시],상세표[사번키],INDEX(합계표[사번키],$X799),상세표[반영월],대상월키,상세표[반영 기관],"서울병원"))</f>
        <v/>
      </c>
      <c r="P799" s="20">
        <f>IF($X799="","",SUMIFS(상세표[18~22시],상세표[사번키],INDEX(합계표[사번키],$X799),상세표[반영월],대상월키,상세표[반영 기관],"서울병원"))</f>
        <v/>
      </c>
      <c r="Q799" s="20">
        <f>IF($X799="","",SUMIFS(상세표[22~06시],상세표[사번키],INDEX(합계표[사번키],$X799),상세표[반영월],대상월키,상세표[반영 기관],"서울병원"))</f>
        <v/>
      </c>
      <c r="R799" s="20">
        <f>IF($X799="","",SUM($N799:$Q799))</f>
        <v/>
      </c>
      <c r="S799">
        <f>IF($X799="","",COUNTIFS(상세표[사번키],INDEX(합계표[사번키],$X799),상세표[반영월],대상월키,상세표[야간당직],1,상세표[야간 구분],"평일"))</f>
        <v/>
      </c>
      <c r="T799">
        <f>IF($X799="","",COUNTIFS(상세표[사번키],INDEX(합계표[사번키],$X799),상세표[반영월],대상월키,상세표[야간당직],1,상세표[야간 구분],"휴일"))</f>
        <v/>
      </c>
      <c r="U799">
        <f>IF($X799="","",COUNTIFS(상세표[사번키],INDEX(합계표[사번키],$X799),상세표[반영월],대상월키,상세표[야간당직],1,상세표[야간 구분],"평일",상세표[반영 기관],"서울병원"))</f>
        <v/>
      </c>
      <c r="V799">
        <f>IF($X799="","",COUNTIFS(상세표[사번키],INDEX(합계표[사번키],$X799),상세표[반영월],대상월키,상세표[야간당직],1,상세표[야간 구분],"휴일",상세표[반영 기관],"서울병원"))</f>
        <v/>
      </c>
      <c r="W799">
        <f>IF($X799="","",IF(ISNUMBER(MATCH(INDEX(합계표[사번키],$X799)&amp;"|"&amp;대상월키,월별근무지표[키],0)),"직접 입력",IF($L799="—","—","기관명단")))</f>
        <v/>
      </c>
      <c r="X799" s="4">
        <f>IFERROR(MATCH(794,합계표[판정순번],0),"")</f>
        <v/>
      </c>
    </row>
    <row r="800">
      <c r="A800">
        <f>IF($X800="","",INDEX(합계표[사번],$X800)&amp;"")</f>
        <v/>
      </c>
      <c r="B800">
        <f>IF($X800="","",INDEX(합계표[성명],$X800)&amp;"")</f>
        <v/>
      </c>
      <c r="C800">
        <f>IF($X800="","",INDEX(합계표[부서],$X800)&amp;"")</f>
        <v/>
      </c>
      <c r="D800">
        <f>IF($X800="","",INDEX(합계표[직위(요약)],$X800)&amp;"")</f>
        <v/>
      </c>
      <c r="E800">
        <f>IF($X800="","",INDEX(합계표[직급 공존],$X800)&amp;"")</f>
        <v/>
      </c>
      <c r="F800" s="20">
        <f>IF($X800="","",SUMIFS(합계표[시스템 합계],합계표[사번키],INDEX(합계표[사번키],$X800)))</f>
        <v/>
      </c>
      <c r="G800" s="20">
        <f>IF($X800="","",SUMIFS(상세표[기록 시간외],상세표[사번키],INDEX(합계표[사번키],$X800),상세표[기록월],대상월키))</f>
        <v/>
      </c>
      <c r="H800">
        <f>IF($X800="","",IF(ABS($F800-$G800)&lt;0.01,"일치","불일치(차이 "&amp;TEXT($G800-$F800,"0.00")&amp;")"))</f>
        <v/>
      </c>
      <c r="I800" s="20">
        <f>IF($X800="","",SUMIFS(상세표[기록 시간외],상세표[사번키],INDEX(합계표[사번키],$X800),상세표[기록월],대상월키,상세표[반영월],"&lt;&gt;"&amp;대상월키))</f>
        <v/>
      </c>
      <c r="J800" s="20">
        <f>IF($X800="","",SUMIFS(상세표[기록 시간외],상세표[사번키],INDEX(합계표[사번키],$X800),상세표[기록월],"&lt;&gt;"&amp;대상월키,상세표[반영월],대상월키))</f>
        <v/>
      </c>
      <c r="K800" s="20">
        <f>IF($X800="","",SUMIFS(상세표[기록 시간외],상세표[사번키],INDEX(합계표[사번키],$X800),상세표[반영월],대상월키))</f>
        <v/>
      </c>
      <c r="L800">
        <f>IF($X800="","",IFERROR(INDEX(월별근무지표[적용 급여병원],MATCH(INDEX(합계표[사번키],$X800)&amp;"|"&amp;대상월키,월별근무지표[키],0))&amp;"",IF(COUNTIF(기관표[사번키],INDEX(합계표[사번키],$X800))+COUNTIF(월별근무지표[사번키],INDEX(합계표[사번키],$X800))&gt;0,IFERROR(INDEX(기관표[급여지급병원(기준월)],MATCH(INDEX(합계표[사번키],$X800)&amp;"|"&amp;대상월키,기관표[키],0))&amp;"","—"),"—")))</f>
        <v/>
      </c>
      <c r="M800">
        <f>IF($X800="","",IF(NOT(COUNTIF(기관표[사번키],INDEX(합계표[사번키],$X800))+COUNTIF(월별근무지표[사번키],INDEX(합계표[사번키],$X800))&gt;0),"기관명단에 없음(다른 병원으로 발송)",IF($L800="서울병원","해당",IF(N($R800)&gt;0,"해당(말일 근무)",IF($L800="—","대상월 기관명단 없음(추가 필요)","비해당")))))</f>
        <v/>
      </c>
      <c r="N800" s="20">
        <f>IF($X800="","",SUMIFS(상세표[06~07시],상세표[사번키],INDEX(합계표[사번키],$X800),상세표[반영월],대상월키,상세표[반영 기관],"서울병원"))</f>
        <v/>
      </c>
      <c r="O800" s="20">
        <f>IF($X800="","",SUMIFS(상세표[07~18시],상세표[사번키],INDEX(합계표[사번키],$X800),상세표[반영월],대상월키,상세표[반영 기관],"서울병원"))</f>
        <v/>
      </c>
      <c r="P800" s="20">
        <f>IF($X800="","",SUMIFS(상세표[18~22시],상세표[사번키],INDEX(합계표[사번키],$X800),상세표[반영월],대상월키,상세표[반영 기관],"서울병원"))</f>
        <v/>
      </c>
      <c r="Q800" s="20">
        <f>IF($X800="","",SUMIFS(상세표[22~06시],상세표[사번키],INDEX(합계표[사번키],$X800),상세표[반영월],대상월키,상세표[반영 기관],"서울병원"))</f>
        <v/>
      </c>
      <c r="R800" s="20">
        <f>IF($X800="","",SUM($N800:$Q800))</f>
        <v/>
      </c>
      <c r="S800">
        <f>IF($X800="","",COUNTIFS(상세표[사번키],INDEX(합계표[사번키],$X800),상세표[반영월],대상월키,상세표[야간당직],1,상세표[야간 구분],"평일"))</f>
        <v/>
      </c>
      <c r="T800">
        <f>IF($X800="","",COUNTIFS(상세표[사번키],INDEX(합계표[사번키],$X800),상세표[반영월],대상월키,상세표[야간당직],1,상세표[야간 구분],"휴일"))</f>
        <v/>
      </c>
      <c r="U800">
        <f>IF($X800="","",COUNTIFS(상세표[사번키],INDEX(합계표[사번키],$X800),상세표[반영월],대상월키,상세표[야간당직],1,상세표[야간 구분],"평일",상세표[반영 기관],"서울병원"))</f>
        <v/>
      </c>
      <c r="V800">
        <f>IF($X800="","",COUNTIFS(상세표[사번키],INDEX(합계표[사번키],$X800),상세표[반영월],대상월키,상세표[야간당직],1,상세표[야간 구분],"휴일",상세표[반영 기관],"서울병원"))</f>
        <v/>
      </c>
      <c r="W800">
        <f>IF($X800="","",IF(ISNUMBER(MATCH(INDEX(합계표[사번키],$X800)&amp;"|"&amp;대상월키,월별근무지표[키],0)),"직접 입력",IF($L800="—","—","기관명단")))</f>
        <v/>
      </c>
      <c r="X800" s="4">
        <f>IFERROR(MATCH(795,합계표[판정순번],0),"")</f>
        <v/>
      </c>
    </row>
    <row r="801">
      <c r="A801">
        <f>IF($X801="","",INDEX(합계표[사번],$X801)&amp;"")</f>
        <v/>
      </c>
      <c r="B801">
        <f>IF($X801="","",INDEX(합계표[성명],$X801)&amp;"")</f>
        <v/>
      </c>
      <c r="C801">
        <f>IF($X801="","",INDEX(합계표[부서],$X801)&amp;"")</f>
        <v/>
      </c>
      <c r="D801">
        <f>IF($X801="","",INDEX(합계표[직위(요약)],$X801)&amp;"")</f>
        <v/>
      </c>
      <c r="E801">
        <f>IF($X801="","",INDEX(합계표[직급 공존],$X801)&amp;"")</f>
        <v/>
      </c>
      <c r="F801" s="20">
        <f>IF($X801="","",SUMIFS(합계표[시스템 합계],합계표[사번키],INDEX(합계표[사번키],$X801)))</f>
        <v/>
      </c>
      <c r="G801" s="20">
        <f>IF($X801="","",SUMIFS(상세표[기록 시간외],상세표[사번키],INDEX(합계표[사번키],$X801),상세표[기록월],대상월키))</f>
        <v/>
      </c>
      <c r="H801">
        <f>IF($X801="","",IF(ABS($F801-$G801)&lt;0.01,"일치","불일치(차이 "&amp;TEXT($G801-$F801,"0.00")&amp;")"))</f>
        <v/>
      </c>
      <c r="I801" s="20">
        <f>IF($X801="","",SUMIFS(상세표[기록 시간외],상세표[사번키],INDEX(합계표[사번키],$X801),상세표[기록월],대상월키,상세표[반영월],"&lt;&gt;"&amp;대상월키))</f>
        <v/>
      </c>
      <c r="J801" s="20">
        <f>IF($X801="","",SUMIFS(상세표[기록 시간외],상세표[사번키],INDEX(합계표[사번키],$X801),상세표[기록월],"&lt;&gt;"&amp;대상월키,상세표[반영월],대상월키))</f>
        <v/>
      </c>
      <c r="K801" s="20">
        <f>IF($X801="","",SUMIFS(상세표[기록 시간외],상세표[사번키],INDEX(합계표[사번키],$X801),상세표[반영월],대상월키))</f>
        <v/>
      </c>
      <c r="L801">
        <f>IF($X801="","",IFERROR(INDEX(월별근무지표[적용 급여병원],MATCH(INDEX(합계표[사번키],$X801)&amp;"|"&amp;대상월키,월별근무지표[키],0))&amp;"",IF(COUNTIF(기관표[사번키],INDEX(합계표[사번키],$X801))+COUNTIF(월별근무지표[사번키],INDEX(합계표[사번키],$X801))&gt;0,IFERROR(INDEX(기관표[급여지급병원(기준월)],MATCH(INDEX(합계표[사번키],$X801)&amp;"|"&amp;대상월키,기관표[키],0))&amp;"","—"),"—")))</f>
        <v/>
      </c>
      <c r="M801">
        <f>IF($X801="","",IF(NOT(COUNTIF(기관표[사번키],INDEX(합계표[사번키],$X801))+COUNTIF(월별근무지표[사번키],INDEX(합계표[사번키],$X801))&gt;0),"기관명단에 없음(다른 병원으로 발송)",IF($L801="서울병원","해당",IF(N($R801)&gt;0,"해당(말일 근무)",IF($L801="—","대상월 기관명단 없음(추가 필요)","비해당")))))</f>
        <v/>
      </c>
      <c r="N801" s="20">
        <f>IF($X801="","",SUMIFS(상세표[06~07시],상세표[사번키],INDEX(합계표[사번키],$X801),상세표[반영월],대상월키,상세표[반영 기관],"서울병원"))</f>
        <v/>
      </c>
      <c r="O801" s="20">
        <f>IF($X801="","",SUMIFS(상세표[07~18시],상세표[사번키],INDEX(합계표[사번키],$X801),상세표[반영월],대상월키,상세표[반영 기관],"서울병원"))</f>
        <v/>
      </c>
      <c r="P801" s="20">
        <f>IF($X801="","",SUMIFS(상세표[18~22시],상세표[사번키],INDEX(합계표[사번키],$X801),상세표[반영월],대상월키,상세표[반영 기관],"서울병원"))</f>
        <v/>
      </c>
      <c r="Q801" s="20">
        <f>IF($X801="","",SUMIFS(상세표[22~06시],상세표[사번키],INDEX(합계표[사번키],$X801),상세표[반영월],대상월키,상세표[반영 기관],"서울병원"))</f>
        <v/>
      </c>
      <c r="R801" s="20">
        <f>IF($X801="","",SUM($N801:$Q801))</f>
        <v/>
      </c>
      <c r="S801">
        <f>IF($X801="","",COUNTIFS(상세표[사번키],INDEX(합계표[사번키],$X801),상세표[반영월],대상월키,상세표[야간당직],1,상세표[야간 구분],"평일"))</f>
        <v/>
      </c>
      <c r="T801">
        <f>IF($X801="","",COUNTIFS(상세표[사번키],INDEX(합계표[사번키],$X801),상세표[반영월],대상월키,상세표[야간당직],1,상세표[야간 구분],"휴일"))</f>
        <v/>
      </c>
      <c r="U801">
        <f>IF($X801="","",COUNTIFS(상세표[사번키],INDEX(합계표[사번키],$X801),상세표[반영월],대상월키,상세표[야간당직],1,상세표[야간 구분],"평일",상세표[반영 기관],"서울병원"))</f>
        <v/>
      </c>
      <c r="V801">
        <f>IF($X801="","",COUNTIFS(상세표[사번키],INDEX(합계표[사번키],$X801),상세표[반영월],대상월키,상세표[야간당직],1,상세표[야간 구분],"휴일",상세표[반영 기관],"서울병원"))</f>
        <v/>
      </c>
      <c r="W801">
        <f>IF($X801="","",IF(ISNUMBER(MATCH(INDEX(합계표[사번키],$X801)&amp;"|"&amp;대상월키,월별근무지표[키],0)),"직접 입력",IF($L801="—","—","기관명단")))</f>
        <v/>
      </c>
      <c r="X801" s="4">
        <f>IFERROR(MATCH(796,합계표[판정순번],0),"")</f>
        <v/>
      </c>
    </row>
    <row r="802">
      <c r="A802">
        <f>IF($X802="","",INDEX(합계표[사번],$X802)&amp;"")</f>
        <v/>
      </c>
      <c r="B802">
        <f>IF($X802="","",INDEX(합계표[성명],$X802)&amp;"")</f>
        <v/>
      </c>
      <c r="C802">
        <f>IF($X802="","",INDEX(합계표[부서],$X802)&amp;"")</f>
        <v/>
      </c>
      <c r="D802">
        <f>IF($X802="","",INDEX(합계표[직위(요약)],$X802)&amp;"")</f>
        <v/>
      </c>
      <c r="E802">
        <f>IF($X802="","",INDEX(합계표[직급 공존],$X802)&amp;"")</f>
        <v/>
      </c>
      <c r="F802" s="20">
        <f>IF($X802="","",SUMIFS(합계표[시스템 합계],합계표[사번키],INDEX(합계표[사번키],$X802)))</f>
        <v/>
      </c>
      <c r="G802" s="20">
        <f>IF($X802="","",SUMIFS(상세표[기록 시간외],상세표[사번키],INDEX(합계표[사번키],$X802),상세표[기록월],대상월키))</f>
        <v/>
      </c>
      <c r="H802">
        <f>IF($X802="","",IF(ABS($F802-$G802)&lt;0.01,"일치","불일치(차이 "&amp;TEXT($G802-$F802,"0.00")&amp;")"))</f>
        <v/>
      </c>
      <c r="I802" s="20">
        <f>IF($X802="","",SUMIFS(상세표[기록 시간외],상세표[사번키],INDEX(합계표[사번키],$X802),상세표[기록월],대상월키,상세표[반영월],"&lt;&gt;"&amp;대상월키))</f>
        <v/>
      </c>
      <c r="J802" s="20">
        <f>IF($X802="","",SUMIFS(상세표[기록 시간외],상세표[사번키],INDEX(합계표[사번키],$X802),상세표[기록월],"&lt;&gt;"&amp;대상월키,상세표[반영월],대상월키))</f>
        <v/>
      </c>
      <c r="K802" s="20">
        <f>IF($X802="","",SUMIFS(상세표[기록 시간외],상세표[사번키],INDEX(합계표[사번키],$X802),상세표[반영월],대상월키))</f>
        <v/>
      </c>
      <c r="L802">
        <f>IF($X802="","",IFERROR(INDEX(월별근무지표[적용 급여병원],MATCH(INDEX(합계표[사번키],$X802)&amp;"|"&amp;대상월키,월별근무지표[키],0))&amp;"",IF(COUNTIF(기관표[사번키],INDEX(합계표[사번키],$X802))+COUNTIF(월별근무지표[사번키],INDEX(합계표[사번키],$X802))&gt;0,IFERROR(INDEX(기관표[급여지급병원(기준월)],MATCH(INDEX(합계표[사번키],$X802)&amp;"|"&amp;대상월키,기관표[키],0))&amp;"","—"),"—")))</f>
        <v/>
      </c>
      <c r="M802">
        <f>IF($X802="","",IF(NOT(COUNTIF(기관표[사번키],INDEX(합계표[사번키],$X802))+COUNTIF(월별근무지표[사번키],INDEX(합계표[사번키],$X802))&gt;0),"기관명단에 없음(다른 병원으로 발송)",IF($L802="서울병원","해당",IF(N($R802)&gt;0,"해당(말일 근무)",IF($L802="—","대상월 기관명단 없음(추가 필요)","비해당")))))</f>
        <v/>
      </c>
      <c r="N802" s="20">
        <f>IF($X802="","",SUMIFS(상세표[06~07시],상세표[사번키],INDEX(합계표[사번키],$X802),상세표[반영월],대상월키,상세표[반영 기관],"서울병원"))</f>
        <v/>
      </c>
      <c r="O802" s="20">
        <f>IF($X802="","",SUMIFS(상세표[07~18시],상세표[사번키],INDEX(합계표[사번키],$X802),상세표[반영월],대상월키,상세표[반영 기관],"서울병원"))</f>
        <v/>
      </c>
      <c r="P802" s="20">
        <f>IF($X802="","",SUMIFS(상세표[18~22시],상세표[사번키],INDEX(합계표[사번키],$X802),상세표[반영월],대상월키,상세표[반영 기관],"서울병원"))</f>
        <v/>
      </c>
      <c r="Q802" s="20">
        <f>IF($X802="","",SUMIFS(상세표[22~06시],상세표[사번키],INDEX(합계표[사번키],$X802),상세표[반영월],대상월키,상세표[반영 기관],"서울병원"))</f>
        <v/>
      </c>
      <c r="R802" s="20">
        <f>IF($X802="","",SUM($N802:$Q802))</f>
        <v/>
      </c>
      <c r="S802">
        <f>IF($X802="","",COUNTIFS(상세표[사번키],INDEX(합계표[사번키],$X802),상세표[반영월],대상월키,상세표[야간당직],1,상세표[야간 구분],"평일"))</f>
        <v/>
      </c>
      <c r="T802">
        <f>IF($X802="","",COUNTIFS(상세표[사번키],INDEX(합계표[사번키],$X802),상세표[반영월],대상월키,상세표[야간당직],1,상세표[야간 구분],"휴일"))</f>
        <v/>
      </c>
      <c r="U802">
        <f>IF($X802="","",COUNTIFS(상세표[사번키],INDEX(합계표[사번키],$X802),상세표[반영월],대상월키,상세표[야간당직],1,상세표[야간 구분],"평일",상세표[반영 기관],"서울병원"))</f>
        <v/>
      </c>
      <c r="V802">
        <f>IF($X802="","",COUNTIFS(상세표[사번키],INDEX(합계표[사번키],$X802),상세표[반영월],대상월키,상세표[야간당직],1,상세표[야간 구분],"휴일",상세표[반영 기관],"서울병원"))</f>
        <v/>
      </c>
      <c r="W802">
        <f>IF($X802="","",IF(ISNUMBER(MATCH(INDEX(합계표[사번키],$X802)&amp;"|"&amp;대상월키,월별근무지표[키],0)),"직접 입력",IF($L802="—","—","기관명단")))</f>
        <v/>
      </c>
      <c r="X802" s="4">
        <f>IFERROR(MATCH(797,합계표[판정순번],0),"")</f>
        <v/>
      </c>
    </row>
    <row r="803">
      <c r="A803">
        <f>IF($X803="","",INDEX(합계표[사번],$X803)&amp;"")</f>
        <v/>
      </c>
      <c r="B803">
        <f>IF($X803="","",INDEX(합계표[성명],$X803)&amp;"")</f>
        <v/>
      </c>
      <c r="C803">
        <f>IF($X803="","",INDEX(합계표[부서],$X803)&amp;"")</f>
        <v/>
      </c>
      <c r="D803">
        <f>IF($X803="","",INDEX(합계표[직위(요약)],$X803)&amp;"")</f>
        <v/>
      </c>
      <c r="E803">
        <f>IF($X803="","",INDEX(합계표[직급 공존],$X803)&amp;"")</f>
        <v/>
      </c>
      <c r="F803" s="20">
        <f>IF($X803="","",SUMIFS(합계표[시스템 합계],합계표[사번키],INDEX(합계표[사번키],$X803)))</f>
        <v/>
      </c>
      <c r="G803" s="20">
        <f>IF($X803="","",SUMIFS(상세표[기록 시간외],상세표[사번키],INDEX(합계표[사번키],$X803),상세표[기록월],대상월키))</f>
        <v/>
      </c>
      <c r="H803">
        <f>IF($X803="","",IF(ABS($F803-$G803)&lt;0.01,"일치","불일치(차이 "&amp;TEXT($G803-$F803,"0.00")&amp;")"))</f>
        <v/>
      </c>
      <c r="I803" s="20">
        <f>IF($X803="","",SUMIFS(상세표[기록 시간외],상세표[사번키],INDEX(합계표[사번키],$X803),상세표[기록월],대상월키,상세표[반영월],"&lt;&gt;"&amp;대상월키))</f>
        <v/>
      </c>
      <c r="J803" s="20">
        <f>IF($X803="","",SUMIFS(상세표[기록 시간외],상세표[사번키],INDEX(합계표[사번키],$X803),상세표[기록월],"&lt;&gt;"&amp;대상월키,상세표[반영월],대상월키))</f>
        <v/>
      </c>
      <c r="K803" s="20">
        <f>IF($X803="","",SUMIFS(상세표[기록 시간외],상세표[사번키],INDEX(합계표[사번키],$X803),상세표[반영월],대상월키))</f>
        <v/>
      </c>
      <c r="L803">
        <f>IF($X803="","",IFERROR(INDEX(월별근무지표[적용 급여병원],MATCH(INDEX(합계표[사번키],$X803)&amp;"|"&amp;대상월키,월별근무지표[키],0))&amp;"",IF(COUNTIF(기관표[사번키],INDEX(합계표[사번키],$X803))+COUNTIF(월별근무지표[사번키],INDEX(합계표[사번키],$X803))&gt;0,IFERROR(INDEX(기관표[급여지급병원(기준월)],MATCH(INDEX(합계표[사번키],$X803)&amp;"|"&amp;대상월키,기관표[키],0))&amp;"","—"),"—")))</f>
        <v/>
      </c>
      <c r="M803">
        <f>IF($X803="","",IF(NOT(COUNTIF(기관표[사번키],INDEX(합계표[사번키],$X803))+COUNTIF(월별근무지표[사번키],INDEX(합계표[사번키],$X803))&gt;0),"기관명단에 없음(다른 병원으로 발송)",IF($L803="서울병원","해당",IF(N($R803)&gt;0,"해당(말일 근무)",IF($L803="—","대상월 기관명단 없음(추가 필요)","비해당")))))</f>
        <v/>
      </c>
      <c r="N803" s="20">
        <f>IF($X803="","",SUMIFS(상세표[06~07시],상세표[사번키],INDEX(합계표[사번키],$X803),상세표[반영월],대상월키,상세표[반영 기관],"서울병원"))</f>
        <v/>
      </c>
      <c r="O803" s="20">
        <f>IF($X803="","",SUMIFS(상세표[07~18시],상세표[사번키],INDEX(합계표[사번키],$X803),상세표[반영월],대상월키,상세표[반영 기관],"서울병원"))</f>
        <v/>
      </c>
      <c r="P803" s="20">
        <f>IF($X803="","",SUMIFS(상세표[18~22시],상세표[사번키],INDEX(합계표[사번키],$X803),상세표[반영월],대상월키,상세표[반영 기관],"서울병원"))</f>
        <v/>
      </c>
      <c r="Q803" s="20">
        <f>IF($X803="","",SUMIFS(상세표[22~06시],상세표[사번키],INDEX(합계표[사번키],$X803),상세표[반영월],대상월키,상세표[반영 기관],"서울병원"))</f>
        <v/>
      </c>
      <c r="R803" s="20">
        <f>IF($X803="","",SUM($N803:$Q803))</f>
        <v/>
      </c>
      <c r="S803">
        <f>IF($X803="","",COUNTIFS(상세표[사번키],INDEX(합계표[사번키],$X803),상세표[반영월],대상월키,상세표[야간당직],1,상세표[야간 구분],"평일"))</f>
        <v/>
      </c>
      <c r="T803">
        <f>IF($X803="","",COUNTIFS(상세표[사번키],INDEX(합계표[사번키],$X803),상세표[반영월],대상월키,상세표[야간당직],1,상세표[야간 구분],"휴일"))</f>
        <v/>
      </c>
      <c r="U803">
        <f>IF($X803="","",COUNTIFS(상세표[사번키],INDEX(합계표[사번키],$X803),상세표[반영월],대상월키,상세표[야간당직],1,상세표[야간 구분],"평일",상세표[반영 기관],"서울병원"))</f>
        <v/>
      </c>
      <c r="V803">
        <f>IF($X803="","",COUNTIFS(상세표[사번키],INDEX(합계표[사번키],$X803),상세표[반영월],대상월키,상세표[야간당직],1,상세표[야간 구분],"휴일",상세표[반영 기관],"서울병원"))</f>
        <v/>
      </c>
      <c r="W803">
        <f>IF($X803="","",IF(ISNUMBER(MATCH(INDEX(합계표[사번키],$X803)&amp;"|"&amp;대상월키,월별근무지표[키],0)),"직접 입력",IF($L803="—","—","기관명단")))</f>
        <v/>
      </c>
      <c r="X803" s="4">
        <f>IFERROR(MATCH(798,합계표[판정순번],0),"")</f>
        <v/>
      </c>
    </row>
    <row r="804">
      <c r="A804">
        <f>IF($X804="","",INDEX(합계표[사번],$X804)&amp;"")</f>
        <v/>
      </c>
      <c r="B804">
        <f>IF($X804="","",INDEX(합계표[성명],$X804)&amp;"")</f>
        <v/>
      </c>
      <c r="C804">
        <f>IF($X804="","",INDEX(합계표[부서],$X804)&amp;"")</f>
        <v/>
      </c>
      <c r="D804">
        <f>IF($X804="","",INDEX(합계표[직위(요약)],$X804)&amp;"")</f>
        <v/>
      </c>
      <c r="E804">
        <f>IF($X804="","",INDEX(합계표[직급 공존],$X804)&amp;"")</f>
        <v/>
      </c>
      <c r="F804" s="20">
        <f>IF($X804="","",SUMIFS(합계표[시스템 합계],합계표[사번키],INDEX(합계표[사번키],$X804)))</f>
        <v/>
      </c>
      <c r="G804" s="20">
        <f>IF($X804="","",SUMIFS(상세표[기록 시간외],상세표[사번키],INDEX(합계표[사번키],$X804),상세표[기록월],대상월키))</f>
        <v/>
      </c>
      <c r="H804">
        <f>IF($X804="","",IF(ABS($F804-$G804)&lt;0.01,"일치","불일치(차이 "&amp;TEXT($G804-$F804,"0.00")&amp;")"))</f>
        <v/>
      </c>
      <c r="I804" s="20">
        <f>IF($X804="","",SUMIFS(상세표[기록 시간외],상세표[사번키],INDEX(합계표[사번키],$X804),상세표[기록월],대상월키,상세표[반영월],"&lt;&gt;"&amp;대상월키))</f>
        <v/>
      </c>
      <c r="J804" s="20">
        <f>IF($X804="","",SUMIFS(상세표[기록 시간외],상세표[사번키],INDEX(합계표[사번키],$X804),상세표[기록월],"&lt;&gt;"&amp;대상월키,상세표[반영월],대상월키))</f>
        <v/>
      </c>
      <c r="K804" s="20">
        <f>IF($X804="","",SUMIFS(상세표[기록 시간외],상세표[사번키],INDEX(합계표[사번키],$X804),상세표[반영월],대상월키))</f>
        <v/>
      </c>
      <c r="L804">
        <f>IF($X804="","",IFERROR(INDEX(월별근무지표[적용 급여병원],MATCH(INDEX(합계표[사번키],$X804)&amp;"|"&amp;대상월키,월별근무지표[키],0))&amp;"",IF(COUNTIF(기관표[사번키],INDEX(합계표[사번키],$X804))+COUNTIF(월별근무지표[사번키],INDEX(합계표[사번키],$X804))&gt;0,IFERROR(INDEX(기관표[급여지급병원(기준월)],MATCH(INDEX(합계표[사번키],$X804)&amp;"|"&amp;대상월키,기관표[키],0))&amp;"","—"),"—")))</f>
        <v/>
      </c>
      <c r="M804">
        <f>IF($X804="","",IF(NOT(COUNTIF(기관표[사번키],INDEX(합계표[사번키],$X804))+COUNTIF(월별근무지표[사번키],INDEX(합계표[사번키],$X804))&gt;0),"기관명단에 없음(다른 병원으로 발송)",IF($L804="서울병원","해당",IF(N($R804)&gt;0,"해당(말일 근무)",IF($L804="—","대상월 기관명단 없음(추가 필요)","비해당")))))</f>
        <v/>
      </c>
      <c r="N804" s="20">
        <f>IF($X804="","",SUMIFS(상세표[06~07시],상세표[사번키],INDEX(합계표[사번키],$X804),상세표[반영월],대상월키,상세표[반영 기관],"서울병원"))</f>
        <v/>
      </c>
      <c r="O804" s="20">
        <f>IF($X804="","",SUMIFS(상세표[07~18시],상세표[사번키],INDEX(합계표[사번키],$X804),상세표[반영월],대상월키,상세표[반영 기관],"서울병원"))</f>
        <v/>
      </c>
      <c r="P804" s="20">
        <f>IF($X804="","",SUMIFS(상세표[18~22시],상세표[사번키],INDEX(합계표[사번키],$X804),상세표[반영월],대상월키,상세표[반영 기관],"서울병원"))</f>
        <v/>
      </c>
      <c r="Q804" s="20">
        <f>IF($X804="","",SUMIFS(상세표[22~06시],상세표[사번키],INDEX(합계표[사번키],$X804),상세표[반영월],대상월키,상세표[반영 기관],"서울병원"))</f>
        <v/>
      </c>
      <c r="R804" s="20">
        <f>IF($X804="","",SUM($N804:$Q804))</f>
        <v/>
      </c>
      <c r="S804">
        <f>IF($X804="","",COUNTIFS(상세표[사번키],INDEX(합계표[사번키],$X804),상세표[반영월],대상월키,상세표[야간당직],1,상세표[야간 구분],"평일"))</f>
        <v/>
      </c>
      <c r="T804">
        <f>IF($X804="","",COUNTIFS(상세표[사번키],INDEX(합계표[사번키],$X804),상세표[반영월],대상월키,상세표[야간당직],1,상세표[야간 구분],"휴일"))</f>
        <v/>
      </c>
      <c r="U804">
        <f>IF($X804="","",COUNTIFS(상세표[사번키],INDEX(합계표[사번키],$X804),상세표[반영월],대상월키,상세표[야간당직],1,상세표[야간 구분],"평일",상세표[반영 기관],"서울병원"))</f>
        <v/>
      </c>
      <c r="V804">
        <f>IF($X804="","",COUNTIFS(상세표[사번키],INDEX(합계표[사번키],$X804),상세표[반영월],대상월키,상세표[야간당직],1,상세표[야간 구분],"휴일",상세표[반영 기관],"서울병원"))</f>
        <v/>
      </c>
      <c r="W804">
        <f>IF($X804="","",IF(ISNUMBER(MATCH(INDEX(합계표[사번키],$X804)&amp;"|"&amp;대상월키,월별근무지표[키],0)),"직접 입력",IF($L804="—","—","기관명단")))</f>
        <v/>
      </c>
      <c r="X804" s="4">
        <f>IFERROR(MATCH(799,합계표[판정순번],0),"")</f>
        <v/>
      </c>
    </row>
    <row r="805">
      <c r="A805">
        <f>IF($X805="","",INDEX(합계표[사번],$X805)&amp;"")</f>
        <v/>
      </c>
      <c r="B805">
        <f>IF($X805="","",INDEX(합계표[성명],$X805)&amp;"")</f>
        <v/>
      </c>
      <c r="C805">
        <f>IF($X805="","",INDEX(합계표[부서],$X805)&amp;"")</f>
        <v/>
      </c>
      <c r="D805">
        <f>IF($X805="","",INDEX(합계표[직위(요약)],$X805)&amp;"")</f>
        <v/>
      </c>
      <c r="E805">
        <f>IF($X805="","",INDEX(합계표[직급 공존],$X805)&amp;"")</f>
        <v/>
      </c>
      <c r="F805" s="20">
        <f>IF($X805="","",SUMIFS(합계표[시스템 합계],합계표[사번키],INDEX(합계표[사번키],$X805)))</f>
        <v/>
      </c>
      <c r="G805" s="20">
        <f>IF($X805="","",SUMIFS(상세표[기록 시간외],상세표[사번키],INDEX(합계표[사번키],$X805),상세표[기록월],대상월키))</f>
        <v/>
      </c>
      <c r="H805">
        <f>IF($X805="","",IF(ABS($F805-$G805)&lt;0.01,"일치","불일치(차이 "&amp;TEXT($G805-$F805,"0.00")&amp;")"))</f>
        <v/>
      </c>
      <c r="I805" s="20">
        <f>IF($X805="","",SUMIFS(상세표[기록 시간외],상세표[사번키],INDEX(합계표[사번키],$X805),상세표[기록월],대상월키,상세표[반영월],"&lt;&gt;"&amp;대상월키))</f>
        <v/>
      </c>
      <c r="J805" s="20">
        <f>IF($X805="","",SUMIFS(상세표[기록 시간외],상세표[사번키],INDEX(합계표[사번키],$X805),상세표[기록월],"&lt;&gt;"&amp;대상월키,상세표[반영월],대상월키))</f>
        <v/>
      </c>
      <c r="K805" s="20">
        <f>IF($X805="","",SUMIFS(상세표[기록 시간외],상세표[사번키],INDEX(합계표[사번키],$X805),상세표[반영월],대상월키))</f>
        <v/>
      </c>
      <c r="L805">
        <f>IF($X805="","",IFERROR(INDEX(월별근무지표[적용 급여병원],MATCH(INDEX(합계표[사번키],$X805)&amp;"|"&amp;대상월키,월별근무지표[키],0))&amp;"",IF(COUNTIF(기관표[사번키],INDEX(합계표[사번키],$X805))+COUNTIF(월별근무지표[사번키],INDEX(합계표[사번키],$X805))&gt;0,IFERROR(INDEX(기관표[급여지급병원(기준월)],MATCH(INDEX(합계표[사번키],$X805)&amp;"|"&amp;대상월키,기관표[키],0))&amp;"","—"),"—")))</f>
        <v/>
      </c>
      <c r="M805">
        <f>IF($X805="","",IF(NOT(COUNTIF(기관표[사번키],INDEX(합계표[사번키],$X805))+COUNTIF(월별근무지표[사번키],INDEX(합계표[사번키],$X805))&gt;0),"기관명단에 없음(다른 병원으로 발송)",IF($L805="서울병원","해당",IF(N($R805)&gt;0,"해당(말일 근무)",IF($L805="—","대상월 기관명단 없음(추가 필요)","비해당")))))</f>
        <v/>
      </c>
      <c r="N805" s="20">
        <f>IF($X805="","",SUMIFS(상세표[06~07시],상세표[사번키],INDEX(합계표[사번키],$X805),상세표[반영월],대상월키,상세표[반영 기관],"서울병원"))</f>
        <v/>
      </c>
      <c r="O805" s="20">
        <f>IF($X805="","",SUMIFS(상세표[07~18시],상세표[사번키],INDEX(합계표[사번키],$X805),상세표[반영월],대상월키,상세표[반영 기관],"서울병원"))</f>
        <v/>
      </c>
      <c r="P805" s="20">
        <f>IF($X805="","",SUMIFS(상세표[18~22시],상세표[사번키],INDEX(합계표[사번키],$X805),상세표[반영월],대상월키,상세표[반영 기관],"서울병원"))</f>
        <v/>
      </c>
      <c r="Q805" s="20">
        <f>IF($X805="","",SUMIFS(상세표[22~06시],상세표[사번키],INDEX(합계표[사번키],$X805),상세표[반영월],대상월키,상세표[반영 기관],"서울병원"))</f>
        <v/>
      </c>
      <c r="R805" s="20">
        <f>IF($X805="","",SUM($N805:$Q805))</f>
        <v/>
      </c>
      <c r="S805">
        <f>IF($X805="","",COUNTIFS(상세표[사번키],INDEX(합계표[사번키],$X805),상세표[반영월],대상월키,상세표[야간당직],1,상세표[야간 구분],"평일"))</f>
        <v/>
      </c>
      <c r="T805">
        <f>IF($X805="","",COUNTIFS(상세표[사번키],INDEX(합계표[사번키],$X805),상세표[반영월],대상월키,상세표[야간당직],1,상세표[야간 구분],"휴일"))</f>
        <v/>
      </c>
      <c r="U805">
        <f>IF($X805="","",COUNTIFS(상세표[사번키],INDEX(합계표[사번키],$X805),상세표[반영월],대상월키,상세표[야간당직],1,상세표[야간 구분],"평일",상세표[반영 기관],"서울병원"))</f>
        <v/>
      </c>
      <c r="V805">
        <f>IF($X805="","",COUNTIFS(상세표[사번키],INDEX(합계표[사번키],$X805),상세표[반영월],대상월키,상세표[야간당직],1,상세표[야간 구분],"휴일",상세표[반영 기관],"서울병원"))</f>
        <v/>
      </c>
      <c r="W805">
        <f>IF($X805="","",IF(ISNUMBER(MATCH(INDEX(합계표[사번키],$X805)&amp;"|"&amp;대상월키,월별근무지표[키],0)),"직접 입력",IF($L805="—","—","기관명단")))</f>
        <v/>
      </c>
      <c r="X805" s="4">
        <f>IFERROR(MATCH(800,합계표[판정순번],0),"")</f>
        <v/>
      </c>
    </row>
    <row r="806">
      <c r="A806">
        <f>IF($X806="","",INDEX(합계표[사번],$X806)&amp;"")</f>
        <v/>
      </c>
      <c r="B806">
        <f>IF($X806="","",INDEX(합계표[성명],$X806)&amp;"")</f>
        <v/>
      </c>
      <c r="C806">
        <f>IF($X806="","",INDEX(합계표[부서],$X806)&amp;"")</f>
        <v/>
      </c>
      <c r="D806">
        <f>IF($X806="","",INDEX(합계표[직위(요약)],$X806)&amp;"")</f>
        <v/>
      </c>
      <c r="E806">
        <f>IF($X806="","",INDEX(합계표[직급 공존],$X806)&amp;"")</f>
        <v/>
      </c>
      <c r="F806" s="20">
        <f>IF($X806="","",SUMIFS(합계표[시스템 합계],합계표[사번키],INDEX(합계표[사번키],$X806)))</f>
        <v/>
      </c>
      <c r="G806" s="20">
        <f>IF($X806="","",SUMIFS(상세표[기록 시간외],상세표[사번키],INDEX(합계표[사번키],$X806),상세표[기록월],대상월키))</f>
        <v/>
      </c>
      <c r="H806">
        <f>IF($X806="","",IF(ABS($F806-$G806)&lt;0.01,"일치","불일치(차이 "&amp;TEXT($G806-$F806,"0.00")&amp;")"))</f>
        <v/>
      </c>
      <c r="I806" s="20">
        <f>IF($X806="","",SUMIFS(상세표[기록 시간외],상세표[사번키],INDEX(합계표[사번키],$X806),상세표[기록월],대상월키,상세표[반영월],"&lt;&gt;"&amp;대상월키))</f>
        <v/>
      </c>
      <c r="J806" s="20">
        <f>IF($X806="","",SUMIFS(상세표[기록 시간외],상세표[사번키],INDEX(합계표[사번키],$X806),상세표[기록월],"&lt;&gt;"&amp;대상월키,상세표[반영월],대상월키))</f>
        <v/>
      </c>
      <c r="K806" s="20">
        <f>IF($X806="","",SUMIFS(상세표[기록 시간외],상세표[사번키],INDEX(합계표[사번키],$X806),상세표[반영월],대상월키))</f>
        <v/>
      </c>
      <c r="L806">
        <f>IF($X806="","",IFERROR(INDEX(월별근무지표[적용 급여병원],MATCH(INDEX(합계표[사번키],$X806)&amp;"|"&amp;대상월키,월별근무지표[키],0))&amp;"",IF(COUNTIF(기관표[사번키],INDEX(합계표[사번키],$X806))+COUNTIF(월별근무지표[사번키],INDEX(합계표[사번키],$X806))&gt;0,IFERROR(INDEX(기관표[급여지급병원(기준월)],MATCH(INDEX(합계표[사번키],$X806)&amp;"|"&amp;대상월키,기관표[키],0))&amp;"","—"),"—")))</f>
        <v/>
      </c>
      <c r="M806">
        <f>IF($X806="","",IF(NOT(COUNTIF(기관표[사번키],INDEX(합계표[사번키],$X806))+COUNTIF(월별근무지표[사번키],INDEX(합계표[사번키],$X806))&gt;0),"기관명단에 없음(다른 병원으로 발송)",IF($L806="서울병원","해당",IF(N($R806)&gt;0,"해당(말일 근무)",IF($L806="—","대상월 기관명단 없음(추가 필요)","비해당")))))</f>
        <v/>
      </c>
      <c r="N806" s="20">
        <f>IF($X806="","",SUMIFS(상세표[06~07시],상세표[사번키],INDEX(합계표[사번키],$X806),상세표[반영월],대상월키,상세표[반영 기관],"서울병원"))</f>
        <v/>
      </c>
      <c r="O806" s="20">
        <f>IF($X806="","",SUMIFS(상세표[07~18시],상세표[사번키],INDEX(합계표[사번키],$X806),상세표[반영월],대상월키,상세표[반영 기관],"서울병원"))</f>
        <v/>
      </c>
      <c r="P806" s="20">
        <f>IF($X806="","",SUMIFS(상세표[18~22시],상세표[사번키],INDEX(합계표[사번키],$X806),상세표[반영월],대상월키,상세표[반영 기관],"서울병원"))</f>
        <v/>
      </c>
      <c r="Q806" s="20">
        <f>IF($X806="","",SUMIFS(상세표[22~06시],상세표[사번키],INDEX(합계표[사번키],$X806),상세표[반영월],대상월키,상세표[반영 기관],"서울병원"))</f>
        <v/>
      </c>
      <c r="R806" s="20">
        <f>IF($X806="","",SUM($N806:$Q806))</f>
        <v/>
      </c>
      <c r="S806">
        <f>IF($X806="","",COUNTIFS(상세표[사번키],INDEX(합계표[사번키],$X806),상세표[반영월],대상월키,상세표[야간당직],1,상세표[야간 구분],"평일"))</f>
        <v/>
      </c>
      <c r="T806">
        <f>IF($X806="","",COUNTIFS(상세표[사번키],INDEX(합계표[사번키],$X806),상세표[반영월],대상월키,상세표[야간당직],1,상세표[야간 구분],"휴일"))</f>
        <v/>
      </c>
      <c r="U806">
        <f>IF($X806="","",COUNTIFS(상세표[사번키],INDEX(합계표[사번키],$X806),상세표[반영월],대상월키,상세표[야간당직],1,상세표[야간 구분],"평일",상세표[반영 기관],"서울병원"))</f>
        <v/>
      </c>
      <c r="V806">
        <f>IF($X806="","",COUNTIFS(상세표[사번키],INDEX(합계표[사번키],$X806),상세표[반영월],대상월키,상세표[야간당직],1,상세표[야간 구분],"휴일",상세표[반영 기관],"서울병원"))</f>
        <v/>
      </c>
      <c r="W806">
        <f>IF($X806="","",IF(ISNUMBER(MATCH(INDEX(합계표[사번키],$X806)&amp;"|"&amp;대상월키,월별근무지표[키],0)),"직접 입력",IF($L806="—","—","기관명단")))</f>
        <v/>
      </c>
      <c r="X806" s="4">
        <f>IFERROR(MATCH(801,합계표[판정순번],0),"")</f>
        <v/>
      </c>
    </row>
    <row r="807">
      <c r="A807">
        <f>IF($X807="","",INDEX(합계표[사번],$X807)&amp;"")</f>
        <v/>
      </c>
      <c r="B807">
        <f>IF($X807="","",INDEX(합계표[성명],$X807)&amp;"")</f>
        <v/>
      </c>
      <c r="C807">
        <f>IF($X807="","",INDEX(합계표[부서],$X807)&amp;"")</f>
        <v/>
      </c>
      <c r="D807">
        <f>IF($X807="","",INDEX(합계표[직위(요약)],$X807)&amp;"")</f>
        <v/>
      </c>
      <c r="E807">
        <f>IF($X807="","",INDEX(합계표[직급 공존],$X807)&amp;"")</f>
        <v/>
      </c>
      <c r="F807" s="20">
        <f>IF($X807="","",SUMIFS(합계표[시스템 합계],합계표[사번키],INDEX(합계표[사번키],$X807)))</f>
        <v/>
      </c>
      <c r="G807" s="20">
        <f>IF($X807="","",SUMIFS(상세표[기록 시간외],상세표[사번키],INDEX(합계표[사번키],$X807),상세표[기록월],대상월키))</f>
        <v/>
      </c>
      <c r="H807">
        <f>IF($X807="","",IF(ABS($F807-$G807)&lt;0.01,"일치","불일치(차이 "&amp;TEXT($G807-$F807,"0.00")&amp;")"))</f>
        <v/>
      </c>
      <c r="I807" s="20">
        <f>IF($X807="","",SUMIFS(상세표[기록 시간외],상세표[사번키],INDEX(합계표[사번키],$X807),상세표[기록월],대상월키,상세표[반영월],"&lt;&gt;"&amp;대상월키))</f>
        <v/>
      </c>
      <c r="J807" s="20">
        <f>IF($X807="","",SUMIFS(상세표[기록 시간외],상세표[사번키],INDEX(합계표[사번키],$X807),상세표[기록월],"&lt;&gt;"&amp;대상월키,상세표[반영월],대상월키))</f>
        <v/>
      </c>
      <c r="K807" s="20">
        <f>IF($X807="","",SUMIFS(상세표[기록 시간외],상세표[사번키],INDEX(합계표[사번키],$X807),상세표[반영월],대상월키))</f>
        <v/>
      </c>
      <c r="L807">
        <f>IF($X807="","",IFERROR(INDEX(월별근무지표[적용 급여병원],MATCH(INDEX(합계표[사번키],$X807)&amp;"|"&amp;대상월키,월별근무지표[키],0))&amp;"",IF(COUNTIF(기관표[사번키],INDEX(합계표[사번키],$X807))+COUNTIF(월별근무지표[사번키],INDEX(합계표[사번키],$X807))&gt;0,IFERROR(INDEX(기관표[급여지급병원(기준월)],MATCH(INDEX(합계표[사번키],$X807)&amp;"|"&amp;대상월키,기관표[키],0))&amp;"","—"),"—")))</f>
        <v/>
      </c>
      <c r="M807">
        <f>IF($X807="","",IF(NOT(COUNTIF(기관표[사번키],INDEX(합계표[사번키],$X807))+COUNTIF(월별근무지표[사번키],INDEX(합계표[사번키],$X807))&gt;0),"기관명단에 없음(다른 병원으로 발송)",IF($L807="서울병원","해당",IF(N($R807)&gt;0,"해당(말일 근무)",IF($L807="—","대상월 기관명단 없음(추가 필요)","비해당")))))</f>
        <v/>
      </c>
      <c r="N807" s="20">
        <f>IF($X807="","",SUMIFS(상세표[06~07시],상세표[사번키],INDEX(합계표[사번키],$X807),상세표[반영월],대상월키,상세표[반영 기관],"서울병원"))</f>
        <v/>
      </c>
      <c r="O807" s="20">
        <f>IF($X807="","",SUMIFS(상세표[07~18시],상세표[사번키],INDEX(합계표[사번키],$X807),상세표[반영월],대상월키,상세표[반영 기관],"서울병원"))</f>
        <v/>
      </c>
      <c r="P807" s="20">
        <f>IF($X807="","",SUMIFS(상세표[18~22시],상세표[사번키],INDEX(합계표[사번키],$X807),상세표[반영월],대상월키,상세표[반영 기관],"서울병원"))</f>
        <v/>
      </c>
      <c r="Q807" s="20">
        <f>IF($X807="","",SUMIFS(상세표[22~06시],상세표[사번키],INDEX(합계표[사번키],$X807),상세표[반영월],대상월키,상세표[반영 기관],"서울병원"))</f>
        <v/>
      </c>
      <c r="R807" s="20">
        <f>IF($X807="","",SUM($N807:$Q807))</f>
        <v/>
      </c>
      <c r="S807">
        <f>IF($X807="","",COUNTIFS(상세표[사번키],INDEX(합계표[사번키],$X807),상세표[반영월],대상월키,상세표[야간당직],1,상세표[야간 구분],"평일"))</f>
        <v/>
      </c>
      <c r="T807">
        <f>IF($X807="","",COUNTIFS(상세표[사번키],INDEX(합계표[사번키],$X807),상세표[반영월],대상월키,상세표[야간당직],1,상세표[야간 구분],"휴일"))</f>
        <v/>
      </c>
      <c r="U807">
        <f>IF($X807="","",COUNTIFS(상세표[사번키],INDEX(합계표[사번키],$X807),상세표[반영월],대상월키,상세표[야간당직],1,상세표[야간 구분],"평일",상세표[반영 기관],"서울병원"))</f>
        <v/>
      </c>
      <c r="V807">
        <f>IF($X807="","",COUNTIFS(상세표[사번키],INDEX(합계표[사번키],$X807),상세표[반영월],대상월키,상세표[야간당직],1,상세표[야간 구분],"휴일",상세표[반영 기관],"서울병원"))</f>
        <v/>
      </c>
      <c r="W807">
        <f>IF($X807="","",IF(ISNUMBER(MATCH(INDEX(합계표[사번키],$X807)&amp;"|"&amp;대상월키,월별근무지표[키],0)),"직접 입력",IF($L807="—","—","기관명단")))</f>
        <v/>
      </c>
      <c r="X807" s="4">
        <f>IFERROR(MATCH(802,합계표[판정순번],0),"")</f>
        <v/>
      </c>
    </row>
    <row r="808">
      <c r="A808">
        <f>IF($X808="","",INDEX(합계표[사번],$X808)&amp;"")</f>
        <v/>
      </c>
      <c r="B808">
        <f>IF($X808="","",INDEX(합계표[성명],$X808)&amp;"")</f>
        <v/>
      </c>
      <c r="C808">
        <f>IF($X808="","",INDEX(합계표[부서],$X808)&amp;"")</f>
        <v/>
      </c>
      <c r="D808">
        <f>IF($X808="","",INDEX(합계표[직위(요약)],$X808)&amp;"")</f>
        <v/>
      </c>
      <c r="E808">
        <f>IF($X808="","",INDEX(합계표[직급 공존],$X808)&amp;"")</f>
        <v/>
      </c>
      <c r="F808" s="20">
        <f>IF($X808="","",SUMIFS(합계표[시스템 합계],합계표[사번키],INDEX(합계표[사번키],$X808)))</f>
        <v/>
      </c>
      <c r="G808" s="20">
        <f>IF($X808="","",SUMIFS(상세표[기록 시간외],상세표[사번키],INDEX(합계표[사번키],$X808),상세표[기록월],대상월키))</f>
        <v/>
      </c>
      <c r="H808">
        <f>IF($X808="","",IF(ABS($F808-$G808)&lt;0.01,"일치","불일치(차이 "&amp;TEXT($G808-$F808,"0.00")&amp;")"))</f>
        <v/>
      </c>
      <c r="I808" s="20">
        <f>IF($X808="","",SUMIFS(상세표[기록 시간외],상세표[사번키],INDEX(합계표[사번키],$X808),상세표[기록월],대상월키,상세표[반영월],"&lt;&gt;"&amp;대상월키))</f>
        <v/>
      </c>
      <c r="J808" s="20">
        <f>IF($X808="","",SUMIFS(상세표[기록 시간외],상세표[사번키],INDEX(합계표[사번키],$X808),상세표[기록월],"&lt;&gt;"&amp;대상월키,상세표[반영월],대상월키))</f>
        <v/>
      </c>
      <c r="K808" s="20">
        <f>IF($X808="","",SUMIFS(상세표[기록 시간외],상세표[사번키],INDEX(합계표[사번키],$X808),상세표[반영월],대상월키))</f>
        <v/>
      </c>
      <c r="L808">
        <f>IF($X808="","",IFERROR(INDEX(월별근무지표[적용 급여병원],MATCH(INDEX(합계표[사번키],$X808)&amp;"|"&amp;대상월키,월별근무지표[키],0))&amp;"",IF(COUNTIF(기관표[사번키],INDEX(합계표[사번키],$X808))+COUNTIF(월별근무지표[사번키],INDEX(합계표[사번키],$X808))&gt;0,IFERROR(INDEX(기관표[급여지급병원(기준월)],MATCH(INDEX(합계표[사번키],$X808)&amp;"|"&amp;대상월키,기관표[키],0))&amp;"","—"),"—")))</f>
        <v/>
      </c>
      <c r="M808">
        <f>IF($X808="","",IF(NOT(COUNTIF(기관표[사번키],INDEX(합계표[사번키],$X808))+COUNTIF(월별근무지표[사번키],INDEX(합계표[사번키],$X808))&gt;0),"기관명단에 없음(다른 병원으로 발송)",IF($L808="서울병원","해당",IF(N($R808)&gt;0,"해당(말일 근무)",IF($L808="—","대상월 기관명단 없음(추가 필요)","비해당")))))</f>
        <v/>
      </c>
      <c r="N808" s="20">
        <f>IF($X808="","",SUMIFS(상세표[06~07시],상세표[사번키],INDEX(합계표[사번키],$X808),상세표[반영월],대상월키,상세표[반영 기관],"서울병원"))</f>
        <v/>
      </c>
      <c r="O808" s="20">
        <f>IF($X808="","",SUMIFS(상세표[07~18시],상세표[사번키],INDEX(합계표[사번키],$X808),상세표[반영월],대상월키,상세표[반영 기관],"서울병원"))</f>
        <v/>
      </c>
      <c r="P808" s="20">
        <f>IF($X808="","",SUMIFS(상세표[18~22시],상세표[사번키],INDEX(합계표[사번키],$X808),상세표[반영월],대상월키,상세표[반영 기관],"서울병원"))</f>
        <v/>
      </c>
      <c r="Q808" s="20">
        <f>IF($X808="","",SUMIFS(상세표[22~06시],상세표[사번키],INDEX(합계표[사번키],$X808),상세표[반영월],대상월키,상세표[반영 기관],"서울병원"))</f>
        <v/>
      </c>
      <c r="R808" s="20">
        <f>IF($X808="","",SUM($N808:$Q808))</f>
        <v/>
      </c>
      <c r="S808">
        <f>IF($X808="","",COUNTIFS(상세표[사번키],INDEX(합계표[사번키],$X808),상세표[반영월],대상월키,상세표[야간당직],1,상세표[야간 구분],"평일"))</f>
        <v/>
      </c>
      <c r="T808">
        <f>IF($X808="","",COUNTIFS(상세표[사번키],INDEX(합계표[사번키],$X808),상세표[반영월],대상월키,상세표[야간당직],1,상세표[야간 구분],"휴일"))</f>
        <v/>
      </c>
      <c r="U808">
        <f>IF($X808="","",COUNTIFS(상세표[사번키],INDEX(합계표[사번키],$X808),상세표[반영월],대상월키,상세표[야간당직],1,상세표[야간 구분],"평일",상세표[반영 기관],"서울병원"))</f>
        <v/>
      </c>
      <c r="V808">
        <f>IF($X808="","",COUNTIFS(상세표[사번키],INDEX(합계표[사번키],$X808),상세표[반영월],대상월키,상세표[야간당직],1,상세표[야간 구분],"휴일",상세표[반영 기관],"서울병원"))</f>
        <v/>
      </c>
      <c r="W808">
        <f>IF($X808="","",IF(ISNUMBER(MATCH(INDEX(합계표[사번키],$X808)&amp;"|"&amp;대상월키,월별근무지표[키],0)),"직접 입력",IF($L808="—","—","기관명단")))</f>
        <v/>
      </c>
      <c r="X808" s="4">
        <f>IFERROR(MATCH(803,합계표[판정순번],0),"")</f>
        <v/>
      </c>
    </row>
    <row r="809">
      <c r="A809">
        <f>IF($X809="","",INDEX(합계표[사번],$X809)&amp;"")</f>
        <v/>
      </c>
      <c r="B809">
        <f>IF($X809="","",INDEX(합계표[성명],$X809)&amp;"")</f>
        <v/>
      </c>
      <c r="C809">
        <f>IF($X809="","",INDEX(합계표[부서],$X809)&amp;"")</f>
        <v/>
      </c>
      <c r="D809">
        <f>IF($X809="","",INDEX(합계표[직위(요약)],$X809)&amp;"")</f>
        <v/>
      </c>
      <c r="E809">
        <f>IF($X809="","",INDEX(합계표[직급 공존],$X809)&amp;"")</f>
        <v/>
      </c>
      <c r="F809" s="20">
        <f>IF($X809="","",SUMIFS(합계표[시스템 합계],합계표[사번키],INDEX(합계표[사번키],$X809)))</f>
        <v/>
      </c>
      <c r="G809" s="20">
        <f>IF($X809="","",SUMIFS(상세표[기록 시간외],상세표[사번키],INDEX(합계표[사번키],$X809),상세표[기록월],대상월키))</f>
        <v/>
      </c>
      <c r="H809">
        <f>IF($X809="","",IF(ABS($F809-$G809)&lt;0.01,"일치","불일치(차이 "&amp;TEXT($G809-$F809,"0.00")&amp;")"))</f>
        <v/>
      </c>
      <c r="I809" s="20">
        <f>IF($X809="","",SUMIFS(상세표[기록 시간외],상세표[사번키],INDEX(합계표[사번키],$X809),상세표[기록월],대상월키,상세표[반영월],"&lt;&gt;"&amp;대상월키))</f>
        <v/>
      </c>
      <c r="J809" s="20">
        <f>IF($X809="","",SUMIFS(상세표[기록 시간외],상세표[사번키],INDEX(합계표[사번키],$X809),상세표[기록월],"&lt;&gt;"&amp;대상월키,상세표[반영월],대상월키))</f>
        <v/>
      </c>
      <c r="K809" s="20">
        <f>IF($X809="","",SUMIFS(상세표[기록 시간외],상세표[사번키],INDEX(합계표[사번키],$X809),상세표[반영월],대상월키))</f>
        <v/>
      </c>
      <c r="L809">
        <f>IF($X809="","",IFERROR(INDEX(월별근무지표[적용 급여병원],MATCH(INDEX(합계표[사번키],$X809)&amp;"|"&amp;대상월키,월별근무지표[키],0))&amp;"",IF(COUNTIF(기관표[사번키],INDEX(합계표[사번키],$X809))+COUNTIF(월별근무지표[사번키],INDEX(합계표[사번키],$X809))&gt;0,IFERROR(INDEX(기관표[급여지급병원(기준월)],MATCH(INDEX(합계표[사번키],$X809)&amp;"|"&amp;대상월키,기관표[키],0))&amp;"","—"),"—")))</f>
        <v/>
      </c>
      <c r="M809">
        <f>IF($X809="","",IF(NOT(COUNTIF(기관표[사번키],INDEX(합계표[사번키],$X809))+COUNTIF(월별근무지표[사번키],INDEX(합계표[사번키],$X809))&gt;0),"기관명단에 없음(다른 병원으로 발송)",IF($L809="서울병원","해당",IF(N($R809)&gt;0,"해당(말일 근무)",IF($L809="—","대상월 기관명단 없음(추가 필요)","비해당")))))</f>
        <v/>
      </c>
      <c r="N809" s="20">
        <f>IF($X809="","",SUMIFS(상세표[06~07시],상세표[사번키],INDEX(합계표[사번키],$X809),상세표[반영월],대상월키,상세표[반영 기관],"서울병원"))</f>
        <v/>
      </c>
      <c r="O809" s="20">
        <f>IF($X809="","",SUMIFS(상세표[07~18시],상세표[사번키],INDEX(합계표[사번키],$X809),상세표[반영월],대상월키,상세표[반영 기관],"서울병원"))</f>
        <v/>
      </c>
      <c r="P809" s="20">
        <f>IF($X809="","",SUMIFS(상세표[18~22시],상세표[사번키],INDEX(합계표[사번키],$X809),상세표[반영월],대상월키,상세표[반영 기관],"서울병원"))</f>
        <v/>
      </c>
      <c r="Q809" s="20">
        <f>IF($X809="","",SUMIFS(상세표[22~06시],상세표[사번키],INDEX(합계표[사번키],$X809),상세표[반영월],대상월키,상세표[반영 기관],"서울병원"))</f>
        <v/>
      </c>
      <c r="R809" s="20">
        <f>IF($X809="","",SUM($N809:$Q809))</f>
        <v/>
      </c>
      <c r="S809">
        <f>IF($X809="","",COUNTIFS(상세표[사번키],INDEX(합계표[사번키],$X809),상세표[반영월],대상월키,상세표[야간당직],1,상세표[야간 구분],"평일"))</f>
        <v/>
      </c>
      <c r="T809">
        <f>IF($X809="","",COUNTIFS(상세표[사번키],INDEX(합계표[사번키],$X809),상세표[반영월],대상월키,상세표[야간당직],1,상세표[야간 구분],"휴일"))</f>
        <v/>
      </c>
      <c r="U809">
        <f>IF($X809="","",COUNTIFS(상세표[사번키],INDEX(합계표[사번키],$X809),상세표[반영월],대상월키,상세표[야간당직],1,상세표[야간 구분],"평일",상세표[반영 기관],"서울병원"))</f>
        <v/>
      </c>
      <c r="V809">
        <f>IF($X809="","",COUNTIFS(상세표[사번키],INDEX(합계표[사번키],$X809),상세표[반영월],대상월키,상세표[야간당직],1,상세표[야간 구분],"휴일",상세표[반영 기관],"서울병원"))</f>
        <v/>
      </c>
      <c r="W809">
        <f>IF($X809="","",IF(ISNUMBER(MATCH(INDEX(합계표[사번키],$X809)&amp;"|"&amp;대상월키,월별근무지표[키],0)),"직접 입력",IF($L809="—","—","기관명단")))</f>
        <v/>
      </c>
      <c r="X809" s="4">
        <f>IFERROR(MATCH(804,합계표[판정순번],0),"")</f>
        <v/>
      </c>
    </row>
    <row r="810">
      <c r="A810">
        <f>IF($X810="","",INDEX(합계표[사번],$X810)&amp;"")</f>
        <v/>
      </c>
      <c r="B810">
        <f>IF($X810="","",INDEX(합계표[성명],$X810)&amp;"")</f>
        <v/>
      </c>
      <c r="C810">
        <f>IF($X810="","",INDEX(합계표[부서],$X810)&amp;"")</f>
        <v/>
      </c>
      <c r="D810">
        <f>IF($X810="","",INDEX(합계표[직위(요약)],$X810)&amp;"")</f>
        <v/>
      </c>
      <c r="E810">
        <f>IF($X810="","",INDEX(합계표[직급 공존],$X810)&amp;"")</f>
        <v/>
      </c>
      <c r="F810" s="20">
        <f>IF($X810="","",SUMIFS(합계표[시스템 합계],합계표[사번키],INDEX(합계표[사번키],$X810)))</f>
        <v/>
      </c>
      <c r="G810" s="20">
        <f>IF($X810="","",SUMIFS(상세표[기록 시간외],상세표[사번키],INDEX(합계표[사번키],$X810),상세표[기록월],대상월키))</f>
        <v/>
      </c>
      <c r="H810">
        <f>IF($X810="","",IF(ABS($F810-$G810)&lt;0.01,"일치","불일치(차이 "&amp;TEXT($G810-$F810,"0.00")&amp;")"))</f>
        <v/>
      </c>
      <c r="I810" s="20">
        <f>IF($X810="","",SUMIFS(상세표[기록 시간외],상세표[사번키],INDEX(합계표[사번키],$X810),상세표[기록월],대상월키,상세표[반영월],"&lt;&gt;"&amp;대상월키))</f>
        <v/>
      </c>
      <c r="J810" s="20">
        <f>IF($X810="","",SUMIFS(상세표[기록 시간외],상세표[사번키],INDEX(합계표[사번키],$X810),상세표[기록월],"&lt;&gt;"&amp;대상월키,상세표[반영월],대상월키))</f>
        <v/>
      </c>
      <c r="K810" s="20">
        <f>IF($X810="","",SUMIFS(상세표[기록 시간외],상세표[사번키],INDEX(합계표[사번키],$X810),상세표[반영월],대상월키))</f>
        <v/>
      </c>
      <c r="L810">
        <f>IF($X810="","",IFERROR(INDEX(월별근무지표[적용 급여병원],MATCH(INDEX(합계표[사번키],$X810)&amp;"|"&amp;대상월키,월별근무지표[키],0))&amp;"",IF(COUNTIF(기관표[사번키],INDEX(합계표[사번키],$X810))+COUNTIF(월별근무지표[사번키],INDEX(합계표[사번키],$X810))&gt;0,IFERROR(INDEX(기관표[급여지급병원(기준월)],MATCH(INDEX(합계표[사번키],$X810)&amp;"|"&amp;대상월키,기관표[키],0))&amp;"","—"),"—")))</f>
        <v/>
      </c>
      <c r="M810">
        <f>IF($X810="","",IF(NOT(COUNTIF(기관표[사번키],INDEX(합계표[사번키],$X810))+COUNTIF(월별근무지표[사번키],INDEX(합계표[사번키],$X810))&gt;0),"기관명단에 없음(다른 병원으로 발송)",IF($L810="서울병원","해당",IF(N($R810)&gt;0,"해당(말일 근무)",IF($L810="—","대상월 기관명단 없음(추가 필요)","비해당")))))</f>
        <v/>
      </c>
      <c r="N810" s="20">
        <f>IF($X810="","",SUMIFS(상세표[06~07시],상세표[사번키],INDEX(합계표[사번키],$X810),상세표[반영월],대상월키,상세표[반영 기관],"서울병원"))</f>
        <v/>
      </c>
      <c r="O810" s="20">
        <f>IF($X810="","",SUMIFS(상세표[07~18시],상세표[사번키],INDEX(합계표[사번키],$X810),상세표[반영월],대상월키,상세표[반영 기관],"서울병원"))</f>
        <v/>
      </c>
      <c r="P810" s="20">
        <f>IF($X810="","",SUMIFS(상세표[18~22시],상세표[사번키],INDEX(합계표[사번키],$X810),상세표[반영월],대상월키,상세표[반영 기관],"서울병원"))</f>
        <v/>
      </c>
      <c r="Q810" s="20">
        <f>IF($X810="","",SUMIFS(상세표[22~06시],상세표[사번키],INDEX(합계표[사번키],$X810),상세표[반영월],대상월키,상세표[반영 기관],"서울병원"))</f>
        <v/>
      </c>
      <c r="R810" s="20">
        <f>IF($X810="","",SUM($N810:$Q810))</f>
        <v/>
      </c>
      <c r="S810">
        <f>IF($X810="","",COUNTIFS(상세표[사번키],INDEX(합계표[사번키],$X810),상세표[반영월],대상월키,상세표[야간당직],1,상세표[야간 구분],"평일"))</f>
        <v/>
      </c>
      <c r="T810">
        <f>IF($X810="","",COUNTIFS(상세표[사번키],INDEX(합계표[사번키],$X810),상세표[반영월],대상월키,상세표[야간당직],1,상세표[야간 구분],"휴일"))</f>
        <v/>
      </c>
      <c r="U810">
        <f>IF($X810="","",COUNTIFS(상세표[사번키],INDEX(합계표[사번키],$X810),상세표[반영월],대상월키,상세표[야간당직],1,상세표[야간 구분],"평일",상세표[반영 기관],"서울병원"))</f>
        <v/>
      </c>
      <c r="V810">
        <f>IF($X810="","",COUNTIFS(상세표[사번키],INDEX(합계표[사번키],$X810),상세표[반영월],대상월키,상세표[야간당직],1,상세표[야간 구분],"휴일",상세표[반영 기관],"서울병원"))</f>
        <v/>
      </c>
      <c r="W810">
        <f>IF($X810="","",IF(ISNUMBER(MATCH(INDEX(합계표[사번키],$X810)&amp;"|"&amp;대상월키,월별근무지표[키],0)),"직접 입력",IF($L810="—","—","기관명단")))</f>
        <v/>
      </c>
      <c r="X810" s="4">
        <f>IFERROR(MATCH(805,합계표[판정순번],0),"")</f>
        <v/>
      </c>
    </row>
    <row r="811">
      <c r="A811">
        <f>IF($X811="","",INDEX(합계표[사번],$X811)&amp;"")</f>
        <v/>
      </c>
      <c r="B811">
        <f>IF($X811="","",INDEX(합계표[성명],$X811)&amp;"")</f>
        <v/>
      </c>
      <c r="C811">
        <f>IF($X811="","",INDEX(합계표[부서],$X811)&amp;"")</f>
        <v/>
      </c>
      <c r="D811">
        <f>IF($X811="","",INDEX(합계표[직위(요약)],$X811)&amp;"")</f>
        <v/>
      </c>
      <c r="E811">
        <f>IF($X811="","",INDEX(합계표[직급 공존],$X811)&amp;"")</f>
        <v/>
      </c>
      <c r="F811" s="20">
        <f>IF($X811="","",SUMIFS(합계표[시스템 합계],합계표[사번키],INDEX(합계표[사번키],$X811)))</f>
        <v/>
      </c>
      <c r="G811" s="20">
        <f>IF($X811="","",SUMIFS(상세표[기록 시간외],상세표[사번키],INDEX(합계표[사번키],$X811),상세표[기록월],대상월키))</f>
        <v/>
      </c>
      <c r="H811">
        <f>IF($X811="","",IF(ABS($F811-$G811)&lt;0.01,"일치","불일치(차이 "&amp;TEXT($G811-$F811,"0.00")&amp;")"))</f>
        <v/>
      </c>
      <c r="I811" s="20">
        <f>IF($X811="","",SUMIFS(상세표[기록 시간외],상세표[사번키],INDEX(합계표[사번키],$X811),상세표[기록월],대상월키,상세표[반영월],"&lt;&gt;"&amp;대상월키))</f>
        <v/>
      </c>
      <c r="J811" s="20">
        <f>IF($X811="","",SUMIFS(상세표[기록 시간외],상세표[사번키],INDEX(합계표[사번키],$X811),상세표[기록월],"&lt;&gt;"&amp;대상월키,상세표[반영월],대상월키))</f>
        <v/>
      </c>
      <c r="K811" s="20">
        <f>IF($X811="","",SUMIFS(상세표[기록 시간외],상세표[사번키],INDEX(합계표[사번키],$X811),상세표[반영월],대상월키))</f>
        <v/>
      </c>
      <c r="L811">
        <f>IF($X811="","",IFERROR(INDEX(월별근무지표[적용 급여병원],MATCH(INDEX(합계표[사번키],$X811)&amp;"|"&amp;대상월키,월별근무지표[키],0))&amp;"",IF(COUNTIF(기관표[사번키],INDEX(합계표[사번키],$X811))+COUNTIF(월별근무지표[사번키],INDEX(합계표[사번키],$X811))&gt;0,IFERROR(INDEX(기관표[급여지급병원(기준월)],MATCH(INDEX(합계표[사번키],$X811)&amp;"|"&amp;대상월키,기관표[키],0))&amp;"","—"),"—")))</f>
        <v/>
      </c>
      <c r="M811">
        <f>IF($X811="","",IF(NOT(COUNTIF(기관표[사번키],INDEX(합계표[사번키],$X811))+COUNTIF(월별근무지표[사번키],INDEX(합계표[사번키],$X811))&gt;0),"기관명단에 없음(다른 병원으로 발송)",IF($L811="서울병원","해당",IF(N($R811)&gt;0,"해당(말일 근무)",IF($L811="—","대상월 기관명단 없음(추가 필요)","비해당")))))</f>
        <v/>
      </c>
      <c r="N811" s="20">
        <f>IF($X811="","",SUMIFS(상세표[06~07시],상세표[사번키],INDEX(합계표[사번키],$X811),상세표[반영월],대상월키,상세표[반영 기관],"서울병원"))</f>
        <v/>
      </c>
      <c r="O811" s="20">
        <f>IF($X811="","",SUMIFS(상세표[07~18시],상세표[사번키],INDEX(합계표[사번키],$X811),상세표[반영월],대상월키,상세표[반영 기관],"서울병원"))</f>
        <v/>
      </c>
      <c r="P811" s="20">
        <f>IF($X811="","",SUMIFS(상세표[18~22시],상세표[사번키],INDEX(합계표[사번키],$X811),상세표[반영월],대상월키,상세표[반영 기관],"서울병원"))</f>
        <v/>
      </c>
      <c r="Q811" s="20">
        <f>IF($X811="","",SUMIFS(상세표[22~06시],상세표[사번키],INDEX(합계표[사번키],$X811),상세표[반영월],대상월키,상세표[반영 기관],"서울병원"))</f>
        <v/>
      </c>
      <c r="R811" s="20">
        <f>IF($X811="","",SUM($N811:$Q811))</f>
        <v/>
      </c>
      <c r="S811">
        <f>IF($X811="","",COUNTIFS(상세표[사번키],INDEX(합계표[사번키],$X811),상세표[반영월],대상월키,상세표[야간당직],1,상세표[야간 구분],"평일"))</f>
        <v/>
      </c>
      <c r="T811">
        <f>IF($X811="","",COUNTIFS(상세표[사번키],INDEX(합계표[사번키],$X811),상세표[반영월],대상월키,상세표[야간당직],1,상세표[야간 구분],"휴일"))</f>
        <v/>
      </c>
      <c r="U811">
        <f>IF($X811="","",COUNTIFS(상세표[사번키],INDEX(합계표[사번키],$X811),상세표[반영월],대상월키,상세표[야간당직],1,상세표[야간 구분],"평일",상세표[반영 기관],"서울병원"))</f>
        <v/>
      </c>
      <c r="V811">
        <f>IF($X811="","",COUNTIFS(상세표[사번키],INDEX(합계표[사번키],$X811),상세표[반영월],대상월키,상세표[야간당직],1,상세표[야간 구분],"휴일",상세표[반영 기관],"서울병원"))</f>
        <v/>
      </c>
      <c r="W811">
        <f>IF($X811="","",IF(ISNUMBER(MATCH(INDEX(합계표[사번키],$X811)&amp;"|"&amp;대상월키,월별근무지표[키],0)),"직접 입력",IF($L811="—","—","기관명단")))</f>
        <v/>
      </c>
      <c r="X811" s="4">
        <f>IFERROR(MATCH(806,합계표[판정순번],0),"")</f>
        <v/>
      </c>
    </row>
    <row r="812">
      <c r="A812">
        <f>IF($X812="","",INDEX(합계표[사번],$X812)&amp;"")</f>
        <v/>
      </c>
      <c r="B812">
        <f>IF($X812="","",INDEX(합계표[성명],$X812)&amp;"")</f>
        <v/>
      </c>
      <c r="C812">
        <f>IF($X812="","",INDEX(합계표[부서],$X812)&amp;"")</f>
        <v/>
      </c>
      <c r="D812">
        <f>IF($X812="","",INDEX(합계표[직위(요약)],$X812)&amp;"")</f>
        <v/>
      </c>
      <c r="E812">
        <f>IF($X812="","",INDEX(합계표[직급 공존],$X812)&amp;"")</f>
        <v/>
      </c>
      <c r="F812" s="20">
        <f>IF($X812="","",SUMIFS(합계표[시스템 합계],합계표[사번키],INDEX(합계표[사번키],$X812)))</f>
        <v/>
      </c>
      <c r="G812" s="20">
        <f>IF($X812="","",SUMIFS(상세표[기록 시간외],상세표[사번키],INDEX(합계표[사번키],$X812),상세표[기록월],대상월키))</f>
        <v/>
      </c>
      <c r="H812">
        <f>IF($X812="","",IF(ABS($F812-$G812)&lt;0.01,"일치","불일치(차이 "&amp;TEXT($G812-$F812,"0.00")&amp;")"))</f>
        <v/>
      </c>
      <c r="I812" s="20">
        <f>IF($X812="","",SUMIFS(상세표[기록 시간외],상세표[사번키],INDEX(합계표[사번키],$X812),상세표[기록월],대상월키,상세표[반영월],"&lt;&gt;"&amp;대상월키))</f>
        <v/>
      </c>
      <c r="J812" s="20">
        <f>IF($X812="","",SUMIFS(상세표[기록 시간외],상세표[사번키],INDEX(합계표[사번키],$X812),상세표[기록월],"&lt;&gt;"&amp;대상월키,상세표[반영월],대상월키))</f>
        <v/>
      </c>
      <c r="K812" s="20">
        <f>IF($X812="","",SUMIFS(상세표[기록 시간외],상세표[사번키],INDEX(합계표[사번키],$X812),상세표[반영월],대상월키))</f>
        <v/>
      </c>
      <c r="L812">
        <f>IF($X812="","",IFERROR(INDEX(월별근무지표[적용 급여병원],MATCH(INDEX(합계표[사번키],$X812)&amp;"|"&amp;대상월키,월별근무지표[키],0))&amp;"",IF(COUNTIF(기관표[사번키],INDEX(합계표[사번키],$X812))+COUNTIF(월별근무지표[사번키],INDEX(합계표[사번키],$X812))&gt;0,IFERROR(INDEX(기관표[급여지급병원(기준월)],MATCH(INDEX(합계표[사번키],$X812)&amp;"|"&amp;대상월키,기관표[키],0))&amp;"","—"),"—")))</f>
        <v/>
      </c>
      <c r="M812">
        <f>IF($X812="","",IF(NOT(COUNTIF(기관표[사번키],INDEX(합계표[사번키],$X812))+COUNTIF(월별근무지표[사번키],INDEX(합계표[사번키],$X812))&gt;0),"기관명단에 없음(다른 병원으로 발송)",IF($L812="서울병원","해당",IF(N($R812)&gt;0,"해당(말일 근무)",IF($L812="—","대상월 기관명단 없음(추가 필요)","비해당")))))</f>
        <v/>
      </c>
      <c r="N812" s="20">
        <f>IF($X812="","",SUMIFS(상세표[06~07시],상세표[사번키],INDEX(합계표[사번키],$X812),상세표[반영월],대상월키,상세표[반영 기관],"서울병원"))</f>
        <v/>
      </c>
      <c r="O812" s="20">
        <f>IF($X812="","",SUMIFS(상세표[07~18시],상세표[사번키],INDEX(합계표[사번키],$X812),상세표[반영월],대상월키,상세표[반영 기관],"서울병원"))</f>
        <v/>
      </c>
      <c r="P812" s="20">
        <f>IF($X812="","",SUMIFS(상세표[18~22시],상세표[사번키],INDEX(합계표[사번키],$X812),상세표[반영월],대상월키,상세표[반영 기관],"서울병원"))</f>
        <v/>
      </c>
      <c r="Q812" s="20">
        <f>IF($X812="","",SUMIFS(상세표[22~06시],상세표[사번키],INDEX(합계표[사번키],$X812),상세표[반영월],대상월키,상세표[반영 기관],"서울병원"))</f>
        <v/>
      </c>
      <c r="R812" s="20">
        <f>IF($X812="","",SUM($N812:$Q812))</f>
        <v/>
      </c>
      <c r="S812">
        <f>IF($X812="","",COUNTIFS(상세표[사번키],INDEX(합계표[사번키],$X812),상세표[반영월],대상월키,상세표[야간당직],1,상세표[야간 구분],"평일"))</f>
        <v/>
      </c>
      <c r="T812">
        <f>IF($X812="","",COUNTIFS(상세표[사번키],INDEX(합계표[사번키],$X812),상세표[반영월],대상월키,상세표[야간당직],1,상세표[야간 구분],"휴일"))</f>
        <v/>
      </c>
      <c r="U812">
        <f>IF($X812="","",COUNTIFS(상세표[사번키],INDEX(합계표[사번키],$X812),상세표[반영월],대상월키,상세표[야간당직],1,상세표[야간 구분],"평일",상세표[반영 기관],"서울병원"))</f>
        <v/>
      </c>
      <c r="V812">
        <f>IF($X812="","",COUNTIFS(상세표[사번키],INDEX(합계표[사번키],$X812),상세표[반영월],대상월키,상세표[야간당직],1,상세표[야간 구분],"휴일",상세표[반영 기관],"서울병원"))</f>
        <v/>
      </c>
      <c r="W812">
        <f>IF($X812="","",IF(ISNUMBER(MATCH(INDEX(합계표[사번키],$X812)&amp;"|"&amp;대상월키,월별근무지표[키],0)),"직접 입력",IF($L812="—","—","기관명단")))</f>
        <v/>
      </c>
      <c r="X812" s="4">
        <f>IFERROR(MATCH(807,합계표[판정순번],0),"")</f>
        <v/>
      </c>
    </row>
    <row r="813">
      <c r="A813">
        <f>IF($X813="","",INDEX(합계표[사번],$X813)&amp;"")</f>
        <v/>
      </c>
      <c r="B813">
        <f>IF($X813="","",INDEX(합계표[성명],$X813)&amp;"")</f>
        <v/>
      </c>
      <c r="C813">
        <f>IF($X813="","",INDEX(합계표[부서],$X813)&amp;"")</f>
        <v/>
      </c>
      <c r="D813">
        <f>IF($X813="","",INDEX(합계표[직위(요약)],$X813)&amp;"")</f>
        <v/>
      </c>
      <c r="E813">
        <f>IF($X813="","",INDEX(합계표[직급 공존],$X813)&amp;"")</f>
        <v/>
      </c>
      <c r="F813" s="20">
        <f>IF($X813="","",SUMIFS(합계표[시스템 합계],합계표[사번키],INDEX(합계표[사번키],$X813)))</f>
        <v/>
      </c>
      <c r="G813" s="20">
        <f>IF($X813="","",SUMIFS(상세표[기록 시간외],상세표[사번키],INDEX(합계표[사번키],$X813),상세표[기록월],대상월키))</f>
        <v/>
      </c>
      <c r="H813">
        <f>IF($X813="","",IF(ABS($F813-$G813)&lt;0.01,"일치","불일치(차이 "&amp;TEXT($G813-$F813,"0.00")&amp;")"))</f>
        <v/>
      </c>
      <c r="I813" s="20">
        <f>IF($X813="","",SUMIFS(상세표[기록 시간외],상세표[사번키],INDEX(합계표[사번키],$X813),상세표[기록월],대상월키,상세표[반영월],"&lt;&gt;"&amp;대상월키))</f>
        <v/>
      </c>
      <c r="J813" s="20">
        <f>IF($X813="","",SUMIFS(상세표[기록 시간외],상세표[사번키],INDEX(합계표[사번키],$X813),상세표[기록월],"&lt;&gt;"&amp;대상월키,상세표[반영월],대상월키))</f>
        <v/>
      </c>
      <c r="K813" s="20">
        <f>IF($X813="","",SUMIFS(상세표[기록 시간외],상세표[사번키],INDEX(합계표[사번키],$X813),상세표[반영월],대상월키))</f>
        <v/>
      </c>
      <c r="L813">
        <f>IF($X813="","",IFERROR(INDEX(월별근무지표[적용 급여병원],MATCH(INDEX(합계표[사번키],$X813)&amp;"|"&amp;대상월키,월별근무지표[키],0))&amp;"",IF(COUNTIF(기관표[사번키],INDEX(합계표[사번키],$X813))+COUNTIF(월별근무지표[사번키],INDEX(합계표[사번키],$X813))&gt;0,IFERROR(INDEX(기관표[급여지급병원(기준월)],MATCH(INDEX(합계표[사번키],$X813)&amp;"|"&amp;대상월키,기관표[키],0))&amp;"","—"),"—")))</f>
        <v/>
      </c>
      <c r="M813">
        <f>IF($X813="","",IF(NOT(COUNTIF(기관표[사번키],INDEX(합계표[사번키],$X813))+COUNTIF(월별근무지표[사번키],INDEX(합계표[사번키],$X813))&gt;0),"기관명단에 없음(다른 병원으로 발송)",IF($L813="서울병원","해당",IF(N($R813)&gt;0,"해당(말일 근무)",IF($L813="—","대상월 기관명단 없음(추가 필요)","비해당")))))</f>
        <v/>
      </c>
      <c r="N813" s="20">
        <f>IF($X813="","",SUMIFS(상세표[06~07시],상세표[사번키],INDEX(합계표[사번키],$X813),상세표[반영월],대상월키,상세표[반영 기관],"서울병원"))</f>
        <v/>
      </c>
      <c r="O813" s="20">
        <f>IF($X813="","",SUMIFS(상세표[07~18시],상세표[사번키],INDEX(합계표[사번키],$X813),상세표[반영월],대상월키,상세표[반영 기관],"서울병원"))</f>
        <v/>
      </c>
      <c r="P813" s="20">
        <f>IF($X813="","",SUMIFS(상세표[18~22시],상세표[사번키],INDEX(합계표[사번키],$X813),상세표[반영월],대상월키,상세표[반영 기관],"서울병원"))</f>
        <v/>
      </c>
      <c r="Q813" s="20">
        <f>IF($X813="","",SUMIFS(상세표[22~06시],상세표[사번키],INDEX(합계표[사번키],$X813),상세표[반영월],대상월키,상세표[반영 기관],"서울병원"))</f>
        <v/>
      </c>
      <c r="R813" s="20">
        <f>IF($X813="","",SUM($N813:$Q813))</f>
        <v/>
      </c>
      <c r="S813">
        <f>IF($X813="","",COUNTIFS(상세표[사번키],INDEX(합계표[사번키],$X813),상세표[반영월],대상월키,상세표[야간당직],1,상세표[야간 구분],"평일"))</f>
        <v/>
      </c>
      <c r="T813">
        <f>IF($X813="","",COUNTIFS(상세표[사번키],INDEX(합계표[사번키],$X813),상세표[반영월],대상월키,상세표[야간당직],1,상세표[야간 구분],"휴일"))</f>
        <v/>
      </c>
      <c r="U813">
        <f>IF($X813="","",COUNTIFS(상세표[사번키],INDEX(합계표[사번키],$X813),상세표[반영월],대상월키,상세표[야간당직],1,상세표[야간 구분],"평일",상세표[반영 기관],"서울병원"))</f>
        <v/>
      </c>
      <c r="V813">
        <f>IF($X813="","",COUNTIFS(상세표[사번키],INDEX(합계표[사번키],$X813),상세표[반영월],대상월키,상세표[야간당직],1,상세표[야간 구분],"휴일",상세표[반영 기관],"서울병원"))</f>
        <v/>
      </c>
      <c r="W813">
        <f>IF($X813="","",IF(ISNUMBER(MATCH(INDEX(합계표[사번키],$X813)&amp;"|"&amp;대상월키,월별근무지표[키],0)),"직접 입력",IF($L813="—","—","기관명단")))</f>
        <v/>
      </c>
      <c r="X813" s="4">
        <f>IFERROR(MATCH(808,합계표[판정순번],0),"")</f>
        <v/>
      </c>
    </row>
    <row r="814">
      <c r="A814">
        <f>IF($X814="","",INDEX(합계표[사번],$X814)&amp;"")</f>
        <v/>
      </c>
      <c r="B814">
        <f>IF($X814="","",INDEX(합계표[성명],$X814)&amp;"")</f>
        <v/>
      </c>
      <c r="C814">
        <f>IF($X814="","",INDEX(합계표[부서],$X814)&amp;"")</f>
        <v/>
      </c>
      <c r="D814">
        <f>IF($X814="","",INDEX(합계표[직위(요약)],$X814)&amp;"")</f>
        <v/>
      </c>
      <c r="E814">
        <f>IF($X814="","",INDEX(합계표[직급 공존],$X814)&amp;"")</f>
        <v/>
      </c>
      <c r="F814" s="20">
        <f>IF($X814="","",SUMIFS(합계표[시스템 합계],합계표[사번키],INDEX(합계표[사번키],$X814)))</f>
        <v/>
      </c>
      <c r="G814" s="20">
        <f>IF($X814="","",SUMIFS(상세표[기록 시간외],상세표[사번키],INDEX(합계표[사번키],$X814),상세표[기록월],대상월키))</f>
        <v/>
      </c>
      <c r="H814">
        <f>IF($X814="","",IF(ABS($F814-$G814)&lt;0.01,"일치","불일치(차이 "&amp;TEXT($G814-$F814,"0.00")&amp;")"))</f>
        <v/>
      </c>
      <c r="I814" s="20">
        <f>IF($X814="","",SUMIFS(상세표[기록 시간외],상세표[사번키],INDEX(합계표[사번키],$X814),상세표[기록월],대상월키,상세표[반영월],"&lt;&gt;"&amp;대상월키))</f>
        <v/>
      </c>
      <c r="J814" s="20">
        <f>IF($X814="","",SUMIFS(상세표[기록 시간외],상세표[사번키],INDEX(합계표[사번키],$X814),상세표[기록월],"&lt;&gt;"&amp;대상월키,상세표[반영월],대상월키))</f>
        <v/>
      </c>
      <c r="K814" s="20">
        <f>IF($X814="","",SUMIFS(상세표[기록 시간외],상세표[사번키],INDEX(합계표[사번키],$X814),상세표[반영월],대상월키))</f>
        <v/>
      </c>
      <c r="L814">
        <f>IF($X814="","",IFERROR(INDEX(월별근무지표[적용 급여병원],MATCH(INDEX(합계표[사번키],$X814)&amp;"|"&amp;대상월키,월별근무지표[키],0))&amp;"",IF(COUNTIF(기관표[사번키],INDEX(합계표[사번키],$X814))+COUNTIF(월별근무지표[사번키],INDEX(합계표[사번키],$X814))&gt;0,IFERROR(INDEX(기관표[급여지급병원(기준월)],MATCH(INDEX(합계표[사번키],$X814)&amp;"|"&amp;대상월키,기관표[키],0))&amp;"","—"),"—")))</f>
        <v/>
      </c>
      <c r="M814">
        <f>IF($X814="","",IF(NOT(COUNTIF(기관표[사번키],INDEX(합계표[사번키],$X814))+COUNTIF(월별근무지표[사번키],INDEX(합계표[사번키],$X814))&gt;0),"기관명단에 없음(다른 병원으로 발송)",IF($L814="서울병원","해당",IF(N($R814)&gt;0,"해당(말일 근무)",IF($L814="—","대상월 기관명단 없음(추가 필요)","비해당")))))</f>
        <v/>
      </c>
      <c r="N814" s="20">
        <f>IF($X814="","",SUMIFS(상세표[06~07시],상세표[사번키],INDEX(합계표[사번키],$X814),상세표[반영월],대상월키,상세표[반영 기관],"서울병원"))</f>
        <v/>
      </c>
      <c r="O814" s="20">
        <f>IF($X814="","",SUMIFS(상세표[07~18시],상세표[사번키],INDEX(합계표[사번키],$X814),상세표[반영월],대상월키,상세표[반영 기관],"서울병원"))</f>
        <v/>
      </c>
      <c r="P814" s="20">
        <f>IF($X814="","",SUMIFS(상세표[18~22시],상세표[사번키],INDEX(합계표[사번키],$X814),상세표[반영월],대상월키,상세표[반영 기관],"서울병원"))</f>
        <v/>
      </c>
      <c r="Q814" s="20">
        <f>IF($X814="","",SUMIFS(상세표[22~06시],상세표[사번키],INDEX(합계표[사번키],$X814),상세표[반영월],대상월키,상세표[반영 기관],"서울병원"))</f>
        <v/>
      </c>
      <c r="R814" s="20">
        <f>IF($X814="","",SUM($N814:$Q814))</f>
        <v/>
      </c>
      <c r="S814">
        <f>IF($X814="","",COUNTIFS(상세표[사번키],INDEX(합계표[사번키],$X814),상세표[반영월],대상월키,상세표[야간당직],1,상세표[야간 구분],"평일"))</f>
        <v/>
      </c>
      <c r="T814">
        <f>IF($X814="","",COUNTIFS(상세표[사번키],INDEX(합계표[사번키],$X814),상세표[반영월],대상월키,상세표[야간당직],1,상세표[야간 구분],"휴일"))</f>
        <v/>
      </c>
      <c r="U814">
        <f>IF($X814="","",COUNTIFS(상세표[사번키],INDEX(합계표[사번키],$X814),상세표[반영월],대상월키,상세표[야간당직],1,상세표[야간 구분],"평일",상세표[반영 기관],"서울병원"))</f>
        <v/>
      </c>
      <c r="V814">
        <f>IF($X814="","",COUNTIFS(상세표[사번키],INDEX(합계표[사번키],$X814),상세표[반영월],대상월키,상세표[야간당직],1,상세표[야간 구분],"휴일",상세표[반영 기관],"서울병원"))</f>
        <v/>
      </c>
      <c r="W814">
        <f>IF($X814="","",IF(ISNUMBER(MATCH(INDEX(합계표[사번키],$X814)&amp;"|"&amp;대상월키,월별근무지표[키],0)),"직접 입력",IF($L814="—","—","기관명단")))</f>
        <v/>
      </c>
      <c r="X814" s="4">
        <f>IFERROR(MATCH(809,합계표[판정순번],0),"")</f>
        <v/>
      </c>
    </row>
    <row r="815">
      <c r="A815">
        <f>IF($X815="","",INDEX(합계표[사번],$X815)&amp;"")</f>
        <v/>
      </c>
      <c r="B815">
        <f>IF($X815="","",INDEX(합계표[성명],$X815)&amp;"")</f>
        <v/>
      </c>
      <c r="C815">
        <f>IF($X815="","",INDEX(합계표[부서],$X815)&amp;"")</f>
        <v/>
      </c>
      <c r="D815">
        <f>IF($X815="","",INDEX(합계표[직위(요약)],$X815)&amp;"")</f>
        <v/>
      </c>
      <c r="E815">
        <f>IF($X815="","",INDEX(합계표[직급 공존],$X815)&amp;"")</f>
        <v/>
      </c>
      <c r="F815" s="20">
        <f>IF($X815="","",SUMIFS(합계표[시스템 합계],합계표[사번키],INDEX(합계표[사번키],$X815)))</f>
        <v/>
      </c>
      <c r="G815" s="20">
        <f>IF($X815="","",SUMIFS(상세표[기록 시간외],상세표[사번키],INDEX(합계표[사번키],$X815),상세표[기록월],대상월키))</f>
        <v/>
      </c>
      <c r="H815">
        <f>IF($X815="","",IF(ABS($F815-$G815)&lt;0.01,"일치","불일치(차이 "&amp;TEXT($G815-$F815,"0.00")&amp;")"))</f>
        <v/>
      </c>
      <c r="I815" s="20">
        <f>IF($X815="","",SUMIFS(상세표[기록 시간외],상세표[사번키],INDEX(합계표[사번키],$X815),상세표[기록월],대상월키,상세표[반영월],"&lt;&gt;"&amp;대상월키))</f>
        <v/>
      </c>
      <c r="J815" s="20">
        <f>IF($X815="","",SUMIFS(상세표[기록 시간외],상세표[사번키],INDEX(합계표[사번키],$X815),상세표[기록월],"&lt;&gt;"&amp;대상월키,상세표[반영월],대상월키))</f>
        <v/>
      </c>
      <c r="K815" s="20">
        <f>IF($X815="","",SUMIFS(상세표[기록 시간외],상세표[사번키],INDEX(합계표[사번키],$X815),상세표[반영월],대상월키))</f>
        <v/>
      </c>
      <c r="L815">
        <f>IF($X815="","",IFERROR(INDEX(월별근무지표[적용 급여병원],MATCH(INDEX(합계표[사번키],$X815)&amp;"|"&amp;대상월키,월별근무지표[키],0))&amp;"",IF(COUNTIF(기관표[사번키],INDEX(합계표[사번키],$X815))+COUNTIF(월별근무지표[사번키],INDEX(합계표[사번키],$X815))&gt;0,IFERROR(INDEX(기관표[급여지급병원(기준월)],MATCH(INDEX(합계표[사번키],$X815)&amp;"|"&amp;대상월키,기관표[키],0))&amp;"","—"),"—")))</f>
        <v/>
      </c>
      <c r="M815">
        <f>IF($X815="","",IF(NOT(COUNTIF(기관표[사번키],INDEX(합계표[사번키],$X815))+COUNTIF(월별근무지표[사번키],INDEX(합계표[사번키],$X815))&gt;0),"기관명단에 없음(다른 병원으로 발송)",IF($L815="서울병원","해당",IF(N($R815)&gt;0,"해당(말일 근무)",IF($L815="—","대상월 기관명단 없음(추가 필요)","비해당")))))</f>
        <v/>
      </c>
      <c r="N815" s="20">
        <f>IF($X815="","",SUMIFS(상세표[06~07시],상세표[사번키],INDEX(합계표[사번키],$X815),상세표[반영월],대상월키,상세표[반영 기관],"서울병원"))</f>
        <v/>
      </c>
      <c r="O815" s="20">
        <f>IF($X815="","",SUMIFS(상세표[07~18시],상세표[사번키],INDEX(합계표[사번키],$X815),상세표[반영월],대상월키,상세표[반영 기관],"서울병원"))</f>
        <v/>
      </c>
      <c r="P815" s="20">
        <f>IF($X815="","",SUMIFS(상세표[18~22시],상세표[사번키],INDEX(합계표[사번키],$X815),상세표[반영월],대상월키,상세표[반영 기관],"서울병원"))</f>
        <v/>
      </c>
      <c r="Q815" s="20">
        <f>IF($X815="","",SUMIFS(상세표[22~06시],상세표[사번키],INDEX(합계표[사번키],$X815),상세표[반영월],대상월키,상세표[반영 기관],"서울병원"))</f>
        <v/>
      </c>
      <c r="R815" s="20">
        <f>IF($X815="","",SUM($N815:$Q815))</f>
        <v/>
      </c>
      <c r="S815">
        <f>IF($X815="","",COUNTIFS(상세표[사번키],INDEX(합계표[사번키],$X815),상세표[반영월],대상월키,상세표[야간당직],1,상세표[야간 구분],"평일"))</f>
        <v/>
      </c>
      <c r="T815">
        <f>IF($X815="","",COUNTIFS(상세표[사번키],INDEX(합계표[사번키],$X815),상세표[반영월],대상월키,상세표[야간당직],1,상세표[야간 구분],"휴일"))</f>
        <v/>
      </c>
      <c r="U815">
        <f>IF($X815="","",COUNTIFS(상세표[사번키],INDEX(합계표[사번키],$X815),상세표[반영월],대상월키,상세표[야간당직],1,상세표[야간 구분],"평일",상세표[반영 기관],"서울병원"))</f>
        <v/>
      </c>
      <c r="V815">
        <f>IF($X815="","",COUNTIFS(상세표[사번키],INDEX(합계표[사번키],$X815),상세표[반영월],대상월키,상세표[야간당직],1,상세표[야간 구분],"휴일",상세표[반영 기관],"서울병원"))</f>
        <v/>
      </c>
      <c r="W815">
        <f>IF($X815="","",IF(ISNUMBER(MATCH(INDEX(합계표[사번키],$X815)&amp;"|"&amp;대상월키,월별근무지표[키],0)),"직접 입력",IF($L815="—","—","기관명단")))</f>
        <v/>
      </c>
      <c r="X815" s="4">
        <f>IFERROR(MATCH(810,합계표[판정순번],0),"")</f>
        <v/>
      </c>
    </row>
    <row r="816">
      <c r="A816">
        <f>IF($X816="","",INDEX(합계표[사번],$X816)&amp;"")</f>
        <v/>
      </c>
      <c r="B816">
        <f>IF($X816="","",INDEX(합계표[성명],$X816)&amp;"")</f>
        <v/>
      </c>
      <c r="C816">
        <f>IF($X816="","",INDEX(합계표[부서],$X816)&amp;"")</f>
        <v/>
      </c>
      <c r="D816">
        <f>IF($X816="","",INDEX(합계표[직위(요약)],$X816)&amp;"")</f>
        <v/>
      </c>
      <c r="E816">
        <f>IF($X816="","",INDEX(합계표[직급 공존],$X816)&amp;"")</f>
        <v/>
      </c>
      <c r="F816" s="20">
        <f>IF($X816="","",SUMIFS(합계표[시스템 합계],합계표[사번키],INDEX(합계표[사번키],$X816)))</f>
        <v/>
      </c>
      <c r="G816" s="20">
        <f>IF($X816="","",SUMIFS(상세표[기록 시간외],상세표[사번키],INDEX(합계표[사번키],$X816),상세표[기록월],대상월키))</f>
        <v/>
      </c>
      <c r="H816">
        <f>IF($X816="","",IF(ABS($F816-$G816)&lt;0.01,"일치","불일치(차이 "&amp;TEXT($G816-$F816,"0.00")&amp;")"))</f>
        <v/>
      </c>
      <c r="I816" s="20">
        <f>IF($X816="","",SUMIFS(상세표[기록 시간외],상세표[사번키],INDEX(합계표[사번키],$X816),상세표[기록월],대상월키,상세표[반영월],"&lt;&gt;"&amp;대상월키))</f>
        <v/>
      </c>
      <c r="J816" s="20">
        <f>IF($X816="","",SUMIFS(상세표[기록 시간외],상세표[사번키],INDEX(합계표[사번키],$X816),상세표[기록월],"&lt;&gt;"&amp;대상월키,상세표[반영월],대상월키))</f>
        <v/>
      </c>
      <c r="K816" s="20">
        <f>IF($X816="","",SUMIFS(상세표[기록 시간외],상세표[사번키],INDEX(합계표[사번키],$X816),상세표[반영월],대상월키))</f>
        <v/>
      </c>
      <c r="L816">
        <f>IF($X816="","",IFERROR(INDEX(월별근무지표[적용 급여병원],MATCH(INDEX(합계표[사번키],$X816)&amp;"|"&amp;대상월키,월별근무지표[키],0))&amp;"",IF(COUNTIF(기관표[사번키],INDEX(합계표[사번키],$X816))+COUNTIF(월별근무지표[사번키],INDEX(합계표[사번키],$X816))&gt;0,IFERROR(INDEX(기관표[급여지급병원(기준월)],MATCH(INDEX(합계표[사번키],$X816)&amp;"|"&amp;대상월키,기관표[키],0))&amp;"","—"),"—")))</f>
        <v/>
      </c>
      <c r="M816">
        <f>IF($X816="","",IF(NOT(COUNTIF(기관표[사번키],INDEX(합계표[사번키],$X816))+COUNTIF(월별근무지표[사번키],INDEX(합계표[사번키],$X816))&gt;0),"기관명단에 없음(다른 병원으로 발송)",IF($L816="서울병원","해당",IF(N($R816)&gt;0,"해당(말일 근무)",IF($L816="—","대상월 기관명단 없음(추가 필요)","비해당")))))</f>
        <v/>
      </c>
      <c r="N816" s="20">
        <f>IF($X816="","",SUMIFS(상세표[06~07시],상세표[사번키],INDEX(합계표[사번키],$X816),상세표[반영월],대상월키,상세표[반영 기관],"서울병원"))</f>
        <v/>
      </c>
      <c r="O816" s="20">
        <f>IF($X816="","",SUMIFS(상세표[07~18시],상세표[사번키],INDEX(합계표[사번키],$X816),상세표[반영월],대상월키,상세표[반영 기관],"서울병원"))</f>
        <v/>
      </c>
      <c r="P816" s="20">
        <f>IF($X816="","",SUMIFS(상세표[18~22시],상세표[사번키],INDEX(합계표[사번키],$X816),상세표[반영월],대상월키,상세표[반영 기관],"서울병원"))</f>
        <v/>
      </c>
      <c r="Q816" s="20">
        <f>IF($X816="","",SUMIFS(상세표[22~06시],상세표[사번키],INDEX(합계표[사번키],$X816),상세표[반영월],대상월키,상세표[반영 기관],"서울병원"))</f>
        <v/>
      </c>
      <c r="R816" s="20">
        <f>IF($X816="","",SUM($N816:$Q816))</f>
        <v/>
      </c>
      <c r="S816">
        <f>IF($X816="","",COUNTIFS(상세표[사번키],INDEX(합계표[사번키],$X816),상세표[반영월],대상월키,상세표[야간당직],1,상세표[야간 구분],"평일"))</f>
        <v/>
      </c>
      <c r="T816">
        <f>IF($X816="","",COUNTIFS(상세표[사번키],INDEX(합계표[사번키],$X816),상세표[반영월],대상월키,상세표[야간당직],1,상세표[야간 구분],"휴일"))</f>
        <v/>
      </c>
      <c r="U816">
        <f>IF($X816="","",COUNTIFS(상세표[사번키],INDEX(합계표[사번키],$X816),상세표[반영월],대상월키,상세표[야간당직],1,상세표[야간 구분],"평일",상세표[반영 기관],"서울병원"))</f>
        <v/>
      </c>
      <c r="V816">
        <f>IF($X816="","",COUNTIFS(상세표[사번키],INDEX(합계표[사번키],$X816),상세표[반영월],대상월키,상세표[야간당직],1,상세표[야간 구분],"휴일",상세표[반영 기관],"서울병원"))</f>
        <v/>
      </c>
      <c r="W816">
        <f>IF($X816="","",IF(ISNUMBER(MATCH(INDEX(합계표[사번키],$X816)&amp;"|"&amp;대상월키,월별근무지표[키],0)),"직접 입력",IF($L816="—","—","기관명단")))</f>
        <v/>
      </c>
      <c r="X816" s="4">
        <f>IFERROR(MATCH(811,합계표[판정순번],0),"")</f>
        <v/>
      </c>
    </row>
    <row r="817">
      <c r="A817">
        <f>IF($X817="","",INDEX(합계표[사번],$X817)&amp;"")</f>
        <v/>
      </c>
      <c r="B817">
        <f>IF($X817="","",INDEX(합계표[성명],$X817)&amp;"")</f>
        <v/>
      </c>
      <c r="C817">
        <f>IF($X817="","",INDEX(합계표[부서],$X817)&amp;"")</f>
        <v/>
      </c>
      <c r="D817">
        <f>IF($X817="","",INDEX(합계표[직위(요약)],$X817)&amp;"")</f>
        <v/>
      </c>
      <c r="E817">
        <f>IF($X817="","",INDEX(합계표[직급 공존],$X817)&amp;"")</f>
        <v/>
      </c>
      <c r="F817" s="20">
        <f>IF($X817="","",SUMIFS(합계표[시스템 합계],합계표[사번키],INDEX(합계표[사번키],$X817)))</f>
        <v/>
      </c>
      <c r="G817" s="20">
        <f>IF($X817="","",SUMIFS(상세표[기록 시간외],상세표[사번키],INDEX(합계표[사번키],$X817),상세표[기록월],대상월키))</f>
        <v/>
      </c>
      <c r="H817">
        <f>IF($X817="","",IF(ABS($F817-$G817)&lt;0.01,"일치","불일치(차이 "&amp;TEXT($G817-$F817,"0.00")&amp;")"))</f>
        <v/>
      </c>
      <c r="I817" s="20">
        <f>IF($X817="","",SUMIFS(상세표[기록 시간외],상세표[사번키],INDEX(합계표[사번키],$X817),상세표[기록월],대상월키,상세표[반영월],"&lt;&gt;"&amp;대상월키))</f>
        <v/>
      </c>
      <c r="J817" s="20">
        <f>IF($X817="","",SUMIFS(상세표[기록 시간외],상세표[사번키],INDEX(합계표[사번키],$X817),상세표[기록월],"&lt;&gt;"&amp;대상월키,상세표[반영월],대상월키))</f>
        <v/>
      </c>
      <c r="K817" s="20">
        <f>IF($X817="","",SUMIFS(상세표[기록 시간외],상세표[사번키],INDEX(합계표[사번키],$X817),상세표[반영월],대상월키))</f>
        <v/>
      </c>
      <c r="L817">
        <f>IF($X817="","",IFERROR(INDEX(월별근무지표[적용 급여병원],MATCH(INDEX(합계표[사번키],$X817)&amp;"|"&amp;대상월키,월별근무지표[키],0))&amp;"",IF(COUNTIF(기관표[사번키],INDEX(합계표[사번키],$X817))+COUNTIF(월별근무지표[사번키],INDEX(합계표[사번키],$X817))&gt;0,IFERROR(INDEX(기관표[급여지급병원(기준월)],MATCH(INDEX(합계표[사번키],$X817)&amp;"|"&amp;대상월키,기관표[키],0))&amp;"","—"),"—")))</f>
        <v/>
      </c>
      <c r="M817">
        <f>IF($X817="","",IF(NOT(COUNTIF(기관표[사번키],INDEX(합계표[사번키],$X817))+COUNTIF(월별근무지표[사번키],INDEX(합계표[사번키],$X817))&gt;0),"기관명단에 없음(다른 병원으로 발송)",IF($L817="서울병원","해당",IF(N($R817)&gt;0,"해당(말일 근무)",IF($L817="—","대상월 기관명단 없음(추가 필요)","비해당")))))</f>
        <v/>
      </c>
      <c r="N817" s="20">
        <f>IF($X817="","",SUMIFS(상세표[06~07시],상세표[사번키],INDEX(합계표[사번키],$X817),상세표[반영월],대상월키,상세표[반영 기관],"서울병원"))</f>
        <v/>
      </c>
      <c r="O817" s="20">
        <f>IF($X817="","",SUMIFS(상세표[07~18시],상세표[사번키],INDEX(합계표[사번키],$X817),상세표[반영월],대상월키,상세표[반영 기관],"서울병원"))</f>
        <v/>
      </c>
      <c r="P817" s="20">
        <f>IF($X817="","",SUMIFS(상세표[18~22시],상세표[사번키],INDEX(합계표[사번키],$X817),상세표[반영월],대상월키,상세표[반영 기관],"서울병원"))</f>
        <v/>
      </c>
      <c r="Q817" s="20">
        <f>IF($X817="","",SUMIFS(상세표[22~06시],상세표[사번키],INDEX(합계표[사번키],$X817),상세표[반영월],대상월키,상세표[반영 기관],"서울병원"))</f>
        <v/>
      </c>
      <c r="R817" s="20">
        <f>IF($X817="","",SUM($N817:$Q817))</f>
        <v/>
      </c>
      <c r="S817">
        <f>IF($X817="","",COUNTIFS(상세표[사번키],INDEX(합계표[사번키],$X817),상세표[반영월],대상월키,상세표[야간당직],1,상세표[야간 구분],"평일"))</f>
        <v/>
      </c>
      <c r="T817">
        <f>IF($X817="","",COUNTIFS(상세표[사번키],INDEX(합계표[사번키],$X817),상세표[반영월],대상월키,상세표[야간당직],1,상세표[야간 구분],"휴일"))</f>
        <v/>
      </c>
      <c r="U817">
        <f>IF($X817="","",COUNTIFS(상세표[사번키],INDEX(합계표[사번키],$X817),상세표[반영월],대상월키,상세표[야간당직],1,상세표[야간 구분],"평일",상세표[반영 기관],"서울병원"))</f>
        <v/>
      </c>
      <c r="V817">
        <f>IF($X817="","",COUNTIFS(상세표[사번키],INDEX(합계표[사번키],$X817),상세표[반영월],대상월키,상세표[야간당직],1,상세표[야간 구분],"휴일",상세표[반영 기관],"서울병원"))</f>
        <v/>
      </c>
      <c r="W817">
        <f>IF($X817="","",IF(ISNUMBER(MATCH(INDEX(합계표[사번키],$X817)&amp;"|"&amp;대상월키,월별근무지표[키],0)),"직접 입력",IF($L817="—","—","기관명단")))</f>
        <v/>
      </c>
      <c r="X817" s="4">
        <f>IFERROR(MATCH(812,합계표[판정순번],0),"")</f>
        <v/>
      </c>
    </row>
    <row r="818">
      <c r="A818">
        <f>IF($X818="","",INDEX(합계표[사번],$X818)&amp;"")</f>
        <v/>
      </c>
      <c r="B818">
        <f>IF($X818="","",INDEX(합계표[성명],$X818)&amp;"")</f>
        <v/>
      </c>
      <c r="C818">
        <f>IF($X818="","",INDEX(합계표[부서],$X818)&amp;"")</f>
        <v/>
      </c>
      <c r="D818">
        <f>IF($X818="","",INDEX(합계표[직위(요약)],$X818)&amp;"")</f>
        <v/>
      </c>
      <c r="E818">
        <f>IF($X818="","",INDEX(합계표[직급 공존],$X818)&amp;"")</f>
        <v/>
      </c>
      <c r="F818" s="20">
        <f>IF($X818="","",SUMIFS(합계표[시스템 합계],합계표[사번키],INDEX(합계표[사번키],$X818)))</f>
        <v/>
      </c>
      <c r="G818" s="20">
        <f>IF($X818="","",SUMIFS(상세표[기록 시간외],상세표[사번키],INDEX(합계표[사번키],$X818),상세표[기록월],대상월키))</f>
        <v/>
      </c>
      <c r="H818">
        <f>IF($X818="","",IF(ABS($F818-$G818)&lt;0.01,"일치","불일치(차이 "&amp;TEXT($G818-$F818,"0.00")&amp;")"))</f>
        <v/>
      </c>
      <c r="I818" s="20">
        <f>IF($X818="","",SUMIFS(상세표[기록 시간외],상세표[사번키],INDEX(합계표[사번키],$X818),상세표[기록월],대상월키,상세표[반영월],"&lt;&gt;"&amp;대상월키))</f>
        <v/>
      </c>
      <c r="J818" s="20">
        <f>IF($X818="","",SUMIFS(상세표[기록 시간외],상세표[사번키],INDEX(합계표[사번키],$X818),상세표[기록월],"&lt;&gt;"&amp;대상월키,상세표[반영월],대상월키))</f>
        <v/>
      </c>
      <c r="K818" s="20">
        <f>IF($X818="","",SUMIFS(상세표[기록 시간외],상세표[사번키],INDEX(합계표[사번키],$X818),상세표[반영월],대상월키))</f>
        <v/>
      </c>
      <c r="L818">
        <f>IF($X818="","",IFERROR(INDEX(월별근무지표[적용 급여병원],MATCH(INDEX(합계표[사번키],$X818)&amp;"|"&amp;대상월키,월별근무지표[키],0))&amp;"",IF(COUNTIF(기관표[사번키],INDEX(합계표[사번키],$X818))+COUNTIF(월별근무지표[사번키],INDEX(합계표[사번키],$X818))&gt;0,IFERROR(INDEX(기관표[급여지급병원(기준월)],MATCH(INDEX(합계표[사번키],$X818)&amp;"|"&amp;대상월키,기관표[키],0))&amp;"","—"),"—")))</f>
        <v/>
      </c>
      <c r="M818">
        <f>IF($X818="","",IF(NOT(COUNTIF(기관표[사번키],INDEX(합계표[사번키],$X818))+COUNTIF(월별근무지표[사번키],INDEX(합계표[사번키],$X818))&gt;0),"기관명단에 없음(다른 병원으로 발송)",IF($L818="서울병원","해당",IF(N($R818)&gt;0,"해당(말일 근무)",IF($L818="—","대상월 기관명단 없음(추가 필요)","비해당")))))</f>
        <v/>
      </c>
      <c r="N818" s="20">
        <f>IF($X818="","",SUMIFS(상세표[06~07시],상세표[사번키],INDEX(합계표[사번키],$X818),상세표[반영월],대상월키,상세표[반영 기관],"서울병원"))</f>
        <v/>
      </c>
      <c r="O818" s="20">
        <f>IF($X818="","",SUMIFS(상세표[07~18시],상세표[사번키],INDEX(합계표[사번키],$X818),상세표[반영월],대상월키,상세표[반영 기관],"서울병원"))</f>
        <v/>
      </c>
      <c r="P818" s="20">
        <f>IF($X818="","",SUMIFS(상세표[18~22시],상세표[사번키],INDEX(합계표[사번키],$X818),상세표[반영월],대상월키,상세표[반영 기관],"서울병원"))</f>
        <v/>
      </c>
      <c r="Q818" s="20">
        <f>IF($X818="","",SUMIFS(상세표[22~06시],상세표[사번키],INDEX(합계표[사번키],$X818),상세표[반영월],대상월키,상세표[반영 기관],"서울병원"))</f>
        <v/>
      </c>
      <c r="R818" s="20">
        <f>IF($X818="","",SUM($N818:$Q818))</f>
        <v/>
      </c>
      <c r="S818">
        <f>IF($X818="","",COUNTIFS(상세표[사번키],INDEX(합계표[사번키],$X818),상세표[반영월],대상월키,상세표[야간당직],1,상세표[야간 구분],"평일"))</f>
        <v/>
      </c>
      <c r="T818">
        <f>IF($X818="","",COUNTIFS(상세표[사번키],INDEX(합계표[사번키],$X818),상세표[반영월],대상월키,상세표[야간당직],1,상세표[야간 구분],"휴일"))</f>
        <v/>
      </c>
      <c r="U818">
        <f>IF($X818="","",COUNTIFS(상세표[사번키],INDEX(합계표[사번키],$X818),상세표[반영월],대상월키,상세표[야간당직],1,상세표[야간 구분],"평일",상세표[반영 기관],"서울병원"))</f>
        <v/>
      </c>
      <c r="V818">
        <f>IF($X818="","",COUNTIFS(상세표[사번키],INDEX(합계표[사번키],$X818),상세표[반영월],대상월키,상세표[야간당직],1,상세표[야간 구분],"휴일",상세표[반영 기관],"서울병원"))</f>
        <v/>
      </c>
      <c r="W818">
        <f>IF($X818="","",IF(ISNUMBER(MATCH(INDEX(합계표[사번키],$X818)&amp;"|"&amp;대상월키,월별근무지표[키],0)),"직접 입력",IF($L818="—","—","기관명단")))</f>
        <v/>
      </c>
      <c r="X818" s="4">
        <f>IFERROR(MATCH(813,합계표[판정순번],0),"")</f>
        <v/>
      </c>
    </row>
    <row r="819">
      <c r="A819">
        <f>IF($X819="","",INDEX(합계표[사번],$X819)&amp;"")</f>
        <v/>
      </c>
      <c r="B819">
        <f>IF($X819="","",INDEX(합계표[성명],$X819)&amp;"")</f>
        <v/>
      </c>
      <c r="C819">
        <f>IF($X819="","",INDEX(합계표[부서],$X819)&amp;"")</f>
        <v/>
      </c>
      <c r="D819">
        <f>IF($X819="","",INDEX(합계표[직위(요약)],$X819)&amp;"")</f>
        <v/>
      </c>
      <c r="E819">
        <f>IF($X819="","",INDEX(합계표[직급 공존],$X819)&amp;"")</f>
        <v/>
      </c>
      <c r="F819" s="20">
        <f>IF($X819="","",SUMIFS(합계표[시스템 합계],합계표[사번키],INDEX(합계표[사번키],$X819)))</f>
        <v/>
      </c>
      <c r="G819" s="20">
        <f>IF($X819="","",SUMIFS(상세표[기록 시간외],상세표[사번키],INDEX(합계표[사번키],$X819),상세표[기록월],대상월키))</f>
        <v/>
      </c>
      <c r="H819">
        <f>IF($X819="","",IF(ABS($F819-$G819)&lt;0.01,"일치","불일치(차이 "&amp;TEXT($G819-$F819,"0.00")&amp;")"))</f>
        <v/>
      </c>
      <c r="I819" s="20">
        <f>IF($X819="","",SUMIFS(상세표[기록 시간외],상세표[사번키],INDEX(합계표[사번키],$X819),상세표[기록월],대상월키,상세표[반영월],"&lt;&gt;"&amp;대상월키))</f>
        <v/>
      </c>
      <c r="J819" s="20">
        <f>IF($X819="","",SUMIFS(상세표[기록 시간외],상세표[사번키],INDEX(합계표[사번키],$X819),상세표[기록월],"&lt;&gt;"&amp;대상월키,상세표[반영월],대상월키))</f>
        <v/>
      </c>
      <c r="K819" s="20">
        <f>IF($X819="","",SUMIFS(상세표[기록 시간외],상세표[사번키],INDEX(합계표[사번키],$X819),상세표[반영월],대상월키))</f>
        <v/>
      </c>
      <c r="L819">
        <f>IF($X819="","",IFERROR(INDEX(월별근무지표[적용 급여병원],MATCH(INDEX(합계표[사번키],$X819)&amp;"|"&amp;대상월키,월별근무지표[키],0))&amp;"",IF(COUNTIF(기관표[사번키],INDEX(합계표[사번키],$X819))+COUNTIF(월별근무지표[사번키],INDEX(합계표[사번키],$X819))&gt;0,IFERROR(INDEX(기관표[급여지급병원(기준월)],MATCH(INDEX(합계표[사번키],$X819)&amp;"|"&amp;대상월키,기관표[키],0))&amp;"","—"),"—")))</f>
        <v/>
      </c>
      <c r="M819">
        <f>IF($X819="","",IF(NOT(COUNTIF(기관표[사번키],INDEX(합계표[사번키],$X819))+COUNTIF(월별근무지표[사번키],INDEX(합계표[사번키],$X819))&gt;0),"기관명단에 없음(다른 병원으로 발송)",IF($L819="서울병원","해당",IF(N($R819)&gt;0,"해당(말일 근무)",IF($L819="—","대상월 기관명단 없음(추가 필요)","비해당")))))</f>
        <v/>
      </c>
      <c r="N819" s="20">
        <f>IF($X819="","",SUMIFS(상세표[06~07시],상세표[사번키],INDEX(합계표[사번키],$X819),상세표[반영월],대상월키,상세표[반영 기관],"서울병원"))</f>
        <v/>
      </c>
      <c r="O819" s="20">
        <f>IF($X819="","",SUMIFS(상세표[07~18시],상세표[사번키],INDEX(합계표[사번키],$X819),상세표[반영월],대상월키,상세표[반영 기관],"서울병원"))</f>
        <v/>
      </c>
      <c r="P819" s="20">
        <f>IF($X819="","",SUMIFS(상세표[18~22시],상세표[사번키],INDEX(합계표[사번키],$X819),상세표[반영월],대상월키,상세표[반영 기관],"서울병원"))</f>
        <v/>
      </c>
      <c r="Q819" s="20">
        <f>IF($X819="","",SUMIFS(상세표[22~06시],상세표[사번키],INDEX(합계표[사번키],$X819),상세표[반영월],대상월키,상세표[반영 기관],"서울병원"))</f>
        <v/>
      </c>
      <c r="R819" s="20">
        <f>IF($X819="","",SUM($N819:$Q819))</f>
        <v/>
      </c>
      <c r="S819">
        <f>IF($X819="","",COUNTIFS(상세표[사번키],INDEX(합계표[사번키],$X819),상세표[반영월],대상월키,상세표[야간당직],1,상세표[야간 구분],"평일"))</f>
        <v/>
      </c>
      <c r="T819">
        <f>IF($X819="","",COUNTIFS(상세표[사번키],INDEX(합계표[사번키],$X819),상세표[반영월],대상월키,상세표[야간당직],1,상세표[야간 구분],"휴일"))</f>
        <v/>
      </c>
      <c r="U819">
        <f>IF($X819="","",COUNTIFS(상세표[사번키],INDEX(합계표[사번키],$X819),상세표[반영월],대상월키,상세표[야간당직],1,상세표[야간 구분],"평일",상세표[반영 기관],"서울병원"))</f>
        <v/>
      </c>
      <c r="V819">
        <f>IF($X819="","",COUNTIFS(상세표[사번키],INDEX(합계표[사번키],$X819),상세표[반영월],대상월키,상세표[야간당직],1,상세표[야간 구분],"휴일",상세표[반영 기관],"서울병원"))</f>
        <v/>
      </c>
      <c r="W819">
        <f>IF($X819="","",IF(ISNUMBER(MATCH(INDEX(합계표[사번키],$X819)&amp;"|"&amp;대상월키,월별근무지표[키],0)),"직접 입력",IF($L819="—","—","기관명단")))</f>
        <v/>
      </c>
      <c r="X819" s="4">
        <f>IFERROR(MATCH(814,합계표[판정순번],0),"")</f>
        <v/>
      </c>
    </row>
    <row r="820">
      <c r="A820">
        <f>IF($X820="","",INDEX(합계표[사번],$X820)&amp;"")</f>
        <v/>
      </c>
      <c r="B820">
        <f>IF($X820="","",INDEX(합계표[성명],$X820)&amp;"")</f>
        <v/>
      </c>
      <c r="C820">
        <f>IF($X820="","",INDEX(합계표[부서],$X820)&amp;"")</f>
        <v/>
      </c>
      <c r="D820">
        <f>IF($X820="","",INDEX(합계표[직위(요약)],$X820)&amp;"")</f>
        <v/>
      </c>
      <c r="E820">
        <f>IF($X820="","",INDEX(합계표[직급 공존],$X820)&amp;"")</f>
        <v/>
      </c>
      <c r="F820" s="20">
        <f>IF($X820="","",SUMIFS(합계표[시스템 합계],합계표[사번키],INDEX(합계표[사번키],$X820)))</f>
        <v/>
      </c>
      <c r="G820" s="20">
        <f>IF($X820="","",SUMIFS(상세표[기록 시간외],상세표[사번키],INDEX(합계표[사번키],$X820),상세표[기록월],대상월키))</f>
        <v/>
      </c>
      <c r="H820">
        <f>IF($X820="","",IF(ABS($F820-$G820)&lt;0.01,"일치","불일치(차이 "&amp;TEXT($G820-$F820,"0.00")&amp;")"))</f>
        <v/>
      </c>
      <c r="I820" s="20">
        <f>IF($X820="","",SUMIFS(상세표[기록 시간외],상세표[사번키],INDEX(합계표[사번키],$X820),상세표[기록월],대상월키,상세표[반영월],"&lt;&gt;"&amp;대상월키))</f>
        <v/>
      </c>
      <c r="J820" s="20">
        <f>IF($X820="","",SUMIFS(상세표[기록 시간외],상세표[사번키],INDEX(합계표[사번키],$X820),상세표[기록월],"&lt;&gt;"&amp;대상월키,상세표[반영월],대상월키))</f>
        <v/>
      </c>
      <c r="K820" s="20">
        <f>IF($X820="","",SUMIFS(상세표[기록 시간외],상세표[사번키],INDEX(합계표[사번키],$X820),상세표[반영월],대상월키))</f>
        <v/>
      </c>
      <c r="L820">
        <f>IF($X820="","",IFERROR(INDEX(월별근무지표[적용 급여병원],MATCH(INDEX(합계표[사번키],$X820)&amp;"|"&amp;대상월키,월별근무지표[키],0))&amp;"",IF(COUNTIF(기관표[사번키],INDEX(합계표[사번키],$X820))+COUNTIF(월별근무지표[사번키],INDEX(합계표[사번키],$X820))&gt;0,IFERROR(INDEX(기관표[급여지급병원(기준월)],MATCH(INDEX(합계표[사번키],$X820)&amp;"|"&amp;대상월키,기관표[키],0))&amp;"","—"),"—")))</f>
        <v/>
      </c>
      <c r="M820">
        <f>IF($X820="","",IF(NOT(COUNTIF(기관표[사번키],INDEX(합계표[사번키],$X820))+COUNTIF(월별근무지표[사번키],INDEX(합계표[사번키],$X820))&gt;0),"기관명단에 없음(다른 병원으로 발송)",IF($L820="서울병원","해당",IF(N($R820)&gt;0,"해당(말일 근무)",IF($L820="—","대상월 기관명단 없음(추가 필요)","비해당")))))</f>
        <v/>
      </c>
      <c r="N820" s="20">
        <f>IF($X820="","",SUMIFS(상세표[06~07시],상세표[사번키],INDEX(합계표[사번키],$X820),상세표[반영월],대상월키,상세표[반영 기관],"서울병원"))</f>
        <v/>
      </c>
      <c r="O820" s="20">
        <f>IF($X820="","",SUMIFS(상세표[07~18시],상세표[사번키],INDEX(합계표[사번키],$X820),상세표[반영월],대상월키,상세표[반영 기관],"서울병원"))</f>
        <v/>
      </c>
      <c r="P820" s="20">
        <f>IF($X820="","",SUMIFS(상세표[18~22시],상세표[사번키],INDEX(합계표[사번키],$X820),상세표[반영월],대상월키,상세표[반영 기관],"서울병원"))</f>
        <v/>
      </c>
      <c r="Q820" s="20">
        <f>IF($X820="","",SUMIFS(상세표[22~06시],상세표[사번키],INDEX(합계표[사번키],$X820),상세표[반영월],대상월키,상세표[반영 기관],"서울병원"))</f>
        <v/>
      </c>
      <c r="R820" s="20">
        <f>IF($X820="","",SUM($N820:$Q820))</f>
        <v/>
      </c>
      <c r="S820">
        <f>IF($X820="","",COUNTIFS(상세표[사번키],INDEX(합계표[사번키],$X820),상세표[반영월],대상월키,상세표[야간당직],1,상세표[야간 구분],"평일"))</f>
        <v/>
      </c>
      <c r="T820">
        <f>IF($X820="","",COUNTIFS(상세표[사번키],INDEX(합계표[사번키],$X820),상세표[반영월],대상월키,상세표[야간당직],1,상세표[야간 구분],"휴일"))</f>
        <v/>
      </c>
      <c r="U820">
        <f>IF($X820="","",COUNTIFS(상세표[사번키],INDEX(합계표[사번키],$X820),상세표[반영월],대상월키,상세표[야간당직],1,상세표[야간 구분],"평일",상세표[반영 기관],"서울병원"))</f>
        <v/>
      </c>
      <c r="V820">
        <f>IF($X820="","",COUNTIFS(상세표[사번키],INDEX(합계표[사번키],$X820),상세표[반영월],대상월키,상세표[야간당직],1,상세표[야간 구분],"휴일",상세표[반영 기관],"서울병원"))</f>
        <v/>
      </c>
      <c r="W820">
        <f>IF($X820="","",IF(ISNUMBER(MATCH(INDEX(합계표[사번키],$X820)&amp;"|"&amp;대상월키,월별근무지표[키],0)),"직접 입력",IF($L820="—","—","기관명단")))</f>
        <v/>
      </c>
      <c r="X820" s="4">
        <f>IFERROR(MATCH(815,합계표[판정순번],0),"")</f>
        <v/>
      </c>
    </row>
    <row r="821">
      <c r="A821">
        <f>IF($X821="","",INDEX(합계표[사번],$X821)&amp;"")</f>
        <v/>
      </c>
      <c r="B821">
        <f>IF($X821="","",INDEX(합계표[성명],$X821)&amp;"")</f>
        <v/>
      </c>
      <c r="C821">
        <f>IF($X821="","",INDEX(합계표[부서],$X821)&amp;"")</f>
        <v/>
      </c>
      <c r="D821">
        <f>IF($X821="","",INDEX(합계표[직위(요약)],$X821)&amp;"")</f>
        <v/>
      </c>
      <c r="E821">
        <f>IF($X821="","",INDEX(합계표[직급 공존],$X821)&amp;"")</f>
        <v/>
      </c>
      <c r="F821" s="20">
        <f>IF($X821="","",SUMIFS(합계표[시스템 합계],합계표[사번키],INDEX(합계표[사번키],$X821)))</f>
        <v/>
      </c>
      <c r="G821" s="20">
        <f>IF($X821="","",SUMIFS(상세표[기록 시간외],상세표[사번키],INDEX(합계표[사번키],$X821),상세표[기록월],대상월키))</f>
        <v/>
      </c>
      <c r="H821">
        <f>IF($X821="","",IF(ABS($F821-$G821)&lt;0.01,"일치","불일치(차이 "&amp;TEXT($G821-$F821,"0.00")&amp;")"))</f>
        <v/>
      </c>
      <c r="I821" s="20">
        <f>IF($X821="","",SUMIFS(상세표[기록 시간외],상세표[사번키],INDEX(합계표[사번키],$X821),상세표[기록월],대상월키,상세표[반영월],"&lt;&gt;"&amp;대상월키))</f>
        <v/>
      </c>
      <c r="J821" s="20">
        <f>IF($X821="","",SUMIFS(상세표[기록 시간외],상세표[사번키],INDEX(합계표[사번키],$X821),상세표[기록월],"&lt;&gt;"&amp;대상월키,상세표[반영월],대상월키))</f>
        <v/>
      </c>
      <c r="K821" s="20">
        <f>IF($X821="","",SUMIFS(상세표[기록 시간외],상세표[사번키],INDEX(합계표[사번키],$X821),상세표[반영월],대상월키))</f>
        <v/>
      </c>
      <c r="L821">
        <f>IF($X821="","",IFERROR(INDEX(월별근무지표[적용 급여병원],MATCH(INDEX(합계표[사번키],$X821)&amp;"|"&amp;대상월키,월별근무지표[키],0))&amp;"",IF(COUNTIF(기관표[사번키],INDEX(합계표[사번키],$X821))+COUNTIF(월별근무지표[사번키],INDEX(합계표[사번키],$X821))&gt;0,IFERROR(INDEX(기관표[급여지급병원(기준월)],MATCH(INDEX(합계표[사번키],$X821)&amp;"|"&amp;대상월키,기관표[키],0))&amp;"","—"),"—")))</f>
        <v/>
      </c>
      <c r="M821">
        <f>IF($X821="","",IF(NOT(COUNTIF(기관표[사번키],INDEX(합계표[사번키],$X821))+COUNTIF(월별근무지표[사번키],INDEX(합계표[사번키],$X821))&gt;0),"기관명단에 없음(다른 병원으로 발송)",IF($L821="서울병원","해당",IF(N($R821)&gt;0,"해당(말일 근무)",IF($L821="—","대상월 기관명단 없음(추가 필요)","비해당")))))</f>
        <v/>
      </c>
      <c r="N821" s="20">
        <f>IF($X821="","",SUMIFS(상세표[06~07시],상세표[사번키],INDEX(합계표[사번키],$X821),상세표[반영월],대상월키,상세표[반영 기관],"서울병원"))</f>
        <v/>
      </c>
      <c r="O821" s="20">
        <f>IF($X821="","",SUMIFS(상세표[07~18시],상세표[사번키],INDEX(합계표[사번키],$X821),상세표[반영월],대상월키,상세표[반영 기관],"서울병원"))</f>
        <v/>
      </c>
      <c r="P821" s="20">
        <f>IF($X821="","",SUMIFS(상세표[18~22시],상세표[사번키],INDEX(합계표[사번키],$X821),상세표[반영월],대상월키,상세표[반영 기관],"서울병원"))</f>
        <v/>
      </c>
      <c r="Q821" s="20">
        <f>IF($X821="","",SUMIFS(상세표[22~06시],상세표[사번키],INDEX(합계표[사번키],$X821),상세표[반영월],대상월키,상세표[반영 기관],"서울병원"))</f>
        <v/>
      </c>
      <c r="R821" s="20">
        <f>IF($X821="","",SUM($N821:$Q821))</f>
        <v/>
      </c>
      <c r="S821">
        <f>IF($X821="","",COUNTIFS(상세표[사번키],INDEX(합계표[사번키],$X821),상세표[반영월],대상월키,상세표[야간당직],1,상세표[야간 구분],"평일"))</f>
        <v/>
      </c>
      <c r="T821">
        <f>IF($X821="","",COUNTIFS(상세표[사번키],INDEX(합계표[사번키],$X821),상세표[반영월],대상월키,상세표[야간당직],1,상세표[야간 구분],"휴일"))</f>
        <v/>
      </c>
      <c r="U821">
        <f>IF($X821="","",COUNTIFS(상세표[사번키],INDEX(합계표[사번키],$X821),상세표[반영월],대상월키,상세표[야간당직],1,상세표[야간 구분],"평일",상세표[반영 기관],"서울병원"))</f>
        <v/>
      </c>
      <c r="V821">
        <f>IF($X821="","",COUNTIFS(상세표[사번키],INDEX(합계표[사번키],$X821),상세표[반영월],대상월키,상세표[야간당직],1,상세표[야간 구분],"휴일",상세표[반영 기관],"서울병원"))</f>
        <v/>
      </c>
      <c r="W821">
        <f>IF($X821="","",IF(ISNUMBER(MATCH(INDEX(합계표[사번키],$X821)&amp;"|"&amp;대상월키,월별근무지표[키],0)),"직접 입력",IF($L821="—","—","기관명단")))</f>
        <v/>
      </c>
      <c r="X821" s="4">
        <f>IFERROR(MATCH(816,합계표[판정순번],0),"")</f>
        <v/>
      </c>
    </row>
    <row r="822">
      <c r="A822">
        <f>IF($X822="","",INDEX(합계표[사번],$X822)&amp;"")</f>
        <v/>
      </c>
      <c r="B822">
        <f>IF($X822="","",INDEX(합계표[성명],$X822)&amp;"")</f>
        <v/>
      </c>
      <c r="C822">
        <f>IF($X822="","",INDEX(합계표[부서],$X822)&amp;"")</f>
        <v/>
      </c>
      <c r="D822">
        <f>IF($X822="","",INDEX(합계표[직위(요약)],$X822)&amp;"")</f>
        <v/>
      </c>
      <c r="E822">
        <f>IF($X822="","",INDEX(합계표[직급 공존],$X822)&amp;"")</f>
        <v/>
      </c>
      <c r="F822" s="20">
        <f>IF($X822="","",SUMIFS(합계표[시스템 합계],합계표[사번키],INDEX(합계표[사번키],$X822)))</f>
        <v/>
      </c>
      <c r="G822" s="20">
        <f>IF($X822="","",SUMIFS(상세표[기록 시간외],상세표[사번키],INDEX(합계표[사번키],$X822),상세표[기록월],대상월키))</f>
        <v/>
      </c>
      <c r="H822">
        <f>IF($X822="","",IF(ABS($F822-$G822)&lt;0.01,"일치","불일치(차이 "&amp;TEXT($G822-$F822,"0.00")&amp;")"))</f>
        <v/>
      </c>
      <c r="I822" s="20">
        <f>IF($X822="","",SUMIFS(상세표[기록 시간외],상세표[사번키],INDEX(합계표[사번키],$X822),상세표[기록월],대상월키,상세표[반영월],"&lt;&gt;"&amp;대상월키))</f>
        <v/>
      </c>
      <c r="J822" s="20">
        <f>IF($X822="","",SUMIFS(상세표[기록 시간외],상세표[사번키],INDEX(합계표[사번키],$X822),상세표[기록월],"&lt;&gt;"&amp;대상월키,상세표[반영월],대상월키))</f>
        <v/>
      </c>
      <c r="K822" s="20">
        <f>IF($X822="","",SUMIFS(상세표[기록 시간외],상세표[사번키],INDEX(합계표[사번키],$X822),상세표[반영월],대상월키))</f>
        <v/>
      </c>
      <c r="L822">
        <f>IF($X822="","",IFERROR(INDEX(월별근무지표[적용 급여병원],MATCH(INDEX(합계표[사번키],$X822)&amp;"|"&amp;대상월키,월별근무지표[키],0))&amp;"",IF(COUNTIF(기관표[사번키],INDEX(합계표[사번키],$X822))+COUNTIF(월별근무지표[사번키],INDEX(합계표[사번키],$X822))&gt;0,IFERROR(INDEX(기관표[급여지급병원(기준월)],MATCH(INDEX(합계표[사번키],$X822)&amp;"|"&amp;대상월키,기관표[키],0))&amp;"","—"),"—")))</f>
        <v/>
      </c>
      <c r="M822">
        <f>IF($X822="","",IF(NOT(COUNTIF(기관표[사번키],INDEX(합계표[사번키],$X822))+COUNTIF(월별근무지표[사번키],INDEX(합계표[사번키],$X822))&gt;0),"기관명단에 없음(다른 병원으로 발송)",IF($L822="서울병원","해당",IF(N($R822)&gt;0,"해당(말일 근무)",IF($L822="—","대상월 기관명단 없음(추가 필요)","비해당")))))</f>
        <v/>
      </c>
      <c r="N822" s="20">
        <f>IF($X822="","",SUMIFS(상세표[06~07시],상세표[사번키],INDEX(합계표[사번키],$X822),상세표[반영월],대상월키,상세표[반영 기관],"서울병원"))</f>
        <v/>
      </c>
      <c r="O822" s="20">
        <f>IF($X822="","",SUMIFS(상세표[07~18시],상세표[사번키],INDEX(합계표[사번키],$X822),상세표[반영월],대상월키,상세표[반영 기관],"서울병원"))</f>
        <v/>
      </c>
      <c r="P822" s="20">
        <f>IF($X822="","",SUMIFS(상세표[18~22시],상세표[사번키],INDEX(합계표[사번키],$X822),상세표[반영월],대상월키,상세표[반영 기관],"서울병원"))</f>
        <v/>
      </c>
      <c r="Q822" s="20">
        <f>IF($X822="","",SUMIFS(상세표[22~06시],상세표[사번키],INDEX(합계표[사번키],$X822),상세표[반영월],대상월키,상세표[반영 기관],"서울병원"))</f>
        <v/>
      </c>
      <c r="R822" s="20">
        <f>IF($X822="","",SUM($N822:$Q822))</f>
        <v/>
      </c>
      <c r="S822">
        <f>IF($X822="","",COUNTIFS(상세표[사번키],INDEX(합계표[사번키],$X822),상세표[반영월],대상월키,상세표[야간당직],1,상세표[야간 구분],"평일"))</f>
        <v/>
      </c>
      <c r="T822">
        <f>IF($X822="","",COUNTIFS(상세표[사번키],INDEX(합계표[사번키],$X822),상세표[반영월],대상월키,상세표[야간당직],1,상세표[야간 구분],"휴일"))</f>
        <v/>
      </c>
      <c r="U822">
        <f>IF($X822="","",COUNTIFS(상세표[사번키],INDEX(합계표[사번키],$X822),상세표[반영월],대상월키,상세표[야간당직],1,상세표[야간 구분],"평일",상세표[반영 기관],"서울병원"))</f>
        <v/>
      </c>
      <c r="V822">
        <f>IF($X822="","",COUNTIFS(상세표[사번키],INDEX(합계표[사번키],$X822),상세표[반영월],대상월키,상세표[야간당직],1,상세표[야간 구분],"휴일",상세표[반영 기관],"서울병원"))</f>
        <v/>
      </c>
      <c r="W822">
        <f>IF($X822="","",IF(ISNUMBER(MATCH(INDEX(합계표[사번키],$X822)&amp;"|"&amp;대상월키,월별근무지표[키],0)),"직접 입력",IF($L822="—","—","기관명단")))</f>
        <v/>
      </c>
      <c r="X822" s="4">
        <f>IFERROR(MATCH(817,합계표[판정순번],0),"")</f>
        <v/>
      </c>
    </row>
    <row r="823">
      <c r="A823">
        <f>IF($X823="","",INDEX(합계표[사번],$X823)&amp;"")</f>
        <v/>
      </c>
      <c r="B823">
        <f>IF($X823="","",INDEX(합계표[성명],$X823)&amp;"")</f>
        <v/>
      </c>
      <c r="C823">
        <f>IF($X823="","",INDEX(합계표[부서],$X823)&amp;"")</f>
        <v/>
      </c>
      <c r="D823">
        <f>IF($X823="","",INDEX(합계표[직위(요약)],$X823)&amp;"")</f>
        <v/>
      </c>
      <c r="E823">
        <f>IF($X823="","",INDEX(합계표[직급 공존],$X823)&amp;"")</f>
        <v/>
      </c>
      <c r="F823" s="20">
        <f>IF($X823="","",SUMIFS(합계표[시스템 합계],합계표[사번키],INDEX(합계표[사번키],$X823)))</f>
        <v/>
      </c>
      <c r="G823" s="20">
        <f>IF($X823="","",SUMIFS(상세표[기록 시간외],상세표[사번키],INDEX(합계표[사번키],$X823),상세표[기록월],대상월키))</f>
        <v/>
      </c>
      <c r="H823">
        <f>IF($X823="","",IF(ABS($F823-$G823)&lt;0.01,"일치","불일치(차이 "&amp;TEXT($G823-$F823,"0.00")&amp;")"))</f>
        <v/>
      </c>
      <c r="I823" s="20">
        <f>IF($X823="","",SUMIFS(상세표[기록 시간외],상세표[사번키],INDEX(합계표[사번키],$X823),상세표[기록월],대상월키,상세표[반영월],"&lt;&gt;"&amp;대상월키))</f>
        <v/>
      </c>
      <c r="J823" s="20">
        <f>IF($X823="","",SUMIFS(상세표[기록 시간외],상세표[사번키],INDEX(합계표[사번키],$X823),상세표[기록월],"&lt;&gt;"&amp;대상월키,상세표[반영월],대상월키))</f>
        <v/>
      </c>
      <c r="K823" s="20">
        <f>IF($X823="","",SUMIFS(상세표[기록 시간외],상세표[사번키],INDEX(합계표[사번키],$X823),상세표[반영월],대상월키))</f>
        <v/>
      </c>
      <c r="L823">
        <f>IF($X823="","",IFERROR(INDEX(월별근무지표[적용 급여병원],MATCH(INDEX(합계표[사번키],$X823)&amp;"|"&amp;대상월키,월별근무지표[키],0))&amp;"",IF(COUNTIF(기관표[사번키],INDEX(합계표[사번키],$X823))+COUNTIF(월별근무지표[사번키],INDEX(합계표[사번키],$X823))&gt;0,IFERROR(INDEX(기관표[급여지급병원(기준월)],MATCH(INDEX(합계표[사번키],$X823)&amp;"|"&amp;대상월키,기관표[키],0))&amp;"","—"),"—")))</f>
        <v/>
      </c>
      <c r="M823">
        <f>IF($X823="","",IF(NOT(COUNTIF(기관표[사번키],INDEX(합계표[사번키],$X823))+COUNTIF(월별근무지표[사번키],INDEX(합계표[사번키],$X823))&gt;0),"기관명단에 없음(다른 병원으로 발송)",IF($L823="서울병원","해당",IF(N($R823)&gt;0,"해당(말일 근무)",IF($L823="—","대상월 기관명단 없음(추가 필요)","비해당")))))</f>
        <v/>
      </c>
      <c r="N823" s="20">
        <f>IF($X823="","",SUMIFS(상세표[06~07시],상세표[사번키],INDEX(합계표[사번키],$X823),상세표[반영월],대상월키,상세표[반영 기관],"서울병원"))</f>
        <v/>
      </c>
      <c r="O823" s="20">
        <f>IF($X823="","",SUMIFS(상세표[07~18시],상세표[사번키],INDEX(합계표[사번키],$X823),상세표[반영월],대상월키,상세표[반영 기관],"서울병원"))</f>
        <v/>
      </c>
      <c r="P823" s="20">
        <f>IF($X823="","",SUMIFS(상세표[18~22시],상세표[사번키],INDEX(합계표[사번키],$X823),상세표[반영월],대상월키,상세표[반영 기관],"서울병원"))</f>
        <v/>
      </c>
      <c r="Q823" s="20">
        <f>IF($X823="","",SUMIFS(상세표[22~06시],상세표[사번키],INDEX(합계표[사번키],$X823),상세표[반영월],대상월키,상세표[반영 기관],"서울병원"))</f>
        <v/>
      </c>
      <c r="R823" s="20">
        <f>IF($X823="","",SUM($N823:$Q823))</f>
        <v/>
      </c>
      <c r="S823">
        <f>IF($X823="","",COUNTIFS(상세표[사번키],INDEX(합계표[사번키],$X823),상세표[반영월],대상월키,상세표[야간당직],1,상세표[야간 구분],"평일"))</f>
        <v/>
      </c>
      <c r="T823">
        <f>IF($X823="","",COUNTIFS(상세표[사번키],INDEX(합계표[사번키],$X823),상세표[반영월],대상월키,상세표[야간당직],1,상세표[야간 구분],"휴일"))</f>
        <v/>
      </c>
      <c r="U823">
        <f>IF($X823="","",COUNTIFS(상세표[사번키],INDEX(합계표[사번키],$X823),상세표[반영월],대상월키,상세표[야간당직],1,상세표[야간 구분],"평일",상세표[반영 기관],"서울병원"))</f>
        <v/>
      </c>
      <c r="V823">
        <f>IF($X823="","",COUNTIFS(상세표[사번키],INDEX(합계표[사번키],$X823),상세표[반영월],대상월키,상세표[야간당직],1,상세표[야간 구분],"휴일",상세표[반영 기관],"서울병원"))</f>
        <v/>
      </c>
      <c r="W823">
        <f>IF($X823="","",IF(ISNUMBER(MATCH(INDEX(합계표[사번키],$X823)&amp;"|"&amp;대상월키,월별근무지표[키],0)),"직접 입력",IF($L823="—","—","기관명단")))</f>
        <v/>
      </c>
      <c r="X823" s="4">
        <f>IFERROR(MATCH(818,합계표[판정순번],0),"")</f>
        <v/>
      </c>
    </row>
    <row r="824">
      <c r="A824">
        <f>IF($X824="","",INDEX(합계표[사번],$X824)&amp;"")</f>
        <v/>
      </c>
      <c r="B824">
        <f>IF($X824="","",INDEX(합계표[성명],$X824)&amp;"")</f>
        <v/>
      </c>
      <c r="C824">
        <f>IF($X824="","",INDEX(합계표[부서],$X824)&amp;"")</f>
        <v/>
      </c>
      <c r="D824">
        <f>IF($X824="","",INDEX(합계표[직위(요약)],$X824)&amp;"")</f>
        <v/>
      </c>
      <c r="E824">
        <f>IF($X824="","",INDEX(합계표[직급 공존],$X824)&amp;"")</f>
        <v/>
      </c>
      <c r="F824" s="20">
        <f>IF($X824="","",SUMIFS(합계표[시스템 합계],합계표[사번키],INDEX(합계표[사번키],$X824)))</f>
        <v/>
      </c>
      <c r="G824" s="20">
        <f>IF($X824="","",SUMIFS(상세표[기록 시간외],상세표[사번키],INDEX(합계표[사번키],$X824),상세표[기록월],대상월키))</f>
        <v/>
      </c>
      <c r="H824">
        <f>IF($X824="","",IF(ABS($F824-$G824)&lt;0.01,"일치","불일치(차이 "&amp;TEXT($G824-$F824,"0.00")&amp;")"))</f>
        <v/>
      </c>
      <c r="I824" s="20">
        <f>IF($X824="","",SUMIFS(상세표[기록 시간외],상세표[사번키],INDEX(합계표[사번키],$X824),상세표[기록월],대상월키,상세표[반영월],"&lt;&gt;"&amp;대상월키))</f>
        <v/>
      </c>
      <c r="J824" s="20">
        <f>IF($X824="","",SUMIFS(상세표[기록 시간외],상세표[사번키],INDEX(합계표[사번키],$X824),상세표[기록월],"&lt;&gt;"&amp;대상월키,상세표[반영월],대상월키))</f>
        <v/>
      </c>
      <c r="K824" s="20">
        <f>IF($X824="","",SUMIFS(상세표[기록 시간외],상세표[사번키],INDEX(합계표[사번키],$X824),상세표[반영월],대상월키))</f>
        <v/>
      </c>
      <c r="L824">
        <f>IF($X824="","",IFERROR(INDEX(월별근무지표[적용 급여병원],MATCH(INDEX(합계표[사번키],$X824)&amp;"|"&amp;대상월키,월별근무지표[키],0))&amp;"",IF(COUNTIF(기관표[사번키],INDEX(합계표[사번키],$X824))+COUNTIF(월별근무지표[사번키],INDEX(합계표[사번키],$X824))&gt;0,IFERROR(INDEX(기관표[급여지급병원(기준월)],MATCH(INDEX(합계표[사번키],$X824)&amp;"|"&amp;대상월키,기관표[키],0))&amp;"","—"),"—")))</f>
        <v/>
      </c>
      <c r="M824">
        <f>IF($X824="","",IF(NOT(COUNTIF(기관표[사번키],INDEX(합계표[사번키],$X824))+COUNTIF(월별근무지표[사번키],INDEX(합계표[사번키],$X824))&gt;0),"기관명단에 없음(다른 병원으로 발송)",IF($L824="서울병원","해당",IF(N($R824)&gt;0,"해당(말일 근무)",IF($L824="—","대상월 기관명단 없음(추가 필요)","비해당")))))</f>
        <v/>
      </c>
      <c r="N824" s="20">
        <f>IF($X824="","",SUMIFS(상세표[06~07시],상세표[사번키],INDEX(합계표[사번키],$X824),상세표[반영월],대상월키,상세표[반영 기관],"서울병원"))</f>
        <v/>
      </c>
      <c r="O824" s="20">
        <f>IF($X824="","",SUMIFS(상세표[07~18시],상세표[사번키],INDEX(합계표[사번키],$X824),상세표[반영월],대상월키,상세표[반영 기관],"서울병원"))</f>
        <v/>
      </c>
      <c r="P824" s="20">
        <f>IF($X824="","",SUMIFS(상세표[18~22시],상세표[사번키],INDEX(합계표[사번키],$X824),상세표[반영월],대상월키,상세표[반영 기관],"서울병원"))</f>
        <v/>
      </c>
      <c r="Q824" s="20">
        <f>IF($X824="","",SUMIFS(상세표[22~06시],상세표[사번키],INDEX(합계표[사번키],$X824),상세표[반영월],대상월키,상세표[반영 기관],"서울병원"))</f>
        <v/>
      </c>
      <c r="R824" s="20">
        <f>IF($X824="","",SUM($N824:$Q824))</f>
        <v/>
      </c>
      <c r="S824">
        <f>IF($X824="","",COUNTIFS(상세표[사번키],INDEX(합계표[사번키],$X824),상세표[반영월],대상월키,상세표[야간당직],1,상세표[야간 구분],"평일"))</f>
        <v/>
      </c>
      <c r="T824">
        <f>IF($X824="","",COUNTIFS(상세표[사번키],INDEX(합계표[사번키],$X824),상세표[반영월],대상월키,상세표[야간당직],1,상세표[야간 구분],"휴일"))</f>
        <v/>
      </c>
      <c r="U824">
        <f>IF($X824="","",COUNTIFS(상세표[사번키],INDEX(합계표[사번키],$X824),상세표[반영월],대상월키,상세표[야간당직],1,상세표[야간 구분],"평일",상세표[반영 기관],"서울병원"))</f>
        <v/>
      </c>
      <c r="V824">
        <f>IF($X824="","",COUNTIFS(상세표[사번키],INDEX(합계표[사번키],$X824),상세표[반영월],대상월키,상세표[야간당직],1,상세표[야간 구분],"휴일",상세표[반영 기관],"서울병원"))</f>
        <v/>
      </c>
      <c r="W824">
        <f>IF($X824="","",IF(ISNUMBER(MATCH(INDEX(합계표[사번키],$X824)&amp;"|"&amp;대상월키,월별근무지표[키],0)),"직접 입력",IF($L824="—","—","기관명단")))</f>
        <v/>
      </c>
      <c r="X824" s="4">
        <f>IFERROR(MATCH(819,합계표[판정순번],0),"")</f>
        <v/>
      </c>
    </row>
    <row r="825">
      <c r="A825">
        <f>IF($X825="","",INDEX(합계표[사번],$X825)&amp;"")</f>
        <v/>
      </c>
      <c r="B825">
        <f>IF($X825="","",INDEX(합계표[성명],$X825)&amp;"")</f>
        <v/>
      </c>
      <c r="C825">
        <f>IF($X825="","",INDEX(합계표[부서],$X825)&amp;"")</f>
        <v/>
      </c>
      <c r="D825">
        <f>IF($X825="","",INDEX(합계표[직위(요약)],$X825)&amp;"")</f>
        <v/>
      </c>
      <c r="E825">
        <f>IF($X825="","",INDEX(합계표[직급 공존],$X825)&amp;"")</f>
        <v/>
      </c>
      <c r="F825" s="20">
        <f>IF($X825="","",SUMIFS(합계표[시스템 합계],합계표[사번키],INDEX(합계표[사번키],$X825)))</f>
        <v/>
      </c>
      <c r="G825" s="20">
        <f>IF($X825="","",SUMIFS(상세표[기록 시간외],상세표[사번키],INDEX(합계표[사번키],$X825),상세표[기록월],대상월키))</f>
        <v/>
      </c>
      <c r="H825">
        <f>IF($X825="","",IF(ABS($F825-$G825)&lt;0.01,"일치","불일치(차이 "&amp;TEXT($G825-$F825,"0.00")&amp;")"))</f>
        <v/>
      </c>
      <c r="I825" s="20">
        <f>IF($X825="","",SUMIFS(상세표[기록 시간외],상세표[사번키],INDEX(합계표[사번키],$X825),상세표[기록월],대상월키,상세표[반영월],"&lt;&gt;"&amp;대상월키))</f>
        <v/>
      </c>
      <c r="J825" s="20">
        <f>IF($X825="","",SUMIFS(상세표[기록 시간외],상세표[사번키],INDEX(합계표[사번키],$X825),상세표[기록월],"&lt;&gt;"&amp;대상월키,상세표[반영월],대상월키))</f>
        <v/>
      </c>
      <c r="K825" s="20">
        <f>IF($X825="","",SUMIFS(상세표[기록 시간외],상세표[사번키],INDEX(합계표[사번키],$X825),상세표[반영월],대상월키))</f>
        <v/>
      </c>
      <c r="L825">
        <f>IF($X825="","",IFERROR(INDEX(월별근무지표[적용 급여병원],MATCH(INDEX(합계표[사번키],$X825)&amp;"|"&amp;대상월키,월별근무지표[키],0))&amp;"",IF(COUNTIF(기관표[사번키],INDEX(합계표[사번키],$X825))+COUNTIF(월별근무지표[사번키],INDEX(합계표[사번키],$X825))&gt;0,IFERROR(INDEX(기관표[급여지급병원(기준월)],MATCH(INDEX(합계표[사번키],$X825)&amp;"|"&amp;대상월키,기관표[키],0))&amp;"","—"),"—")))</f>
        <v/>
      </c>
      <c r="M825">
        <f>IF($X825="","",IF(NOT(COUNTIF(기관표[사번키],INDEX(합계표[사번키],$X825))+COUNTIF(월별근무지표[사번키],INDEX(합계표[사번키],$X825))&gt;0),"기관명단에 없음(다른 병원으로 발송)",IF($L825="서울병원","해당",IF(N($R825)&gt;0,"해당(말일 근무)",IF($L825="—","대상월 기관명단 없음(추가 필요)","비해당")))))</f>
        <v/>
      </c>
      <c r="N825" s="20">
        <f>IF($X825="","",SUMIFS(상세표[06~07시],상세표[사번키],INDEX(합계표[사번키],$X825),상세표[반영월],대상월키,상세표[반영 기관],"서울병원"))</f>
        <v/>
      </c>
      <c r="O825" s="20">
        <f>IF($X825="","",SUMIFS(상세표[07~18시],상세표[사번키],INDEX(합계표[사번키],$X825),상세표[반영월],대상월키,상세표[반영 기관],"서울병원"))</f>
        <v/>
      </c>
      <c r="P825" s="20">
        <f>IF($X825="","",SUMIFS(상세표[18~22시],상세표[사번키],INDEX(합계표[사번키],$X825),상세표[반영월],대상월키,상세표[반영 기관],"서울병원"))</f>
        <v/>
      </c>
      <c r="Q825" s="20">
        <f>IF($X825="","",SUMIFS(상세표[22~06시],상세표[사번키],INDEX(합계표[사번키],$X825),상세표[반영월],대상월키,상세표[반영 기관],"서울병원"))</f>
        <v/>
      </c>
      <c r="R825" s="20">
        <f>IF($X825="","",SUM($N825:$Q825))</f>
        <v/>
      </c>
      <c r="S825">
        <f>IF($X825="","",COUNTIFS(상세표[사번키],INDEX(합계표[사번키],$X825),상세표[반영월],대상월키,상세표[야간당직],1,상세표[야간 구분],"평일"))</f>
        <v/>
      </c>
      <c r="T825">
        <f>IF($X825="","",COUNTIFS(상세표[사번키],INDEX(합계표[사번키],$X825),상세표[반영월],대상월키,상세표[야간당직],1,상세표[야간 구분],"휴일"))</f>
        <v/>
      </c>
      <c r="U825">
        <f>IF($X825="","",COUNTIFS(상세표[사번키],INDEX(합계표[사번키],$X825),상세표[반영월],대상월키,상세표[야간당직],1,상세표[야간 구분],"평일",상세표[반영 기관],"서울병원"))</f>
        <v/>
      </c>
      <c r="V825">
        <f>IF($X825="","",COUNTIFS(상세표[사번키],INDEX(합계표[사번키],$X825),상세표[반영월],대상월키,상세표[야간당직],1,상세표[야간 구분],"휴일",상세표[반영 기관],"서울병원"))</f>
        <v/>
      </c>
      <c r="W825">
        <f>IF($X825="","",IF(ISNUMBER(MATCH(INDEX(합계표[사번키],$X825)&amp;"|"&amp;대상월키,월별근무지표[키],0)),"직접 입력",IF($L825="—","—","기관명단")))</f>
        <v/>
      </c>
      <c r="X825" s="4">
        <f>IFERROR(MATCH(820,합계표[판정순번],0),"")</f>
        <v/>
      </c>
    </row>
    <row r="826">
      <c r="A826">
        <f>IF($X826="","",INDEX(합계표[사번],$X826)&amp;"")</f>
        <v/>
      </c>
      <c r="B826">
        <f>IF($X826="","",INDEX(합계표[성명],$X826)&amp;"")</f>
        <v/>
      </c>
      <c r="C826">
        <f>IF($X826="","",INDEX(합계표[부서],$X826)&amp;"")</f>
        <v/>
      </c>
      <c r="D826">
        <f>IF($X826="","",INDEX(합계표[직위(요약)],$X826)&amp;"")</f>
        <v/>
      </c>
      <c r="E826">
        <f>IF($X826="","",INDEX(합계표[직급 공존],$X826)&amp;"")</f>
        <v/>
      </c>
      <c r="F826" s="20">
        <f>IF($X826="","",SUMIFS(합계표[시스템 합계],합계표[사번키],INDEX(합계표[사번키],$X826)))</f>
        <v/>
      </c>
      <c r="G826" s="20">
        <f>IF($X826="","",SUMIFS(상세표[기록 시간외],상세표[사번키],INDEX(합계표[사번키],$X826),상세표[기록월],대상월키))</f>
        <v/>
      </c>
      <c r="H826">
        <f>IF($X826="","",IF(ABS($F826-$G826)&lt;0.01,"일치","불일치(차이 "&amp;TEXT($G826-$F826,"0.00")&amp;")"))</f>
        <v/>
      </c>
      <c r="I826" s="20">
        <f>IF($X826="","",SUMIFS(상세표[기록 시간외],상세표[사번키],INDEX(합계표[사번키],$X826),상세표[기록월],대상월키,상세표[반영월],"&lt;&gt;"&amp;대상월키))</f>
        <v/>
      </c>
      <c r="J826" s="20">
        <f>IF($X826="","",SUMIFS(상세표[기록 시간외],상세표[사번키],INDEX(합계표[사번키],$X826),상세표[기록월],"&lt;&gt;"&amp;대상월키,상세표[반영월],대상월키))</f>
        <v/>
      </c>
      <c r="K826" s="20">
        <f>IF($X826="","",SUMIFS(상세표[기록 시간외],상세표[사번키],INDEX(합계표[사번키],$X826),상세표[반영월],대상월키))</f>
        <v/>
      </c>
      <c r="L826">
        <f>IF($X826="","",IFERROR(INDEX(월별근무지표[적용 급여병원],MATCH(INDEX(합계표[사번키],$X826)&amp;"|"&amp;대상월키,월별근무지표[키],0))&amp;"",IF(COUNTIF(기관표[사번키],INDEX(합계표[사번키],$X826))+COUNTIF(월별근무지표[사번키],INDEX(합계표[사번키],$X826))&gt;0,IFERROR(INDEX(기관표[급여지급병원(기준월)],MATCH(INDEX(합계표[사번키],$X826)&amp;"|"&amp;대상월키,기관표[키],0))&amp;"","—"),"—")))</f>
        <v/>
      </c>
      <c r="M826">
        <f>IF($X826="","",IF(NOT(COUNTIF(기관표[사번키],INDEX(합계표[사번키],$X826))+COUNTIF(월별근무지표[사번키],INDEX(합계표[사번키],$X826))&gt;0),"기관명단에 없음(다른 병원으로 발송)",IF($L826="서울병원","해당",IF(N($R826)&gt;0,"해당(말일 근무)",IF($L826="—","대상월 기관명단 없음(추가 필요)","비해당")))))</f>
        <v/>
      </c>
      <c r="N826" s="20">
        <f>IF($X826="","",SUMIFS(상세표[06~07시],상세표[사번키],INDEX(합계표[사번키],$X826),상세표[반영월],대상월키,상세표[반영 기관],"서울병원"))</f>
        <v/>
      </c>
      <c r="O826" s="20">
        <f>IF($X826="","",SUMIFS(상세표[07~18시],상세표[사번키],INDEX(합계표[사번키],$X826),상세표[반영월],대상월키,상세표[반영 기관],"서울병원"))</f>
        <v/>
      </c>
      <c r="P826" s="20">
        <f>IF($X826="","",SUMIFS(상세표[18~22시],상세표[사번키],INDEX(합계표[사번키],$X826),상세표[반영월],대상월키,상세표[반영 기관],"서울병원"))</f>
        <v/>
      </c>
      <c r="Q826" s="20">
        <f>IF($X826="","",SUMIFS(상세표[22~06시],상세표[사번키],INDEX(합계표[사번키],$X826),상세표[반영월],대상월키,상세표[반영 기관],"서울병원"))</f>
        <v/>
      </c>
      <c r="R826" s="20">
        <f>IF($X826="","",SUM($N826:$Q826))</f>
        <v/>
      </c>
      <c r="S826">
        <f>IF($X826="","",COUNTIFS(상세표[사번키],INDEX(합계표[사번키],$X826),상세표[반영월],대상월키,상세표[야간당직],1,상세표[야간 구분],"평일"))</f>
        <v/>
      </c>
      <c r="T826">
        <f>IF($X826="","",COUNTIFS(상세표[사번키],INDEX(합계표[사번키],$X826),상세표[반영월],대상월키,상세표[야간당직],1,상세표[야간 구분],"휴일"))</f>
        <v/>
      </c>
      <c r="U826">
        <f>IF($X826="","",COUNTIFS(상세표[사번키],INDEX(합계표[사번키],$X826),상세표[반영월],대상월키,상세표[야간당직],1,상세표[야간 구분],"평일",상세표[반영 기관],"서울병원"))</f>
        <v/>
      </c>
      <c r="V826">
        <f>IF($X826="","",COUNTIFS(상세표[사번키],INDEX(합계표[사번키],$X826),상세표[반영월],대상월키,상세표[야간당직],1,상세표[야간 구분],"휴일",상세표[반영 기관],"서울병원"))</f>
        <v/>
      </c>
      <c r="W826">
        <f>IF($X826="","",IF(ISNUMBER(MATCH(INDEX(합계표[사번키],$X826)&amp;"|"&amp;대상월키,월별근무지표[키],0)),"직접 입력",IF($L826="—","—","기관명단")))</f>
        <v/>
      </c>
      <c r="X826" s="4">
        <f>IFERROR(MATCH(821,합계표[판정순번],0),"")</f>
        <v/>
      </c>
    </row>
    <row r="827">
      <c r="A827">
        <f>IF($X827="","",INDEX(합계표[사번],$X827)&amp;"")</f>
        <v/>
      </c>
      <c r="B827">
        <f>IF($X827="","",INDEX(합계표[성명],$X827)&amp;"")</f>
        <v/>
      </c>
      <c r="C827">
        <f>IF($X827="","",INDEX(합계표[부서],$X827)&amp;"")</f>
        <v/>
      </c>
      <c r="D827">
        <f>IF($X827="","",INDEX(합계표[직위(요약)],$X827)&amp;"")</f>
        <v/>
      </c>
      <c r="E827">
        <f>IF($X827="","",INDEX(합계표[직급 공존],$X827)&amp;"")</f>
        <v/>
      </c>
      <c r="F827" s="20">
        <f>IF($X827="","",SUMIFS(합계표[시스템 합계],합계표[사번키],INDEX(합계표[사번키],$X827)))</f>
        <v/>
      </c>
      <c r="G827" s="20">
        <f>IF($X827="","",SUMIFS(상세표[기록 시간외],상세표[사번키],INDEX(합계표[사번키],$X827),상세표[기록월],대상월키))</f>
        <v/>
      </c>
      <c r="H827">
        <f>IF($X827="","",IF(ABS($F827-$G827)&lt;0.01,"일치","불일치(차이 "&amp;TEXT($G827-$F827,"0.00")&amp;")"))</f>
        <v/>
      </c>
      <c r="I827" s="20">
        <f>IF($X827="","",SUMIFS(상세표[기록 시간외],상세표[사번키],INDEX(합계표[사번키],$X827),상세표[기록월],대상월키,상세표[반영월],"&lt;&gt;"&amp;대상월키))</f>
        <v/>
      </c>
      <c r="J827" s="20">
        <f>IF($X827="","",SUMIFS(상세표[기록 시간외],상세표[사번키],INDEX(합계표[사번키],$X827),상세표[기록월],"&lt;&gt;"&amp;대상월키,상세표[반영월],대상월키))</f>
        <v/>
      </c>
      <c r="K827" s="20">
        <f>IF($X827="","",SUMIFS(상세표[기록 시간외],상세표[사번키],INDEX(합계표[사번키],$X827),상세표[반영월],대상월키))</f>
        <v/>
      </c>
      <c r="L827">
        <f>IF($X827="","",IFERROR(INDEX(월별근무지표[적용 급여병원],MATCH(INDEX(합계표[사번키],$X827)&amp;"|"&amp;대상월키,월별근무지표[키],0))&amp;"",IF(COUNTIF(기관표[사번키],INDEX(합계표[사번키],$X827))+COUNTIF(월별근무지표[사번키],INDEX(합계표[사번키],$X827))&gt;0,IFERROR(INDEX(기관표[급여지급병원(기준월)],MATCH(INDEX(합계표[사번키],$X827)&amp;"|"&amp;대상월키,기관표[키],0))&amp;"","—"),"—")))</f>
        <v/>
      </c>
      <c r="M827">
        <f>IF($X827="","",IF(NOT(COUNTIF(기관표[사번키],INDEX(합계표[사번키],$X827))+COUNTIF(월별근무지표[사번키],INDEX(합계표[사번키],$X827))&gt;0),"기관명단에 없음(다른 병원으로 발송)",IF($L827="서울병원","해당",IF(N($R827)&gt;0,"해당(말일 근무)",IF($L827="—","대상월 기관명단 없음(추가 필요)","비해당")))))</f>
        <v/>
      </c>
      <c r="N827" s="20">
        <f>IF($X827="","",SUMIFS(상세표[06~07시],상세표[사번키],INDEX(합계표[사번키],$X827),상세표[반영월],대상월키,상세표[반영 기관],"서울병원"))</f>
        <v/>
      </c>
      <c r="O827" s="20">
        <f>IF($X827="","",SUMIFS(상세표[07~18시],상세표[사번키],INDEX(합계표[사번키],$X827),상세표[반영월],대상월키,상세표[반영 기관],"서울병원"))</f>
        <v/>
      </c>
      <c r="P827" s="20">
        <f>IF($X827="","",SUMIFS(상세표[18~22시],상세표[사번키],INDEX(합계표[사번키],$X827),상세표[반영월],대상월키,상세표[반영 기관],"서울병원"))</f>
        <v/>
      </c>
      <c r="Q827" s="20">
        <f>IF($X827="","",SUMIFS(상세표[22~06시],상세표[사번키],INDEX(합계표[사번키],$X827),상세표[반영월],대상월키,상세표[반영 기관],"서울병원"))</f>
        <v/>
      </c>
      <c r="R827" s="20">
        <f>IF($X827="","",SUM($N827:$Q827))</f>
        <v/>
      </c>
      <c r="S827">
        <f>IF($X827="","",COUNTIFS(상세표[사번키],INDEX(합계표[사번키],$X827),상세표[반영월],대상월키,상세표[야간당직],1,상세표[야간 구분],"평일"))</f>
        <v/>
      </c>
      <c r="T827">
        <f>IF($X827="","",COUNTIFS(상세표[사번키],INDEX(합계표[사번키],$X827),상세표[반영월],대상월키,상세표[야간당직],1,상세표[야간 구분],"휴일"))</f>
        <v/>
      </c>
      <c r="U827">
        <f>IF($X827="","",COUNTIFS(상세표[사번키],INDEX(합계표[사번키],$X827),상세표[반영월],대상월키,상세표[야간당직],1,상세표[야간 구분],"평일",상세표[반영 기관],"서울병원"))</f>
        <v/>
      </c>
      <c r="V827">
        <f>IF($X827="","",COUNTIFS(상세표[사번키],INDEX(합계표[사번키],$X827),상세표[반영월],대상월키,상세표[야간당직],1,상세표[야간 구분],"휴일",상세표[반영 기관],"서울병원"))</f>
        <v/>
      </c>
      <c r="W827">
        <f>IF($X827="","",IF(ISNUMBER(MATCH(INDEX(합계표[사번키],$X827)&amp;"|"&amp;대상월키,월별근무지표[키],0)),"직접 입력",IF($L827="—","—","기관명단")))</f>
        <v/>
      </c>
      <c r="X827" s="4">
        <f>IFERROR(MATCH(822,합계표[판정순번],0),"")</f>
        <v/>
      </c>
    </row>
    <row r="828">
      <c r="A828">
        <f>IF($X828="","",INDEX(합계표[사번],$X828)&amp;"")</f>
        <v/>
      </c>
      <c r="B828">
        <f>IF($X828="","",INDEX(합계표[성명],$X828)&amp;"")</f>
        <v/>
      </c>
      <c r="C828">
        <f>IF($X828="","",INDEX(합계표[부서],$X828)&amp;"")</f>
        <v/>
      </c>
      <c r="D828">
        <f>IF($X828="","",INDEX(합계표[직위(요약)],$X828)&amp;"")</f>
        <v/>
      </c>
      <c r="E828">
        <f>IF($X828="","",INDEX(합계표[직급 공존],$X828)&amp;"")</f>
        <v/>
      </c>
      <c r="F828" s="20">
        <f>IF($X828="","",SUMIFS(합계표[시스템 합계],합계표[사번키],INDEX(합계표[사번키],$X828)))</f>
        <v/>
      </c>
      <c r="G828" s="20">
        <f>IF($X828="","",SUMIFS(상세표[기록 시간외],상세표[사번키],INDEX(합계표[사번키],$X828),상세표[기록월],대상월키))</f>
        <v/>
      </c>
      <c r="H828">
        <f>IF($X828="","",IF(ABS($F828-$G828)&lt;0.01,"일치","불일치(차이 "&amp;TEXT($G828-$F828,"0.00")&amp;")"))</f>
        <v/>
      </c>
      <c r="I828" s="20">
        <f>IF($X828="","",SUMIFS(상세표[기록 시간외],상세표[사번키],INDEX(합계표[사번키],$X828),상세표[기록월],대상월키,상세표[반영월],"&lt;&gt;"&amp;대상월키))</f>
        <v/>
      </c>
      <c r="J828" s="20">
        <f>IF($X828="","",SUMIFS(상세표[기록 시간외],상세표[사번키],INDEX(합계표[사번키],$X828),상세표[기록월],"&lt;&gt;"&amp;대상월키,상세표[반영월],대상월키))</f>
        <v/>
      </c>
      <c r="K828" s="20">
        <f>IF($X828="","",SUMIFS(상세표[기록 시간외],상세표[사번키],INDEX(합계표[사번키],$X828),상세표[반영월],대상월키))</f>
        <v/>
      </c>
      <c r="L828">
        <f>IF($X828="","",IFERROR(INDEX(월별근무지표[적용 급여병원],MATCH(INDEX(합계표[사번키],$X828)&amp;"|"&amp;대상월키,월별근무지표[키],0))&amp;"",IF(COUNTIF(기관표[사번키],INDEX(합계표[사번키],$X828))+COUNTIF(월별근무지표[사번키],INDEX(합계표[사번키],$X828))&gt;0,IFERROR(INDEX(기관표[급여지급병원(기준월)],MATCH(INDEX(합계표[사번키],$X828)&amp;"|"&amp;대상월키,기관표[키],0))&amp;"","—"),"—")))</f>
        <v/>
      </c>
      <c r="M828">
        <f>IF($X828="","",IF(NOT(COUNTIF(기관표[사번키],INDEX(합계표[사번키],$X828))+COUNTIF(월별근무지표[사번키],INDEX(합계표[사번키],$X828))&gt;0),"기관명단에 없음(다른 병원으로 발송)",IF($L828="서울병원","해당",IF(N($R828)&gt;0,"해당(말일 근무)",IF($L828="—","대상월 기관명단 없음(추가 필요)","비해당")))))</f>
        <v/>
      </c>
      <c r="N828" s="20">
        <f>IF($X828="","",SUMIFS(상세표[06~07시],상세표[사번키],INDEX(합계표[사번키],$X828),상세표[반영월],대상월키,상세표[반영 기관],"서울병원"))</f>
        <v/>
      </c>
      <c r="O828" s="20">
        <f>IF($X828="","",SUMIFS(상세표[07~18시],상세표[사번키],INDEX(합계표[사번키],$X828),상세표[반영월],대상월키,상세표[반영 기관],"서울병원"))</f>
        <v/>
      </c>
      <c r="P828" s="20">
        <f>IF($X828="","",SUMIFS(상세표[18~22시],상세표[사번키],INDEX(합계표[사번키],$X828),상세표[반영월],대상월키,상세표[반영 기관],"서울병원"))</f>
        <v/>
      </c>
      <c r="Q828" s="20">
        <f>IF($X828="","",SUMIFS(상세표[22~06시],상세표[사번키],INDEX(합계표[사번키],$X828),상세표[반영월],대상월키,상세표[반영 기관],"서울병원"))</f>
        <v/>
      </c>
      <c r="R828" s="20">
        <f>IF($X828="","",SUM($N828:$Q828))</f>
        <v/>
      </c>
      <c r="S828">
        <f>IF($X828="","",COUNTIFS(상세표[사번키],INDEX(합계표[사번키],$X828),상세표[반영월],대상월키,상세표[야간당직],1,상세표[야간 구분],"평일"))</f>
        <v/>
      </c>
      <c r="T828">
        <f>IF($X828="","",COUNTIFS(상세표[사번키],INDEX(합계표[사번키],$X828),상세표[반영월],대상월키,상세표[야간당직],1,상세표[야간 구분],"휴일"))</f>
        <v/>
      </c>
      <c r="U828">
        <f>IF($X828="","",COUNTIFS(상세표[사번키],INDEX(합계표[사번키],$X828),상세표[반영월],대상월키,상세표[야간당직],1,상세표[야간 구분],"평일",상세표[반영 기관],"서울병원"))</f>
        <v/>
      </c>
      <c r="V828">
        <f>IF($X828="","",COUNTIFS(상세표[사번키],INDEX(합계표[사번키],$X828),상세표[반영월],대상월키,상세표[야간당직],1,상세표[야간 구분],"휴일",상세표[반영 기관],"서울병원"))</f>
        <v/>
      </c>
      <c r="W828">
        <f>IF($X828="","",IF(ISNUMBER(MATCH(INDEX(합계표[사번키],$X828)&amp;"|"&amp;대상월키,월별근무지표[키],0)),"직접 입력",IF($L828="—","—","기관명단")))</f>
        <v/>
      </c>
      <c r="X828" s="4">
        <f>IFERROR(MATCH(823,합계표[판정순번],0),"")</f>
        <v/>
      </c>
    </row>
    <row r="829">
      <c r="A829">
        <f>IF($X829="","",INDEX(합계표[사번],$X829)&amp;"")</f>
        <v/>
      </c>
      <c r="B829">
        <f>IF($X829="","",INDEX(합계표[성명],$X829)&amp;"")</f>
        <v/>
      </c>
      <c r="C829">
        <f>IF($X829="","",INDEX(합계표[부서],$X829)&amp;"")</f>
        <v/>
      </c>
      <c r="D829">
        <f>IF($X829="","",INDEX(합계표[직위(요약)],$X829)&amp;"")</f>
        <v/>
      </c>
      <c r="E829">
        <f>IF($X829="","",INDEX(합계표[직급 공존],$X829)&amp;"")</f>
        <v/>
      </c>
      <c r="F829" s="20">
        <f>IF($X829="","",SUMIFS(합계표[시스템 합계],합계표[사번키],INDEX(합계표[사번키],$X829)))</f>
        <v/>
      </c>
      <c r="G829" s="20">
        <f>IF($X829="","",SUMIFS(상세표[기록 시간외],상세표[사번키],INDEX(합계표[사번키],$X829),상세표[기록월],대상월키))</f>
        <v/>
      </c>
      <c r="H829">
        <f>IF($X829="","",IF(ABS($F829-$G829)&lt;0.01,"일치","불일치(차이 "&amp;TEXT($G829-$F829,"0.00")&amp;")"))</f>
        <v/>
      </c>
      <c r="I829" s="20">
        <f>IF($X829="","",SUMIFS(상세표[기록 시간외],상세표[사번키],INDEX(합계표[사번키],$X829),상세표[기록월],대상월키,상세표[반영월],"&lt;&gt;"&amp;대상월키))</f>
        <v/>
      </c>
      <c r="J829" s="20">
        <f>IF($X829="","",SUMIFS(상세표[기록 시간외],상세표[사번키],INDEX(합계표[사번키],$X829),상세표[기록월],"&lt;&gt;"&amp;대상월키,상세표[반영월],대상월키))</f>
        <v/>
      </c>
      <c r="K829" s="20">
        <f>IF($X829="","",SUMIFS(상세표[기록 시간외],상세표[사번키],INDEX(합계표[사번키],$X829),상세표[반영월],대상월키))</f>
        <v/>
      </c>
      <c r="L829">
        <f>IF($X829="","",IFERROR(INDEX(월별근무지표[적용 급여병원],MATCH(INDEX(합계표[사번키],$X829)&amp;"|"&amp;대상월키,월별근무지표[키],0))&amp;"",IF(COUNTIF(기관표[사번키],INDEX(합계표[사번키],$X829))+COUNTIF(월별근무지표[사번키],INDEX(합계표[사번키],$X829))&gt;0,IFERROR(INDEX(기관표[급여지급병원(기준월)],MATCH(INDEX(합계표[사번키],$X829)&amp;"|"&amp;대상월키,기관표[키],0))&amp;"","—"),"—")))</f>
        <v/>
      </c>
      <c r="M829">
        <f>IF($X829="","",IF(NOT(COUNTIF(기관표[사번키],INDEX(합계표[사번키],$X829))+COUNTIF(월별근무지표[사번키],INDEX(합계표[사번키],$X829))&gt;0),"기관명단에 없음(다른 병원으로 발송)",IF($L829="서울병원","해당",IF(N($R829)&gt;0,"해당(말일 근무)",IF($L829="—","대상월 기관명단 없음(추가 필요)","비해당")))))</f>
        <v/>
      </c>
      <c r="N829" s="20">
        <f>IF($X829="","",SUMIFS(상세표[06~07시],상세표[사번키],INDEX(합계표[사번키],$X829),상세표[반영월],대상월키,상세표[반영 기관],"서울병원"))</f>
        <v/>
      </c>
      <c r="O829" s="20">
        <f>IF($X829="","",SUMIFS(상세표[07~18시],상세표[사번키],INDEX(합계표[사번키],$X829),상세표[반영월],대상월키,상세표[반영 기관],"서울병원"))</f>
        <v/>
      </c>
      <c r="P829" s="20">
        <f>IF($X829="","",SUMIFS(상세표[18~22시],상세표[사번키],INDEX(합계표[사번키],$X829),상세표[반영월],대상월키,상세표[반영 기관],"서울병원"))</f>
        <v/>
      </c>
      <c r="Q829" s="20">
        <f>IF($X829="","",SUMIFS(상세표[22~06시],상세표[사번키],INDEX(합계표[사번키],$X829),상세표[반영월],대상월키,상세표[반영 기관],"서울병원"))</f>
        <v/>
      </c>
      <c r="R829" s="20">
        <f>IF($X829="","",SUM($N829:$Q829))</f>
        <v/>
      </c>
      <c r="S829">
        <f>IF($X829="","",COUNTIFS(상세표[사번키],INDEX(합계표[사번키],$X829),상세표[반영월],대상월키,상세표[야간당직],1,상세표[야간 구분],"평일"))</f>
        <v/>
      </c>
      <c r="T829">
        <f>IF($X829="","",COUNTIFS(상세표[사번키],INDEX(합계표[사번키],$X829),상세표[반영월],대상월키,상세표[야간당직],1,상세표[야간 구분],"휴일"))</f>
        <v/>
      </c>
      <c r="U829">
        <f>IF($X829="","",COUNTIFS(상세표[사번키],INDEX(합계표[사번키],$X829),상세표[반영월],대상월키,상세표[야간당직],1,상세표[야간 구분],"평일",상세표[반영 기관],"서울병원"))</f>
        <v/>
      </c>
      <c r="V829">
        <f>IF($X829="","",COUNTIFS(상세표[사번키],INDEX(합계표[사번키],$X829),상세표[반영월],대상월키,상세표[야간당직],1,상세표[야간 구분],"휴일",상세표[반영 기관],"서울병원"))</f>
        <v/>
      </c>
      <c r="W829">
        <f>IF($X829="","",IF(ISNUMBER(MATCH(INDEX(합계표[사번키],$X829)&amp;"|"&amp;대상월키,월별근무지표[키],0)),"직접 입력",IF($L829="—","—","기관명단")))</f>
        <v/>
      </c>
      <c r="X829" s="4">
        <f>IFERROR(MATCH(824,합계표[판정순번],0),"")</f>
        <v/>
      </c>
    </row>
    <row r="830">
      <c r="A830">
        <f>IF($X830="","",INDEX(합계표[사번],$X830)&amp;"")</f>
        <v/>
      </c>
      <c r="B830">
        <f>IF($X830="","",INDEX(합계표[성명],$X830)&amp;"")</f>
        <v/>
      </c>
      <c r="C830">
        <f>IF($X830="","",INDEX(합계표[부서],$X830)&amp;"")</f>
        <v/>
      </c>
      <c r="D830">
        <f>IF($X830="","",INDEX(합계표[직위(요약)],$X830)&amp;"")</f>
        <v/>
      </c>
      <c r="E830">
        <f>IF($X830="","",INDEX(합계표[직급 공존],$X830)&amp;"")</f>
        <v/>
      </c>
      <c r="F830" s="20">
        <f>IF($X830="","",SUMIFS(합계표[시스템 합계],합계표[사번키],INDEX(합계표[사번키],$X830)))</f>
        <v/>
      </c>
      <c r="G830" s="20">
        <f>IF($X830="","",SUMIFS(상세표[기록 시간외],상세표[사번키],INDEX(합계표[사번키],$X830),상세표[기록월],대상월키))</f>
        <v/>
      </c>
      <c r="H830">
        <f>IF($X830="","",IF(ABS($F830-$G830)&lt;0.01,"일치","불일치(차이 "&amp;TEXT($G830-$F830,"0.00")&amp;")"))</f>
        <v/>
      </c>
      <c r="I830" s="20">
        <f>IF($X830="","",SUMIFS(상세표[기록 시간외],상세표[사번키],INDEX(합계표[사번키],$X830),상세표[기록월],대상월키,상세표[반영월],"&lt;&gt;"&amp;대상월키))</f>
        <v/>
      </c>
      <c r="J830" s="20">
        <f>IF($X830="","",SUMIFS(상세표[기록 시간외],상세표[사번키],INDEX(합계표[사번키],$X830),상세표[기록월],"&lt;&gt;"&amp;대상월키,상세표[반영월],대상월키))</f>
        <v/>
      </c>
      <c r="K830" s="20">
        <f>IF($X830="","",SUMIFS(상세표[기록 시간외],상세표[사번키],INDEX(합계표[사번키],$X830),상세표[반영월],대상월키))</f>
        <v/>
      </c>
      <c r="L830">
        <f>IF($X830="","",IFERROR(INDEX(월별근무지표[적용 급여병원],MATCH(INDEX(합계표[사번키],$X830)&amp;"|"&amp;대상월키,월별근무지표[키],0))&amp;"",IF(COUNTIF(기관표[사번키],INDEX(합계표[사번키],$X830))+COUNTIF(월별근무지표[사번키],INDEX(합계표[사번키],$X830))&gt;0,IFERROR(INDEX(기관표[급여지급병원(기준월)],MATCH(INDEX(합계표[사번키],$X830)&amp;"|"&amp;대상월키,기관표[키],0))&amp;"","—"),"—")))</f>
        <v/>
      </c>
      <c r="M830">
        <f>IF($X830="","",IF(NOT(COUNTIF(기관표[사번키],INDEX(합계표[사번키],$X830))+COUNTIF(월별근무지표[사번키],INDEX(합계표[사번키],$X830))&gt;0),"기관명단에 없음(다른 병원으로 발송)",IF($L830="서울병원","해당",IF(N($R830)&gt;0,"해당(말일 근무)",IF($L830="—","대상월 기관명단 없음(추가 필요)","비해당")))))</f>
        <v/>
      </c>
      <c r="N830" s="20">
        <f>IF($X830="","",SUMIFS(상세표[06~07시],상세표[사번키],INDEX(합계표[사번키],$X830),상세표[반영월],대상월키,상세표[반영 기관],"서울병원"))</f>
        <v/>
      </c>
      <c r="O830" s="20">
        <f>IF($X830="","",SUMIFS(상세표[07~18시],상세표[사번키],INDEX(합계표[사번키],$X830),상세표[반영월],대상월키,상세표[반영 기관],"서울병원"))</f>
        <v/>
      </c>
      <c r="P830" s="20">
        <f>IF($X830="","",SUMIFS(상세표[18~22시],상세표[사번키],INDEX(합계표[사번키],$X830),상세표[반영월],대상월키,상세표[반영 기관],"서울병원"))</f>
        <v/>
      </c>
      <c r="Q830" s="20">
        <f>IF($X830="","",SUMIFS(상세표[22~06시],상세표[사번키],INDEX(합계표[사번키],$X830),상세표[반영월],대상월키,상세표[반영 기관],"서울병원"))</f>
        <v/>
      </c>
      <c r="R830" s="20">
        <f>IF($X830="","",SUM($N830:$Q830))</f>
        <v/>
      </c>
      <c r="S830">
        <f>IF($X830="","",COUNTIFS(상세표[사번키],INDEX(합계표[사번키],$X830),상세표[반영월],대상월키,상세표[야간당직],1,상세표[야간 구분],"평일"))</f>
        <v/>
      </c>
      <c r="T830">
        <f>IF($X830="","",COUNTIFS(상세표[사번키],INDEX(합계표[사번키],$X830),상세표[반영월],대상월키,상세표[야간당직],1,상세표[야간 구분],"휴일"))</f>
        <v/>
      </c>
      <c r="U830">
        <f>IF($X830="","",COUNTIFS(상세표[사번키],INDEX(합계표[사번키],$X830),상세표[반영월],대상월키,상세표[야간당직],1,상세표[야간 구분],"평일",상세표[반영 기관],"서울병원"))</f>
        <v/>
      </c>
      <c r="V830">
        <f>IF($X830="","",COUNTIFS(상세표[사번키],INDEX(합계표[사번키],$X830),상세표[반영월],대상월키,상세표[야간당직],1,상세표[야간 구분],"휴일",상세표[반영 기관],"서울병원"))</f>
        <v/>
      </c>
      <c r="W830">
        <f>IF($X830="","",IF(ISNUMBER(MATCH(INDEX(합계표[사번키],$X830)&amp;"|"&amp;대상월키,월별근무지표[키],0)),"직접 입력",IF($L830="—","—","기관명단")))</f>
        <v/>
      </c>
      <c r="X830" s="4">
        <f>IFERROR(MATCH(825,합계표[판정순번],0),"")</f>
        <v/>
      </c>
    </row>
    <row r="831">
      <c r="A831">
        <f>IF($X831="","",INDEX(합계표[사번],$X831)&amp;"")</f>
        <v/>
      </c>
      <c r="B831">
        <f>IF($X831="","",INDEX(합계표[성명],$X831)&amp;"")</f>
        <v/>
      </c>
      <c r="C831">
        <f>IF($X831="","",INDEX(합계표[부서],$X831)&amp;"")</f>
        <v/>
      </c>
      <c r="D831">
        <f>IF($X831="","",INDEX(합계표[직위(요약)],$X831)&amp;"")</f>
        <v/>
      </c>
      <c r="E831">
        <f>IF($X831="","",INDEX(합계표[직급 공존],$X831)&amp;"")</f>
        <v/>
      </c>
      <c r="F831" s="20">
        <f>IF($X831="","",SUMIFS(합계표[시스템 합계],합계표[사번키],INDEX(합계표[사번키],$X831)))</f>
        <v/>
      </c>
      <c r="G831" s="20">
        <f>IF($X831="","",SUMIFS(상세표[기록 시간외],상세표[사번키],INDEX(합계표[사번키],$X831),상세표[기록월],대상월키))</f>
        <v/>
      </c>
      <c r="H831">
        <f>IF($X831="","",IF(ABS($F831-$G831)&lt;0.01,"일치","불일치(차이 "&amp;TEXT($G831-$F831,"0.00")&amp;")"))</f>
        <v/>
      </c>
      <c r="I831" s="20">
        <f>IF($X831="","",SUMIFS(상세표[기록 시간외],상세표[사번키],INDEX(합계표[사번키],$X831),상세표[기록월],대상월키,상세표[반영월],"&lt;&gt;"&amp;대상월키))</f>
        <v/>
      </c>
      <c r="J831" s="20">
        <f>IF($X831="","",SUMIFS(상세표[기록 시간외],상세표[사번키],INDEX(합계표[사번키],$X831),상세표[기록월],"&lt;&gt;"&amp;대상월키,상세표[반영월],대상월키))</f>
        <v/>
      </c>
      <c r="K831" s="20">
        <f>IF($X831="","",SUMIFS(상세표[기록 시간외],상세표[사번키],INDEX(합계표[사번키],$X831),상세표[반영월],대상월키))</f>
        <v/>
      </c>
      <c r="L831">
        <f>IF($X831="","",IFERROR(INDEX(월별근무지표[적용 급여병원],MATCH(INDEX(합계표[사번키],$X831)&amp;"|"&amp;대상월키,월별근무지표[키],0))&amp;"",IF(COUNTIF(기관표[사번키],INDEX(합계표[사번키],$X831))+COUNTIF(월별근무지표[사번키],INDEX(합계표[사번키],$X831))&gt;0,IFERROR(INDEX(기관표[급여지급병원(기준월)],MATCH(INDEX(합계표[사번키],$X831)&amp;"|"&amp;대상월키,기관표[키],0))&amp;"","—"),"—")))</f>
        <v/>
      </c>
      <c r="M831">
        <f>IF($X831="","",IF(NOT(COUNTIF(기관표[사번키],INDEX(합계표[사번키],$X831))+COUNTIF(월별근무지표[사번키],INDEX(합계표[사번키],$X831))&gt;0),"기관명단에 없음(다른 병원으로 발송)",IF($L831="서울병원","해당",IF(N($R831)&gt;0,"해당(말일 근무)",IF($L831="—","대상월 기관명단 없음(추가 필요)","비해당")))))</f>
        <v/>
      </c>
      <c r="N831" s="20">
        <f>IF($X831="","",SUMIFS(상세표[06~07시],상세표[사번키],INDEX(합계표[사번키],$X831),상세표[반영월],대상월키,상세표[반영 기관],"서울병원"))</f>
        <v/>
      </c>
      <c r="O831" s="20">
        <f>IF($X831="","",SUMIFS(상세표[07~18시],상세표[사번키],INDEX(합계표[사번키],$X831),상세표[반영월],대상월키,상세표[반영 기관],"서울병원"))</f>
        <v/>
      </c>
      <c r="P831" s="20">
        <f>IF($X831="","",SUMIFS(상세표[18~22시],상세표[사번키],INDEX(합계표[사번키],$X831),상세표[반영월],대상월키,상세표[반영 기관],"서울병원"))</f>
        <v/>
      </c>
      <c r="Q831" s="20">
        <f>IF($X831="","",SUMIFS(상세표[22~06시],상세표[사번키],INDEX(합계표[사번키],$X831),상세표[반영월],대상월키,상세표[반영 기관],"서울병원"))</f>
        <v/>
      </c>
      <c r="R831" s="20">
        <f>IF($X831="","",SUM($N831:$Q831))</f>
        <v/>
      </c>
      <c r="S831">
        <f>IF($X831="","",COUNTIFS(상세표[사번키],INDEX(합계표[사번키],$X831),상세표[반영월],대상월키,상세표[야간당직],1,상세표[야간 구분],"평일"))</f>
        <v/>
      </c>
      <c r="T831">
        <f>IF($X831="","",COUNTIFS(상세표[사번키],INDEX(합계표[사번키],$X831),상세표[반영월],대상월키,상세표[야간당직],1,상세표[야간 구분],"휴일"))</f>
        <v/>
      </c>
      <c r="U831">
        <f>IF($X831="","",COUNTIFS(상세표[사번키],INDEX(합계표[사번키],$X831),상세표[반영월],대상월키,상세표[야간당직],1,상세표[야간 구분],"평일",상세표[반영 기관],"서울병원"))</f>
        <v/>
      </c>
      <c r="V831">
        <f>IF($X831="","",COUNTIFS(상세표[사번키],INDEX(합계표[사번키],$X831),상세표[반영월],대상월키,상세표[야간당직],1,상세표[야간 구분],"휴일",상세표[반영 기관],"서울병원"))</f>
        <v/>
      </c>
      <c r="W831">
        <f>IF($X831="","",IF(ISNUMBER(MATCH(INDEX(합계표[사번키],$X831)&amp;"|"&amp;대상월키,월별근무지표[키],0)),"직접 입력",IF($L831="—","—","기관명단")))</f>
        <v/>
      </c>
      <c r="X831" s="4">
        <f>IFERROR(MATCH(826,합계표[판정순번],0),"")</f>
        <v/>
      </c>
    </row>
    <row r="832">
      <c r="A832">
        <f>IF($X832="","",INDEX(합계표[사번],$X832)&amp;"")</f>
        <v/>
      </c>
      <c r="B832">
        <f>IF($X832="","",INDEX(합계표[성명],$X832)&amp;"")</f>
        <v/>
      </c>
      <c r="C832">
        <f>IF($X832="","",INDEX(합계표[부서],$X832)&amp;"")</f>
        <v/>
      </c>
      <c r="D832">
        <f>IF($X832="","",INDEX(합계표[직위(요약)],$X832)&amp;"")</f>
        <v/>
      </c>
      <c r="E832">
        <f>IF($X832="","",INDEX(합계표[직급 공존],$X832)&amp;"")</f>
        <v/>
      </c>
      <c r="F832" s="20">
        <f>IF($X832="","",SUMIFS(합계표[시스템 합계],합계표[사번키],INDEX(합계표[사번키],$X832)))</f>
        <v/>
      </c>
      <c r="G832" s="20">
        <f>IF($X832="","",SUMIFS(상세표[기록 시간외],상세표[사번키],INDEX(합계표[사번키],$X832),상세표[기록월],대상월키))</f>
        <v/>
      </c>
      <c r="H832">
        <f>IF($X832="","",IF(ABS($F832-$G832)&lt;0.01,"일치","불일치(차이 "&amp;TEXT($G832-$F832,"0.00")&amp;")"))</f>
        <v/>
      </c>
      <c r="I832" s="20">
        <f>IF($X832="","",SUMIFS(상세표[기록 시간외],상세표[사번키],INDEX(합계표[사번키],$X832),상세표[기록월],대상월키,상세표[반영월],"&lt;&gt;"&amp;대상월키))</f>
        <v/>
      </c>
      <c r="J832" s="20">
        <f>IF($X832="","",SUMIFS(상세표[기록 시간외],상세표[사번키],INDEX(합계표[사번키],$X832),상세표[기록월],"&lt;&gt;"&amp;대상월키,상세표[반영월],대상월키))</f>
        <v/>
      </c>
      <c r="K832" s="20">
        <f>IF($X832="","",SUMIFS(상세표[기록 시간외],상세표[사번키],INDEX(합계표[사번키],$X832),상세표[반영월],대상월키))</f>
        <v/>
      </c>
      <c r="L832">
        <f>IF($X832="","",IFERROR(INDEX(월별근무지표[적용 급여병원],MATCH(INDEX(합계표[사번키],$X832)&amp;"|"&amp;대상월키,월별근무지표[키],0))&amp;"",IF(COUNTIF(기관표[사번키],INDEX(합계표[사번키],$X832))+COUNTIF(월별근무지표[사번키],INDEX(합계표[사번키],$X832))&gt;0,IFERROR(INDEX(기관표[급여지급병원(기준월)],MATCH(INDEX(합계표[사번키],$X832)&amp;"|"&amp;대상월키,기관표[키],0))&amp;"","—"),"—")))</f>
        <v/>
      </c>
      <c r="M832">
        <f>IF($X832="","",IF(NOT(COUNTIF(기관표[사번키],INDEX(합계표[사번키],$X832))+COUNTIF(월별근무지표[사번키],INDEX(합계표[사번키],$X832))&gt;0),"기관명단에 없음(다른 병원으로 발송)",IF($L832="서울병원","해당",IF(N($R832)&gt;0,"해당(말일 근무)",IF($L832="—","대상월 기관명단 없음(추가 필요)","비해당")))))</f>
        <v/>
      </c>
      <c r="N832" s="20">
        <f>IF($X832="","",SUMIFS(상세표[06~07시],상세표[사번키],INDEX(합계표[사번키],$X832),상세표[반영월],대상월키,상세표[반영 기관],"서울병원"))</f>
        <v/>
      </c>
      <c r="O832" s="20">
        <f>IF($X832="","",SUMIFS(상세표[07~18시],상세표[사번키],INDEX(합계표[사번키],$X832),상세표[반영월],대상월키,상세표[반영 기관],"서울병원"))</f>
        <v/>
      </c>
      <c r="P832" s="20">
        <f>IF($X832="","",SUMIFS(상세표[18~22시],상세표[사번키],INDEX(합계표[사번키],$X832),상세표[반영월],대상월키,상세표[반영 기관],"서울병원"))</f>
        <v/>
      </c>
      <c r="Q832" s="20">
        <f>IF($X832="","",SUMIFS(상세표[22~06시],상세표[사번키],INDEX(합계표[사번키],$X832),상세표[반영월],대상월키,상세표[반영 기관],"서울병원"))</f>
        <v/>
      </c>
      <c r="R832" s="20">
        <f>IF($X832="","",SUM($N832:$Q832))</f>
        <v/>
      </c>
      <c r="S832">
        <f>IF($X832="","",COUNTIFS(상세표[사번키],INDEX(합계표[사번키],$X832),상세표[반영월],대상월키,상세표[야간당직],1,상세표[야간 구분],"평일"))</f>
        <v/>
      </c>
      <c r="T832">
        <f>IF($X832="","",COUNTIFS(상세표[사번키],INDEX(합계표[사번키],$X832),상세표[반영월],대상월키,상세표[야간당직],1,상세표[야간 구분],"휴일"))</f>
        <v/>
      </c>
      <c r="U832">
        <f>IF($X832="","",COUNTIFS(상세표[사번키],INDEX(합계표[사번키],$X832),상세표[반영월],대상월키,상세표[야간당직],1,상세표[야간 구분],"평일",상세표[반영 기관],"서울병원"))</f>
        <v/>
      </c>
      <c r="V832">
        <f>IF($X832="","",COUNTIFS(상세표[사번키],INDEX(합계표[사번키],$X832),상세표[반영월],대상월키,상세표[야간당직],1,상세표[야간 구분],"휴일",상세표[반영 기관],"서울병원"))</f>
        <v/>
      </c>
      <c r="W832">
        <f>IF($X832="","",IF(ISNUMBER(MATCH(INDEX(합계표[사번키],$X832)&amp;"|"&amp;대상월키,월별근무지표[키],0)),"직접 입력",IF($L832="—","—","기관명단")))</f>
        <v/>
      </c>
      <c r="X832" s="4">
        <f>IFERROR(MATCH(827,합계표[판정순번],0),"")</f>
        <v/>
      </c>
    </row>
    <row r="833">
      <c r="A833">
        <f>IF($X833="","",INDEX(합계표[사번],$X833)&amp;"")</f>
        <v/>
      </c>
      <c r="B833">
        <f>IF($X833="","",INDEX(합계표[성명],$X833)&amp;"")</f>
        <v/>
      </c>
      <c r="C833">
        <f>IF($X833="","",INDEX(합계표[부서],$X833)&amp;"")</f>
        <v/>
      </c>
      <c r="D833">
        <f>IF($X833="","",INDEX(합계표[직위(요약)],$X833)&amp;"")</f>
        <v/>
      </c>
      <c r="E833">
        <f>IF($X833="","",INDEX(합계표[직급 공존],$X833)&amp;"")</f>
        <v/>
      </c>
      <c r="F833" s="20">
        <f>IF($X833="","",SUMIFS(합계표[시스템 합계],합계표[사번키],INDEX(합계표[사번키],$X833)))</f>
        <v/>
      </c>
      <c r="G833" s="20">
        <f>IF($X833="","",SUMIFS(상세표[기록 시간외],상세표[사번키],INDEX(합계표[사번키],$X833),상세표[기록월],대상월키))</f>
        <v/>
      </c>
      <c r="H833">
        <f>IF($X833="","",IF(ABS($F833-$G833)&lt;0.01,"일치","불일치(차이 "&amp;TEXT($G833-$F833,"0.00")&amp;")"))</f>
        <v/>
      </c>
      <c r="I833" s="20">
        <f>IF($X833="","",SUMIFS(상세표[기록 시간외],상세표[사번키],INDEX(합계표[사번키],$X833),상세표[기록월],대상월키,상세표[반영월],"&lt;&gt;"&amp;대상월키))</f>
        <v/>
      </c>
      <c r="J833" s="20">
        <f>IF($X833="","",SUMIFS(상세표[기록 시간외],상세표[사번키],INDEX(합계표[사번키],$X833),상세표[기록월],"&lt;&gt;"&amp;대상월키,상세표[반영월],대상월키))</f>
        <v/>
      </c>
      <c r="K833" s="20">
        <f>IF($X833="","",SUMIFS(상세표[기록 시간외],상세표[사번키],INDEX(합계표[사번키],$X833),상세표[반영월],대상월키))</f>
        <v/>
      </c>
      <c r="L833">
        <f>IF($X833="","",IFERROR(INDEX(월별근무지표[적용 급여병원],MATCH(INDEX(합계표[사번키],$X833)&amp;"|"&amp;대상월키,월별근무지표[키],0))&amp;"",IF(COUNTIF(기관표[사번키],INDEX(합계표[사번키],$X833))+COUNTIF(월별근무지표[사번키],INDEX(합계표[사번키],$X833))&gt;0,IFERROR(INDEX(기관표[급여지급병원(기준월)],MATCH(INDEX(합계표[사번키],$X833)&amp;"|"&amp;대상월키,기관표[키],0))&amp;"","—"),"—")))</f>
        <v/>
      </c>
      <c r="M833">
        <f>IF($X833="","",IF(NOT(COUNTIF(기관표[사번키],INDEX(합계표[사번키],$X833))+COUNTIF(월별근무지표[사번키],INDEX(합계표[사번키],$X833))&gt;0),"기관명단에 없음(다른 병원으로 발송)",IF($L833="서울병원","해당",IF(N($R833)&gt;0,"해당(말일 근무)",IF($L833="—","대상월 기관명단 없음(추가 필요)","비해당")))))</f>
        <v/>
      </c>
      <c r="N833" s="20">
        <f>IF($X833="","",SUMIFS(상세표[06~07시],상세표[사번키],INDEX(합계표[사번키],$X833),상세표[반영월],대상월키,상세표[반영 기관],"서울병원"))</f>
        <v/>
      </c>
      <c r="O833" s="20">
        <f>IF($X833="","",SUMIFS(상세표[07~18시],상세표[사번키],INDEX(합계표[사번키],$X833),상세표[반영월],대상월키,상세표[반영 기관],"서울병원"))</f>
        <v/>
      </c>
      <c r="P833" s="20">
        <f>IF($X833="","",SUMIFS(상세표[18~22시],상세표[사번키],INDEX(합계표[사번키],$X833),상세표[반영월],대상월키,상세표[반영 기관],"서울병원"))</f>
        <v/>
      </c>
      <c r="Q833" s="20">
        <f>IF($X833="","",SUMIFS(상세표[22~06시],상세표[사번키],INDEX(합계표[사번키],$X833),상세표[반영월],대상월키,상세표[반영 기관],"서울병원"))</f>
        <v/>
      </c>
      <c r="R833" s="20">
        <f>IF($X833="","",SUM($N833:$Q833))</f>
        <v/>
      </c>
      <c r="S833">
        <f>IF($X833="","",COUNTIFS(상세표[사번키],INDEX(합계표[사번키],$X833),상세표[반영월],대상월키,상세표[야간당직],1,상세표[야간 구분],"평일"))</f>
        <v/>
      </c>
      <c r="T833">
        <f>IF($X833="","",COUNTIFS(상세표[사번키],INDEX(합계표[사번키],$X833),상세표[반영월],대상월키,상세표[야간당직],1,상세표[야간 구분],"휴일"))</f>
        <v/>
      </c>
      <c r="U833">
        <f>IF($X833="","",COUNTIFS(상세표[사번키],INDEX(합계표[사번키],$X833),상세표[반영월],대상월키,상세표[야간당직],1,상세표[야간 구분],"평일",상세표[반영 기관],"서울병원"))</f>
        <v/>
      </c>
      <c r="V833">
        <f>IF($X833="","",COUNTIFS(상세표[사번키],INDEX(합계표[사번키],$X833),상세표[반영월],대상월키,상세표[야간당직],1,상세표[야간 구분],"휴일",상세표[반영 기관],"서울병원"))</f>
        <v/>
      </c>
      <c r="W833">
        <f>IF($X833="","",IF(ISNUMBER(MATCH(INDEX(합계표[사번키],$X833)&amp;"|"&amp;대상월키,월별근무지표[키],0)),"직접 입력",IF($L833="—","—","기관명단")))</f>
        <v/>
      </c>
      <c r="X833" s="4">
        <f>IFERROR(MATCH(828,합계표[판정순번],0),"")</f>
        <v/>
      </c>
    </row>
    <row r="834">
      <c r="A834">
        <f>IF($X834="","",INDEX(합계표[사번],$X834)&amp;"")</f>
        <v/>
      </c>
      <c r="B834">
        <f>IF($X834="","",INDEX(합계표[성명],$X834)&amp;"")</f>
        <v/>
      </c>
      <c r="C834">
        <f>IF($X834="","",INDEX(합계표[부서],$X834)&amp;"")</f>
        <v/>
      </c>
      <c r="D834">
        <f>IF($X834="","",INDEX(합계표[직위(요약)],$X834)&amp;"")</f>
        <v/>
      </c>
      <c r="E834">
        <f>IF($X834="","",INDEX(합계표[직급 공존],$X834)&amp;"")</f>
        <v/>
      </c>
      <c r="F834" s="20">
        <f>IF($X834="","",SUMIFS(합계표[시스템 합계],합계표[사번키],INDEX(합계표[사번키],$X834)))</f>
        <v/>
      </c>
      <c r="G834" s="20">
        <f>IF($X834="","",SUMIFS(상세표[기록 시간외],상세표[사번키],INDEX(합계표[사번키],$X834),상세표[기록월],대상월키))</f>
        <v/>
      </c>
      <c r="H834">
        <f>IF($X834="","",IF(ABS($F834-$G834)&lt;0.01,"일치","불일치(차이 "&amp;TEXT($G834-$F834,"0.00")&amp;")"))</f>
        <v/>
      </c>
      <c r="I834" s="20">
        <f>IF($X834="","",SUMIFS(상세표[기록 시간외],상세표[사번키],INDEX(합계표[사번키],$X834),상세표[기록월],대상월키,상세표[반영월],"&lt;&gt;"&amp;대상월키))</f>
        <v/>
      </c>
      <c r="J834" s="20">
        <f>IF($X834="","",SUMIFS(상세표[기록 시간외],상세표[사번키],INDEX(합계표[사번키],$X834),상세표[기록월],"&lt;&gt;"&amp;대상월키,상세표[반영월],대상월키))</f>
        <v/>
      </c>
      <c r="K834" s="20">
        <f>IF($X834="","",SUMIFS(상세표[기록 시간외],상세표[사번키],INDEX(합계표[사번키],$X834),상세표[반영월],대상월키))</f>
        <v/>
      </c>
      <c r="L834">
        <f>IF($X834="","",IFERROR(INDEX(월별근무지표[적용 급여병원],MATCH(INDEX(합계표[사번키],$X834)&amp;"|"&amp;대상월키,월별근무지표[키],0))&amp;"",IF(COUNTIF(기관표[사번키],INDEX(합계표[사번키],$X834))+COUNTIF(월별근무지표[사번키],INDEX(합계표[사번키],$X834))&gt;0,IFERROR(INDEX(기관표[급여지급병원(기준월)],MATCH(INDEX(합계표[사번키],$X834)&amp;"|"&amp;대상월키,기관표[키],0))&amp;"","—"),"—")))</f>
        <v/>
      </c>
      <c r="M834">
        <f>IF($X834="","",IF(NOT(COUNTIF(기관표[사번키],INDEX(합계표[사번키],$X834))+COUNTIF(월별근무지표[사번키],INDEX(합계표[사번키],$X834))&gt;0),"기관명단에 없음(다른 병원으로 발송)",IF($L834="서울병원","해당",IF(N($R834)&gt;0,"해당(말일 근무)",IF($L834="—","대상월 기관명단 없음(추가 필요)","비해당")))))</f>
        <v/>
      </c>
      <c r="N834" s="20">
        <f>IF($X834="","",SUMIFS(상세표[06~07시],상세표[사번키],INDEX(합계표[사번키],$X834),상세표[반영월],대상월키,상세표[반영 기관],"서울병원"))</f>
        <v/>
      </c>
      <c r="O834" s="20">
        <f>IF($X834="","",SUMIFS(상세표[07~18시],상세표[사번키],INDEX(합계표[사번키],$X834),상세표[반영월],대상월키,상세표[반영 기관],"서울병원"))</f>
        <v/>
      </c>
      <c r="P834" s="20">
        <f>IF($X834="","",SUMIFS(상세표[18~22시],상세표[사번키],INDEX(합계표[사번키],$X834),상세표[반영월],대상월키,상세표[반영 기관],"서울병원"))</f>
        <v/>
      </c>
      <c r="Q834" s="20">
        <f>IF($X834="","",SUMIFS(상세표[22~06시],상세표[사번키],INDEX(합계표[사번키],$X834),상세표[반영월],대상월키,상세표[반영 기관],"서울병원"))</f>
        <v/>
      </c>
      <c r="R834" s="20">
        <f>IF($X834="","",SUM($N834:$Q834))</f>
        <v/>
      </c>
      <c r="S834">
        <f>IF($X834="","",COUNTIFS(상세표[사번키],INDEX(합계표[사번키],$X834),상세표[반영월],대상월키,상세표[야간당직],1,상세표[야간 구분],"평일"))</f>
        <v/>
      </c>
      <c r="T834">
        <f>IF($X834="","",COUNTIFS(상세표[사번키],INDEX(합계표[사번키],$X834),상세표[반영월],대상월키,상세표[야간당직],1,상세표[야간 구분],"휴일"))</f>
        <v/>
      </c>
      <c r="U834">
        <f>IF($X834="","",COUNTIFS(상세표[사번키],INDEX(합계표[사번키],$X834),상세표[반영월],대상월키,상세표[야간당직],1,상세표[야간 구분],"평일",상세표[반영 기관],"서울병원"))</f>
        <v/>
      </c>
      <c r="V834">
        <f>IF($X834="","",COUNTIFS(상세표[사번키],INDEX(합계표[사번키],$X834),상세표[반영월],대상월키,상세표[야간당직],1,상세표[야간 구분],"휴일",상세표[반영 기관],"서울병원"))</f>
        <v/>
      </c>
      <c r="W834">
        <f>IF($X834="","",IF(ISNUMBER(MATCH(INDEX(합계표[사번키],$X834)&amp;"|"&amp;대상월키,월별근무지표[키],0)),"직접 입력",IF($L834="—","—","기관명단")))</f>
        <v/>
      </c>
      <c r="X834" s="4">
        <f>IFERROR(MATCH(829,합계표[판정순번],0),"")</f>
        <v/>
      </c>
    </row>
    <row r="835">
      <c r="A835">
        <f>IF($X835="","",INDEX(합계표[사번],$X835)&amp;"")</f>
        <v/>
      </c>
      <c r="B835">
        <f>IF($X835="","",INDEX(합계표[성명],$X835)&amp;"")</f>
        <v/>
      </c>
      <c r="C835">
        <f>IF($X835="","",INDEX(합계표[부서],$X835)&amp;"")</f>
        <v/>
      </c>
      <c r="D835">
        <f>IF($X835="","",INDEX(합계표[직위(요약)],$X835)&amp;"")</f>
        <v/>
      </c>
      <c r="E835">
        <f>IF($X835="","",INDEX(합계표[직급 공존],$X835)&amp;"")</f>
        <v/>
      </c>
      <c r="F835" s="20">
        <f>IF($X835="","",SUMIFS(합계표[시스템 합계],합계표[사번키],INDEX(합계표[사번키],$X835)))</f>
        <v/>
      </c>
      <c r="G835" s="20">
        <f>IF($X835="","",SUMIFS(상세표[기록 시간외],상세표[사번키],INDEX(합계표[사번키],$X835),상세표[기록월],대상월키))</f>
        <v/>
      </c>
      <c r="H835">
        <f>IF($X835="","",IF(ABS($F835-$G835)&lt;0.01,"일치","불일치(차이 "&amp;TEXT($G835-$F835,"0.00")&amp;")"))</f>
        <v/>
      </c>
      <c r="I835" s="20">
        <f>IF($X835="","",SUMIFS(상세표[기록 시간외],상세표[사번키],INDEX(합계표[사번키],$X835),상세표[기록월],대상월키,상세표[반영월],"&lt;&gt;"&amp;대상월키))</f>
        <v/>
      </c>
      <c r="J835" s="20">
        <f>IF($X835="","",SUMIFS(상세표[기록 시간외],상세표[사번키],INDEX(합계표[사번키],$X835),상세표[기록월],"&lt;&gt;"&amp;대상월키,상세표[반영월],대상월키))</f>
        <v/>
      </c>
      <c r="K835" s="20">
        <f>IF($X835="","",SUMIFS(상세표[기록 시간외],상세표[사번키],INDEX(합계표[사번키],$X835),상세표[반영월],대상월키))</f>
        <v/>
      </c>
      <c r="L835">
        <f>IF($X835="","",IFERROR(INDEX(월별근무지표[적용 급여병원],MATCH(INDEX(합계표[사번키],$X835)&amp;"|"&amp;대상월키,월별근무지표[키],0))&amp;"",IF(COUNTIF(기관표[사번키],INDEX(합계표[사번키],$X835))+COUNTIF(월별근무지표[사번키],INDEX(합계표[사번키],$X835))&gt;0,IFERROR(INDEX(기관표[급여지급병원(기준월)],MATCH(INDEX(합계표[사번키],$X835)&amp;"|"&amp;대상월키,기관표[키],0))&amp;"","—"),"—")))</f>
        <v/>
      </c>
      <c r="M835">
        <f>IF($X835="","",IF(NOT(COUNTIF(기관표[사번키],INDEX(합계표[사번키],$X835))+COUNTIF(월별근무지표[사번키],INDEX(합계표[사번키],$X835))&gt;0),"기관명단에 없음(다른 병원으로 발송)",IF($L835="서울병원","해당",IF(N($R835)&gt;0,"해당(말일 근무)",IF($L835="—","대상월 기관명단 없음(추가 필요)","비해당")))))</f>
        <v/>
      </c>
      <c r="N835" s="20">
        <f>IF($X835="","",SUMIFS(상세표[06~07시],상세표[사번키],INDEX(합계표[사번키],$X835),상세표[반영월],대상월키,상세표[반영 기관],"서울병원"))</f>
        <v/>
      </c>
      <c r="O835" s="20">
        <f>IF($X835="","",SUMIFS(상세표[07~18시],상세표[사번키],INDEX(합계표[사번키],$X835),상세표[반영월],대상월키,상세표[반영 기관],"서울병원"))</f>
        <v/>
      </c>
      <c r="P835" s="20">
        <f>IF($X835="","",SUMIFS(상세표[18~22시],상세표[사번키],INDEX(합계표[사번키],$X835),상세표[반영월],대상월키,상세표[반영 기관],"서울병원"))</f>
        <v/>
      </c>
      <c r="Q835" s="20">
        <f>IF($X835="","",SUMIFS(상세표[22~06시],상세표[사번키],INDEX(합계표[사번키],$X835),상세표[반영월],대상월키,상세표[반영 기관],"서울병원"))</f>
        <v/>
      </c>
      <c r="R835" s="20">
        <f>IF($X835="","",SUM($N835:$Q835))</f>
        <v/>
      </c>
      <c r="S835">
        <f>IF($X835="","",COUNTIFS(상세표[사번키],INDEX(합계표[사번키],$X835),상세표[반영월],대상월키,상세표[야간당직],1,상세표[야간 구분],"평일"))</f>
        <v/>
      </c>
      <c r="T835">
        <f>IF($X835="","",COUNTIFS(상세표[사번키],INDEX(합계표[사번키],$X835),상세표[반영월],대상월키,상세표[야간당직],1,상세표[야간 구분],"휴일"))</f>
        <v/>
      </c>
      <c r="U835">
        <f>IF($X835="","",COUNTIFS(상세표[사번키],INDEX(합계표[사번키],$X835),상세표[반영월],대상월키,상세표[야간당직],1,상세표[야간 구분],"평일",상세표[반영 기관],"서울병원"))</f>
        <v/>
      </c>
      <c r="V835">
        <f>IF($X835="","",COUNTIFS(상세표[사번키],INDEX(합계표[사번키],$X835),상세표[반영월],대상월키,상세표[야간당직],1,상세표[야간 구분],"휴일",상세표[반영 기관],"서울병원"))</f>
        <v/>
      </c>
      <c r="W835">
        <f>IF($X835="","",IF(ISNUMBER(MATCH(INDEX(합계표[사번키],$X835)&amp;"|"&amp;대상월키,월별근무지표[키],0)),"직접 입력",IF($L835="—","—","기관명단")))</f>
        <v/>
      </c>
      <c r="X835" s="4">
        <f>IFERROR(MATCH(830,합계표[판정순번],0),"")</f>
        <v/>
      </c>
    </row>
    <row r="836">
      <c r="A836">
        <f>IF($X836="","",INDEX(합계표[사번],$X836)&amp;"")</f>
        <v/>
      </c>
      <c r="B836">
        <f>IF($X836="","",INDEX(합계표[성명],$X836)&amp;"")</f>
        <v/>
      </c>
      <c r="C836">
        <f>IF($X836="","",INDEX(합계표[부서],$X836)&amp;"")</f>
        <v/>
      </c>
      <c r="D836">
        <f>IF($X836="","",INDEX(합계표[직위(요약)],$X836)&amp;"")</f>
        <v/>
      </c>
      <c r="E836">
        <f>IF($X836="","",INDEX(합계표[직급 공존],$X836)&amp;"")</f>
        <v/>
      </c>
      <c r="F836" s="20">
        <f>IF($X836="","",SUMIFS(합계표[시스템 합계],합계표[사번키],INDEX(합계표[사번키],$X836)))</f>
        <v/>
      </c>
      <c r="G836" s="20">
        <f>IF($X836="","",SUMIFS(상세표[기록 시간외],상세표[사번키],INDEX(합계표[사번키],$X836),상세표[기록월],대상월키))</f>
        <v/>
      </c>
      <c r="H836">
        <f>IF($X836="","",IF(ABS($F836-$G836)&lt;0.01,"일치","불일치(차이 "&amp;TEXT($G836-$F836,"0.00")&amp;")"))</f>
        <v/>
      </c>
      <c r="I836" s="20">
        <f>IF($X836="","",SUMIFS(상세표[기록 시간외],상세표[사번키],INDEX(합계표[사번키],$X836),상세표[기록월],대상월키,상세표[반영월],"&lt;&gt;"&amp;대상월키))</f>
        <v/>
      </c>
      <c r="J836" s="20">
        <f>IF($X836="","",SUMIFS(상세표[기록 시간외],상세표[사번키],INDEX(합계표[사번키],$X836),상세표[기록월],"&lt;&gt;"&amp;대상월키,상세표[반영월],대상월키))</f>
        <v/>
      </c>
      <c r="K836" s="20">
        <f>IF($X836="","",SUMIFS(상세표[기록 시간외],상세표[사번키],INDEX(합계표[사번키],$X836),상세표[반영월],대상월키))</f>
        <v/>
      </c>
      <c r="L836">
        <f>IF($X836="","",IFERROR(INDEX(월별근무지표[적용 급여병원],MATCH(INDEX(합계표[사번키],$X836)&amp;"|"&amp;대상월키,월별근무지표[키],0))&amp;"",IF(COUNTIF(기관표[사번키],INDEX(합계표[사번키],$X836))+COUNTIF(월별근무지표[사번키],INDEX(합계표[사번키],$X836))&gt;0,IFERROR(INDEX(기관표[급여지급병원(기준월)],MATCH(INDEX(합계표[사번키],$X836)&amp;"|"&amp;대상월키,기관표[키],0))&amp;"","—"),"—")))</f>
        <v/>
      </c>
      <c r="M836">
        <f>IF($X836="","",IF(NOT(COUNTIF(기관표[사번키],INDEX(합계표[사번키],$X836))+COUNTIF(월별근무지표[사번키],INDEX(합계표[사번키],$X836))&gt;0),"기관명단에 없음(다른 병원으로 발송)",IF($L836="서울병원","해당",IF(N($R836)&gt;0,"해당(말일 근무)",IF($L836="—","대상월 기관명단 없음(추가 필요)","비해당")))))</f>
        <v/>
      </c>
      <c r="N836" s="20">
        <f>IF($X836="","",SUMIFS(상세표[06~07시],상세표[사번키],INDEX(합계표[사번키],$X836),상세표[반영월],대상월키,상세표[반영 기관],"서울병원"))</f>
        <v/>
      </c>
      <c r="O836" s="20">
        <f>IF($X836="","",SUMIFS(상세표[07~18시],상세표[사번키],INDEX(합계표[사번키],$X836),상세표[반영월],대상월키,상세표[반영 기관],"서울병원"))</f>
        <v/>
      </c>
      <c r="P836" s="20">
        <f>IF($X836="","",SUMIFS(상세표[18~22시],상세표[사번키],INDEX(합계표[사번키],$X836),상세표[반영월],대상월키,상세표[반영 기관],"서울병원"))</f>
        <v/>
      </c>
      <c r="Q836" s="20">
        <f>IF($X836="","",SUMIFS(상세표[22~06시],상세표[사번키],INDEX(합계표[사번키],$X836),상세표[반영월],대상월키,상세표[반영 기관],"서울병원"))</f>
        <v/>
      </c>
      <c r="R836" s="20">
        <f>IF($X836="","",SUM($N836:$Q836))</f>
        <v/>
      </c>
      <c r="S836">
        <f>IF($X836="","",COUNTIFS(상세표[사번키],INDEX(합계표[사번키],$X836),상세표[반영월],대상월키,상세표[야간당직],1,상세표[야간 구분],"평일"))</f>
        <v/>
      </c>
      <c r="T836">
        <f>IF($X836="","",COUNTIFS(상세표[사번키],INDEX(합계표[사번키],$X836),상세표[반영월],대상월키,상세표[야간당직],1,상세표[야간 구분],"휴일"))</f>
        <v/>
      </c>
      <c r="U836">
        <f>IF($X836="","",COUNTIFS(상세표[사번키],INDEX(합계표[사번키],$X836),상세표[반영월],대상월키,상세표[야간당직],1,상세표[야간 구분],"평일",상세표[반영 기관],"서울병원"))</f>
        <v/>
      </c>
      <c r="V836">
        <f>IF($X836="","",COUNTIFS(상세표[사번키],INDEX(합계표[사번키],$X836),상세표[반영월],대상월키,상세표[야간당직],1,상세표[야간 구분],"휴일",상세표[반영 기관],"서울병원"))</f>
        <v/>
      </c>
      <c r="W836">
        <f>IF($X836="","",IF(ISNUMBER(MATCH(INDEX(합계표[사번키],$X836)&amp;"|"&amp;대상월키,월별근무지표[키],0)),"직접 입력",IF($L836="—","—","기관명단")))</f>
        <v/>
      </c>
      <c r="X836" s="4">
        <f>IFERROR(MATCH(831,합계표[판정순번],0),"")</f>
        <v/>
      </c>
    </row>
    <row r="837">
      <c r="A837">
        <f>IF($X837="","",INDEX(합계표[사번],$X837)&amp;"")</f>
        <v/>
      </c>
      <c r="B837">
        <f>IF($X837="","",INDEX(합계표[성명],$X837)&amp;"")</f>
        <v/>
      </c>
      <c r="C837">
        <f>IF($X837="","",INDEX(합계표[부서],$X837)&amp;"")</f>
        <v/>
      </c>
      <c r="D837">
        <f>IF($X837="","",INDEX(합계표[직위(요약)],$X837)&amp;"")</f>
        <v/>
      </c>
      <c r="E837">
        <f>IF($X837="","",INDEX(합계표[직급 공존],$X837)&amp;"")</f>
        <v/>
      </c>
      <c r="F837" s="20">
        <f>IF($X837="","",SUMIFS(합계표[시스템 합계],합계표[사번키],INDEX(합계표[사번키],$X837)))</f>
        <v/>
      </c>
      <c r="G837" s="20">
        <f>IF($X837="","",SUMIFS(상세표[기록 시간외],상세표[사번키],INDEX(합계표[사번키],$X837),상세표[기록월],대상월키))</f>
        <v/>
      </c>
      <c r="H837">
        <f>IF($X837="","",IF(ABS($F837-$G837)&lt;0.01,"일치","불일치(차이 "&amp;TEXT($G837-$F837,"0.00")&amp;")"))</f>
        <v/>
      </c>
      <c r="I837" s="20">
        <f>IF($X837="","",SUMIFS(상세표[기록 시간외],상세표[사번키],INDEX(합계표[사번키],$X837),상세표[기록월],대상월키,상세표[반영월],"&lt;&gt;"&amp;대상월키))</f>
        <v/>
      </c>
      <c r="J837" s="20">
        <f>IF($X837="","",SUMIFS(상세표[기록 시간외],상세표[사번키],INDEX(합계표[사번키],$X837),상세표[기록월],"&lt;&gt;"&amp;대상월키,상세표[반영월],대상월키))</f>
        <v/>
      </c>
      <c r="K837" s="20">
        <f>IF($X837="","",SUMIFS(상세표[기록 시간외],상세표[사번키],INDEX(합계표[사번키],$X837),상세표[반영월],대상월키))</f>
        <v/>
      </c>
      <c r="L837">
        <f>IF($X837="","",IFERROR(INDEX(월별근무지표[적용 급여병원],MATCH(INDEX(합계표[사번키],$X837)&amp;"|"&amp;대상월키,월별근무지표[키],0))&amp;"",IF(COUNTIF(기관표[사번키],INDEX(합계표[사번키],$X837))+COUNTIF(월별근무지표[사번키],INDEX(합계표[사번키],$X837))&gt;0,IFERROR(INDEX(기관표[급여지급병원(기준월)],MATCH(INDEX(합계표[사번키],$X837)&amp;"|"&amp;대상월키,기관표[키],0))&amp;"","—"),"—")))</f>
        <v/>
      </c>
      <c r="M837">
        <f>IF($X837="","",IF(NOT(COUNTIF(기관표[사번키],INDEX(합계표[사번키],$X837))+COUNTIF(월별근무지표[사번키],INDEX(합계표[사번키],$X837))&gt;0),"기관명단에 없음(다른 병원으로 발송)",IF($L837="서울병원","해당",IF(N($R837)&gt;0,"해당(말일 근무)",IF($L837="—","대상월 기관명단 없음(추가 필요)","비해당")))))</f>
        <v/>
      </c>
      <c r="N837" s="20">
        <f>IF($X837="","",SUMIFS(상세표[06~07시],상세표[사번키],INDEX(합계표[사번키],$X837),상세표[반영월],대상월키,상세표[반영 기관],"서울병원"))</f>
        <v/>
      </c>
      <c r="O837" s="20">
        <f>IF($X837="","",SUMIFS(상세표[07~18시],상세표[사번키],INDEX(합계표[사번키],$X837),상세표[반영월],대상월키,상세표[반영 기관],"서울병원"))</f>
        <v/>
      </c>
      <c r="P837" s="20">
        <f>IF($X837="","",SUMIFS(상세표[18~22시],상세표[사번키],INDEX(합계표[사번키],$X837),상세표[반영월],대상월키,상세표[반영 기관],"서울병원"))</f>
        <v/>
      </c>
      <c r="Q837" s="20">
        <f>IF($X837="","",SUMIFS(상세표[22~06시],상세표[사번키],INDEX(합계표[사번키],$X837),상세표[반영월],대상월키,상세표[반영 기관],"서울병원"))</f>
        <v/>
      </c>
      <c r="R837" s="20">
        <f>IF($X837="","",SUM($N837:$Q837))</f>
        <v/>
      </c>
      <c r="S837">
        <f>IF($X837="","",COUNTIFS(상세표[사번키],INDEX(합계표[사번키],$X837),상세표[반영월],대상월키,상세표[야간당직],1,상세표[야간 구분],"평일"))</f>
        <v/>
      </c>
      <c r="T837">
        <f>IF($X837="","",COUNTIFS(상세표[사번키],INDEX(합계표[사번키],$X837),상세표[반영월],대상월키,상세표[야간당직],1,상세표[야간 구분],"휴일"))</f>
        <v/>
      </c>
      <c r="U837">
        <f>IF($X837="","",COUNTIFS(상세표[사번키],INDEX(합계표[사번키],$X837),상세표[반영월],대상월키,상세표[야간당직],1,상세표[야간 구분],"평일",상세표[반영 기관],"서울병원"))</f>
        <v/>
      </c>
      <c r="V837">
        <f>IF($X837="","",COUNTIFS(상세표[사번키],INDEX(합계표[사번키],$X837),상세표[반영월],대상월키,상세표[야간당직],1,상세표[야간 구분],"휴일",상세표[반영 기관],"서울병원"))</f>
        <v/>
      </c>
      <c r="W837">
        <f>IF($X837="","",IF(ISNUMBER(MATCH(INDEX(합계표[사번키],$X837)&amp;"|"&amp;대상월키,월별근무지표[키],0)),"직접 입력",IF($L837="—","—","기관명단")))</f>
        <v/>
      </c>
      <c r="X837" s="4">
        <f>IFERROR(MATCH(832,합계표[판정순번],0),"")</f>
        <v/>
      </c>
    </row>
    <row r="838">
      <c r="A838">
        <f>IF($X838="","",INDEX(합계표[사번],$X838)&amp;"")</f>
        <v/>
      </c>
      <c r="B838">
        <f>IF($X838="","",INDEX(합계표[성명],$X838)&amp;"")</f>
        <v/>
      </c>
      <c r="C838">
        <f>IF($X838="","",INDEX(합계표[부서],$X838)&amp;"")</f>
        <v/>
      </c>
      <c r="D838">
        <f>IF($X838="","",INDEX(합계표[직위(요약)],$X838)&amp;"")</f>
        <v/>
      </c>
      <c r="E838">
        <f>IF($X838="","",INDEX(합계표[직급 공존],$X838)&amp;"")</f>
        <v/>
      </c>
      <c r="F838" s="20">
        <f>IF($X838="","",SUMIFS(합계표[시스템 합계],합계표[사번키],INDEX(합계표[사번키],$X838)))</f>
        <v/>
      </c>
      <c r="G838" s="20">
        <f>IF($X838="","",SUMIFS(상세표[기록 시간외],상세표[사번키],INDEX(합계표[사번키],$X838),상세표[기록월],대상월키))</f>
        <v/>
      </c>
      <c r="H838">
        <f>IF($X838="","",IF(ABS($F838-$G838)&lt;0.01,"일치","불일치(차이 "&amp;TEXT($G838-$F838,"0.00")&amp;")"))</f>
        <v/>
      </c>
      <c r="I838" s="20">
        <f>IF($X838="","",SUMIFS(상세표[기록 시간외],상세표[사번키],INDEX(합계표[사번키],$X838),상세표[기록월],대상월키,상세표[반영월],"&lt;&gt;"&amp;대상월키))</f>
        <v/>
      </c>
      <c r="J838" s="20">
        <f>IF($X838="","",SUMIFS(상세표[기록 시간외],상세표[사번키],INDEX(합계표[사번키],$X838),상세표[기록월],"&lt;&gt;"&amp;대상월키,상세표[반영월],대상월키))</f>
        <v/>
      </c>
      <c r="K838" s="20">
        <f>IF($X838="","",SUMIFS(상세표[기록 시간외],상세표[사번키],INDEX(합계표[사번키],$X838),상세표[반영월],대상월키))</f>
        <v/>
      </c>
      <c r="L838">
        <f>IF($X838="","",IFERROR(INDEX(월별근무지표[적용 급여병원],MATCH(INDEX(합계표[사번키],$X838)&amp;"|"&amp;대상월키,월별근무지표[키],0))&amp;"",IF(COUNTIF(기관표[사번키],INDEX(합계표[사번키],$X838))+COUNTIF(월별근무지표[사번키],INDEX(합계표[사번키],$X838))&gt;0,IFERROR(INDEX(기관표[급여지급병원(기준월)],MATCH(INDEX(합계표[사번키],$X838)&amp;"|"&amp;대상월키,기관표[키],0))&amp;"","—"),"—")))</f>
        <v/>
      </c>
      <c r="M838">
        <f>IF($X838="","",IF(NOT(COUNTIF(기관표[사번키],INDEX(합계표[사번키],$X838))+COUNTIF(월별근무지표[사번키],INDEX(합계표[사번키],$X838))&gt;0),"기관명단에 없음(다른 병원으로 발송)",IF($L838="서울병원","해당",IF(N($R838)&gt;0,"해당(말일 근무)",IF($L838="—","대상월 기관명단 없음(추가 필요)","비해당")))))</f>
        <v/>
      </c>
      <c r="N838" s="20">
        <f>IF($X838="","",SUMIFS(상세표[06~07시],상세표[사번키],INDEX(합계표[사번키],$X838),상세표[반영월],대상월키,상세표[반영 기관],"서울병원"))</f>
        <v/>
      </c>
      <c r="O838" s="20">
        <f>IF($X838="","",SUMIFS(상세표[07~18시],상세표[사번키],INDEX(합계표[사번키],$X838),상세표[반영월],대상월키,상세표[반영 기관],"서울병원"))</f>
        <v/>
      </c>
      <c r="P838" s="20">
        <f>IF($X838="","",SUMIFS(상세표[18~22시],상세표[사번키],INDEX(합계표[사번키],$X838),상세표[반영월],대상월키,상세표[반영 기관],"서울병원"))</f>
        <v/>
      </c>
      <c r="Q838" s="20">
        <f>IF($X838="","",SUMIFS(상세표[22~06시],상세표[사번키],INDEX(합계표[사번키],$X838),상세표[반영월],대상월키,상세표[반영 기관],"서울병원"))</f>
        <v/>
      </c>
      <c r="R838" s="20">
        <f>IF($X838="","",SUM($N838:$Q838))</f>
        <v/>
      </c>
      <c r="S838">
        <f>IF($X838="","",COUNTIFS(상세표[사번키],INDEX(합계표[사번키],$X838),상세표[반영월],대상월키,상세표[야간당직],1,상세표[야간 구분],"평일"))</f>
        <v/>
      </c>
      <c r="T838">
        <f>IF($X838="","",COUNTIFS(상세표[사번키],INDEX(합계표[사번키],$X838),상세표[반영월],대상월키,상세표[야간당직],1,상세표[야간 구분],"휴일"))</f>
        <v/>
      </c>
      <c r="U838">
        <f>IF($X838="","",COUNTIFS(상세표[사번키],INDEX(합계표[사번키],$X838),상세표[반영월],대상월키,상세표[야간당직],1,상세표[야간 구분],"평일",상세표[반영 기관],"서울병원"))</f>
        <v/>
      </c>
      <c r="V838">
        <f>IF($X838="","",COUNTIFS(상세표[사번키],INDEX(합계표[사번키],$X838),상세표[반영월],대상월키,상세표[야간당직],1,상세표[야간 구분],"휴일",상세표[반영 기관],"서울병원"))</f>
        <v/>
      </c>
      <c r="W838">
        <f>IF($X838="","",IF(ISNUMBER(MATCH(INDEX(합계표[사번키],$X838)&amp;"|"&amp;대상월키,월별근무지표[키],0)),"직접 입력",IF($L838="—","—","기관명단")))</f>
        <v/>
      </c>
      <c r="X838" s="4">
        <f>IFERROR(MATCH(833,합계표[판정순번],0),"")</f>
        <v/>
      </c>
    </row>
    <row r="839">
      <c r="A839">
        <f>IF($X839="","",INDEX(합계표[사번],$X839)&amp;"")</f>
        <v/>
      </c>
      <c r="B839">
        <f>IF($X839="","",INDEX(합계표[성명],$X839)&amp;"")</f>
        <v/>
      </c>
      <c r="C839">
        <f>IF($X839="","",INDEX(합계표[부서],$X839)&amp;"")</f>
        <v/>
      </c>
      <c r="D839">
        <f>IF($X839="","",INDEX(합계표[직위(요약)],$X839)&amp;"")</f>
        <v/>
      </c>
      <c r="E839">
        <f>IF($X839="","",INDEX(합계표[직급 공존],$X839)&amp;"")</f>
        <v/>
      </c>
      <c r="F839" s="20">
        <f>IF($X839="","",SUMIFS(합계표[시스템 합계],합계표[사번키],INDEX(합계표[사번키],$X839)))</f>
        <v/>
      </c>
      <c r="G839" s="20">
        <f>IF($X839="","",SUMIFS(상세표[기록 시간외],상세표[사번키],INDEX(합계표[사번키],$X839),상세표[기록월],대상월키))</f>
        <v/>
      </c>
      <c r="H839">
        <f>IF($X839="","",IF(ABS($F839-$G839)&lt;0.01,"일치","불일치(차이 "&amp;TEXT($G839-$F839,"0.00")&amp;")"))</f>
        <v/>
      </c>
      <c r="I839" s="20">
        <f>IF($X839="","",SUMIFS(상세표[기록 시간외],상세표[사번키],INDEX(합계표[사번키],$X839),상세표[기록월],대상월키,상세표[반영월],"&lt;&gt;"&amp;대상월키))</f>
        <v/>
      </c>
      <c r="J839" s="20">
        <f>IF($X839="","",SUMIFS(상세표[기록 시간외],상세표[사번키],INDEX(합계표[사번키],$X839),상세표[기록월],"&lt;&gt;"&amp;대상월키,상세표[반영월],대상월키))</f>
        <v/>
      </c>
      <c r="K839" s="20">
        <f>IF($X839="","",SUMIFS(상세표[기록 시간외],상세표[사번키],INDEX(합계표[사번키],$X839),상세표[반영월],대상월키))</f>
        <v/>
      </c>
      <c r="L839">
        <f>IF($X839="","",IFERROR(INDEX(월별근무지표[적용 급여병원],MATCH(INDEX(합계표[사번키],$X839)&amp;"|"&amp;대상월키,월별근무지표[키],0))&amp;"",IF(COUNTIF(기관표[사번키],INDEX(합계표[사번키],$X839))+COUNTIF(월별근무지표[사번키],INDEX(합계표[사번키],$X839))&gt;0,IFERROR(INDEX(기관표[급여지급병원(기준월)],MATCH(INDEX(합계표[사번키],$X839)&amp;"|"&amp;대상월키,기관표[키],0))&amp;"","—"),"—")))</f>
        <v/>
      </c>
      <c r="M839">
        <f>IF($X839="","",IF(NOT(COUNTIF(기관표[사번키],INDEX(합계표[사번키],$X839))+COUNTIF(월별근무지표[사번키],INDEX(합계표[사번키],$X839))&gt;0),"기관명단에 없음(다른 병원으로 발송)",IF($L839="서울병원","해당",IF(N($R839)&gt;0,"해당(말일 근무)",IF($L839="—","대상월 기관명단 없음(추가 필요)","비해당")))))</f>
        <v/>
      </c>
      <c r="N839" s="20">
        <f>IF($X839="","",SUMIFS(상세표[06~07시],상세표[사번키],INDEX(합계표[사번키],$X839),상세표[반영월],대상월키,상세표[반영 기관],"서울병원"))</f>
        <v/>
      </c>
      <c r="O839" s="20">
        <f>IF($X839="","",SUMIFS(상세표[07~18시],상세표[사번키],INDEX(합계표[사번키],$X839),상세표[반영월],대상월키,상세표[반영 기관],"서울병원"))</f>
        <v/>
      </c>
      <c r="P839" s="20">
        <f>IF($X839="","",SUMIFS(상세표[18~22시],상세표[사번키],INDEX(합계표[사번키],$X839),상세표[반영월],대상월키,상세표[반영 기관],"서울병원"))</f>
        <v/>
      </c>
      <c r="Q839" s="20">
        <f>IF($X839="","",SUMIFS(상세표[22~06시],상세표[사번키],INDEX(합계표[사번키],$X839),상세표[반영월],대상월키,상세표[반영 기관],"서울병원"))</f>
        <v/>
      </c>
      <c r="R839" s="20">
        <f>IF($X839="","",SUM($N839:$Q839))</f>
        <v/>
      </c>
      <c r="S839">
        <f>IF($X839="","",COUNTIFS(상세표[사번키],INDEX(합계표[사번키],$X839),상세표[반영월],대상월키,상세표[야간당직],1,상세표[야간 구분],"평일"))</f>
        <v/>
      </c>
      <c r="T839">
        <f>IF($X839="","",COUNTIFS(상세표[사번키],INDEX(합계표[사번키],$X839),상세표[반영월],대상월키,상세표[야간당직],1,상세표[야간 구분],"휴일"))</f>
        <v/>
      </c>
      <c r="U839">
        <f>IF($X839="","",COUNTIFS(상세표[사번키],INDEX(합계표[사번키],$X839),상세표[반영월],대상월키,상세표[야간당직],1,상세표[야간 구분],"평일",상세표[반영 기관],"서울병원"))</f>
        <v/>
      </c>
      <c r="V839">
        <f>IF($X839="","",COUNTIFS(상세표[사번키],INDEX(합계표[사번키],$X839),상세표[반영월],대상월키,상세표[야간당직],1,상세표[야간 구분],"휴일",상세표[반영 기관],"서울병원"))</f>
        <v/>
      </c>
      <c r="W839">
        <f>IF($X839="","",IF(ISNUMBER(MATCH(INDEX(합계표[사번키],$X839)&amp;"|"&amp;대상월키,월별근무지표[키],0)),"직접 입력",IF($L839="—","—","기관명단")))</f>
        <v/>
      </c>
      <c r="X839" s="4">
        <f>IFERROR(MATCH(834,합계표[판정순번],0),"")</f>
        <v/>
      </c>
    </row>
    <row r="840">
      <c r="A840">
        <f>IF($X840="","",INDEX(합계표[사번],$X840)&amp;"")</f>
        <v/>
      </c>
      <c r="B840">
        <f>IF($X840="","",INDEX(합계표[성명],$X840)&amp;"")</f>
        <v/>
      </c>
      <c r="C840">
        <f>IF($X840="","",INDEX(합계표[부서],$X840)&amp;"")</f>
        <v/>
      </c>
      <c r="D840">
        <f>IF($X840="","",INDEX(합계표[직위(요약)],$X840)&amp;"")</f>
        <v/>
      </c>
      <c r="E840">
        <f>IF($X840="","",INDEX(합계표[직급 공존],$X840)&amp;"")</f>
        <v/>
      </c>
      <c r="F840" s="20">
        <f>IF($X840="","",SUMIFS(합계표[시스템 합계],합계표[사번키],INDEX(합계표[사번키],$X840)))</f>
        <v/>
      </c>
      <c r="G840" s="20">
        <f>IF($X840="","",SUMIFS(상세표[기록 시간외],상세표[사번키],INDEX(합계표[사번키],$X840),상세표[기록월],대상월키))</f>
        <v/>
      </c>
      <c r="H840">
        <f>IF($X840="","",IF(ABS($F840-$G840)&lt;0.01,"일치","불일치(차이 "&amp;TEXT($G840-$F840,"0.00")&amp;")"))</f>
        <v/>
      </c>
      <c r="I840" s="20">
        <f>IF($X840="","",SUMIFS(상세표[기록 시간외],상세표[사번키],INDEX(합계표[사번키],$X840),상세표[기록월],대상월키,상세표[반영월],"&lt;&gt;"&amp;대상월키))</f>
        <v/>
      </c>
      <c r="J840" s="20">
        <f>IF($X840="","",SUMIFS(상세표[기록 시간외],상세표[사번키],INDEX(합계표[사번키],$X840),상세표[기록월],"&lt;&gt;"&amp;대상월키,상세표[반영월],대상월키))</f>
        <v/>
      </c>
      <c r="K840" s="20">
        <f>IF($X840="","",SUMIFS(상세표[기록 시간외],상세표[사번키],INDEX(합계표[사번키],$X840),상세표[반영월],대상월키))</f>
        <v/>
      </c>
      <c r="L840">
        <f>IF($X840="","",IFERROR(INDEX(월별근무지표[적용 급여병원],MATCH(INDEX(합계표[사번키],$X840)&amp;"|"&amp;대상월키,월별근무지표[키],0))&amp;"",IF(COUNTIF(기관표[사번키],INDEX(합계표[사번키],$X840))+COUNTIF(월별근무지표[사번키],INDEX(합계표[사번키],$X840))&gt;0,IFERROR(INDEX(기관표[급여지급병원(기준월)],MATCH(INDEX(합계표[사번키],$X840)&amp;"|"&amp;대상월키,기관표[키],0))&amp;"","—"),"—")))</f>
        <v/>
      </c>
      <c r="M840">
        <f>IF($X840="","",IF(NOT(COUNTIF(기관표[사번키],INDEX(합계표[사번키],$X840))+COUNTIF(월별근무지표[사번키],INDEX(합계표[사번키],$X840))&gt;0),"기관명단에 없음(다른 병원으로 발송)",IF($L840="서울병원","해당",IF(N($R840)&gt;0,"해당(말일 근무)",IF($L840="—","대상월 기관명단 없음(추가 필요)","비해당")))))</f>
        <v/>
      </c>
      <c r="N840" s="20">
        <f>IF($X840="","",SUMIFS(상세표[06~07시],상세표[사번키],INDEX(합계표[사번키],$X840),상세표[반영월],대상월키,상세표[반영 기관],"서울병원"))</f>
        <v/>
      </c>
      <c r="O840" s="20">
        <f>IF($X840="","",SUMIFS(상세표[07~18시],상세표[사번키],INDEX(합계표[사번키],$X840),상세표[반영월],대상월키,상세표[반영 기관],"서울병원"))</f>
        <v/>
      </c>
      <c r="P840" s="20">
        <f>IF($X840="","",SUMIFS(상세표[18~22시],상세표[사번키],INDEX(합계표[사번키],$X840),상세표[반영월],대상월키,상세표[반영 기관],"서울병원"))</f>
        <v/>
      </c>
      <c r="Q840" s="20">
        <f>IF($X840="","",SUMIFS(상세표[22~06시],상세표[사번키],INDEX(합계표[사번키],$X840),상세표[반영월],대상월키,상세표[반영 기관],"서울병원"))</f>
        <v/>
      </c>
      <c r="R840" s="20">
        <f>IF($X840="","",SUM($N840:$Q840))</f>
        <v/>
      </c>
      <c r="S840">
        <f>IF($X840="","",COUNTIFS(상세표[사번키],INDEX(합계표[사번키],$X840),상세표[반영월],대상월키,상세표[야간당직],1,상세표[야간 구분],"평일"))</f>
        <v/>
      </c>
      <c r="T840">
        <f>IF($X840="","",COUNTIFS(상세표[사번키],INDEX(합계표[사번키],$X840),상세표[반영월],대상월키,상세표[야간당직],1,상세표[야간 구분],"휴일"))</f>
        <v/>
      </c>
      <c r="U840">
        <f>IF($X840="","",COUNTIFS(상세표[사번키],INDEX(합계표[사번키],$X840),상세표[반영월],대상월키,상세표[야간당직],1,상세표[야간 구분],"평일",상세표[반영 기관],"서울병원"))</f>
        <v/>
      </c>
      <c r="V840">
        <f>IF($X840="","",COUNTIFS(상세표[사번키],INDEX(합계표[사번키],$X840),상세표[반영월],대상월키,상세표[야간당직],1,상세표[야간 구분],"휴일",상세표[반영 기관],"서울병원"))</f>
        <v/>
      </c>
      <c r="W840">
        <f>IF($X840="","",IF(ISNUMBER(MATCH(INDEX(합계표[사번키],$X840)&amp;"|"&amp;대상월키,월별근무지표[키],0)),"직접 입력",IF($L840="—","—","기관명단")))</f>
        <v/>
      </c>
      <c r="X840" s="4">
        <f>IFERROR(MATCH(835,합계표[판정순번],0),"")</f>
        <v/>
      </c>
    </row>
    <row r="841">
      <c r="A841">
        <f>IF($X841="","",INDEX(합계표[사번],$X841)&amp;"")</f>
        <v/>
      </c>
      <c r="B841">
        <f>IF($X841="","",INDEX(합계표[성명],$X841)&amp;"")</f>
        <v/>
      </c>
      <c r="C841">
        <f>IF($X841="","",INDEX(합계표[부서],$X841)&amp;"")</f>
        <v/>
      </c>
      <c r="D841">
        <f>IF($X841="","",INDEX(합계표[직위(요약)],$X841)&amp;"")</f>
        <v/>
      </c>
      <c r="E841">
        <f>IF($X841="","",INDEX(합계표[직급 공존],$X841)&amp;"")</f>
        <v/>
      </c>
      <c r="F841" s="20">
        <f>IF($X841="","",SUMIFS(합계표[시스템 합계],합계표[사번키],INDEX(합계표[사번키],$X841)))</f>
        <v/>
      </c>
      <c r="G841" s="20">
        <f>IF($X841="","",SUMIFS(상세표[기록 시간외],상세표[사번키],INDEX(합계표[사번키],$X841),상세표[기록월],대상월키))</f>
        <v/>
      </c>
      <c r="H841">
        <f>IF($X841="","",IF(ABS($F841-$G841)&lt;0.01,"일치","불일치(차이 "&amp;TEXT($G841-$F841,"0.00")&amp;")"))</f>
        <v/>
      </c>
      <c r="I841" s="20">
        <f>IF($X841="","",SUMIFS(상세표[기록 시간외],상세표[사번키],INDEX(합계표[사번키],$X841),상세표[기록월],대상월키,상세표[반영월],"&lt;&gt;"&amp;대상월키))</f>
        <v/>
      </c>
      <c r="J841" s="20">
        <f>IF($X841="","",SUMIFS(상세표[기록 시간외],상세표[사번키],INDEX(합계표[사번키],$X841),상세표[기록월],"&lt;&gt;"&amp;대상월키,상세표[반영월],대상월키))</f>
        <v/>
      </c>
      <c r="K841" s="20">
        <f>IF($X841="","",SUMIFS(상세표[기록 시간외],상세표[사번키],INDEX(합계표[사번키],$X841),상세표[반영월],대상월키))</f>
        <v/>
      </c>
      <c r="L841">
        <f>IF($X841="","",IFERROR(INDEX(월별근무지표[적용 급여병원],MATCH(INDEX(합계표[사번키],$X841)&amp;"|"&amp;대상월키,월별근무지표[키],0))&amp;"",IF(COUNTIF(기관표[사번키],INDEX(합계표[사번키],$X841))+COUNTIF(월별근무지표[사번키],INDEX(합계표[사번키],$X841))&gt;0,IFERROR(INDEX(기관표[급여지급병원(기준월)],MATCH(INDEX(합계표[사번키],$X841)&amp;"|"&amp;대상월키,기관표[키],0))&amp;"","—"),"—")))</f>
        <v/>
      </c>
      <c r="M841">
        <f>IF($X841="","",IF(NOT(COUNTIF(기관표[사번키],INDEX(합계표[사번키],$X841))+COUNTIF(월별근무지표[사번키],INDEX(합계표[사번키],$X841))&gt;0),"기관명단에 없음(다른 병원으로 발송)",IF($L841="서울병원","해당",IF(N($R841)&gt;0,"해당(말일 근무)",IF($L841="—","대상월 기관명단 없음(추가 필요)","비해당")))))</f>
        <v/>
      </c>
      <c r="N841" s="20">
        <f>IF($X841="","",SUMIFS(상세표[06~07시],상세표[사번키],INDEX(합계표[사번키],$X841),상세표[반영월],대상월키,상세표[반영 기관],"서울병원"))</f>
        <v/>
      </c>
      <c r="O841" s="20">
        <f>IF($X841="","",SUMIFS(상세표[07~18시],상세표[사번키],INDEX(합계표[사번키],$X841),상세표[반영월],대상월키,상세표[반영 기관],"서울병원"))</f>
        <v/>
      </c>
      <c r="P841" s="20">
        <f>IF($X841="","",SUMIFS(상세표[18~22시],상세표[사번키],INDEX(합계표[사번키],$X841),상세표[반영월],대상월키,상세표[반영 기관],"서울병원"))</f>
        <v/>
      </c>
      <c r="Q841" s="20">
        <f>IF($X841="","",SUMIFS(상세표[22~06시],상세표[사번키],INDEX(합계표[사번키],$X841),상세표[반영월],대상월키,상세표[반영 기관],"서울병원"))</f>
        <v/>
      </c>
      <c r="R841" s="20">
        <f>IF($X841="","",SUM($N841:$Q841))</f>
        <v/>
      </c>
      <c r="S841">
        <f>IF($X841="","",COUNTIFS(상세표[사번키],INDEX(합계표[사번키],$X841),상세표[반영월],대상월키,상세표[야간당직],1,상세표[야간 구분],"평일"))</f>
        <v/>
      </c>
      <c r="T841">
        <f>IF($X841="","",COUNTIFS(상세표[사번키],INDEX(합계표[사번키],$X841),상세표[반영월],대상월키,상세표[야간당직],1,상세표[야간 구분],"휴일"))</f>
        <v/>
      </c>
      <c r="U841">
        <f>IF($X841="","",COUNTIFS(상세표[사번키],INDEX(합계표[사번키],$X841),상세표[반영월],대상월키,상세표[야간당직],1,상세표[야간 구분],"평일",상세표[반영 기관],"서울병원"))</f>
        <v/>
      </c>
      <c r="V841">
        <f>IF($X841="","",COUNTIFS(상세표[사번키],INDEX(합계표[사번키],$X841),상세표[반영월],대상월키,상세표[야간당직],1,상세표[야간 구분],"휴일",상세표[반영 기관],"서울병원"))</f>
        <v/>
      </c>
      <c r="W841">
        <f>IF($X841="","",IF(ISNUMBER(MATCH(INDEX(합계표[사번키],$X841)&amp;"|"&amp;대상월키,월별근무지표[키],0)),"직접 입력",IF($L841="—","—","기관명단")))</f>
        <v/>
      </c>
      <c r="X841" s="4">
        <f>IFERROR(MATCH(836,합계표[판정순번],0),"")</f>
        <v/>
      </c>
    </row>
    <row r="842">
      <c r="A842">
        <f>IF($X842="","",INDEX(합계표[사번],$X842)&amp;"")</f>
        <v/>
      </c>
      <c r="B842">
        <f>IF($X842="","",INDEX(합계표[성명],$X842)&amp;"")</f>
        <v/>
      </c>
      <c r="C842">
        <f>IF($X842="","",INDEX(합계표[부서],$X842)&amp;"")</f>
        <v/>
      </c>
      <c r="D842">
        <f>IF($X842="","",INDEX(합계표[직위(요약)],$X842)&amp;"")</f>
        <v/>
      </c>
      <c r="E842">
        <f>IF($X842="","",INDEX(합계표[직급 공존],$X842)&amp;"")</f>
        <v/>
      </c>
      <c r="F842" s="20">
        <f>IF($X842="","",SUMIFS(합계표[시스템 합계],합계표[사번키],INDEX(합계표[사번키],$X842)))</f>
        <v/>
      </c>
      <c r="G842" s="20">
        <f>IF($X842="","",SUMIFS(상세표[기록 시간외],상세표[사번키],INDEX(합계표[사번키],$X842),상세표[기록월],대상월키))</f>
        <v/>
      </c>
      <c r="H842">
        <f>IF($X842="","",IF(ABS($F842-$G842)&lt;0.01,"일치","불일치(차이 "&amp;TEXT($G842-$F842,"0.00")&amp;")"))</f>
        <v/>
      </c>
      <c r="I842" s="20">
        <f>IF($X842="","",SUMIFS(상세표[기록 시간외],상세표[사번키],INDEX(합계표[사번키],$X842),상세표[기록월],대상월키,상세표[반영월],"&lt;&gt;"&amp;대상월키))</f>
        <v/>
      </c>
      <c r="J842" s="20">
        <f>IF($X842="","",SUMIFS(상세표[기록 시간외],상세표[사번키],INDEX(합계표[사번키],$X842),상세표[기록월],"&lt;&gt;"&amp;대상월키,상세표[반영월],대상월키))</f>
        <v/>
      </c>
      <c r="K842" s="20">
        <f>IF($X842="","",SUMIFS(상세표[기록 시간외],상세표[사번키],INDEX(합계표[사번키],$X842),상세표[반영월],대상월키))</f>
        <v/>
      </c>
      <c r="L842">
        <f>IF($X842="","",IFERROR(INDEX(월별근무지표[적용 급여병원],MATCH(INDEX(합계표[사번키],$X842)&amp;"|"&amp;대상월키,월별근무지표[키],0))&amp;"",IF(COUNTIF(기관표[사번키],INDEX(합계표[사번키],$X842))+COUNTIF(월별근무지표[사번키],INDEX(합계표[사번키],$X842))&gt;0,IFERROR(INDEX(기관표[급여지급병원(기준월)],MATCH(INDEX(합계표[사번키],$X842)&amp;"|"&amp;대상월키,기관표[키],0))&amp;"","—"),"—")))</f>
        <v/>
      </c>
      <c r="M842">
        <f>IF($X842="","",IF(NOT(COUNTIF(기관표[사번키],INDEX(합계표[사번키],$X842))+COUNTIF(월별근무지표[사번키],INDEX(합계표[사번키],$X842))&gt;0),"기관명단에 없음(다른 병원으로 발송)",IF($L842="서울병원","해당",IF(N($R842)&gt;0,"해당(말일 근무)",IF($L842="—","대상월 기관명단 없음(추가 필요)","비해당")))))</f>
        <v/>
      </c>
      <c r="N842" s="20">
        <f>IF($X842="","",SUMIFS(상세표[06~07시],상세표[사번키],INDEX(합계표[사번키],$X842),상세표[반영월],대상월키,상세표[반영 기관],"서울병원"))</f>
        <v/>
      </c>
      <c r="O842" s="20">
        <f>IF($X842="","",SUMIFS(상세표[07~18시],상세표[사번키],INDEX(합계표[사번키],$X842),상세표[반영월],대상월키,상세표[반영 기관],"서울병원"))</f>
        <v/>
      </c>
      <c r="P842" s="20">
        <f>IF($X842="","",SUMIFS(상세표[18~22시],상세표[사번키],INDEX(합계표[사번키],$X842),상세표[반영월],대상월키,상세표[반영 기관],"서울병원"))</f>
        <v/>
      </c>
      <c r="Q842" s="20">
        <f>IF($X842="","",SUMIFS(상세표[22~06시],상세표[사번키],INDEX(합계표[사번키],$X842),상세표[반영월],대상월키,상세표[반영 기관],"서울병원"))</f>
        <v/>
      </c>
      <c r="R842" s="20">
        <f>IF($X842="","",SUM($N842:$Q842))</f>
        <v/>
      </c>
      <c r="S842">
        <f>IF($X842="","",COUNTIFS(상세표[사번키],INDEX(합계표[사번키],$X842),상세표[반영월],대상월키,상세표[야간당직],1,상세표[야간 구분],"평일"))</f>
        <v/>
      </c>
      <c r="T842">
        <f>IF($X842="","",COUNTIFS(상세표[사번키],INDEX(합계표[사번키],$X842),상세표[반영월],대상월키,상세표[야간당직],1,상세표[야간 구분],"휴일"))</f>
        <v/>
      </c>
      <c r="U842">
        <f>IF($X842="","",COUNTIFS(상세표[사번키],INDEX(합계표[사번키],$X842),상세표[반영월],대상월키,상세표[야간당직],1,상세표[야간 구분],"평일",상세표[반영 기관],"서울병원"))</f>
        <v/>
      </c>
      <c r="V842">
        <f>IF($X842="","",COUNTIFS(상세표[사번키],INDEX(합계표[사번키],$X842),상세표[반영월],대상월키,상세표[야간당직],1,상세표[야간 구분],"휴일",상세표[반영 기관],"서울병원"))</f>
        <v/>
      </c>
      <c r="W842">
        <f>IF($X842="","",IF(ISNUMBER(MATCH(INDEX(합계표[사번키],$X842)&amp;"|"&amp;대상월키,월별근무지표[키],0)),"직접 입력",IF($L842="—","—","기관명단")))</f>
        <v/>
      </c>
      <c r="X842" s="4">
        <f>IFERROR(MATCH(837,합계표[판정순번],0),"")</f>
        <v/>
      </c>
    </row>
    <row r="843">
      <c r="A843">
        <f>IF($X843="","",INDEX(합계표[사번],$X843)&amp;"")</f>
        <v/>
      </c>
      <c r="B843">
        <f>IF($X843="","",INDEX(합계표[성명],$X843)&amp;"")</f>
        <v/>
      </c>
      <c r="C843">
        <f>IF($X843="","",INDEX(합계표[부서],$X843)&amp;"")</f>
        <v/>
      </c>
      <c r="D843">
        <f>IF($X843="","",INDEX(합계표[직위(요약)],$X843)&amp;"")</f>
        <v/>
      </c>
      <c r="E843">
        <f>IF($X843="","",INDEX(합계표[직급 공존],$X843)&amp;"")</f>
        <v/>
      </c>
      <c r="F843" s="20">
        <f>IF($X843="","",SUMIFS(합계표[시스템 합계],합계표[사번키],INDEX(합계표[사번키],$X843)))</f>
        <v/>
      </c>
      <c r="G843" s="20">
        <f>IF($X843="","",SUMIFS(상세표[기록 시간외],상세표[사번키],INDEX(합계표[사번키],$X843),상세표[기록월],대상월키))</f>
        <v/>
      </c>
      <c r="H843">
        <f>IF($X843="","",IF(ABS($F843-$G843)&lt;0.01,"일치","불일치(차이 "&amp;TEXT($G843-$F843,"0.00")&amp;")"))</f>
        <v/>
      </c>
      <c r="I843" s="20">
        <f>IF($X843="","",SUMIFS(상세표[기록 시간외],상세표[사번키],INDEX(합계표[사번키],$X843),상세표[기록월],대상월키,상세표[반영월],"&lt;&gt;"&amp;대상월키))</f>
        <v/>
      </c>
      <c r="J843" s="20">
        <f>IF($X843="","",SUMIFS(상세표[기록 시간외],상세표[사번키],INDEX(합계표[사번키],$X843),상세표[기록월],"&lt;&gt;"&amp;대상월키,상세표[반영월],대상월키))</f>
        <v/>
      </c>
      <c r="K843" s="20">
        <f>IF($X843="","",SUMIFS(상세표[기록 시간외],상세표[사번키],INDEX(합계표[사번키],$X843),상세표[반영월],대상월키))</f>
        <v/>
      </c>
      <c r="L843">
        <f>IF($X843="","",IFERROR(INDEX(월별근무지표[적용 급여병원],MATCH(INDEX(합계표[사번키],$X843)&amp;"|"&amp;대상월키,월별근무지표[키],0))&amp;"",IF(COUNTIF(기관표[사번키],INDEX(합계표[사번키],$X843))+COUNTIF(월별근무지표[사번키],INDEX(합계표[사번키],$X843))&gt;0,IFERROR(INDEX(기관표[급여지급병원(기준월)],MATCH(INDEX(합계표[사번키],$X843)&amp;"|"&amp;대상월키,기관표[키],0))&amp;"","—"),"—")))</f>
        <v/>
      </c>
      <c r="M843">
        <f>IF($X843="","",IF(NOT(COUNTIF(기관표[사번키],INDEX(합계표[사번키],$X843))+COUNTIF(월별근무지표[사번키],INDEX(합계표[사번키],$X843))&gt;0),"기관명단에 없음(다른 병원으로 발송)",IF($L843="서울병원","해당",IF(N($R843)&gt;0,"해당(말일 근무)",IF($L843="—","대상월 기관명단 없음(추가 필요)","비해당")))))</f>
        <v/>
      </c>
      <c r="N843" s="20">
        <f>IF($X843="","",SUMIFS(상세표[06~07시],상세표[사번키],INDEX(합계표[사번키],$X843),상세표[반영월],대상월키,상세표[반영 기관],"서울병원"))</f>
        <v/>
      </c>
      <c r="O843" s="20">
        <f>IF($X843="","",SUMIFS(상세표[07~18시],상세표[사번키],INDEX(합계표[사번키],$X843),상세표[반영월],대상월키,상세표[반영 기관],"서울병원"))</f>
        <v/>
      </c>
      <c r="P843" s="20">
        <f>IF($X843="","",SUMIFS(상세표[18~22시],상세표[사번키],INDEX(합계표[사번키],$X843),상세표[반영월],대상월키,상세표[반영 기관],"서울병원"))</f>
        <v/>
      </c>
      <c r="Q843" s="20">
        <f>IF($X843="","",SUMIFS(상세표[22~06시],상세표[사번키],INDEX(합계표[사번키],$X843),상세표[반영월],대상월키,상세표[반영 기관],"서울병원"))</f>
        <v/>
      </c>
      <c r="R843" s="20">
        <f>IF($X843="","",SUM($N843:$Q843))</f>
        <v/>
      </c>
      <c r="S843">
        <f>IF($X843="","",COUNTIFS(상세표[사번키],INDEX(합계표[사번키],$X843),상세표[반영월],대상월키,상세표[야간당직],1,상세표[야간 구분],"평일"))</f>
        <v/>
      </c>
      <c r="T843">
        <f>IF($X843="","",COUNTIFS(상세표[사번키],INDEX(합계표[사번키],$X843),상세표[반영월],대상월키,상세표[야간당직],1,상세표[야간 구분],"휴일"))</f>
        <v/>
      </c>
      <c r="U843">
        <f>IF($X843="","",COUNTIFS(상세표[사번키],INDEX(합계표[사번키],$X843),상세표[반영월],대상월키,상세표[야간당직],1,상세표[야간 구분],"평일",상세표[반영 기관],"서울병원"))</f>
        <v/>
      </c>
      <c r="V843">
        <f>IF($X843="","",COUNTIFS(상세표[사번키],INDEX(합계표[사번키],$X843),상세표[반영월],대상월키,상세표[야간당직],1,상세표[야간 구분],"휴일",상세표[반영 기관],"서울병원"))</f>
        <v/>
      </c>
      <c r="W843">
        <f>IF($X843="","",IF(ISNUMBER(MATCH(INDEX(합계표[사번키],$X843)&amp;"|"&amp;대상월키,월별근무지표[키],0)),"직접 입력",IF($L843="—","—","기관명단")))</f>
        <v/>
      </c>
      <c r="X843" s="4">
        <f>IFERROR(MATCH(838,합계표[판정순번],0),"")</f>
        <v/>
      </c>
    </row>
    <row r="844">
      <c r="A844">
        <f>IF($X844="","",INDEX(합계표[사번],$X844)&amp;"")</f>
        <v/>
      </c>
      <c r="B844">
        <f>IF($X844="","",INDEX(합계표[성명],$X844)&amp;"")</f>
        <v/>
      </c>
      <c r="C844">
        <f>IF($X844="","",INDEX(합계표[부서],$X844)&amp;"")</f>
        <v/>
      </c>
      <c r="D844">
        <f>IF($X844="","",INDEX(합계표[직위(요약)],$X844)&amp;"")</f>
        <v/>
      </c>
      <c r="E844">
        <f>IF($X844="","",INDEX(합계표[직급 공존],$X844)&amp;"")</f>
        <v/>
      </c>
      <c r="F844" s="20">
        <f>IF($X844="","",SUMIFS(합계표[시스템 합계],합계표[사번키],INDEX(합계표[사번키],$X844)))</f>
        <v/>
      </c>
      <c r="G844" s="20">
        <f>IF($X844="","",SUMIFS(상세표[기록 시간외],상세표[사번키],INDEX(합계표[사번키],$X844),상세표[기록월],대상월키))</f>
        <v/>
      </c>
      <c r="H844">
        <f>IF($X844="","",IF(ABS($F844-$G844)&lt;0.01,"일치","불일치(차이 "&amp;TEXT($G844-$F844,"0.00")&amp;")"))</f>
        <v/>
      </c>
      <c r="I844" s="20">
        <f>IF($X844="","",SUMIFS(상세표[기록 시간외],상세표[사번키],INDEX(합계표[사번키],$X844),상세표[기록월],대상월키,상세표[반영월],"&lt;&gt;"&amp;대상월키))</f>
        <v/>
      </c>
      <c r="J844" s="20">
        <f>IF($X844="","",SUMIFS(상세표[기록 시간외],상세표[사번키],INDEX(합계표[사번키],$X844),상세표[기록월],"&lt;&gt;"&amp;대상월키,상세표[반영월],대상월키))</f>
        <v/>
      </c>
      <c r="K844" s="20">
        <f>IF($X844="","",SUMIFS(상세표[기록 시간외],상세표[사번키],INDEX(합계표[사번키],$X844),상세표[반영월],대상월키))</f>
        <v/>
      </c>
      <c r="L844">
        <f>IF($X844="","",IFERROR(INDEX(월별근무지표[적용 급여병원],MATCH(INDEX(합계표[사번키],$X844)&amp;"|"&amp;대상월키,월별근무지표[키],0))&amp;"",IF(COUNTIF(기관표[사번키],INDEX(합계표[사번키],$X844))+COUNTIF(월별근무지표[사번키],INDEX(합계표[사번키],$X844))&gt;0,IFERROR(INDEX(기관표[급여지급병원(기준월)],MATCH(INDEX(합계표[사번키],$X844)&amp;"|"&amp;대상월키,기관표[키],0))&amp;"","—"),"—")))</f>
        <v/>
      </c>
      <c r="M844">
        <f>IF($X844="","",IF(NOT(COUNTIF(기관표[사번키],INDEX(합계표[사번키],$X844))+COUNTIF(월별근무지표[사번키],INDEX(합계표[사번키],$X844))&gt;0),"기관명단에 없음(다른 병원으로 발송)",IF($L844="서울병원","해당",IF(N($R844)&gt;0,"해당(말일 근무)",IF($L844="—","대상월 기관명단 없음(추가 필요)","비해당")))))</f>
        <v/>
      </c>
      <c r="N844" s="20">
        <f>IF($X844="","",SUMIFS(상세표[06~07시],상세표[사번키],INDEX(합계표[사번키],$X844),상세표[반영월],대상월키,상세표[반영 기관],"서울병원"))</f>
        <v/>
      </c>
      <c r="O844" s="20">
        <f>IF($X844="","",SUMIFS(상세표[07~18시],상세표[사번키],INDEX(합계표[사번키],$X844),상세표[반영월],대상월키,상세표[반영 기관],"서울병원"))</f>
        <v/>
      </c>
      <c r="P844" s="20">
        <f>IF($X844="","",SUMIFS(상세표[18~22시],상세표[사번키],INDEX(합계표[사번키],$X844),상세표[반영월],대상월키,상세표[반영 기관],"서울병원"))</f>
        <v/>
      </c>
      <c r="Q844" s="20">
        <f>IF($X844="","",SUMIFS(상세표[22~06시],상세표[사번키],INDEX(합계표[사번키],$X844),상세표[반영월],대상월키,상세표[반영 기관],"서울병원"))</f>
        <v/>
      </c>
      <c r="R844" s="20">
        <f>IF($X844="","",SUM($N844:$Q844))</f>
        <v/>
      </c>
      <c r="S844">
        <f>IF($X844="","",COUNTIFS(상세표[사번키],INDEX(합계표[사번키],$X844),상세표[반영월],대상월키,상세표[야간당직],1,상세표[야간 구분],"평일"))</f>
        <v/>
      </c>
      <c r="T844">
        <f>IF($X844="","",COUNTIFS(상세표[사번키],INDEX(합계표[사번키],$X844),상세표[반영월],대상월키,상세표[야간당직],1,상세표[야간 구분],"휴일"))</f>
        <v/>
      </c>
      <c r="U844">
        <f>IF($X844="","",COUNTIFS(상세표[사번키],INDEX(합계표[사번키],$X844),상세표[반영월],대상월키,상세표[야간당직],1,상세표[야간 구분],"평일",상세표[반영 기관],"서울병원"))</f>
        <v/>
      </c>
      <c r="V844">
        <f>IF($X844="","",COUNTIFS(상세표[사번키],INDEX(합계표[사번키],$X844),상세표[반영월],대상월키,상세표[야간당직],1,상세표[야간 구분],"휴일",상세표[반영 기관],"서울병원"))</f>
        <v/>
      </c>
      <c r="W844">
        <f>IF($X844="","",IF(ISNUMBER(MATCH(INDEX(합계표[사번키],$X844)&amp;"|"&amp;대상월키,월별근무지표[키],0)),"직접 입력",IF($L844="—","—","기관명단")))</f>
        <v/>
      </c>
      <c r="X844" s="4">
        <f>IFERROR(MATCH(839,합계표[판정순번],0),"")</f>
        <v/>
      </c>
    </row>
    <row r="845">
      <c r="A845">
        <f>IF($X845="","",INDEX(합계표[사번],$X845)&amp;"")</f>
        <v/>
      </c>
      <c r="B845">
        <f>IF($X845="","",INDEX(합계표[성명],$X845)&amp;"")</f>
        <v/>
      </c>
      <c r="C845">
        <f>IF($X845="","",INDEX(합계표[부서],$X845)&amp;"")</f>
        <v/>
      </c>
      <c r="D845">
        <f>IF($X845="","",INDEX(합계표[직위(요약)],$X845)&amp;"")</f>
        <v/>
      </c>
      <c r="E845">
        <f>IF($X845="","",INDEX(합계표[직급 공존],$X845)&amp;"")</f>
        <v/>
      </c>
      <c r="F845" s="20">
        <f>IF($X845="","",SUMIFS(합계표[시스템 합계],합계표[사번키],INDEX(합계표[사번키],$X845)))</f>
        <v/>
      </c>
      <c r="G845" s="20">
        <f>IF($X845="","",SUMIFS(상세표[기록 시간외],상세표[사번키],INDEX(합계표[사번키],$X845),상세표[기록월],대상월키))</f>
        <v/>
      </c>
      <c r="H845">
        <f>IF($X845="","",IF(ABS($F845-$G845)&lt;0.01,"일치","불일치(차이 "&amp;TEXT($G845-$F845,"0.00")&amp;")"))</f>
        <v/>
      </c>
      <c r="I845" s="20">
        <f>IF($X845="","",SUMIFS(상세표[기록 시간외],상세표[사번키],INDEX(합계표[사번키],$X845),상세표[기록월],대상월키,상세표[반영월],"&lt;&gt;"&amp;대상월키))</f>
        <v/>
      </c>
      <c r="J845" s="20">
        <f>IF($X845="","",SUMIFS(상세표[기록 시간외],상세표[사번키],INDEX(합계표[사번키],$X845),상세표[기록월],"&lt;&gt;"&amp;대상월키,상세표[반영월],대상월키))</f>
        <v/>
      </c>
      <c r="K845" s="20">
        <f>IF($X845="","",SUMIFS(상세표[기록 시간외],상세표[사번키],INDEX(합계표[사번키],$X845),상세표[반영월],대상월키))</f>
        <v/>
      </c>
      <c r="L845">
        <f>IF($X845="","",IFERROR(INDEX(월별근무지표[적용 급여병원],MATCH(INDEX(합계표[사번키],$X845)&amp;"|"&amp;대상월키,월별근무지표[키],0))&amp;"",IF(COUNTIF(기관표[사번키],INDEX(합계표[사번키],$X845))+COUNTIF(월별근무지표[사번키],INDEX(합계표[사번키],$X845))&gt;0,IFERROR(INDEX(기관표[급여지급병원(기준월)],MATCH(INDEX(합계표[사번키],$X845)&amp;"|"&amp;대상월키,기관표[키],0))&amp;"","—"),"—")))</f>
        <v/>
      </c>
      <c r="M845">
        <f>IF($X845="","",IF(NOT(COUNTIF(기관표[사번키],INDEX(합계표[사번키],$X845))+COUNTIF(월별근무지표[사번키],INDEX(합계표[사번키],$X845))&gt;0),"기관명단에 없음(다른 병원으로 발송)",IF($L845="서울병원","해당",IF(N($R845)&gt;0,"해당(말일 근무)",IF($L845="—","대상월 기관명단 없음(추가 필요)","비해당")))))</f>
        <v/>
      </c>
      <c r="N845" s="20">
        <f>IF($X845="","",SUMIFS(상세표[06~07시],상세표[사번키],INDEX(합계표[사번키],$X845),상세표[반영월],대상월키,상세표[반영 기관],"서울병원"))</f>
        <v/>
      </c>
      <c r="O845" s="20">
        <f>IF($X845="","",SUMIFS(상세표[07~18시],상세표[사번키],INDEX(합계표[사번키],$X845),상세표[반영월],대상월키,상세표[반영 기관],"서울병원"))</f>
        <v/>
      </c>
      <c r="P845" s="20">
        <f>IF($X845="","",SUMIFS(상세표[18~22시],상세표[사번키],INDEX(합계표[사번키],$X845),상세표[반영월],대상월키,상세표[반영 기관],"서울병원"))</f>
        <v/>
      </c>
      <c r="Q845" s="20">
        <f>IF($X845="","",SUMIFS(상세표[22~06시],상세표[사번키],INDEX(합계표[사번키],$X845),상세표[반영월],대상월키,상세표[반영 기관],"서울병원"))</f>
        <v/>
      </c>
      <c r="R845" s="20">
        <f>IF($X845="","",SUM($N845:$Q845))</f>
        <v/>
      </c>
      <c r="S845">
        <f>IF($X845="","",COUNTIFS(상세표[사번키],INDEX(합계표[사번키],$X845),상세표[반영월],대상월키,상세표[야간당직],1,상세표[야간 구분],"평일"))</f>
        <v/>
      </c>
      <c r="T845">
        <f>IF($X845="","",COUNTIFS(상세표[사번키],INDEX(합계표[사번키],$X845),상세표[반영월],대상월키,상세표[야간당직],1,상세표[야간 구분],"휴일"))</f>
        <v/>
      </c>
      <c r="U845">
        <f>IF($X845="","",COUNTIFS(상세표[사번키],INDEX(합계표[사번키],$X845),상세표[반영월],대상월키,상세표[야간당직],1,상세표[야간 구분],"평일",상세표[반영 기관],"서울병원"))</f>
        <v/>
      </c>
      <c r="V845">
        <f>IF($X845="","",COUNTIFS(상세표[사번키],INDEX(합계표[사번키],$X845),상세표[반영월],대상월키,상세표[야간당직],1,상세표[야간 구분],"휴일",상세표[반영 기관],"서울병원"))</f>
        <v/>
      </c>
      <c r="W845">
        <f>IF($X845="","",IF(ISNUMBER(MATCH(INDEX(합계표[사번키],$X845)&amp;"|"&amp;대상월키,월별근무지표[키],0)),"직접 입력",IF($L845="—","—","기관명단")))</f>
        <v/>
      </c>
      <c r="X845" s="4">
        <f>IFERROR(MATCH(840,합계표[판정순번],0),"")</f>
        <v/>
      </c>
    </row>
    <row r="846">
      <c r="A846">
        <f>IF($X846="","",INDEX(합계표[사번],$X846)&amp;"")</f>
        <v/>
      </c>
      <c r="B846">
        <f>IF($X846="","",INDEX(합계표[성명],$X846)&amp;"")</f>
        <v/>
      </c>
      <c r="C846">
        <f>IF($X846="","",INDEX(합계표[부서],$X846)&amp;"")</f>
        <v/>
      </c>
      <c r="D846">
        <f>IF($X846="","",INDEX(합계표[직위(요약)],$X846)&amp;"")</f>
        <v/>
      </c>
      <c r="E846">
        <f>IF($X846="","",INDEX(합계표[직급 공존],$X846)&amp;"")</f>
        <v/>
      </c>
      <c r="F846" s="20">
        <f>IF($X846="","",SUMIFS(합계표[시스템 합계],합계표[사번키],INDEX(합계표[사번키],$X846)))</f>
        <v/>
      </c>
      <c r="G846" s="20">
        <f>IF($X846="","",SUMIFS(상세표[기록 시간외],상세표[사번키],INDEX(합계표[사번키],$X846),상세표[기록월],대상월키))</f>
        <v/>
      </c>
      <c r="H846">
        <f>IF($X846="","",IF(ABS($F846-$G846)&lt;0.01,"일치","불일치(차이 "&amp;TEXT($G846-$F846,"0.00")&amp;")"))</f>
        <v/>
      </c>
      <c r="I846" s="20">
        <f>IF($X846="","",SUMIFS(상세표[기록 시간외],상세표[사번키],INDEX(합계표[사번키],$X846),상세표[기록월],대상월키,상세표[반영월],"&lt;&gt;"&amp;대상월키))</f>
        <v/>
      </c>
      <c r="J846" s="20">
        <f>IF($X846="","",SUMIFS(상세표[기록 시간외],상세표[사번키],INDEX(합계표[사번키],$X846),상세표[기록월],"&lt;&gt;"&amp;대상월키,상세표[반영월],대상월키))</f>
        <v/>
      </c>
      <c r="K846" s="20">
        <f>IF($X846="","",SUMIFS(상세표[기록 시간외],상세표[사번키],INDEX(합계표[사번키],$X846),상세표[반영월],대상월키))</f>
        <v/>
      </c>
      <c r="L846">
        <f>IF($X846="","",IFERROR(INDEX(월별근무지표[적용 급여병원],MATCH(INDEX(합계표[사번키],$X846)&amp;"|"&amp;대상월키,월별근무지표[키],0))&amp;"",IF(COUNTIF(기관표[사번키],INDEX(합계표[사번키],$X846))+COUNTIF(월별근무지표[사번키],INDEX(합계표[사번키],$X846))&gt;0,IFERROR(INDEX(기관표[급여지급병원(기준월)],MATCH(INDEX(합계표[사번키],$X846)&amp;"|"&amp;대상월키,기관표[키],0))&amp;"","—"),"—")))</f>
        <v/>
      </c>
      <c r="M846">
        <f>IF($X846="","",IF(NOT(COUNTIF(기관표[사번키],INDEX(합계표[사번키],$X846))+COUNTIF(월별근무지표[사번키],INDEX(합계표[사번키],$X846))&gt;0),"기관명단에 없음(다른 병원으로 발송)",IF($L846="서울병원","해당",IF(N($R846)&gt;0,"해당(말일 근무)",IF($L846="—","대상월 기관명단 없음(추가 필요)","비해당")))))</f>
        <v/>
      </c>
      <c r="N846" s="20">
        <f>IF($X846="","",SUMIFS(상세표[06~07시],상세표[사번키],INDEX(합계표[사번키],$X846),상세표[반영월],대상월키,상세표[반영 기관],"서울병원"))</f>
        <v/>
      </c>
      <c r="O846" s="20">
        <f>IF($X846="","",SUMIFS(상세표[07~18시],상세표[사번키],INDEX(합계표[사번키],$X846),상세표[반영월],대상월키,상세표[반영 기관],"서울병원"))</f>
        <v/>
      </c>
      <c r="P846" s="20">
        <f>IF($X846="","",SUMIFS(상세표[18~22시],상세표[사번키],INDEX(합계표[사번키],$X846),상세표[반영월],대상월키,상세표[반영 기관],"서울병원"))</f>
        <v/>
      </c>
      <c r="Q846" s="20">
        <f>IF($X846="","",SUMIFS(상세표[22~06시],상세표[사번키],INDEX(합계표[사번키],$X846),상세표[반영월],대상월키,상세표[반영 기관],"서울병원"))</f>
        <v/>
      </c>
      <c r="R846" s="20">
        <f>IF($X846="","",SUM($N846:$Q846))</f>
        <v/>
      </c>
      <c r="S846">
        <f>IF($X846="","",COUNTIFS(상세표[사번키],INDEX(합계표[사번키],$X846),상세표[반영월],대상월키,상세표[야간당직],1,상세표[야간 구분],"평일"))</f>
        <v/>
      </c>
      <c r="T846">
        <f>IF($X846="","",COUNTIFS(상세표[사번키],INDEX(합계표[사번키],$X846),상세표[반영월],대상월키,상세표[야간당직],1,상세표[야간 구분],"휴일"))</f>
        <v/>
      </c>
      <c r="U846">
        <f>IF($X846="","",COUNTIFS(상세표[사번키],INDEX(합계표[사번키],$X846),상세표[반영월],대상월키,상세표[야간당직],1,상세표[야간 구분],"평일",상세표[반영 기관],"서울병원"))</f>
        <v/>
      </c>
      <c r="V846">
        <f>IF($X846="","",COUNTIFS(상세표[사번키],INDEX(합계표[사번키],$X846),상세표[반영월],대상월키,상세표[야간당직],1,상세표[야간 구분],"휴일",상세표[반영 기관],"서울병원"))</f>
        <v/>
      </c>
      <c r="W846">
        <f>IF($X846="","",IF(ISNUMBER(MATCH(INDEX(합계표[사번키],$X846)&amp;"|"&amp;대상월키,월별근무지표[키],0)),"직접 입력",IF($L846="—","—","기관명단")))</f>
        <v/>
      </c>
      <c r="X846" s="4">
        <f>IFERROR(MATCH(841,합계표[판정순번],0),"")</f>
        <v/>
      </c>
    </row>
    <row r="847">
      <c r="A847">
        <f>IF($X847="","",INDEX(합계표[사번],$X847)&amp;"")</f>
        <v/>
      </c>
      <c r="B847">
        <f>IF($X847="","",INDEX(합계표[성명],$X847)&amp;"")</f>
        <v/>
      </c>
      <c r="C847">
        <f>IF($X847="","",INDEX(합계표[부서],$X847)&amp;"")</f>
        <v/>
      </c>
      <c r="D847">
        <f>IF($X847="","",INDEX(합계표[직위(요약)],$X847)&amp;"")</f>
        <v/>
      </c>
      <c r="E847">
        <f>IF($X847="","",INDEX(합계표[직급 공존],$X847)&amp;"")</f>
        <v/>
      </c>
      <c r="F847" s="20">
        <f>IF($X847="","",SUMIFS(합계표[시스템 합계],합계표[사번키],INDEX(합계표[사번키],$X847)))</f>
        <v/>
      </c>
      <c r="G847" s="20">
        <f>IF($X847="","",SUMIFS(상세표[기록 시간외],상세표[사번키],INDEX(합계표[사번키],$X847),상세표[기록월],대상월키))</f>
        <v/>
      </c>
      <c r="H847">
        <f>IF($X847="","",IF(ABS($F847-$G847)&lt;0.01,"일치","불일치(차이 "&amp;TEXT($G847-$F847,"0.00")&amp;")"))</f>
        <v/>
      </c>
      <c r="I847" s="20">
        <f>IF($X847="","",SUMIFS(상세표[기록 시간외],상세표[사번키],INDEX(합계표[사번키],$X847),상세표[기록월],대상월키,상세표[반영월],"&lt;&gt;"&amp;대상월키))</f>
        <v/>
      </c>
      <c r="J847" s="20">
        <f>IF($X847="","",SUMIFS(상세표[기록 시간외],상세표[사번키],INDEX(합계표[사번키],$X847),상세표[기록월],"&lt;&gt;"&amp;대상월키,상세표[반영월],대상월키))</f>
        <v/>
      </c>
      <c r="K847" s="20">
        <f>IF($X847="","",SUMIFS(상세표[기록 시간외],상세표[사번키],INDEX(합계표[사번키],$X847),상세표[반영월],대상월키))</f>
        <v/>
      </c>
      <c r="L847">
        <f>IF($X847="","",IFERROR(INDEX(월별근무지표[적용 급여병원],MATCH(INDEX(합계표[사번키],$X847)&amp;"|"&amp;대상월키,월별근무지표[키],0))&amp;"",IF(COUNTIF(기관표[사번키],INDEX(합계표[사번키],$X847))+COUNTIF(월별근무지표[사번키],INDEX(합계표[사번키],$X847))&gt;0,IFERROR(INDEX(기관표[급여지급병원(기준월)],MATCH(INDEX(합계표[사번키],$X847)&amp;"|"&amp;대상월키,기관표[키],0))&amp;"","—"),"—")))</f>
        <v/>
      </c>
      <c r="M847">
        <f>IF($X847="","",IF(NOT(COUNTIF(기관표[사번키],INDEX(합계표[사번키],$X847))+COUNTIF(월별근무지표[사번키],INDEX(합계표[사번키],$X847))&gt;0),"기관명단에 없음(다른 병원으로 발송)",IF($L847="서울병원","해당",IF(N($R847)&gt;0,"해당(말일 근무)",IF($L847="—","대상월 기관명단 없음(추가 필요)","비해당")))))</f>
        <v/>
      </c>
      <c r="N847" s="20">
        <f>IF($X847="","",SUMIFS(상세표[06~07시],상세표[사번키],INDEX(합계표[사번키],$X847),상세표[반영월],대상월키,상세표[반영 기관],"서울병원"))</f>
        <v/>
      </c>
      <c r="O847" s="20">
        <f>IF($X847="","",SUMIFS(상세표[07~18시],상세표[사번키],INDEX(합계표[사번키],$X847),상세표[반영월],대상월키,상세표[반영 기관],"서울병원"))</f>
        <v/>
      </c>
      <c r="P847" s="20">
        <f>IF($X847="","",SUMIFS(상세표[18~22시],상세표[사번키],INDEX(합계표[사번키],$X847),상세표[반영월],대상월키,상세표[반영 기관],"서울병원"))</f>
        <v/>
      </c>
      <c r="Q847" s="20">
        <f>IF($X847="","",SUMIFS(상세표[22~06시],상세표[사번키],INDEX(합계표[사번키],$X847),상세표[반영월],대상월키,상세표[반영 기관],"서울병원"))</f>
        <v/>
      </c>
      <c r="R847" s="20">
        <f>IF($X847="","",SUM($N847:$Q847))</f>
        <v/>
      </c>
      <c r="S847">
        <f>IF($X847="","",COUNTIFS(상세표[사번키],INDEX(합계표[사번키],$X847),상세표[반영월],대상월키,상세표[야간당직],1,상세표[야간 구분],"평일"))</f>
        <v/>
      </c>
      <c r="T847">
        <f>IF($X847="","",COUNTIFS(상세표[사번키],INDEX(합계표[사번키],$X847),상세표[반영월],대상월키,상세표[야간당직],1,상세표[야간 구분],"휴일"))</f>
        <v/>
      </c>
      <c r="U847">
        <f>IF($X847="","",COUNTIFS(상세표[사번키],INDEX(합계표[사번키],$X847),상세표[반영월],대상월키,상세표[야간당직],1,상세표[야간 구분],"평일",상세표[반영 기관],"서울병원"))</f>
        <v/>
      </c>
      <c r="V847">
        <f>IF($X847="","",COUNTIFS(상세표[사번키],INDEX(합계표[사번키],$X847),상세표[반영월],대상월키,상세표[야간당직],1,상세표[야간 구분],"휴일",상세표[반영 기관],"서울병원"))</f>
        <v/>
      </c>
      <c r="W847">
        <f>IF($X847="","",IF(ISNUMBER(MATCH(INDEX(합계표[사번키],$X847)&amp;"|"&amp;대상월키,월별근무지표[키],0)),"직접 입력",IF($L847="—","—","기관명단")))</f>
        <v/>
      </c>
      <c r="X847" s="4">
        <f>IFERROR(MATCH(842,합계표[판정순번],0),"")</f>
        <v/>
      </c>
    </row>
    <row r="848">
      <c r="A848">
        <f>IF($X848="","",INDEX(합계표[사번],$X848)&amp;"")</f>
        <v/>
      </c>
      <c r="B848">
        <f>IF($X848="","",INDEX(합계표[성명],$X848)&amp;"")</f>
        <v/>
      </c>
      <c r="C848">
        <f>IF($X848="","",INDEX(합계표[부서],$X848)&amp;"")</f>
        <v/>
      </c>
      <c r="D848">
        <f>IF($X848="","",INDEX(합계표[직위(요약)],$X848)&amp;"")</f>
        <v/>
      </c>
      <c r="E848">
        <f>IF($X848="","",INDEX(합계표[직급 공존],$X848)&amp;"")</f>
        <v/>
      </c>
      <c r="F848" s="20">
        <f>IF($X848="","",SUMIFS(합계표[시스템 합계],합계표[사번키],INDEX(합계표[사번키],$X848)))</f>
        <v/>
      </c>
      <c r="G848" s="20">
        <f>IF($X848="","",SUMIFS(상세표[기록 시간외],상세표[사번키],INDEX(합계표[사번키],$X848),상세표[기록월],대상월키))</f>
        <v/>
      </c>
      <c r="H848">
        <f>IF($X848="","",IF(ABS($F848-$G848)&lt;0.01,"일치","불일치(차이 "&amp;TEXT($G848-$F848,"0.00")&amp;")"))</f>
        <v/>
      </c>
      <c r="I848" s="20">
        <f>IF($X848="","",SUMIFS(상세표[기록 시간외],상세표[사번키],INDEX(합계표[사번키],$X848),상세표[기록월],대상월키,상세표[반영월],"&lt;&gt;"&amp;대상월키))</f>
        <v/>
      </c>
      <c r="J848" s="20">
        <f>IF($X848="","",SUMIFS(상세표[기록 시간외],상세표[사번키],INDEX(합계표[사번키],$X848),상세표[기록월],"&lt;&gt;"&amp;대상월키,상세표[반영월],대상월키))</f>
        <v/>
      </c>
      <c r="K848" s="20">
        <f>IF($X848="","",SUMIFS(상세표[기록 시간외],상세표[사번키],INDEX(합계표[사번키],$X848),상세표[반영월],대상월키))</f>
        <v/>
      </c>
      <c r="L848">
        <f>IF($X848="","",IFERROR(INDEX(월별근무지표[적용 급여병원],MATCH(INDEX(합계표[사번키],$X848)&amp;"|"&amp;대상월키,월별근무지표[키],0))&amp;"",IF(COUNTIF(기관표[사번키],INDEX(합계표[사번키],$X848))+COUNTIF(월별근무지표[사번키],INDEX(합계표[사번키],$X848))&gt;0,IFERROR(INDEX(기관표[급여지급병원(기준월)],MATCH(INDEX(합계표[사번키],$X848)&amp;"|"&amp;대상월키,기관표[키],0))&amp;"","—"),"—")))</f>
        <v/>
      </c>
      <c r="M848">
        <f>IF($X848="","",IF(NOT(COUNTIF(기관표[사번키],INDEX(합계표[사번키],$X848))+COUNTIF(월별근무지표[사번키],INDEX(합계표[사번키],$X848))&gt;0),"기관명단에 없음(다른 병원으로 발송)",IF($L848="서울병원","해당",IF(N($R848)&gt;0,"해당(말일 근무)",IF($L848="—","대상월 기관명단 없음(추가 필요)","비해당")))))</f>
        <v/>
      </c>
      <c r="N848" s="20">
        <f>IF($X848="","",SUMIFS(상세표[06~07시],상세표[사번키],INDEX(합계표[사번키],$X848),상세표[반영월],대상월키,상세표[반영 기관],"서울병원"))</f>
        <v/>
      </c>
      <c r="O848" s="20">
        <f>IF($X848="","",SUMIFS(상세표[07~18시],상세표[사번키],INDEX(합계표[사번키],$X848),상세표[반영월],대상월키,상세표[반영 기관],"서울병원"))</f>
        <v/>
      </c>
      <c r="P848" s="20">
        <f>IF($X848="","",SUMIFS(상세표[18~22시],상세표[사번키],INDEX(합계표[사번키],$X848),상세표[반영월],대상월키,상세표[반영 기관],"서울병원"))</f>
        <v/>
      </c>
      <c r="Q848" s="20">
        <f>IF($X848="","",SUMIFS(상세표[22~06시],상세표[사번키],INDEX(합계표[사번키],$X848),상세표[반영월],대상월키,상세표[반영 기관],"서울병원"))</f>
        <v/>
      </c>
      <c r="R848" s="20">
        <f>IF($X848="","",SUM($N848:$Q848))</f>
        <v/>
      </c>
      <c r="S848">
        <f>IF($X848="","",COUNTIFS(상세표[사번키],INDEX(합계표[사번키],$X848),상세표[반영월],대상월키,상세표[야간당직],1,상세표[야간 구분],"평일"))</f>
        <v/>
      </c>
      <c r="T848">
        <f>IF($X848="","",COUNTIFS(상세표[사번키],INDEX(합계표[사번키],$X848),상세표[반영월],대상월키,상세표[야간당직],1,상세표[야간 구분],"휴일"))</f>
        <v/>
      </c>
      <c r="U848">
        <f>IF($X848="","",COUNTIFS(상세표[사번키],INDEX(합계표[사번키],$X848),상세표[반영월],대상월키,상세표[야간당직],1,상세표[야간 구분],"평일",상세표[반영 기관],"서울병원"))</f>
        <v/>
      </c>
      <c r="V848">
        <f>IF($X848="","",COUNTIFS(상세표[사번키],INDEX(합계표[사번키],$X848),상세표[반영월],대상월키,상세표[야간당직],1,상세표[야간 구분],"휴일",상세표[반영 기관],"서울병원"))</f>
        <v/>
      </c>
      <c r="W848">
        <f>IF($X848="","",IF(ISNUMBER(MATCH(INDEX(합계표[사번키],$X848)&amp;"|"&amp;대상월키,월별근무지표[키],0)),"직접 입력",IF($L848="—","—","기관명단")))</f>
        <v/>
      </c>
      <c r="X848" s="4">
        <f>IFERROR(MATCH(843,합계표[판정순번],0),"")</f>
        <v/>
      </c>
    </row>
    <row r="849">
      <c r="A849">
        <f>IF($X849="","",INDEX(합계표[사번],$X849)&amp;"")</f>
        <v/>
      </c>
      <c r="B849">
        <f>IF($X849="","",INDEX(합계표[성명],$X849)&amp;"")</f>
        <v/>
      </c>
      <c r="C849">
        <f>IF($X849="","",INDEX(합계표[부서],$X849)&amp;"")</f>
        <v/>
      </c>
      <c r="D849">
        <f>IF($X849="","",INDEX(합계표[직위(요약)],$X849)&amp;"")</f>
        <v/>
      </c>
      <c r="E849">
        <f>IF($X849="","",INDEX(합계표[직급 공존],$X849)&amp;"")</f>
        <v/>
      </c>
      <c r="F849" s="20">
        <f>IF($X849="","",SUMIFS(합계표[시스템 합계],합계표[사번키],INDEX(합계표[사번키],$X849)))</f>
        <v/>
      </c>
      <c r="G849" s="20">
        <f>IF($X849="","",SUMIFS(상세표[기록 시간외],상세표[사번키],INDEX(합계표[사번키],$X849),상세표[기록월],대상월키))</f>
        <v/>
      </c>
      <c r="H849">
        <f>IF($X849="","",IF(ABS($F849-$G849)&lt;0.01,"일치","불일치(차이 "&amp;TEXT($G849-$F849,"0.00")&amp;")"))</f>
        <v/>
      </c>
      <c r="I849" s="20">
        <f>IF($X849="","",SUMIFS(상세표[기록 시간외],상세표[사번키],INDEX(합계표[사번키],$X849),상세표[기록월],대상월키,상세표[반영월],"&lt;&gt;"&amp;대상월키))</f>
        <v/>
      </c>
      <c r="J849" s="20">
        <f>IF($X849="","",SUMIFS(상세표[기록 시간외],상세표[사번키],INDEX(합계표[사번키],$X849),상세표[기록월],"&lt;&gt;"&amp;대상월키,상세표[반영월],대상월키))</f>
        <v/>
      </c>
      <c r="K849" s="20">
        <f>IF($X849="","",SUMIFS(상세표[기록 시간외],상세표[사번키],INDEX(합계표[사번키],$X849),상세표[반영월],대상월키))</f>
        <v/>
      </c>
      <c r="L849">
        <f>IF($X849="","",IFERROR(INDEX(월별근무지표[적용 급여병원],MATCH(INDEX(합계표[사번키],$X849)&amp;"|"&amp;대상월키,월별근무지표[키],0))&amp;"",IF(COUNTIF(기관표[사번키],INDEX(합계표[사번키],$X849))+COUNTIF(월별근무지표[사번키],INDEX(합계표[사번키],$X849))&gt;0,IFERROR(INDEX(기관표[급여지급병원(기준월)],MATCH(INDEX(합계표[사번키],$X849)&amp;"|"&amp;대상월키,기관표[키],0))&amp;"","—"),"—")))</f>
        <v/>
      </c>
      <c r="M849">
        <f>IF($X849="","",IF(NOT(COUNTIF(기관표[사번키],INDEX(합계표[사번키],$X849))+COUNTIF(월별근무지표[사번키],INDEX(합계표[사번키],$X849))&gt;0),"기관명단에 없음(다른 병원으로 발송)",IF($L849="서울병원","해당",IF(N($R849)&gt;0,"해당(말일 근무)",IF($L849="—","대상월 기관명단 없음(추가 필요)","비해당")))))</f>
        <v/>
      </c>
      <c r="N849" s="20">
        <f>IF($X849="","",SUMIFS(상세표[06~07시],상세표[사번키],INDEX(합계표[사번키],$X849),상세표[반영월],대상월키,상세표[반영 기관],"서울병원"))</f>
        <v/>
      </c>
      <c r="O849" s="20">
        <f>IF($X849="","",SUMIFS(상세표[07~18시],상세표[사번키],INDEX(합계표[사번키],$X849),상세표[반영월],대상월키,상세표[반영 기관],"서울병원"))</f>
        <v/>
      </c>
      <c r="P849" s="20">
        <f>IF($X849="","",SUMIFS(상세표[18~22시],상세표[사번키],INDEX(합계표[사번키],$X849),상세표[반영월],대상월키,상세표[반영 기관],"서울병원"))</f>
        <v/>
      </c>
      <c r="Q849" s="20">
        <f>IF($X849="","",SUMIFS(상세표[22~06시],상세표[사번키],INDEX(합계표[사번키],$X849),상세표[반영월],대상월키,상세표[반영 기관],"서울병원"))</f>
        <v/>
      </c>
      <c r="R849" s="20">
        <f>IF($X849="","",SUM($N849:$Q849))</f>
        <v/>
      </c>
      <c r="S849">
        <f>IF($X849="","",COUNTIFS(상세표[사번키],INDEX(합계표[사번키],$X849),상세표[반영월],대상월키,상세표[야간당직],1,상세표[야간 구분],"평일"))</f>
        <v/>
      </c>
      <c r="T849">
        <f>IF($X849="","",COUNTIFS(상세표[사번키],INDEX(합계표[사번키],$X849),상세표[반영월],대상월키,상세표[야간당직],1,상세표[야간 구분],"휴일"))</f>
        <v/>
      </c>
      <c r="U849">
        <f>IF($X849="","",COUNTIFS(상세표[사번키],INDEX(합계표[사번키],$X849),상세표[반영월],대상월키,상세표[야간당직],1,상세표[야간 구분],"평일",상세표[반영 기관],"서울병원"))</f>
        <v/>
      </c>
      <c r="V849">
        <f>IF($X849="","",COUNTIFS(상세표[사번키],INDEX(합계표[사번키],$X849),상세표[반영월],대상월키,상세표[야간당직],1,상세표[야간 구분],"휴일",상세표[반영 기관],"서울병원"))</f>
        <v/>
      </c>
      <c r="W849">
        <f>IF($X849="","",IF(ISNUMBER(MATCH(INDEX(합계표[사번키],$X849)&amp;"|"&amp;대상월키,월별근무지표[키],0)),"직접 입력",IF($L849="—","—","기관명단")))</f>
        <v/>
      </c>
      <c r="X849" s="4">
        <f>IFERROR(MATCH(844,합계표[판정순번],0),"")</f>
        <v/>
      </c>
    </row>
    <row r="850">
      <c r="A850">
        <f>IF($X850="","",INDEX(합계표[사번],$X850)&amp;"")</f>
        <v/>
      </c>
      <c r="B850">
        <f>IF($X850="","",INDEX(합계표[성명],$X850)&amp;"")</f>
        <v/>
      </c>
      <c r="C850">
        <f>IF($X850="","",INDEX(합계표[부서],$X850)&amp;"")</f>
        <v/>
      </c>
      <c r="D850">
        <f>IF($X850="","",INDEX(합계표[직위(요약)],$X850)&amp;"")</f>
        <v/>
      </c>
      <c r="E850">
        <f>IF($X850="","",INDEX(합계표[직급 공존],$X850)&amp;"")</f>
        <v/>
      </c>
      <c r="F850" s="20">
        <f>IF($X850="","",SUMIFS(합계표[시스템 합계],합계표[사번키],INDEX(합계표[사번키],$X850)))</f>
        <v/>
      </c>
      <c r="G850" s="20">
        <f>IF($X850="","",SUMIFS(상세표[기록 시간외],상세표[사번키],INDEX(합계표[사번키],$X850),상세표[기록월],대상월키))</f>
        <v/>
      </c>
      <c r="H850">
        <f>IF($X850="","",IF(ABS($F850-$G850)&lt;0.01,"일치","불일치(차이 "&amp;TEXT($G850-$F850,"0.00")&amp;")"))</f>
        <v/>
      </c>
      <c r="I850" s="20">
        <f>IF($X850="","",SUMIFS(상세표[기록 시간외],상세표[사번키],INDEX(합계표[사번키],$X850),상세표[기록월],대상월키,상세표[반영월],"&lt;&gt;"&amp;대상월키))</f>
        <v/>
      </c>
      <c r="J850" s="20">
        <f>IF($X850="","",SUMIFS(상세표[기록 시간외],상세표[사번키],INDEX(합계표[사번키],$X850),상세표[기록월],"&lt;&gt;"&amp;대상월키,상세표[반영월],대상월키))</f>
        <v/>
      </c>
      <c r="K850" s="20">
        <f>IF($X850="","",SUMIFS(상세표[기록 시간외],상세표[사번키],INDEX(합계표[사번키],$X850),상세표[반영월],대상월키))</f>
        <v/>
      </c>
      <c r="L850">
        <f>IF($X850="","",IFERROR(INDEX(월별근무지표[적용 급여병원],MATCH(INDEX(합계표[사번키],$X850)&amp;"|"&amp;대상월키,월별근무지표[키],0))&amp;"",IF(COUNTIF(기관표[사번키],INDEX(합계표[사번키],$X850))+COUNTIF(월별근무지표[사번키],INDEX(합계표[사번키],$X850))&gt;0,IFERROR(INDEX(기관표[급여지급병원(기준월)],MATCH(INDEX(합계표[사번키],$X850)&amp;"|"&amp;대상월키,기관표[키],0))&amp;"","—"),"—")))</f>
        <v/>
      </c>
      <c r="M850">
        <f>IF($X850="","",IF(NOT(COUNTIF(기관표[사번키],INDEX(합계표[사번키],$X850))+COUNTIF(월별근무지표[사번키],INDEX(합계표[사번키],$X850))&gt;0),"기관명단에 없음(다른 병원으로 발송)",IF($L850="서울병원","해당",IF(N($R850)&gt;0,"해당(말일 근무)",IF($L850="—","대상월 기관명단 없음(추가 필요)","비해당")))))</f>
        <v/>
      </c>
      <c r="N850" s="20">
        <f>IF($X850="","",SUMIFS(상세표[06~07시],상세표[사번키],INDEX(합계표[사번키],$X850),상세표[반영월],대상월키,상세표[반영 기관],"서울병원"))</f>
        <v/>
      </c>
      <c r="O850" s="20">
        <f>IF($X850="","",SUMIFS(상세표[07~18시],상세표[사번키],INDEX(합계표[사번키],$X850),상세표[반영월],대상월키,상세표[반영 기관],"서울병원"))</f>
        <v/>
      </c>
      <c r="P850" s="20">
        <f>IF($X850="","",SUMIFS(상세표[18~22시],상세표[사번키],INDEX(합계표[사번키],$X850),상세표[반영월],대상월키,상세표[반영 기관],"서울병원"))</f>
        <v/>
      </c>
      <c r="Q850" s="20">
        <f>IF($X850="","",SUMIFS(상세표[22~06시],상세표[사번키],INDEX(합계표[사번키],$X850),상세표[반영월],대상월키,상세표[반영 기관],"서울병원"))</f>
        <v/>
      </c>
      <c r="R850" s="20">
        <f>IF($X850="","",SUM($N850:$Q850))</f>
        <v/>
      </c>
      <c r="S850">
        <f>IF($X850="","",COUNTIFS(상세표[사번키],INDEX(합계표[사번키],$X850),상세표[반영월],대상월키,상세표[야간당직],1,상세표[야간 구분],"평일"))</f>
        <v/>
      </c>
      <c r="T850">
        <f>IF($X850="","",COUNTIFS(상세표[사번키],INDEX(합계표[사번키],$X850),상세표[반영월],대상월키,상세표[야간당직],1,상세표[야간 구분],"휴일"))</f>
        <v/>
      </c>
      <c r="U850">
        <f>IF($X850="","",COUNTIFS(상세표[사번키],INDEX(합계표[사번키],$X850),상세표[반영월],대상월키,상세표[야간당직],1,상세표[야간 구분],"평일",상세표[반영 기관],"서울병원"))</f>
        <v/>
      </c>
      <c r="V850">
        <f>IF($X850="","",COUNTIFS(상세표[사번키],INDEX(합계표[사번키],$X850),상세표[반영월],대상월키,상세표[야간당직],1,상세표[야간 구분],"휴일",상세표[반영 기관],"서울병원"))</f>
        <v/>
      </c>
      <c r="W850">
        <f>IF($X850="","",IF(ISNUMBER(MATCH(INDEX(합계표[사번키],$X850)&amp;"|"&amp;대상월키,월별근무지표[키],0)),"직접 입력",IF($L850="—","—","기관명단")))</f>
        <v/>
      </c>
      <c r="X850" s="4">
        <f>IFERROR(MATCH(845,합계표[판정순번],0),"")</f>
        <v/>
      </c>
    </row>
    <row r="851">
      <c r="A851">
        <f>IF($X851="","",INDEX(합계표[사번],$X851)&amp;"")</f>
        <v/>
      </c>
      <c r="B851">
        <f>IF($X851="","",INDEX(합계표[성명],$X851)&amp;"")</f>
        <v/>
      </c>
      <c r="C851">
        <f>IF($X851="","",INDEX(합계표[부서],$X851)&amp;"")</f>
        <v/>
      </c>
      <c r="D851">
        <f>IF($X851="","",INDEX(합계표[직위(요약)],$X851)&amp;"")</f>
        <v/>
      </c>
      <c r="E851">
        <f>IF($X851="","",INDEX(합계표[직급 공존],$X851)&amp;"")</f>
        <v/>
      </c>
      <c r="F851" s="20">
        <f>IF($X851="","",SUMIFS(합계표[시스템 합계],합계표[사번키],INDEX(합계표[사번키],$X851)))</f>
        <v/>
      </c>
      <c r="G851" s="20">
        <f>IF($X851="","",SUMIFS(상세표[기록 시간외],상세표[사번키],INDEX(합계표[사번키],$X851),상세표[기록월],대상월키))</f>
        <v/>
      </c>
      <c r="H851">
        <f>IF($X851="","",IF(ABS($F851-$G851)&lt;0.01,"일치","불일치(차이 "&amp;TEXT($G851-$F851,"0.00")&amp;")"))</f>
        <v/>
      </c>
      <c r="I851" s="20">
        <f>IF($X851="","",SUMIFS(상세표[기록 시간외],상세표[사번키],INDEX(합계표[사번키],$X851),상세표[기록월],대상월키,상세표[반영월],"&lt;&gt;"&amp;대상월키))</f>
        <v/>
      </c>
      <c r="J851" s="20">
        <f>IF($X851="","",SUMIFS(상세표[기록 시간외],상세표[사번키],INDEX(합계표[사번키],$X851),상세표[기록월],"&lt;&gt;"&amp;대상월키,상세표[반영월],대상월키))</f>
        <v/>
      </c>
      <c r="K851" s="20">
        <f>IF($X851="","",SUMIFS(상세표[기록 시간외],상세표[사번키],INDEX(합계표[사번키],$X851),상세표[반영월],대상월키))</f>
        <v/>
      </c>
      <c r="L851">
        <f>IF($X851="","",IFERROR(INDEX(월별근무지표[적용 급여병원],MATCH(INDEX(합계표[사번키],$X851)&amp;"|"&amp;대상월키,월별근무지표[키],0))&amp;"",IF(COUNTIF(기관표[사번키],INDEX(합계표[사번키],$X851))+COUNTIF(월별근무지표[사번키],INDEX(합계표[사번키],$X851))&gt;0,IFERROR(INDEX(기관표[급여지급병원(기준월)],MATCH(INDEX(합계표[사번키],$X851)&amp;"|"&amp;대상월키,기관표[키],0))&amp;"","—"),"—")))</f>
        <v/>
      </c>
      <c r="M851">
        <f>IF($X851="","",IF(NOT(COUNTIF(기관표[사번키],INDEX(합계표[사번키],$X851))+COUNTIF(월별근무지표[사번키],INDEX(합계표[사번키],$X851))&gt;0),"기관명단에 없음(다른 병원으로 발송)",IF($L851="서울병원","해당",IF(N($R851)&gt;0,"해당(말일 근무)",IF($L851="—","대상월 기관명단 없음(추가 필요)","비해당")))))</f>
        <v/>
      </c>
      <c r="N851" s="20">
        <f>IF($X851="","",SUMIFS(상세표[06~07시],상세표[사번키],INDEX(합계표[사번키],$X851),상세표[반영월],대상월키,상세표[반영 기관],"서울병원"))</f>
        <v/>
      </c>
      <c r="O851" s="20">
        <f>IF($X851="","",SUMIFS(상세표[07~18시],상세표[사번키],INDEX(합계표[사번키],$X851),상세표[반영월],대상월키,상세표[반영 기관],"서울병원"))</f>
        <v/>
      </c>
      <c r="P851" s="20">
        <f>IF($X851="","",SUMIFS(상세표[18~22시],상세표[사번키],INDEX(합계표[사번키],$X851),상세표[반영월],대상월키,상세표[반영 기관],"서울병원"))</f>
        <v/>
      </c>
      <c r="Q851" s="20">
        <f>IF($X851="","",SUMIFS(상세표[22~06시],상세표[사번키],INDEX(합계표[사번키],$X851),상세표[반영월],대상월키,상세표[반영 기관],"서울병원"))</f>
        <v/>
      </c>
      <c r="R851" s="20">
        <f>IF($X851="","",SUM($N851:$Q851))</f>
        <v/>
      </c>
      <c r="S851">
        <f>IF($X851="","",COUNTIFS(상세표[사번키],INDEX(합계표[사번키],$X851),상세표[반영월],대상월키,상세표[야간당직],1,상세표[야간 구분],"평일"))</f>
        <v/>
      </c>
      <c r="T851">
        <f>IF($X851="","",COUNTIFS(상세표[사번키],INDEX(합계표[사번키],$X851),상세표[반영월],대상월키,상세표[야간당직],1,상세표[야간 구분],"휴일"))</f>
        <v/>
      </c>
      <c r="U851">
        <f>IF($X851="","",COUNTIFS(상세표[사번키],INDEX(합계표[사번키],$X851),상세표[반영월],대상월키,상세표[야간당직],1,상세표[야간 구분],"평일",상세표[반영 기관],"서울병원"))</f>
        <v/>
      </c>
      <c r="V851">
        <f>IF($X851="","",COUNTIFS(상세표[사번키],INDEX(합계표[사번키],$X851),상세표[반영월],대상월키,상세표[야간당직],1,상세표[야간 구분],"휴일",상세표[반영 기관],"서울병원"))</f>
        <v/>
      </c>
      <c r="W851">
        <f>IF($X851="","",IF(ISNUMBER(MATCH(INDEX(합계표[사번키],$X851)&amp;"|"&amp;대상월키,월별근무지표[키],0)),"직접 입력",IF($L851="—","—","기관명단")))</f>
        <v/>
      </c>
      <c r="X851" s="4">
        <f>IFERROR(MATCH(846,합계표[판정순번],0),"")</f>
        <v/>
      </c>
    </row>
    <row r="852">
      <c r="A852">
        <f>IF($X852="","",INDEX(합계표[사번],$X852)&amp;"")</f>
        <v/>
      </c>
      <c r="B852">
        <f>IF($X852="","",INDEX(합계표[성명],$X852)&amp;"")</f>
        <v/>
      </c>
      <c r="C852">
        <f>IF($X852="","",INDEX(합계표[부서],$X852)&amp;"")</f>
        <v/>
      </c>
      <c r="D852">
        <f>IF($X852="","",INDEX(합계표[직위(요약)],$X852)&amp;"")</f>
        <v/>
      </c>
      <c r="E852">
        <f>IF($X852="","",INDEX(합계표[직급 공존],$X852)&amp;"")</f>
        <v/>
      </c>
      <c r="F852" s="20">
        <f>IF($X852="","",SUMIFS(합계표[시스템 합계],합계표[사번키],INDEX(합계표[사번키],$X852)))</f>
        <v/>
      </c>
      <c r="G852" s="20">
        <f>IF($X852="","",SUMIFS(상세표[기록 시간외],상세표[사번키],INDEX(합계표[사번키],$X852),상세표[기록월],대상월키))</f>
        <v/>
      </c>
      <c r="H852">
        <f>IF($X852="","",IF(ABS($F852-$G852)&lt;0.01,"일치","불일치(차이 "&amp;TEXT($G852-$F852,"0.00")&amp;")"))</f>
        <v/>
      </c>
      <c r="I852" s="20">
        <f>IF($X852="","",SUMIFS(상세표[기록 시간외],상세표[사번키],INDEX(합계표[사번키],$X852),상세표[기록월],대상월키,상세표[반영월],"&lt;&gt;"&amp;대상월키))</f>
        <v/>
      </c>
      <c r="J852" s="20">
        <f>IF($X852="","",SUMIFS(상세표[기록 시간외],상세표[사번키],INDEX(합계표[사번키],$X852),상세표[기록월],"&lt;&gt;"&amp;대상월키,상세표[반영월],대상월키))</f>
        <v/>
      </c>
      <c r="K852" s="20">
        <f>IF($X852="","",SUMIFS(상세표[기록 시간외],상세표[사번키],INDEX(합계표[사번키],$X852),상세표[반영월],대상월키))</f>
        <v/>
      </c>
      <c r="L852">
        <f>IF($X852="","",IFERROR(INDEX(월별근무지표[적용 급여병원],MATCH(INDEX(합계표[사번키],$X852)&amp;"|"&amp;대상월키,월별근무지표[키],0))&amp;"",IF(COUNTIF(기관표[사번키],INDEX(합계표[사번키],$X852))+COUNTIF(월별근무지표[사번키],INDEX(합계표[사번키],$X852))&gt;0,IFERROR(INDEX(기관표[급여지급병원(기준월)],MATCH(INDEX(합계표[사번키],$X852)&amp;"|"&amp;대상월키,기관표[키],0))&amp;"","—"),"—")))</f>
        <v/>
      </c>
      <c r="M852">
        <f>IF($X852="","",IF(NOT(COUNTIF(기관표[사번키],INDEX(합계표[사번키],$X852))+COUNTIF(월별근무지표[사번키],INDEX(합계표[사번키],$X852))&gt;0),"기관명단에 없음(다른 병원으로 발송)",IF($L852="서울병원","해당",IF(N($R852)&gt;0,"해당(말일 근무)",IF($L852="—","대상월 기관명단 없음(추가 필요)","비해당")))))</f>
        <v/>
      </c>
      <c r="N852" s="20">
        <f>IF($X852="","",SUMIFS(상세표[06~07시],상세표[사번키],INDEX(합계표[사번키],$X852),상세표[반영월],대상월키,상세표[반영 기관],"서울병원"))</f>
        <v/>
      </c>
      <c r="O852" s="20">
        <f>IF($X852="","",SUMIFS(상세표[07~18시],상세표[사번키],INDEX(합계표[사번키],$X852),상세표[반영월],대상월키,상세표[반영 기관],"서울병원"))</f>
        <v/>
      </c>
      <c r="P852" s="20">
        <f>IF($X852="","",SUMIFS(상세표[18~22시],상세표[사번키],INDEX(합계표[사번키],$X852),상세표[반영월],대상월키,상세표[반영 기관],"서울병원"))</f>
        <v/>
      </c>
      <c r="Q852" s="20">
        <f>IF($X852="","",SUMIFS(상세표[22~06시],상세표[사번키],INDEX(합계표[사번키],$X852),상세표[반영월],대상월키,상세표[반영 기관],"서울병원"))</f>
        <v/>
      </c>
      <c r="R852" s="20">
        <f>IF($X852="","",SUM($N852:$Q852))</f>
        <v/>
      </c>
      <c r="S852">
        <f>IF($X852="","",COUNTIFS(상세표[사번키],INDEX(합계표[사번키],$X852),상세표[반영월],대상월키,상세표[야간당직],1,상세표[야간 구분],"평일"))</f>
        <v/>
      </c>
      <c r="T852">
        <f>IF($X852="","",COUNTIFS(상세표[사번키],INDEX(합계표[사번키],$X852),상세표[반영월],대상월키,상세표[야간당직],1,상세표[야간 구분],"휴일"))</f>
        <v/>
      </c>
      <c r="U852">
        <f>IF($X852="","",COUNTIFS(상세표[사번키],INDEX(합계표[사번키],$X852),상세표[반영월],대상월키,상세표[야간당직],1,상세표[야간 구분],"평일",상세표[반영 기관],"서울병원"))</f>
        <v/>
      </c>
      <c r="V852">
        <f>IF($X852="","",COUNTIFS(상세표[사번키],INDEX(합계표[사번키],$X852),상세표[반영월],대상월키,상세표[야간당직],1,상세표[야간 구분],"휴일",상세표[반영 기관],"서울병원"))</f>
        <v/>
      </c>
      <c r="W852">
        <f>IF($X852="","",IF(ISNUMBER(MATCH(INDEX(합계표[사번키],$X852)&amp;"|"&amp;대상월키,월별근무지표[키],0)),"직접 입력",IF($L852="—","—","기관명단")))</f>
        <v/>
      </c>
      <c r="X852" s="4">
        <f>IFERROR(MATCH(847,합계표[판정순번],0),"")</f>
        <v/>
      </c>
    </row>
    <row r="853">
      <c r="A853">
        <f>IF($X853="","",INDEX(합계표[사번],$X853)&amp;"")</f>
        <v/>
      </c>
      <c r="B853">
        <f>IF($X853="","",INDEX(합계표[성명],$X853)&amp;"")</f>
        <v/>
      </c>
      <c r="C853">
        <f>IF($X853="","",INDEX(합계표[부서],$X853)&amp;"")</f>
        <v/>
      </c>
      <c r="D853">
        <f>IF($X853="","",INDEX(합계표[직위(요약)],$X853)&amp;"")</f>
        <v/>
      </c>
      <c r="E853">
        <f>IF($X853="","",INDEX(합계표[직급 공존],$X853)&amp;"")</f>
        <v/>
      </c>
      <c r="F853" s="20">
        <f>IF($X853="","",SUMIFS(합계표[시스템 합계],합계표[사번키],INDEX(합계표[사번키],$X853)))</f>
        <v/>
      </c>
      <c r="G853" s="20">
        <f>IF($X853="","",SUMIFS(상세표[기록 시간외],상세표[사번키],INDEX(합계표[사번키],$X853),상세표[기록월],대상월키))</f>
        <v/>
      </c>
      <c r="H853">
        <f>IF($X853="","",IF(ABS($F853-$G853)&lt;0.01,"일치","불일치(차이 "&amp;TEXT($G853-$F853,"0.00")&amp;")"))</f>
        <v/>
      </c>
      <c r="I853" s="20">
        <f>IF($X853="","",SUMIFS(상세표[기록 시간외],상세표[사번키],INDEX(합계표[사번키],$X853),상세표[기록월],대상월키,상세표[반영월],"&lt;&gt;"&amp;대상월키))</f>
        <v/>
      </c>
      <c r="J853" s="20">
        <f>IF($X853="","",SUMIFS(상세표[기록 시간외],상세표[사번키],INDEX(합계표[사번키],$X853),상세표[기록월],"&lt;&gt;"&amp;대상월키,상세표[반영월],대상월키))</f>
        <v/>
      </c>
      <c r="K853" s="20">
        <f>IF($X853="","",SUMIFS(상세표[기록 시간외],상세표[사번키],INDEX(합계표[사번키],$X853),상세표[반영월],대상월키))</f>
        <v/>
      </c>
      <c r="L853">
        <f>IF($X853="","",IFERROR(INDEX(월별근무지표[적용 급여병원],MATCH(INDEX(합계표[사번키],$X853)&amp;"|"&amp;대상월키,월별근무지표[키],0))&amp;"",IF(COUNTIF(기관표[사번키],INDEX(합계표[사번키],$X853))+COUNTIF(월별근무지표[사번키],INDEX(합계표[사번키],$X853))&gt;0,IFERROR(INDEX(기관표[급여지급병원(기준월)],MATCH(INDEX(합계표[사번키],$X853)&amp;"|"&amp;대상월키,기관표[키],0))&amp;"","—"),"—")))</f>
        <v/>
      </c>
      <c r="M853">
        <f>IF($X853="","",IF(NOT(COUNTIF(기관표[사번키],INDEX(합계표[사번키],$X853))+COUNTIF(월별근무지표[사번키],INDEX(합계표[사번키],$X853))&gt;0),"기관명단에 없음(다른 병원으로 발송)",IF($L853="서울병원","해당",IF(N($R853)&gt;0,"해당(말일 근무)",IF($L853="—","대상월 기관명단 없음(추가 필요)","비해당")))))</f>
        <v/>
      </c>
      <c r="N853" s="20">
        <f>IF($X853="","",SUMIFS(상세표[06~07시],상세표[사번키],INDEX(합계표[사번키],$X853),상세표[반영월],대상월키,상세표[반영 기관],"서울병원"))</f>
        <v/>
      </c>
      <c r="O853" s="20">
        <f>IF($X853="","",SUMIFS(상세표[07~18시],상세표[사번키],INDEX(합계표[사번키],$X853),상세표[반영월],대상월키,상세표[반영 기관],"서울병원"))</f>
        <v/>
      </c>
      <c r="P853" s="20">
        <f>IF($X853="","",SUMIFS(상세표[18~22시],상세표[사번키],INDEX(합계표[사번키],$X853),상세표[반영월],대상월키,상세표[반영 기관],"서울병원"))</f>
        <v/>
      </c>
      <c r="Q853" s="20">
        <f>IF($X853="","",SUMIFS(상세표[22~06시],상세표[사번키],INDEX(합계표[사번키],$X853),상세표[반영월],대상월키,상세표[반영 기관],"서울병원"))</f>
        <v/>
      </c>
      <c r="R853" s="20">
        <f>IF($X853="","",SUM($N853:$Q853))</f>
        <v/>
      </c>
      <c r="S853">
        <f>IF($X853="","",COUNTIFS(상세표[사번키],INDEX(합계표[사번키],$X853),상세표[반영월],대상월키,상세표[야간당직],1,상세표[야간 구분],"평일"))</f>
        <v/>
      </c>
      <c r="T853">
        <f>IF($X853="","",COUNTIFS(상세표[사번키],INDEX(합계표[사번키],$X853),상세표[반영월],대상월키,상세표[야간당직],1,상세표[야간 구분],"휴일"))</f>
        <v/>
      </c>
      <c r="U853">
        <f>IF($X853="","",COUNTIFS(상세표[사번키],INDEX(합계표[사번키],$X853),상세표[반영월],대상월키,상세표[야간당직],1,상세표[야간 구분],"평일",상세표[반영 기관],"서울병원"))</f>
        <v/>
      </c>
      <c r="V853">
        <f>IF($X853="","",COUNTIFS(상세표[사번키],INDEX(합계표[사번키],$X853),상세표[반영월],대상월키,상세표[야간당직],1,상세표[야간 구분],"휴일",상세표[반영 기관],"서울병원"))</f>
        <v/>
      </c>
      <c r="W853">
        <f>IF($X853="","",IF(ISNUMBER(MATCH(INDEX(합계표[사번키],$X853)&amp;"|"&amp;대상월키,월별근무지표[키],0)),"직접 입력",IF($L853="—","—","기관명단")))</f>
        <v/>
      </c>
      <c r="X853" s="4">
        <f>IFERROR(MATCH(848,합계표[판정순번],0),"")</f>
        <v/>
      </c>
    </row>
    <row r="854">
      <c r="A854">
        <f>IF($X854="","",INDEX(합계표[사번],$X854)&amp;"")</f>
        <v/>
      </c>
      <c r="B854">
        <f>IF($X854="","",INDEX(합계표[성명],$X854)&amp;"")</f>
        <v/>
      </c>
      <c r="C854">
        <f>IF($X854="","",INDEX(합계표[부서],$X854)&amp;"")</f>
        <v/>
      </c>
      <c r="D854">
        <f>IF($X854="","",INDEX(합계표[직위(요약)],$X854)&amp;"")</f>
        <v/>
      </c>
      <c r="E854">
        <f>IF($X854="","",INDEX(합계표[직급 공존],$X854)&amp;"")</f>
        <v/>
      </c>
      <c r="F854" s="20">
        <f>IF($X854="","",SUMIFS(합계표[시스템 합계],합계표[사번키],INDEX(합계표[사번키],$X854)))</f>
        <v/>
      </c>
      <c r="G854" s="20">
        <f>IF($X854="","",SUMIFS(상세표[기록 시간외],상세표[사번키],INDEX(합계표[사번키],$X854),상세표[기록월],대상월키))</f>
        <v/>
      </c>
      <c r="H854">
        <f>IF($X854="","",IF(ABS($F854-$G854)&lt;0.01,"일치","불일치(차이 "&amp;TEXT($G854-$F854,"0.00")&amp;")"))</f>
        <v/>
      </c>
      <c r="I854" s="20">
        <f>IF($X854="","",SUMIFS(상세표[기록 시간외],상세표[사번키],INDEX(합계표[사번키],$X854),상세표[기록월],대상월키,상세표[반영월],"&lt;&gt;"&amp;대상월키))</f>
        <v/>
      </c>
      <c r="J854" s="20">
        <f>IF($X854="","",SUMIFS(상세표[기록 시간외],상세표[사번키],INDEX(합계표[사번키],$X854),상세표[기록월],"&lt;&gt;"&amp;대상월키,상세표[반영월],대상월키))</f>
        <v/>
      </c>
      <c r="K854" s="20">
        <f>IF($X854="","",SUMIFS(상세표[기록 시간외],상세표[사번키],INDEX(합계표[사번키],$X854),상세표[반영월],대상월키))</f>
        <v/>
      </c>
      <c r="L854">
        <f>IF($X854="","",IFERROR(INDEX(월별근무지표[적용 급여병원],MATCH(INDEX(합계표[사번키],$X854)&amp;"|"&amp;대상월키,월별근무지표[키],0))&amp;"",IF(COUNTIF(기관표[사번키],INDEX(합계표[사번키],$X854))+COUNTIF(월별근무지표[사번키],INDEX(합계표[사번키],$X854))&gt;0,IFERROR(INDEX(기관표[급여지급병원(기준월)],MATCH(INDEX(합계표[사번키],$X854)&amp;"|"&amp;대상월키,기관표[키],0))&amp;"","—"),"—")))</f>
        <v/>
      </c>
      <c r="M854">
        <f>IF($X854="","",IF(NOT(COUNTIF(기관표[사번키],INDEX(합계표[사번키],$X854))+COUNTIF(월별근무지표[사번키],INDEX(합계표[사번키],$X854))&gt;0),"기관명단에 없음(다른 병원으로 발송)",IF($L854="서울병원","해당",IF(N($R854)&gt;0,"해당(말일 근무)",IF($L854="—","대상월 기관명단 없음(추가 필요)","비해당")))))</f>
        <v/>
      </c>
      <c r="N854" s="20">
        <f>IF($X854="","",SUMIFS(상세표[06~07시],상세표[사번키],INDEX(합계표[사번키],$X854),상세표[반영월],대상월키,상세표[반영 기관],"서울병원"))</f>
        <v/>
      </c>
      <c r="O854" s="20">
        <f>IF($X854="","",SUMIFS(상세표[07~18시],상세표[사번키],INDEX(합계표[사번키],$X854),상세표[반영월],대상월키,상세표[반영 기관],"서울병원"))</f>
        <v/>
      </c>
      <c r="P854" s="20">
        <f>IF($X854="","",SUMIFS(상세표[18~22시],상세표[사번키],INDEX(합계표[사번키],$X854),상세표[반영월],대상월키,상세표[반영 기관],"서울병원"))</f>
        <v/>
      </c>
      <c r="Q854" s="20">
        <f>IF($X854="","",SUMIFS(상세표[22~06시],상세표[사번키],INDEX(합계표[사번키],$X854),상세표[반영월],대상월키,상세표[반영 기관],"서울병원"))</f>
        <v/>
      </c>
      <c r="R854" s="20">
        <f>IF($X854="","",SUM($N854:$Q854))</f>
        <v/>
      </c>
      <c r="S854">
        <f>IF($X854="","",COUNTIFS(상세표[사번키],INDEX(합계표[사번키],$X854),상세표[반영월],대상월키,상세표[야간당직],1,상세표[야간 구분],"평일"))</f>
        <v/>
      </c>
      <c r="T854">
        <f>IF($X854="","",COUNTIFS(상세표[사번키],INDEX(합계표[사번키],$X854),상세표[반영월],대상월키,상세표[야간당직],1,상세표[야간 구분],"휴일"))</f>
        <v/>
      </c>
      <c r="U854">
        <f>IF($X854="","",COUNTIFS(상세표[사번키],INDEX(합계표[사번키],$X854),상세표[반영월],대상월키,상세표[야간당직],1,상세표[야간 구분],"평일",상세표[반영 기관],"서울병원"))</f>
        <v/>
      </c>
      <c r="V854">
        <f>IF($X854="","",COUNTIFS(상세표[사번키],INDEX(합계표[사번키],$X854),상세표[반영월],대상월키,상세표[야간당직],1,상세표[야간 구분],"휴일",상세표[반영 기관],"서울병원"))</f>
        <v/>
      </c>
      <c r="W854">
        <f>IF($X854="","",IF(ISNUMBER(MATCH(INDEX(합계표[사번키],$X854)&amp;"|"&amp;대상월키,월별근무지표[키],0)),"직접 입력",IF($L854="—","—","기관명단")))</f>
        <v/>
      </c>
      <c r="X854" s="4">
        <f>IFERROR(MATCH(849,합계표[판정순번],0),"")</f>
        <v/>
      </c>
    </row>
    <row r="855">
      <c r="A855">
        <f>IF($X855="","",INDEX(합계표[사번],$X855)&amp;"")</f>
        <v/>
      </c>
      <c r="B855">
        <f>IF($X855="","",INDEX(합계표[성명],$X855)&amp;"")</f>
        <v/>
      </c>
      <c r="C855">
        <f>IF($X855="","",INDEX(합계표[부서],$X855)&amp;"")</f>
        <v/>
      </c>
      <c r="D855">
        <f>IF($X855="","",INDEX(합계표[직위(요약)],$X855)&amp;"")</f>
        <v/>
      </c>
      <c r="E855">
        <f>IF($X855="","",INDEX(합계표[직급 공존],$X855)&amp;"")</f>
        <v/>
      </c>
      <c r="F855" s="20">
        <f>IF($X855="","",SUMIFS(합계표[시스템 합계],합계표[사번키],INDEX(합계표[사번키],$X855)))</f>
        <v/>
      </c>
      <c r="G855" s="20">
        <f>IF($X855="","",SUMIFS(상세표[기록 시간외],상세표[사번키],INDEX(합계표[사번키],$X855),상세표[기록월],대상월키))</f>
        <v/>
      </c>
      <c r="H855">
        <f>IF($X855="","",IF(ABS($F855-$G855)&lt;0.01,"일치","불일치(차이 "&amp;TEXT($G855-$F855,"0.00")&amp;")"))</f>
        <v/>
      </c>
      <c r="I855" s="20">
        <f>IF($X855="","",SUMIFS(상세표[기록 시간외],상세표[사번키],INDEX(합계표[사번키],$X855),상세표[기록월],대상월키,상세표[반영월],"&lt;&gt;"&amp;대상월키))</f>
        <v/>
      </c>
      <c r="J855" s="20">
        <f>IF($X855="","",SUMIFS(상세표[기록 시간외],상세표[사번키],INDEX(합계표[사번키],$X855),상세표[기록월],"&lt;&gt;"&amp;대상월키,상세표[반영월],대상월키))</f>
        <v/>
      </c>
      <c r="K855" s="20">
        <f>IF($X855="","",SUMIFS(상세표[기록 시간외],상세표[사번키],INDEX(합계표[사번키],$X855),상세표[반영월],대상월키))</f>
        <v/>
      </c>
      <c r="L855">
        <f>IF($X855="","",IFERROR(INDEX(월별근무지표[적용 급여병원],MATCH(INDEX(합계표[사번키],$X855)&amp;"|"&amp;대상월키,월별근무지표[키],0))&amp;"",IF(COUNTIF(기관표[사번키],INDEX(합계표[사번키],$X855))+COUNTIF(월별근무지표[사번키],INDEX(합계표[사번키],$X855))&gt;0,IFERROR(INDEX(기관표[급여지급병원(기준월)],MATCH(INDEX(합계표[사번키],$X855)&amp;"|"&amp;대상월키,기관표[키],0))&amp;"","—"),"—")))</f>
        <v/>
      </c>
      <c r="M855">
        <f>IF($X855="","",IF(NOT(COUNTIF(기관표[사번키],INDEX(합계표[사번키],$X855))+COUNTIF(월별근무지표[사번키],INDEX(합계표[사번키],$X855))&gt;0),"기관명단에 없음(다른 병원으로 발송)",IF($L855="서울병원","해당",IF(N($R855)&gt;0,"해당(말일 근무)",IF($L855="—","대상월 기관명단 없음(추가 필요)","비해당")))))</f>
        <v/>
      </c>
      <c r="N855" s="20">
        <f>IF($X855="","",SUMIFS(상세표[06~07시],상세표[사번키],INDEX(합계표[사번키],$X855),상세표[반영월],대상월키,상세표[반영 기관],"서울병원"))</f>
        <v/>
      </c>
      <c r="O855" s="20">
        <f>IF($X855="","",SUMIFS(상세표[07~18시],상세표[사번키],INDEX(합계표[사번키],$X855),상세표[반영월],대상월키,상세표[반영 기관],"서울병원"))</f>
        <v/>
      </c>
      <c r="P855" s="20">
        <f>IF($X855="","",SUMIFS(상세표[18~22시],상세표[사번키],INDEX(합계표[사번키],$X855),상세표[반영월],대상월키,상세표[반영 기관],"서울병원"))</f>
        <v/>
      </c>
      <c r="Q855" s="20">
        <f>IF($X855="","",SUMIFS(상세표[22~06시],상세표[사번키],INDEX(합계표[사번키],$X855),상세표[반영월],대상월키,상세표[반영 기관],"서울병원"))</f>
        <v/>
      </c>
      <c r="R855" s="20">
        <f>IF($X855="","",SUM($N855:$Q855))</f>
        <v/>
      </c>
      <c r="S855">
        <f>IF($X855="","",COUNTIFS(상세표[사번키],INDEX(합계표[사번키],$X855),상세표[반영월],대상월키,상세표[야간당직],1,상세표[야간 구분],"평일"))</f>
        <v/>
      </c>
      <c r="T855">
        <f>IF($X855="","",COUNTIFS(상세표[사번키],INDEX(합계표[사번키],$X855),상세표[반영월],대상월키,상세표[야간당직],1,상세표[야간 구분],"휴일"))</f>
        <v/>
      </c>
      <c r="U855">
        <f>IF($X855="","",COUNTIFS(상세표[사번키],INDEX(합계표[사번키],$X855),상세표[반영월],대상월키,상세표[야간당직],1,상세표[야간 구분],"평일",상세표[반영 기관],"서울병원"))</f>
        <v/>
      </c>
      <c r="V855">
        <f>IF($X855="","",COUNTIFS(상세표[사번키],INDEX(합계표[사번키],$X855),상세표[반영월],대상월키,상세표[야간당직],1,상세표[야간 구분],"휴일",상세표[반영 기관],"서울병원"))</f>
        <v/>
      </c>
      <c r="W855">
        <f>IF($X855="","",IF(ISNUMBER(MATCH(INDEX(합계표[사번키],$X855)&amp;"|"&amp;대상월키,월별근무지표[키],0)),"직접 입력",IF($L855="—","—","기관명단")))</f>
        <v/>
      </c>
      <c r="X855" s="4">
        <f>IFERROR(MATCH(850,합계표[판정순번],0),"")</f>
        <v/>
      </c>
    </row>
    <row r="856">
      <c r="A856">
        <f>IF($X856="","",INDEX(합계표[사번],$X856)&amp;"")</f>
        <v/>
      </c>
      <c r="B856">
        <f>IF($X856="","",INDEX(합계표[성명],$X856)&amp;"")</f>
        <v/>
      </c>
      <c r="C856">
        <f>IF($X856="","",INDEX(합계표[부서],$X856)&amp;"")</f>
        <v/>
      </c>
      <c r="D856">
        <f>IF($X856="","",INDEX(합계표[직위(요약)],$X856)&amp;"")</f>
        <v/>
      </c>
      <c r="E856">
        <f>IF($X856="","",INDEX(합계표[직급 공존],$X856)&amp;"")</f>
        <v/>
      </c>
      <c r="F856" s="20">
        <f>IF($X856="","",SUMIFS(합계표[시스템 합계],합계표[사번키],INDEX(합계표[사번키],$X856)))</f>
        <v/>
      </c>
      <c r="G856" s="20">
        <f>IF($X856="","",SUMIFS(상세표[기록 시간외],상세표[사번키],INDEX(합계표[사번키],$X856),상세표[기록월],대상월키))</f>
        <v/>
      </c>
      <c r="H856">
        <f>IF($X856="","",IF(ABS($F856-$G856)&lt;0.01,"일치","불일치(차이 "&amp;TEXT($G856-$F856,"0.00")&amp;")"))</f>
        <v/>
      </c>
      <c r="I856" s="20">
        <f>IF($X856="","",SUMIFS(상세표[기록 시간외],상세표[사번키],INDEX(합계표[사번키],$X856),상세표[기록월],대상월키,상세표[반영월],"&lt;&gt;"&amp;대상월키))</f>
        <v/>
      </c>
      <c r="J856" s="20">
        <f>IF($X856="","",SUMIFS(상세표[기록 시간외],상세표[사번키],INDEX(합계표[사번키],$X856),상세표[기록월],"&lt;&gt;"&amp;대상월키,상세표[반영월],대상월키))</f>
        <v/>
      </c>
      <c r="K856" s="20">
        <f>IF($X856="","",SUMIFS(상세표[기록 시간외],상세표[사번키],INDEX(합계표[사번키],$X856),상세표[반영월],대상월키))</f>
        <v/>
      </c>
      <c r="L856">
        <f>IF($X856="","",IFERROR(INDEX(월별근무지표[적용 급여병원],MATCH(INDEX(합계표[사번키],$X856)&amp;"|"&amp;대상월키,월별근무지표[키],0))&amp;"",IF(COUNTIF(기관표[사번키],INDEX(합계표[사번키],$X856))+COUNTIF(월별근무지표[사번키],INDEX(합계표[사번키],$X856))&gt;0,IFERROR(INDEX(기관표[급여지급병원(기준월)],MATCH(INDEX(합계표[사번키],$X856)&amp;"|"&amp;대상월키,기관표[키],0))&amp;"","—"),"—")))</f>
        <v/>
      </c>
      <c r="M856">
        <f>IF($X856="","",IF(NOT(COUNTIF(기관표[사번키],INDEX(합계표[사번키],$X856))+COUNTIF(월별근무지표[사번키],INDEX(합계표[사번키],$X856))&gt;0),"기관명단에 없음(다른 병원으로 발송)",IF($L856="서울병원","해당",IF(N($R856)&gt;0,"해당(말일 근무)",IF($L856="—","대상월 기관명단 없음(추가 필요)","비해당")))))</f>
        <v/>
      </c>
      <c r="N856" s="20">
        <f>IF($X856="","",SUMIFS(상세표[06~07시],상세표[사번키],INDEX(합계표[사번키],$X856),상세표[반영월],대상월키,상세표[반영 기관],"서울병원"))</f>
        <v/>
      </c>
      <c r="O856" s="20">
        <f>IF($X856="","",SUMIFS(상세표[07~18시],상세표[사번키],INDEX(합계표[사번키],$X856),상세표[반영월],대상월키,상세표[반영 기관],"서울병원"))</f>
        <v/>
      </c>
      <c r="P856" s="20">
        <f>IF($X856="","",SUMIFS(상세표[18~22시],상세표[사번키],INDEX(합계표[사번키],$X856),상세표[반영월],대상월키,상세표[반영 기관],"서울병원"))</f>
        <v/>
      </c>
      <c r="Q856" s="20">
        <f>IF($X856="","",SUMIFS(상세표[22~06시],상세표[사번키],INDEX(합계표[사번키],$X856),상세표[반영월],대상월키,상세표[반영 기관],"서울병원"))</f>
        <v/>
      </c>
      <c r="R856" s="20">
        <f>IF($X856="","",SUM($N856:$Q856))</f>
        <v/>
      </c>
      <c r="S856">
        <f>IF($X856="","",COUNTIFS(상세표[사번키],INDEX(합계표[사번키],$X856),상세표[반영월],대상월키,상세표[야간당직],1,상세표[야간 구분],"평일"))</f>
        <v/>
      </c>
      <c r="T856">
        <f>IF($X856="","",COUNTIFS(상세표[사번키],INDEX(합계표[사번키],$X856),상세표[반영월],대상월키,상세표[야간당직],1,상세표[야간 구분],"휴일"))</f>
        <v/>
      </c>
      <c r="U856">
        <f>IF($X856="","",COUNTIFS(상세표[사번키],INDEX(합계표[사번키],$X856),상세표[반영월],대상월키,상세표[야간당직],1,상세표[야간 구분],"평일",상세표[반영 기관],"서울병원"))</f>
        <v/>
      </c>
      <c r="V856">
        <f>IF($X856="","",COUNTIFS(상세표[사번키],INDEX(합계표[사번키],$X856),상세표[반영월],대상월키,상세표[야간당직],1,상세표[야간 구분],"휴일",상세표[반영 기관],"서울병원"))</f>
        <v/>
      </c>
      <c r="W856">
        <f>IF($X856="","",IF(ISNUMBER(MATCH(INDEX(합계표[사번키],$X856)&amp;"|"&amp;대상월키,월별근무지표[키],0)),"직접 입력",IF($L856="—","—","기관명단")))</f>
        <v/>
      </c>
      <c r="X856" s="4">
        <f>IFERROR(MATCH(851,합계표[판정순번],0),"")</f>
        <v/>
      </c>
    </row>
    <row r="857">
      <c r="A857">
        <f>IF($X857="","",INDEX(합계표[사번],$X857)&amp;"")</f>
        <v/>
      </c>
      <c r="B857">
        <f>IF($X857="","",INDEX(합계표[성명],$X857)&amp;"")</f>
        <v/>
      </c>
      <c r="C857">
        <f>IF($X857="","",INDEX(합계표[부서],$X857)&amp;"")</f>
        <v/>
      </c>
      <c r="D857">
        <f>IF($X857="","",INDEX(합계표[직위(요약)],$X857)&amp;"")</f>
        <v/>
      </c>
      <c r="E857">
        <f>IF($X857="","",INDEX(합계표[직급 공존],$X857)&amp;"")</f>
        <v/>
      </c>
      <c r="F857" s="20">
        <f>IF($X857="","",SUMIFS(합계표[시스템 합계],합계표[사번키],INDEX(합계표[사번키],$X857)))</f>
        <v/>
      </c>
      <c r="G857" s="20">
        <f>IF($X857="","",SUMIFS(상세표[기록 시간외],상세표[사번키],INDEX(합계표[사번키],$X857),상세표[기록월],대상월키))</f>
        <v/>
      </c>
      <c r="H857">
        <f>IF($X857="","",IF(ABS($F857-$G857)&lt;0.01,"일치","불일치(차이 "&amp;TEXT($G857-$F857,"0.00")&amp;")"))</f>
        <v/>
      </c>
      <c r="I857" s="20">
        <f>IF($X857="","",SUMIFS(상세표[기록 시간외],상세표[사번키],INDEX(합계표[사번키],$X857),상세표[기록월],대상월키,상세표[반영월],"&lt;&gt;"&amp;대상월키))</f>
        <v/>
      </c>
      <c r="J857" s="20">
        <f>IF($X857="","",SUMIFS(상세표[기록 시간외],상세표[사번키],INDEX(합계표[사번키],$X857),상세표[기록월],"&lt;&gt;"&amp;대상월키,상세표[반영월],대상월키))</f>
        <v/>
      </c>
      <c r="K857" s="20">
        <f>IF($X857="","",SUMIFS(상세표[기록 시간외],상세표[사번키],INDEX(합계표[사번키],$X857),상세표[반영월],대상월키))</f>
        <v/>
      </c>
      <c r="L857">
        <f>IF($X857="","",IFERROR(INDEX(월별근무지표[적용 급여병원],MATCH(INDEX(합계표[사번키],$X857)&amp;"|"&amp;대상월키,월별근무지표[키],0))&amp;"",IF(COUNTIF(기관표[사번키],INDEX(합계표[사번키],$X857))+COUNTIF(월별근무지표[사번키],INDEX(합계표[사번키],$X857))&gt;0,IFERROR(INDEX(기관표[급여지급병원(기준월)],MATCH(INDEX(합계표[사번키],$X857)&amp;"|"&amp;대상월키,기관표[키],0))&amp;"","—"),"—")))</f>
        <v/>
      </c>
      <c r="M857">
        <f>IF($X857="","",IF(NOT(COUNTIF(기관표[사번키],INDEX(합계표[사번키],$X857))+COUNTIF(월별근무지표[사번키],INDEX(합계표[사번키],$X857))&gt;0),"기관명단에 없음(다른 병원으로 발송)",IF($L857="서울병원","해당",IF(N($R857)&gt;0,"해당(말일 근무)",IF($L857="—","대상월 기관명단 없음(추가 필요)","비해당")))))</f>
        <v/>
      </c>
      <c r="N857" s="20">
        <f>IF($X857="","",SUMIFS(상세표[06~07시],상세표[사번키],INDEX(합계표[사번키],$X857),상세표[반영월],대상월키,상세표[반영 기관],"서울병원"))</f>
        <v/>
      </c>
      <c r="O857" s="20">
        <f>IF($X857="","",SUMIFS(상세표[07~18시],상세표[사번키],INDEX(합계표[사번키],$X857),상세표[반영월],대상월키,상세표[반영 기관],"서울병원"))</f>
        <v/>
      </c>
      <c r="P857" s="20">
        <f>IF($X857="","",SUMIFS(상세표[18~22시],상세표[사번키],INDEX(합계표[사번키],$X857),상세표[반영월],대상월키,상세표[반영 기관],"서울병원"))</f>
        <v/>
      </c>
      <c r="Q857" s="20">
        <f>IF($X857="","",SUMIFS(상세표[22~06시],상세표[사번키],INDEX(합계표[사번키],$X857),상세표[반영월],대상월키,상세표[반영 기관],"서울병원"))</f>
        <v/>
      </c>
      <c r="R857" s="20">
        <f>IF($X857="","",SUM($N857:$Q857))</f>
        <v/>
      </c>
      <c r="S857">
        <f>IF($X857="","",COUNTIFS(상세표[사번키],INDEX(합계표[사번키],$X857),상세표[반영월],대상월키,상세표[야간당직],1,상세표[야간 구분],"평일"))</f>
        <v/>
      </c>
      <c r="T857">
        <f>IF($X857="","",COUNTIFS(상세표[사번키],INDEX(합계표[사번키],$X857),상세표[반영월],대상월키,상세표[야간당직],1,상세표[야간 구분],"휴일"))</f>
        <v/>
      </c>
      <c r="U857">
        <f>IF($X857="","",COUNTIFS(상세표[사번키],INDEX(합계표[사번키],$X857),상세표[반영월],대상월키,상세표[야간당직],1,상세표[야간 구분],"평일",상세표[반영 기관],"서울병원"))</f>
        <v/>
      </c>
      <c r="V857">
        <f>IF($X857="","",COUNTIFS(상세표[사번키],INDEX(합계표[사번키],$X857),상세표[반영월],대상월키,상세표[야간당직],1,상세표[야간 구분],"휴일",상세표[반영 기관],"서울병원"))</f>
        <v/>
      </c>
      <c r="W857">
        <f>IF($X857="","",IF(ISNUMBER(MATCH(INDEX(합계표[사번키],$X857)&amp;"|"&amp;대상월키,월별근무지표[키],0)),"직접 입력",IF($L857="—","—","기관명단")))</f>
        <v/>
      </c>
      <c r="X857" s="4">
        <f>IFERROR(MATCH(852,합계표[판정순번],0),"")</f>
        <v/>
      </c>
    </row>
    <row r="858">
      <c r="A858">
        <f>IF($X858="","",INDEX(합계표[사번],$X858)&amp;"")</f>
        <v/>
      </c>
      <c r="B858">
        <f>IF($X858="","",INDEX(합계표[성명],$X858)&amp;"")</f>
        <v/>
      </c>
      <c r="C858">
        <f>IF($X858="","",INDEX(합계표[부서],$X858)&amp;"")</f>
        <v/>
      </c>
      <c r="D858">
        <f>IF($X858="","",INDEX(합계표[직위(요약)],$X858)&amp;"")</f>
        <v/>
      </c>
      <c r="E858">
        <f>IF($X858="","",INDEX(합계표[직급 공존],$X858)&amp;"")</f>
        <v/>
      </c>
      <c r="F858" s="20">
        <f>IF($X858="","",SUMIFS(합계표[시스템 합계],합계표[사번키],INDEX(합계표[사번키],$X858)))</f>
        <v/>
      </c>
      <c r="G858" s="20">
        <f>IF($X858="","",SUMIFS(상세표[기록 시간외],상세표[사번키],INDEX(합계표[사번키],$X858),상세표[기록월],대상월키))</f>
        <v/>
      </c>
      <c r="H858">
        <f>IF($X858="","",IF(ABS($F858-$G858)&lt;0.01,"일치","불일치(차이 "&amp;TEXT($G858-$F858,"0.00")&amp;")"))</f>
        <v/>
      </c>
      <c r="I858" s="20">
        <f>IF($X858="","",SUMIFS(상세표[기록 시간외],상세표[사번키],INDEX(합계표[사번키],$X858),상세표[기록월],대상월키,상세표[반영월],"&lt;&gt;"&amp;대상월키))</f>
        <v/>
      </c>
      <c r="J858" s="20">
        <f>IF($X858="","",SUMIFS(상세표[기록 시간외],상세표[사번키],INDEX(합계표[사번키],$X858),상세표[기록월],"&lt;&gt;"&amp;대상월키,상세표[반영월],대상월키))</f>
        <v/>
      </c>
      <c r="K858" s="20">
        <f>IF($X858="","",SUMIFS(상세표[기록 시간외],상세표[사번키],INDEX(합계표[사번키],$X858),상세표[반영월],대상월키))</f>
        <v/>
      </c>
      <c r="L858">
        <f>IF($X858="","",IFERROR(INDEX(월별근무지표[적용 급여병원],MATCH(INDEX(합계표[사번키],$X858)&amp;"|"&amp;대상월키,월별근무지표[키],0))&amp;"",IF(COUNTIF(기관표[사번키],INDEX(합계표[사번키],$X858))+COUNTIF(월별근무지표[사번키],INDEX(합계표[사번키],$X858))&gt;0,IFERROR(INDEX(기관표[급여지급병원(기준월)],MATCH(INDEX(합계표[사번키],$X858)&amp;"|"&amp;대상월키,기관표[키],0))&amp;"","—"),"—")))</f>
        <v/>
      </c>
      <c r="M858">
        <f>IF($X858="","",IF(NOT(COUNTIF(기관표[사번키],INDEX(합계표[사번키],$X858))+COUNTIF(월별근무지표[사번키],INDEX(합계표[사번키],$X858))&gt;0),"기관명단에 없음(다른 병원으로 발송)",IF($L858="서울병원","해당",IF(N($R858)&gt;0,"해당(말일 근무)",IF($L858="—","대상월 기관명단 없음(추가 필요)","비해당")))))</f>
        <v/>
      </c>
      <c r="N858" s="20">
        <f>IF($X858="","",SUMIFS(상세표[06~07시],상세표[사번키],INDEX(합계표[사번키],$X858),상세표[반영월],대상월키,상세표[반영 기관],"서울병원"))</f>
        <v/>
      </c>
      <c r="O858" s="20">
        <f>IF($X858="","",SUMIFS(상세표[07~18시],상세표[사번키],INDEX(합계표[사번키],$X858),상세표[반영월],대상월키,상세표[반영 기관],"서울병원"))</f>
        <v/>
      </c>
      <c r="P858" s="20">
        <f>IF($X858="","",SUMIFS(상세표[18~22시],상세표[사번키],INDEX(합계표[사번키],$X858),상세표[반영월],대상월키,상세표[반영 기관],"서울병원"))</f>
        <v/>
      </c>
      <c r="Q858" s="20">
        <f>IF($X858="","",SUMIFS(상세표[22~06시],상세표[사번키],INDEX(합계표[사번키],$X858),상세표[반영월],대상월키,상세표[반영 기관],"서울병원"))</f>
        <v/>
      </c>
      <c r="R858" s="20">
        <f>IF($X858="","",SUM($N858:$Q858))</f>
        <v/>
      </c>
      <c r="S858">
        <f>IF($X858="","",COUNTIFS(상세표[사번키],INDEX(합계표[사번키],$X858),상세표[반영월],대상월키,상세표[야간당직],1,상세표[야간 구분],"평일"))</f>
        <v/>
      </c>
      <c r="T858">
        <f>IF($X858="","",COUNTIFS(상세표[사번키],INDEX(합계표[사번키],$X858),상세표[반영월],대상월키,상세표[야간당직],1,상세표[야간 구분],"휴일"))</f>
        <v/>
      </c>
      <c r="U858">
        <f>IF($X858="","",COUNTIFS(상세표[사번키],INDEX(합계표[사번키],$X858),상세표[반영월],대상월키,상세표[야간당직],1,상세표[야간 구분],"평일",상세표[반영 기관],"서울병원"))</f>
        <v/>
      </c>
      <c r="V858">
        <f>IF($X858="","",COUNTIFS(상세표[사번키],INDEX(합계표[사번키],$X858),상세표[반영월],대상월키,상세표[야간당직],1,상세표[야간 구분],"휴일",상세표[반영 기관],"서울병원"))</f>
        <v/>
      </c>
      <c r="W858">
        <f>IF($X858="","",IF(ISNUMBER(MATCH(INDEX(합계표[사번키],$X858)&amp;"|"&amp;대상월키,월별근무지표[키],0)),"직접 입력",IF($L858="—","—","기관명단")))</f>
        <v/>
      </c>
      <c r="X858" s="4">
        <f>IFERROR(MATCH(853,합계표[판정순번],0),"")</f>
        <v/>
      </c>
    </row>
    <row r="859">
      <c r="A859">
        <f>IF($X859="","",INDEX(합계표[사번],$X859)&amp;"")</f>
        <v/>
      </c>
      <c r="B859">
        <f>IF($X859="","",INDEX(합계표[성명],$X859)&amp;"")</f>
        <v/>
      </c>
      <c r="C859">
        <f>IF($X859="","",INDEX(합계표[부서],$X859)&amp;"")</f>
        <v/>
      </c>
      <c r="D859">
        <f>IF($X859="","",INDEX(합계표[직위(요약)],$X859)&amp;"")</f>
        <v/>
      </c>
      <c r="E859">
        <f>IF($X859="","",INDEX(합계표[직급 공존],$X859)&amp;"")</f>
        <v/>
      </c>
      <c r="F859" s="20">
        <f>IF($X859="","",SUMIFS(합계표[시스템 합계],합계표[사번키],INDEX(합계표[사번키],$X859)))</f>
        <v/>
      </c>
      <c r="G859" s="20">
        <f>IF($X859="","",SUMIFS(상세표[기록 시간외],상세표[사번키],INDEX(합계표[사번키],$X859),상세표[기록월],대상월키))</f>
        <v/>
      </c>
      <c r="H859">
        <f>IF($X859="","",IF(ABS($F859-$G859)&lt;0.01,"일치","불일치(차이 "&amp;TEXT($G859-$F859,"0.00")&amp;")"))</f>
        <v/>
      </c>
      <c r="I859" s="20">
        <f>IF($X859="","",SUMIFS(상세표[기록 시간외],상세표[사번키],INDEX(합계표[사번키],$X859),상세표[기록월],대상월키,상세표[반영월],"&lt;&gt;"&amp;대상월키))</f>
        <v/>
      </c>
      <c r="J859" s="20">
        <f>IF($X859="","",SUMIFS(상세표[기록 시간외],상세표[사번키],INDEX(합계표[사번키],$X859),상세표[기록월],"&lt;&gt;"&amp;대상월키,상세표[반영월],대상월키))</f>
        <v/>
      </c>
      <c r="K859" s="20">
        <f>IF($X859="","",SUMIFS(상세표[기록 시간외],상세표[사번키],INDEX(합계표[사번키],$X859),상세표[반영월],대상월키))</f>
        <v/>
      </c>
      <c r="L859">
        <f>IF($X859="","",IFERROR(INDEX(월별근무지표[적용 급여병원],MATCH(INDEX(합계표[사번키],$X859)&amp;"|"&amp;대상월키,월별근무지표[키],0))&amp;"",IF(COUNTIF(기관표[사번키],INDEX(합계표[사번키],$X859))+COUNTIF(월별근무지표[사번키],INDEX(합계표[사번키],$X859))&gt;0,IFERROR(INDEX(기관표[급여지급병원(기준월)],MATCH(INDEX(합계표[사번키],$X859)&amp;"|"&amp;대상월키,기관표[키],0))&amp;"","—"),"—")))</f>
        <v/>
      </c>
      <c r="M859">
        <f>IF($X859="","",IF(NOT(COUNTIF(기관표[사번키],INDEX(합계표[사번키],$X859))+COUNTIF(월별근무지표[사번키],INDEX(합계표[사번키],$X859))&gt;0),"기관명단에 없음(다른 병원으로 발송)",IF($L859="서울병원","해당",IF(N($R859)&gt;0,"해당(말일 근무)",IF($L859="—","대상월 기관명단 없음(추가 필요)","비해당")))))</f>
        <v/>
      </c>
      <c r="N859" s="20">
        <f>IF($X859="","",SUMIFS(상세표[06~07시],상세표[사번키],INDEX(합계표[사번키],$X859),상세표[반영월],대상월키,상세표[반영 기관],"서울병원"))</f>
        <v/>
      </c>
      <c r="O859" s="20">
        <f>IF($X859="","",SUMIFS(상세표[07~18시],상세표[사번키],INDEX(합계표[사번키],$X859),상세표[반영월],대상월키,상세표[반영 기관],"서울병원"))</f>
        <v/>
      </c>
      <c r="P859" s="20">
        <f>IF($X859="","",SUMIFS(상세표[18~22시],상세표[사번키],INDEX(합계표[사번키],$X859),상세표[반영월],대상월키,상세표[반영 기관],"서울병원"))</f>
        <v/>
      </c>
      <c r="Q859" s="20">
        <f>IF($X859="","",SUMIFS(상세표[22~06시],상세표[사번키],INDEX(합계표[사번키],$X859),상세표[반영월],대상월키,상세표[반영 기관],"서울병원"))</f>
        <v/>
      </c>
      <c r="R859" s="20">
        <f>IF($X859="","",SUM($N859:$Q859))</f>
        <v/>
      </c>
      <c r="S859">
        <f>IF($X859="","",COUNTIFS(상세표[사번키],INDEX(합계표[사번키],$X859),상세표[반영월],대상월키,상세표[야간당직],1,상세표[야간 구분],"평일"))</f>
        <v/>
      </c>
      <c r="T859">
        <f>IF($X859="","",COUNTIFS(상세표[사번키],INDEX(합계표[사번키],$X859),상세표[반영월],대상월키,상세표[야간당직],1,상세표[야간 구분],"휴일"))</f>
        <v/>
      </c>
      <c r="U859">
        <f>IF($X859="","",COUNTIFS(상세표[사번키],INDEX(합계표[사번키],$X859),상세표[반영월],대상월키,상세표[야간당직],1,상세표[야간 구분],"평일",상세표[반영 기관],"서울병원"))</f>
        <v/>
      </c>
      <c r="V859">
        <f>IF($X859="","",COUNTIFS(상세표[사번키],INDEX(합계표[사번키],$X859),상세표[반영월],대상월키,상세표[야간당직],1,상세표[야간 구분],"휴일",상세표[반영 기관],"서울병원"))</f>
        <v/>
      </c>
      <c r="W859">
        <f>IF($X859="","",IF(ISNUMBER(MATCH(INDEX(합계표[사번키],$X859)&amp;"|"&amp;대상월키,월별근무지표[키],0)),"직접 입력",IF($L859="—","—","기관명단")))</f>
        <v/>
      </c>
      <c r="X859" s="4">
        <f>IFERROR(MATCH(854,합계표[판정순번],0),"")</f>
        <v/>
      </c>
    </row>
    <row r="860">
      <c r="A860">
        <f>IF($X860="","",INDEX(합계표[사번],$X860)&amp;"")</f>
        <v/>
      </c>
      <c r="B860">
        <f>IF($X860="","",INDEX(합계표[성명],$X860)&amp;"")</f>
        <v/>
      </c>
      <c r="C860">
        <f>IF($X860="","",INDEX(합계표[부서],$X860)&amp;"")</f>
        <v/>
      </c>
      <c r="D860">
        <f>IF($X860="","",INDEX(합계표[직위(요약)],$X860)&amp;"")</f>
        <v/>
      </c>
      <c r="E860">
        <f>IF($X860="","",INDEX(합계표[직급 공존],$X860)&amp;"")</f>
        <v/>
      </c>
      <c r="F860" s="20">
        <f>IF($X860="","",SUMIFS(합계표[시스템 합계],합계표[사번키],INDEX(합계표[사번키],$X860)))</f>
        <v/>
      </c>
      <c r="G860" s="20">
        <f>IF($X860="","",SUMIFS(상세표[기록 시간외],상세표[사번키],INDEX(합계표[사번키],$X860),상세표[기록월],대상월키))</f>
        <v/>
      </c>
      <c r="H860">
        <f>IF($X860="","",IF(ABS($F860-$G860)&lt;0.01,"일치","불일치(차이 "&amp;TEXT($G860-$F860,"0.00")&amp;")"))</f>
        <v/>
      </c>
      <c r="I860" s="20">
        <f>IF($X860="","",SUMIFS(상세표[기록 시간외],상세표[사번키],INDEX(합계표[사번키],$X860),상세표[기록월],대상월키,상세표[반영월],"&lt;&gt;"&amp;대상월키))</f>
        <v/>
      </c>
      <c r="J860" s="20">
        <f>IF($X860="","",SUMIFS(상세표[기록 시간외],상세표[사번키],INDEX(합계표[사번키],$X860),상세표[기록월],"&lt;&gt;"&amp;대상월키,상세표[반영월],대상월키))</f>
        <v/>
      </c>
      <c r="K860" s="20">
        <f>IF($X860="","",SUMIFS(상세표[기록 시간외],상세표[사번키],INDEX(합계표[사번키],$X860),상세표[반영월],대상월키))</f>
        <v/>
      </c>
      <c r="L860">
        <f>IF($X860="","",IFERROR(INDEX(월별근무지표[적용 급여병원],MATCH(INDEX(합계표[사번키],$X860)&amp;"|"&amp;대상월키,월별근무지표[키],0))&amp;"",IF(COUNTIF(기관표[사번키],INDEX(합계표[사번키],$X860))+COUNTIF(월별근무지표[사번키],INDEX(합계표[사번키],$X860))&gt;0,IFERROR(INDEX(기관표[급여지급병원(기준월)],MATCH(INDEX(합계표[사번키],$X860)&amp;"|"&amp;대상월키,기관표[키],0))&amp;"","—"),"—")))</f>
        <v/>
      </c>
      <c r="M860">
        <f>IF($X860="","",IF(NOT(COUNTIF(기관표[사번키],INDEX(합계표[사번키],$X860))+COUNTIF(월별근무지표[사번키],INDEX(합계표[사번키],$X860))&gt;0),"기관명단에 없음(다른 병원으로 발송)",IF($L860="서울병원","해당",IF(N($R860)&gt;0,"해당(말일 근무)",IF($L860="—","대상월 기관명단 없음(추가 필요)","비해당")))))</f>
        <v/>
      </c>
      <c r="N860" s="20">
        <f>IF($X860="","",SUMIFS(상세표[06~07시],상세표[사번키],INDEX(합계표[사번키],$X860),상세표[반영월],대상월키,상세표[반영 기관],"서울병원"))</f>
        <v/>
      </c>
      <c r="O860" s="20">
        <f>IF($X860="","",SUMIFS(상세표[07~18시],상세표[사번키],INDEX(합계표[사번키],$X860),상세표[반영월],대상월키,상세표[반영 기관],"서울병원"))</f>
        <v/>
      </c>
      <c r="P860" s="20">
        <f>IF($X860="","",SUMIFS(상세표[18~22시],상세표[사번키],INDEX(합계표[사번키],$X860),상세표[반영월],대상월키,상세표[반영 기관],"서울병원"))</f>
        <v/>
      </c>
      <c r="Q860" s="20">
        <f>IF($X860="","",SUMIFS(상세표[22~06시],상세표[사번키],INDEX(합계표[사번키],$X860),상세표[반영월],대상월키,상세표[반영 기관],"서울병원"))</f>
        <v/>
      </c>
      <c r="R860" s="20">
        <f>IF($X860="","",SUM($N860:$Q860))</f>
        <v/>
      </c>
      <c r="S860">
        <f>IF($X860="","",COUNTIFS(상세표[사번키],INDEX(합계표[사번키],$X860),상세표[반영월],대상월키,상세표[야간당직],1,상세표[야간 구분],"평일"))</f>
        <v/>
      </c>
      <c r="T860">
        <f>IF($X860="","",COUNTIFS(상세표[사번키],INDEX(합계표[사번키],$X860),상세표[반영월],대상월키,상세표[야간당직],1,상세표[야간 구분],"휴일"))</f>
        <v/>
      </c>
      <c r="U860">
        <f>IF($X860="","",COUNTIFS(상세표[사번키],INDEX(합계표[사번키],$X860),상세표[반영월],대상월키,상세표[야간당직],1,상세표[야간 구분],"평일",상세표[반영 기관],"서울병원"))</f>
        <v/>
      </c>
      <c r="V860">
        <f>IF($X860="","",COUNTIFS(상세표[사번키],INDEX(합계표[사번키],$X860),상세표[반영월],대상월키,상세표[야간당직],1,상세표[야간 구분],"휴일",상세표[반영 기관],"서울병원"))</f>
        <v/>
      </c>
      <c r="W860">
        <f>IF($X860="","",IF(ISNUMBER(MATCH(INDEX(합계표[사번키],$X860)&amp;"|"&amp;대상월키,월별근무지표[키],0)),"직접 입력",IF($L860="—","—","기관명단")))</f>
        <v/>
      </c>
      <c r="X860" s="4">
        <f>IFERROR(MATCH(855,합계표[판정순번],0),"")</f>
        <v/>
      </c>
    </row>
    <row r="861">
      <c r="A861">
        <f>IF($X861="","",INDEX(합계표[사번],$X861)&amp;"")</f>
        <v/>
      </c>
      <c r="B861">
        <f>IF($X861="","",INDEX(합계표[성명],$X861)&amp;"")</f>
        <v/>
      </c>
      <c r="C861">
        <f>IF($X861="","",INDEX(합계표[부서],$X861)&amp;"")</f>
        <v/>
      </c>
      <c r="D861">
        <f>IF($X861="","",INDEX(합계표[직위(요약)],$X861)&amp;"")</f>
        <v/>
      </c>
      <c r="E861">
        <f>IF($X861="","",INDEX(합계표[직급 공존],$X861)&amp;"")</f>
        <v/>
      </c>
      <c r="F861" s="20">
        <f>IF($X861="","",SUMIFS(합계표[시스템 합계],합계표[사번키],INDEX(합계표[사번키],$X861)))</f>
        <v/>
      </c>
      <c r="G861" s="20">
        <f>IF($X861="","",SUMIFS(상세표[기록 시간외],상세표[사번키],INDEX(합계표[사번키],$X861),상세표[기록월],대상월키))</f>
        <v/>
      </c>
      <c r="H861">
        <f>IF($X861="","",IF(ABS($F861-$G861)&lt;0.01,"일치","불일치(차이 "&amp;TEXT($G861-$F861,"0.00")&amp;")"))</f>
        <v/>
      </c>
      <c r="I861" s="20">
        <f>IF($X861="","",SUMIFS(상세표[기록 시간외],상세표[사번키],INDEX(합계표[사번키],$X861),상세표[기록월],대상월키,상세표[반영월],"&lt;&gt;"&amp;대상월키))</f>
        <v/>
      </c>
      <c r="J861" s="20">
        <f>IF($X861="","",SUMIFS(상세표[기록 시간외],상세표[사번키],INDEX(합계표[사번키],$X861),상세표[기록월],"&lt;&gt;"&amp;대상월키,상세표[반영월],대상월키))</f>
        <v/>
      </c>
      <c r="K861" s="20">
        <f>IF($X861="","",SUMIFS(상세표[기록 시간외],상세표[사번키],INDEX(합계표[사번키],$X861),상세표[반영월],대상월키))</f>
        <v/>
      </c>
      <c r="L861">
        <f>IF($X861="","",IFERROR(INDEX(월별근무지표[적용 급여병원],MATCH(INDEX(합계표[사번키],$X861)&amp;"|"&amp;대상월키,월별근무지표[키],0))&amp;"",IF(COUNTIF(기관표[사번키],INDEX(합계표[사번키],$X861))+COUNTIF(월별근무지표[사번키],INDEX(합계표[사번키],$X861))&gt;0,IFERROR(INDEX(기관표[급여지급병원(기준월)],MATCH(INDEX(합계표[사번키],$X861)&amp;"|"&amp;대상월키,기관표[키],0))&amp;"","—"),"—")))</f>
        <v/>
      </c>
      <c r="M861">
        <f>IF($X861="","",IF(NOT(COUNTIF(기관표[사번키],INDEX(합계표[사번키],$X861))+COUNTIF(월별근무지표[사번키],INDEX(합계표[사번키],$X861))&gt;0),"기관명단에 없음(다른 병원으로 발송)",IF($L861="서울병원","해당",IF(N($R861)&gt;0,"해당(말일 근무)",IF($L861="—","대상월 기관명단 없음(추가 필요)","비해당")))))</f>
        <v/>
      </c>
      <c r="N861" s="20">
        <f>IF($X861="","",SUMIFS(상세표[06~07시],상세표[사번키],INDEX(합계표[사번키],$X861),상세표[반영월],대상월키,상세표[반영 기관],"서울병원"))</f>
        <v/>
      </c>
      <c r="O861" s="20">
        <f>IF($X861="","",SUMIFS(상세표[07~18시],상세표[사번키],INDEX(합계표[사번키],$X861),상세표[반영월],대상월키,상세표[반영 기관],"서울병원"))</f>
        <v/>
      </c>
      <c r="P861" s="20">
        <f>IF($X861="","",SUMIFS(상세표[18~22시],상세표[사번키],INDEX(합계표[사번키],$X861),상세표[반영월],대상월키,상세표[반영 기관],"서울병원"))</f>
        <v/>
      </c>
      <c r="Q861" s="20">
        <f>IF($X861="","",SUMIFS(상세표[22~06시],상세표[사번키],INDEX(합계표[사번키],$X861),상세표[반영월],대상월키,상세표[반영 기관],"서울병원"))</f>
        <v/>
      </c>
      <c r="R861" s="20">
        <f>IF($X861="","",SUM($N861:$Q861))</f>
        <v/>
      </c>
      <c r="S861">
        <f>IF($X861="","",COUNTIFS(상세표[사번키],INDEX(합계표[사번키],$X861),상세표[반영월],대상월키,상세표[야간당직],1,상세표[야간 구분],"평일"))</f>
        <v/>
      </c>
      <c r="T861">
        <f>IF($X861="","",COUNTIFS(상세표[사번키],INDEX(합계표[사번키],$X861),상세표[반영월],대상월키,상세표[야간당직],1,상세표[야간 구분],"휴일"))</f>
        <v/>
      </c>
      <c r="U861">
        <f>IF($X861="","",COUNTIFS(상세표[사번키],INDEX(합계표[사번키],$X861),상세표[반영월],대상월키,상세표[야간당직],1,상세표[야간 구분],"평일",상세표[반영 기관],"서울병원"))</f>
        <v/>
      </c>
      <c r="V861">
        <f>IF($X861="","",COUNTIFS(상세표[사번키],INDEX(합계표[사번키],$X861),상세표[반영월],대상월키,상세표[야간당직],1,상세표[야간 구분],"휴일",상세표[반영 기관],"서울병원"))</f>
        <v/>
      </c>
      <c r="W861">
        <f>IF($X861="","",IF(ISNUMBER(MATCH(INDEX(합계표[사번키],$X861)&amp;"|"&amp;대상월키,월별근무지표[키],0)),"직접 입력",IF($L861="—","—","기관명단")))</f>
        <v/>
      </c>
      <c r="X861" s="4">
        <f>IFERROR(MATCH(856,합계표[판정순번],0),"")</f>
        <v/>
      </c>
    </row>
    <row r="862">
      <c r="A862">
        <f>IF($X862="","",INDEX(합계표[사번],$X862)&amp;"")</f>
        <v/>
      </c>
      <c r="B862">
        <f>IF($X862="","",INDEX(합계표[성명],$X862)&amp;"")</f>
        <v/>
      </c>
      <c r="C862">
        <f>IF($X862="","",INDEX(합계표[부서],$X862)&amp;"")</f>
        <v/>
      </c>
      <c r="D862">
        <f>IF($X862="","",INDEX(합계표[직위(요약)],$X862)&amp;"")</f>
        <v/>
      </c>
      <c r="E862">
        <f>IF($X862="","",INDEX(합계표[직급 공존],$X862)&amp;"")</f>
        <v/>
      </c>
      <c r="F862" s="20">
        <f>IF($X862="","",SUMIFS(합계표[시스템 합계],합계표[사번키],INDEX(합계표[사번키],$X862)))</f>
        <v/>
      </c>
      <c r="G862" s="20">
        <f>IF($X862="","",SUMIFS(상세표[기록 시간외],상세표[사번키],INDEX(합계표[사번키],$X862),상세표[기록월],대상월키))</f>
        <v/>
      </c>
      <c r="H862">
        <f>IF($X862="","",IF(ABS($F862-$G862)&lt;0.01,"일치","불일치(차이 "&amp;TEXT($G862-$F862,"0.00")&amp;")"))</f>
        <v/>
      </c>
      <c r="I862" s="20">
        <f>IF($X862="","",SUMIFS(상세표[기록 시간외],상세표[사번키],INDEX(합계표[사번키],$X862),상세표[기록월],대상월키,상세표[반영월],"&lt;&gt;"&amp;대상월키))</f>
        <v/>
      </c>
      <c r="J862" s="20">
        <f>IF($X862="","",SUMIFS(상세표[기록 시간외],상세표[사번키],INDEX(합계표[사번키],$X862),상세표[기록월],"&lt;&gt;"&amp;대상월키,상세표[반영월],대상월키))</f>
        <v/>
      </c>
      <c r="K862" s="20">
        <f>IF($X862="","",SUMIFS(상세표[기록 시간외],상세표[사번키],INDEX(합계표[사번키],$X862),상세표[반영월],대상월키))</f>
        <v/>
      </c>
      <c r="L862">
        <f>IF($X862="","",IFERROR(INDEX(월별근무지표[적용 급여병원],MATCH(INDEX(합계표[사번키],$X862)&amp;"|"&amp;대상월키,월별근무지표[키],0))&amp;"",IF(COUNTIF(기관표[사번키],INDEX(합계표[사번키],$X862))+COUNTIF(월별근무지표[사번키],INDEX(합계표[사번키],$X862))&gt;0,IFERROR(INDEX(기관표[급여지급병원(기준월)],MATCH(INDEX(합계표[사번키],$X862)&amp;"|"&amp;대상월키,기관표[키],0))&amp;"","—"),"—")))</f>
        <v/>
      </c>
      <c r="M862">
        <f>IF($X862="","",IF(NOT(COUNTIF(기관표[사번키],INDEX(합계표[사번키],$X862))+COUNTIF(월별근무지표[사번키],INDEX(합계표[사번키],$X862))&gt;0),"기관명단에 없음(다른 병원으로 발송)",IF($L862="서울병원","해당",IF(N($R862)&gt;0,"해당(말일 근무)",IF($L862="—","대상월 기관명단 없음(추가 필요)","비해당")))))</f>
        <v/>
      </c>
      <c r="N862" s="20">
        <f>IF($X862="","",SUMIFS(상세표[06~07시],상세표[사번키],INDEX(합계표[사번키],$X862),상세표[반영월],대상월키,상세표[반영 기관],"서울병원"))</f>
        <v/>
      </c>
      <c r="O862" s="20">
        <f>IF($X862="","",SUMIFS(상세표[07~18시],상세표[사번키],INDEX(합계표[사번키],$X862),상세표[반영월],대상월키,상세표[반영 기관],"서울병원"))</f>
        <v/>
      </c>
      <c r="P862" s="20">
        <f>IF($X862="","",SUMIFS(상세표[18~22시],상세표[사번키],INDEX(합계표[사번키],$X862),상세표[반영월],대상월키,상세표[반영 기관],"서울병원"))</f>
        <v/>
      </c>
      <c r="Q862" s="20">
        <f>IF($X862="","",SUMIFS(상세표[22~06시],상세표[사번키],INDEX(합계표[사번키],$X862),상세표[반영월],대상월키,상세표[반영 기관],"서울병원"))</f>
        <v/>
      </c>
      <c r="R862" s="20">
        <f>IF($X862="","",SUM($N862:$Q862))</f>
        <v/>
      </c>
      <c r="S862">
        <f>IF($X862="","",COUNTIFS(상세표[사번키],INDEX(합계표[사번키],$X862),상세표[반영월],대상월키,상세표[야간당직],1,상세표[야간 구분],"평일"))</f>
        <v/>
      </c>
      <c r="T862">
        <f>IF($X862="","",COUNTIFS(상세표[사번키],INDEX(합계표[사번키],$X862),상세표[반영월],대상월키,상세표[야간당직],1,상세표[야간 구분],"휴일"))</f>
        <v/>
      </c>
      <c r="U862">
        <f>IF($X862="","",COUNTIFS(상세표[사번키],INDEX(합계표[사번키],$X862),상세표[반영월],대상월키,상세표[야간당직],1,상세표[야간 구분],"평일",상세표[반영 기관],"서울병원"))</f>
        <v/>
      </c>
      <c r="V862">
        <f>IF($X862="","",COUNTIFS(상세표[사번키],INDEX(합계표[사번키],$X862),상세표[반영월],대상월키,상세표[야간당직],1,상세표[야간 구분],"휴일",상세표[반영 기관],"서울병원"))</f>
        <v/>
      </c>
      <c r="W862">
        <f>IF($X862="","",IF(ISNUMBER(MATCH(INDEX(합계표[사번키],$X862)&amp;"|"&amp;대상월키,월별근무지표[키],0)),"직접 입력",IF($L862="—","—","기관명단")))</f>
        <v/>
      </c>
      <c r="X862" s="4">
        <f>IFERROR(MATCH(857,합계표[판정순번],0),"")</f>
        <v/>
      </c>
    </row>
    <row r="863">
      <c r="A863">
        <f>IF($X863="","",INDEX(합계표[사번],$X863)&amp;"")</f>
        <v/>
      </c>
      <c r="B863">
        <f>IF($X863="","",INDEX(합계표[성명],$X863)&amp;"")</f>
        <v/>
      </c>
      <c r="C863">
        <f>IF($X863="","",INDEX(합계표[부서],$X863)&amp;"")</f>
        <v/>
      </c>
      <c r="D863">
        <f>IF($X863="","",INDEX(합계표[직위(요약)],$X863)&amp;"")</f>
        <v/>
      </c>
      <c r="E863">
        <f>IF($X863="","",INDEX(합계표[직급 공존],$X863)&amp;"")</f>
        <v/>
      </c>
      <c r="F863" s="20">
        <f>IF($X863="","",SUMIFS(합계표[시스템 합계],합계표[사번키],INDEX(합계표[사번키],$X863)))</f>
        <v/>
      </c>
      <c r="G863" s="20">
        <f>IF($X863="","",SUMIFS(상세표[기록 시간외],상세표[사번키],INDEX(합계표[사번키],$X863),상세표[기록월],대상월키))</f>
        <v/>
      </c>
      <c r="H863">
        <f>IF($X863="","",IF(ABS($F863-$G863)&lt;0.01,"일치","불일치(차이 "&amp;TEXT($G863-$F863,"0.00")&amp;")"))</f>
        <v/>
      </c>
      <c r="I863" s="20">
        <f>IF($X863="","",SUMIFS(상세표[기록 시간외],상세표[사번키],INDEX(합계표[사번키],$X863),상세표[기록월],대상월키,상세표[반영월],"&lt;&gt;"&amp;대상월키))</f>
        <v/>
      </c>
      <c r="J863" s="20">
        <f>IF($X863="","",SUMIFS(상세표[기록 시간외],상세표[사번키],INDEX(합계표[사번키],$X863),상세표[기록월],"&lt;&gt;"&amp;대상월키,상세표[반영월],대상월키))</f>
        <v/>
      </c>
      <c r="K863" s="20">
        <f>IF($X863="","",SUMIFS(상세표[기록 시간외],상세표[사번키],INDEX(합계표[사번키],$X863),상세표[반영월],대상월키))</f>
        <v/>
      </c>
      <c r="L863">
        <f>IF($X863="","",IFERROR(INDEX(월별근무지표[적용 급여병원],MATCH(INDEX(합계표[사번키],$X863)&amp;"|"&amp;대상월키,월별근무지표[키],0))&amp;"",IF(COUNTIF(기관표[사번키],INDEX(합계표[사번키],$X863))+COUNTIF(월별근무지표[사번키],INDEX(합계표[사번키],$X863))&gt;0,IFERROR(INDEX(기관표[급여지급병원(기준월)],MATCH(INDEX(합계표[사번키],$X863)&amp;"|"&amp;대상월키,기관표[키],0))&amp;"","—"),"—")))</f>
        <v/>
      </c>
      <c r="M863">
        <f>IF($X863="","",IF(NOT(COUNTIF(기관표[사번키],INDEX(합계표[사번키],$X863))+COUNTIF(월별근무지표[사번키],INDEX(합계표[사번키],$X863))&gt;0),"기관명단에 없음(다른 병원으로 발송)",IF($L863="서울병원","해당",IF(N($R863)&gt;0,"해당(말일 근무)",IF($L863="—","대상월 기관명단 없음(추가 필요)","비해당")))))</f>
        <v/>
      </c>
      <c r="N863" s="20">
        <f>IF($X863="","",SUMIFS(상세표[06~07시],상세표[사번키],INDEX(합계표[사번키],$X863),상세표[반영월],대상월키,상세표[반영 기관],"서울병원"))</f>
        <v/>
      </c>
      <c r="O863" s="20">
        <f>IF($X863="","",SUMIFS(상세표[07~18시],상세표[사번키],INDEX(합계표[사번키],$X863),상세표[반영월],대상월키,상세표[반영 기관],"서울병원"))</f>
        <v/>
      </c>
      <c r="P863" s="20">
        <f>IF($X863="","",SUMIFS(상세표[18~22시],상세표[사번키],INDEX(합계표[사번키],$X863),상세표[반영월],대상월키,상세표[반영 기관],"서울병원"))</f>
        <v/>
      </c>
      <c r="Q863" s="20">
        <f>IF($X863="","",SUMIFS(상세표[22~06시],상세표[사번키],INDEX(합계표[사번키],$X863),상세표[반영월],대상월키,상세표[반영 기관],"서울병원"))</f>
        <v/>
      </c>
      <c r="R863" s="20">
        <f>IF($X863="","",SUM($N863:$Q863))</f>
        <v/>
      </c>
      <c r="S863">
        <f>IF($X863="","",COUNTIFS(상세표[사번키],INDEX(합계표[사번키],$X863),상세표[반영월],대상월키,상세표[야간당직],1,상세표[야간 구분],"평일"))</f>
        <v/>
      </c>
      <c r="T863">
        <f>IF($X863="","",COUNTIFS(상세표[사번키],INDEX(합계표[사번키],$X863),상세표[반영월],대상월키,상세표[야간당직],1,상세표[야간 구분],"휴일"))</f>
        <v/>
      </c>
      <c r="U863">
        <f>IF($X863="","",COUNTIFS(상세표[사번키],INDEX(합계표[사번키],$X863),상세표[반영월],대상월키,상세표[야간당직],1,상세표[야간 구분],"평일",상세표[반영 기관],"서울병원"))</f>
        <v/>
      </c>
      <c r="V863">
        <f>IF($X863="","",COUNTIFS(상세표[사번키],INDEX(합계표[사번키],$X863),상세표[반영월],대상월키,상세표[야간당직],1,상세표[야간 구분],"휴일",상세표[반영 기관],"서울병원"))</f>
        <v/>
      </c>
      <c r="W863">
        <f>IF($X863="","",IF(ISNUMBER(MATCH(INDEX(합계표[사번키],$X863)&amp;"|"&amp;대상월키,월별근무지표[키],0)),"직접 입력",IF($L863="—","—","기관명단")))</f>
        <v/>
      </c>
      <c r="X863" s="4">
        <f>IFERROR(MATCH(858,합계표[판정순번],0),"")</f>
        <v/>
      </c>
    </row>
    <row r="864">
      <c r="A864">
        <f>IF($X864="","",INDEX(합계표[사번],$X864)&amp;"")</f>
        <v/>
      </c>
      <c r="B864">
        <f>IF($X864="","",INDEX(합계표[성명],$X864)&amp;"")</f>
        <v/>
      </c>
      <c r="C864">
        <f>IF($X864="","",INDEX(합계표[부서],$X864)&amp;"")</f>
        <v/>
      </c>
      <c r="D864">
        <f>IF($X864="","",INDEX(합계표[직위(요약)],$X864)&amp;"")</f>
        <v/>
      </c>
      <c r="E864">
        <f>IF($X864="","",INDEX(합계표[직급 공존],$X864)&amp;"")</f>
        <v/>
      </c>
      <c r="F864" s="20">
        <f>IF($X864="","",SUMIFS(합계표[시스템 합계],합계표[사번키],INDEX(합계표[사번키],$X864)))</f>
        <v/>
      </c>
      <c r="G864" s="20">
        <f>IF($X864="","",SUMIFS(상세표[기록 시간외],상세표[사번키],INDEX(합계표[사번키],$X864),상세표[기록월],대상월키))</f>
        <v/>
      </c>
      <c r="H864">
        <f>IF($X864="","",IF(ABS($F864-$G864)&lt;0.01,"일치","불일치(차이 "&amp;TEXT($G864-$F864,"0.00")&amp;")"))</f>
        <v/>
      </c>
      <c r="I864" s="20">
        <f>IF($X864="","",SUMIFS(상세표[기록 시간외],상세표[사번키],INDEX(합계표[사번키],$X864),상세표[기록월],대상월키,상세표[반영월],"&lt;&gt;"&amp;대상월키))</f>
        <v/>
      </c>
      <c r="J864" s="20">
        <f>IF($X864="","",SUMIFS(상세표[기록 시간외],상세표[사번키],INDEX(합계표[사번키],$X864),상세표[기록월],"&lt;&gt;"&amp;대상월키,상세표[반영월],대상월키))</f>
        <v/>
      </c>
      <c r="K864" s="20">
        <f>IF($X864="","",SUMIFS(상세표[기록 시간외],상세표[사번키],INDEX(합계표[사번키],$X864),상세표[반영월],대상월키))</f>
        <v/>
      </c>
      <c r="L864">
        <f>IF($X864="","",IFERROR(INDEX(월별근무지표[적용 급여병원],MATCH(INDEX(합계표[사번키],$X864)&amp;"|"&amp;대상월키,월별근무지표[키],0))&amp;"",IF(COUNTIF(기관표[사번키],INDEX(합계표[사번키],$X864))+COUNTIF(월별근무지표[사번키],INDEX(합계표[사번키],$X864))&gt;0,IFERROR(INDEX(기관표[급여지급병원(기준월)],MATCH(INDEX(합계표[사번키],$X864)&amp;"|"&amp;대상월키,기관표[키],0))&amp;"","—"),"—")))</f>
        <v/>
      </c>
      <c r="M864">
        <f>IF($X864="","",IF(NOT(COUNTIF(기관표[사번키],INDEX(합계표[사번키],$X864))+COUNTIF(월별근무지표[사번키],INDEX(합계표[사번키],$X864))&gt;0),"기관명단에 없음(다른 병원으로 발송)",IF($L864="서울병원","해당",IF(N($R864)&gt;0,"해당(말일 근무)",IF($L864="—","대상월 기관명단 없음(추가 필요)","비해당")))))</f>
        <v/>
      </c>
      <c r="N864" s="20">
        <f>IF($X864="","",SUMIFS(상세표[06~07시],상세표[사번키],INDEX(합계표[사번키],$X864),상세표[반영월],대상월키,상세표[반영 기관],"서울병원"))</f>
        <v/>
      </c>
      <c r="O864" s="20">
        <f>IF($X864="","",SUMIFS(상세표[07~18시],상세표[사번키],INDEX(합계표[사번키],$X864),상세표[반영월],대상월키,상세표[반영 기관],"서울병원"))</f>
        <v/>
      </c>
      <c r="P864" s="20">
        <f>IF($X864="","",SUMIFS(상세표[18~22시],상세표[사번키],INDEX(합계표[사번키],$X864),상세표[반영월],대상월키,상세표[반영 기관],"서울병원"))</f>
        <v/>
      </c>
      <c r="Q864" s="20">
        <f>IF($X864="","",SUMIFS(상세표[22~06시],상세표[사번키],INDEX(합계표[사번키],$X864),상세표[반영월],대상월키,상세표[반영 기관],"서울병원"))</f>
        <v/>
      </c>
      <c r="R864" s="20">
        <f>IF($X864="","",SUM($N864:$Q864))</f>
        <v/>
      </c>
      <c r="S864">
        <f>IF($X864="","",COUNTIFS(상세표[사번키],INDEX(합계표[사번키],$X864),상세표[반영월],대상월키,상세표[야간당직],1,상세표[야간 구분],"평일"))</f>
        <v/>
      </c>
      <c r="T864">
        <f>IF($X864="","",COUNTIFS(상세표[사번키],INDEX(합계표[사번키],$X864),상세표[반영월],대상월키,상세표[야간당직],1,상세표[야간 구분],"휴일"))</f>
        <v/>
      </c>
      <c r="U864">
        <f>IF($X864="","",COUNTIFS(상세표[사번키],INDEX(합계표[사번키],$X864),상세표[반영월],대상월키,상세표[야간당직],1,상세표[야간 구분],"평일",상세표[반영 기관],"서울병원"))</f>
        <v/>
      </c>
      <c r="V864">
        <f>IF($X864="","",COUNTIFS(상세표[사번키],INDEX(합계표[사번키],$X864),상세표[반영월],대상월키,상세표[야간당직],1,상세표[야간 구분],"휴일",상세표[반영 기관],"서울병원"))</f>
        <v/>
      </c>
      <c r="W864">
        <f>IF($X864="","",IF(ISNUMBER(MATCH(INDEX(합계표[사번키],$X864)&amp;"|"&amp;대상월키,월별근무지표[키],0)),"직접 입력",IF($L864="—","—","기관명단")))</f>
        <v/>
      </c>
      <c r="X864" s="4">
        <f>IFERROR(MATCH(859,합계표[판정순번],0),"")</f>
        <v/>
      </c>
    </row>
    <row r="865">
      <c r="A865">
        <f>IF($X865="","",INDEX(합계표[사번],$X865)&amp;"")</f>
        <v/>
      </c>
      <c r="B865">
        <f>IF($X865="","",INDEX(합계표[성명],$X865)&amp;"")</f>
        <v/>
      </c>
      <c r="C865">
        <f>IF($X865="","",INDEX(합계표[부서],$X865)&amp;"")</f>
        <v/>
      </c>
      <c r="D865">
        <f>IF($X865="","",INDEX(합계표[직위(요약)],$X865)&amp;"")</f>
        <v/>
      </c>
      <c r="E865">
        <f>IF($X865="","",INDEX(합계표[직급 공존],$X865)&amp;"")</f>
        <v/>
      </c>
      <c r="F865" s="20">
        <f>IF($X865="","",SUMIFS(합계표[시스템 합계],합계표[사번키],INDEX(합계표[사번키],$X865)))</f>
        <v/>
      </c>
      <c r="G865" s="20">
        <f>IF($X865="","",SUMIFS(상세표[기록 시간외],상세표[사번키],INDEX(합계표[사번키],$X865),상세표[기록월],대상월키))</f>
        <v/>
      </c>
      <c r="H865">
        <f>IF($X865="","",IF(ABS($F865-$G865)&lt;0.01,"일치","불일치(차이 "&amp;TEXT($G865-$F865,"0.00")&amp;")"))</f>
        <v/>
      </c>
      <c r="I865" s="20">
        <f>IF($X865="","",SUMIFS(상세표[기록 시간외],상세표[사번키],INDEX(합계표[사번키],$X865),상세표[기록월],대상월키,상세표[반영월],"&lt;&gt;"&amp;대상월키))</f>
        <v/>
      </c>
      <c r="J865" s="20">
        <f>IF($X865="","",SUMIFS(상세표[기록 시간외],상세표[사번키],INDEX(합계표[사번키],$X865),상세표[기록월],"&lt;&gt;"&amp;대상월키,상세표[반영월],대상월키))</f>
        <v/>
      </c>
      <c r="K865" s="20">
        <f>IF($X865="","",SUMIFS(상세표[기록 시간외],상세표[사번키],INDEX(합계표[사번키],$X865),상세표[반영월],대상월키))</f>
        <v/>
      </c>
      <c r="L865">
        <f>IF($X865="","",IFERROR(INDEX(월별근무지표[적용 급여병원],MATCH(INDEX(합계표[사번키],$X865)&amp;"|"&amp;대상월키,월별근무지표[키],0))&amp;"",IF(COUNTIF(기관표[사번키],INDEX(합계표[사번키],$X865))+COUNTIF(월별근무지표[사번키],INDEX(합계표[사번키],$X865))&gt;0,IFERROR(INDEX(기관표[급여지급병원(기준월)],MATCH(INDEX(합계표[사번키],$X865)&amp;"|"&amp;대상월키,기관표[키],0))&amp;"","—"),"—")))</f>
        <v/>
      </c>
      <c r="M865">
        <f>IF($X865="","",IF(NOT(COUNTIF(기관표[사번키],INDEX(합계표[사번키],$X865))+COUNTIF(월별근무지표[사번키],INDEX(합계표[사번키],$X865))&gt;0),"기관명단에 없음(다른 병원으로 발송)",IF($L865="서울병원","해당",IF(N($R865)&gt;0,"해당(말일 근무)",IF($L865="—","대상월 기관명단 없음(추가 필요)","비해당")))))</f>
        <v/>
      </c>
      <c r="N865" s="20">
        <f>IF($X865="","",SUMIFS(상세표[06~07시],상세표[사번키],INDEX(합계표[사번키],$X865),상세표[반영월],대상월키,상세표[반영 기관],"서울병원"))</f>
        <v/>
      </c>
      <c r="O865" s="20">
        <f>IF($X865="","",SUMIFS(상세표[07~18시],상세표[사번키],INDEX(합계표[사번키],$X865),상세표[반영월],대상월키,상세표[반영 기관],"서울병원"))</f>
        <v/>
      </c>
      <c r="P865" s="20">
        <f>IF($X865="","",SUMIFS(상세표[18~22시],상세표[사번키],INDEX(합계표[사번키],$X865),상세표[반영월],대상월키,상세표[반영 기관],"서울병원"))</f>
        <v/>
      </c>
      <c r="Q865" s="20">
        <f>IF($X865="","",SUMIFS(상세표[22~06시],상세표[사번키],INDEX(합계표[사번키],$X865),상세표[반영월],대상월키,상세표[반영 기관],"서울병원"))</f>
        <v/>
      </c>
      <c r="R865" s="20">
        <f>IF($X865="","",SUM($N865:$Q865))</f>
        <v/>
      </c>
      <c r="S865">
        <f>IF($X865="","",COUNTIFS(상세표[사번키],INDEX(합계표[사번키],$X865),상세표[반영월],대상월키,상세표[야간당직],1,상세표[야간 구분],"평일"))</f>
        <v/>
      </c>
      <c r="T865">
        <f>IF($X865="","",COUNTIFS(상세표[사번키],INDEX(합계표[사번키],$X865),상세표[반영월],대상월키,상세표[야간당직],1,상세표[야간 구분],"휴일"))</f>
        <v/>
      </c>
      <c r="U865">
        <f>IF($X865="","",COUNTIFS(상세표[사번키],INDEX(합계표[사번키],$X865),상세표[반영월],대상월키,상세표[야간당직],1,상세표[야간 구분],"평일",상세표[반영 기관],"서울병원"))</f>
        <v/>
      </c>
      <c r="V865">
        <f>IF($X865="","",COUNTIFS(상세표[사번키],INDEX(합계표[사번키],$X865),상세표[반영월],대상월키,상세표[야간당직],1,상세표[야간 구분],"휴일",상세표[반영 기관],"서울병원"))</f>
        <v/>
      </c>
      <c r="W865">
        <f>IF($X865="","",IF(ISNUMBER(MATCH(INDEX(합계표[사번키],$X865)&amp;"|"&amp;대상월키,월별근무지표[키],0)),"직접 입력",IF($L865="—","—","기관명단")))</f>
        <v/>
      </c>
      <c r="X865" s="4">
        <f>IFERROR(MATCH(860,합계표[판정순번],0),"")</f>
        <v/>
      </c>
    </row>
    <row r="866">
      <c r="A866">
        <f>IF($X866="","",INDEX(합계표[사번],$X866)&amp;"")</f>
        <v/>
      </c>
      <c r="B866">
        <f>IF($X866="","",INDEX(합계표[성명],$X866)&amp;"")</f>
        <v/>
      </c>
      <c r="C866">
        <f>IF($X866="","",INDEX(합계표[부서],$X866)&amp;"")</f>
        <v/>
      </c>
      <c r="D866">
        <f>IF($X866="","",INDEX(합계표[직위(요약)],$X866)&amp;"")</f>
        <v/>
      </c>
      <c r="E866">
        <f>IF($X866="","",INDEX(합계표[직급 공존],$X866)&amp;"")</f>
        <v/>
      </c>
      <c r="F866" s="20">
        <f>IF($X866="","",SUMIFS(합계표[시스템 합계],합계표[사번키],INDEX(합계표[사번키],$X866)))</f>
        <v/>
      </c>
      <c r="G866" s="20">
        <f>IF($X866="","",SUMIFS(상세표[기록 시간외],상세표[사번키],INDEX(합계표[사번키],$X866),상세표[기록월],대상월키))</f>
        <v/>
      </c>
      <c r="H866">
        <f>IF($X866="","",IF(ABS($F866-$G866)&lt;0.01,"일치","불일치(차이 "&amp;TEXT($G866-$F866,"0.00")&amp;")"))</f>
        <v/>
      </c>
      <c r="I866" s="20">
        <f>IF($X866="","",SUMIFS(상세표[기록 시간외],상세표[사번키],INDEX(합계표[사번키],$X866),상세표[기록월],대상월키,상세표[반영월],"&lt;&gt;"&amp;대상월키))</f>
        <v/>
      </c>
      <c r="J866" s="20">
        <f>IF($X866="","",SUMIFS(상세표[기록 시간외],상세표[사번키],INDEX(합계표[사번키],$X866),상세표[기록월],"&lt;&gt;"&amp;대상월키,상세표[반영월],대상월키))</f>
        <v/>
      </c>
      <c r="K866" s="20">
        <f>IF($X866="","",SUMIFS(상세표[기록 시간외],상세표[사번키],INDEX(합계표[사번키],$X866),상세표[반영월],대상월키))</f>
        <v/>
      </c>
      <c r="L866">
        <f>IF($X866="","",IFERROR(INDEX(월별근무지표[적용 급여병원],MATCH(INDEX(합계표[사번키],$X866)&amp;"|"&amp;대상월키,월별근무지표[키],0))&amp;"",IF(COUNTIF(기관표[사번키],INDEX(합계표[사번키],$X866))+COUNTIF(월별근무지표[사번키],INDEX(합계표[사번키],$X866))&gt;0,IFERROR(INDEX(기관표[급여지급병원(기준월)],MATCH(INDEX(합계표[사번키],$X866)&amp;"|"&amp;대상월키,기관표[키],0))&amp;"","—"),"—")))</f>
        <v/>
      </c>
      <c r="M866">
        <f>IF($X866="","",IF(NOT(COUNTIF(기관표[사번키],INDEX(합계표[사번키],$X866))+COUNTIF(월별근무지표[사번키],INDEX(합계표[사번키],$X866))&gt;0),"기관명단에 없음(다른 병원으로 발송)",IF($L866="서울병원","해당",IF(N($R866)&gt;0,"해당(말일 근무)",IF($L866="—","대상월 기관명단 없음(추가 필요)","비해당")))))</f>
        <v/>
      </c>
      <c r="N866" s="20">
        <f>IF($X866="","",SUMIFS(상세표[06~07시],상세표[사번키],INDEX(합계표[사번키],$X866),상세표[반영월],대상월키,상세표[반영 기관],"서울병원"))</f>
        <v/>
      </c>
      <c r="O866" s="20">
        <f>IF($X866="","",SUMIFS(상세표[07~18시],상세표[사번키],INDEX(합계표[사번키],$X866),상세표[반영월],대상월키,상세표[반영 기관],"서울병원"))</f>
        <v/>
      </c>
      <c r="P866" s="20">
        <f>IF($X866="","",SUMIFS(상세표[18~22시],상세표[사번키],INDEX(합계표[사번키],$X866),상세표[반영월],대상월키,상세표[반영 기관],"서울병원"))</f>
        <v/>
      </c>
      <c r="Q866" s="20">
        <f>IF($X866="","",SUMIFS(상세표[22~06시],상세표[사번키],INDEX(합계표[사번키],$X866),상세표[반영월],대상월키,상세표[반영 기관],"서울병원"))</f>
        <v/>
      </c>
      <c r="R866" s="20">
        <f>IF($X866="","",SUM($N866:$Q866))</f>
        <v/>
      </c>
      <c r="S866">
        <f>IF($X866="","",COUNTIFS(상세표[사번키],INDEX(합계표[사번키],$X866),상세표[반영월],대상월키,상세표[야간당직],1,상세표[야간 구분],"평일"))</f>
        <v/>
      </c>
      <c r="T866">
        <f>IF($X866="","",COUNTIFS(상세표[사번키],INDEX(합계표[사번키],$X866),상세표[반영월],대상월키,상세표[야간당직],1,상세표[야간 구분],"휴일"))</f>
        <v/>
      </c>
      <c r="U866">
        <f>IF($X866="","",COUNTIFS(상세표[사번키],INDEX(합계표[사번키],$X866),상세표[반영월],대상월키,상세표[야간당직],1,상세표[야간 구분],"평일",상세표[반영 기관],"서울병원"))</f>
        <v/>
      </c>
      <c r="V866">
        <f>IF($X866="","",COUNTIFS(상세표[사번키],INDEX(합계표[사번키],$X866),상세표[반영월],대상월키,상세표[야간당직],1,상세표[야간 구분],"휴일",상세표[반영 기관],"서울병원"))</f>
        <v/>
      </c>
      <c r="W866">
        <f>IF($X866="","",IF(ISNUMBER(MATCH(INDEX(합계표[사번키],$X866)&amp;"|"&amp;대상월키,월별근무지표[키],0)),"직접 입력",IF($L866="—","—","기관명단")))</f>
        <v/>
      </c>
      <c r="X866" s="4">
        <f>IFERROR(MATCH(861,합계표[판정순번],0),"")</f>
        <v/>
      </c>
    </row>
    <row r="867">
      <c r="A867">
        <f>IF($X867="","",INDEX(합계표[사번],$X867)&amp;"")</f>
        <v/>
      </c>
      <c r="B867">
        <f>IF($X867="","",INDEX(합계표[성명],$X867)&amp;"")</f>
        <v/>
      </c>
      <c r="C867">
        <f>IF($X867="","",INDEX(합계표[부서],$X867)&amp;"")</f>
        <v/>
      </c>
      <c r="D867">
        <f>IF($X867="","",INDEX(합계표[직위(요약)],$X867)&amp;"")</f>
        <v/>
      </c>
      <c r="E867">
        <f>IF($X867="","",INDEX(합계표[직급 공존],$X867)&amp;"")</f>
        <v/>
      </c>
      <c r="F867" s="20">
        <f>IF($X867="","",SUMIFS(합계표[시스템 합계],합계표[사번키],INDEX(합계표[사번키],$X867)))</f>
        <v/>
      </c>
      <c r="G867" s="20">
        <f>IF($X867="","",SUMIFS(상세표[기록 시간외],상세표[사번키],INDEX(합계표[사번키],$X867),상세표[기록월],대상월키))</f>
        <v/>
      </c>
      <c r="H867">
        <f>IF($X867="","",IF(ABS($F867-$G867)&lt;0.01,"일치","불일치(차이 "&amp;TEXT($G867-$F867,"0.00")&amp;")"))</f>
        <v/>
      </c>
      <c r="I867" s="20">
        <f>IF($X867="","",SUMIFS(상세표[기록 시간외],상세표[사번키],INDEX(합계표[사번키],$X867),상세표[기록월],대상월키,상세표[반영월],"&lt;&gt;"&amp;대상월키))</f>
        <v/>
      </c>
      <c r="J867" s="20">
        <f>IF($X867="","",SUMIFS(상세표[기록 시간외],상세표[사번키],INDEX(합계표[사번키],$X867),상세표[기록월],"&lt;&gt;"&amp;대상월키,상세표[반영월],대상월키))</f>
        <v/>
      </c>
      <c r="K867" s="20">
        <f>IF($X867="","",SUMIFS(상세표[기록 시간외],상세표[사번키],INDEX(합계표[사번키],$X867),상세표[반영월],대상월키))</f>
        <v/>
      </c>
      <c r="L867">
        <f>IF($X867="","",IFERROR(INDEX(월별근무지표[적용 급여병원],MATCH(INDEX(합계표[사번키],$X867)&amp;"|"&amp;대상월키,월별근무지표[키],0))&amp;"",IF(COUNTIF(기관표[사번키],INDEX(합계표[사번키],$X867))+COUNTIF(월별근무지표[사번키],INDEX(합계표[사번키],$X867))&gt;0,IFERROR(INDEX(기관표[급여지급병원(기준월)],MATCH(INDEX(합계표[사번키],$X867)&amp;"|"&amp;대상월키,기관표[키],0))&amp;"","—"),"—")))</f>
        <v/>
      </c>
      <c r="M867">
        <f>IF($X867="","",IF(NOT(COUNTIF(기관표[사번키],INDEX(합계표[사번키],$X867))+COUNTIF(월별근무지표[사번키],INDEX(합계표[사번키],$X867))&gt;0),"기관명단에 없음(다른 병원으로 발송)",IF($L867="서울병원","해당",IF(N($R867)&gt;0,"해당(말일 근무)",IF($L867="—","대상월 기관명단 없음(추가 필요)","비해당")))))</f>
        <v/>
      </c>
      <c r="N867" s="20">
        <f>IF($X867="","",SUMIFS(상세표[06~07시],상세표[사번키],INDEX(합계표[사번키],$X867),상세표[반영월],대상월키,상세표[반영 기관],"서울병원"))</f>
        <v/>
      </c>
      <c r="O867" s="20">
        <f>IF($X867="","",SUMIFS(상세표[07~18시],상세표[사번키],INDEX(합계표[사번키],$X867),상세표[반영월],대상월키,상세표[반영 기관],"서울병원"))</f>
        <v/>
      </c>
      <c r="P867" s="20">
        <f>IF($X867="","",SUMIFS(상세표[18~22시],상세표[사번키],INDEX(합계표[사번키],$X867),상세표[반영월],대상월키,상세표[반영 기관],"서울병원"))</f>
        <v/>
      </c>
      <c r="Q867" s="20">
        <f>IF($X867="","",SUMIFS(상세표[22~06시],상세표[사번키],INDEX(합계표[사번키],$X867),상세표[반영월],대상월키,상세표[반영 기관],"서울병원"))</f>
        <v/>
      </c>
      <c r="R867" s="20">
        <f>IF($X867="","",SUM($N867:$Q867))</f>
        <v/>
      </c>
      <c r="S867">
        <f>IF($X867="","",COUNTIFS(상세표[사번키],INDEX(합계표[사번키],$X867),상세표[반영월],대상월키,상세표[야간당직],1,상세표[야간 구분],"평일"))</f>
        <v/>
      </c>
      <c r="T867">
        <f>IF($X867="","",COUNTIFS(상세표[사번키],INDEX(합계표[사번키],$X867),상세표[반영월],대상월키,상세표[야간당직],1,상세표[야간 구분],"휴일"))</f>
        <v/>
      </c>
      <c r="U867">
        <f>IF($X867="","",COUNTIFS(상세표[사번키],INDEX(합계표[사번키],$X867),상세표[반영월],대상월키,상세표[야간당직],1,상세표[야간 구분],"평일",상세표[반영 기관],"서울병원"))</f>
        <v/>
      </c>
      <c r="V867">
        <f>IF($X867="","",COUNTIFS(상세표[사번키],INDEX(합계표[사번키],$X867),상세표[반영월],대상월키,상세표[야간당직],1,상세표[야간 구분],"휴일",상세표[반영 기관],"서울병원"))</f>
        <v/>
      </c>
      <c r="W867">
        <f>IF($X867="","",IF(ISNUMBER(MATCH(INDEX(합계표[사번키],$X867)&amp;"|"&amp;대상월키,월별근무지표[키],0)),"직접 입력",IF($L867="—","—","기관명단")))</f>
        <v/>
      </c>
      <c r="X867" s="4">
        <f>IFERROR(MATCH(862,합계표[판정순번],0),"")</f>
        <v/>
      </c>
    </row>
    <row r="868">
      <c r="A868">
        <f>IF($X868="","",INDEX(합계표[사번],$X868)&amp;"")</f>
        <v/>
      </c>
      <c r="B868">
        <f>IF($X868="","",INDEX(합계표[성명],$X868)&amp;"")</f>
        <v/>
      </c>
      <c r="C868">
        <f>IF($X868="","",INDEX(합계표[부서],$X868)&amp;"")</f>
        <v/>
      </c>
      <c r="D868">
        <f>IF($X868="","",INDEX(합계표[직위(요약)],$X868)&amp;"")</f>
        <v/>
      </c>
      <c r="E868">
        <f>IF($X868="","",INDEX(합계표[직급 공존],$X868)&amp;"")</f>
        <v/>
      </c>
      <c r="F868" s="20">
        <f>IF($X868="","",SUMIFS(합계표[시스템 합계],합계표[사번키],INDEX(합계표[사번키],$X868)))</f>
        <v/>
      </c>
      <c r="G868" s="20">
        <f>IF($X868="","",SUMIFS(상세표[기록 시간외],상세표[사번키],INDEX(합계표[사번키],$X868),상세표[기록월],대상월키))</f>
        <v/>
      </c>
      <c r="H868">
        <f>IF($X868="","",IF(ABS($F868-$G868)&lt;0.01,"일치","불일치(차이 "&amp;TEXT($G868-$F868,"0.00")&amp;")"))</f>
        <v/>
      </c>
      <c r="I868" s="20">
        <f>IF($X868="","",SUMIFS(상세표[기록 시간외],상세표[사번키],INDEX(합계표[사번키],$X868),상세표[기록월],대상월키,상세표[반영월],"&lt;&gt;"&amp;대상월키))</f>
        <v/>
      </c>
      <c r="J868" s="20">
        <f>IF($X868="","",SUMIFS(상세표[기록 시간외],상세표[사번키],INDEX(합계표[사번키],$X868),상세표[기록월],"&lt;&gt;"&amp;대상월키,상세표[반영월],대상월키))</f>
        <v/>
      </c>
      <c r="K868" s="20">
        <f>IF($X868="","",SUMIFS(상세표[기록 시간외],상세표[사번키],INDEX(합계표[사번키],$X868),상세표[반영월],대상월키))</f>
        <v/>
      </c>
      <c r="L868">
        <f>IF($X868="","",IFERROR(INDEX(월별근무지표[적용 급여병원],MATCH(INDEX(합계표[사번키],$X868)&amp;"|"&amp;대상월키,월별근무지표[키],0))&amp;"",IF(COUNTIF(기관표[사번키],INDEX(합계표[사번키],$X868))+COUNTIF(월별근무지표[사번키],INDEX(합계표[사번키],$X868))&gt;0,IFERROR(INDEX(기관표[급여지급병원(기준월)],MATCH(INDEX(합계표[사번키],$X868)&amp;"|"&amp;대상월키,기관표[키],0))&amp;"","—"),"—")))</f>
        <v/>
      </c>
      <c r="M868">
        <f>IF($X868="","",IF(NOT(COUNTIF(기관표[사번키],INDEX(합계표[사번키],$X868))+COUNTIF(월별근무지표[사번키],INDEX(합계표[사번키],$X868))&gt;0),"기관명단에 없음(다른 병원으로 발송)",IF($L868="서울병원","해당",IF(N($R868)&gt;0,"해당(말일 근무)",IF($L868="—","대상월 기관명단 없음(추가 필요)","비해당")))))</f>
        <v/>
      </c>
      <c r="N868" s="20">
        <f>IF($X868="","",SUMIFS(상세표[06~07시],상세표[사번키],INDEX(합계표[사번키],$X868),상세표[반영월],대상월키,상세표[반영 기관],"서울병원"))</f>
        <v/>
      </c>
      <c r="O868" s="20">
        <f>IF($X868="","",SUMIFS(상세표[07~18시],상세표[사번키],INDEX(합계표[사번키],$X868),상세표[반영월],대상월키,상세표[반영 기관],"서울병원"))</f>
        <v/>
      </c>
      <c r="P868" s="20">
        <f>IF($X868="","",SUMIFS(상세표[18~22시],상세표[사번키],INDEX(합계표[사번키],$X868),상세표[반영월],대상월키,상세표[반영 기관],"서울병원"))</f>
        <v/>
      </c>
      <c r="Q868" s="20">
        <f>IF($X868="","",SUMIFS(상세표[22~06시],상세표[사번키],INDEX(합계표[사번키],$X868),상세표[반영월],대상월키,상세표[반영 기관],"서울병원"))</f>
        <v/>
      </c>
      <c r="R868" s="20">
        <f>IF($X868="","",SUM($N868:$Q868))</f>
        <v/>
      </c>
      <c r="S868">
        <f>IF($X868="","",COUNTIFS(상세표[사번키],INDEX(합계표[사번키],$X868),상세표[반영월],대상월키,상세표[야간당직],1,상세표[야간 구분],"평일"))</f>
        <v/>
      </c>
      <c r="T868">
        <f>IF($X868="","",COUNTIFS(상세표[사번키],INDEX(합계표[사번키],$X868),상세표[반영월],대상월키,상세표[야간당직],1,상세표[야간 구분],"휴일"))</f>
        <v/>
      </c>
      <c r="U868">
        <f>IF($X868="","",COUNTIFS(상세표[사번키],INDEX(합계표[사번키],$X868),상세표[반영월],대상월키,상세표[야간당직],1,상세표[야간 구분],"평일",상세표[반영 기관],"서울병원"))</f>
        <v/>
      </c>
      <c r="V868">
        <f>IF($X868="","",COUNTIFS(상세표[사번키],INDEX(합계표[사번키],$X868),상세표[반영월],대상월키,상세표[야간당직],1,상세표[야간 구분],"휴일",상세표[반영 기관],"서울병원"))</f>
        <v/>
      </c>
      <c r="W868">
        <f>IF($X868="","",IF(ISNUMBER(MATCH(INDEX(합계표[사번키],$X868)&amp;"|"&amp;대상월키,월별근무지표[키],0)),"직접 입력",IF($L868="—","—","기관명단")))</f>
        <v/>
      </c>
      <c r="X868" s="4">
        <f>IFERROR(MATCH(863,합계표[판정순번],0),"")</f>
        <v/>
      </c>
    </row>
    <row r="869">
      <c r="A869">
        <f>IF($X869="","",INDEX(합계표[사번],$X869)&amp;"")</f>
        <v/>
      </c>
      <c r="B869">
        <f>IF($X869="","",INDEX(합계표[성명],$X869)&amp;"")</f>
        <v/>
      </c>
      <c r="C869">
        <f>IF($X869="","",INDEX(합계표[부서],$X869)&amp;"")</f>
        <v/>
      </c>
      <c r="D869">
        <f>IF($X869="","",INDEX(합계표[직위(요약)],$X869)&amp;"")</f>
        <v/>
      </c>
      <c r="E869">
        <f>IF($X869="","",INDEX(합계표[직급 공존],$X869)&amp;"")</f>
        <v/>
      </c>
      <c r="F869" s="20">
        <f>IF($X869="","",SUMIFS(합계표[시스템 합계],합계표[사번키],INDEX(합계표[사번키],$X869)))</f>
        <v/>
      </c>
      <c r="G869" s="20">
        <f>IF($X869="","",SUMIFS(상세표[기록 시간외],상세표[사번키],INDEX(합계표[사번키],$X869),상세표[기록월],대상월키))</f>
        <v/>
      </c>
      <c r="H869">
        <f>IF($X869="","",IF(ABS($F869-$G869)&lt;0.01,"일치","불일치(차이 "&amp;TEXT($G869-$F869,"0.00")&amp;")"))</f>
        <v/>
      </c>
      <c r="I869" s="20">
        <f>IF($X869="","",SUMIFS(상세표[기록 시간외],상세표[사번키],INDEX(합계표[사번키],$X869),상세표[기록월],대상월키,상세표[반영월],"&lt;&gt;"&amp;대상월키))</f>
        <v/>
      </c>
      <c r="J869" s="20">
        <f>IF($X869="","",SUMIFS(상세표[기록 시간외],상세표[사번키],INDEX(합계표[사번키],$X869),상세표[기록월],"&lt;&gt;"&amp;대상월키,상세표[반영월],대상월키))</f>
        <v/>
      </c>
      <c r="K869" s="20">
        <f>IF($X869="","",SUMIFS(상세표[기록 시간외],상세표[사번키],INDEX(합계표[사번키],$X869),상세표[반영월],대상월키))</f>
        <v/>
      </c>
      <c r="L869">
        <f>IF($X869="","",IFERROR(INDEX(월별근무지표[적용 급여병원],MATCH(INDEX(합계표[사번키],$X869)&amp;"|"&amp;대상월키,월별근무지표[키],0))&amp;"",IF(COUNTIF(기관표[사번키],INDEX(합계표[사번키],$X869))+COUNTIF(월별근무지표[사번키],INDEX(합계표[사번키],$X869))&gt;0,IFERROR(INDEX(기관표[급여지급병원(기준월)],MATCH(INDEX(합계표[사번키],$X869)&amp;"|"&amp;대상월키,기관표[키],0))&amp;"","—"),"—")))</f>
        <v/>
      </c>
      <c r="M869">
        <f>IF($X869="","",IF(NOT(COUNTIF(기관표[사번키],INDEX(합계표[사번키],$X869))+COUNTIF(월별근무지표[사번키],INDEX(합계표[사번키],$X869))&gt;0),"기관명단에 없음(다른 병원으로 발송)",IF($L869="서울병원","해당",IF(N($R869)&gt;0,"해당(말일 근무)",IF($L869="—","대상월 기관명단 없음(추가 필요)","비해당")))))</f>
        <v/>
      </c>
      <c r="N869" s="20">
        <f>IF($X869="","",SUMIFS(상세표[06~07시],상세표[사번키],INDEX(합계표[사번키],$X869),상세표[반영월],대상월키,상세표[반영 기관],"서울병원"))</f>
        <v/>
      </c>
      <c r="O869" s="20">
        <f>IF($X869="","",SUMIFS(상세표[07~18시],상세표[사번키],INDEX(합계표[사번키],$X869),상세표[반영월],대상월키,상세표[반영 기관],"서울병원"))</f>
        <v/>
      </c>
      <c r="P869" s="20">
        <f>IF($X869="","",SUMIFS(상세표[18~22시],상세표[사번키],INDEX(합계표[사번키],$X869),상세표[반영월],대상월키,상세표[반영 기관],"서울병원"))</f>
        <v/>
      </c>
      <c r="Q869" s="20">
        <f>IF($X869="","",SUMIFS(상세표[22~06시],상세표[사번키],INDEX(합계표[사번키],$X869),상세표[반영월],대상월키,상세표[반영 기관],"서울병원"))</f>
        <v/>
      </c>
      <c r="R869" s="20">
        <f>IF($X869="","",SUM($N869:$Q869))</f>
        <v/>
      </c>
      <c r="S869">
        <f>IF($X869="","",COUNTIFS(상세표[사번키],INDEX(합계표[사번키],$X869),상세표[반영월],대상월키,상세표[야간당직],1,상세표[야간 구분],"평일"))</f>
        <v/>
      </c>
      <c r="T869">
        <f>IF($X869="","",COUNTIFS(상세표[사번키],INDEX(합계표[사번키],$X869),상세표[반영월],대상월키,상세표[야간당직],1,상세표[야간 구분],"휴일"))</f>
        <v/>
      </c>
      <c r="U869">
        <f>IF($X869="","",COUNTIFS(상세표[사번키],INDEX(합계표[사번키],$X869),상세표[반영월],대상월키,상세표[야간당직],1,상세표[야간 구분],"평일",상세표[반영 기관],"서울병원"))</f>
        <v/>
      </c>
      <c r="V869">
        <f>IF($X869="","",COUNTIFS(상세표[사번키],INDEX(합계표[사번키],$X869),상세표[반영월],대상월키,상세표[야간당직],1,상세표[야간 구분],"휴일",상세표[반영 기관],"서울병원"))</f>
        <v/>
      </c>
      <c r="W869">
        <f>IF($X869="","",IF(ISNUMBER(MATCH(INDEX(합계표[사번키],$X869)&amp;"|"&amp;대상월키,월별근무지표[키],0)),"직접 입력",IF($L869="—","—","기관명단")))</f>
        <v/>
      </c>
      <c r="X869" s="4">
        <f>IFERROR(MATCH(864,합계표[판정순번],0),"")</f>
        <v/>
      </c>
    </row>
    <row r="870">
      <c r="A870">
        <f>IF($X870="","",INDEX(합계표[사번],$X870)&amp;"")</f>
        <v/>
      </c>
      <c r="B870">
        <f>IF($X870="","",INDEX(합계표[성명],$X870)&amp;"")</f>
        <v/>
      </c>
      <c r="C870">
        <f>IF($X870="","",INDEX(합계표[부서],$X870)&amp;"")</f>
        <v/>
      </c>
      <c r="D870">
        <f>IF($X870="","",INDEX(합계표[직위(요약)],$X870)&amp;"")</f>
        <v/>
      </c>
      <c r="E870">
        <f>IF($X870="","",INDEX(합계표[직급 공존],$X870)&amp;"")</f>
        <v/>
      </c>
      <c r="F870" s="20">
        <f>IF($X870="","",SUMIFS(합계표[시스템 합계],합계표[사번키],INDEX(합계표[사번키],$X870)))</f>
        <v/>
      </c>
      <c r="G870" s="20">
        <f>IF($X870="","",SUMIFS(상세표[기록 시간외],상세표[사번키],INDEX(합계표[사번키],$X870),상세표[기록월],대상월키))</f>
        <v/>
      </c>
      <c r="H870">
        <f>IF($X870="","",IF(ABS($F870-$G870)&lt;0.01,"일치","불일치(차이 "&amp;TEXT($G870-$F870,"0.00")&amp;")"))</f>
        <v/>
      </c>
      <c r="I870" s="20">
        <f>IF($X870="","",SUMIFS(상세표[기록 시간외],상세표[사번키],INDEX(합계표[사번키],$X870),상세표[기록월],대상월키,상세표[반영월],"&lt;&gt;"&amp;대상월키))</f>
        <v/>
      </c>
      <c r="J870" s="20">
        <f>IF($X870="","",SUMIFS(상세표[기록 시간외],상세표[사번키],INDEX(합계표[사번키],$X870),상세표[기록월],"&lt;&gt;"&amp;대상월키,상세표[반영월],대상월키))</f>
        <v/>
      </c>
      <c r="K870" s="20">
        <f>IF($X870="","",SUMIFS(상세표[기록 시간외],상세표[사번키],INDEX(합계표[사번키],$X870),상세표[반영월],대상월키))</f>
        <v/>
      </c>
      <c r="L870">
        <f>IF($X870="","",IFERROR(INDEX(월별근무지표[적용 급여병원],MATCH(INDEX(합계표[사번키],$X870)&amp;"|"&amp;대상월키,월별근무지표[키],0))&amp;"",IF(COUNTIF(기관표[사번키],INDEX(합계표[사번키],$X870))+COUNTIF(월별근무지표[사번키],INDEX(합계표[사번키],$X870))&gt;0,IFERROR(INDEX(기관표[급여지급병원(기준월)],MATCH(INDEX(합계표[사번키],$X870)&amp;"|"&amp;대상월키,기관표[키],0))&amp;"","—"),"—")))</f>
        <v/>
      </c>
      <c r="M870">
        <f>IF($X870="","",IF(NOT(COUNTIF(기관표[사번키],INDEX(합계표[사번키],$X870))+COUNTIF(월별근무지표[사번키],INDEX(합계표[사번키],$X870))&gt;0),"기관명단에 없음(다른 병원으로 발송)",IF($L870="서울병원","해당",IF(N($R870)&gt;0,"해당(말일 근무)",IF($L870="—","대상월 기관명단 없음(추가 필요)","비해당")))))</f>
        <v/>
      </c>
      <c r="N870" s="20">
        <f>IF($X870="","",SUMIFS(상세표[06~07시],상세표[사번키],INDEX(합계표[사번키],$X870),상세표[반영월],대상월키,상세표[반영 기관],"서울병원"))</f>
        <v/>
      </c>
      <c r="O870" s="20">
        <f>IF($X870="","",SUMIFS(상세표[07~18시],상세표[사번키],INDEX(합계표[사번키],$X870),상세표[반영월],대상월키,상세표[반영 기관],"서울병원"))</f>
        <v/>
      </c>
      <c r="P870" s="20">
        <f>IF($X870="","",SUMIFS(상세표[18~22시],상세표[사번키],INDEX(합계표[사번키],$X870),상세표[반영월],대상월키,상세표[반영 기관],"서울병원"))</f>
        <v/>
      </c>
      <c r="Q870" s="20">
        <f>IF($X870="","",SUMIFS(상세표[22~06시],상세표[사번키],INDEX(합계표[사번키],$X870),상세표[반영월],대상월키,상세표[반영 기관],"서울병원"))</f>
        <v/>
      </c>
      <c r="R870" s="20">
        <f>IF($X870="","",SUM($N870:$Q870))</f>
        <v/>
      </c>
      <c r="S870">
        <f>IF($X870="","",COUNTIFS(상세표[사번키],INDEX(합계표[사번키],$X870),상세표[반영월],대상월키,상세표[야간당직],1,상세표[야간 구분],"평일"))</f>
        <v/>
      </c>
      <c r="T870">
        <f>IF($X870="","",COUNTIFS(상세표[사번키],INDEX(합계표[사번키],$X870),상세표[반영월],대상월키,상세표[야간당직],1,상세표[야간 구분],"휴일"))</f>
        <v/>
      </c>
      <c r="U870">
        <f>IF($X870="","",COUNTIFS(상세표[사번키],INDEX(합계표[사번키],$X870),상세표[반영월],대상월키,상세표[야간당직],1,상세표[야간 구분],"평일",상세표[반영 기관],"서울병원"))</f>
        <v/>
      </c>
      <c r="V870">
        <f>IF($X870="","",COUNTIFS(상세표[사번키],INDEX(합계표[사번키],$X870),상세표[반영월],대상월키,상세표[야간당직],1,상세표[야간 구분],"휴일",상세표[반영 기관],"서울병원"))</f>
        <v/>
      </c>
      <c r="W870">
        <f>IF($X870="","",IF(ISNUMBER(MATCH(INDEX(합계표[사번키],$X870)&amp;"|"&amp;대상월키,월별근무지표[키],0)),"직접 입력",IF($L870="—","—","기관명단")))</f>
        <v/>
      </c>
      <c r="X870" s="4">
        <f>IFERROR(MATCH(865,합계표[판정순번],0),"")</f>
        <v/>
      </c>
    </row>
    <row r="871">
      <c r="A871">
        <f>IF($X871="","",INDEX(합계표[사번],$X871)&amp;"")</f>
        <v/>
      </c>
      <c r="B871">
        <f>IF($X871="","",INDEX(합계표[성명],$X871)&amp;"")</f>
        <v/>
      </c>
      <c r="C871">
        <f>IF($X871="","",INDEX(합계표[부서],$X871)&amp;"")</f>
        <v/>
      </c>
      <c r="D871">
        <f>IF($X871="","",INDEX(합계표[직위(요약)],$X871)&amp;"")</f>
        <v/>
      </c>
      <c r="E871">
        <f>IF($X871="","",INDEX(합계표[직급 공존],$X871)&amp;"")</f>
        <v/>
      </c>
      <c r="F871" s="20">
        <f>IF($X871="","",SUMIFS(합계표[시스템 합계],합계표[사번키],INDEX(합계표[사번키],$X871)))</f>
        <v/>
      </c>
      <c r="G871" s="20">
        <f>IF($X871="","",SUMIFS(상세표[기록 시간외],상세표[사번키],INDEX(합계표[사번키],$X871),상세표[기록월],대상월키))</f>
        <v/>
      </c>
      <c r="H871">
        <f>IF($X871="","",IF(ABS($F871-$G871)&lt;0.01,"일치","불일치(차이 "&amp;TEXT($G871-$F871,"0.00")&amp;")"))</f>
        <v/>
      </c>
      <c r="I871" s="20">
        <f>IF($X871="","",SUMIFS(상세표[기록 시간외],상세표[사번키],INDEX(합계표[사번키],$X871),상세표[기록월],대상월키,상세표[반영월],"&lt;&gt;"&amp;대상월키))</f>
        <v/>
      </c>
      <c r="J871" s="20">
        <f>IF($X871="","",SUMIFS(상세표[기록 시간외],상세표[사번키],INDEX(합계표[사번키],$X871),상세표[기록월],"&lt;&gt;"&amp;대상월키,상세표[반영월],대상월키))</f>
        <v/>
      </c>
      <c r="K871" s="20">
        <f>IF($X871="","",SUMIFS(상세표[기록 시간외],상세표[사번키],INDEX(합계표[사번키],$X871),상세표[반영월],대상월키))</f>
        <v/>
      </c>
      <c r="L871">
        <f>IF($X871="","",IFERROR(INDEX(월별근무지표[적용 급여병원],MATCH(INDEX(합계표[사번키],$X871)&amp;"|"&amp;대상월키,월별근무지표[키],0))&amp;"",IF(COUNTIF(기관표[사번키],INDEX(합계표[사번키],$X871))+COUNTIF(월별근무지표[사번키],INDEX(합계표[사번키],$X871))&gt;0,IFERROR(INDEX(기관표[급여지급병원(기준월)],MATCH(INDEX(합계표[사번키],$X871)&amp;"|"&amp;대상월키,기관표[키],0))&amp;"","—"),"—")))</f>
        <v/>
      </c>
      <c r="M871">
        <f>IF($X871="","",IF(NOT(COUNTIF(기관표[사번키],INDEX(합계표[사번키],$X871))+COUNTIF(월별근무지표[사번키],INDEX(합계표[사번키],$X871))&gt;0),"기관명단에 없음(다른 병원으로 발송)",IF($L871="서울병원","해당",IF(N($R871)&gt;0,"해당(말일 근무)",IF($L871="—","대상월 기관명단 없음(추가 필요)","비해당")))))</f>
        <v/>
      </c>
      <c r="N871" s="20">
        <f>IF($X871="","",SUMIFS(상세표[06~07시],상세표[사번키],INDEX(합계표[사번키],$X871),상세표[반영월],대상월키,상세표[반영 기관],"서울병원"))</f>
        <v/>
      </c>
      <c r="O871" s="20">
        <f>IF($X871="","",SUMIFS(상세표[07~18시],상세표[사번키],INDEX(합계표[사번키],$X871),상세표[반영월],대상월키,상세표[반영 기관],"서울병원"))</f>
        <v/>
      </c>
      <c r="P871" s="20">
        <f>IF($X871="","",SUMIFS(상세표[18~22시],상세표[사번키],INDEX(합계표[사번키],$X871),상세표[반영월],대상월키,상세표[반영 기관],"서울병원"))</f>
        <v/>
      </c>
      <c r="Q871" s="20">
        <f>IF($X871="","",SUMIFS(상세표[22~06시],상세표[사번키],INDEX(합계표[사번키],$X871),상세표[반영월],대상월키,상세표[반영 기관],"서울병원"))</f>
        <v/>
      </c>
      <c r="R871" s="20">
        <f>IF($X871="","",SUM($N871:$Q871))</f>
        <v/>
      </c>
      <c r="S871">
        <f>IF($X871="","",COUNTIFS(상세표[사번키],INDEX(합계표[사번키],$X871),상세표[반영월],대상월키,상세표[야간당직],1,상세표[야간 구분],"평일"))</f>
        <v/>
      </c>
      <c r="T871">
        <f>IF($X871="","",COUNTIFS(상세표[사번키],INDEX(합계표[사번키],$X871),상세표[반영월],대상월키,상세표[야간당직],1,상세표[야간 구분],"휴일"))</f>
        <v/>
      </c>
      <c r="U871">
        <f>IF($X871="","",COUNTIFS(상세표[사번키],INDEX(합계표[사번키],$X871),상세표[반영월],대상월키,상세표[야간당직],1,상세표[야간 구분],"평일",상세표[반영 기관],"서울병원"))</f>
        <v/>
      </c>
      <c r="V871">
        <f>IF($X871="","",COUNTIFS(상세표[사번키],INDEX(합계표[사번키],$X871),상세표[반영월],대상월키,상세표[야간당직],1,상세표[야간 구분],"휴일",상세표[반영 기관],"서울병원"))</f>
        <v/>
      </c>
      <c r="W871">
        <f>IF($X871="","",IF(ISNUMBER(MATCH(INDEX(합계표[사번키],$X871)&amp;"|"&amp;대상월키,월별근무지표[키],0)),"직접 입력",IF($L871="—","—","기관명단")))</f>
        <v/>
      </c>
      <c r="X871" s="4">
        <f>IFERROR(MATCH(866,합계표[판정순번],0),"")</f>
        <v/>
      </c>
    </row>
    <row r="872">
      <c r="A872">
        <f>IF($X872="","",INDEX(합계표[사번],$X872)&amp;"")</f>
        <v/>
      </c>
      <c r="B872">
        <f>IF($X872="","",INDEX(합계표[성명],$X872)&amp;"")</f>
        <v/>
      </c>
      <c r="C872">
        <f>IF($X872="","",INDEX(합계표[부서],$X872)&amp;"")</f>
        <v/>
      </c>
      <c r="D872">
        <f>IF($X872="","",INDEX(합계표[직위(요약)],$X872)&amp;"")</f>
        <v/>
      </c>
      <c r="E872">
        <f>IF($X872="","",INDEX(합계표[직급 공존],$X872)&amp;"")</f>
        <v/>
      </c>
      <c r="F872" s="20">
        <f>IF($X872="","",SUMIFS(합계표[시스템 합계],합계표[사번키],INDEX(합계표[사번키],$X872)))</f>
        <v/>
      </c>
      <c r="G872" s="20">
        <f>IF($X872="","",SUMIFS(상세표[기록 시간외],상세표[사번키],INDEX(합계표[사번키],$X872),상세표[기록월],대상월키))</f>
        <v/>
      </c>
      <c r="H872">
        <f>IF($X872="","",IF(ABS($F872-$G872)&lt;0.01,"일치","불일치(차이 "&amp;TEXT($G872-$F872,"0.00")&amp;")"))</f>
        <v/>
      </c>
      <c r="I872" s="20">
        <f>IF($X872="","",SUMIFS(상세표[기록 시간외],상세표[사번키],INDEX(합계표[사번키],$X872),상세표[기록월],대상월키,상세표[반영월],"&lt;&gt;"&amp;대상월키))</f>
        <v/>
      </c>
      <c r="J872" s="20">
        <f>IF($X872="","",SUMIFS(상세표[기록 시간외],상세표[사번키],INDEX(합계표[사번키],$X872),상세표[기록월],"&lt;&gt;"&amp;대상월키,상세표[반영월],대상월키))</f>
        <v/>
      </c>
      <c r="K872" s="20">
        <f>IF($X872="","",SUMIFS(상세표[기록 시간외],상세표[사번키],INDEX(합계표[사번키],$X872),상세표[반영월],대상월키))</f>
        <v/>
      </c>
      <c r="L872">
        <f>IF($X872="","",IFERROR(INDEX(월별근무지표[적용 급여병원],MATCH(INDEX(합계표[사번키],$X872)&amp;"|"&amp;대상월키,월별근무지표[키],0))&amp;"",IF(COUNTIF(기관표[사번키],INDEX(합계표[사번키],$X872))+COUNTIF(월별근무지표[사번키],INDEX(합계표[사번키],$X872))&gt;0,IFERROR(INDEX(기관표[급여지급병원(기준월)],MATCH(INDEX(합계표[사번키],$X872)&amp;"|"&amp;대상월키,기관표[키],0))&amp;"","—"),"—")))</f>
        <v/>
      </c>
      <c r="M872">
        <f>IF($X872="","",IF(NOT(COUNTIF(기관표[사번키],INDEX(합계표[사번키],$X872))+COUNTIF(월별근무지표[사번키],INDEX(합계표[사번키],$X872))&gt;0),"기관명단에 없음(다른 병원으로 발송)",IF($L872="서울병원","해당",IF(N($R872)&gt;0,"해당(말일 근무)",IF($L872="—","대상월 기관명단 없음(추가 필요)","비해당")))))</f>
        <v/>
      </c>
      <c r="N872" s="20">
        <f>IF($X872="","",SUMIFS(상세표[06~07시],상세표[사번키],INDEX(합계표[사번키],$X872),상세표[반영월],대상월키,상세표[반영 기관],"서울병원"))</f>
        <v/>
      </c>
      <c r="O872" s="20">
        <f>IF($X872="","",SUMIFS(상세표[07~18시],상세표[사번키],INDEX(합계표[사번키],$X872),상세표[반영월],대상월키,상세표[반영 기관],"서울병원"))</f>
        <v/>
      </c>
      <c r="P872" s="20">
        <f>IF($X872="","",SUMIFS(상세표[18~22시],상세표[사번키],INDEX(합계표[사번키],$X872),상세표[반영월],대상월키,상세표[반영 기관],"서울병원"))</f>
        <v/>
      </c>
      <c r="Q872" s="20">
        <f>IF($X872="","",SUMIFS(상세표[22~06시],상세표[사번키],INDEX(합계표[사번키],$X872),상세표[반영월],대상월키,상세표[반영 기관],"서울병원"))</f>
        <v/>
      </c>
      <c r="R872" s="20">
        <f>IF($X872="","",SUM($N872:$Q872))</f>
        <v/>
      </c>
      <c r="S872">
        <f>IF($X872="","",COUNTIFS(상세표[사번키],INDEX(합계표[사번키],$X872),상세표[반영월],대상월키,상세표[야간당직],1,상세표[야간 구분],"평일"))</f>
        <v/>
      </c>
      <c r="T872">
        <f>IF($X872="","",COUNTIFS(상세표[사번키],INDEX(합계표[사번키],$X872),상세표[반영월],대상월키,상세표[야간당직],1,상세표[야간 구분],"휴일"))</f>
        <v/>
      </c>
      <c r="U872">
        <f>IF($X872="","",COUNTIFS(상세표[사번키],INDEX(합계표[사번키],$X872),상세표[반영월],대상월키,상세표[야간당직],1,상세표[야간 구분],"평일",상세표[반영 기관],"서울병원"))</f>
        <v/>
      </c>
      <c r="V872">
        <f>IF($X872="","",COUNTIFS(상세표[사번키],INDEX(합계표[사번키],$X872),상세표[반영월],대상월키,상세표[야간당직],1,상세표[야간 구분],"휴일",상세표[반영 기관],"서울병원"))</f>
        <v/>
      </c>
      <c r="W872">
        <f>IF($X872="","",IF(ISNUMBER(MATCH(INDEX(합계표[사번키],$X872)&amp;"|"&amp;대상월키,월별근무지표[키],0)),"직접 입력",IF($L872="—","—","기관명단")))</f>
        <v/>
      </c>
      <c r="X872" s="4">
        <f>IFERROR(MATCH(867,합계표[판정순번],0),"")</f>
        <v/>
      </c>
    </row>
    <row r="873">
      <c r="A873">
        <f>IF($X873="","",INDEX(합계표[사번],$X873)&amp;"")</f>
        <v/>
      </c>
      <c r="B873">
        <f>IF($X873="","",INDEX(합계표[성명],$X873)&amp;"")</f>
        <v/>
      </c>
      <c r="C873">
        <f>IF($X873="","",INDEX(합계표[부서],$X873)&amp;"")</f>
        <v/>
      </c>
      <c r="D873">
        <f>IF($X873="","",INDEX(합계표[직위(요약)],$X873)&amp;"")</f>
        <v/>
      </c>
      <c r="E873">
        <f>IF($X873="","",INDEX(합계표[직급 공존],$X873)&amp;"")</f>
        <v/>
      </c>
      <c r="F873" s="20">
        <f>IF($X873="","",SUMIFS(합계표[시스템 합계],합계표[사번키],INDEX(합계표[사번키],$X873)))</f>
        <v/>
      </c>
      <c r="G873" s="20">
        <f>IF($X873="","",SUMIFS(상세표[기록 시간외],상세표[사번키],INDEX(합계표[사번키],$X873),상세표[기록월],대상월키))</f>
        <v/>
      </c>
      <c r="H873">
        <f>IF($X873="","",IF(ABS($F873-$G873)&lt;0.01,"일치","불일치(차이 "&amp;TEXT($G873-$F873,"0.00")&amp;")"))</f>
        <v/>
      </c>
      <c r="I873" s="20">
        <f>IF($X873="","",SUMIFS(상세표[기록 시간외],상세표[사번키],INDEX(합계표[사번키],$X873),상세표[기록월],대상월키,상세표[반영월],"&lt;&gt;"&amp;대상월키))</f>
        <v/>
      </c>
      <c r="J873" s="20">
        <f>IF($X873="","",SUMIFS(상세표[기록 시간외],상세표[사번키],INDEX(합계표[사번키],$X873),상세표[기록월],"&lt;&gt;"&amp;대상월키,상세표[반영월],대상월키))</f>
        <v/>
      </c>
      <c r="K873" s="20">
        <f>IF($X873="","",SUMIFS(상세표[기록 시간외],상세표[사번키],INDEX(합계표[사번키],$X873),상세표[반영월],대상월키))</f>
        <v/>
      </c>
      <c r="L873">
        <f>IF($X873="","",IFERROR(INDEX(월별근무지표[적용 급여병원],MATCH(INDEX(합계표[사번키],$X873)&amp;"|"&amp;대상월키,월별근무지표[키],0))&amp;"",IF(COUNTIF(기관표[사번키],INDEX(합계표[사번키],$X873))+COUNTIF(월별근무지표[사번키],INDEX(합계표[사번키],$X873))&gt;0,IFERROR(INDEX(기관표[급여지급병원(기준월)],MATCH(INDEX(합계표[사번키],$X873)&amp;"|"&amp;대상월키,기관표[키],0))&amp;"","—"),"—")))</f>
        <v/>
      </c>
      <c r="M873">
        <f>IF($X873="","",IF(NOT(COUNTIF(기관표[사번키],INDEX(합계표[사번키],$X873))+COUNTIF(월별근무지표[사번키],INDEX(합계표[사번키],$X873))&gt;0),"기관명단에 없음(다른 병원으로 발송)",IF($L873="서울병원","해당",IF(N($R873)&gt;0,"해당(말일 근무)",IF($L873="—","대상월 기관명단 없음(추가 필요)","비해당")))))</f>
        <v/>
      </c>
      <c r="N873" s="20">
        <f>IF($X873="","",SUMIFS(상세표[06~07시],상세표[사번키],INDEX(합계표[사번키],$X873),상세표[반영월],대상월키,상세표[반영 기관],"서울병원"))</f>
        <v/>
      </c>
      <c r="O873" s="20">
        <f>IF($X873="","",SUMIFS(상세표[07~18시],상세표[사번키],INDEX(합계표[사번키],$X873),상세표[반영월],대상월키,상세표[반영 기관],"서울병원"))</f>
        <v/>
      </c>
      <c r="P873" s="20">
        <f>IF($X873="","",SUMIFS(상세표[18~22시],상세표[사번키],INDEX(합계표[사번키],$X873),상세표[반영월],대상월키,상세표[반영 기관],"서울병원"))</f>
        <v/>
      </c>
      <c r="Q873" s="20">
        <f>IF($X873="","",SUMIFS(상세표[22~06시],상세표[사번키],INDEX(합계표[사번키],$X873),상세표[반영월],대상월키,상세표[반영 기관],"서울병원"))</f>
        <v/>
      </c>
      <c r="R873" s="20">
        <f>IF($X873="","",SUM($N873:$Q873))</f>
        <v/>
      </c>
      <c r="S873">
        <f>IF($X873="","",COUNTIFS(상세표[사번키],INDEX(합계표[사번키],$X873),상세표[반영월],대상월키,상세표[야간당직],1,상세표[야간 구분],"평일"))</f>
        <v/>
      </c>
      <c r="T873">
        <f>IF($X873="","",COUNTIFS(상세표[사번키],INDEX(합계표[사번키],$X873),상세표[반영월],대상월키,상세표[야간당직],1,상세표[야간 구분],"휴일"))</f>
        <v/>
      </c>
      <c r="U873">
        <f>IF($X873="","",COUNTIFS(상세표[사번키],INDEX(합계표[사번키],$X873),상세표[반영월],대상월키,상세표[야간당직],1,상세표[야간 구분],"평일",상세표[반영 기관],"서울병원"))</f>
        <v/>
      </c>
      <c r="V873">
        <f>IF($X873="","",COUNTIFS(상세표[사번키],INDEX(합계표[사번키],$X873),상세표[반영월],대상월키,상세표[야간당직],1,상세표[야간 구분],"휴일",상세표[반영 기관],"서울병원"))</f>
        <v/>
      </c>
      <c r="W873">
        <f>IF($X873="","",IF(ISNUMBER(MATCH(INDEX(합계표[사번키],$X873)&amp;"|"&amp;대상월키,월별근무지표[키],0)),"직접 입력",IF($L873="—","—","기관명단")))</f>
        <v/>
      </c>
      <c r="X873" s="4">
        <f>IFERROR(MATCH(868,합계표[판정순번],0),"")</f>
        <v/>
      </c>
    </row>
    <row r="874">
      <c r="A874">
        <f>IF($X874="","",INDEX(합계표[사번],$X874)&amp;"")</f>
        <v/>
      </c>
      <c r="B874">
        <f>IF($X874="","",INDEX(합계표[성명],$X874)&amp;"")</f>
        <v/>
      </c>
      <c r="C874">
        <f>IF($X874="","",INDEX(합계표[부서],$X874)&amp;"")</f>
        <v/>
      </c>
      <c r="D874">
        <f>IF($X874="","",INDEX(합계표[직위(요약)],$X874)&amp;"")</f>
        <v/>
      </c>
      <c r="E874">
        <f>IF($X874="","",INDEX(합계표[직급 공존],$X874)&amp;"")</f>
        <v/>
      </c>
      <c r="F874" s="20">
        <f>IF($X874="","",SUMIFS(합계표[시스템 합계],합계표[사번키],INDEX(합계표[사번키],$X874)))</f>
        <v/>
      </c>
      <c r="G874" s="20">
        <f>IF($X874="","",SUMIFS(상세표[기록 시간외],상세표[사번키],INDEX(합계표[사번키],$X874),상세표[기록월],대상월키))</f>
        <v/>
      </c>
      <c r="H874">
        <f>IF($X874="","",IF(ABS($F874-$G874)&lt;0.01,"일치","불일치(차이 "&amp;TEXT($G874-$F874,"0.00")&amp;")"))</f>
        <v/>
      </c>
      <c r="I874" s="20">
        <f>IF($X874="","",SUMIFS(상세표[기록 시간외],상세표[사번키],INDEX(합계표[사번키],$X874),상세표[기록월],대상월키,상세표[반영월],"&lt;&gt;"&amp;대상월키))</f>
        <v/>
      </c>
      <c r="J874" s="20">
        <f>IF($X874="","",SUMIFS(상세표[기록 시간외],상세표[사번키],INDEX(합계표[사번키],$X874),상세표[기록월],"&lt;&gt;"&amp;대상월키,상세표[반영월],대상월키))</f>
        <v/>
      </c>
      <c r="K874" s="20">
        <f>IF($X874="","",SUMIFS(상세표[기록 시간외],상세표[사번키],INDEX(합계표[사번키],$X874),상세표[반영월],대상월키))</f>
        <v/>
      </c>
      <c r="L874">
        <f>IF($X874="","",IFERROR(INDEX(월별근무지표[적용 급여병원],MATCH(INDEX(합계표[사번키],$X874)&amp;"|"&amp;대상월키,월별근무지표[키],0))&amp;"",IF(COUNTIF(기관표[사번키],INDEX(합계표[사번키],$X874))+COUNTIF(월별근무지표[사번키],INDEX(합계표[사번키],$X874))&gt;0,IFERROR(INDEX(기관표[급여지급병원(기준월)],MATCH(INDEX(합계표[사번키],$X874)&amp;"|"&amp;대상월키,기관표[키],0))&amp;"","—"),"—")))</f>
        <v/>
      </c>
      <c r="M874">
        <f>IF($X874="","",IF(NOT(COUNTIF(기관표[사번키],INDEX(합계표[사번키],$X874))+COUNTIF(월별근무지표[사번키],INDEX(합계표[사번키],$X874))&gt;0),"기관명단에 없음(다른 병원으로 발송)",IF($L874="서울병원","해당",IF(N($R874)&gt;0,"해당(말일 근무)",IF($L874="—","대상월 기관명단 없음(추가 필요)","비해당")))))</f>
        <v/>
      </c>
      <c r="N874" s="20">
        <f>IF($X874="","",SUMIFS(상세표[06~07시],상세표[사번키],INDEX(합계표[사번키],$X874),상세표[반영월],대상월키,상세표[반영 기관],"서울병원"))</f>
        <v/>
      </c>
      <c r="O874" s="20">
        <f>IF($X874="","",SUMIFS(상세표[07~18시],상세표[사번키],INDEX(합계표[사번키],$X874),상세표[반영월],대상월키,상세표[반영 기관],"서울병원"))</f>
        <v/>
      </c>
      <c r="P874" s="20">
        <f>IF($X874="","",SUMIFS(상세표[18~22시],상세표[사번키],INDEX(합계표[사번키],$X874),상세표[반영월],대상월키,상세표[반영 기관],"서울병원"))</f>
        <v/>
      </c>
      <c r="Q874" s="20">
        <f>IF($X874="","",SUMIFS(상세표[22~06시],상세표[사번키],INDEX(합계표[사번키],$X874),상세표[반영월],대상월키,상세표[반영 기관],"서울병원"))</f>
        <v/>
      </c>
      <c r="R874" s="20">
        <f>IF($X874="","",SUM($N874:$Q874))</f>
        <v/>
      </c>
      <c r="S874">
        <f>IF($X874="","",COUNTIFS(상세표[사번키],INDEX(합계표[사번키],$X874),상세표[반영월],대상월키,상세표[야간당직],1,상세표[야간 구분],"평일"))</f>
        <v/>
      </c>
      <c r="T874">
        <f>IF($X874="","",COUNTIFS(상세표[사번키],INDEX(합계표[사번키],$X874),상세표[반영월],대상월키,상세표[야간당직],1,상세표[야간 구분],"휴일"))</f>
        <v/>
      </c>
      <c r="U874">
        <f>IF($X874="","",COUNTIFS(상세표[사번키],INDEX(합계표[사번키],$X874),상세표[반영월],대상월키,상세표[야간당직],1,상세표[야간 구분],"평일",상세표[반영 기관],"서울병원"))</f>
        <v/>
      </c>
      <c r="V874">
        <f>IF($X874="","",COUNTIFS(상세표[사번키],INDEX(합계표[사번키],$X874),상세표[반영월],대상월키,상세표[야간당직],1,상세표[야간 구분],"휴일",상세표[반영 기관],"서울병원"))</f>
        <v/>
      </c>
      <c r="W874">
        <f>IF($X874="","",IF(ISNUMBER(MATCH(INDEX(합계표[사번키],$X874)&amp;"|"&amp;대상월키,월별근무지표[키],0)),"직접 입력",IF($L874="—","—","기관명단")))</f>
        <v/>
      </c>
      <c r="X874" s="4">
        <f>IFERROR(MATCH(869,합계표[판정순번],0),"")</f>
        <v/>
      </c>
    </row>
    <row r="875">
      <c r="A875">
        <f>IF($X875="","",INDEX(합계표[사번],$X875)&amp;"")</f>
        <v/>
      </c>
      <c r="B875">
        <f>IF($X875="","",INDEX(합계표[성명],$X875)&amp;"")</f>
        <v/>
      </c>
      <c r="C875">
        <f>IF($X875="","",INDEX(합계표[부서],$X875)&amp;"")</f>
        <v/>
      </c>
      <c r="D875">
        <f>IF($X875="","",INDEX(합계표[직위(요약)],$X875)&amp;"")</f>
        <v/>
      </c>
      <c r="E875">
        <f>IF($X875="","",INDEX(합계표[직급 공존],$X875)&amp;"")</f>
        <v/>
      </c>
      <c r="F875" s="20">
        <f>IF($X875="","",SUMIFS(합계표[시스템 합계],합계표[사번키],INDEX(합계표[사번키],$X875)))</f>
        <v/>
      </c>
      <c r="G875" s="20">
        <f>IF($X875="","",SUMIFS(상세표[기록 시간외],상세표[사번키],INDEX(합계표[사번키],$X875),상세표[기록월],대상월키))</f>
        <v/>
      </c>
      <c r="H875">
        <f>IF($X875="","",IF(ABS($F875-$G875)&lt;0.01,"일치","불일치(차이 "&amp;TEXT($G875-$F875,"0.00")&amp;")"))</f>
        <v/>
      </c>
      <c r="I875" s="20">
        <f>IF($X875="","",SUMIFS(상세표[기록 시간외],상세표[사번키],INDEX(합계표[사번키],$X875),상세표[기록월],대상월키,상세표[반영월],"&lt;&gt;"&amp;대상월키))</f>
        <v/>
      </c>
      <c r="J875" s="20">
        <f>IF($X875="","",SUMIFS(상세표[기록 시간외],상세표[사번키],INDEX(합계표[사번키],$X875),상세표[기록월],"&lt;&gt;"&amp;대상월키,상세표[반영월],대상월키))</f>
        <v/>
      </c>
      <c r="K875" s="20">
        <f>IF($X875="","",SUMIFS(상세표[기록 시간외],상세표[사번키],INDEX(합계표[사번키],$X875),상세표[반영월],대상월키))</f>
        <v/>
      </c>
      <c r="L875">
        <f>IF($X875="","",IFERROR(INDEX(월별근무지표[적용 급여병원],MATCH(INDEX(합계표[사번키],$X875)&amp;"|"&amp;대상월키,월별근무지표[키],0))&amp;"",IF(COUNTIF(기관표[사번키],INDEX(합계표[사번키],$X875))+COUNTIF(월별근무지표[사번키],INDEX(합계표[사번키],$X875))&gt;0,IFERROR(INDEX(기관표[급여지급병원(기준월)],MATCH(INDEX(합계표[사번키],$X875)&amp;"|"&amp;대상월키,기관표[키],0))&amp;"","—"),"—")))</f>
        <v/>
      </c>
      <c r="M875">
        <f>IF($X875="","",IF(NOT(COUNTIF(기관표[사번키],INDEX(합계표[사번키],$X875))+COUNTIF(월별근무지표[사번키],INDEX(합계표[사번키],$X875))&gt;0),"기관명단에 없음(다른 병원으로 발송)",IF($L875="서울병원","해당",IF(N($R875)&gt;0,"해당(말일 근무)",IF($L875="—","대상월 기관명단 없음(추가 필요)","비해당")))))</f>
        <v/>
      </c>
      <c r="N875" s="20">
        <f>IF($X875="","",SUMIFS(상세표[06~07시],상세표[사번키],INDEX(합계표[사번키],$X875),상세표[반영월],대상월키,상세표[반영 기관],"서울병원"))</f>
        <v/>
      </c>
      <c r="O875" s="20">
        <f>IF($X875="","",SUMIFS(상세표[07~18시],상세표[사번키],INDEX(합계표[사번키],$X875),상세표[반영월],대상월키,상세표[반영 기관],"서울병원"))</f>
        <v/>
      </c>
      <c r="P875" s="20">
        <f>IF($X875="","",SUMIFS(상세표[18~22시],상세표[사번키],INDEX(합계표[사번키],$X875),상세표[반영월],대상월키,상세표[반영 기관],"서울병원"))</f>
        <v/>
      </c>
      <c r="Q875" s="20">
        <f>IF($X875="","",SUMIFS(상세표[22~06시],상세표[사번키],INDEX(합계표[사번키],$X875),상세표[반영월],대상월키,상세표[반영 기관],"서울병원"))</f>
        <v/>
      </c>
      <c r="R875" s="20">
        <f>IF($X875="","",SUM($N875:$Q875))</f>
        <v/>
      </c>
      <c r="S875">
        <f>IF($X875="","",COUNTIFS(상세표[사번키],INDEX(합계표[사번키],$X875),상세표[반영월],대상월키,상세표[야간당직],1,상세표[야간 구분],"평일"))</f>
        <v/>
      </c>
      <c r="T875">
        <f>IF($X875="","",COUNTIFS(상세표[사번키],INDEX(합계표[사번키],$X875),상세표[반영월],대상월키,상세표[야간당직],1,상세표[야간 구분],"휴일"))</f>
        <v/>
      </c>
      <c r="U875">
        <f>IF($X875="","",COUNTIFS(상세표[사번키],INDEX(합계표[사번키],$X875),상세표[반영월],대상월키,상세표[야간당직],1,상세표[야간 구분],"평일",상세표[반영 기관],"서울병원"))</f>
        <v/>
      </c>
      <c r="V875">
        <f>IF($X875="","",COUNTIFS(상세표[사번키],INDEX(합계표[사번키],$X875),상세표[반영월],대상월키,상세표[야간당직],1,상세표[야간 구분],"휴일",상세표[반영 기관],"서울병원"))</f>
        <v/>
      </c>
      <c r="W875">
        <f>IF($X875="","",IF(ISNUMBER(MATCH(INDEX(합계표[사번키],$X875)&amp;"|"&amp;대상월키,월별근무지표[키],0)),"직접 입력",IF($L875="—","—","기관명단")))</f>
        <v/>
      </c>
      <c r="X875" s="4">
        <f>IFERROR(MATCH(870,합계표[판정순번],0),"")</f>
        <v/>
      </c>
    </row>
    <row r="876">
      <c r="A876">
        <f>IF($X876="","",INDEX(합계표[사번],$X876)&amp;"")</f>
        <v/>
      </c>
      <c r="B876">
        <f>IF($X876="","",INDEX(합계표[성명],$X876)&amp;"")</f>
        <v/>
      </c>
      <c r="C876">
        <f>IF($X876="","",INDEX(합계표[부서],$X876)&amp;"")</f>
        <v/>
      </c>
      <c r="D876">
        <f>IF($X876="","",INDEX(합계표[직위(요약)],$X876)&amp;"")</f>
        <v/>
      </c>
      <c r="E876">
        <f>IF($X876="","",INDEX(합계표[직급 공존],$X876)&amp;"")</f>
        <v/>
      </c>
      <c r="F876" s="20">
        <f>IF($X876="","",SUMIFS(합계표[시스템 합계],합계표[사번키],INDEX(합계표[사번키],$X876)))</f>
        <v/>
      </c>
      <c r="G876" s="20">
        <f>IF($X876="","",SUMIFS(상세표[기록 시간외],상세표[사번키],INDEX(합계표[사번키],$X876),상세표[기록월],대상월키))</f>
        <v/>
      </c>
      <c r="H876">
        <f>IF($X876="","",IF(ABS($F876-$G876)&lt;0.01,"일치","불일치(차이 "&amp;TEXT($G876-$F876,"0.00")&amp;")"))</f>
        <v/>
      </c>
      <c r="I876" s="20">
        <f>IF($X876="","",SUMIFS(상세표[기록 시간외],상세표[사번키],INDEX(합계표[사번키],$X876),상세표[기록월],대상월키,상세표[반영월],"&lt;&gt;"&amp;대상월키))</f>
        <v/>
      </c>
      <c r="J876" s="20">
        <f>IF($X876="","",SUMIFS(상세표[기록 시간외],상세표[사번키],INDEX(합계표[사번키],$X876),상세표[기록월],"&lt;&gt;"&amp;대상월키,상세표[반영월],대상월키))</f>
        <v/>
      </c>
      <c r="K876" s="20">
        <f>IF($X876="","",SUMIFS(상세표[기록 시간외],상세표[사번키],INDEX(합계표[사번키],$X876),상세표[반영월],대상월키))</f>
        <v/>
      </c>
      <c r="L876">
        <f>IF($X876="","",IFERROR(INDEX(월별근무지표[적용 급여병원],MATCH(INDEX(합계표[사번키],$X876)&amp;"|"&amp;대상월키,월별근무지표[키],0))&amp;"",IF(COUNTIF(기관표[사번키],INDEX(합계표[사번키],$X876))+COUNTIF(월별근무지표[사번키],INDEX(합계표[사번키],$X876))&gt;0,IFERROR(INDEX(기관표[급여지급병원(기준월)],MATCH(INDEX(합계표[사번키],$X876)&amp;"|"&amp;대상월키,기관표[키],0))&amp;"","—"),"—")))</f>
        <v/>
      </c>
      <c r="M876">
        <f>IF($X876="","",IF(NOT(COUNTIF(기관표[사번키],INDEX(합계표[사번키],$X876))+COUNTIF(월별근무지표[사번키],INDEX(합계표[사번키],$X876))&gt;0),"기관명단에 없음(다른 병원으로 발송)",IF($L876="서울병원","해당",IF(N($R876)&gt;0,"해당(말일 근무)",IF($L876="—","대상월 기관명단 없음(추가 필요)","비해당")))))</f>
        <v/>
      </c>
      <c r="N876" s="20">
        <f>IF($X876="","",SUMIFS(상세표[06~07시],상세표[사번키],INDEX(합계표[사번키],$X876),상세표[반영월],대상월키,상세표[반영 기관],"서울병원"))</f>
        <v/>
      </c>
      <c r="O876" s="20">
        <f>IF($X876="","",SUMIFS(상세표[07~18시],상세표[사번키],INDEX(합계표[사번키],$X876),상세표[반영월],대상월키,상세표[반영 기관],"서울병원"))</f>
        <v/>
      </c>
      <c r="P876" s="20">
        <f>IF($X876="","",SUMIFS(상세표[18~22시],상세표[사번키],INDEX(합계표[사번키],$X876),상세표[반영월],대상월키,상세표[반영 기관],"서울병원"))</f>
        <v/>
      </c>
      <c r="Q876" s="20">
        <f>IF($X876="","",SUMIFS(상세표[22~06시],상세표[사번키],INDEX(합계표[사번키],$X876),상세표[반영월],대상월키,상세표[반영 기관],"서울병원"))</f>
        <v/>
      </c>
      <c r="R876" s="20">
        <f>IF($X876="","",SUM($N876:$Q876))</f>
        <v/>
      </c>
      <c r="S876">
        <f>IF($X876="","",COUNTIFS(상세표[사번키],INDEX(합계표[사번키],$X876),상세표[반영월],대상월키,상세표[야간당직],1,상세표[야간 구분],"평일"))</f>
        <v/>
      </c>
      <c r="T876">
        <f>IF($X876="","",COUNTIFS(상세표[사번키],INDEX(합계표[사번키],$X876),상세표[반영월],대상월키,상세표[야간당직],1,상세표[야간 구분],"휴일"))</f>
        <v/>
      </c>
      <c r="U876">
        <f>IF($X876="","",COUNTIFS(상세표[사번키],INDEX(합계표[사번키],$X876),상세표[반영월],대상월키,상세표[야간당직],1,상세표[야간 구분],"평일",상세표[반영 기관],"서울병원"))</f>
        <v/>
      </c>
      <c r="V876">
        <f>IF($X876="","",COUNTIFS(상세표[사번키],INDEX(합계표[사번키],$X876),상세표[반영월],대상월키,상세표[야간당직],1,상세표[야간 구분],"휴일",상세표[반영 기관],"서울병원"))</f>
        <v/>
      </c>
      <c r="W876">
        <f>IF($X876="","",IF(ISNUMBER(MATCH(INDEX(합계표[사번키],$X876)&amp;"|"&amp;대상월키,월별근무지표[키],0)),"직접 입력",IF($L876="—","—","기관명단")))</f>
        <v/>
      </c>
      <c r="X876" s="4">
        <f>IFERROR(MATCH(871,합계표[판정순번],0),"")</f>
        <v/>
      </c>
    </row>
    <row r="877">
      <c r="A877">
        <f>IF($X877="","",INDEX(합계표[사번],$X877)&amp;"")</f>
        <v/>
      </c>
      <c r="B877">
        <f>IF($X877="","",INDEX(합계표[성명],$X877)&amp;"")</f>
        <v/>
      </c>
      <c r="C877">
        <f>IF($X877="","",INDEX(합계표[부서],$X877)&amp;"")</f>
        <v/>
      </c>
      <c r="D877">
        <f>IF($X877="","",INDEX(합계표[직위(요약)],$X877)&amp;"")</f>
        <v/>
      </c>
      <c r="E877">
        <f>IF($X877="","",INDEX(합계표[직급 공존],$X877)&amp;"")</f>
        <v/>
      </c>
      <c r="F877" s="20">
        <f>IF($X877="","",SUMIFS(합계표[시스템 합계],합계표[사번키],INDEX(합계표[사번키],$X877)))</f>
        <v/>
      </c>
      <c r="G877" s="20">
        <f>IF($X877="","",SUMIFS(상세표[기록 시간외],상세표[사번키],INDEX(합계표[사번키],$X877),상세표[기록월],대상월키))</f>
        <v/>
      </c>
      <c r="H877">
        <f>IF($X877="","",IF(ABS($F877-$G877)&lt;0.01,"일치","불일치(차이 "&amp;TEXT($G877-$F877,"0.00")&amp;")"))</f>
        <v/>
      </c>
      <c r="I877" s="20">
        <f>IF($X877="","",SUMIFS(상세표[기록 시간외],상세표[사번키],INDEX(합계표[사번키],$X877),상세표[기록월],대상월키,상세표[반영월],"&lt;&gt;"&amp;대상월키))</f>
        <v/>
      </c>
      <c r="J877" s="20">
        <f>IF($X877="","",SUMIFS(상세표[기록 시간외],상세표[사번키],INDEX(합계표[사번키],$X877),상세표[기록월],"&lt;&gt;"&amp;대상월키,상세표[반영월],대상월키))</f>
        <v/>
      </c>
      <c r="K877" s="20">
        <f>IF($X877="","",SUMIFS(상세표[기록 시간외],상세표[사번키],INDEX(합계표[사번키],$X877),상세표[반영월],대상월키))</f>
        <v/>
      </c>
      <c r="L877">
        <f>IF($X877="","",IFERROR(INDEX(월별근무지표[적용 급여병원],MATCH(INDEX(합계표[사번키],$X877)&amp;"|"&amp;대상월키,월별근무지표[키],0))&amp;"",IF(COUNTIF(기관표[사번키],INDEX(합계표[사번키],$X877))+COUNTIF(월별근무지표[사번키],INDEX(합계표[사번키],$X877))&gt;0,IFERROR(INDEX(기관표[급여지급병원(기준월)],MATCH(INDEX(합계표[사번키],$X877)&amp;"|"&amp;대상월키,기관표[키],0))&amp;"","—"),"—")))</f>
        <v/>
      </c>
      <c r="M877">
        <f>IF($X877="","",IF(NOT(COUNTIF(기관표[사번키],INDEX(합계표[사번키],$X877))+COUNTIF(월별근무지표[사번키],INDEX(합계표[사번키],$X877))&gt;0),"기관명단에 없음(다른 병원으로 발송)",IF($L877="서울병원","해당",IF(N($R877)&gt;0,"해당(말일 근무)",IF($L877="—","대상월 기관명단 없음(추가 필요)","비해당")))))</f>
        <v/>
      </c>
      <c r="N877" s="20">
        <f>IF($X877="","",SUMIFS(상세표[06~07시],상세표[사번키],INDEX(합계표[사번키],$X877),상세표[반영월],대상월키,상세표[반영 기관],"서울병원"))</f>
        <v/>
      </c>
      <c r="O877" s="20">
        <f>IF($X877="","",SUMIFS(상세표[07~18시],상세표[사번키],INDEX(합계표[사번키],$X877),상세표[반영월],대상월키,상세표[반영 기관],"서울병원"))</f>
        <v/>
      </c>
      <c r="P877" s="20">
        <f>IF($X877="","",SUMIFS(상세표[18~22시],상세표[사번키],INDEX(합계표[사번키],$X877),상세표[반영월],대상월키,상세표[반영 기관],"서울병원"))</f>
        <v/>
      </c>
      <c r="Q877" s="20">
        <f>IF($X877="","",SUMIFS(상세표[22~06시],상세표[사번키],INDEX(합계표[사번키],$X877),상세표[반영월],대상월키,상세표[반영 기관],"서울병원"))</f>
        <v/>
      </c>
      <c r="R877" s="20">
        <f>IF($X877="","",SUM($N877:$Q877))</f>
        <v/>
      </c>
      <c r="S877">
        <f>IF($X877="","",COUNTIFS(상세표[사번키],INDEX(합계표[사번키],$X877),상세표[반영월],대상월키,상세표[야간당직],1,상세표[야간 구분],"평일"))</f>
        <v/>
      </c>
      <c r="T877">
        <f>IF($X877="","",COUNTIFS(상세표[사번키],INDEX(합계표[사번키],$X877),상세표[반영월],대상월키,상세표[야간당직],1,상세표[야간 구분],"휴일"))</f>
        <v/>
      </c>
      <c r="U877">
        <f>IF($X877="","",COUNTIFS(상세표[사번키],INDEX(합계표[사번키],$X877),상세표[반영월],대상월키,상세표[야간당직],1,상세표[야간 구분],"평일",상세표[반영 기관],"서울병원"))</f>
        <v/>
      </c>
      <c r="V877">
        <f>IF($X877="","",COUNTIFS(상세표[사번키],INDEX(합계표[사번키],$X877),상세표[반영월],대상월키,상세표[야간당직],1,상세표[야간 구분],"휴일",상세표[반영 기관],"서울병원"))</f>
        <v/>
      </c>
      <c r="W877">
        <f>IF($X877="","",IF(ISNUMBER(MATCH(INDEX(합계표[사번키],$X877)&amp;"|"&amp;대상월키,월별근무지표[키],0)),"직접 입력",IF($L877="—","—","기관명단")))</f>
        <v/>
      </c>
      <c r="X877" s="4">
        <f>IFERROR(MATCH(872,합계표[판정순번],0),"")</f>
        <v/>
      </c>
    </row>
    <row r="878">
      <c r="A878">
        <f>IF($X878="","",INDEX(합계표[사번],$X878)&amp;"")</f>
        <v/>
      </c>
      <c r="B878">
        <f>IF($X878="","",INDEX(합계표[성명],$X878)&amp;"")</f>
        <v/>
      </c>
      <c r="C878">
        <f>IF($X878="","",INDEX(합계표[부서],$X878)&amp;"")</f>
        <v/>
      </c>
      <c r="D878">
        <f>IF($X878="","",INDEX(합계표[직위(요약)],$X878)&amp;"")</f>
        <v/>
      </c>
      <c r="E878">
        <f>IF($X878="","",INDEX(합계표[직급 공존],$X878)&amp;"")</f>
        <v/>
      </c>
      <c r="F878" s="20">
        <f>IF($X878="","",SUMIFS(합계표[시스템 합계],합계표[사번키],INDEX(합계표[사번키],$X878)))</f>
        <v/>
      </c>
      <c r="G878" s="20">
        <f>IF($X878="","",SUMIFS(상세표[기록 시간외],상세표[사번키],INDEX(합계표[사번키],$X878),상세표[기록월],대상월키))</f>
        <v/>
      </c>
      <c r="H878">
        <f>IF($X878="","",IF(ABS($F878-$G878)&lt;0.01,"일치","불일치(차이 "&amp;TEXT($G878-$F878,"0.00")&amp;")"))</f>
        <v/>
      </c>
      <c r="I878" s="20">
        <f>IF($X878="","",SUMIFS(상세표[기록 시간외],상세표[사번키],INDEX(합계표[사번키],$X878),상세표[기록월],대상월키,상세표[반영월],"&lt;&gt;"&amp;대상월키))</f>
        <v/>
      </c>
      <c r="J878" s="20">
        <f>IF($X878="","",SUMIFS(상세표[기록 시간외],상세표[사번키],INDEX(합계표[사번키],$X878),상세표[기록월],"&lt;&gt;"&amp;대상월키,상세표[반영월],대상월키))</f>
        <v/>
      </c>
      <c r="K878" s="20">
        <f>IF($X878="","",SUMIFS(상세표[기록 시간외],상세표[사번키],INDEX(합계표[사번키],$X878),상세표[반영월],대상월키))</f>
        <v/>
      </c>
      <c r="L878">
        <f>IF($X878="","",IFERROR(INDEX(월별근무지표[적용 급여병원],MATCH(INDEX(합계표[사번키],$X878)&amp;"|"&amp;대상월키,월별근무지표[키],0))&amp;"",IF(COUNTIF(기관표[사번키],INDEX(합계표[사번키],$X878))+COUNTIF(월별근무지표[사번키],INDEX(합계표[사번키],$X878))&gt;0,IFERROR(INDEX(기관표[급여지급병원(기준월)],MATCH(INDEX(합계표[사번키],$X878)&amp;"|"&amp;대상월키,기관표[키],0))&amp;"","—"),"—")))</f>
        <v/>
      </c>
      <c r="M878">
        <f>IF($X878="","",IF(NOT(COUNTIF(기관표[사번키],INDEX(합계표[사번키],$X878))+COUNTIF(월별근무지표[사번키],INDEX(합계표[사번키],$X878))&gt;0),"기관명단에 없음(다른 병원으로 발송)",IF($L878="서울병원","해당",IF(N($R878)&gt;0,"해당(말일 근무)",IF($L878="—","대상월 기관명단 없음(추가 필요)","비해당")))))</f>
        <v/>
      </c>
      <c r="N878" s="20">
        <f>IF($X878="","",SUMIFS(상세표[06~07시],상세표[사번키],INDEX(합계표[사번키],$X878),상세표[반영월],대상월키,상세표[반영 기관],"서울병원"))</f>
        <v/>
      </c>
      <c r="O878" s="20">
        <f>IF($X878="","",SUMIFS(상세표[07~18시],상세표[사번키],INDEX(합계표[사번키],$X878),상세표[반영월],대상월키,상세표[반영 기관],"서울병원"))</f>
        <v/>
      </c>
      <c r="P878" s="20">
        <f>IF($X878="","",SUMIFS(상세표[18~22시],상세표[사번키],INDEX(합계표[사번키],$X878),상세표[반영월],대상월키,상세표[반영 기관],"서울병원"))</f>
        <v/>
      </c>
      <c r="Q878" s="20">
        <f>IF($X878="","",SUMIFS(상세표[22~06시],상세표[사번키],INDEX(합계표[사번키],$X878),상세표[반영월],대상월키,상세표[반영 기관],"서울병원"))</f>
        <v/>
      </c>
      <c r="R878" s="20">
        <f>IF($X878="","",SUM($N878:$Q878))</f>
        <v/>
      </c>
      <c r="S878">
        <f>IF($X878="","",COUNTIFS(상세표[사번키],INDEX(합계표[사번키],$X878),상세표[반영월],대상월키,상세표[야간당직],1,상세표[야간 구분],"평일"))</f>
        <v/>
      </c>
      <c r="T878">
        <f>IF($X878="","",COUNTIFS(상세표[사번키],INDEX(합계표[사번키],$X878),상세표[반영월],대상월키,상세표[야간당직],1,상세표[야간 구분],"휴일"))</f>
        <v/>
      </c>
      <c r="U878">
        <f>IF($X878="","",COUNTIFS(상세표[사번키],INDEX(합계표[사번키],$X878),상세표[반영월],대상월키,상세표[야간당직],1,상세표[야간 구분],"평일",상세표[반영 기관],"서울병원"))</f>
        <v/>
      </c>
      <c r="V878">
        <f>IF($X878="","",COUNTIFS(상세표[사번키],INDEX(합계표[사번키],$X878),상세표[반영월],대상월키,상세표[야간당직],1,상세표[야간 구분],"휴일",상세표[반영 기관],"서울병원"))</f>
        <v/>
      </c>
      <c r="W878">
        <f>IF($X878="","",IF(ISNUMBER(MATCH(INDEX(합계표[사번키],$X878)&amp;"|"&amp;대상월키,월별근무지표[키],0)),"직접 입력",IF($L878="—","—","기관명단")))</f>
        <v/>
      </c>
      <c r="X878" s="4">
        <f>IFERROR(MATCH(873,합계표[판정순번],0),"")</f>
        <v/>
      </c>
    </row>
    <row r="879">
      <c r="A879">
        <f>IF($X879="","",INDEX(합계표[사번],$X879)&amp;"")</f>
        <v/>
      </c>
      <c r="B879">
        <f>IF($X879="","",INDEX(합계표[성명],$X879)&amp;"")</f>
        <v/>
      </c>
      <c r="C879">
        <f>IF($X879="","",INDEX(합계표[부서],$X879)&amp;"")</f>
        <v/>
      </c>
      <c r="D879">
        <f>IF($X879="","",INDEX(합계표[직위(요약)],$X879)&amp;"")</f>
        <v/>
      </c>
      <c r="E879">
        <f>IF($X879="","",INDEX(합계표[직급 공존],$X879)&amp;"")</f>
        <v/>
      </c>
      <c r="F879" s="20">
        <f>IF($X879="","",SUMIFS(합계표[시스템 합계],합계표[사번키],INDEX(합계표[사번키],$X879)))</f>
        <v/>
      </c>
      <c r="G879" s="20">
        <f>IF($X879="","",SUMIFS(상세표[기록 시간외],상세표[사번키],INDEX(합계표[사번키],$X879),상세표[기록월],대상월키))</f>
        <v/>
      </c>
      <c r="H879">
        <f>IF($X879="","",IF(ABS($F879-$G879)&lt;0.01,"일치","불일치(차이 "&amp;TEXT($G879-$F879,"0.00")&amp;")"))</f>
        <v/>
      </c>
      <c r="I879" s="20">
        <f>IF($X879="","",SUMIFS(상세표[기록 시간외],상세표[사번키],INDEX(합계표[사번키],$X879),상세표[기록월],대상월키,상세표[반영월],"&lt;&gt;"&amp;대상월키))</f>
        <v/>
      </c>
      <c r="J879" s="20">
        <f>IF($X879="","",SUMIFS(상세표[기록 시간외],상세표[사번키],INDEX(합계표[사번키],$X879),상세표[기록월],"&lt;&gt;"&amp;대상월키,상세표[반영월],대상월키))</f>
        <v/>
      </c>
      <c r="K879" s="20">
        <f>IF($X879="","",SUMIFS(상세표[기록 시간외],상세표[사번키],INDEX(합계표[사번키],$X879),상세표[반영월],대상월키))</f>
        <v/>
      </c>
      <c r="L879">
        <f>IF($X879="","",IFERROR(INDEX(월별근무지표[적용 급여병원],MATCH(INDEX(합계표[사번키],$X879)&amp;"|"&amp;대상월키,월별근무지표[키],0))&amp;"",IF(COUNTIF(기관표[사번키],INDEX(합계표[사번키],$X879))+COUNTIF(월별근무지표[사번키],INDEX(합계표[사번키],$X879))&gt;0,IFERROR(INDEX(기관표[급여지급병원(기준월)],MATCH(INDEX(합계표[사번키],$X879)&amp;"|"&amp;대상월키,기관표[키],0))&amp;"","—"),"—")))</f>
        <v/>
      </c>
      <c r="M879">
        <f>IF($X879="","",IF(NOT(COUNTIF(기관표[사번키],INDEX(합계표[사번키],$X879))+COUNTIF(월별근무지표[사번키],INDEX(합계표[사번키],$X879))&gt;0),"기관명단에 없음(다른 병원으로 발송)",IF($L879="서울병원","해당",IF(N($R879)&gt;0,"해당(말일 근무)",IF($L879="—","대상월 기관명단 없음(추가 필요)","비해당")))))</f>
        <v/>
      </c>
      <c r="N879" s="20">
        <f>IF($X879="","",SUMIFS(상세표[06~07시],상세표[사번키],INDEX(합계표[사번키],$X879),상세표[반영월],대상월키,상세표[반영 기관],"서울병원"))</f>
        <v/>
      </c>
      <c r="O879" s="20">
        <f>IF($X879="","",SUMIFS(상세표[07~18시],상세표[사번키],INDEX(합계표[사번키],$X879),상세표[반영월],대상월키,상세표[반영 기관],"서울병원"))</f>
        <v/>
      </c>
      <c r="P879" s="20">
        <f>IF($X879="","",SUMIFS(상세표[18~22시],상세표[사번키],INDEX(합계표[사번키],$X879),상세표[반영월],대상월키,상세표[반영 기관],"서울병원"))</f>
        <v/>
      </c>
      <c r="Q879" s="20">
        <f>IF($X879="","",SUMIFS(상세표[22~06시],상세표[사번키],INDEX(합계표[사번키],$X879),상세표[반영월],대상월키,상세표[반영 기관],"서울병원"))</f>
        <v/>
      </c>
      <c r="R879" s="20">
        <f>IF($X879="","",SUM($N879:$Q879))</f>
        <v/>
      </c>
      <c r="S879">
        <f>IF($X879="","",COUNTIFS(상세표[사번키],INDEX(합계표[사번키],$X879),상세표[반영월],대상월키,상세표[야간당직],1,상세표[야간 구분],"평일"))</f>
        <v/>
      </c>
      <c r="T879">
        <f>IF($X879="","",COUNTIFS(상세표[사번키],INDEX(합계표[사번키],$X879),상세표[반영월],대상월키,상세표[야간당직],1,상세표[야간 구분],"휴일"))</f>
        <v/>
      </c>
      <c r="U879">
        <f>IF($X879="","",COUNTIFS(상세표[사번키],INDEX(합계표[사번키],$X879),상세표[반영월],대상월키,상세표[야간당직],1,상세표[야간 구분],"평일",상세표[반영 기관],"서울병원"))</f>
        <v/>
      </c>
      <c r="V879">
        <f>IF($X879="","",COUNTIFS(상세표[사번키],INDEX(합계표[사번키],$X879),상세표[반영월],대상월키,상세표[야간당직],1,상세표[야간 구분],"휴일",상세표[반영 기관],"서울병원"))</f>
        <v/>
      </c>
      <c r="W879">
        <f>IF($X879="","",IF(ISNUMBER(MATCH(INDEX(합계표[사번키],$X879)&amp;"|"&amp;대상월키,월별근무지표[키],0)),"직접 입력",IF($L879="—","—","기관명단")))</f>
        <v/>
      </c>
      <c r="X879" s="4">
        <f>IFERROR(MATCH(874,합계표[판정순번],0),"")</f>
        <v/>
      </c>
    </row>
    <row r="880">
      <c r="A880">
        <f>IF($X880="","",INDEX(합계표[사번],$X880)&amp;"")</f>
        <v/>
      </c>
      <c r="B880">
        <f>IF($X880="","",INDEX(합계표[성명],$X880)&amp;"")</f>
        <v/>
      </c>
      <c r="C880">
        <f>IF($X880="","",INDEX(합계표[부서],$X880)&amp;"")</f>
        <v/>
      </c>
      <c r="D880">
        <f>IF($X880="","",INDEX(합계표[직위(요약)],$X880)&amp;"")</f>
        <v/>
      </c>
      <c r="E880">
        <f>IF($X880="","",INDEX(합계표[직급 공존],$X880)&amp;"")</f>
        <v/>
      </c>
      <c r="F880" s="20">
        <f>IF($X880="","",SUMIFS(합계표[시스템 합계],합계표[사번키],INDEX(합계표[사번키],$X880)))</f>
        <v/>
      </c>
      <c r="G880" s="20">
        <f>IF($X880="","",SUMIFS(상세표[기록 시간외],상세표[사번키],INDEX(합계표[사번키],$X880),상세표[기록월],대상월키))</f>
        <v/>
      </c>
      <c r="H880">
        <f>IF($X880="","",IF(ABS($F880-$G880)&lt;0.01,"일치","불일치(차이 "&amp;TEXT($G880-$F880,"0.00")&amp;")"))</f>
        <v/>
      </c>
      <c r="I880" s="20">
        <f>IF($X880="","",SUMIFS(상세표[기록 시간외],상세표[사번키],INDEX(합계표[사번키],$X880),상세표[기록월],대상월키,상세표[반영월],"&lt;&gt;"&amp;대상월키))</f>
        <v/>
      </c>
      <c r="J880" s="20">
        <f>IF($X880="","",SUMIFS(상세표[기록 시간외],상세표[사번키],INDEX(합계표[사번키],$X880),상세표[기록월],"&lt;&gt;"&amp;대상월키,상세표[반영월],대상월키))</f>
        <v/>
      </c>
      <c r="K880" s="20">
        <f>IF($X880="","",SUMIFS(상세표[기록 시간외],상세표[사번키],INDEX(합계표[사번키],$X880),상세표[반영월],대상월키))</f>
        <v/>
      </c>
      <c r="L880">
        <f>IF($X880="","",IFERROR(INDEX(월별근무지표[적용 급여병원],MATCH(INDEX(합계표[사번키],$X880)&amp;"|"&amp;대상월키,월별근무지표[키],0))&amp;"",IF(COUNTIF(기관표[사번키],INDEX(합계표[사번키],$X880))+COUNTIF(월별근무지표[사번키],INDEX(합계표[사번키],$X880))&gt;0,IFERROR(INDEX(기관표[급여지급병원(기준월)],MATCH(INDEX(합계표[사번키],$X880)&amp;"|"&amp;대상월키,기관표[키],0))&amp;"","—"),"—")))</f>
        <v/>
      </c>
      <c r="M880">
        <f>IF($X880="","",IF(NOT(COUNTIF(기관표[사번키],INDEX(합계표[사번키],$X880))+COUNTIF(월별근무지표[사번키],INDEX(합계표[사번키],$X880))&gt;0),"기관명단에 없음(다른 병원으로 발송)",IF($L880="서울병원","해당",IF(N($R880)&gt;0,"해당(말일 근무)",IF($L880="—","대상월 기관명단 없음(추가 필요)","비해당")))))</f>
        <v/>
      </c>
      <c r="N880" s="20">
        <f>IF($X880="","",SUMIFS(상세표[06~07시],상세표[사번키],INDEX(합계표[사번키],$X880),상세표[반영월],대상월키,상세표[반영 기관],"서울병원"))</f>
        <v/>
      </c>
      <c r="O880" s="20">
        <f>IF($X880="","",SUMIFS(상세표[07~18시],상세표[사번키],INDEX(합계표[사번키],$X880),상세표[반영월],대상월키,상세표[반영 기관],"서울병원"))</f>
        <v/>
      </c>
      <c r="P880" s="20">
        <f>IF($X880="","",SUMIFS(상세표[18~22시],상세표[사번키],INDEX(합계표[사번키],$X880),상세표[반영월],대상월키,상세표[반영 기관],"서울병원"))</f>
        <v/>
      </c>
      <c r="Q880" s="20">
        <f>IF($X880="","",SUMIFS(상세표[22~06시],상세표[사번키],INDEX(합계표[사번키],$X880),상세표[반영월],대상월키,상세표[반영 기관],"서울병원"))</f>
        <v/>
      </c>
      <c r="R880" s="20">
        <f>IF($X880="","",SUM($N880:$Q880))</f>
        <v/>
      </c>
      <c r="S880">
        <f>IF($X880="","",COUNTIFS(상세표[사번키],INDEX(합계표[사번키],$X880),상세표[반영월],대상월키,상세표[야간당직],1,상세표[야간 구분],"평일"))</f>
        <v/>
      </c>
      <c r="T880">
        <f>IF($X880="","",COUNTIFS(상세표[사번키],INDEX(합계표[사번키],$X880),상세표[반영월],대상월키,상세표[야간당직],1,상세표[야간 구분],"휴일"))</f>
        <v/>
      </c>
      <c r="U880">
        <f>IF($X880="","",COUNTIFS(상세표[사번키],INDEX(합계표[사번키],$X880),상세표[반영월],대상월키,상세표[야간당직],1,상세표[야간 구분],"평일",상세표[반영 기관],"서울병원"))</f>
        <v/>
      </c>
      <c r="V880">
        <f>IF($X880="","",COUNTIFS(상세표[사번키],INDEX(합계표[사번키],$X880),상세표[반영월],대상월키,상세표[야간당직],1,상세표[야간 구분],"휴일",상세표[반영 기관],"서울병원"))</f>
        <v/>
      </c>
      <c r="W880">
        <f>IF($X880="","",IF(ISNUMBER(MATCH(INDEX(합계표[사번키],$X880)&amp;"|"&amp;대상월키,월별근무지표[키],0)),"직접 입력",IF($L880="—","—","기관명단")))</f>
        <v/>
      </c>
      <c r="X880" s="4">
        <f>IFERROR(MATCH(875,합계표[판정순번],0),"")</f>
        <v/>
      </c>
    </row>
    <row r="881">
      <c r="A881">
        <f>IF($X881="","",INDEX(합계표[사번],$X881)&amp;"")</f>
        <v/>
      </c>
      <c r="B881">
        <f>IF($X881="","",INDEX(합계표[성명],$X881)&amp;"")</f>
        <v/>
      </c>
      <c r="C881">
        <f>IF($X881="","",INDEX(합계표[부서],$X881)&amp;"")</f>
        <v/>
      </c>
      <c r="D881">
        <f>IF($X881="","",INDEX(합계표[직위(요약)],$X881)&amp;"")</f>
        <v/>
      </c>
      <c r="E881">
        <f>IF($X881="","",INDEX(합계표[직급 공존],$X881)&amp;"")</f>
        <v/>
      </c>
      <c r="F881" s="20">
        <f>IF($X881="","",SUMIFS(합계표[시스템 합계],합계표[사번키],INDEX(합계표[사번키],$X881)))</f>
        <v/>
      </c>
      <c r="G881" s="20">
        <f>IF($X881="","",SUMIFS(상세표[기록 시간외],상세표[사번키],INDEX(합계표[사번키],$X881),상세표[기록월],대상월키))</f>
        <v/>
      </c>
      <c r="H881">
        <f>IF($X881="","",IF(ABS($F881-$G881)&lt;0.01,"일치","불일치(차이 "&amp;TEXT($G881-$F881,"0.00")&amp;")"))</f>
        <v/>
      </c>
      <c r="I881" s="20">
        <f>IF($X881="","",SUMIFS(상세표[기록 시간외],상세표[사번키],INDEX(합계표[사번키],$X881),상세표[기록월],대상월키,상세표[반영월],"&lt;&gt;"&amp;대상월키))</f>
        <v/>
      </c>
      <c r="J881" s="20">
        <f>IF($X881="","",SUMIFS(상세표[기록 시간외],상세표[사번키],INDEX(합계표[사번키],$X881),상세표[기록월],"&lt;&gt;"&amp;대상월키,상세표[반영월],대상월키))</f>
        <v/>
      </c>
      <c r="K881" s="20">
        <f>IF($X881="","",SUMIFS(상세표[기록 시간외],상세표[사번키],INDEX(합계표[사번키],$X881),상세표[반영월],대상월키))</f>
        <v/>
      </c>
      <c r="L881">
        <f>IF($X881="","",IFERROR(INDEX(월별근무지표[적용 급여병원],MATCH(INDEX(합계표[사번키],$X881)&amp;"|"&amp;대상월키,월별근무지표[키],0))&amp;"",IF(COUNTIF(기관표[사번키],INDEX(합계표[사번키],$X881))+COUNTIF(월별근무지표[사번키],INDEX(합계표[사번키],$X881))&gt;0,IFERROR(INDEX(기관표[급여지급병원(기준월)],MATCH(INDEX(합계표[사번키],$X881)&amp;"|"&amp;대상월키,기관표[키],0))&amp;"","—"),"—")))</f>
        <v/>
      </c>
      <c r="M881">
        <f>IF($X881="","",IF(NOT(COUNTIF(기관표[사번키],INDEX(합계표[사번키],$X881))+COUNTIF(월별근무지표[사번키],INDEX(합계표[사번키],$X881))&gt;0),"기관명단에 없음(다른 병원으로 발송)",IF($L881="서울병원","해당",IF(N($R881)&gt;0,"해당(말일 근무)",IF($L881="—","대상월 기관명단 없음(추가 필요)","비해당")))))</f>
        <v/>
      </c>
      <c r="N881" s="20">
        <f>IF($X881="","",SUMIFS(상세표[06~07시],상세표[사번키],INDEX(합계표[사번키],$X881),상세표[반영월],대상월키,상세표[반영 기관],"서울병원"))</f>
        <v/>
      </c>
      <c r="O881" s="20">
        <f>IF($X881="","",SUMIFS(상세표[07~18시],상세표[사번키],INDEX(합계표[사번키],$X881),상세표[반영월],대상월키,상세표[반영 기관],"서울병원"))</f>
        <v/>
      </c>
      <c r="P881" s="20">
        <f>IF($X881="","",SUMIFS(상세표[18~22시],상세표[사번키],INDEX(합계표[사번키],$X881),상세표[반영월],대상월키,상세표[반영 기관],"서울병원"))</f>
        <v/>
      </c>
      <c r="Q881" s="20">
        <f>IF($X881="","",SUMIFS(상세표[22~06시],상세표[사번키],INDEX(합계표[사번키],$X881),상세표[반영월],대상월키,상세표[반영 기관],"서울병원"))</f>
        <v/>
      </c>
      <c r="R881" s="20">
        <f>IF($X881="","",SUM($N881:$Q881))</f>
        <v/>
      </c>
      <c r="S881">
        <f>IF($X881="","",COUNTIFS(상세표[사번키],INDEX(합계표[사번키],$X881),상세표[반영월],대상월키,상세표[야간당직],1,상세표[야간 구분],"평일"))</f>
        <v/>
      </c>
      <c r="T881">
        <f>IF($X881="","",COUNTIFS(상세표[사번키],INDEX(합계표[사번키],$X881),상세표[반영월],대상월키,상세표[야간당직],1,상세표[야간 구분],"휴일"))</f>
        <v/>
      </c>
      <c r="U881">
        <f>IF($X881="","",COUNTIFS(상세표[사번키],INDEX(합계표[사번키],$X881),상세표[반영월],대상월키,상세표[야간당직],1,상세표[야간 구분],"평일",상세표[반영 기관],"서울병원"))</f>
        <v/>
      </c>
      <c r="V881">
        <f>IF($X881="","",COUNTIFS(상세표[사번키],INDEX(합계표[사번키],$X881),상세표[반영월],대상월키,상세표[야간당직],1,상세표[야간 구분],"휴일",상세표[반영 기관],"서울병원"))</f>
        <v/>
      </c>
      <c r="W881">
        <f>IF($X881="","",IF(ISNUMBER(MATCH(INDEX(합계표[사번키],$X881)&amp;"|"&amp;대상월키,월별근무지표[키],0)),"직접 입력",IF($L881="—","—","기관명단")))</f>
        <v/>
      </c>
      <c r="X881" s="4">
        <f>IFERROR(MATCH(876,합계표[판정순번],0),"")</f>
        <v/>
      </c>
    </row>
    <row r="882">
      <c r="A882">
        <f>IF($X882="","",INDEX(합계표[사번],$X882)&amp;"")</f>
        <v/>
      </c>
      <c r="B882">
        <f>IF($X882="","",INDEX(합계표[성명],$X882)&amp;"")</f>
        <v/>
      </c>
      <c r="C882">
        <f>IF($X882="","",INDEX(합계표[부서],$X882)&amp;"")</f>
        <v/>
      </c>
      <c r="D882">
        <f>IF($X882="","",INDEX(합계표[직위(요약)],$X882)&amp;"")</f>
        <v/>
      </c>
      <c r="E882">
        <f>IF($X882="","",INDEX(합계표[직급 공존],$X882)&amp;"")</f>
        <v/>
      </c>
      <c r="F882" s="20">
        <f>IF($X882="","",SUMIFS(합계표[시스템 합계],합계표[사번키],INDEX(합계표[사번키],$X882)))</f>
        <v/>
      </c>
      <c r="G882" s="20">
        <f>IF($X882="","",SUMIFS(상세표[기록 시간외],상세표[사번키],INDEX(합계표[사번키],$X882),상세표[기록월],대상월키))</f>
        <v/>
      </c>
      <c r="H882">
        <f>IF($X882="","",IF(ABS($F882-$G882)&lt;0.01,"일치","불일치(차이 "&amp;TEXT($G882-$F882,"0.00")&amp;")"))</f>
        <v/>
      </c>
      <c r="I882" s="20">
        <f>IF($X882="","",SUMIFS(상세표[기록 시간외],상세표[사번키],INDEX(합계표[사번키],$X882),상세표[기록월],대상월키,상세표[반영월],"&lt;&gt;"&amp;대상월키))</f>
        <v/>
      </c>
      <c r="J882" s="20">
        <f>IF($X882="","",SUMIFS(상세표[기록 시간외],상세표[사번키],INDEX(합계표[사번키],$X882),상세표[기록월],"&lt;&gt;"&amp;대상월키,상세표[반영월],대상월키))</f>
        <v/>
      </c>
      <c r="K882" s="20">
        <f>IF($X882="","",SUMIFS(상세표[기록 시간외],상세표[사번키],INDEX(합계표[사번키],$X882),상세표[반영월],대상월키))</f>
        <v/>
      </c>
      <c r="L882">
        <f>IF($X882="","",IFERROR(INDEX(월별근무지표[적용 급여병원],MATCH(INDEX(합계표[사번키],$X882)&amp;"|"&amp;대상월키,월별근무지표[키],0))&amp;"",IF(COUNTIF(기관표[사번키],INDEX(합계표[사번키],$X882))+COUNTIF(월별근무지표[사번키],INDEX(합계표[사번키],$X882))&gt;0,IFERROR(INDEX(기관표[급여지급병원(기준월)],MATCH(INDEX(합계표[사번키],$X882)&amp;"|"&amp;대상월키,기관표[키],0))&amp;"","—"),"—")))</f>
        <v/>
      </c>
      <c r="M882">
        <f>IF($X882="","",IF(NOT(COUNTIF(기관표[사번키],INDEX(합계표[사번키],$X882))+COUNTIF(월별근무지표[사번키],INDEX(합계표[사번키],$X882))&gt;0),"기관명단에 없음(다른 병원으로 발송)",IF($L882="서울병원","해당",IF(N($R882)&gt;0,"해당(말일 근무)",IF($L882="—","대상월 기관명단 없음(추가 필요)","비해당")))))</f>
        <v/>
      </c>
      <c r="N882" s="20">
        <f>IF($X882="","",SUMIFS(상세표[06~07시],상세표[사번키],INDEX(합계표[사번키],$X882),상세표[반영월],대상월키,상세표[반영 기관],"서울병원"))</f>
        <v/>
      </c>
      <c r="O882" s="20">
        <f>IF($X882="","",SUMIFS(상세표[07~18시],상세표[사번키],INDEX(합계표[사번키],$X882),상세표[반영월],대상월키,상세표[반영 기관],"서울병원"))</f>
        <v/>
      </c>
      <c r="P882" s="20">
        <f>IF($X882="","",SUMIFS(상세표[18~22시],상세표[사번키],INDEX(합계표[사번키],$X882),상세표[반영월],대상월키,상세표[반영 기관],"서울병원"))</f>
        <v/>
      </c>
      <c r="Q882" s="20">
        <f>IF($X882="","",SUMIFS(상세표[22~06시],상세표[사번키],INDEX(합계표[사번키],$X882),상세표[반영월],대상월키,상세표[반영 기관],"서울병원"))</f>
        <v/>
      </c>
      <c r="R882" s="20">
        <f>IF($X882="","",SUM($N882:$Q882))</f>
        <v/>
      </c>
      <c r="S882">
        <f>IF($X882="","",COUNTIFS(상세표[사번키],INDEX(합계표[사번키],$X882),상세표[반영월],대상월키,상세표[야간당직],1,상세표[야간 구분],"평일"))</f>
        <v/>
      </c>
      <c r="T882">
        <f>IF($X882="","",COUNTIFS(상세표[사번키],INDEX(합계표[사번키],$X882),상세표[반영월],대상월키,상세표[야간당직],1,상세표[야간 구분],"휴일"))</f>
        <v/>
      </c>
      <c r="U882">
        <f>IF($X882="","",COUNTIFS(상세표[사번키],INDEX(합계표[사번키],$X882),상세표[반영월],대상월키,상세표[야간당직],1,상세표[야간 구분],"평일",상세표[반영 기관],"서울병원"))</f>
        <v/>
      </c>
      <c r="V882">
        <f>IF($X882="","",COUNTIFS(상세표[사번키],INDEX(합계표[사번키],$X882),상세표[반영월],대상월키,상세표[야간당직],1,상세표[야간 구분],"휴일",상세표[반영 기관],"서울병원"))</f>
        <v/>
      </c>
      <c r="W882">
        <f>IF($X882="","",IF(ISNUMBER(MATCH(INDEX(합계표[사번키],$X882)&amp;"|"&amp;대상월키,월별근무지표[키],0)),"직접 입력",IF($L882="—","—","기관명단")))</f>
        <v/>
      </c>
      <c r="X882" s="4">
        <f>IFERROR(MATCH(877,합계표[판정순번],0),"")</f>
        <v/>
      </c>
    </row>
    <row r="883">
      <c r="A883">
        <f>IF($X883="","",INDEX(합계표[사번],$X883)&amp;"")</f>
        <v/>
      </c>
      <c r="B883">
        <f>IF($X883="","",INDEX(합계표[성명],$X883)&amp;"")</f>
        <v/>
      </c>
      <c r="C883">
        <f>IF($X883="","",INDEX(합계표[부서],$X883)&amp;"")</f>
        <v/>
      </c>
      <c r="D883">
        <f>IF($X883="","",INDEX(합계표[직위(요약)],$X883)&amp;"")</f>
        <v/>
      </c>
      <c r="E883">
        <f>IF($X883="","",INDEX(합계표[직급 공존],$X883)&amp;"")</f>
        <v/>
      </c>
      <c r="F883" s="20">
        <f>IF($X883="","",SUMIFS(합계표[시스템 합계],합계표[사번키],INDEX(합계표[사번키],$X883)))</f>
        <v/>
      </c>
      <c r="G883" s="20">
        <f>IF($X883="","",SUMIFS(상세표[기록 시간외],상세표[사번키],INDEX(합계표[사번키],$X883),상세표[기록월],대상월키))</f>
        <v/>
      </c>
      <c r="H883">
        <f>IF($X883="","",IF(ABS($F883-$G883)&lt;0.01,"일치","불일치(차이 "&amp;TEXT($G883-$F883,"0.00")&amp;")"))</f>
        <v/>
      </c>
      <c r="I883" s="20">
        <f>IF($X883="","",SUMIFS(상세표[기록 시간외],상세표[사번키],INDEX(합계표[사번키],$X883),상세표[기록월],대상월키,상세표[반영월],"&lt;&gt;"&amp;대상월키))</f>
        <v/>
      </c>
      <c r="J883" s="20">
        <f>IF($X883="","",SUMIFS(상세표[기록 시간외],상세표[사번키],INDEX(합계표[사번키],$X883),상세표[기록월],"&lt;&gt;"&amp;대상월키,상세표[반영월],대상월키))</f>
        <v/>
      </c>
      <c r="K883" s="20">
        <f>IF($X883="","",SUMIFS(상세표[기록 시간외],상세표[사번키],INDEX(합계표[사번키],$X883),상세표[반영월],대상월키))</f>
        <v/>
      </c>
      <c r="L883">
        <f>IF($X883="","",IFERROR(INDEX(월별근무지표[적용 급여병원],MATCH(INDEX(합계표[사번키],$X883)&amp;"|"&amp;대상월키,월별근무지표[키],0))&amp;"",IF(COUNTIF(기관표[사번키],INDEX(합계표[사번키],$X883))+COUNTIF(월별근무지표[사번키],INDEX(합계표[사번키],$X883))&gt;0,IFERROR(INDEX(기관표[급여지급병원(기준월)],MATCH(INDEX(합계표[사번키],$X883)&amp;"|"&amp;대상월키,기관표[키],0))&amp;"","—"),"—")))</f>
        <v/>
      </c>
      <c r="M883">
        <f>IF($X883="","",IF(NOT(COUNTIF(기관표[사번키],INDEX(합계표[사번키],$X883))+COUNTIF(월별근무지표[사번키],INDEX(합계표[사번키],$X883))&gt;0),"기관명단에 없음(다른 병원으로 발송)",IF($L883="서울병원","해당",IF(N($R883)&gt;0,"해당(말일 근무)",IF($L883="—","대상월 기관명단 없음(추가 필요)","비해당")))))</f>
        <v/>
      </c>
      <c r="N883" s="20">
        <f>IF($X883="","",SUMIFS(상세표[06~07시],상세표[사번키],INDEX(합계표[사번키],$X883),상세표[반영월],대상월키,상세표[반영 기관],"서울병원"))</f>
        <v/>
      </c>
      <c r="O883" s="20">
        <f>IF($X883="","",SUMIFS(상세표[07~18시],상세표[사번키],INDEX(합계표[사번키],$X883),상세표[반영월],대상월키,상세표[반영 기관],"서울병원"))</f>
        <v/>
      </c>
      <c r="P883" s="20">
        <f>IF($X883="","",SUMIFS(상세표[18~22시],상세표[사번키],INDEX(합계표[사번키],$X883),상세표[반영월],대상월키,상세표[반영 기관],"서울병원"))</f>
        <v/>
      </c>
      <c r="Q883" s="20">
        <f>IF($X883="","",SUMIFS(상세표[22~06시],상세표[사번키],INDEX(합계표[사번키],$X883),상세표[반영월],대상월키,상세표[반영 기관],"서울병원"))</f>
        <v/>
      </c>
      <c r="R883" s="20">
        <f>IF($X883="","",SUM($N883:$Q883))</f>
        <v/>
      </c>
      <c r="S883">
        <f>IF($X883="","",COUNTIFS(상세표[사번키],INDEX(합계표[사번키],$X883),상세표[반영월],대상월키,상세표[야간당직],1,상세표[야간 구분],"평일"))</f>
        <v/>
      </c>
      <c r="T883">
        <f>IF($X883="","",COUNTIFS(상세표[사번키],INDEX(합계표[사번키],$X883),상세표[반영월],대상월키,상세표[야간당직],1,상세표[야간 구분],"휴일"))</f>
        <v/>
      </c>
      <c r="U883">
        <f>IF($X883="","",COUNTIFS(상세표[사번키],INDEX(합계표[사번키],$X883),상세표[반영월],대상월키,상세표[야간당직],1,상세표[야간 구분],"평일",상세표[반영 기관],"서울병원"))</f>
        <v/>
      </c>
      <c r="V883">
        <f>IF($X883="","",COUNTIFS(상세표[사번키],INDEX(합계표[사번키],$X883),상세표[반영월],대상월키,상세표[야간당직],1,상세표[야간 구분],"휴일",상세표[반영 기관],"서울병원"))</f>
        <v/>
      </c>
      <c r="W883">
        <f>IF($X883="","",IF(ISNUMBER(MATCH(INDEX(합계표[사번키],$X883)&amp;"|"&amp;대상월키,월별근무지표[키],0)),"직접 입력",IF($L883="—","—","기관명단")))</f>
        <v/>
      </c>
      <c r="X883" s="4">
        <f>IFERROR(MATCH(878,합계표[판정순번],0),"")</f>
        <v/>
      </c>
    </row>
    <row r="884">
      <c r="A884">
        <f>IF($X884="","",INDEX(합계표[사번],$X884)&amp;"")</f>
        <v/>
      </c>
      <c r="B884">
        <f>IF($X884="","",INDEX(합계표[성명],$X884)&amp;"")</f>
        <v/>
      </c>
      <c r="C884">
        <f>IF($X884="","",INDEX(합계표[부서],$X884)&amp;"")</f>
        <v/>
      </c>
      <c r="D884">
        <f>IF($X884="","",INDEX(합계표[직위(요약)],$X884)&amp;"")</f>
        <v/>
      </c>
      <c r="E884">
        <f>IF($X884="","",INDEX(합계표[직급 공존],$X884)&amp;"")</f>
        <v/>
      </c>
      <c r="F884" s="20">
        <f>IF($X884="","",SUMIFS(합계표[시스템 합계],합계표[사번키],INDEX(합계표[사번키],$X884)))</f>
        <v/>
      </c>
      <c r="G884" s="20">
        <f>IF($X884="","",SUMIFS(상세표[기록 시간외],상세표[사번키],INDEX(합계표[사번키],$X884),상세표[기록월],대상월키))</f>
        <v/>
      </c>
      <c r="H884">
        <f>IF($X884="","",IF(ABS($F884-$G884)&lt;0.01,"일치","불일치(차이 "&amp;TEXT($G884-$F884,"0.00")&amp;")"))</f>
        <v/>
      </c>
      <c r="I884" s="20">
        <f>IF($X884="","",SUMIFS(상세표[기록 시간외],상세표[사번키],INDEX(합계표[사번키],$X884),상세표[기록월],대상월키,상세표[반영월],"&lt;&gt;"&amp;대상월키))</f>
        <v/>
      </c>
      <c r="J884" s="20">
        <f>IF($X884="","",SUMIFS(상세표[기록 시간외],상세표[사번키],INDEX(합계표[사번키],$X884),상세표[기록월],"&lt;&gt;"&amp;대상월키,상세표[반영월],대상월키))</f>
        <v/>
      </c>
      <c r="K884" s="20">
        <f>IF($X884="","",SUMIFS(상세표[기록 시간외],상세표[사번키],INDEX(합계표[사번키],$X884),상세표[반영월],대상월키))</f>
        <v/>
      </c>
      <c r="L884">
        <f>IF($X884="","",IFERROR(INDEX(월별근무지표[적용 급여병원],MATCH(INDEX(합계표[사번키],$X884)&amp;"|"&amp;대상월키,월별근무지표[키],0))&amp;"",IF(COUNTIF(기관표[사번키],INDEX(합계표[사번키],$X884))+COUNTIF(월별근무지표[사번키],INDEX(합계표[사번키],$X884))&gt;0,IFERROR(INDEX(기관표[급여지급병원(기준월)],MATCH(INDEX(합계표[사번키],$X884)&amp;"|"&amp;대상월키,기관표[키],0))&amp;"","—"),"—")))</f>
        <v/>
      </c>
      <c r="M884">
        <f>IF($X884="","",IF(NOT(COUNTIF(기관표[사번키],INDEX(합계표[사번키],$X884))+COUNTIF(월별근무지표[사번키],INDEX(합계표[사번키],$X884))&gt;0),"기관명단에 없음(다른 병원으로 발송)",IF($L884="서울병원","해당",IF(N($R884)&gt;0,"해당(말일 근무)",IF($L884="—","대상월 기관명단 없음(추가 필요)","비해당")))))</f>
        <v/>
      </c>
      <c r="N884" s="20">
        <f>IF($X884="","",SUMIFS(상세표[06~07시],상세표[사번키],INDEX(합계표[사번키],$X884),상세표[반영월],대상월키,상세표[반영 기관],"서울병원"))</f>
        <v/>
      </c>
      <c r="O884" s="20">
        <f>IF($X884="","",SUMIFS(상세표[07~18시],상세표[사번키],INDEX(합계표[사번키],$X884),상세표[반영월],대상월키,상세표[반영 기관],"서울병원"))</f>
        <v/>
      </c>
      <c r="P884" s="20">
        <f>IF($X884="","",SUMIFS(상세표[18~22시],상세표[사번키],INDEX(합계표[사번키],$X884),상세표[반영월],대상월키,상세표[반영 기관],"서울병원"))</f>
        <v/>
      </c>
      <c r="Q884" s="20">
        <f>IF($X884="","",SUMIFS(상세표[22~06시],상세표[사번키],INDEX(합계표[사번키],$X884),상세표[반영월],대상월키,상세표[반영 기관],"서울병원"))</f>
        <v/>
      </c>
      <c r="R884" s="20">
        <f>IF($X884="","",SUM($N884:$Q884))</f>
        <v/>
      </c>
      <c r="S884">
        <f>IF($X884="","",COUNTIFS(상세표[사번키],INDEX(합계표[사번키],$X884),상세표[반영월],대상월키,상세표[야간당직],1,상세표[야간 구분],"평일"))</f>
        <v/>
      </c>
      <c r="T884">
        <f>IF($X884="","",COUNTIFS(상세표[사번키],INDEX(합계표[사번키],$X884),상세표[반영월],대상월키,상세표[야간당직],1,상세표[야간 구분],"휴일"))</f>
        <v/>
      </c>
      <c r="U884">
        <f>IF($X884="","",COUNTIFS(상세표[사번키],INDEX(합계표[사번키],$X884),상세표[반영월],대상월키,상세표[야간당직],1,상세표[야간 구분],"평일",상세표[반영 기관],"서울병원"))</f>
        <v/>
      </c>
      <c r="V884">
        <f>IF($X884="","",COUNTIFS(상세표[사번키],INDEX(합계표[사번키],$X884),상세표[반영월],대상월키,상세표[야간당직],1,상세표[야간 구분],"휴일",상세표[반영 기관],"서울병원"))</f>
        <v/>
      </c>
      <c r="W884">
        <f>IF($X884="","",IF(ISNUMBER(MATCH(INDEX(합계표[사번키],$X884)&amp;"|"&amp;대상월키,월별근무지표[키],0)),"직접 입력",IF($L884="—","—","기관명단")))</f>
        <v/>
      </c>
      <c r="X884" s="4">
        <f>IFERROR(MATCH(879,합계표[판정순번],0),"")</f>
        <v/>
      </c>
    </row>
    <row r="885">
      <c r="A885">
        <f>IF($X885="","",INDEX(합계표[사번],$X885)&amp;"")</f>
        <v/>
      </c>
      <c r="B885">
        <f>IF($X885="","",INDEX(합계표[성명],$X885)&amp;"")</f>
        <v/>
      </c>
      <c r="C885">
        <f>IF($X885="","",INDEX(합계표[부서],$X885)&amp;"")</f>
        <v/>
      </c>
      <c r="D885">
        <f>IF($X885="","",INDEX(합계표[직위(요약)],$X885)&amp;"")</f>
        <v/>
      </c>
      <c r="E885">
        <f>IF($X885="","",INDEX(합계표[직급 공존],$X885)&amp;"")</f>
        <v/>
      </c>
      <c r="F885" s="20">
        <f>IF($X885="","",SUMIFS(합계표[시스템 합계],합계표[사번키],INDEX(합계표[사번키],$X885)))</f>
        <v/>
      </c>
      <c r="G885" s="20">
        <f>IF($X885="","",SUMIFS(상세표[기록 시간외],상세표[사번키],INDEX(합계표[사번키],$X885),상세표[기록월],대상월키))</f>
        <v/>
      </c>
      <c r="H885">
        <f>IF($X885="","",IF(ABS($F885-$G885)&lt;0.01,"일치","불일치(차이 "&amp;TEXT($G885-$F885,"0.00")&amp;")"))</f>
        <v/>
      </c>
      <c r="I885" s="20">
        <f>IF($X885="","",SUMIFS(상세표[기록 시간외],상세표[사번키],INDEX(합계표[사번키],$X885),상세표[기록월],대상월키,상세표[반영월],"&lt;&gt;"&amp;대상월키))</f>
        <v/>
      </c>
      <c r="J885" s="20">
        <f>IF($X885="","",SUMIFS(상세표[기록 시간외],상세표[사번키],INDEX(합계표[사번키],$X885),상세표[기록월],"&lt;&gt;"&amp;대상월키,상세표[반영월],대상월키))</f>
        <v/>
      </c>
      <c r="K885" s="20">
        <f>IF($X885="","",SUMIFS(상세표[기록 시간외],상세표[사번키],INDEX(합계표[사번키],$X885),상세표[반영월],대상월키))</f>
        <v/>
      </c>
      <c r="L885">
        <f>IF($X885="","",IFERROR(INDEX(월별근무지표[적용 급여병원],MATCH(INDEX(합계표[사번키],$X885)&amp;"|"&amp;대상월키,월별근무지표[키],0))&amp;"",IF(COUNTIF(기관표[사번키],INDEX(합계표[사번키],$X885))+COUNTIF(월별근무지표[사번키],INDEX(합계표[사번키],$X885))&gt;0,IFERROR(INDEX(기관표[급여지급병원(기준월)],MATCH(INDEX(합계표[사번키],$X885)&amp;"|"&amp;대상월키,기관표[키],0))&amp;"","—"),"—")))</f>
        <v/>
      </c>
      <c r="M885">
        <f>IF($X885="","",IF(NOT(COUNTIF(기관표[사번키],INDEX(합계표[사번키],$X885))+COUNTIF(월별근무지표[사번키],INDEX(합계표[사번키],$X885))&gt;0),"기관명단에 없음(다른 병원으로 발송)",IF($L885="서울병원","해당",IF(N($R885)&gt;0,"해당(말일 근무)",IF($L885="—","대상월 기관명단 없음(추가 필요)","비해당")))))</f>
        <v/>
      </c>
      <c r="N885" s="20">
        <f>IF($X885="","",SUMIFS(상세표[06~07시],상세표[사번키],INDEX(합계표[사번키],$X885),상세표[반영월],대상월키,상세표[반영 기관],"서울병원"))</f>
        <v/>
      </c>
      <c r="O885" s="20">
        <f>IF($X885="","",SUMIFS(상세표[07~18시],상세표[사번키],INDEX(합계표[사번키],$X885),상세표[반영월],대상월키,상세표[반영 기관],"서울병원"))</f>
        <v/>
      </c>
      <c r="P885" s="20">
        <f>IF($X885="","",SUMIFS(상세표[18~22시],상세표[사번키],INDEX(합계표[사번키],$X885),상세표[반영월],대상월키,상세표[반영 기관],"서울병원"))</f>
        <v/>
      </c>
      <c r="Q885" s="20">
        <f>IF($X885="","",SUMIFS(상세표[22~06시],상세표[사번키],INDEX(합계표[사번키],$X885),상세표[반영월],대상월키,상세표[반영 기관],"서울병원"))</f>
        <v/>
      </c>
      <c r="R885" s="20">
        <f>IF($X885="","",SUM($N885:$Q885))</f>
        <v/>
      </c>
      <c r="S885">
        <f>IF($X885="","",COUNTIFS(상세표[사번키],INDEX(합계표[사번키],$X885),상세표[반영월],대상월키,상세표[야간당직],1,상세표[야간 구분],"평일"))</f>
        <v/>
      </c>
      <c r="T885">
        <f>IF($X885="","",COUNTIFS(상세표[사번키],INDEX(합계표[사번키],$X885),상세표[반영월],대상월키,상세표[야간당직],1,상세표[야간 구분],"휴일"))</f>
        <v/>
      </c>
      <c r="U885">
        <f>IF($X885="","",COUNTIFS(상세표[사번키],INDEX(합계표[사번키],$X885),상세표[반영월],대상월키,상세표[야간당직],1,상세표[야간 구분],"평일",상세표[반영 기관],"서울병원"))</f>
        <v/>
      </c>
      <c r="V885">
        <f>IF($X885="","",COUNTIFS(상세표[사번키],INDEX(합계표[사번키],$X885),상세표[반영월],대상월키,상세표[야간당직],1,상세표[야간 구분],"휴일",상세표[반영 기관],"서울병원"))</f>
        <v/>
      </c>
      <c r="W885">
        <f>IF($X885="","",IF(ISNUMBER(MATCH(INDEX(합계표[사번키],$X885)&amp;"|"&amp;대상월키,월별근무지표[키],0)),"직접 입력",IF($L885="—","—","기관명단")))</f>
        <v/>
      </c>
      <c r="X885" s="4">
        <f>IFERROR(MATCH(880,합계표[판정순번],0),"")</f>
        <v/>
      </c>
    </row>
    <row r="886">
      <c r="A886">
        <f>IF($X886="","",INDEX(합계표[사번],$X886)&amp;"")</f>
        <v/>
      </c>
      <c r="B886">
        <f>IF($X886="","",INDEX(합계표[성명],$X886)&amp;"")</f>
        <v/>
      </c>
      <c r="C886">
        <f>IF($X886="","",INDEX(합계표[부서],$X886)&amp;"")</f>
        <v/>
      </c>
      <c r="D886">
        <f>IF($X886="","",INDEX(합계표[직위(요약)],$X886)&amp;"")</f>
        <v/>
      </c>
      <c r="E886">
        <f>IF($X886="","",INDEX(합계표[직급 공존],$X886)&amp;"")</f>
        <v/>
      </c>
      <c r="F886" s="20">
        <f>IF($X886="","",SUMIFS(합계표[시스템 합계],합계표[사번키],INDEX(합계표[사번키],$X886)))</f>
        <v/>
      </c>
      <c r="G886" s="20">
        <f>IF($X886="","",SUMIFS(상세표[기록 시간외],상세표[사번키],INDEX(합계표[사번키],$X886),상세표[기록월],대상월키))</f>
        <v/>
      </c>
      <c r="H886">
        <f>IF($X886="","",IF(ABS($F886-$G886)&lt;0.01,"일치","불일치(차이 "&amp;TEXT($G886-$F886,"0.00")&amp;")"))</f>
        <v/>
      </c>
      <c r="I886" s="20">
        <f>IF($X886="","",SUMIFS(상세표[기록 시간외],상세표[사번키],INDEX(합계표[사번키],$X886),상세표[기록월],대상월키,상세표[반영월],"&lt;&gt;"&amp;대상월키))</f>
        <v/>
      </c>
      <c r="J886" s="20">
        <f>IF($X886="","",SUMIFS(상세표[기록 시간외],상세표[사번키],INDEX(합계표[사번키],$X886),상세표[기록월],"&lt;&gt;"&amp;대상월키,상세표[반영월],대상월키))</f>
        <v/>
      </c>
      <c r="K886" s="20">
        <f>IF($X886="","",SUMIFS(상세표[기록 시간외],상세표[사번키],INDEX(합계표[사번키],$X886),상세표[반영월],대상월키))</f>
        <v/>
      </c>
      <c r="L886">
        <f>IF($X886="","",IFERROR(INDEX(월별근무지표[적용 급여병원],MATCH(INDEX(합계표[사번키],$X886)&amp;"|"&amp;대상월키,월별근무지표[키],0))&amp;"",IF(COUNTIF(기관표[사번키],INDEX(합계표[사번키],$X886))+COUNTIF(월별근무지표[사번키],INDEX(합계표[사번키],$X886))&gt;0,IFERROR(INDEX(기관표[급여지급병원(기준월)],MATCH(INDEX(합계표[사번키],$X886)&amp;"|"&amp;대상월키,기관표[키],0))&amp;"","—"),"—")))</f>
        <v/>
      </c>
      <c r="M886">
        <f>IF($X886="","",IF(NOT(COUNTIF(기관표[사번키],INDEX(합계표[사번키],$X886))+COUNTIF(월별근무지표[사번키],INDEX(합계표[사번키],$X886))&gt;0),"기관명단에 없음(다른 병원으로 발송)",IF($L886="서울병원","해당",IF(N($R886)&gt;0,"해당(말일 근무)",IF($L886="—","대상월 기관명단 없음(추가 필요)","비해당")))))</f>
        <v/>
      </c>
      <c r="N886" s="20">
        <f>IF($X886="","",SUMIFS(상세표[06~07시],상세표[사번키],INDEX(합계표[사번키],$X886),상세표[반영월],대상월키,상세표[반영 기관],"서울병원"))</f>
        <v/>
      </c>
      <c r="O886" s="20">
        <f>IF($X886="","",SUMIFS(상세표[07~18시],상세표[사번키],INDEX(합계표[사번키],$X886),상세표[반영월],대상월키,상세표[반영 기관],"서울병원"))</f>
        <v/>
      </c>
      <c r="P886" s="20">
        <f>IF($X886="","",SUMIFS(상세표[18~22시],상세표[사번키],INDEX(합계표[사번키],$X886),상세표[반영월],대상월키,상세표[반영 기관],"서울병원"))</f>
        <v/>
      </c>
      <c r="Q886" s="20">
        <f>IF($X886="","",SUMIFS(상세표[22~06시],상세표[사번키],INDEX(합계표[사번키],$X886),상세표[반영월],대상월키,상세표[반영 기관],"서울병원"))</f>
        <v/>
      </c>
      <c r="R886" s="20">
        <f>IF($X886="","",SUM($N886:$Q886))</f>
        <v/>
      </c>
      <c r="S886">
        <f>IF($X886="","",COUNTIFS(상세표[사번키],INDEX(합계표[사번키],$X886),상세표[반영월],대상월키,상세표[야간당직],1,상세표[야간 구분],"평일"))</f>
        <v/>
      </c>
      <c r="T886">
        <f>IF($X886="","",COUNTIFS(상세표[사번키],INDEX(합계표[사번키],$X886),상세표[반영월],대상월키,상세표[야간당직],1,상세표[야간 구분],"휴일"))</f>
        <v/>
      </c>
      <c r="U886">
        <f>IF($X886="","",COUNTIFS(상세표[사번키],INDEX(합계표[사번키],$X886),상세표[반영월],대상월키,상세표[야간당직],1,상세표[야간 구분],"평일",상세표[반영 기관],"서울병원"))</f>
        <v/>
      </c>
      <c r="V886">
        <f>IF($X886="","",COUNTIFS(상세표[사번키],INDEX(합계표[사번키],$X886),상세표[반영월],대상월키,상세표[야간당직],1,상세표[야간 구분],"휴일",상세표[반영 기관],"서울병원"))</f>
        <v/>
      </c>
      <c r="W886">
        <f>IF($X886="","",IF(ISNUMBER(MATCH(INDEX(합계표[사번키],$X886)&amp;"|"&amp;대상월키,월별근무지표[키],0)),"직접 입력",IF($L886="—","—","기관명단")))</f>
        <v/>
      </c>
      <c r="X886" s="4">
        <f>IFERROR(MATCH(881,합계표[판정순번],0),"")</f>
        <v/>
      </c>
    </row>
    <row r="887">
      <c r="A887">
        <f>IF($X887="","",INDEX(합계표[사번],$X887)&amp;"")</f>
        <v/>
      </c>
      <c r="B887">
        <f>IF($X887="","",INDEX(합계표[성명],$X887)&amp;"")</f>
        <v/>
      </c>
      <c r="C887">
        <f>IF($X887="","",INDEX(합계표[부서],$X887)&amp;"")</f>
        <v/>
      </c>
      <c r="D887">
        <f>IF($X887="","",INDEX(합계표[직위(요약)],$X887)&amp;"")</f>
        <v/>
      </c>
      <c r="E887">
        <f>IF($X887="","",INDEX(합계표[직급 공존],$X887)&amp;"")</f>
        <v/>
      </c>
      <c r="F887" s="20">
        <f>IF($X887="","",SUMIFS(합계표[시스템 합계],합계표[사번키],INDEX(합계표[사번키],$X887)))</f>
        <v/>
      </c>
      <c r="G887" s="20">
        <f>IF($X887="","",SUMIFS(상세표[기록 시간외],상세표[사번키],INDEX(합계표[사번키],$X887),상세표[기록월],대상월키))</f>
        <v/>
      </c>
      <c r="H887">
        <f>IF($X887="","",IF(ABS($F887-$G887)&lt;0.01,"일치","불일치(차이 "&amp;TEXT($G887-$F887,"0.00")&amp;")"))</f>
        <v/>
      </c>
      <c r="I887" s="20">
        <f>IF($X887="","",SUMIFS(상세표[기록 시간외],상세표[사번키],INDEX(합계표[사번키],$X887),상세표[기록월],대상월키,상세표[반영월],"&lt;&gt;"&amp;대상월키))</f>
        <v/>
      </c>
      <c r="J887" s="20">
        <f>IF($X887="","",SUMIFS(상세표[기록 시간외],상세표[사번키],INDEX(합계표[사번키],$X887),상세표[기록월],"&lt;&gt;"&amp;대상월키,상세표[반영월],대상월키))</f>
        <v/>
      </c>
      <c r="K887" s="20">
        <f>IF($X887="","",SUMIFS(상세표[기록 시간외],상세표[사번키],INDEX(합계표[사번키],$X887),상세표[반영월],대상월키))</f>
        <v/>
      </c>
      <c r="L887">
        <f>IF($X887="","",IFERROR(INDEX(월별근무지표[적용 급여병원],MATCH(INDEX(합계표[사번키],$X887)&amp;"|"&amp;대상월키,월별근무지표[키],0))&amp;"",IF(COUNTIF(기관표[사번키],INDEX(합계표[사번키],$X887))+COUNTIF(월별근무지표[사번키],INDEX(합계표[사번키],$X887))&gt;0,IFERROR(INDEX(기관표[급여지급병원(기준월)],MATCH(INDEX(합계표[사번키],$X887)&amp;"|"&amp;대상월키,기관표[키],0))&amp;"","—"),"—")))</f>
        <v/>
      </c>
      <c r="M887">
        <f>IF($X887="","",IF(NOT(COUNTIF(기관표[사번키],INDEX(합계표[사번키],$X887))+COUNTIF(월별근무지표[사번키],INDEX(합계표[사번키],$X887))&gt;0),"기관명단에 없음(다른 병원으로 발송)",IF($L887="서울병원","해당",IF(N($R887)&gt;0,"해당(말일 근무)",IF($L887="—","대상월 기관명단 없음(추가 필요)","비해당")))))</f>
        <v/>
      </c>
      <c r="N887" s="20">
        <f>IF($X887="","",SUMIFS(상세표[06~07시],상세표[사번키],INDEX(합계표[사번키],$X887),상세표[반영월],대상월키,상세표[반영 기관],"서울병원"))</f>
        <v/>
      </c>
      <c r="O887" s="20">
        <f>IF($X887="","",SUMIFS(상세표[07~18시],상세표[사번키],INDEX(합계표[사번키],$X887),상세표[반영월],대상월키,상세표[반영 기관],"서울병원"))</f>
        <v/>
      </c>
      <c r="P887" s="20">
        <f>IF($X887="","",SUMIFS(상세표[18~22시],상세표[사번키],INDEX(합계표[사번키],$X887),상세표[반영월],대상월키,상세표[반영 기관],"서울병원"))</f>
        <v/>
      </c>
      <c r="Q887" s="20">
        <f>IF($X887="","",SUMIFS(상세표[22~06시],상세표[사번키],INDEX(합계표[사번키],$X887),상세표[반영월],대상월키,상세표[반영 기관],"서울병원"))</f>
        <v/>
      </c>
      <c r="R887" s="20">
        <f>IF($X887="","",SUM($N887:$Q887))</f>
        <v/>
      </c>
      <c r="S887">
        <f>IF($X887="","",COUNTIFS(상세표[사번키],INDEX(합계표[사번키],$X887),상세표[반영월],대상월키,상세표[야간당직],1,상세표[야간 구분],"평일"))</f>
        <v/>
      </c>
      <c r="T887">
        <f>IF($X887="","",COUNTIFS(상세표[사번키],INDEX(합계표[사번키],$X887),상세표[반영월],대상월키,상세표[야간당직],1,상세표[야간 구분],"휴일"))</f>
        <v/>
      </c>
      <c r="U887">
        <f>IF($X887="","",COUNTIFS(상세표[사번키],INDEX(합계표[사번키],$X887),상세표[반영월],대상월키,상세표[야간당직],1,상세표[야간 구분],"평일",상세표[반영 기관],"서울병원"))</f>
        <v/>
      </c>
      <c r="V887">
        <f>IF($X887="","",COUNTIFS(상세표[사번키],INDEX(합계표[사번키],$X887),상세표[반영월],대상월키,상세표[야간당직],1,상세표[야간 구분],"휴일",상세표[반영 기관],"서울병원"))</f>
        <v/>
      </c>
      <c r="W887">
        <f>IF($X887="","",IF(ISNUMBER(MATCH(INDEX(합계표[사번키],$X887)&amp;"|"&amp;대상월키,월별근무지표[키],0)),"직접 입력",IF($L887="—","—","기관명단")))</f>
        <v/>
      </c>
      <c r="X887" s="4">
        <f>IFERROR(MATCH(882,합계표[판정순번],0),"")</f>
        <v/>
      </c>
    </row>
    <row r="888">
      <c r="A888">
        <f>IF($X888="","",INDEX(합계표[사번],$X888)&amp;"")</f>
        <v/>
      </c>
      <c r="B888">
        <f>IF($X888="","",INDEX(합계표[성명],$X888)&amp;"")</f>
        <v/>
      </c>
      <c r="C888">
        <f>IF($X888="","",INDEX(합계표[부서],$X888)&amp;"")</f>
        <v/>
      </c>
      <c r="D888">
        <f>IF($X888="","",INDEX(합계표[직위(요약)],$X888)&amp;"")</f>
        <v/>
      </c>
      <c r="E888">
        <f>IF($X888="","",INDEX(합계표[직급 공존],$X888)&amp;"")</f>
        <v/>
      </c>
      <c r="F888" s="20">
        <f>IF($X888="","",SUMIFS(합계표[시스템 합계],합계표[사번키],INDEX(합계표[사번키],$X888)))</f>
        <v/>
      </c>
      <c r="G888" s="20">
        <f>IF($X888="","",SUMIFS(상세표[기록 시간외],상세표[사번키],INDEX(합계표[사번키],$X888),상세표[기록월],대상월키))</f>
        <v/>
      </c>
      <c r="H888">
        <f>IF($X888="","",IF(ABS($F888-$G888)&lt;0.01,"일치","불일치(차이 "&amp;TEXT($G888-$F888,"0.00")&amp;")"))</f>
        <v/>
      </c>
      <c r="I888" s="20">
        <f>IF($X888="","",SUMIFS(상세표[기록 시간외],상세표[사번키],INDEX(합계표[사번키],$X888),상세표[기록월],대상월키,상세표[반영월],"&lt;&gt;"&amp;대상월키))</f>
        <v/>
      </c>
      <c r="J888" s="20">
        <f>IF($X888="","",SUMIFS(상세표[기록 시간외],상세표[사번키],INDEX(합계표[사번키],$X888),상세표[기록월],"&lt;&gt;"&amp;대상월키,상세표[반영월],대상월키))</f>
        <v/>
      </c>
      <c r="K888" s="20">
        <f>IF($X888="","",SUMIFS(상세표[기록 시간외],상세표[사번키],INDEX(합계표[사번키],$X888),상세표[반영월],대상월키))</f>
        <v/>
      </c>
      <c r="L888">
        <f>IF($X888="","",IFERROR(INDEX(월별근무지표[적용 급여병원],MATCH(INDEX(합계표[사번키],$X888)&amp;"|"&amp;대상월키,월별근무지표[키],0))&amp;"",IF(COUNTIF(기관표[사번키],INDEX(합계표[사번키],$X888))+COUNTIF(월별근무지표[사번키],INDEX(합계표[사번키],$X888))&gt;0,IFERROR(INDEX(기관표[급여지급병원(기준월)],MATCH(INDEX(합계표[사번키],$X888)&amp;"|"&amp;대상월키,기관표[키],0))&amp;"","—"),"—")))</f>
        <v/>
      </c>
      <c r="M888">
        <f>IF($X888="","",IF(NOT(COUNTIF(기관표[사번키],INDEX(합계표[사번키],$X888))+COUNTIF(월별근무지표[사번키],INDEX(합계표[사번키],$X888))&gt;0),"기관명단에 없음(다른 병원으로 발송)",IF($L888="서울병원","해당",IF(N($R888)&gt;0,"해당(말일 근무)",IF($L888="—","대상월 기관명단 없음(추가 필요)","비해당")))))</f>
        <v/>
      </c>
      <c r="N888" s="20">
        <f>IF($X888="","",SUMIFS(상세표[06~07시],상세표[사번키],INDEX(합계표[사번키],$X888),상세표[반영월],대상월키,상세표[반영 기관],"서울병원"))</f>
        <v/>
      </c>
      <c r="O888" s="20">
        <f>IF($X888="","",SUMIFS(상세표[07~18시],상세표[사번키],INDEX(합계표[사번키],$X888),상세표[반영월],대상월키,상세표[반영 기관],"서울병원"))</f>
        <v/>
      </c>
      <c r="P888" s="20">
        <f>IF($X888="","",SUMIFS(상세표[18~22시],상세표[사번키],INDEX(합계표[사번키],$X888),상세표[반영월],대상월키,상세표[반영 기관],"서울병원"))</f>
        <v/>
      </c>
      <c r="Q888" s="20">
        <f>IF($X888="","",SUMIFS(상세표[22~06시],상세표[사번키],INDEX(합계표[사번키],$X888),상세표[반영월],대상월키,상세표[반영 기관],"서울병원"))</f>
        <v/>
      </c>
      <c r="R888" s="20">
        <f>IF($X888="","",SUM($N888:$Q888))</f>
        <v/>
      </c>
      <c r="S888">
        <f>IF($X888="","",COUNTIFS(상세표[사번키],INDEX(합계표[사번키],$X888),상세표[반영월],대상월키,상세표[야간당직],1,상세표[야간 구분],"평일"))</f>
        <v/>
      </c>
      <c r="T888">
        <f>IF($X888="","",COUNTIFS(상세표[사번키],INDEX(합계표[사번키],$X888),상세표[반영월],대상월키,상세표[야간당직],1,상세표[야간 구분],"휴일"))</f>
        <v/>
      </c>
      <c r="U888">
        <f>IF($X888="","",COUNTIFS(상세표[사번키],INDEX(합계표[사번키],$X888),상세표[반영월],대상월키,상세표[야간당직],1,상세표[야간 구분],"평일",상세표[반영 기관],"서울병원"))</f>
        <v/>
      </c>
      <c r="V888">
        <f>IF($X888="","",COUNTIFS(상세표[사번키],INDEX(합계표[사번키],$X888),상세표[반영월],대상월키,상세표[야간당직],1,상세표[야간 구분],"휴일",상세표[반영 기관],"서울병원"))</f>
        <v/>
      </c>
      <c r="W888">
        <f>IF($X888="","",IF(ISNUMBER(MATCH(INDEX(합계표[사번키],$X888)&amp;"|"&amp;대상월키,월별근무지표[키],0)),"직접 입력",IF($L888="—","—","기관명단")))</f>
        <v/>
      </c>
      <c r="X888" s="4">
        <f>IFERROR(MATCH(883,합계표[판정순번],0),"")</f>
        <v/>
      </c>
    </row>
    <row r="889">
      <c r="A889">
        <f>IF($X889="","",INDEX(합계표[사번],$X889)&amp;"")</f>
        <v/>
      </c>
      <c r="B889">
        <f>IF($X889="","",INDEX(합계표[성명],$X889)&amp;"")</f>
        <v/>
      </c>
      <c r="C889">
        <f>IF($X889="","",INDEX(합계표[부서],$X889)&amp;"")</f>
        <v/>
      </c>
      <c r="D889">
        <f>IF($X889="","",INDEX(합계표[직위(요약)],$X889)&amp;"")</f>
        <v/>
      </c>
      <c r="E889">
        <f>IF($X889="","",INDEX(합계표[직급 공존],$X889)&amp;"")</f>
        <v/>
      </c>
      <c r="F889" s="20">
        <f>IF($X889="","",SUMIFS(합계표[시스템 합계],합계표[사번키],INDEX(합계표[사번키],$X889)))</f>
        <v/>
      </c>
      <c r="G889" s="20">
        <f>IF($X889="","",SUMIFS(상세표[기록 시간외],상세표[사번키],INDEX(합계표[사번키],$X889),상세표[기록월],대상월키))</f>
        <v/>
      </c>
      <c r="H889">
        <f>IF($X889="","",IF(ABS($F889-$G889)&lt;0.01,"일치","불일치(차이 "&amp;TEXT($G889-$F889,"0.00")&amp;")"))</f>
        <v/>
      </c>
      <c r="I889" s="20">
        <f>IF($X889="","",SUMIFS(상세표[기록 시간외],상세표[사번키],INDEX(합계표[사번키],$X889),상세표[기록월],대상월키,상세표[반영월],"&lt;&gt;"&amp;대상월키))</f>
        <v/>
      </c>
      <c r="J889" s="20">
        <f>IF($X889="","",SUMIFS(상세표[기록 시간외],상세표[사번키],INDEX(합계표[사번키],$X889),상세표[기록월],"&lt;&gt;"&amp;대상월키,상세표[반영월],대상월키))</f>
        <v/>
      </c>
      <c r="K889" s="20">
        <f>IF($X889="","",SUMIFS(상세표[기록 시간외],상세표[사번키],INDEX(합계표[사번키],$X889),상세표[반영월],대상월키))</f>
        <v/>
      </c>
      <c r="L889">
        <f>IF($X889="","",IFERROR(INDEX(월별근무지표[적용 급여병원],MATCH(INDEX(합계표[사번키],$X889)&amp;"|"&amp;대상월키,월별근무지표[키],0))&amp;"",IF(COUNTIF(기관표[사번키],INDEX(합계표[사번키],$X889))+COUNTIF(월별근무지표[사번키],INDEX(합계표[사번키],$X889))&gt;0,IFERROR(INDEX(기관표[급여지급병원(기준월)],MATCH(INDEX(합계표[사번키],$X889)&amp;"|"&amp;대상월키,기관표[키],0))&amp;"","—"),"—")))</f>
        <v/>
      </c>
      <c r="M889">
        <f>IF($X889="","",IF(NOT(COUNTIF(기관표[사번키],INDEX(합계표[사번키],$X889))+COUNTIF(월별근무지표[사번키],INDEX(합계표[사번키],$X889))&gt;0),"기관명단에 없음(다른 병원으로 발송)",IF($L889="서울병원","해당",IF(N($R889)&gt;0,"해당(말일 근무)",IF($L889="—","대상월 기관명단 없음(추가 필요)","비해당")))))</f>
        <v/>
      </c>
      <c r="N889" s="20">
        <f>IF($X889="","",SUMIFS(상세표[06~07시],상세표[사번키],INDEX(합계표[사번키],$X889),상세표[반영월],대상월키,상세표[반영 기관],"서울병원"))</f>
        <v/>
      </c>
      <c r="O889" s="20">
        <f>IF($X889="","",SUMIFS(상세표[07~18시],상세표[사번키],INDEX(합계표[사번키],$X889),상세표[반영월],대상월키,상세표[반영 기관],"서울병원"))</f>
        <v/>
      </c>
      <c r="P889" s="20">
        <f>IF($X889="","",SUMIFS(상세표[18~22시],상세표[사번키],INDEX(합계표[사번키],$X889),상세표[반영월],대상월키,상세표[반영 기관],"서울병원"))</f>
        <v/>
      </c>
      <c r="Q889" s="20">
        <f>IF($X889="","",SUMIFS(상세표[22~06시],상세표[사번키],INDEX(합계표[사번키],$X889),상세표[반영월],대상월키,상세표[반영 기관],"서울병원"))</f>
        <v/>
      </c>
      <c r="R889" s="20">
        <f>IF($X889="","",SUM($N889:$Q889))</f>
        <v/>
      </c>
      <c r="S889">
        <f>IF($X889="","",COUNTIFS(상세표[사번키],INDEX(합계표[사번키],$X889),상세표[반영월],대상월키,상세표[야간당직],1,상세표[야간 구분],"평일"))</f>
        <v/>
      </c>
      <c r="T889">
        <f>IF($X889="","",COUNTIFS(상세표[사번키],INDEX(합계표[사번키],$X889),상세표[반영월],대상월키,상세표[야간당직],1,상세표[야간 구분],"휴일"))</f>
        <v/>
      </c>
      <c r="U889">
        <f>IF($X889="","",COUNTIFS(상세표[사번키],INDEX(합계표[사번키],$X889),상세표[반영월],대상월키,상세표[야간당직],1,상세표[야간 구분],"평일",상세표[반영 기관],"서울병원"))</f>
        <v/>
      </c>
      <c r="V889">
        <f>IF($X889="","",COUNTIFS(상세표[사번키],INDEX(합계표[사번키],$X889),상세표[반영월],대상월키,상세표[야간당직],1,상세표[야간 구분],"휴일",상세표[반영 기관],"서울병원"))</f>
        <v/>
      </c>
      <c r="W889">
        <f>IF($X889="","",IF(ISNUMBER(MATCH(INDEX(합계표[사번키],$X889)&amp;"|"&amp;대상월키,월별근무지표[키],0)),"직접 입력",IF($L889="—","—","기관명단")))</f>
        <v/>
      </c>
      <c r="X889" s="4">
        <f>IFERROR(MATCH(884,합계표[판정순번],0),"")</f>
        <v/>
      </c>
    </row>
    <row r="890">
      <c r="A890">
        <f>IF($X890="","",INDEX(합계표[사번],$X890)&amp;"")</f>
        <v/>
      </c>
      <c r="B890">
        <f>IF($X890="","",INDEX(합계표[성명],$X890)&amp;"")</f>
        <v/>
      </c>
      <c r="C890">
        <f>IF($X890="","",INDEX(합계표[부서],$X890)&amp;"")</f>
        <v/>
      </c>
      <c r="D890">
        <f>IF($X890="","",INDEX(합계표[직위(요약)],$X890)&amp;"")</f>
        <v/>
      </c>
      <c r="E890">
        <f>IF($X890="","",INDEX(합계표[직급 공존],$X890)&amp;"")</f>
        <v/>
      </c>
      <c r="F890" s="20">
        <f>IF($X890="","",SUMIFS(합계표[시스템 합계],합계표[사번키],INDEX(합계표[사번키],$X890)))</f>
        <v/>
      </c>
      <c r="G890" s="20">
        <f>IF($X890="","",SUMIFS(상세표[기록 시간외],상세표[사번키],INDEX(합계표[사번키],$X890),상세표[기록월],대상월키))</f>
        <v/>
      </c>
      <c r="H890">
        <f>IF($X890="","",IF(ABS($F890-$G890)&lt;0.01,"일치","불일치(차이 "&amp;TEXT($G890-$F890,"0.00")&amp;")"))</f>
        <v/>
      </c>
      <c r="I890" s="20">
        <f>IF($X890="","",SUMIFS(상세표[기록 시간외],상세표[사번키],INDEX(합계표[사번키],$X890),상세표[기록월],대상월키,상세표[반영월],"&lt;&gt;"&amp;대상월키))</f>
        <v/>
      </c>
      <c r="J890" s="20">
        <f>IF($X890="","",SUMIFS(상세표[기록 시간외],상세표[사번키],INDEX(합계표[사번키],$X890),상세표[기록월],"&lt;&gt;"&amp;대상월키,상세표[반영월],대상월키))</f>
        <v/>
      </c>
      <c r="K890" s="20">
        <f>IF($X890="","",SUMIFS(상세표[기록 시간외],상세표[사번키],INDEX(합계표[사번키],$X890),상세표[반영월],대상월키))</f>
        <v/>
      </c>
      <c r="L890">
        <f>IF($X890="","",IFERROR(INDEX(월별근무지표[적용 급여병원],MATCH(INDEX(합계표[사번키],$X890)&amp;"|"&amp;대상월키,월별근무지표[키],0))&amp;"",IF(COUNTIF(기관표[사번키],INDEX(합계표[사번키],$X890))+COUNTIF(월별근무지표[사번키],INDEX(합계표[사번키],$X890))&gt;0,IFERROR(INDEX(기관표[급여지급병원(기준월)],MATCH(INDEX(합계표[사번키],$X890)&amp;"|"&amp;대상월키,기관표[키],0))&amp;"","—"),"—")))</f>
        <v/>
      </c>
      <c r="M890">
        <f>IF($X890="","",IF(NOT(COUNTIF(기관표[사번키],INDEX(합계표[사번키],$X890))+COUNTIF(월별근무지표[사번키],INDEX(합계표[사번키],$X890))&gt;0),"기관명단에 없음(다른 병원으로 발송)",IF($L890="서울병원","해당",IF(N($R890)&gt;0,"해당(말일 근무)",IF($L890="—","대상월 기관명단 없음(추가 필요)","비해당")))))</f>
        <v/>
      </c>
      <c r="N890" s="20">
        <f>IF($X890="","",SUMIFS(상세표[06~07시],상세표[사번키],INDEX(합계표[사번키],$X890),상세표[반영월],대상월키,상세표[반영 기관],"서울병원"))</f>
        <v/>
      </c>
      <c r="O890" s="20">
        <f>IF($X890="","",SUMIFS(상세표[07~18시],상세표[사번키],INDEX(합계표[사번키],$X890),상세표[반영월],대상월키,상세표[반영 기관],"서울병원"))</f>
        <v/>
      </c>
      <c r="P890" s="20">
        <f>IF($X890="","",SUMIFS(상세표[18~22시],상세표[사번키],INDEX(합계표[사번키],$X890),상세표[반영월],대상월키,상세표[반영 기관],"서울병원"))</f>
        <v/>
      </c>
      <c r="Q890" s="20">
        <f>IF($X890="","",SUMIFS(상세표[22~06시],상세표[사번키],INDEX(합계표[사번키],$X890),상세표[반영월],대상월키,상세표[반영 기관],"서울병원"))</f>
        <v/>
      </c>
      <c r="R890" s="20">
        <f>IF($X890="","",SUM($N890:$Q890))</f>
        <v/>
      </c>
      <c r="S890">
        <f>IF($X890="","",COUNTIFS(상세표[사번키],INDEX(합계표[사번키],$X890),상세표[반영월],대상월키,상세표[야간당직],1,상세표[야간 구분],"평일"))</f>
        <v/>
      </c>
      <c r="T890">
        <f>IF($X890="","",COUNTIFS(상세표[사번키],INDEX(합계표[사번키],$X890),상세표[반영월],대상월키,상세표[야간당직],1,상세표[야간 구분],"휴일"))</f>
        <v/>
      </c>
      <c r="U890">
        <f>IF($X890="","",COUNTIFS(상세표[사번키],INDEX(합계표[사번키],$X890),상세표[반영월],대상월키,상세표[야간당직],1,상세표[야간 구분],"평일",상세표[반영 기관],"서울병원"))</f>
        <v/>
      </c>
      <c r="V890">
        <f>IF($X890="","",COUNTIFS(상세표[사번키],INDEX(합계표[사번키],$X890),상세표[반영월],대상월키,상세표[야간당직],1,상세표[야간 구분],"휴일",상세표[반영 기관],"서울병원"))</f>
        <v/>
      </c>
      <c r="W890">
        <f>IF($X890="","",IF(ISNUMBER(MATCH(INDEX(합계표[사번키],$X890)&amp;"|"&amp;대상월키,월별근무지표[키],0)),"직접 입력",IF($L890="—","—","기관명단")))</f>
        <v/>
      </c>
      <c r="X890" s="4">
        <f>IFERROR(MATCH(885,합계표[판정순번],0),"")</f>
        <v/>
      </c>
    </row>
    <row r="891">
      <c r="A891">
        <f>IF($X891="","",INDEX(합계표[사번],$X891)&amp;"")</f>
        <v/>
      </c>
      <c r="B891">
        <f>IF($X891="","",INDEX(합계표[성명],$X891)&amp;"")</f>
        <v/>
      </c>
      <c r="C891">
        <f>IF($X891="","",INDEX(합계표[부서],$X891)&amp;"")</f>
        <v/>
      </c>
      <c r="D891">
        <f>IF($X891="","",INDEX(합계표[직위(요약)],$X891)&amp;"")</f>
        <v/>
      </c>
      <c r="E891">
        <f>IF($X891="","",INDEX(합계표[직급 공존],$X891)&amp;"")</f>
        <v/>
      </c>
      <c r="F891" s="20">
        <f>IF($X891="","",SUMIFS(합계표[시스템 합계],합계표[사번키],INDEX(합계표[사번키],$X891)))</f>
        <v/>
      </c>
      <c r="G891" s="20">
        <f>IF($X891="","",SUMIFS(상세표[기록 시간외],상세표[사번키],INDEX(합계표[사번키],$X891),상세표[기록월],대상월키))</f>
        <v/>
      </c>
      <c r="H891">
        <f>IF($X891="","",IF(ABS($F891-$G891)&lt;0.01,"일치","불일치(차이 "&amp;TEXT($G891-$F891,"0.00")&amp;")"))</f>
        <v/>
      </c>
      <c r="I891" s="20">
        <f>IF($X891="","",SUMIFS(상세표[기록 시간외],상세표[사번키],INDEX(합계표[사번키],$X891),상세표[기록월],대상월키,상세표[반영월],"&lt;&gt;"&amp;대상월키))</f>
        <v/>
      </c>
      <c r="J891" s="20">
        <f>IF($X891="","",SUMIFS(상세표[기록 시간외],상세표[사번키],INDEX(합계표[사번키],$X891),상세표[기록월],"&lt;&gt;"&amp;대상월키,상세표[반영월],대상월키))</f>
        <v/>
      </c>
      <c r="K891" s="20">
        <f>IF($X891="","",SUMIFS(상세표[기록 시간외],상세표[사번키],INDEX(합계표[사번키],$X891),상세표[반영월],대상월키))</f>
        <v/>
      </c>
      <c r="L891">
        <f>IF($X891="","",IFERROR(INDEX(월별근무지표[적용 급여병원],MATCH(INDEX(합계표[사번키],$X891)&amp;"|"&amp;대상월키,월별근무지표[키],0))&amp;"",IF(COUNTIF(기관표[사번키],INDEX(합계표[사번키],$X891))+COUNTIF(월별근무지표[사번키],INDEX(합계표[사번키],$X891))&gt;0,IFERROR(INDEX(기관표[급여지급병원(기준월)],MATCH(INDEX(합계표[사번키],$X891)&amp;"|"&amp;대상월키,기관표[키],0))&amp;"","—"),"—")))</f>
        <v/>
      </c>
      <c r="M891">
        <f>IF($X891="","",IF(NOT(COUNTIF(기관표[사번키],INDEX(합계표[사번키],$X891))+COUNTIF(월별근무지표[사번키],INDEX(합계표[사번키],$X891))&gt;0),"기관명단에 없음(다른 병원으로 발송)",IF($L891="서울병원","해당",IF(N($R891)&gt;0,"해당(말일 근무)",IF($L891="—","대상월 기관명단 없음(추가 필요)","비해당")))))</f>
        <v/>
      </c>
      <c r="N891" s="20">
        <f>IF($X891="","",SUMIFS(상세표[06~07시],상세표[사번키],INDEX(합계표[사번키],$X891),상세표[반영월],대상월키,상세표[반영 기관],"서울병원"))</f>
        <v/>
      </c>
      <c r="O891" s="20">
        <f>IF($X891="","",SUMIFS(상세표[07~18시],상세표[사번키],INDEX(합계표[사번키],$X891),상세표[반영월],대상월키,상세표[반영 기관],"서울병원"))</f>
        <v/>
      </c>
      <c r="P891" s="20">
        <f>IF($X891="","",SUMIFS(상세표[18~22시],상세표[사번키],INDEX(합계표[사번키],$X891),상세표[반영월],대상월키,상세표[반영 기관],"서울병원"))</f>
        <v/>
      </c>
      <c r="Q891" s="20">
        <f>IF($X891="","",SUMIFS(상세표[22~06시],상세표[사번키],INDEX(합계표[사번키],$X891),상세표[반영월],대상월키,상세표[반영 기관],"서울병원"))</f>
        <v/>
      </c>
      <c r="R891" s="20">
        <f>IF($X891="","",SUM($N891:$Q891))</f>
        <v/>
      </c>
      <c r="S891">
        <f>IF($X891="","",COUNTIFS(상세표[사번키],INDEX(합계표[사번키],$X891),상세표[반영월],대상월키,상세표[야간당직],1,상세표[야간 구분],"평일"))</f>
        <v/>
      </c>
      <c r="T891">
        <f>IF($X891="","",COUNTIFS(상세표[사번키],INDEX(합계표[사번키],$X891),상세표[반영월],대상월키,상세표[야간당직],1,상세표[야간 구분],"휴일"))</f>
        <v/>
      </c>
      <c r="U891">
        <f>IF($X891="","",COUNTIFS(상세표[사번키],INDEX(합계표[사번키],$X891),상세표[반영월],대상월키,상세표[야간당직],1,상세표[야간 구분],"평일",상세표[반영 기관],"서울병원"))</f>
        <v/>
      </c>
      <c r="V891">
        <f>IF($X891="","",COUNTIFS(상세표[사번키],INDEX(합계표[사번키],$X891),상세표[반영월],대상월키,상세표[야간당직],1,상세표[야간 구분],"휴일",상세표[반영 기관],"서울병원"))</f>
        <v/>
      </c>
      <c r="W891">
        <f>IF($X891="","",IF(ISNUMBER(MATCH(INDEX(합계표[사번키],$X891)&amp;"|"&amp;대상월키,월별근무지표[키],0)),"직접 입력",IF($L891="—","—","기관명단")))</f>
        <v/>
      </c>
      <c r="X891" s="4">
        <f>IFERROR(MATCH(886,합계표[판정순번],0),"")</f>
        <v/>
      </c>
    </row>
    <row r="892">
      <c r="A892">
        <f>IF($X892="","",INDEX(합계표[사번],$X892)&amp;"")</f>
        <v/>
      </c>
      <c r="B892">
        <f>IF($X892="","",INDEX(합계표[성명],$X892)&amp;"")</f>
        <v/>
      </c>
      <c r="C892">
        <f>IF($X892="","",INDEX(합계표[부서],$X892)&amp;"")</f>
        <v/>
      </c>
      <c r="D892">
        <f>IF($X892="","",INDEX(합계표[직위(요약)],$X892)&amp;"")</f>
        <v/>
      </c>
      <c r="E892">
        <f>IF($X892="","",INDEX(합계표[직급 공존],$X892)&amp;"")</f>
        <v/>
      </c>
      <c r="F892" s="20">
        <f>IF($X892="","",SUMIFS(합계표[시스템 합계],합계표[사번키],INDEX(합계표[사번키],$X892)))</f>
        <v/>
      </c>
      <c r="G892" s="20">
        <f>IF($X892="","",SUMIFS(상세표[기록 시간외],상세표[사번키],INDEX(합계표[사번키],$X892),상세표[기록월],대상월키))</f>
        <v/>
      </c>
      <c r="H892">
        <f>IF($X892="","",IF(ABS($F892-$G892)&lt;0.01,"일치","불일치(차이 "&amp;TEXT($G892-$F892,"0.00")&amp;")"))</f>
        <v/>
      </c>
      <c r="I892" s="20">
        <f>IF($X892="","",SUMIFS(상세표[기록 시간외],상세표[사번키],INDEX(합계표[사번키],$X892),상세표[기록월],대상월키,상세표[반영월],"&lt;&gt;"&amp;대상월키))</f>
        <v/>
      </c>
      <c r="J892" s="20">
        <f>IF($X892="","",SUMIFS(상세표[기록 시간외],상세표[사번키],INDEX(합계표[사번키],$X892),상세표[기록월],"&lt;&gt;"&amp;대상월키,상세표[반영월],대상월키))</f>
        <v/>
      </c>
      <c r="K892" s="20">
        <f>IF($X892="","",SUMIFS(상세표[기록 시간외],상세표[사번키],INDEX(합계표[사번키],$X892),상세표[반영월],대상월키))</f>
        <v/>
      </c>
      <c r="L892">
        <f>IF($X892="","",IFERROR(INDEX(월별근무지표[적용 급여병원],MATCH(INDEX(합계표[사번키],$X892)&amp;"|"&amp;대상월키,월별근무지표[키],0))&amp;"",IF(COUNTIF(기관표[사번키],INDEX(합계표[사번키],$X892))+COUNTIF(월별근무지표[사번키],INDEX(합계표[사번키],$X892))&gt;0,IFERROR(INDEX(기관표[급여지급병원(기준월)],MATCH(INDEX(합계표[사번키],$X892)&amp;"|"&amp;대상월키,기관표[키],0))&amp;"","—"),"—")))</f>
        <v/>
      </c>
      <c r="M892">
        <f>IF($X892="","",IF(NOT(COUNTIF(기관표[사번키],INDEX(합계표[사번키],$X892))+COUNTIF(월별근무지표[사번키],INDEX(합계표[사번키],$X892))&gt;0),"기관명단에 없음(다른 병원으로 발송)",IF($L892="서울병원","해당",IF(N($R892)&gt;0,"해당(말일 근무)",IF($L892="—","대상월 기관명단 없음(추가 필요)","비해당")))))</f>
        <v/>
      </c>
      <c r="N892" s="20">
        <f>IF($X892="","",SUMIFS(상세표[06~07시],상세표[사번키],INDEX(합계표[사번키],$X892),상세표[반영월],대상월키,상세표[반영 기관],"서울병원"))</f>
        <v/>
      </c>
      <c r="O892" s="20">
        <f>IF($X892="","",SUMIFS(상세표[07~18시],상세표[사번키],INDEX(합계표[사번키],$X892),상세표[반영월],대상월키,상세표[반영 기관],"서울병원"))</f>
        <v/>
      </c>
      <c r="P892" s="20">
        <f>IF($X892="","",SUMIFS(상세표[18~22시],상세표[사번키],INDEX(합계표[사번키],$X892),상세표[반영월],대상월키,상세표[반영 기관],"서울병원"))</f>
        <v/>
      </c>
      <c r="Q892" s="20">
        <f>IF($X892="","",SUMIFS(상세표[22~06시],상세표[사번키],INDEX(합계표[사번키],$X892),상세표[반영월],대상월키,상세표[반영 기관],"서울병원"))</f>
        <v/>
      </c>
      <c r="R892" s="20">
        <f>IF($X892="","",SUM($N892:$Q892))</f>
        <v/>
      </c>
      <c r="S892">
        <f>IF($X892="","",COUNTIFS(상세표[사번키],INDEX(합계표[사번키],$X892),상세표[반영월],대상월키,상세표[야간당직],1,상세표[야간 구분],"평일"))</f>
        <v/>
      </c>
      <c r="T892">
        <f>IF($X892="","",COUNTIFS(상세표[사번키],INDEX(합계표[사번키],$X892),상세표[반영월],대상월키,상세표[야간당직],1,상세표[야간 구분],"휴일"))</f>
        <v/>
      </c>
      <c r="U892">
        <f>IF($X892="","",COUNTIFS(상세표[사번키],INDEX(합계표[사번키],$X892),상세표[반영월],대상월키,상세표[야간당직],1,상세표[야간 구분],"평일",상세표[반영 기관],"서울병원"))</f>
        <v/>
      </c>
      <c r="V892">
        <f>IF($X892="","",COUNTIFS(상세표[사번키],INDEX(합계표[사번키],$X892),상세표[반영월],대상월키,상세표[야간당직],1,상세표[야간 구분],"휴일",상세표[반영 기관],"서울병원"))</f>
        <v/>
      </c>
      <c r="W892">
        <f>IF($X892="","",IF(ISNUMBER(MATCH(INDEX(합계표[사번키],$X892)&amp;"|"&amp;대상월키,월별근무지표[키],0)),"직접 입력",IF($L892="—","—","기관명단")))</f>
        <v/>
      </c>
      <c r="X892" s="4">
        <f>IFERROR(MATCH(887,합계표[판정순번],0),"")</f>
        <v/>
      </c>
    </row>
    <row r="893">
      <c r="A893">
        <f>IF($X893="","",INDEX(합계표[사번],$X893)&amp;"")</f>
        <v/>
      </c>
      <c r="B893">
        <f>IF($X893="","",INDEX(합계표[성명],$X893)&amp;"")</f>
        <v/>
      </c>
      <c r="C893">
        <f>IF($X893="","",INDEX(합계표[부서],$X893)&amp;"")</f>
        <v/>
      </c>
      <c r="D893">
        <f>IF($X893="","",INDEX(합계표[직위(요약)],$X893)&amp;"")</f>
        <v/>
      </c>
      <c r="E893">
        <f>IF($X893="","",INDEX(합계표[직급 공존],$X893)&amp;"")</f>
        <v/>
      </c>
      <c r="F893" s="20">
        <f>IF($X893="","",SUMIFS(합계표[시스템 합계],합계표[사번키],INDEX(합계표[사번키],$X893)))</f>
        <v/>
      </c>
      <c r="G893" s="20">
        <f>IF($X893="","",SUMIFS(상세표[기록 시간외],상세표[사번키],INDEX(합계표[사번키],$X893),상세표[기록월],대상월키))</f>
        <v/>
      </c>
      <c r="H893">
        <f>IF($X893="","",IF(ABS($F893-$G893)&lt;0.01,"일치","불일치(차이 "&amp;TEXT($G893-$F893,"0.00")&amp;")"))</f>
        <v/>
      </c>
      <c r="I893" s="20">
        <f>IF($X893="","",SUMIFS(상세표[기록 시간외],상세표[사번키],INDEX(합계표[사번키],$X893),상세표[기록월],대상월키,상세표[반영월],"&lt;&gt;"&amp;대상월키))</f>
        <v/>
      </c>
      <c r="J893" s="20">
        <f>IF($X893="","",SUMIFS(상세표[기록 시간외],상세표[사번키],INDEX(합계표[사번키],$X893),상세표[기록월],"&lt;&gt;"&amp;대상월키,상세표[반영월],대상월키))</f>
        <v/>
      </c>
      <c r="K893" s="20">
        <f>IF($X893="","",SUMIFS(상세표[기록 시간외],상세표[사번키],INDEX(합계표[사번키],$X893),상세표[반영월],대상월키))</f>
        <v/>
      </c>
      <c r="L893">
        <f>IF($X893="","",IFERROR(INDEX(월별근무지표[적용 급여병원],MATCH(INDEX(합계표[사번키],$X893)&amp;"|"&amp;대상월키,월별근무지표[키],0))&amp;"",IF(COUNTIF(기관표[사번키],INDEX(합계표[사번키],$X893))+COUNTIF(월별근무지표[사번키],INDEX(합계표[사번키],$X893))&gt;0,IFERROR(INDEX(기관표[급여지급병원(기준월)],MATCH(INDEX(합계표[사번키],$X893)&amp;"|"&amp;대상월키,기관표[키],0))&amp;"","—"),"—")))</f>
        <v/>
      </c>
      <c r="M893">
        <f>IF($X893="","",IF(NOT(COUNTIF(기관표[사번키],INDEX(합계표[사번키],$X893))+COUNTIF(월별근무지표[사번키],INDEX(합계표[사번키],$X893))&gt;0),"기관명단에 없음(다른 병원으로 발송)",IF($L893="서울병원","해당",IF(N($R893)&gt;0,"해당(말일 근무)",IF($L893="—","대상월 기관명단 없음(추가 필요)","비해당")))))</f>
        <v/>
      </c>
      <c r="N893" s="20">
        <f>IF($X893="","",SUMIFS(상세표[06~07시],상세표[사번키],INDEX(합계표[사번키],$X893),상세표[반영월],대상월키,상세표[반영 기관],"서울병원"))</f>
        <v/>
      </c>
      <c r="O893" s="20">
        <f>IF($X893="","",SUMIFS(상세표[07~18시],상세표[사번키],INDEX(합계표[사번키],$X893),상세표[반영월],대상월키,상세표[반영 기관],"서울병원"))</f>
        <v/>
      </c>
      <c r="P893" s="20">
        <f>IF($X893="","",SUMIFS(상세표[18~22시],상세표[사번키],INDEX(합계표[사번키],$X893),상세표[반영월],대상월키,상세표[반영 기관],"서울병원"))</f>
        <v/>
      </c>
      <c r="Q893" s="20">
        <f>IF($X893="","",SUMIFS(상세표[22~06시],상세표[사번키],INDEX(합계표[사번키],$X893),상세표[반영월],대상월키,상세표[반영 기관],"서울병원"))</f>
        <v/>
      </c>
      <c r="R893" s="20">
        <f>IF($X893="","",SUM($N893:$Q893))</f>
        <v/>
      </c>
      <c r="S893">
        <f>IF($X893="","",COUNTIFS(상세표[사번키],INDEX(합계표[사번키],$X893),상세표[반영월],대상월키,상세표[야간당직],1,상세표[야간 구분],"평일"))</f>
        <v/>
      </c>
      <c r="T893">
        <f>IF($X893="","",COUNTIFS(상세표[사번키],INDEX(합계표[사번키],$X893),상세표[반영월],대상월키,상세표[야간당직],1,상세표[야간 구분],"휴일"))</f>
        <v/>
      </c>
      <c r="U893">
        <f>IF($X893="","",COUNTIFS(상세표[사번키],INDEX(합계표[사번키],$X893),상세표[반영월],대상월키,상세표[야간당직],1,상세표[야간 구분],"평일",상세표[반영 기관],"서울병원"))</f>
        <v/>
      </c>
      <c r="V893">
        <f>IF($X893="","",COUNTIFS(상세표[사번키],INDEX(합계표[사번키],$X893),상세표[반영월],대상월키,상세표[야간당직],1,상세표[야간 구분],"휴일",상세표[반영 기관],"서울병원"))</f>
        <v/>
      </c>
      <c r="W893">
        <f>IF($X893="","",IF(ISNUMBER(MATCH(INDEX(합계표[사번키],$X893)&amp;"|"&amp;대상월키,월별근무지표[키],0)),"직접 입력",IF($L893="—","—","기관명단")))</f>
        <v/>
      </c>
      <c r="X893" s="4">
        <f>IFERROR(MATCH(888,합계표[판정순번],0),"")</f>
        <v/>
      </c>
    </row>
    <row r="894">
      <c r="A894">
        <f>IF($X894="","",INDEX(합계표[사번],$X894)&amp;"")</f>
        <v/>
      </c>
      <c r="B894">
        <f>IF($X894="","",INDEX(합계표[성명],$X894)&amp;"")</f>
        <v/>
      </c>
      <c r="C894">
        <f>IF($X894="","",INDEX(합계표[부서],$X894)&amp;"")</f>
        <v/>
      </c>
      <c r="D894">
        <f>IF($X894="","",INDEX(합계표[직위(요약)],$X894)&amp;"")</f>
        <v/>
      </c>
      <c r="E894">
        <f>IF($X894="","",INDEX(합계표[직급 공존],$X894)&amp;"")</f>
        <v/>
      </c>
      <c r="F894" s="20">
        <f>IF($X894="","",SUMIFS(합계표[시스템 합계],합계표[사번키],INDEX(합계표[사번키],$X894)))</f>
        <v/>
      </c>
      <c r="G894" s="20">
        <f>IF($X894="","",SUMIFS(상세표[기록 시간외],상세표[사번키],INDEX(합계표[사번키],$X894),상세표[기록월],대상월키))</f>
        <v/>
      </c>
      <c r="H894">
        <f>IF($X894="","",IF(ABS($F894-$G894)&lt;0.01,"일치","불일치(차이 "&amp;TEXT($G894-$F894,"0.00")&amp;")"))</f>
        <v/>
      </c>
      <c r="I894" s="20">
        <f>IF($X894="","",SUMIFS(상세표[기록 시간외],상세표[사번키],INDEX(합계표[사번키],$X894),상세표[기록월],대상월키,상세표[반영월],"&lt;&gt;"&amp;대상월키))</f>
        <v/>
      </c>
      <c r="J894" s="20">
        <f>IF($X894="","",SUMIFS(상세표[기록 시간외],상세표[사번키],INDEX(합계표[사번키],$X894),상세표[기록월],"&lt;&gt;"&amp;대상월키,상세표[반영월],대상월키))</f>
        <v/>
      </c>
      <c r="K894" s="20">
        <f>IF($X894="","",SUMIFS(상세표[기록 시간외],상세표[사번키],INDEX(합계표[사번키],$X894),상세표[반영월],대상월키))</f>
        <v/>
      </c>
      <c r="L894">
        <f>IF($X894="","",IFERROR(INDEX(월별근무지표[적용 급여병원],MATCH(INDEX(합계표[사번키],$X894)&amp;"|"&amp;대상월키,월별근무지표[키],0))&amp;"",IF(COUNTIF(기관표[사번키],INDEX(합계표[사번키],$X894))+COUNTIF(월별근무지표[사번키],INDEX(합계표[사번키],$X894))&gt;0,IFERROR(INDEX(기관표[급여지급병원(기준월)],MATCH(INDEX(합계표[사번키],$X894)&amp;"|"&amp;대상월키,기관표[키],0))&amp;"","—"),"—")))</f>
        <v/>
      </c>
      <c r="M894">
        <f>IF($X894="","",IF(NOT(COUNTIF(기관표[사번키],INDEX(합계표[사번키],$X894))+COUNTIF(월별근무지표[사번키],INDEX(합계표[사번키],$X894))&gt;0),"기관명단에 없음(다른 병원으로 발송)",IF($L894="서울병원","해당",IF(N($R894)&gt;0,"해당(말일 근무)",IF($L894="—","대상월 기관명단 없음(추가 필요)","비해당")))))</f>
        <v/>
      </c>
      <c r="N894" s="20">
        <f>IF($X894="","",SUMIFS(상세표[06~07시],상세표[사번키],INDEX(합계표[사번키],$X894),상세표[반영월],대상월키,상세표[반영 기관],"서울병원"))</f>
        <v/>
      </c>
      <c r="O894" s="20">
        <f>IF($X894="","",SUMIFS(상세표[07~18시],상세표[사번키],INDEX(합계표[사번키],$X894),상세표[반영월],대상월키,상세표[반영 기관],"서울병원"))</f>
        <v/>
      </c>
      <c r="P894" s="20">
        <f>IF($X894="","",SUMIFS(상세표[18~22시],상세표[사번키],INDEX(합계표[사번키],$X894),상세표[반영월],대상월키,상세표[반영 기관],"서울병원"))</f>
        <v/>
      </c>
      <c r="Q894" s="20">
        <f>IF($X894="","",SUMIFS(상세표[22~06시],상세표[사번키],INDEX(합계표[사번키],$X894),상세표[반영월],대상월키,상세표[반영 기관],"서울병원"))</f>
        <v/>
      </c>
      <c r="R894" s="20">
        <f>IF($X894="","",SUM($N894:$Q894))</f>
        <v/>
      </c>
      <c r="S894">
        <f>IF($X894="","",COUNTIFS(상세표[사번키],INDEX(합계표[사번키],$X894),상세표[반영월],대상월키,상세표[야간당직],1,상세표[야간 구분],"평일"))</f>
        <v/>
      </c>
      <c r="T894">
        <f>IF($X894="","",COUNTIFS(상세표[사번키],INDEX(합계표[사번키],$X894),상세표[반영월],대상월키,상세표[야간당직],1,상세표[야간 구분],"휴일"))</f>
        <v/>
      </c>
      <c r="U894">
        <f>IF($X894="","",COUNTIFS(상세표[사번키],INDEX(합계표[사번키],$X894),상세표[반영월],대상월키,상세표[야간당직],1,상세표[야간 구분],"평일",상세표[반영 기관],"서울병원"))</f>
        <v/>
      </c>
      <c r="V894">
        <f>IF($X894="","",COUNTIFS(상세표[사번키],INDEX(합계표[사번키],$X894),상세표[반영월],대상월키,상세표[야간당직],1,상세표[야간 구분],"휴일",상세표[반영 기관],"서울병원"))</f>
        <v/>
      </c>
      <c r="W894">
        <f>IF($X894="","",IF(ISNUMBER(MATCH(INDEX(합계표[사번키],$X894)&amp;"|"&amp;대상월키,월별근무지표[키],0)),"직접 입력",IF($L894="—","—","기관명단")))</f>
        <v/>
      </c>
      <c r="X894" s="4">
        <f>IFERROR(MATCH(889,합계표[판정순번],0),"")</f>
        <v/>
      </c>
    </row>
    <row r="895">
      <c r="A895">
        <f>IF($X895="","",INDEX(합계표[사번],$X895)&amp;"")</f>
        <v/>
      </c>
      <c r="B895">
        <f>IF($X895="","",INDEX(합계표[성명],$X895)&amp;"")</f>
        <v/>
      </c>
      <c r="C895">
        <f>IF($X895="","",INDEX(합계표[부서],$X895)&amp;"")</f>
        <v/>
      </c>
      <c r="D895">
        <f>IF($X895="","",INDEX(합계표[직위(요약)],$X895)&amp;"")</f>
        <v/>
      </c>
      <c r="E895">
        <f>IF($X895="","",INDEX(합계표[직급 공존],$X895)&amp;"")</f>
        <v/>
      </c>
      <c r="F895" s="20">
        <f>IF($X895="","",SUMIFS(합계표[시스템 합계],합계표[사번키],INDEX(합계표[사번키],$X895)))</f>
        <v/>
      </c>
      <c r="G895" s="20">
        <f>IF($X895="","",SUMIFS(상세표[기록 시간외],상세표[사번키],INDEX(합계표[사번키],$X895),상세표[기록월],대상월키))</f>
        <v/>
      </c>
      <c r="H895">
        <f>IF($X895="","",IF(ABS($F895-$G895)&lt;0.01,"일치","불일치(차이 "&amp;TEXT($G895-$F895,"0.00")&amp;")"))</f>
        <v/>
      </c>
      <c r="I895" s="20">
        <f>IF($X895="","",SUMIFS(상세표[기록 시간외],상세표[사번키],INDEX(합계표[사번키],$X895),상세표[기록월],대상월키,상세표[반영월],"&lt;&gt;"&amp;대상월키))</f>
        <v/>
      </c>
      <c r="J895" s="20">
        <f>IF($X895="","",SUMIFS(상세표[기록 시간외],상세표[사번키],INDEX(합계표[사번키],$X895),상세표[기록월],"&lt;&gt;"&amp;대상월키,상세표[반영월],대상월키))</f>
        <v/>
      </c>
      <c r="K895" s="20">
        <f>IF($X895="","",SUMIFS(상세표[기록 시간외],상세표[사번키],INDEX(합계표[사번키],$X895),상세표[반영월],대상월키))</f>
        <v/>
      </c>
      <c r="L895">
        <f>IF($X895="","",IFERROR(INDEX(월별근무지표[적용 급여병원],MATCH(INDEX(합계표[사번키],$X895)&amp;"|"&amp;대상월키,월별근무지표[키],0))&amp;"",IF(COUNTIF(기관표[사번키],INDEX(합계표[사번키],$X895))+COUNTIF(월별근무지표[사번키],INDEX(합계표[사번키],$X895))&gt;0,IFERROR(INDEX(기관표[급여지급병원(기준월)],MATCH(INDEX(합계표[사번키],$X895)&amp;"|"&amp;대상월키,기관표[키],0))&amp;"","—"),"—")))</f>
        <v/>
      </c>
      <c r="M895">
        <f>IF($X895="","",IF(NOT(COUNTIF(기관표[사번키],INDEX(합계표[사번키],$X895))+COUNTIF(월별근무지표[사번키],INDEX(합계표[사번키],$X895))&gt;0),"기관명단에 없음(다른 병원으로 발송)",IF($L895="서울병원","해당",IF(N($R895)&gt;0,"해당(말일 근무)",IF($L895="—","대상월 기관명단 없음(추가 필요)","비해당")))))</f>
        <v/>
      </c>
      <c r="N895" s="20">
        <f>IF($X895="","",SUMIFS(상세표[06~07시],상세표[사번키],INDEX(합계표[사번키],$X895),상세표[반영월],대상월키,상세표[반영 기관],"서울병원"))</f>
        <v/>
      </c>
      <c r="O895" s="20">
        <f>IF($X895="","",SUMIFS(상세표[07~18시],상세표[사번키],INDEX(합계표[사번키],$X895),상세표[반영월],대상월키,상세표[반영 기관],"서울병원"))</f>
        <v/>
      </c>
      <c r="P895" s="20">
        <f>IF($X895="","",SUMIFS(상세표[18~22시],상세표[사번키],INDEX(합계표[사번키],$X895),상세표[반영월],대상월키,상세표[반영 기관],"서울병원"))</f>
        <v/>
      </c>
      <c r="Q895" s="20">
        <f>IF($X895="","",SUMIFS(상세표[22~06시],상세표[사번키],INDEX(합계표[사번키],$X895),상세표[반영월],대상월키,상세표[반영 기관],"서울병원"))</f>
        <v/>
      </c>
      <c r="R895" s="20">
        <f>IF($X895="","",SUM($N895:$Q895))</f>
        <v/>
      </c>
      <c r="S895">
        <f>IF($X895="","",COUNTIFS(상세표[사번키],INDEX(합계표[사번키],$X895),상세표[반영월],대상월키,상세표[야간당직],1,상세표[야간 구분],"평일"))</f>
        <v/>
      </c>
      <c r="T895">
        <f>IF($X895="","",COUNTIFS(상세표[사번키],INDEX(합계표[사번키],$X895),상세표[반영월],대상월키,상세표[야간당직],1,상세표[야간 구분],"휴일"))</f>
        <v/>
      </c>
      <c r="U895">
        <f>IF($X895="","",COUNTIFS(상세표[사번키],INDEX(합계표[사번키],$X895),상세표[반영월],대상월키,상세표[야간당직],1,상세표[야간 구분],"평일",상세표[반영 기관],"서울병원"))</f>
        <v/>
      </c>
      <c r="V895">
        <f>IF($X895="","",COUNTIFS(상세표[사번키],INDEX(합계표[사번키],$X895),상세표[반영월],대상월키,상세표[야간당직],1,상세표[야간 구분],"휴일",상세표[반영 기관],"서울병원"))</f>
        <v/>
      </c>
      <c r="W895">
        <f>IF($X895="","",IF(ISNUMBER(MATCH(INDEX(합계표[사번키],$X895)&amp;"|"&amp;대상월키,월별근무지표[키],0)),"직접 입력",IF($L895="—","—","기관명단")))</f>
        <v/>
      </c>
      <c r="X895" s="4">
        <f>IFERROR(MATCH(890,합계표[판정순번],0),"")</f>
        <v/>
      </c>
    </row>
    <row r="896">
      <c r="A896">
        <f>IF($X896="","",INDEX(합계표[사번],$X896)&amp;"")</f>
        <v/>
      </c>
      <c r="B896">
        <f>IF($X896="","",INDEX(합계표[성명],$X896)&amp;"")</f>
        <v/>
      </c>
      <c r="C896">
        <f>IF($X896="","",INDEX(합계표[부서],$X896)&amp;"")</f>
        <v/>
      </c>
      <c r="D896">
        <f>IF($X896="","",INDEX(합계표[직위(요약)],$X896)&amp;"")</f>
        <v/>
      </c>
      <c r="E896">
        <f>IF($X896="","",INDEX(합계표[직급 공존],$X896)&amp;"")</f>
        <v/>
      </c>
      <c r="F896" s="20">
        <f>IF($X896="","",SUMIFS(합계표[시스템 합계],합계표[사번키],INDEX(합계표[사번키],$X896)))</f>
        <v/>
      </c>
      <c r="G896" s="20">
        <f>IF($X896="","",SUMIFS(상세표[기록 시간외],상세표[사번키],INDEX(합계표[사번키],$X896),상세표[기록월],대상월키))</f>
        <v/>
      </c>
      <c r="H896">
        <f>IF($X896="","",IF(ABS($F896-$G896)&lt;0.01,"일치","불일치(차이 "&amp;TEXT($G896-$F896,"0.00")&amp;")"))</f>
        <v/>
      </c>
      <c r="I896" s="20">
        <f>IF($X896="","",SUMIFS(상세표[기록 시간외],상세표[사번키],INDEX(합계표[사번키],$X896),상세표[기록월],대상월키,상세표[반영월],"&lt;&gt;"&amp;대상월키))</f>
        <v/>
      </c>
      <c r="J896" s="20">
        <f>IF($X896="","",SUMIFS(상세표[기록 시간외],상세표[사번키],INDEX(합계표[사번키],$X896),상세표[기록월],"&lt;&gt;"&amp;대상월키,상세표[반영월],대상월키))</f>
        <v/>
      </c>
      <c r="K896" s="20">
        <f>IF($X896="","",SUMIFS(상세표[기록 시간외],상세표[사번키],INDEX(합계표[사번키],$X896),상세표[반영월],대상월키))</f>
        <v/>
      </c>
      <c r="L896">
        <f>IF($X896="","",IFERROR(INDEX(월별근무지표[적용 급여병원],MATCH(INDEX(합계표[사번키],$X896)&amp;"|"&amp;대상월키,월별근무지표[키],0))&amp;"",IF(COUNTIF(기관표[사번키],INDEX(합계표[사번키],$X896))+COUNTIF(월별근무지표[사번키],INDEX(합계표[사번키],$X896))&gt;0,IFERROR(INDEX(기관표[급여지급병원(기준월)],MATCH(INDEX(합계표[사번키],$X896)&amp;"|"&amp;대상월키,기관표[키],0))&amp;"","—"),"—")))</f>
        <v/>
      </c>
      <c r="M896">
        <f>IF($X896="","",IF(NOT(COUNTIF(기관표[사번키],INDEX(합계표[사번키],$X896))+COUNTIF(월별근무지표[사번키],INDEX(합계표[사번키],$X896))&gt;0),"기관명단에 없음(다른 병원으로 발송)",IF($L896="서울병원","해당",IF(N($R896)&gt;0,"해당(말일 근무)",IF($L896="—","대상월 기관명단 없음(추가 필요)","비해당")))))</f>
        <v/>
      </c>
      <c r="N896" s="20">
        <f>IF($X896="","",SUMIFS(상세표[06~07시],상세표[사번키],INDEX(합계표[사번키],$X896),상세표[반영월],대상월키,상세표[반영 기관],"서울병원"))</f>
        <v/>
      </c>
      <c r="O896" s="20">
        <f>IF($X896="","",SUMIFS(상세표[07~18시],상세표[사번키],INDEX(합계표[사번키],$X896),상세표[반영월],대상월키,상세표[반영 기관],"서울병원"))</f>
        <v/>
      </c>
      <c r="P896" s="20">
        <f>IF($X896="","",SUMIFS(상세표[18~22시],상세표[사번키],INDEX(합계표[사번키],$X896),상세표[반영월],대상월키,상세표[반영 기관],"서울병원"))</f>
        <v/>
      </c>
      <c r="Q896" s="20">
        <f>IF($X896="","",SUMIFS(상세표[22~06시],상세표[사번키],INDEX(합계표[사번키],$X896),상세표[반영월],대상월키,상세표[반영 기관],"서울병원"))</f>
        <v/>
      </c>
      <c r="R896" s="20">
        <f>IF($X896="","",SUM($N896:$Q896))</f>
        <v/>
      </c>
      <c r="S896">
        <f>IF($X896="","",COUNTIFS(상세표[사번키],INDEX(합계표[사번키],$X896),상세표[반영월],대상월키,상세표[야간당직],1,상세표[야간 구분],"평일"))</f>
        <v/>
      </c>
      <c r="T896">
        <f>IF($X896="","",COUNTIFS(상세표[사번키],INDEX(합계표[사번키],$X896),상세표[반영월],대상월키,상세표[야간당직],1,상세표[야간 구분],"휴일"))</f>
        <v/>
      </c>
      <c r="U896">
        <f>IF($X896="","",COUNTIFS(상세표[사번키],INDEX(합계표[사번키],$X896),상세표[반영월],대상월키,상세표[야간당직],1,상세표[야간 구분],"평일",상세표[반영 기관],"서울병원"))</f>
        <v/>
      </c>
      <c r="V896">
        <f>IF($X896="","",COUNTIFS(상세표[사번키],INDEX(합계표[사번키],$X896),상세표[반영월],대상월키,상세표[야간당직],1,상세표[야간 구분],"휴일",상세표[반영 기관],"서울병원"))</f>
        <v/>
      </c>
      <c r="W896">
        <f>IF($X896="","",IF(ISNUMBER(MATCH(INDEX(합계표[사번키],$X896)&amp;"|"&amp;대상월키,월별근무지표[키],0)),"직접 입력",IF($L896="—","—","기관명단")))</f>
        <v/>
      </c>
      <c r="X896" s="4">
        <f>IFERROR(MATCH(891,합계표[판정순번],0),"")</f>
        <v/>
      </c>
    </row>
    <row r="897">
      <c r="A897">
        <f>IF($X897="","",INDEX(합계표[사번],$X897)&amp;"")</f>
        <v/>
      </c>
      <c r="B897">
        <f>IF($X897="","",INDEX(합계표[성명],$X897)&amp;"")</f>
        <v/>
      </c>
      <c r="C897">
        <f>IF($X897="","",INDEX(합계표[부서],$X897)&amp;"")</f>
        <v/>
      </c>
      <c r="D897">
        <f>IF($X897="","",INDEX(합계표[직위(요약)],$X897)&amp;"")</f>
        <v/>
      </c>
      <c r="E897">
        <f>IF($X897="","",INDEX(합계표[직급 공존],$X897)&amp;"")</f>
        <v/>
      </c>
      <c r="F897" s="20">
        <f>IF($X897="","",SUMIFS(합계표[시스템 합계],합계표[사번키],INDEX(합계표[사번키],$X897)))</f>
        <v/>
      </c>
      <c r="G897" s="20">
        <f>IF($X897="","",SUMIFS(상세표[기록 시간외],상세표[사번키],INDEX(합계표[사번키],$X897),상세표[기록월],대상월키))</f>
        <v/>
      </c>
      <c r="H897">
        <f>IF($X897="","",IF(ABS($F897-$G897)&lt;0.01,"일치","불일치(차이 "&amp;TEXT($G897-$F897,"0.00")&amp;")"))</f>
        <v/>
      </c>
      <c r="I897" s="20">
        <f>IF($X897="","",SUMIFS(상세표[기록 시간외],상세표[사번키],INDEX(합계표[사번키],$X897),상세표[기록월],대상월키,상세표[반영월],"&lt;&gt;"&amp;대상월키))</f>
        <v/>
      </c>
      <c r="J897" s="20">
        <f>IF($X897="","",SUMIFS(상세표[기록 시간외],상세표[사번키],INDEX(합계표[사번키],$X897),상세표[기록월],"&lt;&gt;"&amp;대상월키,상세표[반영월],대상월키))</f>
        <v/>
      </c>
      <c r="K897" s="20">
        <f>IF($X897="","",SUMIFS(상세표[기록 시간외],상세표[사번키],INDEX(합계표[사번키],$X897),상세표[반영월],대상월키))</f>
        <v/>
      </c>
      <c r="L897">
        <f>IF($X897="","",IFERROR(INDEX(월별근무지표[적용 급여병원],MATCH(INDEX(합계표[사번키],$X897)&amp;"|"&amp;대상월키,월별근무지표[키],0))&amp;"",IF(COUNTIF(기관표[사번키],INDEX(합계표[사번키],$X897))+COUNTIF(월별근무지표[사번키],INDEX(합계표[사번키],$X897))&gt;0,IFERROR(INDEX(기관표[급여지급병원(기준월)],MATCH(INDEX(합계표[사번키],$X897)&amp;"|"&amp;대상월키,기관표[키],0))&amp;"","—"),"—")))</f>
        <v/>
      </c>
      <c r="M897">
        <f>IF($X897="","",IF(NOT(COUNTIF(기관표[사번키],INDEX(합계표[사번키],$X897))+COUNTIF(월별근무지표[사번키],INDEX(합계표[사번키],$X897))&gt;0),"기관명단에 없음(다른 병원으로 발송)",IF($L897="서울병원","해당",IF(N($R897)&gt;0,"해당(말일 근무)",IF($L897="—","대상월 기관명단 없음(추가 필요)","비해당")))))</f>
        <v/>
      </c>
      <c r="N897" s="20">
        <f>IF($X897="","",SUMIFS(상세표[06~07시],상세표[사번키],INDEX(합계표[사번키],$X897),상세표[반영월],대상월키,상세표[반영 기관],"서울병원"))</f>
        <v/>
      </c>
      <c r="O897" s="20">
        <f>IF($X897="","",SUMIFS(상세표[07~18시],상세표[사번키],INDEX(합계표[사번키],$X897),상세표[반영월],대상월키,상세표[반영 기관],"서울병원"))</f>
        <v/>
      </c>
      <c r="P897" s="20">
        <f>IF($X897="","",SUMIFS(상세표[18~22시],상세표[사번키],INDEX(합계표[사번키],$X897),상세표[반영월],대상월키,상세표[반영 기관],"서울병원"))</f>
        <v/>
      </c>
      <c r="Q897" s="20">
        <f>IF($X897="","",SUMIFS(상세표[22~06시],상세표[사번키],INDEX(합계표[사번키],$X897),상세표[반영월],대상월키,상세표[반영 기관],"서울병원"))</f>
        <v/>
      </c>
      <c r="R897" s="20">
        <f>IF($X897="","",SUM($N897:$Q897))</f>
        <v/>
      </c>
      <c r="S897">
        <f>IF($X897="","",COUNTIFS(상세표[사번키],INDEX(합계표[사번키],$X897),상세표[반영월],대상월키,상세표[야간당직],1,상세표[야간 구분],"평일"))</f>
        <v/>
      </c>
      <c r="T897">
        <f>IF($X897="","",COUNTIFS(상세표[사번키],INDEX(합계표[사번키],$X897),상세표[반영월],대상월키,상세표[야간당직],1,상세표[야간 구분],"휴일"))</f>
        <v/>
      </c>
      <c r="U897">
        <f>IF($X897="","",COUNTIFS(상세표[사번키],INDEX(합계표[사번키],$X897),상세표[반영월],대상월키,상세표[야간당직],1,상세표[야간 구분],"평일",상세표[반영 기관],"서울병원"))</f>
        <v/>
      </c>
      <c r="V897">
        <f>IF($X897="","",COUNTIFS(상세표[사번키],INDEX(합계표[사번키],$X897),상세표[반영월],대상월키,상세표[야간당직],1,상세표[야간 구분],"휴일",상세표[반영 기관],"서울병원"))</f>
        <v/>
      </c>
      <c r="W897">
        <f>IF($X897="","",IF(ISNUMBER(MATCH(INDEX(합계표[사번키],$X897)&amp;"|"&amp;대상월키,월별근무지표[키],0)),"직접 입력",IF($L897="—","—","기관명단")))</f>
        <v/>
      </c>
      <c r="X897" s="4">
        <f>IFERROR(MATCH(892,합계표[판정순번],0),"")</f>
        <v/>
      </c>
    </row>
    <row r="898">
      <c r="A898">
        <f>IF($X898="","",INDEX(합계표[사번],$X898)&amp;"")</f>
        <v/>
      </c>
      <c r="B898">
        <f>IF($X898="","",INDEX(합계표[성명],$X898)&amp;"")</f>
        <v/>
      </c>
      <c r="C898">
        <f>IF($X898="","",INDEX(합계표[부서],$X898)&amp;"")</f>
        <v/>
      </c>
      <c r="D898">
        <f>IF($X898="","",INDEX(합계표[직위(요약)],$X898)&amp;"")</f>
        <v/>
      </c>
      <c r="E898">
        <f>IF($X898="","",INDEX(합계표[직급 공존],$X898)&amp;"")</f>
        <v/>
      </c>
      <c r="F898" s="20">
        <f>IF($X898="","",SUMIFS(합계표[시스템 합계],합계표[사번키],INDEX(합계표[사번키],$X898)))</f>
        <v/>
      </c>
      <c r="G898" s="20">
        <f>IF($X898="","",SUMIFS(상세표[기록 시간외],상세표[사번키],INDEX(합계표[사번키],$X898),상세표[기록월],대상월키))</f>
        <v/>
      </c>
      <c r="H898">
        <f>IF($X898="","",IF(ABS($F898-$G898)&lt;0.01,"일치","불일치(차이 "&amp;TEXT($G898-$F898,"0.00")&amp;")"))</f>
        <v/>
      </c>
      <c r="I898" s="20">
        <f>IF($X898="","",SUMIFS(상세표[기록 시간외],상세표[사번키],INDEX(합계표[사번키],$X898),상세표[기록월],대상월키,상세표[반영월],"&lt;&gt;"&amp;대상월키))</f>
        <v/>
      </c>
      <c r="J898" s="20">
        <f>IF($X898="","",SUMIFS(상세표[기록 시간외],상세표[사번키],INDEX(합계표[사번키],$X898),상세표[기록월],"&lt;&gt;"&amp;대상월키,상세표[반영월],대상월키))</f>
        <v/>
      </c>
      <c r="K898" s="20">
        <f>IF($X898="","",SUMIFS(상세표[기록 시간외],상세표[사번키],INDEX(합계표[사번키],$X898),상세표[반영월],대상월키))</f>
        <v/>
      </c>
      <c r="L898">
        <f>IF($X898="","",IFERROR(INDEX(월별근무지표[적용 급여병원],MATCH(INDEX(합계표[사번키],$X898)&amp;"|"&amp;대상월키,월별근무지표[키],0))&amp;"",IF(COUNTIF(기관표[사번키],INDEX(합계표[사번키],$X898))+COUNTIF(월별근무지표[사번키],INDEX(합계표[사번키],$X898))&gt;0,IFERROR(INDEX(기관표[급여지급병원(기준월)],MATCH(INDEX(합계표[사번키],$X898)&amp;"|"&amp;대상월키,기관표[키],0))&amp;"","—"),"—")))</f>
        <v/>
      </c>
      <c r="M898">
        <f>IF($X898="","",IF(NOT(COUNTIF(기관표[사번키],INDEX(합계표[사번키],$X898))+COUNTIF(월별근무지표[사번키],INDEX(합계표[사번키],$X898))&gt;0),"기관명단에 없음(다른 병원으로 발송)",IF($L898="서울병원","해당",IF(N($R898)&gt;0,"해당(말일 근무)",IF($L898="—","대상월 기관명단 없음(추가 필요)","비해당")))))</f>
        <v/>
      </c>
      <c r="N898" s="20">
        <f>IF($X898="","",SUMIFS(상세표[06~07시],상세표[사번키],INDEX(합계표[사번키],$X898),상세표[반영월],대상월키,상세표[반영 기관],"서울병원"))</f>
        <v/>
      </c>
      <c r="O898" s="20">
        <f>IF($X898="","",SUMIFS(상세표[07~18시],상세표[사번키],INDEX(합계표[사번키],$X898),상세표[반영월],대상월키,상세표[반영 기관],"서울병원"))</f>
        <v/>
      </c>
      <c r="P898" s="20">
        <f>IF($X898="","",SUMIFS(상세표[18~22시],상세표[사번키],INDEX(합계표[사번키],$X898),상세표[반영월],대상월키,상세표[반영 기관],"서울병원"))</f>
        <v/>
      </c>
      <c r="Q898" s="20">
        <f>IF($X898="","",SUMIFS(상세표[22~06시],상세표[사번키],INDEX(합계표[사번키],$X898),상세표[반영월],대상월키,상세표[반영 기관],"서울병원"))</f>
        <v/>
      </c>
      <c r="R898" s="20">
        <f>IF($X898="","",SUM($N898:$Q898))</f>
        <v/>
      </c>
      <c r="S898">
        <f>IF($X898="","",COUNTIFS(상세표[사번키],INDEX(합계표[사번키],$X898),상세표[반영월],대상월키,상세표[야간당직],1,상세표[야간 구분],"평일"))</f>
        <v/>
      </c>
      <c r="T898">
        <f>IF($X898="","",COUNTIFS(상세표[사번키],INDEX(합계표[사번키],$X898),상세표[반영월],대상월키,상세표[야간당직],1,상세표[야간 구분],"휴일"))</f>
        <v/>
      </c>
      <c r="U898">
        <f>IF($X898="","",COUNTIFS(상세표[사번키],INDEX(합계표[사번키],$X898),상세표[반영월],대상월키,상세표[야간당직],1,상세표[야간 구분],"평일",상세표[반영 기관],"서울병원"))</f>
        <v/>
      </c>
      <c r="V898">
        <f>IF($X898="","",COUNTIFS(상세표[사번키],INDEX(합계표[사번키],$X898),상세표[반영월],대상월키,상세표[야간당직],1,상세표[야간 구분],"휴일",상세표[반영 기관],"서울병원"))</f>
        <v/>
      </c>
      <c r="W898">
        <f>IF($X898="","",IF(ISNUMBER(MATCH(INDEX(합계표[사번키],$X898)&amp;"|"&amp;대상월키,월별근무지표[키],0)),"직접 입력",IF($L898="—","—","기관명단")))</f>
        <v/>
      </c>
      <c r="X898" s="4">
        <f>IFERROR(MATCH(893,합계표[판정순번],0),"")</f>
        <v/>
      </c>
    </row>
    <row r="899">
      <c r="A899">
        <f>IF($X899="","",INDEX(합계표[사번],$X899)&amp;"")</f>
        <v/>
      </c>
      <c r="B899">
        <f>IF($X899="","",INDEX(합계표[성명],$X899)&amp;"")</f>
        <v/>
      </c>
      <c r="C899">
        <f>IF($X899="","",INDEX(합계표[부서],$X899)&amp;"")</f>
        <v/>
      </c>
      <c r="D899">
        <f>IF($X899="","",INDEX(합계표[직위(요약)],$X899)&amp;"")</f>
        <v/>
      </c>
      <c r="E899">
        <f>IF($X899="","",INDEX(합계표[직급 공존],$X899)&amp;"")</f>
        <v/>
      </c>
      <c r="F899" s="20">
        <f>IF($X899="","",SUMIFS(합계표[시스템 합계],합계표[사번키],INDEX(합계표[사번키],$X899)))</f>
        <v/>
      </c>
      <c r="G899" s="20">
        <f>IF($X899="","",SUMIFS(상세표[기록 시간외],상세표[사번키],INDEX(합계표[사번키],$X899),상세표[기록월],대상월키))</f>
        <v/>
      </c>
      <c r="H899">
        <f>IF($X899="","",IF(ABS($F899-$G899)&lt;0.01,"일치","불일치(차이 "&amp;TEXT($G899-$F899,"0.00")&amp;")"))</f>
        <v/>
      </c>
      <c r="I899" s="20">
        <f>IF($X899="","",SUMIFS(상세표[기록 시간외],상세표[사번키],INDEX(합계표[사번키],$X899),상세표[기록월],대상월키,상세표[반영월],"&lt;&gt;"&amp;대상월키))</f>
        <v/>
      </c>
      <c r="J899" s="20">
        <f>IF($X899="","",SUMIFS(상세표[기록 시간외],상세표[사번키],INDEX(합계표[사번키],$X899),상세표[기록월],"&lt;&gt;"&amp;대상월키,상세표[반영월],대상월키))</f>
        <v/>
      </c>
      <c r="K899" s="20">
        <f>IF($X899="","",SUMIFS(상세표[기록 시간외],상세표[사번키],INDEX(합계표[사번키],$X899),상세표[반영월],대상월키))</f>
        <v/>
      </c>
      <c r="L899">
        <f>IF($X899="","",IFERROR(INDEX(월별근무지표[적용 급여병원],MATCH(INDEX(합계표[사번키],$X899)&amp;"|"&amp;대상월키,월별근무지표[키],0))&amp;"",IF(COUNTIF(기관표[사번키],INDEX(합계표[사번키],$X899))+COUNTIF(월별근무지표[사번키],INDEX(합계표[사번키],$X899))&gt;0,IFERROR(INDEX(기관표[급여지급병원(기준월)],MATCH(INDEX(합계표[사번키],$X899)&amp;"|"&amp;대상월키,기관표[키],0))&amp;"","—"),"—")))</f>
        <v/>
      </c>
      <c r="M899">
        <f>IF($X899="","",IF(NOT(COUNTIF(기관표[사번키],INDEX(합계표[사번키],$X899))+COUNTIF(월별근무지표[사번키],INDEX(합계표[사번키],$X899))&gt;0),"기관명단에 없음(다른 병원으로 발송)",IF($L899="서울병원","해당",IF(N($R899)&gt;0,"해당(말일 근무)",IF($L899="—","대상월 기관명단 없음(추가 필요)","비해당")))))</f>
        <v/>
      </c>
      <c r="N899" s="20">
        <f>IF($X899="","",SUMIFS(상세표[06~07시],상세표[사번키],INDEX(합계표[사번키],$X899),상세표[반영월],대상월키,상세표[반영 기관],"서울병원"))</f>
        <v/>
      </c>
      <c r="O899" s="20">
        <f>IF($X899="","",SUMIFS(상세표[07~18시],상세표[사번키],INDEX(합계표[사번키],$X899),상세표[반영월],대상월키,상세표[반영 기관],"서울병원"))</f>
        <v/>
      </c>
      <c r="P899" s="20">
        <f>IF($X899="","",SUMIFS(상세표[18~22시],상세표[사번키],INDEX(합계표[사번키],$X899),상세표[반영월],대상월키,상세표[반영 기관],"서울병원"))</f>
        <v/>
      </c>
      <c r="Q899" s="20">
        <f>IF($X899="","",SUMIFS(상세표[22~06시],상세표[사번키],INDEX(합계표[사번키],$X899),상세표[반영월],대상월키,상세표[반영 기관],"서울병원"))</f>
        <v/>
      </c>
      <c r="R899" s="20">
        <f>IF($X899="","",SUM($N899:$Q899))</f>
        <v/>
      </c>
      <c r="S899">
        <f>IF($X899="","",COUNTIFS(상세표[사번키],INDEX(합계표[사번키],$X899),상세표[반영월],대상월키,상세표[야간당직],1,상세표[야간 구분],"평일"))</f>
        <v/>
      </c>
      <c r="T899">
        <f>IF($X899="","",COUNTIFS(상세표[사번키],INDEX(합계표[사번키],$X899),상세표[반영월],대상월키,상세표[야간당직],1,상세표[야간 구분],"휴일"))</f>
        <v/>
      </c>
      <c r="U899">
        <f>IF($X899="","",COUNTIFS(상세표[사번키],INDEX(합계표[사번키],$X899),상세표[반영월],대상월키,상세표[야간당직],1,상세표[야간 구분],"평일",상세표[반영 기관],"서울병원"))</f>
        <v/>
      </c>
      <c r="V899">
        <f>IF($X899="","",COUNTIFS(상세표[사번키],INDEX(합계표[사번키],$X899),상세표[반영월],대상월키,상세표[야간당직],1,상세표[야간 구분],"휴일",상세표[반영 기관],"서울병원"))</f>
        <v/>
      </c>
      <c r="W899">
        <f>IF($X899="","",IF(ISNUMBER(MATCH(INDEX(합계표[사번키],$X899)&amp;"|"&amp;대상월키,월별근무지표[키],0)),"직접 입력",IF($L899="—","—","기관명단")))</f>
        <v/>
      </c>
      <c r="X899" s="4">
        <f>IFERROR(MATCH(894,합계표[판정순번],0),"")</f>
        <v/>
      </c>
    </row>
    <row r="900">
      <c r="A900">
        <f>IF($X900="","",INDEX(합계표[사번],$X900)&amp;"")</f>
        <v/>
      </c>
      <c r="B900">
        <f>IF($X900="","",INDEX(합계표[성명],$X900)&amp;"")</f>
        <v/>
      </c>
      <c r="C900">
        <f>IF($X900="","",INDEX(합계표[부서],$X900)&amp;"")</f>
        <v/>
      </c>
      <c r="D900">
        <f>IF($X900="","",INDEX(합계표[직위(요약)],$X900)&amp;"")</f>
        <v/>
      </c>
      <c r="E900">
        <f>IF($X900="","",INDEX(합계표[직급 공존],$X900)&amp;"")</f>
        <v/>
      </c>
      <c r="F900" s="20">
        <f>IF($X900="","",SUMIFS(합계표[시스템 합계],합계표[사번키],INDEX(합계표[사번키],$X900)))</f>
        <v/>
      </c>
      <c r="G900" s="20">
        <f>IF($X900="","",SUMIFS(상세표[기록 시간외],상세표[사번키],INDEX(합계표[사번키],$X900),상세표[기록월],대상월키))</f>
        <v/>
      </c>
      <c r="H900">
        <f>IF($X900="","",IF(ABS($F900-$G900)&lt;0.01,"일치","불일치(차이 "&amp;TEXT($G900-$F900,"0.00")&amp;")"))</f>
        <v/>
      </c>
      <c r="I900" s="20">
        <f>IF($X900="","",SUMIFS(상세표[기록 시간외],상세표[사번키],INDEX(합계표[사번키],$X900),상세표[기록월],대상월키,상세표[반영월],"&lt;&gt;"&amp;대상월키))</f>
        <v/>
      </c>
      <c r="J900" s="20">
        <f>IF($X900="","",SUMIFS(상세표[기록 시간외],상세표[사번키],INDEX(합계표[사번키],$X900),상세표[기록월],"&lt;&gt;"&amp;대상월키,상세표[반영월],대상월키))</f>
        <v/>
      </c>
      <c r="K900" s="20">
        <f>IF($X900="","",SUMIFS(상세표[기록 시간외],상세표[사번키],INDEX(합계표[사번키],$X900),상세표[반영월],대상월키))</f>
        <v/>
      </c>
      <c r="L900">
        <f>IF($X900="","",IFERROR(INDEX(월별근무지표[적용 급여병원],MATCH(INDEX(합계표[사번키],$X900)&amp;"|"&amp;대상월키,월별근무지표[키],0))&amp;"",IF(COUNTIF(기관표[사번키],INDEX(합계표[사번키],$X900))+COUNTIF(월별근무지표[사번키],INDEX(합계표[사번키],$X900))&gt;0,IFERROR(INDEX(기관표[급여지급병원(기준월)],MATCH(INDEX(합계표[사번키],$X900)&amp;"|"&amp;대상월키,기관표[키],0))&amp;"","—"),"—")))</f>
        <v/>
      </c>
      <c r="M900">
        <f>IF($X900="","",IF(NOT(COUNTIF(기관표[사번키],INDEX(합계표[사번키],$X900))+COUNTIF(월별근무지표[사번키],INDEX(합계표[사번키],$X900))&gt;0),"기관명단에 없음(다른 병원으로 발송)",IF($L900="서울병원","해당",IF(N($R900)&gt;0,"해당(말일 근무)",IF($L900="—","대상월 기관명단 없음(추가 필요)","비해당")))))</f>
        <v/>
      </c>
      <c r="N900" s="20">
        <f>IF($X900="","",SUMIFS(상세표[06~07시],상세표[사번키],INDEX(합계표[사번키],$X900),상세표[반영월],대상월키,상세표[반영 기관],"서울병원"))</f>
        <v/>
      </c>
      <c r="O900" s="20">
        <f>IF($X900="","",SUMIFS(상세표[07~18시],상세표[사번키],INDEX(합계표[사번키],$X900),상세표[반영월],대상월키,상세표[반영 기관],"서울병원"))</f>
        <v/>
      </c>
      <c r="P900" s="20">
        <f>IF($X900="","",SUMIFS(상세표[18~22시],상세표[사번키],INDEX(합계표[사번키],$X900),상세표[반영월],대상월키,상세표[반영 기관],"서울병원"))</f>
        <v/>
      </c>
      <c r="Q900" s="20">
        <f>IF($X900="","",SUMIFS(상세표[22~06시],상세표[사번키],INDEX(합계표[사번키],$X900),상세표[반영월],대상월키,상세표[반영 기관],"서울병원"))</f>
        <v/>
      </c>
      <c r="R900" s="20">
        <f>IF($X900="","",SUM($N900:$Q900))</f>
        <v/>
      </c>
      <c r="S900">
        <f>IF($X900="","",COUNTIFS(상세표[사번키],INDEX(합계표[사번키],$X900),상세표[반영월],대상월키,상세표[야간당직],1,상세표[야간 구분],"평일"))</f>
        <v/>
      </c>
      <c r="T900">
        <f>IF($X900="","",COUNTIFS(상세표[사번키],INDEX(합계표[사번키],$X900),상세표[반영월],대상월키,상세표[야간당직],1,상세표[야간 구분],"휴일"))</f>
        <v/>
      </c>
      <c r="U900">
        <f>IF($X900="","",COUNTIFS(상세표[사번키],INDEX(합계표[사번키],$X900),상세표[반영월],대상월키,상세표[야간당직],1,상세표[야간 구분],"평일",상세표[반영 기관],"서울병원"))</f>
        <v/>
      </c>
      <c r="V900">
        <f>IF($X900="","",COUNTIFS(상세표[사번키],INDEX(합계표[사번키],$X900),상세표[반영월],대상월키,상세표[야간당직],1,상세표[야간 구분],"휴일",상세표[반영 기관],"서울병원"))</f>
        <v/>
      </c>
      <c r="W900">
        <f>IF($X900="","",IF(ISNUMBER(MATCH(INDEX(합계표[사번키],$X900)&amp;"|"&amp;대상월키,월별근무지표[키],0)),"직접 입력",IF($L900="—","—","기관명단")))</f>
        <v/>
      </c>
      <c r="X900" s="4">
        <f>IFERROR(MATCH(895,합계표[판정순번],0),"")</f>
        <v/>
      </c>
    </row>
    <row r="901">
      <c r="A901">
        <f>IF($X901="","",INDEX(합계표[사번],$X901)&amp;"")</f>
        <v/>
      </c>
      <c r="B901">
        <f>IF($X901="","",INDEX(합계표[성명],$X901)&amp;"")</f>
        <v/>
      </c>
      <c r="C901">
        <f>IF($X901="","",INDEX(합계표[부서],$X901)&amp;"")</f>
        <v/>
      </c>
      <c r="D901">
        <f>IF($X901="","",INDEX(합계표[직위(요약)],$X901)&amp;"")</f>
        <v/>
      </c>
      <c r="E901">
        <f>IF($X901="","",INDEX(합계표[직급 공존],$X901)&amp;"")</f>
        <v/>
      </c>
      <c r="F901" s="20">
        <f>IF($X901="","",SUMIFS(합계표[시스템 합계],합계표[사번키],INDEX(합계표[사번키],$X901)))</f>
        <v/>
      </c>
      <c r="G901" s="20">
        <f>IF($X901="","",SUMIFS(상세표[기록 시간외],상세표[사번키],INDEX(합계표[사번키],$X901),상세표[기록월],대상월키))</f>
        <v/>
      </c>
      <c r="H901">
        <f>IF($X901="","",IF(ABS($F901-$G901)&lt;0.01,"일치","불일치(차이 "&amp;TEXT($G901-$F901,"0.00")&amp;")"))</f>
        <v/>
      </c>
      <c r="I901" s="20">
        <f>IF($X901="","",SUMIFS(상세표[기록 시간외],상세표[사번키],INDEX(합계표[사번키],$X901),상세표[기록월],대상월키,상세표[반영월],"&lt;&gt;"&amp;대상월키))</f>
        <v/>
      </c>
      <c r="J901" s="20">
        <f>IF($X901="","",SUMIFS(상세표[기록 시간외],상세표[사번키],INDEX(합계표[사번키],$X901),상세표[기록월],"&lt;&gt;"&amp;대상월키,상세표[반영월],대상월키))</f>
        <v/>
      </c>
      <c r="K901" s="20">
        <f>IF($X901="","",SUMIFS(상세표[기록 시간외],상세표[사번키],INDEX(합계표[사번키],$X901),상세표[반영월],대상월키))</f>
        <v/>
      </c>
      <c r="L901">
        <f>IF($X901="","",IFERROR(INDEX(월별근무지표[적용 급여병원],MATCH(INDEX(합계표[사번키],$X901)&amp;"|"&amp;대상월키,월별근무지표[키],0))&amp;"",IF(COUNTIF(기관표[사번키],INDEX(합계표[사번키],$X901))+COUNTIF(월별근무지표[사번키],INDEX(합계표[사번키],$X901))&gt;0,IFERROR(INDEX(기관표[급여지급병원(기준월)],MATCH(INDEX(합계표[사번키],$X901)&amp;"|"&amp;대상월키,기관표[키],0))&amp;"","—"),"—")))</f>
        <v/>
      </c>
      <c r="M901">
        <f>IF($X901="","",IF(NOT(COUNTIF(기관표[사번키],INDEX(합계표[사번키],$X901))+COUNTIF(월별근무지표[사번키],INDEX(합계표[사번키],$X901))&gt;0),"기관명단에 없음(다른 병원으로 발송)",IF($L901="서울병원","해당",IF(N($R901)&gt;0,"해당(말일 근무)",IF($L901="—","대상월 기관명단 없음(추가 필요)","비해당")))))</f>
        <v/>
      </c>
      <c r="N901" s="20">
        <f>IF($X901="","",SUMIFS(상세표[06~07시],상세표[사번키],INDEX(합계표[사번키],$X901),상세표[반영월],대상월키,상세표[반영 기관],"서울병원"))</f>
        <v/>
      </c>
      <c r="O901" s="20">
        <f>IF($X901="","",SUMIFS(상세표[07~18시],상세표[사번키],INDEX(합계표[사번키],$X901),상세표[반영월],대상월키,상세표[반영 기관],"서울병원"))</f>
        <v/>
      </c>
      <c r="P901" s="20">
        <f>IF($X901="","",SUMIFS(상세표[18~22시],상세표[사번키],INDEX(합계표[사번키],$X901),상세표[반영월],대상월키,상세표[반영 기관],"서울병원"))</f>
        <v/>
      </c>
      <c r="Q901" s="20">
        <f>IF($X901="","",SUMIFS(상세표[22~06시],상세표[사번키],INDEX(합계표[사번키],$X901),상세표[반영월],대상월키,상세표[반영 기관],"서울병원"))</f>
        <v/>
      </c>
      <c r="R901" s="20">
        <f>IF($X901="","",SUM($N901:$Q901))</f>
        <v/>
      </c>
      <c r="S901">
        <f>IF($X901="","",COUNTIFS(상세표[사번키],INDEX(합계표[사번키],$X901),상세표[반영월],대상월키,상세표[야간당직],1,상세표[야간 구분],"평일"))</f>
        <v/>
      </c>
      <c r="T901">
        <f>IF($X901="","",COUNTIFS(상세표[사번키],INDEX(합계표[사번키],$X901),상세표[반영월],대상월키,상세표[야간당직],1,상세표[야간 구분],"휴일"))</f>
        <v/>
      </c>
      <c r="U901">
        <f>IF($X901="","",COUNTIFS(상세표[사번키],INDEX(합계표[사번키],$X901),상세표[반영월],대상월키,상세표[야간당직],1,상세표[야간 구분],"평일",상세표[반영 기관],"서울병원"))</f>
        <v/>
      </c>
      <c r="V901">
        <f>IF($X901="","",COUNTIFS(상세표[사번키],INDEX(합계표[사번키],$X901),상세표[반영월],대상월키,상세표[야간당직],1,상세표[야간 구분],"휴일",상세표[반영 기관],"서울병원"))</f>
        <v/>
      </c>
      <c r="W901">
        <f>IF($X901="","",IF(ISNUMBER(MATCH(INDEX(합계표[사번키],$X901)&amp;"|"&amp;대상월키,월별근무지표[키],0)),"직접 입력",IF($L901="—","—","기관명단")))</f>
        <v/>
      </c>
      <c r="X901" s="4">
        <f>IFERROR(MATCH(896,합계표[판정순번],0),"")</f>
        <v/>
      </c>
    </row>
    <row r="902">
      <c r="A902">
        <f>IF($X902="","",INDEX(합계표[사번],$X902)&amp;"")</f>
        <v/>
      </c>
      <c r="B902">
        <f>IF($X902="","",INDEX(합계표[성명],$X902)&amp;"")</f>
        <v/>
      </c>
      <c r="C902">
        <f>IF($X902="","",INDEX(합계표[부서],$X902)&amp;"")</f>
        <v/>
      </c>
      <c r="D902">
        <f>IF($X902="","",INDEX(합계표[직위(요약)],$X902)&amp;"")</f>
        <v/>
      </c>
      <c r="E902">
        <f>IF($X902="","",INDEX(합계표[직급 공존],$X902)&amp;"")</f>
        <v/>
      </c>
      <c r="F902" s="20">
        <f>IF($X902="","",SUMIFS(합계표[시스템 합계],합계표[사번키],INDEX(합계표[사번키],$X902)))</f>
        <v/>
      </c>
      <c r="G902" s="20">
        <f>IF($X902="","",SUMIFS(상세표[기록 시간외],상세표[사번키],INDEX(합계표[사번키],$X902),상세표[기록월],대상월키))</f>
        <v/>
      </c>
      <c r="H902">
        <f>IF($X902="","",IF(ABS($F902-$G902)&lt;0.01,"일치","불일치(차이 "&amp;TEXT($G902-$F902,"0.00")&amp;")"))</f>
        <v/>
      </c>
      <c r="I902" s="20">
        <f>IF($X902="","",SUMIFS(상세표[기록 시간외],상세표[사번키],INDEX(합계표[사번키],$X902),상세표[기록월],대상월키,상세표[반영월],"&lt;&gt;"&amp;대상월키))</f>
        <v/>
      </c>
      <c r="J902" s="20">
        <f>IF($X902="","",SUMIFS(상세표[기록 시간외],상세표[사번키],INDEX(합계표[사번키],$X902),상세표[기록월],"&lt;&gt;"&amp;대상월키,상세표[반영월],대상월키))</f>
        <v/>
      </c>
      <c r="K902" s="20">
        <f>IF($X902="","",SUMIFS(상세표[기록 시간외],상세표[사번키],INDEX(합계표[사번키],$X902),상세표[반영월],대상월키))</f>
        <v/>
      </c>
      <c r="L902">
        <f>IF($X902="","",IFERROR(INDEX(월별근무지표[적용 급여병원],MATCH(INDEX(합계표[사번키],$X902)&amp;"|"&amp;대상월키,월별근무지표[키],0))&amp;"",IF(COUNTIF(기관표[사번키],INDEX(합계표[사번키],$X902))+COUNTIF(월별근무지표[사번키],INDEX(합계표[사번키],$X902))&gt;0,IFERROR(INDEX(기관표[급여지급병원(기준월)],MATCH(INDEX(합계표[사번키],$X902)&amp;"|"&amp;대상월키,기관표[키],0))&amp;"","—"),"—")))</f>
        <v/>
      </c>
      <c r="M902">
        <f>IF($X902="","",IF(NOT(COUNTIF(기관표[사번키],INDEX(합계표[사번키],$X902))+COUNTIF(월별근무지표[사번키],INDEX(합계표[사번키],$X902))&gt;0),"기관명단에 없음(다른 병원으로 발송)",IF($L902="서울병원","해당",IF(N($R902)&gt;0,"해당(말일 근무)",IF($L902="—","대상월 기관명단 없음(추가 필요)","비해당")))))</f>
        <v/>
      </c>
      <c r="N902" s="20">
        <f>IF($X902="","",SUMIFS(상세표[06~07시],상세표[사번키],INDEX(합계표[사번키],$X902),상세표[반영월],대상월키,상세표[반영 기관],"서울병원"))</f>
        <v/>
      </c>
      <c r="O902" s="20">
        <f>IF($X902="","",SUMIFS(상세표[07~18시],상세표[사번키],INDEX(합계표[사번키],$X902),상세표[반영월],대상월키,상세표[반영 기관],"서울병원"))</f>
        <v/>
      </c>
      <c r="P902" s="20">
        <f>IF($X902="","",SUMIFS(상세표[18~22시],상세표[사번키],INDEX(합계표[사번키],$X902),상세표[반영월],대상월키,상세표[반영 기관],"서울병원"))</f>
        <v/>
      </c>
      <c r="Q902" s="20">
        <f>IF($X902="","",SUMIFS(상세표[22~06시],상세표[사번키],INDEX(합계표[사번키],$X902),상세표[반영월],대상월키,상세표[반영 기관],"서울병원"))</f>
        <v/>
      </c>
      <c r="R902" s="20">
        <f>IF($X902="","",SUM($N902:$Q902))</f>
        <v/>
      </c>
      <c r="S902">
        <f>IF($X902="","",COUNTIFS(상세표[사번키],INDEX(합계표[사번키],$X902),상세표[반영월],대상월키,상세표[야간당직],1,상세표[야간 구분],"평일"))</f>
        <v/>
      </c>
      <c r="T902">
        <f>IF($X902="","",COUNTIFS(상세표[사번키],INDEX(합계표[사번키],$X902),상세표[반영월],대상월키,상세표[야간당직],1,상세표[야간 구분],"휴일"))</f>
        <v/>
      </c>
      <c r="U902">
        <f>IF($X902="","",COUNTIFS(상세표[사번키],INDEX(합계표[사번키],$X902),상세표[반영월],대상월키,상세표[야간당직],1,상세표[야간 구분],"평일",상세표[반영 기관],"서울병원"))</f>
        <v/>
      </c>
      <c r="V902">
        <f>IF($X902="","",COUNTIFS(상세표[사번키],INDEX(합계표[사번키],$X902),상세표[반영월],대상월키,상세표[야간당직],1,상세표[야간 구분],"휴일",상세표[반영 기관],"서울병원"))</f>
        <v/>
      </c>
      <c r="W902">
        <f>IF($X902="","",IF(ISNUMBER(MATCH(INDEX(합계표[사번키],$X902)&amp;"|"&amp;대상월키,월별근무지표[키],0)),"직접 입력",IF($L902="—","—","기관명단")))</f>
        <v/>
      </c>
      <c r="X902" s="4">
        <f>IFERROR(MATCH(897,합계표[판정순번],0),"")</f>
        <v/>
      </c>
    </row>
    <row r="903">
      <c r="A903">
        <f>IF($X903="","",INDEX(합계표[사번],$X903)&amp;"")</f>
        <v/>
      </c>
      <c r="B903">
        <f>IF($X903="","",INDEX(합계표[성명],$X903)&amp;"")</f>
        <v/>
      </c>
      <c r="C903">
        <f>IF($X903="","",INDEX(합계표[부서],$X903)&amp;"")</f>
        <v/>
      </c>
      <c r="D903">
        <f>IF($X903="","",INDEX(합계표[직위(요약)],$X903)&amp;"")</f>
        <v/>
      </c>
      <c r="E903">
        <f>IF($X903="","",INDEX(합계표[직급 공존],$X903)&amp;"")</f>
        <v/>
      </c>
      <c r="F903" s="20">
        <f>IF($X903="","",SUMIFS(합계표[시스템 합계],합계표[사번키],INDEX(합계표[사번키],$X903)))</f>
        <v/>
      </c>
      <c r="G903" s="20">
        <f>IF($X903="","",SUMIFS(상세표[기록 시간외],상세표[사번키],INDEX(합계표[사번키],$X903),상세표[기록월],대상월키))</f>
        <v/>
      </c>
      <c r="H903">
        <f>IF($X903="","",IF(ABS($F903-$G903)&lt;0.01,"일치","불일치(차이 "&amp;TEXT($G903-$F903,"0.00")&amp;")"))</f>
        <v/>
      </c>
      <c r="I903" s="20">
        <f>IF($X903="","",SUMIFS(상세표[기록 시간외],상세표[사번키],INDEX(합계표[사번키],$X903),상세표[기록월],대상월키,상세표[반영월],"&lt;&gt;"&amp;대상월키))</f>
        <v/>
      </c>
      <c r="J903" s="20">
        <f>IF($X903="","",SUMIFS(상세표[기록 시간외],상세표[사번키],INDEX(합계표[사번키],$X903),상세표[기록월],"&lt;&gt;"&amp;대상월키,상세표[반영월],대상월키))</f>
        <v/>
      </c>
      <c r="K903" s="20">
        <f>IF($X903="","",SUMIFS(상세표[기록 시간외],상세표[사번키],INDEX(합계표[사번키],$X903),상세표[반영월],대상월키))</f>
        <v/>
      </c>
      <c r="L903">
        <f>IF($X903="","",IFERROR(INDEX(월별근무지표[적용 급여병원],MATCH(INDEX(합계표[사번키],$X903)&amp;"|"&amp;대상월키,월별근무지표[키],0))&amp;"",IF(COUNTIF(기관표[사번키],INDEX(합계표[사번키],$X903))+COUNTIF(월별근무지표[사번키],INDEX(합계표[사번키],$X903))&gt;0,IFERROR(INDEX(기관표[급여지급병원(기준월)],MATCH(INDEX(합계표[사번키],$X903)&amp;"|"&amp;대상월키,기관표[키],0))&amp;"","—"),"—")))</f>
        <v/>
      </c>
      <c r="M903">
        <f>IF($X903="","",IF(NOT(COUNTIF(기관표[사번키],INDEX(합계표[사번키],$X903))+COUNTIF(월별근무지표[사번키],INDEX(합계표[사번키],$X903))&gt;0),"기관명단에 없음(다른 병원으로 발송)",IF($L903="서울병원","해당",IF(N($R903)&gt;0,"해당(말일 근무)",IF($L903="—","대상월 기관명단 없음(추가 필요)","비해당")))))</f>
        <v/>
      </c>
      <c r="N903" s="20">
        <f>IF($X903="","",SUMIFS(상세표[06~07시],상세표[사번키],INDEX(합계표[사번키],$X903),상세표[반영월],대상월키,상세표[반영 기관],"서울병원"))</f>
        <v/>
      </c>
      <c r="O903" s="20">
        <f>IF($X903="","",SUMIFS(상세표[07~18시],상세표[사번키],INDEX(합계표[사번키],$X903),상세표[반영월],대상월키,상세표[반영 기관],"서울병원"))</f>
        <v/>
      </c>
      <c r="P903" s="20">
        <f>IF($X903="","",SUMIFS(상세표[18~22시],상세표[사번키],INDEX(합계표[사번키],$X903),상세표[반영월],대상월키,상세표[반영 기관],"서울병원"))</f>
        <v/>
      </c>
      <c r="Q903" s="20">
        <f>IF($X903="","",SUMIFS(상세표[22~06시],상세표[사번키],INDEX(합계표[사번키],$X903),상세표[반영월],대상월키,상세표[반영 기관],"서울병원"))</f>
        <v/>
      </c>
      <c r="R903" s="20">
        <f>IF($X903="","",SUM($N903:$Q903))</f>
        <v/>
      </c>
      <c r="S903">
        <f>IF($X903="","",COUNTIFS(상세표[사번키],INDEX(합계표[사번키],$X903),상세표[반영월],대상월키,상세표[야간당직],1,상세표[야간 구분],"평일"))</f>
        <v/>
      </c>
      <c r="T903">
        <f>IF($X903="","",COUNTIFS(상세표[사번키],INDEX(합계표[사번키],$X903),상세표[반영월],대상월키,상세표[야간당직],1,상세표[야간 구분],"휴일"))</f>
        <v/>
      </c>
      <c r="U903">
        <f>IF($X903="","",COUNTIFS(상세표[사번키],INDEX(합계표[사번키],$X903),상세표[반영월],대상월키,상세표[야간당직],1,상세표[야간 구분],"평일",상세표[반영 기관],"서울병원"))</f>
        <v/>
      </c>
      <c r="V903">
        <f>IF($X903="","",COUNTIFS(상세표[사번키],INDEX(합계표[사번키],$X903),상세표[반영월],대상월키,상세표[야간당직],1,상세표[야간 구분],"휴일",상세표[반영 기관],"서울병원"))</f>
        <v/>
      </c>
      <c r="W903">
        <f>IF($X903="","",IF(ISNUMBER(MATCH(INDEX(합계표[사번키],$X903)&amp;"|"&amp;대상월키,월별근무지표[키],0)),"직접 입력",IF($L903="—","—","기관명단")))</f>
        <v/>
      </c>
      <c r="X903" s="4">
        <f>IFERROR(MATCH(898,합계표[판정순번],0),"")</f>
        <v/>
      </c>
    </row>
    <row r="904">
      <c r="A904">
        <f>IF($X904="","",INDEX(합계표[사번],$X904)&amp;"")</f>
        <v/>
      </c>
      <c r="B904">
        <f>IF($X904="","",INDEX(합계표[성명],$X904)&amp;"")</f>
        <v/>
      </c>
      <c r="C904">
        <f>IF($X904="","",INDEX(합계표[부서],$X904)&amp;"")</f>
        <v/>
      </c>
      <c r="D904">
        <f>IF($X904="","",INDEX(합계표[직위(요약)],$X904)&amp;"")</f>
        <v/>
      </c>
      <c r="E904">
        <f>IF($X904="","",INDEX(합계표[직급 공존],$X904)&amp;"")</f>
        <v/>
      </c>
      <c r="F904" s="20">
        <f>IF($X904="","",SUMIFS(합계표[시스템 합계],합계표[사번키],INDEX(합계표[사번키],$X904)))</f>
        <v/>
      </c>
      <c r="G904" s="20">
        <f>IF($X904="","",SUMIFS(상세표[기록 시간외],상세표[사번키],INDEX(합계표[사번키],$X904),상세표[기록월],대상월키))</f>
        <v/>
      </c>
      <c r="H904">
        <f>IF($X904="","",IF(ABS($F904-$G904)&lt;0.01,"일치","불일치(차이 "&amp;TEXT($G904-$F904,"0.00")&amp;")"))</f>
        <v/>
      </c>
      <c r="I904" s="20">
        <f>IF($X904="","",SUMIFS(상세표[기록 시간외],상세표[사번키],INDEX(합계표[사번키],$X904),상세표[기록월],대상월키,상세표[반영월],"&lt;&gt;"&amp;대상월키))</f>
        <v/>
      </c>
      <c r="J904" s="20">
        <f>IF($X904="","",SUMIFS(상세표[기록 시간외],상세표[사번키],INDEX(합계표[사번키],$X904),상세표[기록월],"&lt;&gt;"&amp;대상월키,상세표[반영월],대상월키))</f>
        <v/>
      </c>
      <c r="K904" s="20">
        <f>IF($X904="","",SUMIFS(상세표[기록 시간외],상세표[사번키],INDEX(합계표[사번키],$X904),상세표[반영월],대상월키))</f>
        <v/>
      </c>
      <c r="L904">
        <f>IF($X904="","",IFERROR(INDEX(월별근무지표[적용 급여병원],MATCH(INDEX(합계표[사번키],$X904)&amp;"|"&amp;대상월키,월별근무지표[키],0))&amp;"",IF(COUNTIF(기관표[사번키],INDEX(합계표[사번키],$X904))+COUNTIF(월별근무지표[사번키],INDEX(합계표[사번키],$X904))&gt;0,IFERROR(INDEX(기관표[급여지급병원(기준월)],MATCH(INDEX(합계표[사번키],$X904)&amp;"|"&amp;대상월키,기관표[키],0))&amp;"","—"),"—")))</f>
        <v/>
      </c>
      <c r="M904">
        <f>IF($X904="","",IF(NOT(COUNTIF(기관표[사번키],INDEX(합계표[사번키],$X904))+COUNTIF(월별근무지표[사번키],INDEX(합계표[사번키],$X904))&gt;0),"기관명단에 없음(다른 병원으로 발송)",IF($L904="서울병원","해당",IF(N($R904)&gt;0,"해당(말일 근무)",IF($L904="—","대상월 기관명단 없음(추가 필요)","비해당")))))</f>
        <v/>
      </c>
      <c r="N904" s="20">
        <f>IF($X904="","",SUMIFS(상세표[06~07시],상세표[사번키],INDEX(합계표[사번키],$X904),상세표[반영월],대상월키,상세표[반영 기관],"서울병원"))</f>
        <v/>
      </c>
      <c r="O904" s="20">
        <f>IF($X904="","",SUMIFS(상세표[07~18시],상세표[사번키],INDEX(합계표[사번키],$X904),상세표[반영월],대상월키,상세표[반영 기관],"서울병원"))</f>
        <v/>
      </c>
      <c r="P904" s="20">
        <f>IF($X904="","",SUMIFS(상세표[18~22시],상세표[사번키],INDEX(합계표[사번키],$X904),상세표[반영월],대상월키,상세표[반영 기관],"서울병원"))</f>
        <v/>
      </c>
      <c r="Q904" s="20">
        <f>IF($X904="","",SUMIFS(상세표[22~06시],상세표[사번키],INDEX(합계표[사번키],$X904),상세표[반영월],대상월키,상세표[반영 기관],"서울병원"))</f>
        <v/>
      </c>
      <c r="R904" s="20">
        <f>IF($X904="","",SUM($N904:$Q904))</f>
        <v/>
      </c>
      <c r="S904">
        <f>IF($X904="","",COUNTIFS(상세표[사번키],INDEX(합계표[사번키],$X904),상세표[반영월],대상월키,상세표[야간당직],1,상세표[야간 구분],"평일"))</f>
        <v/>
      </c>
      <c r="T904">
        <f>IF($X904="","",COUNTIFS(상세표[사번키],INDEX(합계표[사번키],$X904),상세표[반영월],대상월키,상세표[야간당직],1,상세표[야간 구분],"휴일"))</f>
        <v/>
      </c>
      <c r="U904">
        <f>IF($X904="","",COUNTIFS(상세표[사번키],INDEX(합계표[사번키],$X904),상세표[반영월],대상월키,상세표[야간당직],1,상세표[야간 구분],"평일",상세표[반영 기관],"서울병원"))</f>
        <v/>
      </c>
      <c r="V904">
        <f>IF($X904="","",COUNTIFS(상세표[사번키],INDEX(합계표[사번키],$X904),상세표[반영월],대상월키,상세표[야간당직],1,상세표[야간 구분],"휴일",상세표[반영 기관],"서울병원"))</f>
        <v/>
      </c>
      <c r="W904">
        <f>IF($X904="","",IF(ISNUMBER(MATCH(INDEX(합계표[사번키],$X904)&amp;"|"&amp;대상월키,월별근무지표[키],0)),"직접 입력",IF($L904="—","—","기관명단")))</f>
        <v/>
      </c>
      <c r="X904" s="4">
        <f>IFERROR(MATCH(899,합계표[판정순번],0),"")</f>
        <v/>
      </c>
    </row>
    <row r="905">
      <c r="A905">
        <f>IF($X905="","",INDEX(합계표[사번],$X905)&amp;"")</f>
        <v/>
      </c>
      <c r="B905">
        <f>IF($X905="","",INDEX(합계표[성명],$X905)&amp;"")</f>
        <v/>
      </c>
      <c r="C905">
        <f>IF($X905="","",INDEX(합계표[부서],$X905)&amp;"")</f>
        <v/>
      </c>
      <c r="D905">
        <f>IF($X905="","",INDEX(합계표[직위(요약)],$X905)&amp;"")</f>
        <v/>
      </c>
      <c r="E905">
        <f>IF($X905="","",INDEX(합계표[직급 공존],$X905)&amp;"")</f>
        <v/>
      </c>
      <c r="F905" s="20">
        <f>IF($X905="","",SUMIFS(합계표[시스템 합계],합계표[사번키],INDEX(합계표[사번키],$X905)))</f>
        <v/>
      </c>
      <c r="G905" s="20">
        <f>IF($X905="","",SUMIFS(상세표[기록 시간외],상세표[사번키],INDEX(합계표[사번키],$X905),상세표[기록월],대상월키))</f>
        <v/>
      </c>
      <c r="H905">
        <f>IF($X905="","",IF(ABS($F905-$G905)&lt;0.01,"일치","불일치(차이 "&amp;TEXT($G905-$F905,"0.00")&amp;")"))</f>
        <v/>
      </c>
      <c r="I905" s="20">
        <f>IF($X905="","",SUMIFS(상세표[기록 시간외],상세표[사번키],INDEX(합계표[사번키],$X905),상세표[기록월],대상월키,상세표[반영월],"&lt;&gt;"&amp;대상월키))</f>
        <v/>
      </c>
      <c r="J905" s="20">
        <f>IF($X905="","",SUMIFS(상세표[기록 시간외],상세표[사번키],INDEX(합계표[사번키],$X905),상세표[기록월],"&lt;&gt;"&amp;대상월키,상세표[반영월],대상월키))</f>
        <v/>
      </c>
      <c r="K905" s="20">
        <f>IF($X905="","",SUMIFS(상세표[기록 시간외],상세표[사번키],INDEX(합계표[사번키],$X905),상세표[반영월],대상월키))</f>
        <v/>
      </c>
      <c r="L905">
        <f>IF($X905="","",IFERROR(INDEX(월별근무지표[적용 급여병원],MATCH(INDEX(합계표[사번키],$X905)&amp;"|"&amp;대상월키,월별근무지표[키],0))&amp;"",IF(COUNTIF(기관표[사번키],INDEX(합계표[사번키],$X905))+COUNTIF(월별근무지표[사번키],INDEX(합계표[사번키],$X905))&gt;0,IFERROR(INDEX(기관표[급여지급병원(기준월)],MATCH(INDEX(합계표[사번키],$X905)&amp;"|"&amp;대상월키,기관표[키],0))&amp;"","—"),"—")))</f>
        <v/>
      </c>
      <c r="M905">
        <f>IF($X905="","",IF(NOT(COUNTIF(기관표[사번키],INDEX(합계표[사번키],$X905))+COUNTIF(월별근무지표[사번키],INDEX(합계표[사번키],$X905))&gt;0),"기관명단에 없음(다른 병원으로 발송)",IF($L905="서울병원","해당",IF(N($R905)&gt;0,"해당(말일 근무)",IF($L905="—","대상월 기관명단 없음(추가 필요)","비해당")))))</f>
        <v/>
      </c>
      <c r="N905" s="20">
        <f>IF($X905="","",SUMIFS(상세표[06~07시],상세표[사번키],INDEX(합계표[사번키],$X905),상세표[반영월],대상월키,상세표[반영 기관],"서울병원"))</f>
        <v/>
      </c>
      <c r="O905" s="20">
        <f>IF($X905="","",SUMIFS(상세표[07~18시],상세표[사번키],INDEX(합계표[사번키],$X905),상세표[반영월],대상월키,상세표[반영 기관],"서울병원"))</f>
        <v/>
      </c>
      <c r="P905" s="20">
        <f>IF($X905="","",SUMIFS(상세표[18~22시],상세표[사번키],INDEX(합계표[사번키],$X905),상세표[반영월],대상월키,상세표[반영 기관],"서울병원"))</f>
        <v/>
      </c>
      <c r="Q905" s="20">
        <f>IF($X905="","",SUMIFS(상세표[22~06시],상세표[사번키],INDEX(합계표[사번키],$X905),상세표[반영월],대상월키,상세표[반영 기관],"서울병원"))</f>
        <v/>
      </c>
      <c r="R905" s="20">
        <f>IF($X905="","",SUM($N905:$Q905))</f>
        <v/>
      </c>
      <c r="S905">
        <f>IF($X905="","",COUNTIFS(상세표[사번키],INDEX(합계표[사번키],$X905),상세표[반영월],대상월키,상세표[야간당직],1,상세표[야간 구분],"평일"))</f>
        <v/>
      </c>
      <c r="T905">
        <f>IF($X905="","",COUNTIFS(상세표[사번키],INDEX(합계표[사번키],$X905),상세표[반영월],대상월키,상세표[야간당직],1,상세표[야간 구분],"휴일"))</f>
        <v/>
      </c>
      <c r="U905">
        <f>IF($X905="","",COUNTIFS(상세표[사번키],INDEX(합계표[사번키],$X905),상세표[반영월],대상월키,상세표[야간당직],1,상세표[야간 구분],"평일",상세표[반영 기관],"서울병원"))</f>
        <v/>
      </c>
      <c r="V905">
        <f>IF($X905="","",COUNTIFS(상세표[사번키],INDEX(합계표[사번키],$X905),상세표[반영월],대상월키,상세표[야간당직],1,상세표[야간 구분],"휴일",상세표[반영 기관],"서울병원"))</f>
        <v/>
      </c>
      <c r="W905">
        <f>IF($X905="","",IF(ISNUMBER(MATCH(INDEX(합계표[사번키],$X905)&amp;"|"&amp;대상월키,월별근무지표[키],0)),"직접 입력",IF($L905="—","—","기관명단")))</f>
        <v/>
      </c>
      <c r="X905" s="4">
        <f>IFERROR(MATCH(900,합계표[판정순번],0),"")</f>
        <v/>
      </c>
    </row>
    <row r="906">
      <c r="A906">
        <f>IF($X906="","",INDEX(합계표[사번],$X906)&amp;"")</f>
        <v/>
      </c>
      <c r="B906">
        <f>IF($X906="","",INDEX(합계표[성명],$X906)&amp;"")</f>
        <v/>
      </c>
      <c r="C906">
        <f>IF($X906="","",INDEX(합계표[부서],$X906)&amp;"")</f>
        <v/>
      </c>
      <c r="D906">
        <f>IF($X906="","",INDEX(합계표[직위(요약)],$X906)&amp;"")</f>
        <v/>
      </c>
      <c r="E906">
        <f>IF($X906="","",INDEX(합계표[직급 공존],$X906)&amp;"")</f>
        <v/>
      </c>
      <c r="F906" s="20">
        <f>IF($X906="","",SUMIFS(합계표[시스템 합계],합계표[사번키],INDEX(합계표[사번키],$X906)))</f>
        <v/>
      </c>
      <c r="G906" s="20">
        <f>IF($X906="","",SUMIFS(상세표[기록 시간외],상세표[사번키],INDEX(합계표[사번키],$X906),상세표[기록월],대상월키))</f>
        <v/>
      </c>
      <c r="H906">
        <f>IF($X906="","",IF(ABS($F906-$G906)&lt;0.01,"일치","불일치(차이 "&amp;TEXT($G906-$F906,"0.00")&amp;")"))</f>
        <v/>
      </c>
      <c r="I906" s="20">
        <f>IF($X906="","",SUMIFS(상세표[기록 시간외],상세표[사번키],INDEX(합계표[사번키],$X906),상세표[기록월],대상월키,상세표[반영월],"&lt;&gt;"&amp;대상월키))</f>
        <v/>
      </c>
      <c r="J906" s="20">
        <f>IF($X906="","",SUMIFS(상세표[기록 시간외],상세표[사번키],INDEX(합계표[사번키],$X906),상세표[기록월],"&lt;&gt;"&amp;대상월키,상세표[반영월],대상월키))</f>
        <v/>
      </c>
      <c r="K906" s="20">
        <f>IF($X906="","",SUMIFS(상세표[기록 시간외],상세표[사번키],INDEX(합계표[사번키],$X906),상세표[반영월],대상월키))</f>
        <v/>
      </c>
      <c r="L906">
        <f>IF($X906="","",IFERROR(INDEX(월별근무지표[적용 급여병원],MATCH(INDEX(합계표[사번키],$X906)&amp;"|"&amp;대상월키,월별근무지표[키],0))&amp;"",IF(COUNTIF(기관표[사번키],INDEX(합계표[사번키],$X906))+COUNTIF(월별근무지표[사번키],INDEX(합계표[사번키],$X906))&gt;0,IFERROR(INDEX(기관표[급여지급병원(기준월)],MATCH(INDEX(합계표[사번키],$X906)&amp;"|"&amp;대상월키,기관표[키],0))&amp;"","—"),"—")))</f>
        <v/>
      </c>
      <c r="M906">
        <f>IF($X906="","",IF(NOT(COUNTIF(기관표[사번키],INDEX(합계표[사번키],$X906))+COUNTIF(월별근무지표[사번키],INDEX(합계표[사번키],$X906))&gt;0),"기관명단에 없음(다른 병원으로 발송)",IF($L906="서울병원","해당",IF(N($R906)&gt;0,"해당(말일 근무)",IF($L906="—","대상월 기관명단 없음(추가 필요)","비해당")))))</f>
        <v/>
      </c>
      <c r="N906" s="20">
        <f>IF($X906="","",SUMIFS(상세표[06~07시],상세표[사번키],INDEX(합계표[사번키],$X906),상세표[반영월],대상월키,상세표[반영 기관],"서울병원"))</f>
        <v/>
      </c>
      <c r="O906" s="20">
        <f>IF($X906="","",SUMIFS(상세표[07~18시],상세표[사번키],INDEX(합계표[사번키],$X906),상세표[반영월],대상월키,상세표[반영 기관],"서울병원"))</f>
        <v/>
      </c>
      <c r="P906" s="20">
        <f>IF($X906="","",SUMIFS(상세표[18~22시],상세표[사번키],INDEX(합계표[사번키],$X906),상세표[반영월],대상월키,상세표[반영 기관],"서울병원"))</f>
        <v/>
      </c>
      <c r="Q906" s="20">
        <f>IF($X906="","",SUMIFS(상세표[22~06시],상세표[사번키],INDEX(합계표[사번키],$X906),상세표[반영월],대상월키,상세표[반영 기관],"서울병원"))</f>
        <v/>
      </c>
      <c r="R906" s="20">
        <f>IF($X906="","",SUM($N906:$Q906))</f>
        <v/>
      </c>
      <c r="S906">
        <f>IF($X906="","",COUNTIFS(상세표[사번키],INDEX(합계표[사번키],$X906),상세표[반영월],대상월키,상세표[야간당직],1,상세표[야간 구분],"평일"))</f>
        <v/>
      </c>
      <c r="T906">
        <f>IF($X906="","",COUNTIFS(상세표[사번키],INDEX(합계표[사번키],$X906),상세표[반영월],대상월키,상세표[야간당직],1,상세표[야간 구분],"휴일"))</f>
        <v/>
      </c>
      <c r="U906">
        <f>IF($X906="","",COUNTIFS(상세표[사번키],INDEX(합계표[사번키],$X906),상세표[반영월],대상월키,상세표[야간당직],1,상세표[야간 구분],"평일",상세표[반영 기관],"서울병원"))</f>
        <v/>
      </c>
      <c r="V906">
        <f>IF($X906="","",COUNTIFS(상세표[사번키],INDEX(합계표[사번키],$X906),상세표[반영월],대상월키,상세표[야간당직],1,상세표[야간 구분],"휴일",상세표[반영 기관],"서울병원"))</f>
        <v/>
      </c>
      <c r="W906">
        <f>IF($X906="","",IF(ISNUMBER(MATCH(INDEX(합계표[사번키],$X906)&amp;"|"&amp;대상월키,월별근무지표[키],0)),"직접 입력",IF($L906="—","—","기관명단")))</f>
        <v/>
      </c>
      <c r="X906" s="4">
        <f>IFERROR(MATCH(901,합계표[판정순번],0),"")</f>
        <v/>
      </c>
    </row>
    <row r="907">
      <c r="A907">
        <f>IF($X907="","",INDEX(합계표[사번],$X907)&amp;"")</f>
        <v/>
      </c>
      <c r="B907">
        <f>IF($X907="","",INDEX(합계표[성명],$X907)&amp;"")</f>
        <v/>
      </c>
      <c r="C907">
        <f>IF($X907="","",INDEX(합계표[부서],$X907)&amp;"")</f>
        <v/>
      </c>
      <c r="D907">
        <f>IF($X907="","",INDEX(합계표[직위(요약)],$X907)&amp;"")</f>
        <v/>
      </c>
      <c r="E907">
        <f>IF($X907="","",INDEX(합계표[직급 공존],$X907)&amp;"")</f>
        <v/>
      </c>
      <c r="F907" s="20">
        <f>IF($X907="","",SUMIFS(합계표[시스템 합계],합계표[사번키],INDEX(합계표[사번키],$X907)))</f>
        <v/>
      </c>
      <c r="G907" s="20">
        <f>IF($X907="","",SUMIFS(상세표[기록 시간외],상세표[사번키],INDEX(합계표[사번키],$X907),상세표[기록월],대상월키))</f>
        <v/>
      </c>
      <c r="H907">
        <f>IF($X907="","",IF(ABS($F907-$G907)&lt;0.01,"일치","불일치(차이 "&amp;TEXT($G907-$F907,"0.00")&amp;")"))</f>
        <v/>
      </c>
      <c r="I907" s="20">
        <f>IF($X907="","",SUMIFS(상세표[기록 시간외],상세표[사번키],INDEX(합계표[사번키],$X907),상세표[기록월],대상월키,상세표[반영월],"&lt;&gt;"&amp;대상월키))</f>
        <v/>
      </c>
      <c r="J907" s="20">
        <f>IF($X907="","",SUMIFS(상세표[기록 시간외],상세표[사번키],INDEX(합계표[사번키],$X907),상세표[기록월],"&lt;&gt;"&amp;대상월키,상세표[반영월],대상월키))</f>
        <v/>
      </c>
      <c r="K907" s="20">
        <f>IF($X907="","",SUMIFS(상세표[기록 시간외],상세표[사번키],INDEX(합계표[사번키],$X907),상세표[반영월],대상월키))</f>
        <v/>
      </c>
      <c r="L907">
        <f>IF($X907="","",IFERROR(INDEX(월별근무지표[적용 급여병원],MATCH(INDEX(합계표[사번키],$X907)&amp;"|"&amp;대상월키,월별근무지표[키],0))&amp;"",IF(COUNTIF(기관표[사번키],INDEX(합계표[사번키],$X907))+COUNTIF(월별근무지표[사번키],INDEX(합계표[사번키],$X907))&gt;0,IFERROR(INDEX(기관표[급여지급병원(기준월)],MATCH(INDEX(합계표[사번키],$X907)&amp;"|"&amp;대상월키,기관표[키],0))&amp;"","—"),"—")))</f>
        <v/>
      </c>
      <c r="M907">
        <f>IF($X907="","",IF(NOT(COUNTIF(기관표[사번키],INDEX(합계표[사번키],$X907))+COUNTIF(월별근무지표[사번키],INDEX(합계표[사번키],$X907))&gt;0),"기관명단에 없음(다른 병원으로 발송)",IF($L907="서울병원","해당",IF(N($R907)&gt;0,"해당(말일 근무)",IF($L907="—","대상월 기관명단 없음(추가 필요)","비해당")))))</f>
        <v/>
      </c>
      <c r="N907" s="20">
        <f>IF($X907="","",SUMIFS(상세표[06~07시],상세표[사번키],INDEX(합계표[사번키],$X907),상세표[반영월],대상월키,상세표[반영 기관],"서울병원"))</f>
        <v/>
      </c>
      <c r="O907" s="20">
        <f>IF($X907="","",SUMIFS(상세표[07~18시],상세표[사번키],INDEX(합계표[사번키],$X907),상세표[반영월],대상월키,상세표[반영 기관],"서울병원"))</f>
        <v/>
      </c>
      <c r="P907" s="20">
        <f>IF($X907="","",SUMIFS(상세표[18~22시],상세표[사번키],INDEX(합계표[사번키],$X907),상세표[반영월],대상월키,상세표[반영 기관],"서울병원"))</f>
        <v/>
      </c>
      <c r="Q907" s="20">
        <f>IF($X907="","",SUMIFS(상세표[22~06시],상세표[사번키],INDEX(합계표[사번키],$X907),상세표[반영월],대상월키,상세표[반영 기관],"서울병원"))</f>
        <v/>
      </c>
      <c r="R907" s="20">
        <f>IF($X907="","",SUM($N907:$Q907))</f>
        <v/>
      </c>
      <c r="S907">
        <f>IF($X907="","",COUNTIFS(상세표[사번키],INDEX(합계표[사번키],$X907),상세표[반영월],대상월키,상세표[야간당직],1,상세표[야간 구분],"평일"))</f>
        <v/>
      </c>
      <c r="T907">
        <f>IF($X907="","",COUNTIFS(상세표[사번키],INDEX(합계표[사번키],$X907),상세표[반영월],대상월키,상세표[야간당직],1,상세표[야간 구분],"휴일"))</f>
        <v/>
      </c>
      <c r="U907">
        <f>IF($X907="","",COUNTIFS(상세표[사번키],INDEX(합계표[사번키],$X907),상세표[반영월],대상월키,상세표[야간당직],1,상세표[야간 구분],"평일",상세표[반영 기관],"서울병원"))</f>
        <v/>
      </c>
      <c r="V907">
        <f>IF($X907="","",COUNTIFS(상세표[사번키],INDEX(합계표[사번키],$X907),상세표[반영월],대상월키,상세표[야간당직],1,상세표[야간 구분],"휴일",상세표[반영 기관],"서울병원"))</f>
        <v/>
      </c>
      <c r="W907">
        <f>IF($X907="","",IF(ISNUMBER(MATCH(INDEX(합계표[사번키],$X907)&amp;"|"&amp;대상월키,월별근무지표[키],0)),"직접 입력",IF($L907="—","—","기관명단")))</f>
        <v/>
      </c>
      <c r="X907" s="4">
        <f>IFERROR(MATCH(902,합계표[판정순번],0),"")</f>
        <v/>
      </c>
    </row>
    <row r="908">
      <c r="A908">
        <f>IF($X908="","",INDEX(합계표[사번],$X908)&amp;"")</f>
        <v/>
      </c>
      <c r="B908">
        <f>IF($X908="","",INDEX(합계표[성명],$X908)&amp;"")</f>
        <v/>
      </c>
      <c r="C908">
        <f>IF($X908="","",INDEX(합계표[부서],$X908)&amp;"")</f>
        <v/>
      </c>
      <c r="D908">
        <f>IF($X908="","",INDEX(합계표[직위(요약)],$X908)&amp;"")</f>
        <v/>
      </c>
      <c r="E908">
        <f>IF($X908="","",INDEX(합계표[직급 공존],$X908)&amp;"")</f>
        <v/>
      </c>
      <c r="F908" s="20">
        <f>IF($X908="","",SUMIFS(합계표[시스템 합계],합계표[사번키],INDEX(합계표[사번키],$X908)))</f>
        <v/>
      </c>
      <c r="G908" s="20">
        <f>IF($X908="","",SUMIFS(상세표[기록 시간외],상세표[사번키],INDEX(합계표[사번키],$X908),상세표[기록월],대상월키))</f>
        <v/>
      </c>
      <c r="H908">
        <f>IF($X908="","",IF(ABS($F908-$G908)&lt;0.01,"일치","불일치(차이 "&amp;TEXT($G908-$F908,"0.00")&amp;")"))</f>
        <v/>
      </c>
      <c r="I908" s="20">
        <f>IF($X908="","",SUMIFS(상세표[기록 시간외],상세표[사번키],INDEX(합계표[사번키],$X908),상세표[기록월],대상월키,상세표[반영월],"&lt;&gt;"&amp;대상월키))</f>
        <v/>
      </c>
      <c r="J908" s="20">
        <f>IF($X908="","",SUMIFS(상세표[기록 시간외],상세표[사번키],INDEX(합계표[사번키],$X908),상세표[기록월],"&lt;&gt;"&amp;대상월키,상세표[반영월],대상월키))</f>
        <v/>
      </c>
      <c r="K908" s="20">
        <f>IF($X908="","",SUMIFS(상세표[기록 시간외],상세표[사번키],INDEX(합계표[사번키],$X908),상세표[반영월],대상월키))</f>
        <v/>
      </c>
      <c r="L908">
        <f>IF($X908="","",IFERROR(INDEX(월별근무지표[적용 급여병원],MATCH(INDEX(합계표[사번키],$X908)&amp;"|"&amp;대상월키,월별근무지표[키],0))&amp;"",IF(COUNTIF(기관표[사번키],INDEX(합계표[사번키],$X908))+COUNTIF(월별근무지표[사번키],INDEX(합계표[사번키],$X908))&gt;0,IFERROR(INDEX(기관표[급여지급병원(기준월)],MATCH(INDEX(합계표[사번키],$X908)&amp;"|"&amp;대상월키,기관표[키],0))&amp;"","—"),"—")))</f>
        <v/>
      </c>
      <c r="M908">
        <f>IF($X908="","",IF(NOT(COUNTIF(기관표[사번키],INDEX(합계표[사번키],$X908))+COUNTIF(월별근무지표[사번키],INDEX(합계표[사번키],$X908))&gt;0),"기관명단에 없음(다른 병원으로 발송)",IF($L908="서울병원","해당",IF(N($R908)&gt;0,"해당(말일 근무)",IF($L908="—","대상월 기관명단 없음(추가 필요)","비해당")))))</f>
        <v/>
      </c>
      <c r="N908" s="20">
        <f>IF($X908="","",SUMIFS(상세표[06~07시],상세표[사번키],INDEX(합계표[사번키],$X908),상세표[반영월],대상월키,상세표[반영 기관],"서울병원"))</f>
        <v/>
      </c>
      <c r="O908" s="20">
        <f>IF($X908="","",SUMIFS(상세표[07~18시],상세표[사번키],INDEX(합계표[사번키],$X908),상세표[반영월],대상월키,상세표[반영 기관],"서울병원"))</f>
        <v/>
      </c>
      <c r="P908" s="20">
        <f>IF($X908="","",SUMIFS(상세표[18~22시],상세표[사번키],INDEX(합계표[사번키],$X908),상세표[반영월],대상월키,상세표[반영 기관],"서울병원"))</f>
        <v/>
      </c>
      <c r="Q908" s="20">
        <f>IF($X908="","",SUMIFS(상세표[22~06시],상세표[사번키],INDEX(합계표[사번키],$X908),상세표[반영월],대상월키,상세표[반영 기관],"서울병원"))</f>
        <v/>
      </c>
      <c r="R908" s="20">
        <f>IF($X908="","",SUM($N908:$Q908))</f>
        <v/>
      </c>
      <c r="S908">
        <f>IF($X908="","",COUNTIFS(상세표[사번키],INDEX(합계표[사번키],$X908),상세표[반영월],대상월키,상세표[야간당직],1,상세표[야간 구분],"평일"))</f>
        <v/>
      </c>
      <c r="T908">
        <f>IF($X908="","",COUNTIFS(상세표[사번키],INDEX(합계표[사번키],$X908),상세표[반영월],대상월키,상세표[야간당직],1,상세표[야간 구분],"휴일"))</f>
        <v/>
      </c>
      <c r="U908">
        <f>IF($X908="","",COUNTIFS(상세표[사번키],INDEX(합계표[사번키],$X908),상세표[반영월],대상월키,상세표[야간당직],1,상세표[야간 구분],"평일",상세표[반영 기관],"서울병원"))</f>
        <v/>
      </c>
      <c r="V908">
        <f>IF($X908="","",COUNTIFS(상세표[사번키],INDEX(합계표[사번키],$X908),상세표[반영월],대상월키,상세표[야간당직],1,상세표[야간 구분],"휴일",상세표[반영 기관],"서울병원"))</f>
        <v/>
      </c>
      <c r="W908">
        <f>IF($X908="","",IF(ISNUMBER(MATCH(INDEX(합계표[사번키],$X908)&amp;"|"&amp;대상월키,월별근무지표[키],0)),"직접 입력",IF($L908="—","—","기관명단")))</f>
        <v/>
      </c>
      <c r="X908" s="4">
        <f>IFERROR(MATCH(903,합계표[판정순번],0),"")</f>
        <v/>
      </c>
    </row>
    <row r="909">
      <c r="A909">
        <f>IF($X909="","",INDEX(합계표[사번],$X909)&amp;"")</f>
        <v/>
      </c>
      <c r="B909">
        <f>IF($X909="","",INDEX(합계표[성명],$X909)&amp;"")</f>
        <v/>
      </c>
      <c r="C909">
        <f>IF($X909="","",INDEX(합계표[부서],$X909)&amp;"")</f>
        <v/>
      </c>
      <c r="D909">
        <f>IF($X909="","",INDEX(합계표[직위(요약)],$X909)&amp;"")</f>
        <v/>
      </c>
      <c r="E909">
        <f>IF($X909="","",INDEX(합계표[직급 공존],$X909)&amp;"")</f>
        <v/>
      </c>
      <c r="F909" s="20">
        <f>IF($X909="","",SUMIFS(합계표[시스템 합계],합계표[사번키],INDEX(합계표[사번키],$X909)))</f>
        <v/>
      </c>
      <c r="G909" s="20">
        <f>IF($X909="","",SUMIFS(상세표[기록 시간외],상세표[사번키],INDEX(합계표[사번키],$X909),상세표[기록월],대상월키))</f>
        <v/>
      </c>
      <c r="H909">
        <f>IF($X909="","",IF(ABS($F909-$G909)&lt;0.01,"일치","불일치(차이 "&amp;TEXT($G909-$F909,"0.00")&amp;")"))</f>
        <v/>
      </c>
      <c r="I909" s="20">
        <f>IF($X909="","",SUMIFS(상세표[기록 시간외],상세표[사번키],INDEX(합계표[사번키],$X909),상세표[기록월],대상월키,상세표[반영월],"&lt;&gt;"&amp;대상월키))</f>
        <v/>
      </c>
      <c r="J909" s="20">
        <f>IF($X909="","",SUMIFS(상세표[기록 시간외],상세표[사번키],INDEX(합계표[사번키],$X909),상세표[기록월],"&lt;&gt;"&amp;대상월키,상세표[반영월],대상월키))</f>
        <v/>
      </c>
      <c r="K909" s="20">
        <f>IF($X909="","",SUMIFS(상세표[기록 시간외],상세표[사번키],INDEX(합계표[사번키],$X909),상세표[반영월],대상월키))</f>
        <v/>
      </c>
      <c r="L909">
        <f>IF($X909="","",IFERROR(INDEX(월별근무지표[적용 급여병원],MATCH(INDEX(합계표[사번키],$X909)&amp;"|"&amp;대상월키,월별근무지표[키],0))&amp;"",IF(COUNTIF(기관표[사번키],INDEX(합계표[사번키],$X909))+COUNTIF(월별근무지표[사번키],INDEX(합계표[사번키],$X909))&gt;0,IFERROR(INDEX(기관표[급여지급병원(기준월)],MATCH(INDEX(합계표[사번키],$X909)&amp;"|"&amp;대상월키,기관표[키],0))&amp;"","—"),"—")))</f>
        <v/>
      </c>
      <c r="M909">
        <f>IF($X909="","",IF(NOT(COUNTIF(기관표[사번키],INDEX(합계표[사번키],$X909))+COUNTIF(월별근무지표[사번키],INDEX(합계표[사번키],$X909))&gt;0),"기관명단에 없음(다른 병원으로 발송)",IF($L909="서울병원","해당",IF(N($R909)&gt;0,"해당(말일 근무)",IF($L909="—","대상월 기관명단 없음(추가 필요)","비해당")))))</f>
        <v/>
      </c>
      <c r="N909" s="20">
        <f>IF($X909="","",SUMIFS(상세표[06~07시],상세표[사번키],INDEX(합계표[사번키],$X909),상세표[반영월],대상월키,상세표[반영 기관],"서울병원"))</f>
        <v/>
      </c>
      <c r="O909" s="20">
        <f>IF($X909="","",SUMIFS(상세표[07~18시],상세표[사번키],INDEX(합계표[사번키],$X909),상세표[반영월],대상월키,상세표[반영 기관],"서울병원"))</f>
        <v/>
      </c>
      <c r="P909" s="20">
        <f>IF($X909="","",SUMIFS(상세표[18~22시],상세표[사번키],INDEX(합계표[사번키],$X909),상세표[반영월],대상월키,상세표[반영 기관],"서울병원"))</f>
        <v/>
      </c>
      <c r="Q909" s="20">
        <f>IF($X909="","",SUMIFS(상세표[22~06시],상세표[사번키],INDEX(합계표[사번키],$X909),상세표[반영월],대상월키,상세표[반영 기관],"서울병원"))</f>
        <v/>
      </c>
      <c r="R909" s="20">
        <f>IF($X909="","",SUM($N909:$Q909))</f>
        <v/>
      </c>
      <c r="S909">
        <f>IF($X909="","",COUNTIFS(상세표[사번키],INDEX(합계표[사번키],$X909),상세표[반영월],대상월키,상세표[야간당직],1,상세표[야간 구분],"평일"))</f>
        <v/>
      </c>
      <c r="T909">
        <f>IF($X909="","",COUNTIFS(상세표[사번키],INDEX(합계표[사번키],$X909),상세표[반영월],대상월키,상세표[야간당직],1,상세표[야간 구분],"휴일"))</f>
        <v/>
      </c>
      <c r="U909">
        <f>IF($X909="","",COUNTIFS(상세표[사번키],INDEX(합계표[사번키],$X909),상세표[반영월],대상월키,상세표[야간당직],1,상세표[야간 구분],"평일",상세표[반영 기관],"서울병원"))</f>
        <v/>
      </c>
      <c r="V909">
        <f>IF($X909="","",COUNTIFS(상세표[사번키],INDEX(합계표[사번키],$X909),상세표[반영월],대상월키,상세표[야간당직],1,상세표[야간 구분],"휴일",상세표[반영 기관],"서울병원"))</f>
        <v/>
      </c>
      <c r="W909">
        <f>IF($X909="","",IF(ISNUMBER(MATCH(INDEX(합계표[사번키],$X909)&amp;"|"&amp;대상월키,월별근무지표[키],0)),"직접 입력",IF($L909="—","—","기관명단")))</f>
        <v/>
      </c>
      <c r="X909" s="4">
        <f>IFERROR(MATCH(904,합계표[판정순번],0),"")</f>
        <v/>
      </c>
    </row>
    <row r="910">
      <c r="A910">
        <f>IF($X910="","",INDEX(합계표[사번],$X910)&amp;"")</f>
        <v/>
      </c>
      <c r="B910">
        <f>IF($X910="","",INDEX(합계표[성명],$X910)&amp;"")</f>
        <v/>
      </c>
      <c r="C910">
        <f>IF($X910="","",INDEX(합계표[부서],$X910)&amp;"")</f>
        <v/>
      </c>
      <c r="D910">
        <f>IF($X910="","",INDEX(합계표[직위(요약)],$X910)&amp;"")</f>
        <v/>
      </c>
      <c r="E910">
        <f>IF($X910="","",INDEX(합계표[직급 공존],$X910)&amp;"")</f>
        <v/>
      </c>
      <c r="F910" s="20">
        <f>IF($X910="","",SUMIFS(합계표[시스템 합계],합계표[사번키],INDEX(합계표[사번키],$X910)))</f>
        <v/>
      </c>
      <c r="G910" s="20">
        <f>IF($X910="","",SUMIFS(상세표[기록 시간외],상세표[사번키],INDEX(합계표[사번키],$X910),상세표[기록월],대상월키))</f>
        <v/>
      </c>
      <c r="H910">
        <f>IF($X910="","",IF(ABS($F910-$G910)&lt;0.01,"일치","불일치(차이 "&amp;TEXT($G910-$F910,"0.00")&amp;")"))</f>
        <v/>
      </c>
      <c r="I910" s="20">
        <f>IF($X910="","",SUMIFS(상세표[기록 시간외],상세표[사번키],INDEX(합계표[사번키],$X910),상세표[기록월],대상월키,상세표[반영월],"&lt;&gt;"&amp;대상월키))</f>
        <v/>
      </c>
      <c r="J910" s="20">
        <f>IF($X910="","",SUMIFS(상세표[기록 시간외],상세표[사번키],INDEX(합계표[사번키],$X910),상세표[기록월],"&lt;&gt;"&amp;대상월키,상세표[반영월],대상월키))</f>
        <v/>
      </c>
      <c r="K910" s="20">
        <f>IF($X910="","",SUMIFS(상세표[기록 시간외],상세표[사번키],INDEX(합계표[사번키],$X910),상세표[반영월],대상월키))</f>
        <v/>
      </c>
      <c r="L910">
        <f>IF($X910="","",IFERROR(INDEX(월별근무지표[적용 급여병원],MATCH(INDEX(합계표[사번키],$X910)&amp;"|"&amp;대상월키,월별근무지표[키],0))&amp;"",IF(COUNTIF(기관표[사번키],INDEX(합계표[사번키],$X910))+COUNTIF(월별근무지표[사번키],INDEX(합계표[사번키],$X910))&gt;0,IFERROR(INDEX(기관표[급여지급병원(기준월)],MATCH(INDEX(합계표[사번키],$X910)&amp;"|"&amp;대상월키,기관표[키],0))&amp;"","—"),"—")))</f>
        <v/>
      </c>
      <c r="M910">
        <f>IF($X910="","",IF(NOT(COUNTIF(기관표[사번키],INDEX(합계표[사번키],$X910))+COUNTIF(월별근무지표[사번키],INDEX(합계표[사번키],$X910))&gt;0),"기관명단에 없음(다른 병원으로 발송)",IF($L910="서울병원","해당",IF(N($R910)&gt;0,"해당(말일 근무)",IF($L910="—","대상월 기관명단 없음(추가 필요)","비해당")))))</f>
        <v/>
      </c>
      <c r="N910" s="20">
        <f>IF($X910="","",SUMIFS(상세표[06~07시],상세표[사번키],INDEX(합계표[사번키],$X910),상세표[반영월],대상월키,상세표[반영 기관],"서울병원"))</f>
        <v/>
      </c>
      <c r="O910" s="20">
        <f>IF($X910="","",SUMIFS(상세표[07~18시],상세표[사번키],INDEX(합계표[사번키],$X910),상세표[반영월],대상월키,상세표[반영 기관],"서울병원"))</f>
        <v/>
      </c>
      <c r="P910" s="20">
        <f>IF($X910="","",SUMIFS(상세표[18~22시],상세표[사번키],INDEX(합계표[사번키],$X910),상세표[반영월],대상월키,상세표[반영 기관],"서울병원"))</f>
        <v/>
      </c>
      <c r="Q910" s="20">
        <f>IF($X910="","",SUMIFS(상세표[22~06시],상세표[사번키],INDEX(합계표[사번키],$X910),상세표[반영월],대상월키,상세표[반영 기관],"서울병원"))</f>
        <v/>
      </c>
      <c r="R910" s="20">
        <f>IF($X910="","",SUM($N910:$Q910))</f>
        <v/>
      </c>
      <c r="S910">
        <f>IF($X910="","",COUNTIFS(상세표[사번키],INDEX(합계표[사번키],$X910),상세표[반영월],대상월키,상세표[야간당직],1,상세표[야간 구분],"평일"))</f>
        <v/>
      </c>
      <c r="T910">
        <f>IF($X910="","",COUNTIFS(상세표[사번키],INDEX(합계표[사번키],$X910),상세표[반영월],대상월키,상세표[야간당직],1,상세표[야간 구분],"휴일"))</f>
        <v/>
      </c>
      <c r="U910">
        <f>IF($X910="","",COUNTIFS(상세표[사번키],INDEX(합계표[사번키],$X910),상세표[반영월],대상월키,상세표[야간당직],1,상세표[야간 구분],"평일",상세표[반영 기관],"서울병원"))</f>
        <v/>
      </c>
      <c r="V910">
        <f>IF($X910="","",COUNTIFS(상세표[사번키],INDEX(합계표[사번키],$X910),상세표[반영월],대상월키,상세표[야간당직],1,상세표[야간 구분],"휴일",상세표[반영 기관],"서울병원"))</f>
        <v/>
      </c>
      <c r="W910">
        <f>IF($X910="","",IF(ISNUMBER(MATCH(INDEX(합계표[사번키],$X910)&amp;"|"&amp;대상월키,월별근무지표[키],0)),"직접 입력",IF($L910="—","—","기관명단")))</f>
        <v/>
      </c>
      <c r="X910" s="4">
        <f>IFERROR(MATCH(905,합계표[판정순번],0),"")</f>
        <v/>
      </c>
    </row>
    <row r="911">
      <c r="A911">
        <f>IF($X911="","",INDEX(합계표[사번],$X911)&amp;"")</f>
        <v/>
      </c>
      <c r="B911">
        <f>IF($X911="","",INDEX(합계표[성명],$X911)&amp;"")</f>
        <v/>
      </c>
      <c r="C911">
        <f>IF($X911="","",INDEX(합계표[부서],$X911)&amp;"")</f>
        <v/>
      </c>
      <c r="D911">
        <f>IF($X911="","",INDEX(합계표[직위(요약)],$X911)&amp;"")</f>
        <v/>
      </c>
      <c r="E911">
        <f>IF($X911="","",INDEX(합계표[직급 공존],$X911)&amp;"")</f>
        <v/>
      </c>
      <c r="F911" s="20">
        <f>IF($X911="","",SUMIFS(합계표[시스템 합계],합계표[사번키],INDEX(합계표[사번키],$X911)))</f>
        <v/>
      </c>
      <c r="G911" s="20">
        <f>IF($X911="","",SUMIFS(상세표[기록 시간외],상세표[사번키],INDEX(합계표[사번키],$X911),상세표[기록월],대상월키))</f>
        <v/>
      </c>
      <c r="H911">
        <f>IF($X911="","",IF(ABS($F911-$G911)&lt;0.01,"일치","불일치(차이 "&amp;TEXT($G911-$F911,"0.00")&amp;")"))</f>
        <v/>
      </c>
      <c r="I911" s="20">
        <f>IF($X911="","",SUMIFS(상세표[기록 시간외],상세표[사번키],INDEX(합계표[사번키],$X911),상세표[기록월],대상월키,상세표[반영월],"&lt;&gt;"&amp;대상월키))</f>
        <v/>
      </c>
      <c r="J911" s="20">
        <f>IF($X911="","",SUMIFS(상세표[기록 시간외],상세표[사번키],INDEX(합계표[사번키],$X911),상세표[기록월],"&lt;&gt;"&amp;대상월키,상세표[반영월],대상월키))</f>
        <v/>
      </c>
      <c r="K911" s="20">
        <f>IF($X911="","",SUMIFS(상세표[기록 시간외],상세표[사번키],INDEX(합계표[사번키],$X911),상세표[반영월],대상월키))</f>
        <v/>
      </c>
      <c r="L911">
        <f>IF($X911="","",IFERROR(INDEX(월별근무지표[적용 급여병원],MATCH(INDEX(합계표[사번키],$X911)&amp;"|"&amp;대상월키,월별근무지표[키],0))&amp;"",IF(COUNTIF(기관표[사번키],INDEX(합계표[사번키],$X911))+COUNTIF(월별근무지표[사번키],INDEX(합계표[사번키],$X911))&gt;0,IFERROR(INDEX(기관표[급여지급병원(기준월)],MATCH(INDEX(합계표[사번키],$X911)&amp;"|"&amp;대상월키,기관표[키],0))&amp;"","—"),"—")))</f>
        <v/>
      </c>
      <c r="M911">
        <f>IF($X911="","",IF(NOT(COUNTIF(기관표[사번키],INDEX(합계표[사번키],$X911))+COUNTIF(월별근무지표[사번키],INDEX(합계표[사번키],$X911))&gt;0),"기관명단에 없음(다른 병원으로 발송)",IF($L911="서울병원","해당",IF(N($R911)&gt;0,"해당(말일 근무)",IF($L911="—","대상월 기관명단 없음(추가 필요)","비해당")))))</f>
        <v/>
      </c>
      <c r="N911" s="20">
        <f>IF($X911="","",SUMIFS(상세표[06~07시],상세표[사번키],INDEX(합계표[사번키],$X911),상세표[반영월],대상월키,상세표[반영 기관],"서울병원"))</f>
        <v/>
      </c>
      <c r="O911" s="20">
        <f>IF($X911="","",SUMIFS(상세표[07~18시],상세표[사번키],INDEX(합계표[사번키],$X911),상세표[반영월],대상월키,상세표[반영 기관],"서울병원"))</f>
        <v/>
      </c>
      <c r="P911" s="20">
        <f>IF($X911="","",SUMIFS(상세표[18~22시],상세표[사번키],INDEX(합계표[사번키],$X911),상세표[반영월],대상월키,상세표[반영 기관],"서울병원"))</f>
        <v/>
      </c>
      <c r="Q911" s="20">
        <f>IF($X911="","",SUMIFS(상세표[22~06시],상세표[사번키],INDEX(합계표[사번키],$X911),상세표[반영월],대상월키,상세표[반영 기관],"서울병원"))</f>
        <v/>
      </c>
      <c r="R911" s="20">
        <f>IF($X911="","",SUM($N911:$Q911))</f>
        <v/>
      </c>
      <c r="S911">
        <f>IF($X911="","",COUNTIFS(상세표[사번키],INDEX(합계표[사번키],$X911),상세표[반영월],대상월키,상세표[야간당직],1,상세표[야간 구분],"평일"))</f>
        <v/>
      </c>
      <c r="T911">
        <f>IF($X911="","",COUNTIFS(상세표[사번키],INDEX(합계표[사번키],$X911),상세표[반영월],대상월키,상세표[야간당직],1,상세표[야간 구분],"휴일"))</f>
        <v/>
      </c>
      <c r="U911">
        <f>IF($X911="","",COUNTIFS(상세표[사번키],INDEX(합계표[사번키],$X911),상세표[반영월],대상월키,상세표[야간당직],1,상세표[야간 구분],"평일",상세표[반영 기관],"서울병원"))</f>
        <v/>
      </c>
      <c r="V911">
        <f>IF($X911="","",COUNTIFS(상세표[사번키],INDEX(합계표[사번키],$X911),상세표[반영월],대상월키,상세표[야간당직],1,상세표[야간 구분],"휴일",상세표[반영 기관],"서울병원"))</f>
        <v/>
      </c>
      <c r="W911">
        <f>IF($X911="","",IF(ISNUMBER(MATCH(INDEX(합계표[사번키],$X911)&amp;"|"&amp;대상월키,월별근무지표[키],0)),"직접 입력",IF($L911="—","—","기관명단")))</f>
        <v/>
      </c>
      <c r="X911" s="4">
        <f>IFERROR(MATCH(906,합계표[판정순번],0),"")</f>
        <v/>
      </c>
    </row>
    <row r="912">
      <c r="A912">
        <f>IF($X912="","",INDEX(합계표[사번],$X912)&amp;"")</f>
        <v/>
      </c>
      <c r="B912">
        <f>IF($X912="","",INDEX(합계표[성명],$X912)&amp;"")</f>
        <v/>
      </c>
      <c r="C912">
        <f>IF($X912="","",INDEX(합계표[부서],$X912)&amp;"")</f>
        <v/>
      </c>
      <c r="D912">
        <f>IF($X912="","",INDEX(합계표[직위(요약)],$X912)&amp;"")</f>
        <v/>
      </c>
      <c r="E912">
        <f>IF($X912="","",INDEX(합계표[직급 공존],$X912)&amp;"")</f>
        <v/>
      </c>
      <c r="F912" s="20">
        <f>IF($X912="","",SUMIFS(합계표[시스템 합계],합계표[사번키],INDEX(합계표[사번키],$X912)))</f>
        <v/>
      </c>
      <c r="G912" s="20">
        <f>IF($X912="","",SUMIFS(상세표[기록 시간외],상세표[사번키],INDEX(합계표[사번키],$X912),상세표[기록월],대상월키))</f>
        <v/>
      </c>
      <c r="H912">
        <f>IF($X912="","",IF(ABS($F912-$G912)&lt;0.01,"일치","불일치(차이 "&amp;TEXT($G912-$F912,"0.00")&amp;")"))</f>
        <v/>
      </c>
      <c r="I912" s="20">
        <f>IF($X912="","",SUMIFS(상세표[기록 시간외],상세표[사번키],INDEX(합계표[사번키],$X912),상세표[기록월],대상월키,상세표[반영월],"&lt;&gt;"&amp;대상월키))</f>
        <v/>
      </c>
      <c r="J912" s="20">
        <f>IF($X912="","",SUMIFS(상세표[기록 시간외],상세표[사번키],INDEX(합계표[사번키],$X912),상세표[기록월],"&lt;&gt;"&amp;대상월키,상세표[반영월],대상월키))</f>
        <v/>
      </c>
      <c r="K912" s="20">
        <f>IF($X912="","",SUMIFS(상세표[기록 시간외],상세표[사번키],INDEX(합계표[사번키],$X912),상세표[반영월],대상월키))</f>
        <v/>
      </c>
      <c r="L912">
        <f>IF($X912="","",IFERROR(INDEX(월별근무지표[적용 급여병원],MATCH(INDEX(합계표[사번키],$X912)&amp;"|"&amp;대상월키,월별근무지표[키],0))&amp;"",IF(COUNTIF(기관표[사번키],INDEX(합계표[사번키],$X912))+COUNTIF(월별근무지표[사번키],INDEX(합계표[사번키],$X912))&gt;0,IFERROR(INDEX(기관표[급여지급병원(기준월)],MATCH(INDEX(합계표[사번키],$X912)&amp;"|"&amp;대상월키,기관표[키],0))&amp;"","—"),"—")))</f>
        <v/>
      </c>
      <c r="M912">
        <f>IF($X912="","",IF(NOT(COUNTIF(기관표[사번키],INDEX(합계표[사번키],$X912))+COUNTIF(월별근무지표[사번키],INDEX(합계표[사번키],$X912))&gt;0),"기관명단에 없음(다른 병원으로 발송)",IF($L912="서울병원","해당",IF(N($R912)&gt;0,"해당(말일 근무)",IF($L912="—","대상월 기관명단 없음(추가 필요)","비해당")))))</f>
        <v/>
      </c>
      <c r="N912" s="20">
        <f>IF($X912="","",SUMIFS(상세표[06~07시],상세표[사번키],INDEX(합계표[사번키],$X912),상세표[반영월],대상월키,상세표[반영 기관],"서울병원"))</f>
        <v/>
      </c>
      <c r="O912" s="20">
        <f>IF($X912="","",SUMIFS(상세표[07~18시],상세표[사번키],INDEX(합계표[사번키],$X912),상세표[반영월],대상월키,상세표[반영 기관],"서울병원"))</f>
        <v/>
      </c>
      <c r="P912" s="20">
        <f>IF($X912="","",SUMIFS(상세표[18~22시],상세표[사번키],INDEX(합계표[사번키],$X912),상세표[반영월],대상월키,상세표[반영 기관],"서울병원"))</f>
        <v/>
      </c>
      <c r="Q912" s="20">
        <f>IF($X912="","",SUMIFS(상세표[22~06시],상세표[사번키],INDEX(합계표[사번키],$X912),상세표[반영월],대상월키,상세표[반영 기관],"서울병원"))</f>
        <v/>
      </c>
      <c r="R912" s="20">
        <f>IF($X912="","",SUM($N912:$Q912))</f>
        <v/>
      </c>
      <c r="S912">
        <f>IF($X912="","",COUNTIFS(상세표[사번키],INDEX(합계표[사번키],$X912),상세표[반영월],대상월키,상세표[야간당직],1,상세표[야간 구분],"평일"))</f>
        <v/>
      </c>
      <c r="T912">
        <f>IF($X912="","",COUNTIFS(상세표[사번키],INDEX(합계표[사번키],$X912),상세표[반영월],대상월키,상세표[야간당직],1,상세표[야간 구분],"휴일"))</f>
        <v/>
      </c>
      <c r="U912">
        <f>IF($X912="","",COUNTIFS(상세표[사번키],INDEX(합계표[사번키],$X912),상세표[반영월],대상월키,상세표[야간당직],1,상세표[야간 구분],"평일",상세표[반영 기관],"서울병원"))</f>
        <v/>
      </c>
      <c r="V912">
        <f>IF($X912="","",COUNTIFS(상세표[사번키],INDEX(합계표[사번키],$X912),상세표[반영월],대상월키,상세표[야간당직],1,상세표[야간 구분],"휴일",상세표[반영 기관],"서울병원"))</f>
        <v/>
      </c>
      <c r="W912">
        <f>IF($X912="","",IF(ISNUMBER(MATCH(INDEX(합계표[사번키],$X912)&amp;"|"&amp;대상월키,월별근무지표[키],0)),"직접 입력",IF($L912="—","—","기관명단")))</f>
        <v/>
      </c>
      <c r="X912" s="4">
        <f>IFERROR(MATCH(907,합계표[판정순번],0),"")</f>
        <v/>
      </c>
    </row>
    <row r="913">
      <c r="A913">
        <f>IF($X913="","",INDEX(합계표[사번],$X913)&amp;"")</f>
        <v/>
      </c>
      <c r="B913">
        <f>IF($X913="","",INDEX(합계표[성명],$X913)&amp;"")</f>
        <v/>
      </c>
      <c r="C913">
        <f>IF($X913="","",INDEX(합계표[부서],$X913)&amp;"")</f>
        <v/>
      </c>
      <c r="D913">
        <f>IF($X913="","",INDEX(합계표[직위(요약)],$X913)&amp;"")</f>
        <v/>
      </c>
      <c r="E913">
        <f>IF($X913="","",INDEX(합계표[직급 공존],$X913)&amp;"")</f>
        <v/>
      </c>
      <c r="F913" s="20">
        <f>IF($X913="","",SUMIFS(합계표[시스템 합계],합계표[사번키],INDEX(합계표[사번키],$X913)))</f>
        <v/>
      </c>
      <c r="G913" s="20">
        <f>IF($X913="","",SUMIFS(상세표[기록 시간외],상세표[사번키],INDEX(합계표[사번키],$X913),상세표[기록월],대상월키))</f>
        <v/>
      </c>
      <c r="H913">
        <f>IF($X913="","",IF(ABS($F913-$G913)&lt;0.01,"일치","불일치(차이 "&amp;TEXT($G913-$F913,"0.00")&amp;")"))</f>
        <v/>
      </c>
      <c r="I913" s="20">
        <f>IF($X913="","",SUMIFS(상세표[기록 시간외],상세표[사번키],INDEX(합계표[사번키],$X913),상세표[기록월],대상월키,상세표[반영월],"&lt;&gt;"&amp;대상월키))</f>
        <v/>
      </c>
      <c r="J913" s="20">
        <f>IF($X913="","",SUMIFS(상세표[기록 시간외],상세표[사번키],INDEX(합계표[사번키],$X913),상세표[기록월],"&lt;&gt;"&amp;대상월키,상세표[반영월],대상월키))</f>
        <v/>
      </c>
      <c r="K913" s="20">
        <f>IF($X913="","",SUMIFS(상세표[기록 시간외],상세표[사번키],INDEX(합계표[사번키],$X913),상세표[반영월],대상월키))</f>
        <v/>
      </c>
      <c r="L913">
        <f>IF($X913="","",IFERROR(INDEX(월별근무지표[적용 급여병원],MATCH(INDEX(합계표[사번키],$X913)&amp;"|"&amp;대상월키,월별근무지표[키],0))&amp;"",IF(COUNTIF(기관표[사번키],INDEX(합계표[사번키],$X913))+COUNTIF(월별근무지표[사번키],INDEX(합계표[사번키],$X913))&gt;0,IFERROR(INDEX(기관표[급여지급병원(기준월)],MATCH(INDEX(합계표[사번키],$X913)&amp;"|"&amp;대상월키,기관표[키],0))&amp;"","—"),"—")))</f>
        <v/>
      </c>
      <c r="M913">
        <f>IF($X913="","",IF(NOT(COUNTIF(기관표[사번키],INDEX(합계표[사번키],$X913))+COUNTIF(월별근무지표[사번키],INDEX(합계표[사번키],$X913))&gt;0),"기관명단에 없음(다른 병원으로 발송)",IF($L913="서울병원","해당",IF(N($R913)&gt;0,"해당(말일 근무)",IF($L913="—","대상월 기관명단 없음(추가 필요)","비해당")))))</f>
        <v/>
      </c>
      <c r="N913" s="20">
        <f>IF($X913="","",SUMIFS(상세표[06~07시],상세표[사번키],INDEX(합계표[사번키],$X913),상세표[반영월],대상월키,상세표[반영 기관],"서울병원"))</f>
        <v/>
      </c>
      <c r="O913" s="20">
        <f>IF($X913="","",SUMIFS(상세표[07~18시],상세표[사번키],INDEX(합계표[사번키],$X913),상세표[반영월],대상월키,상세표[반영 기관],"서울병원"))</f>
        <v/>
      </c>
      <c r="P913" s="20">
        <f>IF($X913="","",SUMIFS(상세표[18~22시],상세표[사번키],INDEX(합계표[사번키],$X913),상세표[반영월],대상월키,상세표[반영 기관],"서울병원"))</f>
        <v/>
      </c>
      <c r="Q913" s="20">
        <f>IF($X913="","",SUMIFS(상세표[22~06시],상세표[사번키],INDEX(합계표[사번키],$X913),상세표[반영월],대상월키,상세표[반영 기관],"서울병원"))</f>
        <v/>
      </c>
      <c r="R913" s="20">
        <f>IF($X913="","",SUM($N913:$Q913))</f>
        <v/>
      </c>
      <c r="S913">
        <f>IF($X913="","",COUNTIFS(상세표[사번키],INDEX(합계표[사번키],$X913),상세표[반영월],대상월키,상세표[야간당직],1,상세표[야간 구분],"평일"))</f>
        <v/>
      </c>
      <c r="T913">
        <f>IF($X913="","",COUNTIFS(상세표[사번키],INDEX(합계표[사번키],$X913),상세표[반영월],대상월키,상세표[야간당직],1,상세표[야간 구분],"휴일"))</f>
        <v/>
      </c>
      <c r="U913">
        <f>IF($X913="","",COUNTIFS(상세표[사번키],INDEX(합계표[사번키],$X913),상세표[반영월],대상월키,상세표[야간당직],1,상세표[야간 구분],"평일",상세표[반영 기관],"서울병원"))</f>
        <v/>
      </c>
      <c r="V913">
        <f>IF($X913="","",COUNTIFS(상세표[사번키],INDEX(합계표[사번키],$X913),상세표[반영월],대상월키,상세표[야간당직],1,상세표[야간 구분],"휴일",상세표[반영 기관],"서울병원"))</f>
        <v/>
      </c>
      <c r="W913">
        <f>IF($X913="","",IF(ISNUMBER(MATCH(INDEX(합계표[사번키],$X913)&amp;"|"&amp;대상월키,월별근무지표[키],0)),"직접 입력",IF($L913="—","—","기관명단")))</f>
        <v/>
      </c>
      <c r="X913" s="4">
        <f>IFERROR(MATCH(908,합계표[판정순번],0),"")</f>
        <v/>
      </c>
    </row>
    <row r="914">
      <c r="A914">
        <f>IF($X914="","",INDEX(합계표[사번],$X914)&amp;"")</f>
        <v/>
      </c>
      <c r="B914">
        <f>IF($X914="","",INDEX(합계표[성명],$X914)&amp;"")</f>
        <v/>
      </c>
      <c r="C914">
        <f>IF($X914="","",INDEX(합계표[부서],$X914)&amp;"")</f>
        <v/>
      </c>
      <c r="D914">
        <f>IF($X914="","",INDEX(합계표[직위(요약)],$X914)&amp;"")</f>
        <v/>
      </c>
      <c r="E914">
        <f>IF($X914="","",INDEX(합계표[직급 공존],$X914)&amp;"")</f>
        <v/>
      </c>
      <c r="F914" s="20">
        <f>IF($X914="","",SUMIFS(합계표[시스템 합계],합계표[사번키],INDEX(합계표[사번키],$X914)))</f>
        <v/>
      </c>
      <c r="G914" s="20">
        <f>IF($X914="","",SUMIFS(상세표[기록 시간외],상세표[사번키],INDEX(합계표[사번키],$X914),상세표[기록월],대상월키))</f>
        <v/>
      </c>
      <c r="H914">
        <f>IF($X914="","",IF(ABS($F914-$G914)&lt;0.01,"일치","불일치(차이 "&amp;TEXT($G914-$F914,"0.00")&amp;")"))</f>
        <v/>
      </c>
      <c r="I914" s="20">
        <f>IF($X914="","",SUMIFS(상세표[기록 시간외],상세표[사번키],INDEX(합계표[사번키],$X914),상세표[기록월],대상월키,상세표[반영월],"&lt;&gt;"&amp;대상월키))</f>
        <v/>
      </c>
      <c r="J914" s="20">
        <f>IF($X914="","",SUMIFS(상세표[기록 시간외],상세표[사번키],INDEX(합계표[사번키],$X914),상세표[기록월],"&lt;&gt;"&amp;대상월키,상세표[반영월],대상월키))</f>
        <v/>
      </c>
      <c r="K914" s="20">
        <f>IF($X914="","",SUMIFS(상세표[기록 시간외],상세표[사번키],INDEX(합계표[사번키],$X914),상세표[반영월],대상월키))</f>
        <v/>
      </c>
      <c r="L914">
        <f>IF($X914="","",IFERROR(INDEX(월별근무지표[적용 급여병원],MATCH(INDEX(합계표[사번키],$X914)&amp;"|"&amp;대상월키,월별근무지표[키],0))&amp;"",IF(COUNTIF(기관표[사번키],INDEX(합계표[사번키],$X914))+COUNTIF(월별근무지표[사번키],INDEX(합계표[사번키],$X914))&gt;0,IFERROR(INDEX(기관표[급여지급병원(기준월)],MATCH(INDEX(합계표[사번키],$X914)&amp;"|"&amp;대상월키,기관표[키],0))&amp;"","—"),"—")))</f>
        <v/>
      </c>
      <c r="M914">
        <f>IF($X914="","",IF(NOT(COUNTIF(기관표[사번키],INDEX(합계표[사번키],$X914))+COUNTIF(월별근무지표[사번키],INDEX(합계표[사번키],$X914))&gt;0),"기관명단에 없음(다른 병원으로 발송)",IF($L914="서울병원","해당",IF(N($R914)&gt;0,"해당(말일 근무)",IF($L914="—","대상월 기관명단 없음(추가 필요)","비해당")))))</f>
        <v/>
      </c>
      <c r="N914" s="20">
        <f>IF($X914="","",SUMIFS(상세표[06~07시],상세표[사번키],INDEX(합계표[사번키],$X914),상세표[반영월],대상월키,상세표[반영 기관],"서울병원"))</f>
        <v/>
      </c>
      <c r="O914" s="20">
        <f>IF($X914="","",SUMIFS(상세표[07~18시],상세표[사번키],INDEX(합계표[사번키],$X914),상세표[반영월],대상월키,상세표[반영 기관],"서울병원"))</f>
        <v/>
      </c>
      <c r="P914" s="20">
        <f>IF($X914="","",SUMIFS(상세표[18~22시],상세표[사번키],INDEX(합계표[사번키],$X914),상세표[반영월],대상월키,상세표[반영 기관],"서울병원"))</f>
        <v/>
      </c>
      <c r="Q914" s="20">
        <f>IF($X914="","",SUMIFS(상세표[22~06시],상세표[사번키],INDEX(합계표[사번키],$X914),상세표[반영월],대상월키,상세표[반영 기관],"서울병원"))</f>
        <v/>
      </c>
      <c r="R914" s="20">
        <f>IF($X914="","",SUM($N914:$Q914))</f>
        <v/>
      </c>
      <c r="S914">
        <f>IF($X914="","",COUNTIFS(상세표[사번키],INDEX(합계표[사번키],$X914),상세표[반영월],대상월키,상세표[야간당직],1,상세표[야간 구분],"평일"))</f>
        <v/>
      </c>
      <c r="T914">
        <f>IF($X914="","",COUNTIFS(상세표[사번키],INDEX(합계표[사번키],$X914),상세표[반영월],대상월키,상세표[야간당직],1,상세표[야간 구분],"휴일"))</f>
        <v/>
      </c>
      <c r="U914">
        <f>IF($X914="","",COUNTIFS(상세표[사번키],INDEX(합계표[사번키],$X914),상세표[반영월],대상월키,상세표[야간당직],1,상세표[야간 구분],"평일",상세표[반영 기관],"서울병원"))</f>
        <v/>
      </c>
      <c r="V914">
        <f>IF($X914="","",COUNTIFS(상세표[사번키],INDEX(합계표[사번키],$X914),상세표[반영월],대상월키,상세표[야간당직],1,상세표[야간 구분],"휴일",상세표[반영 기관],"서울병원"))</f>
        <v/>
      </c>
      <c r="W914">
        <f>IF($X914="","",IF(ISNUMBER(MATCH(INDEX(합계표[사번키],$X914)&amp;"|"&amp;대상월키,월별근무지표[키],0)),"직접 입력",IF($L914="—","—","기관명단")))</f>
        <v/>
      </c>
      <c r="X914" s="4">
        <f>IFERROR(MATCH(909,합계표[판정순번],0),"")</f>
        <v/>
      </c>
    </row>
    <row r="915">
      <c r="A915">
        <f>IF($X915="","",INDEX(합계표[사번],$X915)&amp;"")</f>
        <v/>
      </c>
      <c r="B915">
        <f>IF($X915="","",INDEX(합계표[성명],$X915)&amp;"")</f>
        <v/>
      </c>
      <c r="C915">
        <f>IF($X915="","",INDEX(합계표[부서],$X915)&amp;"")</f>
        <v/>
      </c>
      <c r="D915">
        <f>IF($X915="","",INDEX(합계표[직위(요약)],$X915)&amp;"")</f>
        <v/>
      </c>
      <c r="E915">
        <f>IF($X915="","",INDEX(합계표[직급 공존],$X915)&amp;"")</f>
        <v/>
      </c>
      <c r="F915" s="20">
        <f>IF($X915="","",SUMIFS(합계표[시스템 합계],합계표[사번키],INDEX(합계표[사번키],$X915)))</f>
        <v/>
      </c>
      <c r="G915" s="20">
        <f>IF($X915="","",SUMIFS(상세표[기록 시간외],상세표[사번키],INDEX(합계표[사번키],$X915),상세표[기록월],대상월키))</f>
        <v/>
      </c>
      <c r="H915">
        <f>IF($X915="","",IF(ABS($F915-$G915)&lt;0.01,"일치","불일치(차이 "&amp;TEXT($G915-$F915,"0.00")&amp;")"))</f>
        <v/>
      </c>
      <c r="I915" s="20">
        <f>IF($X915="","",SUMIFS(상세표[기록 시간외],상세표[사번키],INDEX(합계표[사번키],$X915),상세표[기록월],대상월키,상세표[반영월],"&lt;&gt;"&amp;대상월키))</f>
        <v/>
      </c>
      <c r="J915" s="20">
        <f>IF($X915="","",SUMIFS(상세표[기록 시간외],상세표[사번키],INDEX(합계표[사번키],$X915),상세표[기록월],"&lt;&gt;"&amp;대상월키,상세표[반영월],대상월키))</f>
        <v/>
      </c>
      <c r="K915" s="20">
        <f>IF($X915="","",SUMIFS(상세표[기록 시간외],상세표[사번키],INDEX(합계표[사번키],$X915),상세표[반영월],대상월키))</f>
        <v/>
      </c>
      <c r="L915">
        <f>IF($X915="","",IFERROR(INDEX(월별근무지표[적용 급여병원],MATCH(INDEX(합계표[사번키],$X915)&amp;"|"&amp;대상월키,월별근무지표[키],0))&amp;"",IF(COUNTIF(기관표[사번키],INDEX(합계표[사번키],$X915))+COUNTIF(월별근무지표[사번키],INDEX(합계표[사번키],$X915))&gt;0,IFERROR(INDEX(기관표[급여지급병원(기준월)],MATCH(INDEX(합계표[사번키],$X915)&amp;"|"&amp;대상월키,기관표[키],0))&amp;"","—"),"—")))</f>
        <v/>
      </c>
      <c r="M915">
        <f>IF($X915="","",IF(NOT(COUNTIF(기관표[사번키],INDEX(합계표[사번키],$X915))+COUNTIF(월별근무지표[사번키],INDEX(합계표[사번키],$X915))&gt;0),"기관명단에 없음(다른 병원으로 발송)",IF($L915="서울병원","해당",IF(N($R915)&gt;0,"해당(말일 근무)",IF($L915="—","대상월 기관명단 없음(추가 필요)","비해당")))))</f>
        <v/>
      </c>
      <c r="N915" s="20">
        <f>IF($X915="","",SUMIFS(상세표[06~07시],상세표[사번키],INDEX(합계표[사번키],$X915),상세표[반영월],대상월키,상세표[반영 기관],"서울병원"))</f>
        <v/>
      </c>
      <c r="O915" s="20">
        <f>IF($X915="","",SUMIFS(상세표[07~18시],상세표[사번키],INDEX(합계표[사번키],$X915),상세표[반영월],대상월키,상세표[반영 기관],"서울병원"))</f>
        <v/>
      </c>
      <c r="P915" s="20">
        <f>IF($X915="","",SUMIFS(상세표[18~22시],상세표[사번키],INDEX(합계표[사번키],$X915),상세표[반영월],대상월키,상세표[반영 기관],"서울병원"))</f>
        <v/>
      </c>
      <c r="Q915" s="20">
        <f>IF($X915="","",SUMIFS(상세표[22~06시],상세표[사번키],INDEX(합계표[사번키],$X915),상세표[반영월],대상월키,상세표[반영 기관],"서울병원"))</f>
        <v/>
      </c>
      <c r="R915" s="20">
        <f>IF($X915="","",SUM($N915:$Q915))</f>
        <v/>
      </c>
      <c r="S915">
        <f>IF($X915="","",COUNTIFS(상세표[사번키],INDEX(합계표[사번키],$X915),상세표[반영월],대상월키,상세표[야간당직],1,상세표[야간 구분],"평일"))</f>
        <v/>
      </c>
      <c r="T915">
        <f>IF($X915="","",COUNTIFS(상세표[사번키],INDEX(합계표[사번키],$X915),상세표[반영월],대상월키,상세표[야간당직],1,상세표[야간 구분],"휴일"))</f>
        <v/>
      </c>
      <c r="U915">
        <f>IF($X915="","",COUNTIFS(상세표[사번키],INDEX(합계표[사번키],$X915),상세표[반영월],대상월키,상세표[야간당직],1,상세표[야간 구분],"평일",상세표[반영 기관],"서울병원"))</f>
        <v/>
      </c>
      <c r="V915">
        <f>IF($X915="","",COUNTIFS(상세표[사번키],INDEX(합계표[사번키],$X915),상세표[반영월],대상월키,상세표[야간당직],1,상세표[야간 구분],"휴일",상세표[반영 기관],"서울병원"))</f>
        <v/>
      </c>
      <c r="W915">
        <f>IF($X915="","",IF(ISNUMBER(MATCH(INDEX(합계표[사번키],$X915)&amp;"|"&amp;대상월키,월별근무지표[키],0)),"직접 입력",IF($L915="—","—","기관명단")))</f>
        <v/>
      </c>
      <c r="X915" s="4">
        <f>IFERROR(MATCH(910,합계표[판정순번],0),"")</f>
        <v/>
      </c>
    </row>
    <row r="916">
      <c r="A916">
        <f>IF($X916="","",INDEX(합계표[사번],$X916)&amp;"")</f>
        <v/>
      </c>
      <c r="B916">
        <f>IF($X916="","",INDEX(합계표[성명],$X916)&amp;"")</f>
        <v/>
      </c>
      <c r="C916">
        <f>IF($X916="","",INDEX(합계표[부서],$X916)&amp;"")</f>
        <v/>
      </c>
      <c r="D916">
        <f>IF($X916="","",INDEX(합계표[직위(요약)],$X916)&amp;"")</f>
        <v/>
      </c>
      <c r="E916">
        <f>IF($X916="","",INDEX(합계표[직급 공존],$X916)&amp;"")</f>
        <v/>
      </c>
      <c r="F916" s="20">
        <f>IF($X916="","",SUMIFS(합계표[시스템 합계],합계표[사번키],INDEX(합계표[사번키],$X916)))</f>
        <v/>
      </c>
      <c r="G916" s="20">
        <f>IF($X916="","",SUMIFS(상세표[기록 시간외],상세표[사번키],INDEX(합계표[사번키],$X916),상세표[기록월],대상월키))</f>
        <v/>
      </c>
      <c r="H916">
        <f>IF($X916="","",IF(ABS($F916-$G916)&lt;0.01,"일치","불일치(차이 "&amp;TEXT($G916-$F916,"0.00")&amp;")"))</f>
        <v/>
      </c>
      <c r="I916" s="20">
        <f>IF($X916="","",SUMIFS(상세표[기록 시간외],상세표[사번키],INDEX(합계표[사번키],$X916),상세표[기록월],대상월키,상세표[반영월],"&lt;&gt;"&amp;대상월키))</f>
        <v/>
      </c>
      <c r="J916" s="20">
        <f>IF($X916="","",SUMIFS(상세표[기록 시간외],상세표[사번키],INDEX(합계표[사번키],$X916),상세표[기록월],"&lt;&gt;"&amp;대상월키,상세표[반영월],대상월키))</f>
        <v/>
      </c>
      <c r="K916" s="20">
        <f>IF($X916="","",SUMIFS(상세표[기록 시간외],상세표[사번키],INDEX(합계표[사번키],$X916),상세표[반영월],대상월키))</f>
        <v/>
      </c>
      <c r="L916">
        <f>IF($X916="","",IFERROR(INDEX(월별근무지표[적용 급여병원],MATCH(INDEX(합계표[사번키],$X916)&amp;"|"&amp;대상월키,월별근무지표[키],0))&amp;"",IF(COUNTIF(기관표[사번키],INDEX(합계표[사번키],$X916))+COUNTIF(월별근무지표[사번키],INDEX(합계표[사번키],$X916))&gt;0,IFERROR(INDEX(기관표[급여지급병원(기준월)],MATCH(INDEX(합계표[사번키],$X916)&amp;"|"&amp;대상월키,기관표[키],0))&amp;"","—"),"—")))</f>
        <v/>
      </c>
      <c r="M916">
        <f>IF($X916="","",IF(NOT(COUNTIF(기관표[사번키],INDEX(합계표[사번키],$X916))+COUNTIF(월별근무지표[사번키],INDEX(합계표[사번키],$X916))&gt;0),"기관명단에 없음(다른 병원으로 발송)",IF($L916="서울병원","해당",IF(N($R916)&gt;0,"해당(말일 근무)",IF($L916="—","대상월 기관명단 없음(추가 필요)","비해당")))))</f>
        <v/>
      </c>
      <c r="N916" s="20">
        <f>IF($X916="","",SUMIFS(상세표[06~07시],상세표[사번키],INDEX(합계표[사번키],$X916),상세표[반영월],대상월키,상세표[반영 기관],"서울병원"))</f>
        <v/>
      </c>
      <c r="O916" s="20">
        <f>IF($X916="","",SUMIFS(상세표[07~18시],상세표[사번키],INDEX(합계표[사번키],$X916),상세표[반영월],대상월키,상세표[반영 기관],"서울병원"))</f>
        <v/>
      </c>
      <c r="P916" s="20">
        <f>IF($X916="","",SUMIFS(상세표[18~22시],상세표[사번키],INDEX(합계표[사번키],$X916),상세표[반영월],대상월키,상세표[반영 기관],"서울병원"))</f>
        <v/>
      </c>
      <c r="Q916" s="20">
        <f>IF($X916="","",SUMIFS(상세표[22~06시],상세표[사번키],INDEX(합계표[사번키],$X916),상세표[반영월],대상월키,상세표[반영 기관],"서울병원"))</f>
        <v/>
      </c>
      <c r="R916" s="20">
        <f>IF($X916="","",SUM($N916:$Q916))</f>
        <v/>
      </c>
      <c r="S916">
        <f>IF($X916="","",COUNTIFS(상세표[사번키],INDEX(합계표[사번키],$X916),상세표[반영월],대상월키,상세표[야간당직],1,상세표[야간 구분],"평일"))</f>
        <v/>
      </c>
      <c r="T916">
        <f>IF($X916="","",COUNTIFS(상세표[사번키],INDEX(합계표[사번키],$X916),상세표[반영월],대상월키,상세표[야간당직],1,상세표[야간 구분],"휴일"))</f>
        <v/>
      </c>
      <c r="U916">
        <f>IF($X916="","",COUNTIFS(상세표[사번키],INDEX(합계표[사번키],$X916),상세표[반영월],대상월키,상세표[야간당직],1,상세표[야간 구분],"평일",상세표[반영 기관],"서울병원"))</f>
        <v/>
      </c>
      <c r="V916">
        <f>IF($X916="","",COUNTIFS(상세표[사번키],INDEX(합계표[사번키],$X916),상세표[반영월],대상월키,상세표[야간당직],1,상세표[야간 구분],"휴일",상세표[반영 기관],"서울병원"))</f>
        <v/>
      </c>
      <c r="W916">
        <f>IF($X916="","",IF(ISNUMBER(MATCH(INDEX(합계표[사번키],$X916)&amp;"|"&amp;대상월키,월별근무지표[키],0)),"직접 입력",IF($L916="—","—","기관명단")))</f>
        <v/>
      </c>
      <c r="X916" s="4">
        <f>IFERROR(MATCH(911,합계표[판정순번],0),"")</f>
        <v/>
      </c>
    </row>
    <row r="917">
      <c r="A917">
        <f>IF($X917="","",INDEX(합계표[사번],$X917)&amp;"")</f>
        <v/>
      </c>
      <c r="B917">
        <f>IF($X917="","",INDEX(합계표[성명],$X917)&amp;"")</f>
        <v/>
      </c>
      <c r="C917">
        <f>IF($X917="","",INDEX(합계표[부서],$X917)&amp;"")</f>
        <v/>
      </c>
      <c r="D917">
        <f>IF($X917="","",INDEX(합계표[직위(요약)],$X917)&amp;"")</f>
        <v/>
      </c>
      <c r="E917">
        <f>IF($X917="","",INDEX(합계표[직급 공존],$X917)&amp;"")</f>
        <v/>
      </c>
      <c r="F917" s="20">
        <f>IF($X917="","",SUMIFS(합계표[시스템 합계],합계표[사번키],INDEX(합계표[사번키],$X917)))</f>
        <v/>
      </c>
      <c r="G917" s="20">
        <f>IF($X917="","",SUMIFS(상세표[기록 시간외],상세표[사번키],INDEX(합계표[사번키],$X917),상세표[기록월],대상월키))</f>
        <v/>
      </c>
      <c r="H917">
        <f>IF($X917="","",IF(ABS($F917-$G917)&lt;0.01,"일치","불일치(차이 "&amp;TEXT($G917-$F917,"0.00")&amp;")"))</f>
        <v/>
      </c>
      <c r="I917" s="20">
        <f>IF($X917="","",SUMIFS(상세표[기록 시간외],상세표[사번키],INDEX(합계표[사번키],$X917),상세표[기록월],대상월키,상세표[반영월],"&lt;&gt;"&amp;대상월키))</f>
        <v/>
      </c>
      <c r="J917" s="20">
        <f>IF($X917="","",SUMIFS(상세표[기록 시간외],상세표[사번키],INDEX(합계표[사번키],$X917),상세표[기록월],"&lt;&gt;"&amp;대상월키,상세표[반영월],대상월키))</f>
        <v/>
      </c>
      <c r="K917" s="20">
        <f>IF($X917="","",SUMIFS(상세표[기록 시간외],상세표[사번키],INDEX(합계표[사번키],$X917),상세표[반영월],대상월키))</f>
        <v/>
      </c>
      <c r="L917">
        <f>IF($X917="","",IFERROR(INDEX(월별근무지표[적용 급여병원],MATCH(INDEX(합계표[사번키],$X917)&amp;"|"&amp;대상월키,월별근무지표[키],0))&amp;"",IF(COUNTIF(기관표[사번키],INDEX(합계표[사번키],$X917))+COUNTIF(월별근무지표[사번키],INDEX(합계표[사번키],$X917))&gt;0,IFERROR(INDEX(기관표[급여지급병원(기준월)],MATCH(INDEX(합계표[사번키],$X917)&amp;"|"&amp;대상월키,기관표[키],0))&amp;"","—"),"—")))</f>
        <v/>
      </c>
      <c r="M917">
        <f>IF($X917="","",IF(NOT(COUNTIF(기관표[사번키],INDEX(합계표[사번키],$X917))+COUNTIF(월별근무지표[사번키],INDEX(합계표[사번키],$X917))&gt;0),"기관명단에 없음(다른 병원으로 발송)",IF($L917="서울병원","해당",IF(N($R917)&gt;0,"해당(말일 근무)",IF($L917="—","대상월 기관명단 없음(추가 필요)","비해당")))))</f>
        <v/>
      </c>
      <c r="N917" s="20">
        <f>IF($X917="","",SUMIFS(상세표[06~07시],상세표[사번키],INDEX(합계표[사번키],$X917),상세표[반영월],대상월키,상세표[반영 기관],"서울병원"))</f>
        <v/>
      </c>
      <c r="O917" s="20">
        <f>IF($X917="","",SUMIFS(상세표[07~18시],상세표[사번키],INDEX(합계표[사번키],$X917),상세표[반영월],대상월키,상세표[반영 기관],"서울병원"))</f>
        <v/>
      </c>
      <c r="P917" s="20">
        <f>IF($X917="","",SUMIFS(상세표[18~22시],상세표[사번키],INDEX(합계표[사번키],$X917),상세표[반영월],대상월키,상세표[반영 기관],"서울병원"))</f>
        <v/>
      </c>
      <c r="Q917" s="20">
        <f>IF($X917="","",SUMIFS(상세표[22~06시],상세표[사번키],INDEX(합계표[사번키],$X917),상세표[반영월],대상월키,상세표[반영 기관],"서울병원"))</f>
        <v/>
      </c>
      <c r="R917" s="20">
        <f>IF($X917="","",SUM($N917:$Q917))</f>
        <v/>
      </c>
      <c r="S917">
        <f>IF($X917="","",COUNTIFS(상세표[사번키],INDEX(합계표[사번키],$X917),상세표[반영월],대상월키,상세표[야간당직],1,상세표[야간 구분],"평일"))</f>
        <v/>
      </c>
      <c r="T917">
        <f>IF($X917="","",COUNTIFS(상세표[사번키],INDEX(합계표[사번키],$X917),상세표[반영월],대상월키,상세표[야간당직],1,상세표[야간 구분],"휴일"))</f>
        <v/>
      </c>
      <c r="U917">
        <f>IF($X917="","",COUNTIFS(상세표[사번키],INDEX(합계표[사번키],$X917),상세표[반영월],대상월키,상세표[야간당직],1,상세표[야간 구분],"평일",상세표[반영 기관],"서울병원"))</f>
        <v/>
      </c>
      <c r="V917">
        <f>IF($X917="","",COUNTIFS(상세표[사번키],INDEX(합계표[사번키],$X917),상세표[반영월],대상월키,상세표[야간당직],1,상세표[야간 구분],"휴일",상세표[반영 기관],"서울병원"))</f>
        <v/>
      </c>
      <c r="W917">
        <f>IF($X917="","",IF(ISNUMBER(MATCH(INDEX(합계표[사번키],$X917)&amp;"|"&amp;대상월키,월별근무지표[키],0)),"직접 입력",IF($L917="—","—","기관명단")))</f>
        <v/>
      </c>
      <c r="X917" s="4">
        <f>IFERROR(MATCH(912,합계표[판정순번],0),"")</f>
        <v/>
      </c>
    </row>
    <row r="918">
      <c r="A918">
        <f>IF($X918="","",INDEX(합계표[사번],$X918)&amp;"")</f>
        <v/>
      </c>
      <c r="B918">
        <f>IF($X918="","",INDEX(합계표[성명],$X918)&amp;"")</f>
        <v/>
      </c>
      <c r="C918">
        <f>IF($X918="","",INDEX(합계표[부서],$X918)&amp;"")</f>
        <v/>
      </c>
      <c r="D918">
        <f>IF($X918="","",INDEX(합계표[직위(요약)],$X918)&amp;"")</f>
        <v/>
      </c>
      <c r="E918">
        <f>IF($X918="","",INDEX(합계표[직급 공존],$X918)&amp;"")</f>
        <v/>
      </c>
      <c r="F918" s="20">
        <f>IF($X918="","",SUMIFS(합계표[시스템 합계],합계표[사번키],INDEX(합계표[사번키],$X918)))</f>
        <v/>
      </c>
      <c r="G918" s="20">
        <f>IF($X918="","",SUMIFS(상세표[기록 시간외],상세표[사번키],INDEX(합계표[사번키],$X918),상세표[기록월],대상월키))</f>
        <v/>
      </c>
      <c r="H918">
        <f>IF($X918="","",IF(ABS($F918-$G918)&lt;0.01,"일치","불일치(차이 "&amp;TEXT($G918-$F918,"0.00")&amp;")"))</f>
        <v/>
      </c>
      <c r="I918" s="20">
        <f>IF($X918="","",SUMIFS(상세표[기록 시간외],상세표[사번키],INDEX(합계표[사번키],$X918),상세표[기록월],대상월키,상세표[반영월],"&lt;&gt;"&amp;대상월키))</f>
        <v/>
      </c>
      <c r="J918" s="20">
        <f>IF($X918="","",SUMIFS(상세표[기록 시간외],상세표[사번키],INDEX(합계표[사번키],$X918),상세표[기록월],"&lt;&gt;"&amp;대상월키,상세표[반영월],대상월키))</f>
        <v/>
      </c>
      <c r="K918" s="20">
        <f>IF($X918="","",SUMIFS(상세표[기록 시간외],상세표[사번키],INDEX(합계표[사번키],$X918),상세표[반영월],대상월키))</f>
        <v/>
      </c>
      <c r="L918">
        <f>IF($X918="","",IFERROR(INDEX(월별근무지표[적용 급여병원],MATCH(INDEX(합계표[사번키],$X918)&amp;"|"&amp;대상월키,월별근무지표[키],0))&amp;"",IF(COUNTIF(기관표[사번키],INDEX(합계표[사번키],$X918))+COUNTIF(월별근무지표[사번키],INDEX(합계표[사번키],$X918))&gt;0,IFERROR(INDEX(기관표[급여지급병원(기준월)],MATCH(INDEX(합계표[사번키],$X918)&amp;"|"&amp;대상월키,기관표[키],0))&amp;"","—"),"—")))</f>
        <v/>
      </c>
      <c r="M918">
        <f>IF($X918="","",IF(NOT(COUNTIF(기관표[사번키],INDEX(합계표[사번키],$X918))+COUNTIF(월별근무지표[사번키],INDEX(합계표[사번키],$X918))&gt;0),"기관명단에 없음(다른 병원으로 발송)",IF($L918="서울병원","해당",IF(N($R918)&gt;0,"해당(말일 근무)",IF($L918="—","대상월 기관명단 없음(추가 필요)","비해당")))))</f>
        <v/>
      </c>
      <c r="N918" s="20">
        <f>IF($X918="","",SUMIFS(상세표[06~07시],상세표[사번키],INDEX(합계표[사번키],$X918),상세표[반영월],대상월키,상세표[반영 기관],"서울병원"))</f>
        <v/>
      </c>
      <c r="O918" s="20">
        <f>IF($X918="","",SUMIFS(상세표[07~18시],상세표[사번키],INDEX(합계표[사번키],$X918),상세표[반영월],대상월키,상세표[반영 기관],"서울병원"))</f>
        <v/>
      </c>
      <c r="P918" s="20">
        <f>IF($X918="","",SUMIFS(상세표[18~22시],상세표[사번키],INDEX(합계표[사번키],$X918),상세표[반영월],대상월키,상세표[반영 기관],"서울병원"))</f>
        <v/>
      </c>
      <c r="Q918" s="20">
        <f>IF($X918="","",SUMIFS(상세표[22~06시],상세표[사번키],INDEX(합계표[사번키],$X918),상세표[반영월],대상월키,상세표[반영 기관],"서울병원"))</f>
        <v/>
      </c>
      <c r="R918" s="20">
        <f>IF($X918="","",SUM($N918:$Q918))</f>
        <v/>
      </c>
      <c r="S918">
        <f>IF($X918="","",COUNTIFS(상세표[사번키],INDEX(합계표[사번키],$X918),상세표[반영월],대상월키,상세표[야간당직],1,상세표[야간 구분],"평일"))</f>
        <v/>
      </c>
      <c r="T918">
        <f>IF($X918="","",COUNTIFS(상세표[사번키],INDEX(합계표[사번키],$X918),상세표[반영월],대상월키,상세표[야간당직],1,상세표[야간 구분],"휴일"))</f>
        <v/>
      </c>
      <c r="U918">
        <f>IF($X918="","",COUNTIFS(상세표[사번키],INDEX(합계표[사번키],$X918),상세표[반영월],대상월키,상세표[야간당직],1,상세표[야간 구분],"평일",상세표[반영 기관],"서울병원"))</f>
        <v/>
      </c>
      <c r="V918">
        <f>IF($X918="","",COUNTIFS(상세표[사번키],INDEX(합계표[사번키],$X918),상세표[반영월],대상월키,상세표[야간당직],1,상세표[야간 구분],"휴일",상세표[반영 기관],"서울병원"))</f>
        <v/>
      </c>
      <c r="W918">
        <f>IF($X918="","",IF(ISNUMBER(MATCH(INDEX(합계표[사번키],$X918)&amp;"|"&amp;대상월키,월별근무지표[키],0)),"직접 입력",IF($L918="—","—","기관명단")))</f>
        <v/>
      </c>
      <c r="X918" s="4">
        <f>IFERROR(MATCH(913,합계표[판정순번],0),"")</f>
        <v/>
      </c>
    </row>
    <row r="919">
      <c r="A919">
        <f>IF($X919="","",INDEX(합계표[사번],$X919)&amp;"")</f>
        <v/>
      </c>
      <c r="B919">
        <f>IF($X919="","",INDEX(합계표[성명],$X919)&amp;"")</f>
        <v/>
      </c>
      <c r="C919">
        <f>IF($X919="","",INDEX(합계표[부서],$X919)&amp;"")</f>
        <v/>
      </c>
      <c r="D919">
        <f>IF($X919="","",INDEX(합계표[직위(요약)],$X919)&amp;"")</f>
        <v/>
      </c>
      <c r="E919">
        <f>IF($X919="","",INDEX(합계표[직급 공존],$X919)&amp;"")</f>
        <v/>
      </c>
      <c r="F919" s="20">
        <f>IF($X919="","",SUMIFS(합계표[시스템 합계],합계표[사번키],INDEX(합계표[사번키],$X919)))</f>
        <v/>
      </c>
      <c r="G919" s="20">
        <f>IF($X919="","",SUMIFS(상세표[기록 시간외],상세표[사번키],INDEX(합계표[사번키],$X919),상세표[기록월],대상월키))</f>
        <v/>
      </c>
      <c r="H919">
        <f>IF($X919="","",IF(ABS($F919-$G919)&lt;0.01,"일치","불일치(차이 "&amp;TEXT($G919-$F919,"0.00")&amp;")"))</f>
        <v/>
      </c>
      <c r="I919" s="20">
        <f>IF($X919="","",SUMIFS(상세표[기록 시간외],상세표[사번키],INDEX(합계표[사번키],$X919),상세표[기록월],대상월키,상세표[반영월],"&lt;&gt;"&amp;대상월키))</f>
        <v/>
      </c>
      <c r="J919" s="20">
        <f>IF($X919="","",SUMIFS(상세표[기록 시간외],상세표[사번키],INDEX(합계표[사번키],$X919),상세표[기록월],"&lt;&gt;"&amp;대상월키,상세표[반영월],대상월키))</f>
        <v/>
      </c>
      <c r="K919" s="20">
        <f>IF($X919="","",SUMIFS(상세표[기록 시간외],상세표[사번키],INDEX(합계표[사번키],$X919),상세표[반영월],대상월키))</f>
        <v/>
      </c>
      <c r="L919">
        <f>IF($X919="","",IFERROR(INDEX(월별근무지표[적용 급여병원],MATCH(INDEX(합계표[사번키],$X919)&amp;"|"&amp;대상월키,월별근무지표[키],0))&amp;"",IF(COUNTIF(기관표[사번키],INDEX(합계표[사번키],$X919))+COUNTIF(월별근무지표[사번키],INDEX(합계표[사번키],$X919))&gt;0,IFERROR(INDEX(기관표[급여지급병원(기준월)],MATCH(INDEX(합계표[사번키],$X919)&amp;"|"&amp;대상월키,기관표[키],0))&amp;"","—"),"—")))</f>
        <v/>
      </c>
      <c r="M919">
        <f>IF($X919="","",IF(NOT(COUNTIF(기관표[사번키],INDEX(합계표[사번키],$X919))+COUNTIF(월별근무지표[사번키],INDEX(합계표[사번키],$X919))&gt;0),"기관명단에 없음(다른 병원으로 발송)",IF($L919="서울병원","해당",IF(N($R919)&gt;0,"해당(말일 근무)",IF($L919="—","대상월 기관명단 없음(추가 필요)","비해당")))))</f>
        <v/>
      </c>
      <c r="N919" s="20">
        <f>IF($X919="","",SUMIFS(상세표[06~07시],상세표[사번키],INDEX(합계표[사번키],$X919),상세표[반영월],대상월키,상세표[반영 기관],"서울병원"))</f>
        <v/>
      </c>
      <c r="O919" s="20">
        <f>IF($X919="","",SUMIFS(상세표[07~18시],상세표[사번키],INDEX(합계표[사번키],$X919),상세표[반영월],대상월키,상세표[반영 기관],"서울병원"))</f>
        <v/>
      </c>
      <c r="P919" s="20">
        <f>IF($X919="","",SUMIFS(상세표[18~22시],상세표[사번키],INDEX(합계표[사번키],$X919),상세표[반영월],대상월키,상세표[반영 기관],"서울병원"))</f>
        <v/>
      </c>
      <c r="Q919" s="20">
        <f>IF($X919="","",SUMIFS(상세표[22~06시],상세표[사번키],INDEX(합계표[사번키],$X919),상세표[반영월],대상월키,상세표[반영 기관],"서울병원"))</f>
        <v/>
      </c>
      <c r="R919" s="20">
        <f>IF($X919="","",SUM($N919:$Q919))</f>
        <v/>
      </c>
      <c r="S919">
        <f>IF($X919="","",COUNTIFS(상세표[사번키],INDEX(합계표[사번키],$X919),상세표[반영월],대상월키,상세표[야간당직],1,상세표[야간 구분],"평일"))</f>
        <v/>
      </c>
      <c r="T919">
        <f>IF($X919="","",COUNTIFS(상세표[사번키],INDEX(합계표[사번키],$X919),상세표[반영월],대상월키,상세표[야간당직],1,상세표[야간 구분],"휴일"))</f>
        <v/>
      </c>
      <c r="U919">
        <f>IF($X919="","",COUNTIFS(상세표[사번키],INDEX(합계표[사번키],$X919),상세표[반영월],대상월키,상세표[야간당직],1,상세표[야간 구분],"평일",상세표[반영 기관],"서울병원"))</f>
        <v/>
      </c>
      <c r="V919">
        <f>IF($X919="","",COUNTIFS(상세표[사번키],INDEX(합계표[사번키],$X919),상세표[반영월],대상월키,상세표[야간당직],1,상세표[야간 구분],"휴일",상세표[반영 기관],"서울병원"))</f>
        <v/>
      </c>
      <c r="W919">
        <f>IF($X919="","",IF(ISNUMBER(MATCH(INDEX(합계표[사번키],$X919)&amp;"|"&amp;대상월키,월별근무지표[키],0)),"직접 입력",IF($L919="—","—","기관명단")))</f>
        <v/>
      </c>
      <c r="X919" s="4">
        <f>IFERROR(MATCH(914,합계표[판정순번],0),"")</f>
        <v/>
      </c>
    </row>
    <row r="920">
      <c r="A920">
        <f>IF($X920="","",INDEX(합계표[사번],$X920)&amp;"")</f>
        <v/>
      </c>
      <c r="B920">
        <f>IF($X920="","",INDEX(합계표[성명],$X920)&amp;"")</f>
        <v/>
      </c>
      <c r="C920">
        <f>IF($X920="","",INDEX(합계표[부서],$X920)&amp;"")</f>
        <v/>
      </c>
      <c r="D920">
        <f>IF($X920="","",INDEX(합계표[직위(요약)],$X920)&amp;"")</f>
        <v/>
      </c>
      <c r="E920">
        <f>IF($X920="","",INDEX(합계표[직급 공존],$X920)&amp;"")</f>
        <v/>
      </c>
      <c r="F920" s="20">
        <f>IF($X920="","",SUMIFS(합계표[시스템 합계],합계표[사번키],INDEX(합계표[사번키],$X920)))</f>
        <v/>
      </c>
      <c r="G920" s="20">
        <f>IF($X920="","",SUMIFS(상세표[기록 시간외],상세표[사번키],INDEX(합계표[사번키],$X920),상세표[기록월],대상월키))</f>
        <v/>
      </c>
      <c r="H920">
        <f>IF($X920="","",IF(ABS($F920-$G920)&lt;0.01,"일치","불일치(차이 "&amp;TEXT($G920-$F920,"0.00")&amp;")"))</f>
        <v/>
      </c>
      <c r="I920" s="20">
        <f>IF($X920="","",SUMIFS(상세표[기록 시간외],상세표[사번키],INDEX(합계표[사번키],$X920),상세표[기록월],대상월키,상세표[반영월],"&lt;&gt;"&amp;대상월키))</f>
        <v/>
      </c>
      <c r="J920" s="20">
        <f>IF($X920="","",SUMIFS(상세표[기록 시간외],상세표[사번키],INDEX(합계표[사번키],$X920),상세표[기록월],"&lt;&gt;"&amp;대상월키,상세표[반영월],대상월키))</f>
        <v/>
      </c>
      <c r="K920" s="20">
        <f>IF($X920="","",SUMIFS(상세표[기록 시간외],상세표[사번키],INDEX(합계표[사번키],$X920),상세표[반영월],대상월키))</f>
        <v/>
      </c>
      <c r="L920">
        <f>IF($X920="","",IFERROR(INDEX(월별근무지표[적용 급여병원],MATCH(INDEX(합계표[사번키],$X920)&amp;"|"&amp;대상월키,월별근무지표[키],0))&amp;"",IF(COUNTIF(기관표[사번키],INDEX(합계표[사번키],$X920))+COUNTIF(월별근무지표[사번키],INDEX(합계표[사번키],$X920))&gt;0,IFERROR(INDEX(기관표[급여지급병원(기준월)],MATCH(INDEX(합계표[사번키],$X920)&amp;"|"&amp;대상월키,기관표[키],0))&amp;"","—"),"—")))</f>
        <v/>
      </c>
      <c r="M920">
        <f>IF($X920="","",IF(NOT(COUNTIF(기관표[사번키],INDEX(합계표[사번키],$X920))+COUNTIF(월별근무지표[사번키],INDEX(합계표[사번키],$X920))&gt;0),"기관명단에 없음(다른 병원으로 발송)",IF($L920="서울병원","해당",IF(N($R920)&gt;0,"해당(말일 근무)",IF($L920="—","대상월 기관명단 없음(추가 필요)","비해당")))))</f>
        <v/>
      </c>
      <c r="N920" s="20">
        <f>IF($X920="","",SUMIFS(상세표[06~07시],상세표[사번키],INDEX(합계표[사번키],$X920),상세표[반영월],대상월키,상세표[반영 기관],"서울병원"))</f>
        <v/>
      </c>
      <c r="O920" s="20">
        <f>IF($X920="","",SUMIFS(상세표[07~18시],상세표[사번키],INDEX(합계표[사번키],$X920),상세표[반영월],대상월키,상세표[반영 기관],"서울병원"))</f>
        <v/>
      </c>
      <c r="P920" s="20">
        <f>IF($X920="","",SUMIFS(상세표[18~22시],상세표[사번키],INDEX(합계표[사번키],$X920),상세표[반영월],대상월키,상세표[반영 기관],"서울병원"))</f>
        <v/>
      </c>
      <c r="Q920" s="20">
        <f>IF($X920="","",SUMIFS(상세표[22~06시],상세표[사번키],INDEX(합계표[사번키],$X920),상세표[반영월],대상월키,상세표[반영 기관],"서울병원"))</f>
        <v/>
      </c>
      <c r="R920" s="20">
        <f>IF($X920="","",SUM($N920:$Q920))</f>
        <v/>
      </c>
      <c r="S920">
        <f>IF($X920="","",COUNTIFS(상세표[사번키],INDEX(합계표[사번키],$X920),상세표[반영월],대상월키,상세표[야간당직],1,상세표[야간 구분],"평일"))</f>
        <v/>
      </c>
      <c r="T920">
        <f>IF($X920="","",COUNTIFS(상세표[사번키],INDEX(합계표[사번키],$X920),상세표[반영월],대상월키,상세표[야간당직],1,상세표[야간 구분],"휴일"))</f>
        <v/>
      </c>
      <c r="U920">
        <f>IF($X920="","",COUNTIFS(상세표[사번키],INDEX(합계표[사번키],$X920),상세표[반영월],대상월키,상세표[야간당직],1,상세표[야간 구분],"평일",상세표[반영 기관],"서울병원"))</f>
        <v/>
      </c>
      <c r="V920">
        <f>IF($X920="","",COUNTIFS(상세표[사번키],INDEX(합계표[사번키],$X920),상세표[반영월],대상월키,상세표[야간당직],1,상세표[야간 구분],"휴일",상세표[반영 기관],"서울병원"))</f>
        <v/>
      </c>
      <c r="W920">
        <f>IF($X920="","",IF(ISNUMBER(MATCH(INDEX(합계표[사번키],$X920)&amp;"|"&amp;대상월키,월별근무지표[키],0)),"직접 입력",IF($L920="—","—","기관명단")))</f>
        <v/>
      </c>
      <c r="X920" s="4">
        <f>IFERROR(MATCH(915,합계표[판정순번],0),"")</f>
        <v/>
      </c>
    </row>
    <row r="921">
      <c r="A921">
        <f>IF($X921="","",INDEX(합계표[사번],$X921)&amp;"")</f>
        <v/>
      </c>
      <c r="B921">
        <f>IF($X921="","",INDEX(합계표[성명],$X921)&amp;"")</f>
        <v/>
      </c>
      <c r="C921">
        <f>IF($X921="","",INDEX(합계표[부서],$X921)&amp;"")</f>
        <v/>
      </c>
      <c r="D921">
        <f>IF($X921="","",INDEX(합계표[직위(요약)],$X921)&amp;"")</f>
        <v/>
      </c>
      <c r="E921">
        <f>IF($X921="","",INDEX(합계표[직급 공존],$X921)&amp;"")</f>
        <v/>
      </c>
      <c r="F921" s="20">
        <f>IF($X921="","",SUMIFS(합계표[시스템 합계],합계표[사번키],INDEX(합계표[사번키],$X921)))</f>
        <v/>
      </c>
      <c r="G921" s="20">
        <f>IF($X921="","",SUMIFS(상세표[기록 시간외],상세표[사번키],INDEX(합계표[사번키],$X921),상세표[기록월],대상월키))</f>
        <v/>
      </c>
      <c r="H921">
        <f>IF($X921="","",IF(ABS($F921-$G921)&lt;0.01,"일치","불일치(차이 "&amp;TEXT($G921-$F921,"0.00")&amp;")"))</f>
        <v/>
      </c>
      <c r="I921" s="20">
        <f>IF($X921="","",SUMIFS(상세표[기록 시간외],상세표[사번키],INDEX(합계표[사번키],$X921),상세표[기록월],대상월키,상세표[반영월],"&lt;&gt;"&amp;대상월키))</f>
        <v/>
      </c>
      <c r="J921" s="20">
        <f>IF($X921="","",SUMIFS(상세표[기록 시간외],상세표[사번키],INDEX(합계표[사번키],$X921),상세표[기록월],"&lt;&gt;"&amp;대상월키,상세표[반영월],대상월키))</f>
        <v/>
      </c>
      <c r="K921" s="20">
        <f>IF($X921="","",SUMIFS(상세표[기록 시간외],상세표[사번키],INDEX(합계표[사번키],$X921),상세표[반영월],대상월키))</f>
        <v/>
      </c>
      <c r="L921">
        <f>IF($X921="","",IFERROR(INDEX(월별근무지표[적용 급여병원],MATCH(INDEX(합계표[사번키],$X921)&amp;"|"&amp;대상월키,월별근무지표[키],0))&amp;"",IF(COUNTIF(기관표[사번키],INDEX(합계표[사번키],$X921))+COUNTIF(월별근무지표[사번키],INDEX(합계표[사번키],$X921))&gt;0,IFERROR(INDEX(기관표[급여지급병원(기준월)],MATCH(INDEX(합계표[사번키],$X921)&amp;"|"&amp;대상월키,기관표[키],0))&amp;"","—"),"—")))</f>
        <v/>
      </c>
      <c r="M921">
        <f>IF($X921="","",IF(NOT(COUNTIF(기관표[사번키],INDEX(합계표[사번키],$X921))+COUNTIF(월별근무지표[사번키],INDEX(합계표[사번키],$X921))&gt;0),"기관명단에 없음(다른 병원으로 발송)",IF($L921="서울병원","해당",IF(N($R921)&gt;0,"해당(말일 근무)",IF($L921="—","대상월 기관명단 없음(추가 필요)","비해당")))))</f>
        <v/>
      </c>
      <c r="N921" s="20">
        <f>IF($X921="","",SUMIFS(상세표[06~07시],상세표[사번키],INDEX(합계표[사번키],$X921),상세표[반영월],대상월키,상세표[반영 기관],"서울병원"))</f>
        <v/>
      </c>
      <c r="O921" s="20">
        <f>IF($X921="","",SUMIFS(상세표[07~18시],상세표[사번키],INDEX(합계표[사번키],$X921),상세표[반영월],대상월키,상세표[반영 기관],"서울병원"))</f>
        <v/>
      </c>
      <c r="P921" s="20">
        <f>IF($X921="","",SUMIFS(상세표[18~22시],상세표[사번키],INDEX(합계표[사번키],$X921),상세표[반영월],대상월키,상세표[반영 기관],"서울병원"))</f>
        <v/>
      </c>
      <c r="Q921" s="20">
        <f>IF($X921="","",SUMIFS(상세표[22~06시],상세표[사번키],INDEX(합계표[사번키],$X921),상세표[반영월],대상월키,상세표[반영 기관],"서울병원"))</f>
        <v/>
      </c>
      <c r="R921" s="20">
        <f>IF($X921="","",SUM($N921:$Q921))</f>
        <v/>
      </c>
      <c r="S921">
        <f>IF($X921="","",COUNTIFS(상세표[사번키],INDEX(합계표[사번키],$X921),상세표[반영월],대상월키,상세표[야간당직],1,상세표[야간 구분],"평일"))</f>
        <v/>
      </c>
      <c r="T921">
        <f>IF($X921="","",COUNTIFS(상세표[사번키],INDEX(합계표[사번키],$X921),상세표[반영월],대상월키,상세표[야간당직],1,상세표[야간 구분],"휴일"))</f>
        <v/>
      </c>
      <c r="U921">
        <f>IF($X921="","",COUNTIFS(상세표[사번키],INDEX(합계표[사번키],$X921),상세표[반영월],대상월키,상세표[야간당직],1,상세표[야간 구분],"평일",상세표[반영 기관],"서울병원"))</f>
        <v/>
      </c>
      <c r="V921">
        <f>IF($X921="","",COUNTIFS(상세표[사번키],INDEX(합계표[사번키],$X921),상세표[반영월],대상월키,상세표[야간당직],1,상세표[야간 구분],"휴일",상세표[반영 기관],"서울병원"))</f>
        <v/>
      </c>
      <c r="W921">
        <f>IF($X921="","",IF(ISNUMBER(MATCH(INDEX(합계표[사번키],$X921)&amp;"|"&amp;대상월키,월별근무지표[키],0)),"직접 입력",IF($L921="—","—","기관명단")))</f>
        <v/>
      </c>
      <c r="X921" s="4">
        <f>IFERROR(MATCH(916,합계표[판정순번],0),"")</f>
        <v/>
      </c>
    </row>
    <row r="922">
      <c r="A922">
        <f>IF($X922="","",INDEX(합계표[사번],$X922)&amp;"")</f>
        <v/>
      </c>
      <c r="B922">
        <f>IF($X922="","",INDEX(합계표[성명],$X922)&amp;"")</f>
        <v/>
      </c>
      <c r="C922">
        <f>IF($X922="","",INDEX(합계표[부서],$X922)&amp;"")</f>
        <v/>
      </c>
      <c r="D922">
        <f>IF($X922="","",INDEX(합계표[직위(요약)],$X922)&amp;"")</f>
        <v/>
      </c>
      <c r="E922">
        <f>IF($X922="","",INDEX(합계표[직급 공존],$X922)&amp;"")</f>
        <v/>
      </c>
      <c r="F922" s="20">
        <f>IF($X922="","",SUMIFS(합계표[시스템 합계],합계표[사번키],INDEX(합계표[사번키],$X922)))</f>
        <v/>
      </c>
      <c r="G922" s="20">
        <f>IF($X922="","",SUMIFS(상세표[기록 시간외],상세표[사번키],INDEX(합계표[사번키],$X922),상세표[기록월],대상월키))</f>
        <v/>
      </c>
      <c r="H922">
        <f>IF($X922="","",IF(ABS($F922-$G922)&lt;0.01,"일치","불일치(차이 "&amp;TEXT($G922-$F922,"0.00")&amp;")"))</f>
        <v/>
      </c>
      <c r="I922" s="20">
        <f>IF($X922="","",SUMIFS(상세표[기록 시간외],상세표[사번키],INDEX(합계표[사번키],$X922),상세표[기록월],대상월키,상세표[반영월],"&lt;&gt;"&amp;대상월키))</f>
        <v/>
      </c>
      <c r="J922" s="20">
        <f>IF($X922="","",SUMIFS(상세표[기록 시간외],상세표[사번키],INDEX(합계표[사번키],$X922),상세표[기록월],"&lt;&gt;"&amp;대상월키,상세표[반영월],대상월키))</f>
        <v/>
      </c>
      <c r="K922" s="20">
        <f>IF($X922="","",SUMIFS(상세표[기록 시간외],상세표[사번키],INDEX(합계표[사번키],$X922),상세표[반영월],대상월키))</f>
        <v/>
      </c>
      <c r="L922">
        <f>IF($X922="","",IFERROR(INDEX(월별근무지표[적용 급여병원],MATCH(INDEX(합계표[사번키],$X922)&amp;"|"&amp;대상월키,월별근무지표[키],0))&amp;"",IF(COUNTIF(기관표[사번키],INDEX(합계표[사번키],$X922))+COUNTIF(월별근무지표[사번키],INDEX(합계표[사번키],$X922))&gt;0,IFERROR(INDEX(기관표[급여지급병원(기준월)],MATCH(INDEX(합계표[사번키],$X922)&amp;"|"&amp;대상월키,기관표[키],0))&amp;"","—"),"—")))</f>
        <v/>
      </c>
      <c r="M922">
        <f>IF($X922="","",IF(NOT(COUNTIF(기관표[사번키],INDEX(합계표[사번키],$X922))+COUNTIF(월별근무지표[사번키],INDEX(합계표[사번키],$X922))&gt;0),"기관명단에 없음(다른 병원으로 발송)",IF($L922="서울병원","해당",IF(N($R922)&gt;0,"해당(말일 근무)",IF($L922="—","대상월 기관명단 없음(추가 필요)","비해당")))))</f>
        <v/>
      </c>
      <c r="N922" s="20">
        <f>IF($X922="","",SUMIFS(상세표[06~07시],상세표[사번키],INDEX(합계표[사번키],$X922),상세표[반영월],대상월키,상세표[반영 기관],"서울병원"))</f>
        <v/>
      </c>
      <c r="O922" s="20">
        <f>IF($X922="","",SUMIFS(상세표[07~18시],상세표[사번키],INDEX(합계표[사번키],$X922),상세표[반영월],대상월키,상세표[반영 기관],"서울병원"))</f>
        <v/>
      </c>
      <c r="P922" s="20">
        <f>IF($X922="","",SUMIFS(상세표[18~22시],상세표[사번키],INDEX(합계표[사번키],$X922),상세표[반영월],대상월키,상세표[반영 기관],"서울병원"))</f>
        <v/>
      </c>
      <c r="Q922" s="20">
        <f>IF($X922="","",SUMIFS(상세표[22~06시],상세표[사번키],INDEX(합계표[사번키],$X922),상세표[반영월],대상월키,상세표[반영 기관],"서울병원"))</f>
        <v/>
      </c>
      <c r="R922" s="20">
        <f>IF($X922="","",SUM($N922:$Q922))</f>
        <v/>
      </c>
      <c r="S922">
        <f>IF($X922="","",COUNTIFS(상세표[사번키],INDEX(합계표[사번키],$X922),상세표[반영월],대상월키,상세표[야간당직],1,상세표[야간 구분],"평일"))</f>
        <v/>
      </c>
      <c r="T922">
        <f>IF($X922="","",COUNTIFS(상세표[사번키],INDEX(합계표[사번키],$X922),상세표[반영월],대상월키,상세표[야간당직],1,상세표[야간 구분],"휴일"))</f>
        <v/>
      </c>
      <c r="U922">
        <f>IF($X922="","",COUNTIFS(상세표[사번키],INDEX(합계표[사번키],$X922),상세표[반영월],대상월키,상세표[야간당직],1,상세표[야간 구분],"평일",상세표[반영 기관],"서울병원"))</f>
        <v/>
      </c>
      <c r="V922">
        <f>IF($X922="","",COUNTIFS(상세표[사번키],INDEX(합계표[사번키],$X922),상세표[반영월],대상월키,상세표[야간당직],1,상세표[야간 구분],"휴일",상세표[반영 기관],"서울병원"))</f>
        <v/>
      </c>
      <c r="W922">
        <f>IF($X922="","",IF(ISNUMBER(MATCH(INDEX(합계표[사번키],$X922)&amp;"|"&amp;대상월키,월별근무지표[키],0)),"직접 입력",IF($L922="—","—","기관명단")))</f>
        <v/>
      </c>
      <c r="X922" s="4">
        <f>IFERROR(MATCH(917,합계표[판정순번],0),"")</f>
        <v/>
      </c>
    </row>
    <row r="923">
      <c r="A923">
        <f>IF($X923="","",INDEX(합계표[사번],$X923)&amp;"")</f>
        <v/>
      </c>
      <c r="B923">
        <f>IF($X923="","",INDEX(합계표[성명],$X923)&amp;"")</f>
        <v/>
      </c>
      <c r="C923">
        <f>IF($X923="","",INDEX(합계표[부서],$X923)&amp;"")</f>
        <v/>
      </c>
      <c r="D923">
        <f>IF($X923="","",INDEX(합계표[직위(요약)],$X923)&amp;"")</f>
        <v/>
      </c>
      <c r="E923">
        <f>IF($X923="","",INDEX(합계표[직급 공존],$X923)&amp;"")</f>
        <v/>
      </c>
      <c r="F923" s="20">
        <f>IF($X923="","",SUMIFS(합계표[시스템 합계],합계표[사번키],INDEX(합계표[사번키],$X923)))</f>
        <v/>
      </c>
      <c r="G923" s="20">
        <f>IF($X923="","",SUMIFS(상세표[기록 시간외],상세표[사번키],INDEX(합계표[사번키],$X923),상세표[기록월],대상월키))</f>
        <v/>
      </c>
      <c r="H923">
        <f>IF($X923="","",IF(ABS($F923-$G923)&lt;0.01,"일치","불일치(차이 "&amp;TEXT($G923-$F923,"0.00")&amp;")"))</f>
        <v/>
      </c>
      <c r="I923" s="20">
        <f>IF($X923="","",SUMIFS(상세표[기록 시간외],상세표[사번키],INDEX(합계표[사번키],$X923),상세표[기록월],대상월키,상세표[반영월],"&lt;&gt;"&amp;대상월키))</f>
        <v/>
      </c>
      <c r="J923" s="20">
        <f>IF($X923="","",SUMIFS(상세표[기록 시간외],상세표[사번키],INDEX(합계표[사번키],$X923),상세표[기록월],"&lt;&gt;"&amp;대상월키,상세표[반영월],대상월키))</f>
        <v/>
      </c>
      <c r="K923" s="20">
        <f>IF($X923="","",SUMIFS(상세표[기록 시간외],상세표[사번키],INDEX(합계표[사번키],$X923),상세표[반영월],대상월키))</f>
        <v/>
      </c>
      <c r="L923">
        <f>IF($X923="","",IFERROR(INDEX(월별근무지표[적용 급여병원],MATCH(INDEX(합계표[사번키],$X923)&amp;"|"&amp;대상월키,월별근무지표[키],0))&amp;"",IF(COUNTIF(기관표[사번키],INDEX(합계표[사번키],$X923))+COUNTIF(월별근무지표[사번키],INDEX(합계표[사번키],$X923))&gt;0,IFERROR(INDEX(기관표[급여지급병원(기준월)],MATCH(INDEX(합계표[사번키],$X923)&amp;"|"&amp;대상월키,기관표[키],0))&amp;"","—"),"—")))</f>
        <v/>
      </c>
      <c r="M923">
        <f>IF($X923="","",IF(NOT(COUNTIF(기관표[사번키],INDEX(합계표[사번키],$X923))+COUNTIF(월별근무지표[사번키],INDEX(합계표[사번키],$X923))&gt;0),"기관명단에 없음(다른 병원으로 발송)",IF($L923="서울병원","해당",IF(N($R923)&gt;0,"해당(말일 근무)",IF($L923="—","대상월 기관명단 없음(추가 필요)","비해당")))))</f>
        <v/>
      </c>
      <c r="N923" s="20">
        <f>IF($X923="","",SUMIFS(상세표[06~07시],상세표[사번키],INDEX(합계표[사번키],$X923),상세표[반영월],대상월키,상세표[반영 기관],"서울병원"))</f>
        <v/>
      </c>
      <c r="O923" s="20">
        <f>IF($X923="","",SUMIFS(상세표[07~18시],상세표[사번키],INDEX(합계표[사번키],$X923),상세표[반영월],대상월키,상세표[반영 기관],"서울병원"))</f>
        <v/>
      </c>
      <c r="P923" s="20">
        <f>IF($X923="","",SUMIFS(상세표[18~22시],상세표[사번키],INDEX(합계표[사번키],$X923),상세표[반영월],대상월키,상세표[반영 기관],"서울병원"))</f>
        <v/>
      </c>
      <c r="Q923" s="20">
        <f>IF($X923="","",SUMIFS(상세표[22~06시],상세표[사번키],INDEX(합계표[사번키],$X923),상세표[반영월],대상월키,상세표[반영 기관],"서울병원"))</f>
        <v/>
      </c>
      <c r="R923" s="20">
        <f>IF($X923="","",SUM($N923:$Q923))</f>
        <v/>
      </c>
      <c r="S923">
        <f>IF($X923="","",COUNTIFS(상세표[사번키],INDEX(합계표[사번키],$X923),상세표[반영월],대상월키,상세표[야간당직],1,상세표[야간 구분],"평일"))</f>
        <v/>
      </c>
      <c r="T923">
        <f>IF($X923="","",COUNTIFS(상세표[사번키],INDEX(합계표[사번키],$X923),상세표[반영월],대상월키,상세표[야간당직],1,상세표[야간 구분],"휴일"))</f>
        <v/>
      </c>
      <c r="U923">
        <f>IF($X923="","",COUNTIFS(상세표[사번키],INDEX(합계표[사번키],$X923),상세표[반영월],대상월키,상세표[야간당직],1,상세표[야간 구분],"평일",상세표[반영 기관],"서울병원"))</f>
        <v/>
      </c>
      <c r="V923">
        <f>IF($X923="","",COUNTIFS(상세표[사번키],INDEX(합계표[사번키],$X923),상세표[반영월],대상월키,상세표[야간당직],1,상세표[야간 구분],"휴일",상세표[반영 기관],"서울병원"))</f>
        <v/>
      </c>
      <c r="W923">
        <f>IF($X923="","",IF(ISNUMBER(MATCH(INDEX(합계표[사번키],$X923)&amp;"|"&amp;대상월키,월별근무지표[키],0)),"직접 입력",IF($L923="—","—","기관명단")))</f>
        <v/>
      </c>
      <c r="X923" s="4">
        <f>IFERROR(MATCH(918,합계표[판정순번],0),"")</f>
        <v/>
      </c>
    </row>
    <row r="924">
      <c r="A924">
        <f>IF($X924="","",INDEX(합계표[사번],$X924)&amp;"")</f>
        <v/>
      </c>
      <c r="B924">
        <f>IF($X924="","",INDEX(합계표[성명],$X924)&amp;"")</f>
        <v/>
      </c>
      <c r="C924">
        <f>IF($X924="","",INDEX(합계표[부서],$X924)&amp;"")</f>
        <v/>
      </c>
      <c r="D924">
        <f>IF($X924="","",INDEX(합계표[직위(요약)],$X924)&amp;"")</f>
        <v/>
      </c>
      <c r="E924">
        <f>IF($X924="","",INDEX(합계표[직급 공존],$X924)&amp;"")</f>
        <v/>
      </c>
      <c r="F924" s="20">
        <f>IF($X924="","",SUMIFS(합계표[시스템 합계],합계표[사번키],INDEX(합계표[사번키],$X924)))</f>
        <v/>
      </c>
      <c r="G924" s="20">
        <f>IF($X924="","",SUMIFS(상세표[기록 시간외],상세표[사번키],INDEX(합계표[사번키],$X924),상세표[기록월],대상월키))</f>
        <v/>
      </c>
      <c r="H924">
        <f>IF($X924="","",IF(ABS($F924-$G924)&lt;0.01,"일치","불일치(차이 "&amp;TEXT($G924-$F924,"0.00")&amp;")"))</f>
        <v/>
      </c>
      <c r="I924" s="20">
        <f>IF($X924="","",SUMIFS(상세표[기록 시간외],상세표[사번키],INDEX(합계표[사번키],$X924),상세표[기록월],대상월키,상세표[반영월],"&lt;&gt;"&amp;대상월키))</f>
        <v/>
      </c>
      <c r="J924" s="20">
        <f>IF($X924="","",SUMIFS(상세표[기록 시간외],상세표[사번키],INDEX(합계표[사번키],$X924),상세표[기록월],"&lt;&gt;"&amp;대상월키,상세표[반영월],대상월키))</f>
        <v/>
      </c>
      <c r="K924" s="20">
        <f>IF($X924="","",SUMIFS(상세표[기록 시간외],상세표[사번키],INDEX(합계표[사번키],$X924),상세표[반영월],대상월키))</f>
        <v/>
      </c>
      <c r="L924">
        <f>IF($X924="","",IFERROR(INDEX(월별근무지표[적용 급여병원],MATCH(INDEX(합계표[사번키],$X924)&amp;"|"&amp;대상월키,월별근무지표[키],0))&amp;"",IF(COUNTIF(기관표[사번키],INDEX(합계표[사번키],$X924))+COUNTIF(월별근무지표[사번키],INDEX(합계표[사번키],$X924))&gt;0,IFERROR(INDEX(기관표[급여지급병원(기준월)],MATCH(INDEX(합계표[사번키],$X924)&amp;"|"&amp;대상월키,기관표[키],0))&amp;"","—"),"—")))</f>
        <v/>
      </c>
      <c r="M924">
        <f>IF($X924="","",IF(NOT(COUNTIF(기관표[사번키],INDEX(합계표[사번키],$X924))+COUNTIF(월별근무지표[사번키],INDEX(합계표[사번키],$X924))&gt;0),"기관명단에 없음(다른 병원으로 발송)",IF($L924="서울병원","해당",IF(N($R924)&gt;0,"해당(말일 근무)",IF($L924="—","대상월 기관명단 없음(추가 필요)","비해당")))))</f>
        <v/>
      </c>
      <c r="N924" s="20">
        <f>IF($X924="","",SUMIFS(상세표[06~07시],상세표[사번키],INDEX(합계표[사번키],$X924),상세표[반영월],대상월키,상세표[반영 기관],"서울병원"))</f>
        <v/>
      </c>
      <c r="O924" s="20">
        <f>IF($X924="","",SUMIFS(상세표[07~18시],상세표[사번키],INDEX(합계표[사번키],$X924),상세표[반영월],대상월키,상세표[반영 기관],"서울병원"))</f>
        <v/>
      </c>
      <c r="P924" s="20">
        <f>IF($X924="","",SUMIFS(상세표[18~22시],상세표[사번키],INDEX(합계표[사번키],$X924),상세표[반영월],대상월키,상세표[반영 기관],"서울병원"))</f>
        <v/>
      </c>
      <c r="Q924" s="20">
        <f>IF($X924="","",SUMIFS(상세표[22~06시],상세표[사번키],INDEX(합계표[사번키],$X924),상세표[반영월],대상월키,상세표[반영 기관],"서울병원"))</f>
        <v/>
      </c>
      <c r="R924" s="20">
        <f>IF($X924="","",SUM($N924:$Q924))</f>
        <v/>
      </c>
      <c r="S924">
        <f>IF($X924="","",COUNTIFS(상세표[사번키],INDEX(합계표[사번키],$X924),상세표[반영월],대상월키,상세표[야간당직],1,상세표[야간 구분],"평일"))</f>
        <v/>
      </c>
      <c r="T924">
        <f>IF($X924="","",COUNTIFS(상세표[사번키],INDEX(합계표[사번키],$X924),상세표[반영월],대상월키,상세표[야간당직],1,상세표[야간 구분],"휴일"))</f>
        <v/>
      </c>
      <c r="U924">
        <f>IF($X924="","",COUNTIFS(상세표[사번키],INDEX(합계표[사번키],$X924),상세표[반영월],대상월키,상세표[야간당직],1,상세표[야간 구분],"평일",상세표[반영 기관],"서울병원"))</f>
        <v/>
      </c>
      <c r="V924">
        <f>IF($X924="","",COUNTIFS(상세표[사번키],INDEX(합계표[사번키],$X924),상세표[반영월],대상월키,상세표[야간당직],1,상세표[야간 구분],"휴일",상세표[반영 기관],"서울병원"))</f>
        <v/>
      </c>
      <c r="W924">
        <f>IF($X924="","",IF(ISNUMBER(MATCH(INDEX(합계표[사번키],$X924)&amp;"|"&amp;대상월키,월별근무지표[키],0)),"직접 입력",IF($L924="—","—","기관명단")))</f>
        <v/>
      </c>
      <c r="X924" s="4">
        <f>IFERROR(MATCH(919,합계표[판정순번],0),"")</f>
        <v/>
      </c>
    </row>
    <row r="925">
      <c r="A925">
        <f>IF($X925="","",INDEX(합계표[사번],$X925)&amp;"")</f>
        <v/>
      </c>
      <c r="B925">
        <f>IF($X925="","",INDEX(합계표[성명],$X925)&amp;"")</f>
        <v/>
      </c>
      <c r="C925">
        <f>IF($X925="","",INDEX(합계표[부서],$X925)&amp;"")</f>
        <v/>
      </c>
      <c r="D925">
        <f>IF($X925="","",INDEX(합계표[직위(요약)],$X925)&amp;"")</f>
        <v/>
      </c>
      <c r="E925">
        <f>IF($X925="","",INDEX(합계표[직급 공존],$X925)&amp;"")</f>
        <v/>
      </c>
      <c r="F925" s="20">
        <f>IF($X925="","",SUMIFS(합계표[시스템 합계],합계표[사번키],INDEX(합계표[사번키],$X925)))</f>
        <v/>
      </c>
      <c r="G925" s="20">
        <f>IF($X925="","",SUMIFS(상세표[기록 시간외],상세표[사번키],INDEX(합계표[사번키],$X925),상세표[기록월],대상월키))</f>
        <v/>
      </c>
      <c r="H925">
        <f>IF($X925="","",IF(ABS($F925-$G925)&lt;0.01,"일치","불일치(차이 "&amp;TEXT($G925-$F925,"0.00")&amp;")"))</f>
        <v/>
      </c>
      <c r="I925" s="20">
        <f>IF($X925="","",SUMIFS(상세표[기록 시간외],상세표[사번키],INDEX(합계표[사번키],$X925),상세표[기록월],대상월키,상세표[반영월],"&lt;&gt;"&amp;대상월키))</f>
        <v/>
      </c>
      <c r="J925" s="20">
        <f>IF($X925="","",SUMIFS(상세표[기록 시간외],상세표[사번키],INDEX(합계표[사번키],$X925),상세표[기록월],"&lt;&gt;"&amp;대상월키,상세표[반영월],대상월키))</f>
        <v/>
      </c>
      <c r="K925" s="20">
        <f>IF($X925="","",SUMIFS(상세표[기록 시간외],상세표[사번키],INDEX(합계표[사번키],$X925),상세표[반영월],대상월키))</f>
        <v/>
      </c>
      <c r="L925">
        <f>IF($X925="","",IFERROR(INDEX(월별근무지표[적용 급여병원],MATCH(INDEX(합계표[사번키],$X925)&amp;"|"&amp;대상월키,월별근무지표[키],0))&amp;"",IF(COUNTIF(기관표[사번키],INDEX(합계표[사번키],$X925))+COUNTIF(월별근무지표[사번키],INDEX(합계표[사번키],$X925))&gt;0,IFERROR(INDEX(기관표[급여지급병원(기준월)],MATCH(INDEX(합계표[사번키],$X925)&amp;"|"&amp;대상월키,기관표[키],0))&amp;"","—"),"—")))</f>
        <v/>
      </c>
      <c r="M925">
        <f>IF($X925="","",IF(NOT(COUNTIF(기관표[사번키],INDEX(합계표[사번키],$X925))+COUNTIF(월별근무지표[사번키],INDEX(합계표[사번키],$X925))&gt;0),"기관명단에 없음(다른 병원으로 발송)",IF($L925="서울병원","해당",IF(N($R925)&gt;0,"해당(말일 근무)",IF($L925="—","대상월 기관명단 없음(추가 필요)","비해당")))))</f>
        <v/>
      </c>
      <c r="N925" s="20">
        <f>IF($X925="","",SUMIFS(상세표[06~07시],상세표[사번키],INDEX(합계표[사번키],$X925),상세표[반영월],대상월키,상세표[반영 기관],"서울병원"))</f>
        <v/>
      </c>
      <c r="O925" s="20">
        <f>IF($X925="","",SUMIFS(상세표[07~18시],상세표[사번키],INDEX(합계표[사번키],$X925),상세표[반영월],대상월키,상세표[반영 기관],"서울병원"))</f>
        <v/>
      </c>
      <c r="P925" s="20">
        <f>IF($X925="","",SUMIFS(상세표[18~22시],상세표[사번키],INDEX(합계표[사번키],$X925),상세표[반영월],대상월키,상세표[반영 기관],"서울병원"))</f>
        <v/>
      </c>
      <c r="Q925" s="20">
        <f>IF($X925="","",SUMIFS(상세표[22~06시],상세표[사번키],INDEX(합계표[사번키],$X925),상세표[반영월],대상월키,상세표[반영 기관],"서울병원"))</f>
        <v/>
      </c>
      <c r="R925" s="20">
        <f>IF($X925="","",SUM($N925:$Q925))</f>
        <v/>
      </c>
      <c r="S925">
        <f>IF($X925="","",COUNTIFS(상세표[사번키],INDEX(합계표[사번키],$X925),상세표[반영월],대상월키,상세표[야간당직],1,상세표[야간 구분],"평일"))</f>
        <v/>
      </c>
      <c r="T925">
        <f>IF($X925="","",COUNTIFS(상세표[사번키],INDEX(합계표[사번키],$X925),상세표[반영월],대상월키,상세표[야간당직],1,상세표[야간 구분],"휴일"))</f>
        <v/>
      </c>
      <c r="U925">
        <f>IF($X925="","",COUNTIFS(상세표[사번키],INDEX(합계표[사번키],$X925),상세표[반영월],대상월키,상세표[야간당직],1,상세표[야간 구분],"평일",상세표[반영 기관],"서울병원"))</f>
        <v/>
      </c>
      <c r="V925">
        <f>IF($X925="","",COUNTIFS(상세표[사번키],INDEX(합계표[사번키],$X925),상세표[반영월],대상월키,상세표[야간당직],1,상세표[야간 구분],"휴일",상세표[반영 기관],"서울병원"))</f>
        <v/>
      </c>
      <c r="W925">
        <f>IF($X925="","",IF(ISNUMBER(MATCH(INDEX(합계표[사번키],$X925)&amp;"|"&amp;대상월키,월별근무지표[키],0)),"직접 입력",IF($L925="—","—","기관명단")))</f>
        <v/>
      </c>
      <c r="X925" s="4">
        <f>IFERROR(MATCH(920,합계표[판정순번],0),"")</f>
        <v/>
      </c>
    </row>
    <row r="926">
      <c r="A926">
        <f>IF($X926="","",INDEX(합계표[사번],$X926)&amp;"")</f>
        <v/>
      </c>
      <c r="B926">
        <f>IF($X926="","",INDEX(합계표[성명],$X926)&amp;"")</f>
        <v/>
      </c>
      <c r="C926">
        <f>IF($X926="","",INDEX(합계표[부서],$X926)&amp;"")</f>
        <v/>
      </c>
      <c r="D926">
        <f>IF($X926="","",INDEX(합계표[직위(요약)],$X926)&amp;"")</f>
        <v/>
      </c>
      <c r="E926">
        <f>IF($X926="","",INDEX(합계표[직급 공존],$X926)&amp;"")</f>
        <v/>
      </c>
      <c r="F926" s="20">
        <f>IF($X926="","",SUMIFS(합계표[시스템 합계],합계표[사번키],INDEX(합계표[사번키],$X926)))</f>
        <v/>
      </c>
      <c r="G926" s="20">
        <f>IF($X926="","",SUMIFS(상세표[기록 시간외],상세표[사번키],INDEX(합계표[사번키],$X926),상세표[기록월],대상월키))</f>
        <v/>
      </c>
      <c r="H926">
        <f>IF($X926="","",IF(ABS($F926-$G926)&lt;0.01,"일치","불일치(차이 "&amp;TEXT($G926-$F926,"0.00")&amp;")"))</f>
        <v/>
      </c>
      <c r="I926" s="20">
        <f>IF($X926="","",SUMIFS(상세표[기록 시간외],상세표[사번키],INDEX(합계표[사번키],$X926),상세표[기록월],대상월키,상세표[반영월],"&lt;&gt;"&amp;대상월키))</f>
        <v/>
      </c>
      <c r="J926" s="20">
        <f>IF($X926="","",SUMIFS(상세표[기록 시간외],상세표[사번키],INDEX(합계표[사번키],$X926),상세표[기록월],"&lt;&gt;"&amp;대상월키,상세표[반영월],대상월키))</f>
        <v/>
      </c>
      <c r="K926" s="20">
        <f>IF($X926="","",SUMIFS(상세표[기록 시간외],상세표[사번키],INDEX(합계표[사번키],$X926),상세표[반영월],대상월키))</f>
        <v/>
      </c>
      <c r="L926">
        <f>IF($X926="","",IFERROR(INDEX(월별근무지표[적용 급여병원],MATCH(INDEX(합계표[사번키],$X926)&amp;"|"&amp;대상월키,월별근무지표[키],0))&amp;"",IF(COUNTIF(기관표[사번키],INDEX(합계표[사번키],$X926))+COUNTIF(월별근무지표[사번키],INDEX(합계표[사번키],$X926))&gt;0,IFERROR(INDEX(기관표[급여지급병원(기준월)],MATCH(INDEX(합계표[사번키],$X926)&amp;"|"&amp;대상월키,기관표[키],0))&amp;"","—"),"—")))</f>
        <v/>
      </c>
      <c r="M926">
        <f>IF($X926="","",IF(NOT(COUNTIF(기관표[사번키],INDEX(합계표[사번키],$X926))+COUNTIF(월별근무지표[사번키],INDEX(합계표[사번키],$X926))&gt;0),"기관명단에 없음(다른 병원으로 발송)",IF($L926="서울병원","해당",IF(N($R926)&gt;0,"해당(말일 근무)",IF($L926="—","대상월 기관명단 없음(추가 필요)","비해당")))))</f>
        <v/>
      </c>
      <c r="N926" s="20">
        <f>IF($X926="","",SUMIFS(상세표[06~07시],상세표[사번키],INDEX(합계표[사번키],$X926),상세표[반영월],대상월키,상세표[반영 기관],"서울병원"))</f>
        <v/>
      </c>
      <c r="O926" s="20">
        <f>IF($X926="","",SUMIFS(상세표[07~18시],상세표[사번키],INDEX(합계표[사번키],$X926),상세표[반영월],대상월키,상세표[반영 기관],"서울병원"))</f>
        <v/>
      </c>
      <c r="P926" s="20">
        <f>IF($X926="","",SUMIFS(상세표[18~22시],상세표[사번키],INDEX(합계표[사번키],$X926),상세표[반영월],대상월키,상세표[반영 기관],"서울병원"))</f>
        <v/>
      </c>
      <c r="Q926" s="20">
        <f>IF($X926="","",SUMIFS(상세표[22~06시],상세표[사번키],INDEX(합계표[사번키],$X926),상세표[반영월],대상월키,상세표[반영 기관],"서울병원"))</f>
        <v/>
      </c>
      <c r="R926" s="20">
        <f>IF($X926="","",SUM($N926:$Q926))</f>
        <v/>
      </c>
      <c r="S926">
        <f>IF($X926="","",COUNTIFS(상세표[사번키],INDEX(합계표[사번키],$X926),상세표[반영월],대상월키,상세표[야간당직],1,상세표[야간 구분],"평일"))</f>
        <v/>
      </c>
      <c r="T926">
        <f>IF($X926="","",COUNTIFS(상세표[사번키],INDEX(합계표[사번키],$X926),상세표[반영월],대상월키,상세표[야간당직],1,상세표[야간 구분],"휴일"))</f>
        <v/>
      </c>
      <c r="U926">
        <f>IF($X926="","",COUNTIFS(상세표[사번키],INDEX(합계표[사번키],$X926),상세표[반영월],대상월키,상세표[야간당직],1,상세표[야간 구분],"평일",상세표[반영 기관],"서울병원"))</f>
        <v/>
      </c>
      <c r="V926">
        <f>IF($X926="","",COUNTIFS(상세표[사번키],INDEX(합계표[사번키],$X926),상세표[반영월],대상월키,상세표[야간당직],1,상세표[야간 구분],"휴일",상세표[반영 기관],"서울병원"))</f>
        <v/>
      </c>
      <c r="W926">
        <f>IF($X926="","",IF(ISNUMBER(MATCH(INDEX(합계표[사번키],$X926)&amp;"|"&amp;대상월키,월별근무지표[키],0)),"직접 입력",IF($L926="—","—","기관명단")))</f>
        <v/>
      </c>
      <c r="X926" s="4">
        <f>IFERROR(MATCH(921,합계표[판정순번],0),"")</f>
        <v/>
      </c>
    </row>
    <row r="927">
      <c r="A927">
        <f>IF($X927="","",INDEX(합계표[사번],$X927)&amp;"")</f>
        <v/>
      </c>
      <c r="B927">
        <f>IF($X927="","",INDEX(합계표[성명],$X927)&amp;"")</f>
        <v/>
      </c>
      <c r="C927">
        <f>IF($X927="","",INDEX(합계표[부서],$X927)&amp;"")</f>
        <v/>
      </c>
      <c r="D927">
        <f>IF($X927="","",INDEX(합계표[직위(요약)],$X927)&amp;"")</f>
        <v/>
      </c>
      <c r="E927">
        <f>IF($X927="","",INDEX(합계표[직급 공존],$X927)&amp;"")</f>
        <v/>
      </c>
      <c r="F927" s="20">
        <f>IF($X927="","",SUMIFS(합계표[시스템 합계],합계표[사번키],INDEX(합계표[사번키],$X927)))</f>
        <v/>
      </c>
      <c r="G927" s="20">
        <f>IF($X927="","",SUMIFS(상세표[기록 시간외],상세표[사번키],INDEX(합계표[사번키],$X927),상세표[기록월],대상월키))</f>
        <v/>
      </c>
      <c r="H927">
        <f>IF($X927="","",IF(ABS($F927-$G927)&lt;0.01,"일치","불일치(차이 "&amp;TEXT($G927-$F927,"0.00")&amp;")"))</f>
        <v/>
      </c>
      <c r="I927" s="20">
        <f>IF($X927="","",SUMIFS(상세표[기록 시간외],상세표[사번키],INDEX(합계표[사번키],$X927),상세표[기록월],대상월키,상세표[반영월],"&lt;&gt;"&amp;대상월키))</f>
        <v/>
      </c>
      <c r="J927" s="20">
        <f>IF($X927="","",SUMIFS(상세표[기록 시간외],상세표[사번키],INDEX(합계표[사번키],$X927),상세표[기록월],"&lt;&gt;"&amp;대상월키,상세표[반영월],대상월키))</f>
        <v/>
      </c>
      <c r="K927" s="20">
        <f>IF($X927="","",SUMIFS(상세표[기록 시간외],상세표[사번키],INDEX(합계표[사번키],$X927),상세표[반영월],대상월키))</f>
        <v/>
      </c>
      <c r="L927">
        <f>IF($X927="","",IFERROR(INDEX(월별근무지표[적용 급여병원],MATCH(INDEX(합계표[사번키],$X927)&amp;"|"&amp;대상월키,월별근무지표[키],0))&amp;"",IF(COUNTIF(기관표[사번키],INDEX(합계표[사번키],$X927))+COUNTIF(월별근무지표[사번키],INDEX(합계표[사번키],$X927))&gt;0,IFERROR(INDEX(기관표[급여지급병원(기준월)],MATCH(INDEX(합계표[사번키],$X927)&amp;"|"&amp;대상월키,기관표[키],0))&amp;"","—"),"—")))</f>
        <v/>
      </c>
      <c r="M927">
        <f>IF($X927="","",IF(NOT(COUNTIF(기관표[사번키],INDEX(합계표[사번키],$X927))+COUNTIF(월별근무지표[사번키],INDEX(합계표[사번키],$X927))&gt;0),"기관명단에 없음(다른 병원으로 발송)",IF($L927="서울병원","해당",IF(N($R927)&gt;0,"해당(말일 근무)",IF($L927="—","대상월 기관명단 없음(추가 필요)","비해당")))))</f>
        <v/>
      </c>
      <c r="N927" s="20">
        <f>IF($X927="","",SUMIFS(상세표[06~07시],상세표[사번키],INDEX(합계표[사번키],$X927),상세표[반영월],대상월키,상세표[반영 기관],"서울병원"))</f>
        <v/>
      </c>
      <c r="O927" s="20">
        <f>IF($X927="","",SUMIFS(상세표[07~18시],상세표[사번키],INDEX(합계표[사번키],$X927),상세표[반영월],대상월키,상세표[반영 기관],"서울병원"))</f>
        <v/>
      </c>
      <c r="P927" s="20">
        <f>IF($X927="","",SUMIFS(상세표[18~22시],상세표[사번키],INDEX(합계표[사번키],$X927),상세표[반영월],대상월키,상세표[반영 기관],"서울병원"))</f>
        <v/>
      </c>
      <c r="Q927" s="20">
        <f>IF($X927="","",SUMIFS(상세표[22~06시],상세표[사번키],INDEX(합계표[사번키],$X927),상세표[반영월],대상월키,상세표[반영 기관],"서울병원"))</f>
        <v/>
      </c>
      <c r="R927" s="20">
        <f>IF($X927="","",SUM($N927:$Q927))</f>
        <v/>
      </c>
      <c r="S927">
        <f>IF($X927="","",COUNTIFS(상세표[사번키],INDEX(합계표[사번키],$X927),상세표[반영월],대상월키,상세표[야간당직],1,상세표[야간 구분],"평일"))</f>
        <v/>
      </c>
      <c r="T927">
        <f>IF($X927="","",COUNTIFS(상세표[사번키],INDEX(합계표[사번키],$X927),상세표[반영월],대상월키,상세표[야간당직],1,상세표[야간 구분],"휴일"))</f>
        <v/>
      </c>
      <c r="U927">
        <f>IF($X927="","",COUNTIFS(상세표[사번키],INDEX(합계표[사번키],$X927),상세표[반영월],대상월키,상세표[야간당직],1,상세표[야간 구분],"평일",상세표[반영 기관],"서울병원"))</f>
        <v/>
      </c>
      <c r="V927">
        <f>IF($X927="","",COUNTIFS(상세표[사번키],INDEX(합계표[사번키],$X927),상세표[반영월],대상월키,상세표[야간당직],1,상세표[야간 구분],"휴일",상세표[반영 기관],"서울병원"))</f>
        <v/>
      </c>
      <c r="W927">
        <f>IF($X927="","",IF(ISNUMBER(MATCH(INDEX(합계표[사번키],$X927)&amp;"|"&amp;대상월키,월별근무지표[키],0)),"직접 입력",IF($L927="—","—","기관명단")))</f>
        <v/>
      </c>
      <c r="X927" s="4">
        <f>IFERROR(MATCH(922,합계표[판정순번],0),"")</f>
        <v/>
      </c>
    </row>
    <row r="928">
      <c r="A928">
        <f>IF($X928="","",INDEX(합계표[사번],$X928)&amp;"")</f>
        <v/>
      </c>
      <c r="B928">
        <f>IF($X928="","",INDEX(합계표[성명],$X928)&amp;"")</f>
        <v/>
      </c>
      <c r="C928">
        <f>IF($X928="","",INDEX(합계표[부서],$X928)&amp;"")</f>
        <v/>
      </c>
      <c r="D928">
        <f>IF($X928="","",INDEX(합계표[직위(요약)],$X928)&amp;"")</f>
        <v/>
      </c>
      <c r="E928">
        <f>IF($X928="","",INDEX(합계표[직급 공존],$X928)&amp;"")</f>
        <v/>
      </c>
      <c r="F928" s="20">
        <f>IF($X928="","",SUMIFS(합계표[시스템 합계],합계표[사번키],INDEX(합계표[사번키],$X928)))</f>
        <v/>
      </c>
      <c r="G928" s="20">
        <f>IF($X928="","",SUMIFS(상세표[기록 시간외],상세표[사번키],INDEX(합계표[사번키],$X928),상세표[기록월],대상월키))</f>
        <v/>
      </c>
      <c r="H928">
        <f>IF($X928="","",IF(ABS($F928-$G928)&lt;0.01,"일치","불일치(차이 "&amp;TEXT($G928-$F928,"0.00")&amp;")"))</f>
        <v/>
      </c>
      <c r="I928" s="20">
        <f>IF($X928="","",SUMIFS(상세표[기록 시간외],상세표[사번키],INDEX(합계표[사번키],$X928),상세표[기록월],대상월키,상세표[반영월],"&lt;&gt;"&amp;대상월키))</f>
        <v/>
      </c>
      <c r="J928" s="20">
        <f>IF($X928="","",SUMIFS(상세표[기록 시간외],상세표[사번키],INDEX(합계표[사번키],$X928),상세표[기록월],"&lt;&gt;"&amp;대상월키,상세표[반영월],대상월키))</f>
        <v/>
      </c>
      <c r="K928" s="20">
        <f>IF($X928="","",SUMIFS(상세표[기록 시간외],상세표[사번키],INDEX(합계표[사번키],$X928),상세표[반영월],대상월키))</f>
        <v/>
      </c>
      <c r="L928">
        <f>IF($X928="","",IFERROR(INDEX(월별근무지표[적용 급여병원],MATCH(INDEX(합계표[사번키],$X928)&amp;"|"&amp;대상월키,월별근무지표[키],0))&amp;"",IF(COUNTIF(기관표[사번키],INDEX(합계표[사번키],$X928))+COUNTIF(월별근무지표[사번키],INDEX(합계표[사번키],$X928))&gt;0,IFERROR(INDEX(기관표[급여지급병원(기준월)],MATCH(INDEX(합계표[사번키],$X928)&amp;"|"&amp;대상월키,기관표[키],0))&amp;"","—"),"—")))</f>
        <v/>
      </c>
      <c r="M928">
        <f>IF($X928="","",IF(NOT(COUNTIF(기관표[사번키],INDEX(합계표[사번키],$X928))+COUNTIF(월별근무지표[사번키],INDEX(합계표[사번키],$X928))&gt;0),"기관명단에 없음(다른 병원으로 발송)",IF($L928="서울병원","해당",IF(N($R928)&gt;0,"해당(말일 근무)",IF($L928="—","대상월 기관명단 없음(추가 필요)","비해당")))))</f>
        <v/>
      </c>
      <c r="N928" s="20">
        <f>IF($X928="","",SUMIFS(상세표[06~07시],상세표[사번키],INDEX(합계표[사번키],$X928),상세표[반영월],대상월키,상세표[반영 기관],"서울병원"))</f>
        <v/>
      </c>
      <c r="O928" s="20">
        <f>IF($X928="","",SUMIFS(상세표[07~18시],상세표[사번키],INDEX(합계표[사번키],$X928),상세표[반영월],대상월키,상세표[반영 기관],"서울병원"))</f>
        <v/>
      </c>
      <c r="P928" s="20">
        <f>IF($X928="","",SUMIFS(상세표[18~22시],상세표[사번키],INDEX(합계표[사번키],$X928),상세표[반영월],대상월키,상세표[반영 기관],"서울병원"))</f>
        <v/>
      </c>
      <c r="Q928" s="20">
        <f>IF($X928="","",SUMIFS(상세표[22~06시],상세표[사번키],INDEX(합계표[사번키],$X928),상세표[반영월],대상월키,상세표[반영 기관],"서울병원"))</f>
        <v/>
      </c>
      <c r="R928" s="20">
        <f>IF($X928="","",SUM($N928:$Q928))</f>
        <v/>
      </c>
      <c r="S928">
        <f>IF($X928="","",COUNTIFS(상세표[사번키],INDEX(합계표[사번키],$X928),상세표[반영월],대상월키,상세표[야간당직],1,상세표[야간 구분],"평일"))</f>
        <v/>
      </c>
      <c r="T928">
        <f>IF($X928="","",COUNTIFS(상세표[사번키],INDEX(합계표[사번키],$X928),상세표[반영월],대상월키,상세표[야간당직],1,상세표[야간 구분],"휴일"))</f>
        <v/>
      </c>
      <c r="U928">
        <f>IF($X928="","",COUNTIFS(상세표[사번키],INDEX(합계표[사번키],$X928),상세표[반영월],대상월키,상세표[야간당직],1,상세표[야간 구분],"평일",상세표[반영 기관],"서울병원"))</f>
        <v/>
      </c>
      <c r="V928">
        <f>IF($X928="","",COUNTIFS(상세표[사번키],INDEX(합계표[사번키],$X928),상세표[반영월],대상월키,상세표[야간당직],1,상세표[야간 구분],"휴일",상세표[반영 기관],"서울병원"))</f>
        <v/>
      </c>
      <c r="W928">
        <f>IF($X928="","",IF(ISNUMBER(MATCH(INDEX(합계표[사번키],$X928)&amp;"|"&amp;대상월키,월별근무지표[키],0)),"직접 입력",IF($L928="—","—","기관명단")))</f>
        <v/>
      </c>
      <c r="X928" s="4">
        <f>IFERROR(MATCH(923,합계표[판정순번],0),"")</f>
        <v/>
      </c>
    </row>
    <row r="929">
      <c r="A929">
        <f>IF($X929="","",INDEX(합계표[사번],$X929)&amp;"")</f>
        <v/>
      </c>
      <c r="B929">
        <f>IF($X929="","",INDEX(합계표[성명],$X929)&amp;"")</f>
        <v/>
      </c>
      <c r="C929">
        <f>IF($X929="","",INDEX(합계표[부서],$X929)&amp;"")</f>
        <v/>
      </c>
      <c r="D929">
        <f>IF($X929="","",INDEX(합계표[직위(요약)],$X929)&amp;"")</f>
        <v/>
      </c>
      <c r="E929">
        <f>IF($X929="","",INDEX(합계표[직급 공존],$X929)&amp;"")</f>
        <v/>
      </c>
      <c r="F929" s="20">
        <f>IF($X929="","",SUMIFS(합계표[시스템 합계],합계표[사번키],INDEX(합계표[사번키],$X929)))</f>
        <v/>
      </c>
      <c r="G929" s="20">
        <f>IF($X929="","",SUMIFS(상세표[기록 시간외],상세표[사번키],INDEX(합계표[사번키],$X929),상세표[기록월],대상월키))</f>
        <v/>
      </c>
      <c r="H929">
        <f>IF($X929="","",IF(ABS($F929-$G929)&lt;0.01,"일치","불일치(차이 "&amp;TEXT($G929-$F929,"0.00")&amp;")"))</f>
        <v/>
      </c>
      <c r="I929" s="20">
        <f>IF($X929="","",SUMIFS(상세표[기록 시간외],상세표[사번키],INDEX(합계표[사번키],$X929),상세표[기록월],대상월키,상세표[반영월],"&lt;&gt;"&amp;대상월키))</f>
        <v/>
      </c>
      <c r="J929" s="20">
        <f>IF($X929="","",SUMIFS(상세표[기록 시간외],상세표[사번키],INDEX(합계표[사번키],$X929),상세표[기록월],"&lt;&gt;"&amp;대상월키,상세표[반영월],대상월키))</f>
        <v/>
      </c>
      <c r="K929" s="20">
        <f>IF($X929="","",SUMIFS(상세표[기록 시간외],상세표[사번키],INDEX(합계표[사번키],$X929),상세표[반영월],대상월키))</f>
        <v/>
      </c>
      <c r="L929">
        <f>IF($X929="","",IFERROR(INDEX(월별근무지표[적용 급여병원],MATCH(INDEX(합계표[사번키],$X929)&amp;"|"&amp;대상월키,월별근무지표[키],0))&amp;"",IF(COUNTIF(기관표[사번키],INDEX(합계표[사번키],$X929))+COUNTIF(월별근무지표[사번키],INDEX(합계표[사번키],$X929))&gt;0,IFERROR(INDEX(기관표[급여지급병원(기준월)],MATCH(INDEX(합계표[사번키],$X929)&amp;"|"&amp;대상월키,기관표[키],0))&amp;"","—"),"—")))</f>
        <v/>
      </c>
      <c r="M929">
        <f>IF($X929="","",IF(NOT(COUNTIF(기관표[사번키],INDEX(합계표[사번키],$X929))+COUNTIF(월별근무지표[사번키],INDEX(합계표[사번키],$X929))&gt;0),"기관명단에 없음(다른 병원으로 발송)",IF($L929="서울병원","해당",IF(N($R929)&gt;0,"해당(말일 근무)",IF($L929="—","대상월 기관명단 없음(추가 필요)","비해당")))))</f>
        <v/>
      </c>
      <c r="N929" s="20">
        <f>IF($X929="","",SUMIFS(상세표[06~07시],상세표[사번키],INDEX(합계표[사번키],$X929),상세표[반영월],대상월키,상세표[반영 기관],"서울병원"))</f>
        <v/>
      </c>
      <c r="O929" s="20">
        <f>IF($X929="","",SUMIFS(상세표[07~18시],상세표[사번키],INDEX(합계표[사번키],$X929),상세표[반영월],대상월키,상세표[반영 기관],"서울병원"))</f>
        <v/>
      </c>
      <c r="P929" s="20">
        <f>IF($X929="","",SUMIFS(상세표[18~22시],상세표[사번키],INDEX(합계표[사번키],$X929),상세표[반영월],대상월키,상세표[반영 기관],"서울병원"))</f>
        <v/>
      </c>
      <c r="Q929" s="20">
        <f>IF($X929="","",SUMIFS(상세표[22~06시],상세표[사번키],INDEX(합계표[사번키],$X929),상세표[반영월],대상월키,상세표[반영 기관],"서울병원"))</f>
        <v/>
      </c>
      <c r="R929" s="20">
        <f>IF($X929="","",SUM($N929:$Q929))</f>
        <v/>
      </c>
      <c r="S929">
        <f>IF($X929="","",COUNTIFS(상세표[사번키],INDEX(합계표[사번키],$X929),상세표[반영월],대상월키,상세표[야간당직],1,상세표[야간 구분],"평일"))</f>
        <v/>
      </c>
      <c r="T929">
        <f>IF($X929="","",COUNTIFS(상세표[사번키],INDEX(합계표[사번키],$X929),상세표[반영월],대상월키,상세표[야간당직],1,상세표[야간 구분],"휴일"))</f>
        <v/>
      </c>
      <c r="U929">
        <f>IF($X929="","",COUNTIFS(상세표[사번키],INDEX(합계표[사번키],$X929),상세표[반영월],대상월키,상세표[야간당직],1,상세표[야간 구분],"평일",상세표[반영 기관],"서울병원"))</f>
        <v/>
      </c>
      <c r="V929">
        <f>IF($X929="","",COUNTIFS(상세표[사번키],INDEX(합계표[사번키],$X929),상세표[반영월],대상월키,상세표[야간당직],1,상세표[야간 구분],"휴일",상세표[반영 기관],"서울병원"))</f>
        <v/>
      </c>
      <c r="W929">
        <f>IF($X929="","",IF(ISNUMBER(MATCH(INDEX(합계표[사번키],$X929)&amp;"|"&amp;대상월키,월별근무지표[키],0)),"직접 입력",IF($L929="—","—","기관명단")))</f>
        <v/>
      </c>
      <c r="X929" s="4">
        <f>IFERROR(MATCH(924,합계표[판정순번],0),"")</f>
        <v/>
      </c>
    </row>
    <row r="930">
      <c r="A930">
        <f>IF($X930="","",INDEX(합계표[사번],$X930)&amp;"")</f>
        <v/>
      </c>
      <c r="B930">
        <f>IF($X930="","",INDEX(합계표[성명],$X930)&amp;"")</f>
        <v/>
      </c>
      <c r="C930">
        <f>IF($X930="","",INDEX(합계표[부서],$X930)&amp;"")</f>
        <v/>
      </c>
      <c r="D930">
        <f>IF($X930="","",INDEX(합계표[직위(요약)],$X930)&amp;"")</f>
        <v/>
      </c>
      <c r="E930">
        <f>IF($X930="","",INDEX(합계표[직급 공존],$X930)&amp;"")</f>
        <v/>
      </c>
      <c r="F930" s="20">
        <f>IF($X930="","",SUMIFS(합계표[시스템 합계],합계표[사번키],INDEX(합계표[사번키],$X930)))</f>
        <v/>
      </c>
      <c r="G930" s="20">
        <f>IF($X930="","",SUMIFS(상세표[기록 시간외],상세표[사번키],INDEX(합계표[사번키],$X930),상세표[기록월],대상월키))</f>
        <v/>
      </c>
      <c r="H930">
        <f>IF($X930="","",IF(ABS($F930-$G930)&lt;0.01,"일치","불일치(차이 "&amp;TEXT($G930-$F930,"0.00")&amp;")"))</f>
        <v/>
      </c>
      <c r="I930" s="20">
        <f>IF($X930="","",SUMIFS(상세표[기록 시간외],상세표[사번키],INDEX(합계표[사번키],$X930),상세표[기록월],대상월키,상세표[반영월],"&lt;&gt;"&amp;대상월키))</f>
        <v/>
      </c>
      <c r="J930" s="20">
        <f>IF($X930="","",SUMIFS(상세표[기록 시간외],상세표[사번키],INDEX(합계표[사번키],$X930),상세표[기록월],"&lt;&gt;"&amp;대상월키,상세표[반영월],대상월키))</f>
        <v/>
      </c>
      <c r="K930" s="20">
        <f>IF($X930="","",SUMIFS(상세표[기록 시간외],상세표[사번키],INDEX(합계표[사번키],$X930),상세표[반영월],대상월키))</f>
        <v/>
      </c>
      <c r="L930">
        <f>IF($X930="","",IFERROR(INDEX(월별근무지표[적용 급여병원],MATCH(INDEX(합계표[사번키],$X930)&amp;"|"&amp;대상월키,월별근무지표[키],0))&amp;"",IF(COUNTIF(기관표[사번키],INDEX(합계표[사번키],$X930))+COUNTIF(월별근무지표[사번키],INDEX(합계표[사번키],$X930))&gt;0,IFERROR(INDEX(기관표[급여지급병원(기준월)],MATCH(INDEX(합계표[사번키],$X930)&amp;"|"&amp;대상월키,기관표[키],0))&amp;"","—"),"—")))</f>
        <v/>
      </c>
      <c r="M930">
        <f>IF($X930="","",IF(NOT(COUNTIF(기관표[사번키],INDEX(합계표[사번키],$X930))+COUNTIF(월별근무지표[사번키],INDEX(합계표[사번키],$X930))&gt;0),"기관명단에 없음(다른 병원으로 발송)",IF($L930="서울병원","해당",IF(N($R930)&gt;0,"해당(말일 근무)",IF($L930="—","대상월 기관명단 없음(추가 필요)","비해당")))))</f>
        <v/>
      </c>
      <c r="N930" s="20">
        <f>IF($X930="","",SUMIFS(상세표[06~07시],상세표[사번키],INDEX(합계표[사번키],$X930),상세표[반영월],대상월키,상세표[반영 기관],"서울병원"))</f>
        <v/>
      </c>
      <c r="O930" s="20">
        <f>IF($X930="","",SUMIFS(상세표[07~18시],상세표[사번키],INDEX(합계표[사번키],$X930),상세표[반영월],대상월키,상세표[반영 기관],"서울병원"))</f>
        <v/>
      </c>
      <c r="P930" s="20">
        <f>IF($X930="","",SUMIFS(상세표[18~22시],상세표[사번키],INDEX(합계표[사번키],$X930),상세표[반영월],대상월키,상세표[반영 기관],"서울병원"))</f>
        <v/>
      </c>
      <c r="Q930" s="20">
        <f>IF($X930="","",SUMIFS(상세표[22~06시],상세표[사번키],INDEX(합계표[사번키],$X930),상세표[반영월],대상월키,상세표[반영 기관],"서울병원"))</f>
        <v/>
      </c>
      <c r="R930" s="20">
        <f>IF($X930="","",SUM($N930:$Q930))</f>
        <v/>
      </c>
      <c r="S930">
        <f>IF($X930="","",COUNTIFS(상세표[사번키],INDEX(합계표[사번키],$X930),상세표[반영월],대상월키,상세표[야간당직],1,상세표[야간 구분],"평일"))</f>
        <v/>
      </c>
      <c r="T930">
        <f>IF($X930="","",COUNTIFS(상세표[사번키],INDEX(합계표[사번키],$X930),상세표[반영월],대상월키,상세표[야간당직],1,상세표[야간 구분],"휴일"))</f>
        <v/>
      </c>
      <c r="U930">
        <f>IF($X930="","",COUNTIFS(상세표[사번키],INDEX(합계표[사번키],$X930),상세표[반영월],대상월키,상세표[야간당직],1,상세표[야간 구분],"평일",상세표[반영 기관],"서울병원"))</f>
        <v/>
      </c>
      <c r="V930">
        <f>IF($X930="","",COUNTIFS(상세표[사번키],INDEX(합계표[사번키],$X930),상세표[반영월],대상월키,상세표[야간당직],1,상세표[야간 구분],"휴일",상세표[반영 기관],"서울병원"))</f>
        <v/>
      </c>
      <c r="W930">
        <f>IF($X930="","",IF(ISNUMBER(MATCH(INDEX(합계표[사번키],$X930)&amp;"|"&amp;대상월키,월별근무지표[키],0)),"직접 입력",IF($L930="—","—","기관명단")))</f>
        <v/>
      </c>
      <c r="X930" s="4">
        <f>IFERROR(MATCH(925,합계표[판정순번],0),"")</f>
        <v/>
      </c>
    </row>
    <row r="931">
      <c r="A931">
        <f>IF($X931="","",INDEX(합계표[사번],$X931)&amp;"")</f>
        <v/>
      </c>
      <c r="B931">
        <f>IF($X931="","",INDEX(합계표[성명],$X931)&amp;"")</f>
        <v/>
      </c>
      <c r="C931">
        <f>IF($X931="","",INDEX(합계표[부서],$X931)&amp;"")</f>
        <v/>
      </c>
      <c r="D931">
        <f>IF($X931="","",INDEX(합계표[직위(요약)],$X931)&amp;"")</f>
        <v/>
      </c>
      <c r="E931">
        <f>IF($X931="","",INDEX(합계표[직급 공존],$X931)&amp;"")</f>
        <v/>
      </c>
      <c r="F931" s="20">
        <f>IF($X931="","",SUMIFS(합계표[시스템 합계],합계표[사번키],INDEX(합계표[사번키],$X931)))</f>
        <v/>
      </c>
      <c r="G931" s="20">
        <f>IF($X931="","",SUMIFS(상세표[기록 시간외],상세표[사번키],INDEX(합계표[사번키],$X931),상세표[기록월],대상월키))</f>
        <v/>
      </c>
      <c r="H931">
        <f>IF($X931="","",IF(ABS($F931-$G931)&lt;0.01,"일치","불일치(차이 "&amp;TEXT($G931-$F931,"0.00")&amp;")"))</f>
        <v/>
      </c>
      <c r="I931" s="20">
        <f>IF($X931="","",SUMIFS(상세표[기록 시간외],상세표[사번키],INDEX(합계표[사번키],$X931),상세표[기록월],대상월키,상세표[반영월],"&lt;&gt;"&amp;대상월키))</f>
        <v/>
      </c>
      <c r="J931" s="20">
        <f>IF($X931="","",SUMIFS(상세표[기록 시간외],상세표[사번키],INDEX(합계표[사번키],$X931),상세표[기록월],"&lt;&gt;"&amp;대상월키,상세표[반영월],대상월키))</f>
        <v/>
      </c>
      <c r="K931" s="20">
        <f>IF($X931="","",SUMIFS(상세표[기록 시간외],상세표[사번키],INDEX(합계표[사번키],$X931),상세표[반영월],대상월키))</f>
        <v/>
      </c>
      <c r="L931">
        <f>IF($X931="","",IFERROR(INDEX(월별근무지표[적용 급여병원],MATCH(INDEX(합계표[사번키],$X931)&amp;"|"&amp;대상월키,월별근무지표[키],0))&amp;"",IF(COUNTIF(기관표[사번키],INDEX(합계표[사번키],$X931))+COUNTIF(월별근무지표[사번키],INDEX(합계표[사번키],$X931))&gt;0,IFERROR(INDEX(기관표[급여지급병원(기준월)],MATCH(INDEX(합계표[사번키],$X931)&amp;"|"&amp;대상월키,기관표[키],0))&amp;"","—"),"—")))</f>
        <v/>
      </c>
      <c r="M931">
        <f>IF($X931="","",IF(NOT(COUNTIF(기관표[사번키],INDEX(합계표[사번키],$X931))+COUNTIF(월별근무지표[사번키],INDEX(합계표[사번키],$X931))&gt;0),"기관명단에 없음(다른 병원으로 발송)",IF($L931="서울병원","해당",IF(N($R931)&gt;0,"해당(말일 근무)",IF($L931="—","대상월 기관명단 없음(추가 필요)","비해당")))))</f>
        <v/>
      </c>
      <c r="N931" s="20">
        <f>IF($X931="","",SUMIFS(상세표[06~07시],상세표[사번키],INDEX(합계표[사번키],$X931),상세표[반영월],대상월키,상세표[반영 기관],"서울병원"))</f>
        <v/>
      </c>
      <c r="O931" s="20">
        <f>IF($X931="","",SUMIFS(상세표[07~18시],상세표[사번키],INDEX(합계표[사번키],$X931),상세표[반영월],대상월키,상세표[반영 기관],"서울병원"))</f>
        <v/>
      </c>
      <c r="P931" s="20">
        <f>IF($X931="","",SUMIFS(상세표[18~22시],상세표[사번키],INDEX(합계표[사번키],$X931),상세표[반영월],대상월키,상세표[반영 기관],"서울병원"))</f>
        <v/>
      </c>
      <c r="Q931" s="20">
        <f>IF($X931="","",SUMIFS(상세표[22~06시],상세표[사번키],INDEX(합계표[사번키],$X931),상세표[반영월],대상월키,상세표[반영 기관],"서울병원"))</f>
        <v/>
      </c>
      <c r="R931" s="20">
        <f>IF($X931="","",SUM($N931:$Q931))</f>
        <v/>
      </c>
      <c r="S931">
        <f>IF($X931="","",COUNTIFS(상세표[사번키],INDEX(합계표[사번키],$X931),상세표[반영월],대상월키,상세표[야간당직],1,상세표[야간 구분],"평일"))</f>
        <v/>
      </c>
      <c r="T931">
        <f>IF($X931="","",COUNTIFS(상세표[사번키],INDEX(합계표[사번키],$X931),상세표[반영월],대상월키,상세표[야간당직],1,상세표[야간 구분],"휴일"))</f>
        <v/>
      </c>
      <c r="U931">
        <f>IF($X931="","",COUNTIFS(상세표[사번키],INDEX(합계표[사번키],$X931),상세표[반영월],대상월키,상세표[야간당직],1,상세표[야간 구분],"평일",상세표[반영 기관],"서울병원"))</f>
        <v/>
      </c>
      <c r="V931">
        <f>IF($X931="","",COUNTIFS(상세표[사번키],INDEX(합계표[사번키],$X931),상세표[반영월],대상월키,상세표[야간당직],1,상세표[야간 구분],"휴일",상세표[반영 기관],"서울병원"))</f>
        <v/>
      </c>
      <c r="W931">
        <f>IF($X931="","",IF(ISNUMBER(MATCH(INDEX(합계표[사번키],$X931)&amp;"|"&amp;대상월키,월별근무지표[키],0)),"직접 입력",IF($L931="—","—","기관명단")))</f>
        <v/>
      </c>
      <c r="X931" s="4">
        <f>IFERROR(MATCH(926,합계표[판정순번],0),"")</f>
        <v/>
      </c>
    </row>
    <row r="932">
      <c r="A932">
        <f>IF($X932="","",INDEX(합계표[사번],$X932)&amp;"")</f>
        <v/>
      </c>
      <c r="B932">
        <f>IF($X932="","",INDEX(합계표[성명],$X932)&amp;"")</f>
        <v/>
      </c>
      <c r="C932">
        <f>IF($X932="","",INDEX(합계표[부서],$X932)&amp;"")</f>
        <v/>
      </c>
      <c r="D932">
        <f>IF($X932="","",INDEX(합계표[직위(요약)],$X932)&amp;"")</f>
        <v/>
      </c>
      <c r="E932">
        <f>IF($X932="","",INDEX(합계표[직급 공존],$X932)&amp;"")</f>
        <v/>
      </c>
      <c r="F932" s="20">
        <f>IF($X932="","",SUMIFS(합계표[시스템 합계],합계표[사번키],INDEX(합계표[사번키],$X932)))</f>
        <v/>
      </c>
      <c r="G932" s="20">
        <f>IF($X932="","",SUMIFS(상세표[기록 시간외],상세표[사번키],INDEX(합계표[사번키],$X932),상세표[기록월],대상월키))</f>
        <v/>
      </c>
      <c r="H932">
        <f>IF($X932="","",IF(ABS($F932-$G932)&lt;0.01,"일치","불일치(차이 "&amp;TEXT($G932-$F932,"0.00")&amp;")"))</f>
        <v/>
      </c>
      <c r="I932" s="20">
        <f>IF($X932="","",SUMIFS(상세표[기록 시간외],상세표[사번키],INDEX(합계표[사번키],$X932),상세표[기록월],대상월키,상세표[반영월],"&lt;&gt;"&amp;대상월키))</f>
        <v/>
      </c>
      <c r="J932" s="20">
        <f>IF($X932="","",SUMIFS(상세표[기록 시간외],상세표[사번키],INDEX(합계표[사번키],$X932),상세표[기록월],"&lt;&gt;"&amp;대상월키,상세표[반영월],대상월키))</f>
        <v/>
      </c>
      <c r="K932" s="20">
        <f>IF($X932="","",SUMIFS(상세표[기록 시간외],상세표[사번키],INDEX(합계표[사번키],$X932),상세표[반영월],대상월키))</f>
        <v/>
      </c>
      <c r="L932">
        <f>IF($X932="","",IFERROR(INDEX(월별근무지표[적용 급여병원],MATCH(INDEX(합계표[사번키],$X932)&amp;"|"&amp;대상월키,월별근무지표[키],0))&amp;"",IF(COUNTIF(기관표[사번키],INDEX(합계표[사번키],$X932))+COUNTIF(월별근무지표[사번키],INDEX(합계표[사번키],$X932))&gt;0,IFERROR(INDEX(기관표[급여지급병원(기준월)],MATCH(INDEX(합계표[사번키],$X932)&amp;"|"&amp;대상월키,기관표[키],0))&amp;"","—"),"—")))</f>
        <v/>
      </c>
      <c r="M932">
        <f>IF($X932="","",IF(NOT(COUNTIF(기관표[사번키],INDEX(합계표[사번키],$X932))+COUNTIF(월별근무지표[사번키],INDEX(합계표[사번키],$X932))&gt;0),"기관명단에 없음(다른 병원으로 발송)",IF($L932="서울병원","해당",IF(N($R932)&gt;0,"해당(말일 근무)",IF($L932="—","대상월 기관명단 없음(추가 필요)","비해당")))))</f>
        <v/>
      </c>
      <c r="N932" s="20">
        <f>IF($X932="","",SUMIFS(상세표[06~07시],상세표[사번키],INDEX(합계표[사번키],$X932),상세표[반영월],대상월키,상세표[반영 기관],"서울병원"))</f>
        <v/>
      </c>
      <c r="O932" s="20">
        <f>IF($X932="","",SUMIFS(상세표[07~18시],상세표[사번키],INDEX(합계표[사번키],$X932),상세표[반영월],대상월키,상세표[반영 기관],"서울병원"))</f>
        <v/>
      </c>
      <c r="P932" s="20">
        <f>IF($X932="","",SUMIFS(상세표[18~22시],상세표[사번키],INDEX(합계표[사번키],$X932),상세표[반영월],대상월키,상세표[반영 기관],"서울병원"))</f>
        <v/>
      </c>
      <c r="Q932" s="20">
        <f>IF($X932="","",SUMIFS(상세표[22~06시],상세표[사번키],INDEX(합계표[사번키],$X932),상세표[반영월],대상월키,상세표[반영 기관],"서울병원"))</f>
        <v/>
      </c>
      <c r="R932" s="20">
        <f>IF($X932="","",SUM($N932:$Q932))</f>
        <v/>
      </c>
      <c r="S932">
        <f>IF($X932="","",COUNTIFS(상세표[사번키],INDEX(합계표[사번키],$X932),상세표[반영월],대상월키,상세표[야간당직],1,상세표[야간 구분],"평일"))</f>
        <v/>
      </c>
      <c r="T932">
        <f>IF($X932="","",COUNTIFS(상세표[사번키],INDEX(합계표[사번키],$X932),상세표[반영월],대상월키,상세표[야간당직],1,상세표[야간 구분],"휴일"))</f>
        <v/>
      </c>
      <c r="U932">
        <f>IF($X932="","",COUNTIFS(상세표[사번키],INDEX(합계표[사번키],$X932),상세표[반영월],대상월키,상세표[야간당직],1,상세표[야간 구분],"평일",상세표[반영 기관],"서울병원"))</f>
        <v/>
      </c>
      <c r="V932">
        <f>IF($X932="","",COUNTIFS(상세표[사번키],INDEX(합계표[사번키],$X932),상세표[반영월],대상월키,상세표[야간당직],1,상세표[야간 구분],"휴일",상세표[반영 기관],"서울병원"))</f>
        <v/>
      </c>
      <c r="W932">
        <f>IF($X932="","",IF(ISNUMBER(MATCH(INDEX(합계표[사번키],$X932)&amp;"|"&amp;대상월키,월별근무지표[키],0)),"직접 입력",IF($L932="—","—","기관명단")))</f>
        <v/>
      </c>
      <c r="X932" s="4">
        <f>IFERROR(MATCH(927,합계표[판정순번],0),"")</f>
        <v/>
      </c>
    </row>
    <row r="933">
      <c r="A933">
        <f>IF($X933="","",INDEX(합계표[사번],$X933)&amp;"")</f>
        <v/>
      </c>
      <c r="B933">
        <f>IF($X933="","",INDEX(합계표[성명],$X933)&amp;"")</f>
        <v/>
      </c>
      <c r="C933">
        <f>IF($X933="","",INDEX(합계표[부서],$X933)&amp;"")</f>
        <v/>
      </c>
      <c r="D933">
        <f>IF($X933="","",INDEX(합계표[직위(요약)],$X933)&amp;"")</f>
        <v/>
      </c>
      <c r="E933">
        <f>IF($X933="","",INDEX(합계표[직급 공존],$X933)&amp;"")</f>
        <v/>
      </c>
      <c r="F933" s="20">
        <f>IF($X933="","",SUMIFS(합계표[시스템 합계],합계표[사번키],INDEX(합계표[사번키],$X933)))</f>
        <v/>
      </c>
      <c r="G933" s="20">
        <f>IF($X933="","",SUMIFS(상세표[기록 시간외],상세표[사번키],INDEX(합계표[사번키],$X933),상세표[기록월],대상월키))</f>
        <v/>
      </c>
      <c r="H933">
        <f>IF($X933="","",IF(ABS($F933-$G933)&lt;0.01,"일치","불일치(차이 "&amp;TEXT($G933-$F933,"0.00")&amp;")"))</f>
        <v/>
      </c>
      <c r="I933" s="20">
        <f>IF($X933="","",SUMIFS(상세표[기록 시간외],상세표[사번키],INDEX(합계표[사번키],$X933),상세표[기록월],대상월키,상세표[반영월],"&lt;&gt;"&amp;대상월키))</f>
        <v/>
      </c>
      <c r="J933" s="20">
        <f>IF($X933="","",SUMIFS(상세표[기록 시간외],상세표[사번키],INDEX(합계표[사번키],$X933),상세표[기록월],"&lt;&gt;"&amp;대상월키,상세표[반영월],대상월키))</f>
        <v/>
      </c>
      <c r="K933" s="20">
        <f>IF($X933="","",SUMIFS(상세표[기록 시간외],상세표[사번키],INDEX(합계표[사번키],$X933),상세표[반영월],대상월키))</f>
        <v/>
      </c>
      <c r="L933">
        <f>IF($X933="","",IFERROR(INDEX(월별근무지표[적용 급여병원],MATCH(INDEX(합계표[사번키],$X933)&amp;"|"&amp;대상월키,월별근무지표[키],0))&amp;"",IF(COUNTIF(기관표[사번키],INDEX(합계표[사번키],$X933))+COUNTIF(월별근무지표[사번키],INDEX(합계표[사번키],$X933))&gt;0,IFERROR(INDEX(기관표[급여지급병원(기준월)],MATCH(INDEX(합계표[사번키],$X933)&amp;"|"&amp;대상월키,기관표[키],0))&amp;"","—"),"—")))</f>
        <v/>
      </c>
      <c r="M933">
        <f>IF($X933="","",IF(NOT(COUNTIF(기관표[사번키],INDEX(합계표[사번키],$X933))+COUNTIF(월별근무지표[사번키],INDEX(합계표[사번키],$X933))&gt;0),"기관명단에 없음(다른 병원으로 발송)",IF($L933="서울병원","해당",IF(N($R933)&gt;0,"해당(말일 근무)",IF($L933="—","대상월 기관명단 없음(추가 필요)","비해당")))))</f>
        <v/>
      </c>
      <c r="N933" s="20">
        <f>IF($X933="","",SUMIFS(상세표[06~07시],상세표[사번키],INDEX(합계표[사번키],$X933),상세표[반영월],대상월키,상세표[반영 기관],"서울병원"))</f>
        <v/>
      </c>
      <c r="O933" s="20">
        <f>IF($X933="","",SUMIFS(상세표[07~18시],상세표[사번키],INDEX(합계표[사번키],$X933),상세표[반영월],대상월키,상세표[반영 기관],"서울병원"))</f>
        <v/>
      </c>
      <c r="P933" s="20">
        <f>IF($X933="","",SUMIFS(상세표[18~22시],상세표[사번키],INDEX(합계표[사번키],$X933),상세표[반영월],대상월키,상세표[반영 기관],"서울병원"))</f>
        <v/>
      </c>
      <c r="Q933" s="20">
        <f>IF($X933="","",SUMIFS(상세표[22~06시],상세표[사번키],INDEX(합계표[사번키],$X933),상세표[반영월],대상월키,상세표[반영 기관],"서울병원"))</f>
        <v/>
      </c>
      <c r="R933" s="20">
        <f>IF($X933="","",SUM($N933:$Q933))</f>
        <v/>
      </c>
      <c r="S933">
        <f>IF($X933="","",COUNTIFS(상세표[사번키],INDEX(합계표[사번키],$X933),상세표[반영월],대상월키,상세표[야간당직],1,상세표[야간 구분],"평일"))</f>
        <v/>
      </c>
      <c r="T933">
        <f>IF($X933="","",COUNTIFS(상세표[사번키],INDEX(합계표[사번키],$X933),상세표[반영월],대상월키,상세표[야간당직],1,상세표[야간 구분],"휴일"))</f>
        <v/>
      </c>
      <c r="U933">
        <f>IF($X933="","",COUNTIFS(상세표[사번키],INDEX(합계표[사번키],$X933),상세표[반영월],대상월키,상세표[야간당직],1,상세표[야간 구분],"평일",상세표[반영 기관],"서울병원"))</f>
        <v/>
      </c>
      <c r="V933">
        <f>IF($X933="","",COUNTIFS(상세표[사번키],INDEX(합계표[사번키],$X933),상세표[반영월],대상월키,상세표[야간당직],1,상세표[야간 구분],"휴일",상세표[반영 기관],"서울병원"))</f>
        <v/>
      </c>
      <c r="W933">
        <f>IF($X933="","",IF(ISNUMBER(MATCH(INDEX(합계표[사번키],$X933)&amp;"|"&amp;대상월키,월별근무지표[키],0)),"직접 입력",IF($L933="—","—","기관명단")))</f>
        <v/>
      </c>
      <c r="X933" s="4">
        <f>IFERROR(MATCH(928,합계표[판정순번],0),"")</f>
        <v/>
      </c>
    </row>
    <row r="934">
      <c r="A934">
        <f>IF($X934="","",INDEX(합계표[사번],$X934)&amp;"")</f>
        <v/>
      </c>
      <c r="B934">
        <f>IF($X934="","",INDEX(합계표[성명],$X934)&amp;"")</f>
        <v/>
      </c>
      <c r="C934">
        <f>IF($X934="","",INDEX(합계표[부서],$X934)&amp;"")</f>
        <v/>
      </c>
      <c r="D934">
        <f>IF($X934="","",INDEX(합계표[직위(요약)],$X934)&amp;"")</f>
        <v/>
      </c>
      <c r="E934">
        <f>IF($X934="","",INDEX(합계표[직급 공존],$X934)&amp;"")</f>
        <v/>
      </c>
      <c r="F934" s="20">
        <f>IF($X934="","",SUMIFS(합계표[시스템 합계],합계표[사번키],INDEX(합계표[사번키],$X934)))</f>
        <v/>
      </c>
      <c r="G934" s="20">
        <f>IF($X934="","",SUMIFS(상세표[기록 시간외],상세표[사번키],INDEX(합계표[사번키],$X934),상세표[기록월],대상월키))</f>
        <v/>
      </c>
      <c r="H934">
        <f>IF($X934="","",IF(ABS($F934-$G934)&lt;0.01,"일치","불일치(차이 "&amp;TEXT($G934-$F934,"0.00")&amp;")"))</f>
        <v/>
      </c>
      <c r="I934" s="20">
        <f>IF($X934="","",SUMIFS(상세표[기록 시간외],상세표[사번키],INDEX(합계표[사번키],$X934),상세표[기록월],대상월키,상세표[반영월],"&lt;&gt;"&amp;대상월키))</f>
        <v/>
      </c>
      <c r="J934" s="20">
        <f>IF($X934="","",SUMIFS(상세표[기록 시간외],상세표[사번키],INDEX(합계표[사번키],$X934),상세표[기록월],"&lt;&gt;"&amp;대상월키,상세표[반영월],대상월키))</f>
        <v/>
      </c>
      <c r="K934" s="20">
        <f>IF($X934="","",SUMIFS(상세표[기록 시간외],상세표[사번키],INDEX(합계표[사번키],$X934),상세표[반영월],대상월키))</f>
        <v/>
      </c>
      <c r="L934">
        <f>IF($X934="","",IFERROR(INDEX(월별근무지표[적용 급여병원],MATCH(INDEX(합계표[사번키],$X934)&amp;"|"&amp;대상월키,월별근무지표[키],0))&amp;"",IF(COUNTIF(기관표[사번키],INDEX(합계표[사번키],$X934))+COUNTIF(월별근무지표[사번키],INDEX(합계표[사번키],$X934))&gt;0,IFERROR(INDEX(기관표[급여지급병원(기준월)],MATCH(INDEX(합계표[사번키],$X934)&amp;"|"&amp;대상월키,기관표[키],0))&amp;"","—"),"—")))</f>
        <v/>
      </c>
      <c r="M934">
        <f>IF($X934="","",IF(NOT(COUNTIF(기관표[사번키],INDEX(합계표[사번키],$X934))+COUNTIF(월별근무지표[사번키],INDEX(합계표[사번키],$X934))&gt;0),"기관명단에 없음(다른 병원으로 발송)",IF($L934="서울병원","해당",IF(N($R934)&gt;0,"해당(말일 근무)",IF($L934="—","대상월 기관명단 없음(추가 필요)","비해당")))))</f>
        <v/>
      </c>
      <c r="N934" s="20">
        <f>IF($X934="","",SUMIFS(상세표[06~07시],상세표[사번키],INDEX(합계표[사번키],$X934),상세표[반영월],대상월키,상세표[반영 기관],"서울병원"))</f>
        <v/>
      </c>
      <c r="O934" s="20">
        <f>IF($X934="","",SUMIFS(상세표[07~18시],상세표[사번키],INDEX(합계표[사번키],$X934),상세표[반영월],대상월키,상세표[반영 기관],"서울병원"))</f>
        <v/>
      </c>
      <c r="P934" s="20">
        <f>IF($X934="","",SUMIFS(상세표[18~22시],상세표[사번키],INDEX(합계표[사번키],$X934),상세표[반영월],대상월키,상세표[반영 기관],"서울병원"))</f>
        <v/>
      </c>
      <c r="Q934" s="20">
        <f>IF($X934="","",SUMIFS(상세표[22~06시],상세표[사번키],INDEX(합계표[사번키],$X934),상세표[반영월],대상월키,상세표[반영 기관],"서울병원"))</f>
        <v/>
      </c>
      <c r="R934" s="20">
        <f>IF($X934="","",SUM($N934:$Q934))</f>
        <v/>
      </c>
      <c r="S934">
        <f>IF($X934="","",COUNTIFS(상세표[사번키],INDEX(합계표[사번키],$X934),상세표[반영월],대상월키,상세표[야간당직],1,상세표[야간 구분],"평일"))</f>
        <v/>
      </c>
      <c r="T934">
        <f>IF($X934="","",COUNTIFS(상세표[사번키],INDEX(합계표[사번키],$X934),상세표[반영월],대상월키,상세표[야간당직],1,상세표[야간 구분],"휴일"))</f>
        <v/>
      </c>
      <c r="U934">
        <f>IF($X934="","",COUNTIFS(상세표[사번키],INDEX(합계표[사번키],$X934),상세표[반영월],대상월키,상세표[야간당직],1,상세표[야간 구분],"평일",상세표[반영 기관],"서울병원"))</f>
        <v/>
      </c>
      <c r="V934">
        <f>IF($X934="","",COUNTIFS(상세표[사번키],INDEX(합계표[사번키],$X934),상세표[반영월],대상월키,상세표[야간당직],1,상세표[야간 구분],"휴일",상세표[반영 기관],"서울병원"))</f>
        <v/>
      </c>
      <c r="W934">
        <f>IF($X934="","",IF(ISNUMBER(MATCH(INDEX(합계표[사번키],$X934)&amp;"|"&amp;대상월키,월별근무지표[키],0)),"직접 입력",IF($L934="—","—","기관명단")))</f>
        <v/>
      </c>
      <c r="X934" s="4">
        <f>IFERROR(MATCH(929,합계표[판정순번],0),"")</f>
        <v/>
      </c>
    </row>
    <row r="935">
      <c r="A935">
        <f>IF($X935="","",INDEX(합계표[사번],$X935)&amp;"")</f>
        <v/>
      </c>
      <c r="B935">
        <f>IF($X935="","",INDEX(합계표[성명],$X935)&amp;"")</f>
        <v/>
      </c>
      <c r="C935">
        <f>IF($X935="","",INDEX(합계표[부서],$X935)&amp;"")</f>
        <v/>
      </c>
      <c r="D935">
        <f>IF($X935="","",INDEX(합계표[직위(요약)],$X935)&amp;"")</f>
        <v/>
      </c>
      <c r="E935">
        <f>IF($X935="","",INDEX(합계표[직급 공존],$X935)&amp;"")</f>
        <v/>
      </c>
      <c r="F935" s="20">
        <f>IF($X935="","",SUMIFS(합계표[시스템 합계],합계표[사번키],INDEX(합계표[사번키],$X935)))</f>
        <v/>
      </c>
      <c r="G935" s="20">
        <f>IF($X935="","",SUMIFS(상세표[기록 시간외],상세표[사번키],INDEX(합계표[사번키],$X935),상세표[기록월],대상월키))</f>
        <v/>
      </c>
      <c r="H935">
        <f>IF($X935="","",IF(ABS($F935-$G935)&lt;0.01,"일치","불일치(차이 "&amp;TEXT($G935-$F935,"0.00")&amp;")"))</f>
        <v/>
      </c>
      <c r="I935" s="20">
        <f>IF($X935="","",SUMIFS(상세표[기록 시간외],상세표[사번키],INDEX(합계표[사번키],$X935),상세표[기록월],대상월키,상세표[반영월],"&lt;&gt;"&amp;대상월키))</f>
        <v/>
      </c>
      <c r="J935" s="20">
        <f>IF($X935="","",SUMIFS(상세표[기록 시간외],상세표[사번키],INDEX(합계표[사번키],$X935),상세표[기록월],"&lt;&gt;"&amp;대상월키,상세표[반영월],대상월키))</f>
        <v/>
      </c>
      <c r="K935" s="20">
        <f>IF($X935="","",SUMIFS(상세표[기록 시간외],상세표[사번키],INDEX(합계표[사번키],$X935),상세표[반영월],대상월키))</f>
        <v/>
      </c>
      <c r="L935">
        <f>IF($X935="","",IFERROR(INDEX(월별근무지표[적용 급여병원],MATCH(INDEX(합계표[사번키],$X935)&amp;"|"&amp;대상월키,월별근무지표[키],0))&amp;"",IF(COUNTIF(기관표[사번키],INDEX(합계표[사번키],$X935))+COUNTIF(월별근무지표[사번키],INDEX(합계표[사번키],$X935))&gt;0,IFERROR(INDEX(기관표[급여지급병원(기준월)],MATCH(INDEX(합계표[사번키],$X935)&amp;"|"&amp;대상월키,기관표[키],0))&amp;"","—"),"—")))</f>
        <v/>
      </c>
      <c r="M935">
        <f>IF($X935="","",IF(NOT(COUNTIF(기관표[사번키],INDEX(합계표[사번키],$X935))+COUNTIF(월별근무지표[사번키],INDEX(합계표[사번키],$X935))&gt;0),"기관명단에 없음(다른 병원으로 발송)",IF($L935="서울병원","해당",IF(N($R935)&gt;0,"해당(말일 근무)",IF($L935="—","대상월 기관명단 없음(추가 필요)","비해당")))))</f>
        <v/>
      </c>
      <c r="N935" s="20">
        <f>IF($X935="","",SUMIFS(상세표[06~07시],상세표[사번키],INDEX(합계표[사번키],$X935),상세표[반영월],대상월키,상세표[반영 기관],"서울병원"))</f>
        <v/>
      </c>
      <c r="O935" s="20">
        <f>IF($X935="","",SUMIFS(상세표[07~18시],상세표[사번키],INDEX(합계표[사번키],$X935),상세표[반영월],대상월키,상세표[반영 기관],"서울병원"))</f>
        <v/>
      </c>
      <c r="P935" s="20">
        <f>IF($X935="","",SUMIFS(상세표[18~22시],상세표[사번키],INDEX(합계표[사번키],$X935),상세표[반영월],대상월키,상세표[반영 기관],"서울병원"))</f>
        <v/>
      </c>
      <c r="Q935" s="20">
        <f>IF($X935="","",SUMIFS(상세표[22~06시],상세표[사번키],INDEX(합계표[사번키],$X935),상세표[반영월],대상월키,상세표[반영 기관],"서울병원"))</f>
        <v/>
      </c>
      <c r="R935" s="20">
        <f>IF($X935="","",SUM($N935:$Q935))</f>
        <v/>
      </c>
      <c r="S935">
        <f>IF($X935="","",COUNTIFS(상세표[사번키],INDEX(합계표[사번키],$X935),상세표[반영월],대상월키,상세표[야간당직],1,상세표[야간 구분],"평일"))</f>
        <v/>
      </c>
      <c r="T935">
        <f>IF($X935="","",COUNTIFS(상세표[사번키],INDEX(합계표[사번키],$X935),상세표[반영월],대상월키,상세표[야간당직],1,상세표[야간 구분],"휴일"))</f>
        <v/>
      </c>
      <c r="U935">
        <f>IF($X935="","",COUNTIFS(상세표[사번키],INDEX(합계표[사번키],$X935),상세표[반영월],대상월키,상세표[야간당직],1,상세표[야간 구분],"평일",상세표[반영 기관],"서울병원"))</f>
        <v/>
      </c>
      <c r="V935">
        <f>IF($X935="","",COUNTIFS(상세표[사번키],INDEX(합계표[사번키],$X935),상세표[반영월],대상월키,상세표[야간당직],1,상세표[야간 구분],"휴일",상세표[반영 기관],"서울병원"))</f>
        <v/>
      </c>
      <c r="W935">
        <f>IF($X935="","",IF(ISNUMBER(MATCH(INDEX(합계표[사번키],$X935)&amp;"|"&amp;대상월키,월별근무지표[키],0)),"직접 입력",IF($L935="—","—","기관명단")))</f>
        <v/>
      </c>
      <c r="X935" s="4">
        <f>IFERROR(MATCH(930,합계표[판정순번],0),"")</f>
        <v/>
      </c>
    </row>
    <row r="936">
      <c r="A936">
        <f>IF($X936="","",INDEX(합계표[사번],$X936)&amp;"")</f>
        <v/>
      </c>
      <c r="B936">
        <f>IF($X936="","",INDEX(합계표[성명],$X936)&amp;"")</f>
        <v/>
      </c>
      <c r="C936">
        <f>IF($X936="","",INDEX(합계표[부서],$X936)&amp;"")</f>
        <v/>
      </c>
      <c r="D936">
        <f>IF($X936="","",INDEX(합계표[직위(요약)],$X936)&amp;"")</f>
        <v/>
      </c>
      <c r="E936">
        <f>IF($X936="","",INDEX(합계표[직급 공존],$X936)&amp;"")</f>
        <v/>
      </c>
      <c r="F936" s="20">
        <f>IF($X936="","",SUMIFS(합계표[시스템 합계],합계표[사번키],INDEX(합계표[사번키],$X936)))</f>
        <v/>
      </c>
      <c r="G936" s="20">
        <f>IF($X936="","",SUMIFS(상세표[기록 시간외],상세표[사번키],INDEX(합계표[사번키],$X936),상세표[기록월],대상월키))</f>
        <v/>
      </c>
      <c r="H936">
        <f>IF($X936="","",IF(ABS($F936-$G936)&lt;0.01,"일치","불일치(차이 "&amp;TEXT($G936-$F936,"0.00")&amp;")"))</f>
        <v/>
      </c>
      <c r="I936" s="20">
        <f>IF($X936="","",SUMIFS(상세표[기록 시간외],상세표[사번키],INDEX(합계표[사번키],$X936),상세표[기록월],대상월키,상세표[반영월],"&lt;&gt;"&amp;대상월키))</f>
        <v/>
      </c>
      <c r="J936" s="20">
        <f>IF($X936="","",SUMIFS(상세표[기록 시간외],상세표[사번키],INDEX(합계표[사번키],$X936),상세표[기록월],"&lt;&gt;"&amp;대상월키,상세표[반영월],대상월키))</f>
        <v/>
      </c>
      <c r="K936" s="20">
        <f>IF($X936="","",SUMIFS(상세표[기록 시간외],상세표[사번키],INDEX(합계표[사번키],$X936),상세표[반영월],대상월키))</f>
        <v/>
      </c>
      <c r="L936">
        <f>IF($X936="","",IFERROR(INDEX(월별근무지표[적용 급여병원],MATCH(INDEX(합계표[사번키],$X936)&amp;"|"&amp;대상월키,월별근무지표[키],0))&amp;"",IF(COUNTIF(기관표[사번키],INDEX(합계표[사번키],$X936))+COUNTIF(월별근무지표[사번키],INDEX(합계표[사번키],$X936))&gt;0,IFERROR(INDEX(기관표[급여지급병원(기준월)],MATCH(INDEX(합계표[사번키],$X936)&amp;"|"&amp;대상월키,기관표[키],0))&amp;"","—"),"—")))</f>
        <v/>
      </c>
      <c r="M936">
        <f>IF($X936="","",IF(NOT(COUNTIF(기관표[사번키],INDEX(합계표[사번키],$X936))+COUNTIF(월별근무지표[사번키],INDEX(합계표[사번키],$X936))&gt;0),"기관명단에 없음(다른 병원으로 발송)",IF($L936="서울병원","해당",IF(N($R936)&gt;0,"해당(말일 근무)",IF($L936="—","대상월 기관명단 없음(추가 필요)","비해당")))))</f>
        <v/>
      </c>
      <c r="N936" s="20">
        <f>IF($X936="","",SUMIFS(상세표[06~07시],상세표[사번키],INDEX(합계표[사번키],$X936),상세표[반영월],대상월키,상세표[반영 기관],"서울병원"))</f>
        <v/>
      </c>
      <c r="O936" s="20">
        <f>IF($X936="","",SUMIFS(상세표[07~18시],상세표[사번키],INDEX(합계표[사번키],$X936),상세표[반영월],대상월키,상세표[반영 기관],"서울병원"))</f>
        <v/>
      </c>
      <c r="P936" s="20">
        <f>IF($X936="","",SUMIFS(상세표[18~22시],상세표[사번키],INDEX(합계표[사번키],$X936),상세표[반영월],대상월키,상세표[반영 기관],"서울병원"))</f>
        <v/>
      </c>
      <c r="Q936" s="20">
        <f>IF($X936="","",SUMIFS(상세표[22~06시],상세표[사번키],INDEX(합계표[사번키],$X936),상세표[반영월],대상월키,상세표[반영 기관],"서울병원"))</f>
        <v/>
      </c>
      <c r="R936" s="20">
        <f>IF($X936="","",SUM($N936:$Q936))</f>
        <v/>
      </c>
      <c r="S936">
        <f>IF($X936="","",COUNTIFS(상세표[사번키],INDEX(합계표[사번키],$X936),상세표[반영월],대상월키,상세표[야간당직],1,상세표[야간 구분],"평일"))</f>
        <v/>
      </c>
      <c r="T936">
        <f>IF($X936="","",COUNTIFS(상세표[사번키],INDEX(합계표[사번키],$X936),상세표[반영월],대상월키,상세표[야간당직],1,상세표[야간 구분],"휴일"))</f>
        <v/>
      </c>
      <c r="U936">
        <f>IF($X936="","",COUNTIFS(상세표[사번키],INDEX(합계표[사번키],$X936),상세표[반영월],대상월키,상세표[야간당직],1,상세표[야간 구분],"평일",상세표[반영 기관],"서울병원"))</f>
        <v/>
      </c>
      <c r="V936">
        <f>IF($X936="","",COUNTIFS(상세표[사번키],INDEX(합계표[사번키],$X936),상세표[반영월],대상월키,상세표[야간당직],1,상세표[야간 구분],"휴일",상세표[반영 기관],"서울병원"))</f>
        <v/>
      </c>
      <c r="W936">
        <f>IF($X936="","",IF(ISNUMBER(MATCH(INDEX(합계표[사번키],$X936)&amp;"|"&amp;대상월키,월별근무지표[키],0)),"직접 입력",IF($L936="—","—","기관명단")))</f>
        <v/>
      </c>
      <c r="X936" s="4">
        <f>IFERROR(MATCH(931,합계표[판정순번],0),"")</f>
        <v/>
      </c>
    </row>
    <row r="937">
      <c r="A937">
        <f>IF($X937="","",INDEX(합계표[사번],$X937)&amp;"")</f>
        <v/>
      </c>
      <c r="B937">
        <f>IF($X937="","",INDEX(합계표[성명],$X937)&amp;"")</f>
        <v/>
      </c>
      <c r="C937">
        <f>IF($X937="","",INDEX(합계표[부서],$X937)&amp;"")</f>
        <v/>
      </c>
      <c r="D937">
        <f>IF($X937="","",INDEX(합계표[직위(요약)],$X937)&amp;"")</f>
        <v/>
      </c>
      <c r="E937">
        <f>IF($X937="","",INDEX(합계표[직급 공존],$X937)&amp;"")</f>
        <v/>
      </c>
      <c r="F937" s="20">
        <f>IF($X937="","",SUMIFS(합계표[시스템 합계],합계표[사번키],INDEX(합계표[사번키],$X937)))</f>
        <v/>
      </c>
      <c r="G937" s="20">
        <f>IF($X937="","",SUMIFS(상세표[기록 시간외],상세표[사번키],INDEX(합계표[사번키],$X937),상세표[기록월],대상월키))</f>
        <v/>
      </c>
      <c r="H937">
        <f>IF($X937="","",IF(ABS($F937-$G937)&lt;0.01,"일치","불일치(차이 "&amp;TEXT($G937-$F937,"0.00")&amp;")"))</f>
        <v/>
      </c>
      <c r="I937" s="20">
        <f>IF($X937="","",SUMIFS(상세표[기록 시간외],상세표[사번키],INDEX(합계표[사번키],$X937),상세표[기록월],대상월키,상세표[반영월],"&lt;&gt;"&amp;대상월키))</f>
        <v/>
      </c>
      <c r="J937" s="20">
        <f>IF($X937="","",SUMIFS(상세표[기록 시간외],상세표[사번키],INDEX(합계표[사번키],$X937),상세표[기록월],"&lt;&gt;"&amp;대상월키,상세표[반영월],대상월키))</f>
        <v/>
      </c>
      <c r="K937" s="20">
        <f>IF($X937="","",SUMIFS(상세표[기록 시간외],상세표[사번키],INDEX(합계표[사번키],$X937),상세표[반영월],대상월키))</f>
        <v/>
      </c>
      <c r="L937">
        <f>IF($X937="","",IFERROR(INDEX(월별근무지표[적용 급여병원],MATCH(INDEX(합계표[사번키],$X937)&amp;"|"&amp;대상월키,월별근무지표[키],0))&amp;"",IF(COUNTIF(기관표[사번키],INDEX(합계표[사번키],$X937))+COUNTIF(월별근무지표[사번키],INDEX(합계표[사번키],$X937))&gt;0,IFERROR(INDEX(기관표[급여지급병원(기준월)],MATCH(INDEX(합계표[사번키],$X937)&amp;"|"&amp;대상월키,기관표[키],0))&amp;"","—"),"—")))</f>
        <v/>
      </c>
      <c r="M937">
        <f>IF($X937="","",IF(NOT(COUNTIF(기관표[사번키],INDEX(합계표[사번키],$X937))+COUNTIF(월별근무지표[사번키],INDEX(합계표[사번키],$X937))&gt;0),"기관명단에 없음(다른 병원으로 발송)",IF($L937="서울병원","해당",IF(N($R937)&gt;0,"해당(말일 근무)",IF($L937="—","대상월 기관명단 없음(추가 필요)","비해당")))))</f>
        <v/>
      </c>
      <c r="N937" s="20">
        <f>IF($X937="","",SUMIFS(상세표[06~07시],상세표[사번키],INDEX(합계표[사번키],$X937),상세표[반영월],대상월키,상세표[반영 기관],"서울병원"))</f>
        <v/>
      </c>
      <c r="O937" s="20">
        <f>IF($X937="","",SUMIFS(상세표[07~18시],상세표[사번키],INDEX(합계표[사번키],$X937),상세표[반영월],대상월키,상세표[반영 기관],"서울병원"))</f>
        <v/>
      </c>
      <c r="P937" s="20">
        <f>IF($X937="","",SUMIFS(상세표[18~22시],상세표[사번키],INDEX(합계표[사번키],$X937),상세표[반영월],대상월키,상세표[반영 기관],"서울병원"))</f>
        <v/>
      </c>
      <c r="Q937" s="20">
        <f>IF($X937="","",SUMIFS(상세표[22~06시],상세표[사번키],INDEX(합계표[사번키],$X937),상세표[반영월],대상월키,상세표[반영 기관],"서울병원"))</f>
        <v/>
      </c>
      <c r="R937" s="20">
        <f>IF($X937="","",SUM($N937:$Q937))</f>
        <v/>
      </c>
      <c r="S937">
        <f>IF($X937="","",COUNTIFS(상세표[사번키],INDEX(합계표[사번키],$X937),상세표[반영월],대상월키,상세표[야간당직],1,상세표[야간 구분],"평일"))</f>
        <v/>
      </c>
      <c r="T937">
        <f>IF($X937="","",COUNTIFS(상세표[사번키],INDEX(합계표[사번키],$X937),상세표[반영월],대상월키,상세표[야간당직],1,상세표[야간 구분],"휴일"))</f>
        <v/>
      </c>
      <c r="U937">
        <f>IF($X937="","",COUNTIFS(상세표[사번키],INDEX(합계표[사번키],$X937),상세표[반영월],대상월키,상세표[야간당직],1,상세표[야간 구분],"평일",상세표[반영 기관],"서울병원"))</f>
        <v/>
      </c>
      <c r="V937">
        <f>IF($X937="","",COUNTIFS(상세표[사번키],INDEX(합계표[사번키],$X937),상세표[반영월],대상월키,상세표[야간당직],1,상세표[야간 구분],"휴일",상세표[반영 기관],"서울병원"))</f>
        <v/>
      </c>
      <c r="W937">
        <f>IF($X937="","",IF(ISNUMBER(MATCH(INDEX(합계표[사번키],$X937)&amp;"|"&amp;대상월키,월별근무지표[키],0)),"직접 입력",IF($L937="—","—","기관명단")))</f>
        <v/>
      </c>
      <c r="X937" s="4">
        <f>IFERROR(MATCH(932,합계표[판정순번],0),"")</f>
        <v/>
      </c>
    </row>
    <row r="938">
      <c r="A938">
        <f>IF($X938="","",INDEX(합계표[사번],$X938)&amp;"")</f>
        <v/>
      </c>
      <c r="B938">
        <f>IF($X938="","",INDEX(합계표[성명],$X938)&amp;"")</f>
        <v/>
      </c>
      <c r="C938">
        <f>IF($X938="","",INDEX(합계표[부서],$X938)&amp;"")</f>
        <v/>
      </c>
      <c r="D938">
        <f>IF($X938="","",INDEX(합계표[직위(요약)],$X938)&amp;"")</f>
        <v/>
      </c>
      <c r="E938">
        <f>IF($X938="","",INDEX(합계표[직급 공존],$X938)&amp;"")</f>
        <v/>
      </c>
      <c r="F938" s="20">
        <f>IF($X938="","",SUMIFS(합계표[시스템 합계],합계표[사번키],INDEX(합계표[사번키],$X938)))</f>
        <v/>
      </c>
      <c r="G938" s="20">
        <f>IF($X938="","",SUMIFS(상세표[기록 시간외],상세표[사번키],INDEX(합계표[사번키],$X938),상세표[기록월],대상월키))</f>
        <v/>
      </c>
      <c r="H938">
        <f>IF($X938="","",IF(ABS($F938-$G938)&lt;0.01,"일치","불일치(차이 "&amp;TEXT($G938-$F938,"0.00")&amp;")"))</f>
        <v/>
      </c>
      <c r="I938" s="20">
        <f>IF($X938="","",SUMIFS(상세표[기록 시간외],상세표[사번키],INDEX(합계표[사번키],$X938),상세표[기록월],대상월키,상세표[반영월],"&lt;&gt;"&amp;대상월키))</f>
        <v/>
      </c>
      <c r="J938" s="20">
        <f>IF($X938="","",SUMIFS(상세표[기록 시간외],상세표[사번키],INDEX(합계표[사번키],$X938),상세표[기록월],"&lt;&gt;"&amp;대상월키,상세표[반영월],대상월키))</f>
        <v/>
      </c>
      <c r="K938" s="20">
        <f>IF($X938="","",SUMIFS(상세표[기록 시간외],상세표[사번키],INDEX(합계표[사번키],$X938),상세표[반영월],대상월키))</f>
        <v/>
      </c>
      <c r="L938">
        <f>IF($X938="","",IFERROR(INDEX(월별근무지표[적용 급여병원],MATCH(INDEX(합계표[사번키],$X938)&amp;"|"&amp;대상월키,월별근무지표[키],0))&amp;"",IF(COUNTIF(기관표[사번키],INDEX(합계표[사번키],$X938))+COUNTIF(월별근무지표[사번키],INDEX(합계표[사번키],$X938))&gt;0,IFERROR(INDEX(기관표[급여지급병원(기준월)],MATCH(INDEX(합계표[사번키],$X938)&amp;"|"&amp;대상월키,기관표[키],0))&amp;"","—"),"—")))</f>
        <v/>
      </c>
      <c r="M938">
        <f>IF($X938="","",IF(NOT(COUNTIF(기관표[사번키],INDEX(합계표[사번키],$X938))+COUNTIF(월별근무지표[사번키],INDEX(합계표[사번키],$X938))&gt;0),"기관명단에 없음(다른 병원으로 발송)",IF($L938="서울병원","해당",IF(N($R938)&gt;0,"해당(말일 근무)",IF($L938="—","대상월 기관명단 없음(추가 필요)","비해당")))))</f>
        <v/>
      </c>
      <c r="N938" s="20">
        <f>IF($X938="","",SUMIFS(상세표[06~07시],상세표[사번키],INDEX(합계표[사번키],$X938),상세표[반영월],대상월키,상세표[반영 기관],"서울병원"))</f>
        <v/>
      </c>
      <c r="O938" s="20">
        <f>IF($X938="","",SUMIFS(상세표[07~18시],상세표[사번키],INDEX(합계표[사번키],$X938),상세표[반영월],대상월키,상세표[반영 기관],"서울병원"))</f>
        <v/>
      </c>
      <c r="P938" s="20">
        <f>IF($X938="","",SUMIFS(상세표[18~22시],상세표[사번키],INDEX(합계표[사번키],$X938),상세표[반영월],대상월키,상세표[반영 기관],"서울병원"))</f>
        <v/>
      </c>
      <c r="Q938" s="20">
        <f>IF($X938="","",SUMIFS(상세표[22~06시],상세표[사번키],INDEX(합계표[사번키],$X938),상세표[반영월],대상월키,상세표[반영 기관],"서울병원"))</f>
        <v/>
      </c>
      <c r="R938" s="20">
        <f>IF($X938="","",SUM($N938:$Q938))</f>
        <v/>
      </c>
      <c r="S938">
        <f>IF($X938="","",COUNTIFS(상세표[사번키],INDEX(합계표[사번키],$X938),상세표[반영월],대상월키,상세표[야간당직],1,상세표[야간 구분],"평일"))</f>
        <v/>
      </c>
      <c r="T938">
        <f>IF($X938="","",COUNTIFS(상세표[사번키],INDEX(합계표[사번키],$X938),상세표[반영월],대상월키,상세표[야간당직],1,상세표[야간 구분],"휴일"))</f>
        <v/>
      </c>
      <c r="U938">
        <f>IF($X938="","",COUNTIFS(상세표[사번키],INDEX(합계표[사번키],$X938),상세표[반영월],대상월키,상세표[야간당직],1,상세표[야간 구분],"평일",상세표[반영 기관],"서울병원"))</f>
        <v/>
      </c>
      <c r="V938">
        <f>IF($X938="","",COUNTIFS(상세표[사번키],INDEX(합계표[사번키],$X938),상세표[반영월],대상월키,상세표[야간당직],1,상세표[야간 구분],"휴일",상세표[반영 기관],"서울병원"))</f>
        <v/>
      </c>
      <c r="W938">
        <f>IF($X938="","",IF(ISNUMBER(MATCH(INDEX(합계표[사번키],$X938)&amp;"|"&amp;대상월키,월별근무지표[키],0)),"직접 입력",IF($L938="—","—","기관명단")))</f>
        <v/>
      </c>
      <c r="X938" s="4">
        <f>IFERROR(MATCH(933,합계표[판정순번],0),"")</f>
        <v/>
      </c>
    </row>
    <row r="939">
      <c r="A939">
        <f>IF($X939="","",INDEX(합계표[사번],$X939)&amp;"")</f>
        <v/>
      </c>
      <c r="B939">
        <f>IF($X939="","",INDEX(합계표[성명],$X939)&amp;"")</f>
        <v/>
      </c>
      <c r="C939">
        <f>IF($X939="","",INDEX(합계표[부서],$X939)&amp;"")</f>
        <v/>
      </c>
      <c r="D939">
        <f>IF($X939="","",INDEX(합계표[직위(요약)],$X939)&amp;"")</f>
        <v/>
      </c>
      <c r="E939">
        <f>IF($X939="","",INDEX(합계표[직급 공존],$X939)&amp;"")</f>
        <v/>
      </c>
      <c r="F939" s="20">
        <f>IF($X939="","",SUMIFS(합계표[시스템 합계],합계표[사번키],INDEX(합계표[사번키],$X939)))</f>
        <v/>
      </c>
      <c r="G939" s="20">
        <f>IF($X939="","",SUMIFS(상세표[기록 시간외],상세표[사번키],INDEX(합계표[사번키],$X939),상세표[기록월],대상월키))</f>
        <v/>
      </c>
      <c r="H939">
        <f>IF($X939="","",IF(ABS($F939-$G939)&lt;0.01,"일치","불일치(차이 "&amp;TEXT($G939-$F939,"0.00")&amp;")"))</f>
        <v/>
      </c>
      <c r="I939" s="20">
        <f>IF($X939="","",SUMIFS(상세표[기록 시간외],상세표[사번키],INDEX(합계표[사번키],$X939),상세표[기록월],대상월키,상세표[반영월],"&lt;&gt;"&amp;대상월키))</f>
        <v/>
      </c>
      <c r="J939" s="20">
        <f>IF($X939="","",SUMIFS(상세표[기록 시간외],상세표[사번키],INDEX(합계표[사번키],$X939),상세표[기록월],"&lt;&gt;"&amp;대상월키,상세표[반영월],대상월키))</f>
        <v/>
      </c>
      <c r="K939" s="20">
        <f>IF($X939="","",SUMIFS(상세표[기록 시간외],상세표[사번키],INDEX(합계표[사번키],$X939),상세표[반영월],대상월키))</f>
        <v/>
      </c>
      <c r="L939">
        <f>IF($X939="","",IFERROR(INDEX(월별근무지표[적용 급여병원],MATCH(INDEX(합계표[사번키],$X939)&amp;"|"&amp;대상월키,월별근무지표[키],0))&amp;"",IF(COUNTIF(기관표[사번키],INDEX(합계표[사번키],$X939))+COUNTIF(월별근무지표[사번키],INDEX(합계표[사번키],$X939))&gt;0,IFERROR(INDEX(기관표[급여지급병원(기준월)],MATCH(INDEX(합계표[사번키],$X939)&amp;"|"&amp;대상월키,기관표[키],0))&amp;"","—"),"—")))</f>
        <v/>
      </c>
      <c r="M939">
        <f>IF($X939="","",IF(NOT(COUNTIF(기관표[사번키],INDEX(합계표[사번키],$X939))+COUNTIF(월별근무지표[사번키],INDEX(합계표[사번키],$X939))&gt;0),"기관명단에 없음(다른 병원으로 발송)",IF($L939="서울병원","해당",IF(N($R939)&gt;0,"해당(말일 근무)",IF($L939="—","대상월 기관명단 없음(추가 필요)","비해당")))))</f>
        <v/>
      </c>
      <c r="N939" s="20">
        <f>IF($X939="","",SUMIFS(상세표[06~07시],상세표[사번키],INDEX(합계표[사번키],$X939),상세표[반영월],대상월키,상세표[반영 기관],"서울병원"))</f>
        <v/>
      </c>
      <c r="O939" s="20">
        <f>IF($X939="","",SUMIFS(상세표[07~18시],상세표[사번키],INDEX(합계표[사번키],$X939),상세표[반영월],대상월키,상세표[반영 기관],"서울병원"))</f>
        <v/>
      </c>
      <c r="P939" s="20">
        <f>IF($X939="","",SUMIFS(상세표[18~22시],상세표[사번키],INDEX(합계표[사번키],$X939),상세표[반영월],대상월키,상세표[반영 기관],"서울병원"))</f>
        <v/>
      </c>
      <c r="Q939" s="20">
        <f>IF($X939="","",SUMIFS(상세표[22~06시],상세표[사번키],INDEX(합계표[사번키],$X939),상세표[반영월],대상월키,상세표[반영 기관],"서울병원"))</f>
        <v/>
      </c>
      <c r="R939" s="20">
        <f>IF($X939="","",SUM($N939:$Q939))</f>
        <v/>
      </c>
      <c r="S939">
        <f>IF($X939="","",COUNTIFS(상세표[사번키],INDEX(합계표[사번키],$X939),상세표[반영월],대상월키,상세표[야간당직],1,상세표[야간 구분],"평일"))</f>
        <v/>
      </c>
      <c r="T939">
        <f>IF($X939="","",COUNTIFS(상세표[사번키],INDEX(합계표[사번키],$X939),상세표[반영월],대상월키,상세표[야간당직],1,상세표[야간 구분],"휴일"))</f>
        <v/>
      </c>
      <c r="U939">
        <f>IF($X939="","",COUNTIFS(상세표[사번키],INDEX(합계표[사번키],$X939),상세표[반영월],대상월키,상세표[야간당직],1,상세표[야간 구분],"평일",상세표[반영 기관],"서울병원"))</f>
        <v/>
      </c>
      <c r="V939">
        <f>IF($X939="","",COUNTIFS(상세표[사번키],INDEX(합계표[사번키],$X939),상세표[반영월],대상월키,상세표[야간당직],1,상세표[야간 구분],"휴일",상세표[반영 기관],"서울병원"))</f>
        <v/>
      </c>
      <c r="W939">
        <f>IF($X939="","",IF(ISNUMBER(MATCH(INDEX(합계표[사번키],$X939)&amp;"|"&amp;대상월키,월별근무지표[키],0)),"직접 입력",IF($L939="—","—","기관명단")))</f>
        <v/>
      </c>
      <c r="X939" s="4">
        <f>IFERROR(MATCH(934,합계표[판정순번],0),"")</f>
        <v/>
      </c>
    </row>
    <row r="940">
      <c r="A940">
        <f>IF($X940="","",INDEX(합계표[사번],$X940)&amp;"")</f>
        <v/>
      </c>
      <c r="B940">
        <f>IF($X940="","",INDEX(합계표[성명],$X940)&amp;"")</f>
        <v/>
      </c>
      <c r="C940">
        <f>IF($X940="","",INDEX(합계표[부서],$X940)&amp;"")</f>
        <v/>
      </c>
      <c r="D940">
        <f>IF($X940="","",INDEX(합계표[직위(요약)],$X940)&amp;"")</f>
        <v/>
      </c>
      <c r="E940">
        <f>IF($X940="","",INDEX(합계표[직급 공존],$X940)&amp;"")</f>
        <v/>
      </c>
      <c r="F940" s="20">
        <f>IF($X940="","",SUMIFS(합계표[시스템 합계],합계표[사번키],INDEX(합계표[사번키],$X940)))</f>
        <v/>
      </c>
      <c r="G940" s="20">
        <f>IF($X940="","",SUMIFS(상세표[기록 시간외],상세표[사번키],INDEX(합계표[사번키],$X940),상세표[기록월],대상월키))</f>
        <v/>
      </c>
      <c r="H940">
        <f>IF($X940="","",IF(ABS($F940-$G940)&lt;0.01,"일치","불일치(차이 "&amp;TEXT($G940-$F940,"0.00")&amp;")"))</f>
        <v/>
      </c>
      <c r="I940" s="20">
        <f>IF($X940="","",SUMIFS(상세표[기록 시간외],상세표[사번키],INDEX(합계표[사번키],$X940),상세표[기록월],대상월키,상세표[반영월],"&lt;&gt;"&amp;대상월키))</f>
        <v/>
      </c>
      <c r="J940" s="20">
        <f>IF($X940="","",SUMIFS(상세표[기록 시간외],상세표[사번키],INDEX(합계표[사번키],$X940),상세표[기록월],"&lt;&gt;"&amp;대상월키,상세표[반영월],대상월키))</f>
        <v/>
      </c>
      <c r="K940" s="20">
        <f>IF($X940="","",SUMIFS(상세표[기록 시간외],상세표[사번키],INDEX(합계표[사번키],$X940),상세표[반영월],대상월키))</f>
        <v/>
      </c>
      <c r="L940">
        <f>IF($X940="","",IFERROR(INDEX(월별근무지표[적용 급여병원],MATCH(INDEX(합계표[사번키],$X940)&amp;"|"&amp;대상월키,월별근무지표[키],0))&amp;"",IF(COUNTIF(기관표[사번키],INDEX(합계표[사번키],$X940))+COUNTIF(월별근무지표[사번키],INDEX(합계표[사번키],$X940))&gt;0,IFERROR(INDEX(기관표[급여지급병원(기준월)],MATCH(INDEX(합계표[사번키],$X940)&amp;"|"&amp;대상월키,기관표[키],0))&amp;"","—"),"—")))</f>
        <v/>
      </c>
      <c r="M940">
        <f>IF($X940="","",IF(NOT(COUNTIF(기관표[사번키],INDEX(합계표[사번키],$X940))+COUNTIF(월별근무지표[사번키],INDEX(합계표[사번키],$X940))&gt;0),"기관명단에 없음(다른 병원으로 발송)",IF($L940="서울병원","해당",IF(N($R940)&gt;0,"해당(말일 근무)",IF($L940="—","대상월 기관명단 없음(추가 필요)","비해당")))))</f>
        <v/>
      </c>
      <c r="N940" s="20">
        <f>IF($X940="","",SUMIFS(상세표[06~07시],상세표[사번키],INDEX(합계표[사번키],$X940),상세표[반영월],대상월키,상세표[반영 기관],"서울병원"))</f>
        <v/>
      </c>
      <c r="O940" s="20">
        <f>IF($X940="","",SUMIFS(상세표[07~18시],상세표[사번키],INDEX(합계표[사번키],$X940),상세표[반영월],대상월키,상세표[반영 기관],"서울병원"))</f>
        <v/>
      </c>
      <c r="P940" s="20">
        <f>IF($X940="","",SUMIFS(상세표[18~22시],상세표[사번키],INDEX(합계표[사번키],$X940),상세표[반영월],대상월키,상세표[반영 기관],"서울병원"))</f>
        <v/>
      </c>
      <c r="Q940" s="20">
        <f>IF($X940="","",SUMIFS(상세표[22~06시],상세표[사번키],INDEX(합계표[사번키],$X940),상세표[반영월],대상월키,상세표[반영 기관],"서울병원"))</f>
        <v/>
      </c>
      <c r="R940" s="20">
        <f>IF($X940="","",SUM($N940:$Q940))</f>
        <v/>
      </c>
      <c r="S940">
        <f>IF($X940="","",COUNTIFS(상세표[사번키],INDEX(합계표[사번키],$X940),상세표[반영월],대상월키,상세표[야간당직],1,상세표[야간 구분],"평일"))</f>
        <v/>
      </c>
      <c r="T940">
        <f>IF($X940="","",COUNTIFS(상세표[사번키],INDEX(합계표[사번키],$X940),상세표[반영월],대상월키,상세표[야간당직],1,상세표[야간 구분],"휴일"))</f>
        <v/>
      </c>
      <c r="U940">
        <f>IF($X940="","",COUNTIFS(상세표[사번키],INDEX(합계표[사번키],$X940),상세표[반영월],대상월키,상세표[야간당직],1,상세표[야간 구분],"평일",상세표[반영 기관],"서울병원"))</f>
        <v/>
      </c>
      <c r="V940">
        <f>IF($X940="","",COUNTIFS(상세표[사번키],INDEX(합계표[사번키],$X940),상세표[반영월],대상월키,상세표[야간당직],1,상세표[야간 구분],"휴일",상세표[반영 기관],"서울병원"))</f>
        <v/>
      </c>
      <c r="W940">
        <f>IF($X940="","",IF(ISNUMBER(MATCH(INDEX(합계표[사번키],$X940)&amp;"|"&amp;대상월키,월별근무지표[키],0)),"직접 입력",IF($L940="—","—","기관명단")))</f>
        <v/>
      </c>
      <c r="X940" s="4">
        <f>IFERROR(MATCH(935,합계표[판정순번],0),"")</f>
        <v/>
      </c>
    </row>
    <row r="941">
      <c r="A941">
        <f>IF($X941="","",INDEX(합계표[사번],$X941)&amp;"")</f>
        <v/>
      </c>
      <c r="B941">
        <f>IF($X941="","",INDEX(합계표[성명],$X941)&amp;"")</f>
        <v/>
      </c>
      <c r="C941">
        <f>IF($X941="","",INDEX(합계표[부서],$X941)&amp;"")</f>
        <v/>
      </c>
      <c r="D941">
        <f>IF($X941="","",INDEX(합계표[직위(요약)],$X941)&amp;"")</f>
        <v/>
      </c>
      <c r="E941">
        <f>IF($X941="","",INDEX(합계표[직급 공존],$X941)&amp;"")</f>
        <v/>
      </c>
      <c r="F941" s="20">
        <f>IF($X941="","",SUMIFS(합계표[시스템 합계],합계표[사번키],INDEX(합계표[사번키],$X941)))</f>
        <v/>
      </c>
      <c r="G941" s="20">
        <f>IF($X941="","",SUMIFS(상세표[기록 시간외],상세표[사번키],INDEX(합계표[사번키],$X941),상세표[기록월],대상월키))</f>
        <v/>
      </c>
      <c r="H941">
        <f>IF($X941="","",IF(ABS($F941-$G941)&lt;0.01,"일치","불일치(차이 "&amp;TEXT($G941-$F941,"0.00")&amp;")"))</f>
        <v/>
      </c>
      <c r="I941" s="20">
        <f>IF($X941="","",SUMIFS(상세표[기록 시간외],상세표[사번키],INDEX(합계표[사번키],$X941),상세표[기록월],대상월키,상세표[반영월],"&lt;&gt;"&amp;대상월키))</f>
        <v/>
      </c>
      <c r="J941" s="20">
        <f>IF($X941="","",SUMIFS(상세표[기록 시간외],상세표[사번키],INDEX(합계표[사번키],$X941),상세표[기록월],"&lt;&gt;"&amp;대상월키,상세표[반영월],대상월키))</f>
        <v/>
      </c>
      <c r="K941" s="20">
        <f>IF($X941="","",SUMIFS(상세표[기록 시간외],상세표[사번키],INDEX(합계표[사번키],$X941),상세표[반영월],대상월키))</f>
        <v/>
      </c>
      <c r="L941">
        <f>IF($X941="","",IFERROR(INDEX(월별근무지표[적용 급여병원],MATCH(INDEX(합계표[사번키],$X941)&amp;"|"&amp;대상월키,월별근무지표[키],0))&amp;"",IF(COUNTIF(기관표[사번키],INDEX(합계표[사번키],$X941))+COUNTIF(월별근무지표[사번키],INDEX(합계표[사번키],$X941))&gt;0,IFERROR(INDEX(기관표[급여지급병원(기준월)],MATCH(INDEX(합계표[사번키],$X941)&amp;"|"&amp;대상월키,기관표[키],0))&amp;"","—"),"—")))</f>
        <v/>
      </c>
      <c r="M941">
        <f>IF($X941="","",IF(NOT(COUNTIF(기관표[사번키],INDEX(합계표[사번키],$X941))+COUNTIF(월별근무지표[사번키],INDEX(합계표[사번키],$X941))&gt;0),"기관명단에 없음(다른 병원으로 발송)",IF($L941="서울병원","해당",IF(N($R941)&gt;0,"해당(말일 근무)",IF($L941="—","대상월 기관명단 없음(추가 필요)","비해당")))))</f>
        <v/>
      </c>
      <c r="N941" s="20">
        <f>IF($X941="","",SUMIFS(상세표[06~07시],상세표[사번키],INDEX(합계표[사번키],$X941),상세표[반영월],대상월키,상세표[반영 기관],"서울병원"))</f>
        <v/>
      </c>
      <c r="O941" s="20">
        <f>IF($X941="","",SUMIFS(상세표[07~18시],상세표[사번키],INDEX(합계표[사번키],$X941),상세표[반영월],대상월키,상세표[반영 기관],"서울병원"))</f>
        <v/>
      </c>
      <c r="P941" s="20">
        <f>IF($X941="","",SUMIFS(상세표[18~22시],상세표[사번키],INDEX(합계표[사번키],$X941),상세표[반영월],대상월키,상세표[반영 기관],"서울병원"))</f>
        <v/>
      </c>
      <c r="Q941" s="20">
        <f>IF($X941="","",SUMIFS(상세표[22~06시],상세표[사번키],INDEX(합계표[사번키],$X941),상세표[반영월],대상월키,상세표[반영 기관],"서울병원"))</f>
        <v/>
      </c>
      <c r="R941" s="20">
        <f>IF($X941="","",SUM($N941:$Q941))</f>
        <v/>
      </c>
      <c r="S941">
        <f>IF($X941="","",COUNTIFS(상세표[사번키],INDEX(합계표[사번키],$X941),상세표[반영월],대상월키,상세표[야간당직],1,상세표[야간 구분],"평일"))</f>
        <v/>
      </c>
      <c r="T941">
        <f>IF($X941="","",COUNTIFS(상세표[사번키],INDEX(합계표[사번키],$X941),상세표[반영월],대상월키,상세표[야간당직],1,상세표[야간 구분],"휴일"))</f>
        <v/>
      </c>
      <c r="U941">
        <f>IF($X941="","",COUNTIFS(상세표[사번키],INDEX(합계표[사번키],$X941),상세표[반영월],대상월키,상세표[야간당직],1,상세표[야간 구분],"평일",상세표[반영 기관],"서울병원"))</f>
        <v/>
      </c>
      <c r="V941">
        <f>IF($X941="","",COUNTIFS(상세표[사번키],INDEX(합계표[사번키],$X941),상세표[반영월],대상월키,상세표[야간당직],1,상세표[야간 구분],"휴일",상세표[반영 기관],"서울병원"))</f>
        <v/>
      </c>
      <c r="W941">
        <f>IF($X941="","",IF(ISNUMBER(MATCH(INDEX(합계표[사번키],$X941)&amp;"|"&amp;대상월키,월별근무지표[키],0)),"직접 입력",IF($L941="—","—","기관명단")))</f>
        <v/>
      </c>
      <c r="X941" s="4">
        <f>IFERROR(MATCH(936,합계표[판정순번],0),"")</f>
        <v/>
      </c>
    </row>
    <row r="942">
      <c r="A942">
        <f>IF($X942="","",INDEX(합계표[사번],$X942)&amp;"")</f>
        <v/>
      </c>
      <c r="B942">
        <f>IF($X942="","",INDEX(합계표[성명],$X942)&amp;"")</f>
        <v/>
      </c>
      <c r="C942">
        <f>IF($X942="","",INDEX(합계표[부서],$X942)&amp;"")</f>
        <v/>
      </c>
      <c r="D942">
        <f>IF($X942="","",INDEX(합계표[직위(요약)],$X942)&amp;"")</f>
        <v/>
      </c>
      <c r="E942">
        <f>IF($X942="","",INDEX(합계표[직급 공존],$X942)&amp;"")</f>
        <v/>
      </c>
      <c r="F942" s="20">
        <f>IF($X942="","",SUMIFS(합계표[시스템 합계],합계표[사번키],INDEX(합계표[사번키],$X942)))</f>
        <v/>
      </c>
      <c r="G942" s="20">
        <f>IF($X942="","",SUMIFS(상세표[기록 시간외],상세표[사번키],INDEX(합계표[사번키],$X942),상세표[기록월],대상월키))</f>
        <v/>
      </c>
      <c r="H942">
        <f>IF($X942="","",IF(ABS($F942-$G942)&lt;0.01,"일치","불일치(차이 "&amp;TEXT($G942-$F942,"0.00")&amp;")"))</f>
        <v/>
      </c>
      <c r="I942" s="20">
        <f>IF($X942="","",SUMIFS(상세표[기록 시간외],상세표[사번키],INDEX(합계표[사번키],$X942),상세표[기록월],대상월키,상세표[반영월],"&lt;&gt;"&amp;대상월키))</f>
        <v/>
      </c>
      <c r="J942" s="20">
        <f>IF($X942="","",SUMIFS(상세표[기록 시간외],상세표[사번키],INDEX(합계표[사번키],$X942),상세표[기록월],"&lt;&gt;"&amp;대상월키,상세표[반영월],대상월키))</f>
        <v/>
      </c>
      <c r="K942" s="20">
        <f>IF($X942="","",SUMIFS(상세표[기록 시간외],상세표[사번키],INDEX(합계표[사번키],$X942),상세표[반영월],대상월키))</f>
        <v/>
      </c>
      <c r="L942">
        <f>IF($X942="","",IFERROR(INDEX(월별근무지표[적용 급여병원],MATCH(INDEX(합계표[사번키],$X942)&amp;"|"&amp;대상월키,월별근무지표[키],0))&amp;"",IF(COUNTIF(기관표[사번키],INDEX(합계표[사번키],$X942))+COUNTIF(월별근무지표[사번키],INDEX(합계표[사번키],$X942))&gt;0,IFERROR(INDEX(기관표[급여지급병원(기준월)],MATCH(INDEX(합계표[사번키],$X942)&amp;"|"&amp;대상월키,기관표[키],0))&amp;"","—"),"—")))</f>
        <v/>
      </c>
      <c r="M942">
        <f>IF($X942="","",IF(NOT(COUNTIF(기관표[사번키],INDEX(합계표[사번키],$X942))+COUNTIF(월별근무지표[사번키],INDEX(합계표[사번키],$X942))&gt;0),"기관명단에 없음(다른 병원으로 발송)",IF($L942="서울병원","해당",IF(N($R942)&gt;0,"해당(말일 근무)",IF($L942="—","대상월 기관명단 없음(추가 필요)","비해당")))))</f>
        <v/>
      </c>
      <c r="N942" s="20">
        <f>IF($X942="","",SUMIFS(상세표[06~07시],상세표[사번키],INDEX(합계표[사번키],$X942),상세표[반영월],대상월키,상세표[반영 기관],"서울병원"))</f>
        <v/>
      </c>
      <c r="O942" s="20">
        <f>IF($X942="","",SUMIFS(상세표[07~18시],상세표[사번키],INDEX(합계표[사번키],$X942),상세표[반영월],대상월키,상세표[반영 기관],"서울병원"))</f>
        <v/>
      </c>
      <c r="P942" s="20">
        <f>IF($X942="","",SUMIFS(상세표[18~22시],상세표[사번키],INDEX(합계표[사번키],$X942),상세표[반영월],대상월키,상세표[반영 기관],"서울병원"))</f>
        <v/>
      </c>
      <c r="Q942" s="20">
        <f>IF($X942="","",SUMIFS(상세표[22~06시],상세표[사번키],INDEX(합계표[사번키],$X942),상세표[반영월],대상월키,상세표[반영 기관],"서울병원"))</f>
        <v/>
      </c>
      <c r="R942" s="20">
        <f>IF($X942="","",SUM($N942:$Q942))</f>
        <v/>
      </c>
      <c r="S942">
        <f>IF($X942="","",COUNTIFS(상세표[사번키],INDEX(합계표[사번키],$X942),상세표[반영월],대상월키,상세표[야간당직],1,상세표[야간 구분],"평일"))</f>
        <v/>
      </c>
      <c r="T942">
        <f>IF($X942="","",COUNTIFS(상세표[사번키],INDEX(합계표[사번키],$X942),상세표[반영월],대상월키,상세표[야간당직],1,상세표[야간 구분],"휴일"))</f>
        <v/>
      </c>
      <c r="U942">
        <f>IF($X942="","",COUNTIFS(상세표[사번키],INDEX(합계표[사번키],$X942),상세표[반영월],대상월키,상세표[야간당직],1,상세표[야간 구분],"평일",상세표[반영 기관],"서울병원"))</f>
        <v/>
      </c>
      <c r="V942">
        <f>IF($X942="","",COUNTIFS(상세표[사번키],INDEX(합계표[사번키],$X942),상세표[반영월],대상월키,상세표[야간당직],1,상세표[야간 구분],"휴일",상세표[반영 기관],"서울병원"))</f>
        <v/>
      </c>
      <c r="W942">
        <f>IF($X942="","",IF(ISNUMBER(MATCH(INDEX(합계표[사번키],$X942)&amp;"|"&amp;대상월키,월별근무지표[키],0)),"직접 입력",IF($L942="—","—","기관명단")))</f>
        <v/>
      </c>
      <c r="X942" s="4">
        <f>IFERROR(MATCH(937,합계표[판정순번],0),"")</f>
        <v/>
      </c>
    </row>
    <row r="943">
      <c r="A943">
        <f>IF($X943="","",INDEX(합계표[사번],$X943)&amp;"")</f>
        <v/>
      </c>
      <c r="B943">
        <f>IF($X943="","",INDEX(합계표[성명],$X943)&amp;"")</f>
        <v/>
      </c>
      <c r="C943">
        <f>IF($X943="","",INDEX(합계표[부서],$X943)&amp;"")</f>
        <v/>
      </c>
      <c r="D943">
        <f>IF($X943="","",INDEX(합계표[직위(요약)],$X943)&amp;"")</f>
        <v/>
      </c>
      <c r="E943">
        <f>IF($X943="","",INDEX(합계표[직급 공존],$X943)&amp;"")</f>
        <v/>
      </c>
      <c r="F943" s="20">
        <f>IF($X943="","",SUMIFS(합계표[시스템 합계],합계표[사번키],INDEX(합계표[사번키],$X943)))</f>
        <v/>
      </c>
      <c r="G943" s="20">
        <f>IF($X943="","",SUMIFS(상세표[기록 시간외],상세표[사번키],INDEX(합계표[사번키],$X943),상세표[기록월],대상월키))</f>
        <v/>
      </c>
      <c r="H943">
        <f>IF($X943="","",IF(ABS($F943-$G943)&lt;0.01,"일치","불일치(차이 "&amp;TEXT($G943-$F943,"0.00")&amp;")"))</f>
        <v/>
      </c>
      <c r="I943" s="20">
        <f>IF($X943="","",SUMIFS(상세표[기록 시간외],상세표[사번키],INDEX(합계표[사번키],$X943),상세표[기록월],대상월키,상세표[반영월],"&lt;&gt;"&amp;대상월키))</f>
        <v/>
      </c>
      <c r="J943" s="20">
        <f>IF($X943="","",SUMIFS(상세표[기록 시간외],상세표[사번키],INDEX(합계표[사번키],$X943),상세표[기록월],"&lt;&gt;"&amp;대상월키,상세표[반영월],대상월키))</f>
        <v/>
      </c>
      <c r="K943" s="20">
        <f>IF($X943="","",SUMIFS(상세표[기록 시간외],상세표[사번키],INDEX(합계표[사번키],$X943),상세표[반영월],대상월키))</f>
        <v/>
      </c>
      <c r="L943">
        <f>IF($X943="","",IFERROR(INDEX(월별근무지표[적용 급여병원],MATCH(INDEX(합계표[사번키],$X943)&amp;"|"&amp;대상월키,월별근무지표[키],0))&amp;"",IF(COUNTIF(기관표[사번키],INDEX(합계표[사번키],$X943))+COUNTIF(월별근무지표[사번키],INDEX(합계표[사번키],$X943))&gt;0,IFERROR(INDEX(기관표[급여지급병원(기준월)],MATCH(INDEX(합계표[사번키],$X943)&amp;"|"&amp;대상월키,기관표[키],0))&amp;"","—"),"—")))</f>
        <v/>
      </c>
      <c r="M943">
        <f>IF($X943="","",IF(NOT(COUNTIF(기관표[사번키],INDEX(합계표[사번키],$X943))+COUNTIF(월별근무지표[사번키],INDEX(합계표[사번키],$X943))&gt;0),"기관명단에 없음(다른 병원으로 발송)",IF($L943="서울병원","해당",IF(N($R943)&gt;0,"해당(말일 근무)",IF($L943="—","대상월 기관명단 없음(추가 필요)","비해당")))))</f>
        <v/>
      </c>
      <c r="N943" s="20">
        <f>IF($X943="","",SUMIFS(상세표[06~07시],상세표[사번키],INDEX(합계표[사번키],$X943),상세표[반영월],대상월키,상세표[반영 기관],"서울병원"))</f>
        <v/>
      </c>
      <c r="O943" s="20">
        <f>IF($X943="","",SUMIFS(상세표[07~18시],상세표[사번키],INDEX(합계표[사번키],$X943),상세표[반영월],대상월키,상세표[반영 기관],"서울병원"))</f>
        <v/>
      </c>
      <c r="P943" s="20">
        <f>IF($X943="","",SUMIFS(상세표[18~22시],상세표[사번키],INDEX(합계표[사번키],$X943),상세표[반영월],대상월키,상세표[반영 기관],"서울병원"))</f>
        <v/>
      </c>
      <c r="Q943" s="20">
        <f>IF($X943="","",SUMIFS(상세표[22~06시],상세표[사번키],INDEX(합계표[사번키],$X943),상세표[반영월],대상월키,상세표[반영 기관],"서울병원"))</f>
        <v/>
      </c>
      <c r="R943" s="20">
        <f>IF($X943="","",SUM($N943:$Q943))</f>
        <v/>
      </c>
      <c r="S943">
        <f>IF($X943="","",COUNTIFS(상세표[사번키],INDEX(합계표[사번키],$X943),상세표[반영월],대상월키,상세표[야간당직],1,상세표[야간 구분],"평일"))</f>
        <v/>
      </c>
      <c r="T943">
        <f>IF($X943="","",COUNTIFS(상세표[사번키],INDEX(합계표[사번키],$X943),상세표[반영월],대상월키,상세표[야간당직],1,상세표[야간 구분],"휴일"))</f>
        <v/>
      </c>
      <c r="U943">
        <f>IF($X943="","",COUNTIFS(상세표[사번키],INDEX(합계표[사번키],$X943),상세표[반영월],대상월키,상세표[야간당직],1,상세표[야간 구분],"평일",상세표[반영 기관],"서울병원"))</f>
        <v/>
      </c>
      <c r="V943">
        <f>IF($X943="","",COUNTIFS(상세표[사번키],INDEX(합계표[사번키],$X943),상세표[반영월],대상월키,상세표[야간당직],1,상세표[야간 구분],"휴일",상세표[반영 기관],"서울병원"))</f>
        <v/>
      </c>
      <c r="W943">
        <f>IF($X943="","",IF(ISNUMBER(MATCH(INDEX(합계표[사번키],$X943)&amp;"|"&amp;대상월키,월별근무지표[키],0)),"직접 입력",IF($L943="—","—","기관명단")))</f>
        <v/>
      </c>
      <c r="X943" s="4">
        <f>IFERROR(MATCH(938,합계표[판정순번],0),"")</f>
        <v/>
      </c>
    </row>
    <row r="944">
      <c r="A944">
        <f>IF($X944="","",INDEX(합계표[사번],$X944)&amp;"")</f>
        <v/>
      </c>
      <c r="B944">
        <f>IF($X944="","",INDEX(합계표[성명],$X944)&amp;"")</f>
        <v/>
      </c>
      <c r="C944">
        <f>IF($X944="","",INDEX(합계표[부서],$X944)&amp;"")</f>
        <v/>
      </c>
      <c r="D944">
        <f>IF($X944="","",INDEX(합계표[직위(요약)],$X944)&amp;"")</f>
        <v/>
      </c>
      <c r="E944">
        <f>IF($X944="","",INDEX(합계표[직급 공존],$X944)&amp;"")</f>
        <v/>
      </c>
      <c r="F944" s="20">
        <f>IF($X944="","",SUMIFS(합계표[시스템 합계],합계표[사번키],INDEX(합계표[사번키],$X944)))</f>
        <v/>
      </c>
      <c r="G944" s="20">
        <f>IF($X944="","",SUMIFS(상세표[기록 시간외],상세표[사번키],INDEX(합계표[사번키],$X944),상세표[기록월],대상월키))</f>
        <v/>
      </c>
      <c r="H944">
        <f>IF($X944="","",IF(ABS($F944-$G944)&lt;0.01,"일치","불일치(차이 "&amp;TEXT($G944-$F944,"0.00")&amp;")"))</f>
        <v/>
      </c>
      <c r="I944" s="20">
        <f>IF($X944="","",SUMIFS(상세표[기록 시간외],상세표[사번키],INDEX(합계표[사번키],$X944),상세표[기록월],대상월키,상세표[반영월],"&lt;&gt;"&amp;대상월키))</f>
        <v/>
      </c>
      <c r="J944" s="20">
        <f>IF($X944="","",SUMIFS(상세표[기록 시간외],상세표[사번키],INDEX(합계표[사번키],$X944),상세표[기록월],"&lt;&gt;"&amp;대상월키,상세표[반영월],대상월키))</f>
        <v/>
      </c>
      <c r="K944" s="20">
        <f>IF($X944="","",SUMIFS(상세표[기록 시간외],상세표[사번키],INDEX(합계표[사번키],$X944),상세표[반영월],대상월키))</f>
        <v/>
      </c>
      <c r="L944">
        <f>IF($X944="","",IFERROR(INDEX(월별근무지표[적용 급여병원],MATCH(INDEX(합계표[사번키],$X944)&amp;"|"&amp;대상월키,월별근무지표[키],0))&amp;"",IF(COUNTIF(기관표[사번키],INDEX(합계표[사번키],$X944))+COUNTIF(월별근무지표[사번키],INDEX(합계표[사번키],$X944))&gt;0,IFERROR(INDEX(기관표[급여지급병원(기준월)],MATCH(INDEX(합계표[사번키],$X944)&amp;"|"&amp;대상월키,기관표[키],0))&amp;"","—"),"—")))</f>
        <v/>
      </c>
      <c r="M944">
        <f>IF($X944="","",IF(NOT(COUNTIF(기관표[사번키],INDEX(합계표[사번키],$X944))+COUNTIF(월별근무지표[사번키],INDEX(합계표[사번키],$X944))&gt;0),"기관명단에 없음(다른 병원으로 발송)",IF($L944="서울병원","해당",IF(N($R944)&gt;0,"해당(말일 근무)",IF($L944="—","대상월 기관명단 없음(추가 필요)","비해당")))))</f>
        <v/>
      </c>
      <c r="N944" s="20">
        <f>IF($X944="","",SUMIFS(상세표[06~07시],상세표[사번키],INDEX(합계표[사번키],$X944),상세표[반영월],대상월키,상세표[반영 기관],"서울병원"))</f>
        <v/>
      </c>
      <c r="O944" s="20">
        <f>IF($X944="","",SUMIFS(상세표[07~18시],상세표[사번키],INDEX(합계표[사번키],$X944),상세표[반영월],대상월키,상세표[반영 기관],"서울병원"))</f>
        <v/>
      </c>
      <c r="P944" s="20">
        <f>IF($X944="","",SUMIFS(상세표[18~22시],상세표[사번키],INDEX(합계표[사번키],$X944),상세표[반영월],대상월키,상세표[반영 기관],"서울병원"))</f>
        <v/>
      </c>
      <c r="Q944" s="20">
        <f>IF($X944="","",SUMIFS(상세표[22~06시],상세표[사번키],INDEX(합계표[사번키],$X944),상세표[반영월],대상월키,상세표[반영 기관],"서울병원"))</f>
        <v/>
      </c>
      <c r="R944" s="20">
        <f>IF($X944="","",SUM($N944:$Q944))</f>
        <v/>
      </c>
      <c r="S944">
        <f>IF($X944="","",COUNTIFS(상세표[사번키],INDEX(합계표[사번키],$X944),상세표[반영월],대상월키,상세표[야간당직],1,상세표[야간 구분],"평일"))</f>
        <v/>
      </c>
      <c r="T944">
        <f>IF($X944="","",COUNTIFS(상세표[사번키],INDEX(합계표[사번키],$X944),상세표[반영월],대상월키,상세표[야간당직],1,상세표[야간 구분],"휴일"))</f>
        <v/>
      </c>
      <c r="U944">
        <f>IF($X944="","",COUNTIFS(상세표[사번키],INDEX(합계표[사번키],$X944),상세표[반영월],대상월키,상세표[야간당직],1,상세표[야간 구분],"평일",상세표[반영 기관],"서울병원"))</f>
        <v/>
      </c>
      <c r="V944">
        <f>IF($X944="","",COUNTIFS(상세표[사번키],INDEX(합계표[사번키],$X944),상세표[반영월],대상월키,상세표[야간당직],1,상세표[야간 구분],"휴일",상세표[반영 기관],"서울병원"))</f>
        <v/>
      </c>
      <c r="W944">
        <f>IF($X944="","",IF(ISNUMBER(MATCH(INDEX(합계표[사번키],$X944)&amp;"|"&amp;대상월키,월별근무지표[키],0)),"직접 입력",IF($L944="—","—","기관명단")))</f>
        <v/>
      </c>
      <c r="X944" s="4">
        <f>IFERROR(MATCH(939,합계표[판정순번],0),"")</f>
        <v/>
      </c>
    </row>
    <row r="945">
      <c r="A945">
        <f>IF($X945="","",INDEX(합계표[사번],$X945)&amp;"")</f>
        <v/>
      </c>
      <c r="B945">
        <f>IF($X945="","",INDEX(합계표[성명],$X945)&amp;"")</f>
        <v/>
      </c>
      <c r="C945">
        <f>IF($X945="","",INDEX(합계표[부서],$X945)&amp;"")</f>
        <v/>
      </c>
      <c r="D945">
        <f>IF($X945="","",INDEX(합계표[직위(요약)],$X945)&amp;"")</f>
        <v/>
      </c>
      <c r="E945">
        <f>IF($X945="","",INDEX(합계표[직급 공존],$X945)&amp;"")</f>
        <v/>
      </c>
      <c r="F945" s="20">
        <f>IF($X945="","",SUMIFS(합계표[시스템 합계],합계표[사번키],INDEX(합계표[사번키],$X945)))</f>
        <v/>
      </c>
      <c r="G945" s="20">
        <f>IF($X945="","",SUMIFS(상세표[기록 시간외],상세표[사번키],INDEX(합계표[사번키],$X945),상세표[기록월],대상월키))</f>
        <v/>
      </c>
      <c r="H945">
        <f>IF($X945="","",IF(ABS($F945-$G945)&lt;0.01,"일치","불일치(차이 "&amp;TEXT($G945-$F945,"0.00")&amp;")"))</f>
        <v/>
      </c>
      <c r="I945" s="20">
        <f>IF($X945="","",SUMIFS(상세표[기록 시간외],상세표[사번키],INDEX(합계표[사번키],$X945),상세표[기록월],대상월키,상세표[반영월],"&lt;&gt;"&amp;대상월키))</f>
        <v/>
      </c>
      <c r="J945" s="20">
        <f>IF($X945="","",SUMIFS(상세표[기록 시간외],상세표[사번키],INDEX(합계표[사번키],$X945),상세표[기록월],"&lt;&gt;"&amp;대상월키,상세표[반영월],대상월키))</f>
        <v/>
      </c>
      <c r="K945" s="20">
        <f>IF($X945="","",SUMIFS(상세표[기록 시간외],상세표[사번키],INDEX(합계표[사번키],$X945),상세표[반영월],대상월키))</f>
        <v/>
      </c>
      <c r="L945">
        <f>IF($X945="","",IFERROR(INDEX(월별근무지표[적용 급여병원],MATCH(INDEX(합계표[사번키],$X945)&amp;"|"&amp;대상월키,월별근무지표[키],0))&amp;"",IF(COUNTIF(기관표[사번키],INDEX(합계표[사번키],$X945))+COUNTIF(월별근무지표[사번키],INDEX(합계표[사번키],$X945))&gt;0,IFERROR(INDEX(기관표[급여지급병원(기준월)],MATCH(INDEX(합계표[사번키],$X945)&amp;"|"&amp;대상월키,기관표[키],0))&amp;"","—"),"—")))</f>
        <v/>
      </c>
      <c r="M945">
        <f>IF($X945="","",IF(NOT(COUNTIF(기관표[사번키],INDEX(합계표[사번키],$X945))+COUNTIF(월별근무지표[사번키],INDEX(합계표[사번키],$X945))&gt;0),"기관명단에 없음(다른 병원으로 발송)",IF($L945="서울병원","해당",IF(N($R945)&gt;0,"해당(말일 근무)",IF($L945="—","대상월 기관명단 없음(추가 필요)","비해당")))))</f>
        <v/>
      </c>
      <c r="N945" s="20">
        <f>IF($X945="","",SUMIFS(상세표[06~07시],상세표[사번키],INDEX(합계표[사번키],$X945),상세표[반영월],대상월키,상세표[반영 기관],"서울병원"))</f>
        <v/>
      </c>
      <c r="O945" s="20">
        <f>IF($X945="","",SUMIFS(상세표[07~18시],상세표[사번키],INDEX(합계표[사번키],$X945),상세표[반영월],대상월키,상세표[반영 기관],"서울병원"))</f>
        <v/>
      </c>
      <c r="P945" s="20">
        <f>IF($X945="","",SUMIFS(상세표[18~22시],상세표[사번키],INDEX(합계표[사번키],$X945),상세표[반영월],대상월키,상세표[반영 기관],"서울병원"))</f>
        <v/>
      </c>
      <c r="Q945" s="20">
        <f>IF($X945="","",SUMIFS(상세표[22~06시],상세표[사번키],INDEX(합계표[사번키],$X945),상세표[반영월],대상월키,상세표[반영 기관],"서울병원"))</f>
        <v/>
      </c>
      <c r="R945" s="20">
        <f>IF($X945="","",SUM($N945:$Q945))</f>
        <v/>
      </c>
      <c r="S945">
        <f>IF($X945="","",COUNTIFS(상세표[사번키],INDEX(합계표[사번키],$X945),상세표[반영월],대상월키,상세표[야간당직],1,상세표[야간 구분],"평일"))</f>
        <v/>
      </c>
      <c r="T945">
        <f>IF($X945="","",COUNTIFS(상세표[사번키],INDEX(합계표[사번키],$X945),상세표[반영월],대상월키,상세표[야간당직],1,상세표[야간 구분],"휴일"))</f>
        <v/>
      </c>
      <c r="U945">
        <f>IF($X945="","",COUNTIFS(상세표[사번키],INDEX(합계표[사번키],$X945),상세표[반영월],대상월키,상세표[야간당직],1,상세표[야간 구분],"평일",상세표[반영 기관],"서울병원"))</f>
        <v/>
      </c>
      <c r="V945">
        <f>IF($X945="","",COUNTIFS(상세표[사번키],INDEX(합계표[사번키],$X945),상세표[반영월],대상월키,상세표[야간당직],1,상세표[야간 구분],"휴일",상세표[반영 기관],"서울병원"))</f>
        <v/>
      </c>
      <c r="W945">
        <f>IF($X945="","",IF(ISNUMBER(MATCH(INDEX(합계표[사번키],$X945)&amp;"|"&amp;대상월키,월별근무지표[키],0)),"직접 입력",IF($L945="—","—","기관명단")))</f>
        <v/>
      </c>
      <c r="X945" s="4">
        <f>IFERROR(MATCH(940,합계표[판정순번],0),"")</f>
        <v/>
      </c>
    </row>
    <row r="946">
      <c r="A946">
        <f>IF($X946="","",INDEX(합계표[사번],$X946)&amp;"")</f>
        <v/>
      </c>
      <c r="B946">
        <f>IF($X946="","",INDEX(합계표[성명],$X946)&amp;"")</f>
        <v/>
      </c>
      <c r="C946">
        <f>IF($X946="","",INDEX(합계표[부서],$X946)&amp;"")</f>
        <v/>
      </c>
      <c r="D946">
        <f>IF($X946="","",INDEX(합계표[직위(요약)],$X946)&amp;"")</f>
        <v/>
      </c>
      <c r="E946">
        <f>IF($X946="","",INDEX(합계표[직급 공존],$X946)&amp;"")</f>
        <v/>
      </c>
      <c r="F946" s="20">
        <f>IF($X946="","",SUMIFS(합계표[시스템 합계],합계표[사번키],INDEX(합계표[사번키],$X946)))</f>
        <v/>
      </c>
      <c r="G946" s="20">
        <f>IF($X946="","",SUMIFS(상세표[기록 시간외],상세표[사번키],INDEX(합계표[사번키],$X946),상세표[기록월],대상월키))</f>
        <v/>
      </c>
      <c r="H946">
        <f>IF($X946="","",IF(ABS($F946-$G946)&lt;0.01,"일치","불일치(차이 "&amp;TEXT($G946-$F946,"0.00")&amp;")"))</f>
        <v/>
      </c>
      <c r="I946" s="20">
        <f>IF($X946="","",SUMIFS(상세표[기록 시간외],상세표[사번키],INDEX(합계표[사번키],$X946),상세표[기록월],대상월키,상세표[반영월],"&lt;&gt;"&amp;대상월키))</f>
        <v/>
      </c>
      <c r="J946" s="20">
        <f>IF($X946="","",SUMIFS(상세표[기록 시간외],상세표[사번키],INDEX(합계표[사번키],$X946),상세표[기록월],"&lt;&gt;"&amp;대상월키,상세표[반영월],대상월키))</f>
        <v/>
      </c>
      <c r="K946" s="20">
        <f>IF($X946="","",SUMIFS(상세표[기록 시간외],상세표[사번키],INDEX(합계표[사번키],$X946),상세표[반영월],대상월키))</f>
        <v/>
      </c>
      <c r="L946">
        <f>IF($X946="","",IFERROR(INDEX(월별근무지표[적용 급여병원],MATCH(INDEX(합계표[사번키],$X946)&amp;"|"&amp;대상월키,월별근무지표[키],0))&amp;"",IF(COUNTIF(기관표[사번키],INDEX(합계표[사번키],$X946))+COUNTIF(월별근무지표[사번키],INDEX(합계표[사번키],$X946))&gt;0,IFERROR(INDEX(기관표[급여지급병원(기준월)],MATCH(INDEX(합계표[사번키],$X946)&amp;"|"&amp;대상월키,기관표[키],0))&amp;"","—"),"—")))</f>
        <v/>
      </c>
      <c r="M946">
        <f>IF($X946="","",IF(NOT(COUNTIF(기관표[사번키],INDEX(합계표[사번키],$X946))+COUNTIF(월별근무지표[사번키],INDEX(합계표[사번키],$X946))&gt;0),"기관명단에 없음(다른 병원으로 발송)",IF($L946="서울병원","해당",IF(N($R946)&gt;0,"해당(말일 근무)",IF($L946="—","대상월 기관명단 없음(추가 필요)","비해당")))))</f>
        <v/>
      </c>
      <c r="N946" s="20">
        <f>IF($X946="","",SUMIFS(상세표[06~07시],상세표[사번키],INDEX(합계표[사번키],$X946),상세표[반영월],대상월키,상세표[반영 기관],"서울병원"))</f>
        <v/>
      </c>
      <c r="O946" s="20">
        <f>IF($X946="","",SUMIFS(상세표[07~18시],상세표[사번키],INDEX(합계표[사번키],$X946),상세표[반영월],대상월키,상세표[반영 기관],"서울병원"))</f>
        <v/>
      </c>
      <c r="P946" s="20">
        <f>IF($X946="","",SUMIFS(상세표[18~22시],상세표[사번키],INDEX(합계표[사번키],$X946),상세표[반영월],대상월키,상세표[반영 기관],"서울병원"))</f>
        <v/>
      </c>
      <c r="Q946" s="20">
        <f>IF($X946="","",SUMIFS(상세표[22~06시],상세표[사번키],INDEX(합계표[사번키],$X946),상세표[반영월],대상월키,상세표[반영 기관],"서울병원"))</f>
        <v/>
      </c>
      <c r="R946" s="20">
        <f>IF($X946="","",SUM($N946:$Q946))</f>
        <v/>
      </c>
      <c r="S946">
        <f>IF($X946="","",COUNTIFS(상세표[사번키],INDEX(합계표[사번키],$X946),상세표[반영월],대상월키,상세표[야간당직],1,상세표[야간 구분],"평일"))</f>
        <v/>
      </c>
      <c r="T946">
        <f>IF($X946="","",COUNTIFS(상세표[사번키],INDEX(합계표[사번키],$X946),상세표[반영월],대상월키,상세표[야간당직],1,상세표[야간 구분],"휴일"))</f>
        <v/>
      </c>
      <c r="U946">
        <f>IF($X946="","",COUNTIFS(상세표[사번키],INDEX(합계표[사번키],$X946),상세표[반영월],대상월키,상세표[야간당직],1,상세표[야간 구분],"평일",상세표[반영 기관],"서울병원"))</f>
        <v/>
      </c>
      <c r="V946">
        <f>IF($X946="","",COUNTIFS(상세표[사번키],INDEX(합계표[사번키],$X946),상세표[반영월],대상월키,상세표[야간당직],1,상세표[야간 구분],"휴일",상세표[반영 기관],"서울병원"))</f>
        <v/>
      </c>
      <c r="W946">
        <f>IF($X946="","",IF(ISNUMBER(MATCH(INDEX(합계표[사번키],$X946)&amp;"|"&amp;대상월키,월별근무지표[키],0)),"직접 입력",IF($L946="—","—","기관명단")))</f>
        <v/>
      </c>
      <c r="X946" s="4">
        <f>IFERROR(MATCH(941,합계표[판정순번],0),"")</f>
        <v/>
      </c>
    </row>
    <row r="947">
      <c r="A947">
        <f>IF($X947="","",INDEX(합계표[사번],$X947)&amp;"")</f>
        <v/>
      </c>
      <c r="B947">
        <f>IF($X947="","",INDEX(합계표[성명],$X947)&amp;"")</f>
        <v/>
      </c>
      <c r="C947">
        <f>IF($X947="","",INDEX(합계표[부서],$X947)&amp;"")</f>
        <v/>
      </c>
      <c r="D947">
        <f>IF($X947="","",INDEX(합계표[직위(요약)],$X947)&amp;"")</f>
        <v/>
      </c>
      <c r="E947">
        <f>IF($X947="","",INDEX(합계표[직급 공존],$X947)&amp;"")</f>
        <v/>
      </c>
      <c r="F947" s="20">
        <f>IF($X947="","",SUMIFS(합계표[시스템 합계],합계표[사번키],INDEX(합계표[사번키],$X947)))</f>
        <v/>
      </c>
      <c r="G947" s="20">
        <f>IF($X947="","",SUMIFS(상세표[기록 시간외],상세표[사번키],INDEX(합계표[사번키],$X947),상세표[기록월],대상월키))</f>
        <v/>
      </c>
      <c r="H947">
        <f>IF($X947="","",IF(ABS($F947-$G947)&lt;0.01,"일치","불일치(차이 "&amp;TEXT($G947-$F947,"0.00")&amp;")"))</f>
        <v/>
      </c>
      <c r="I947" s="20">
        <f>IF($X947="","",SUMIFS(상세표[기록 시간외],상세표[사번키],INDEX(합계표[사번키],$X947),상세표[기록월],대상월키,상세표[반영월],"&lt;&gt;"&amp;대상월키))</f>
        <v/>
      </c>
      <c r="J947" s="20">
        <f>IF($X947="","",SUMIFS(상세표[기록 시간외],상세표[사번키],INDEX(합계표[사번키],$X947),상세표[기록월],"&lt;&gt;"&amp;대상월키,상세표[반영월],대상월키))</f>
        <v/>
      </c>
      <c r="K947" s="20">
        <f>IF($X947="","",SUMIFS(상세표[기록 시간외],상세표[사번키],INDEX(합계표[사번키],$X947),상세표[반영월],대상월키))</f>
        <v/>
      </c>
      <c r="L947">
        <f>IF($X947="","",IFERROR(INDEX(월별근무지표[적용 급여병원],MATCH(INDEX(합계표[사번키],$X947)&amp;"|"&amp;대상월키,월별근무지표[키],0))&amp;"",IF(COUNTIF(기관표[사번키],INDEX(합계표[사번키],$X947))+COUNTIF(월별근무지표[사번키],INDEX(합계표[사번키],$X947))&gt;0,IFERROR(INDEX(기관표[급여지급병원(기준월)],MATCH(INDEX(합계표[사번키],$X947)&amp;"|"&amp;대상월키,기관표[키],0))&amp;"","—"),"—")))</f>
        <v/>
      </c>
      <c r="M947">
        <f>IF($X947="","",IF(NOT(COUNTIF(기관표[사번키],INDEX(합계표[사번키],$X947))+COUNTIF(월별근무지표[사번키],INDEX(합계표[사번키],$X947))&gt;0),"기관명단에 없음(다른 병원으로 발송)",IF($L947="서울병원","해당",IF(N($R947)&gt;0,"해당(말일 근무)",IF($L947="—","대상월 기관명단 없음(추가 필요)","비해당")))))</f>
        <v/>
      </c>
      <c r="N947" s="20">
        <f>IF($X947="","",SUMIFS(상세표[06~07시],상세표[사번키],INDEX(합계표[사번키],$X947),상세표[반영월],대상월키,상세표[반영 기관],"서울병원"))</f>
        <v/>
      </c>
      <c r="O947" s="20">
        <f>IF($X947="","",SUMIFS(상세표[07~18시],상세표[사번키],INDEX(합계표[사번키],$X947),상세표[반영월],대상월키,상세표[반영 기관],"서울병원"))</f>
        <v/>
      </c>
      <c r="P947" s="20">
        <f>IF($X947="","",SUMIFS(상세표[18~22시],상세표[사번키],INDEX(합계표[사번키],$X947),상세표[반영월],대상월키,상세표[반영 기관],"서울병원"))</f>
        <v/>
      </c>
      <c r="Q947" s="20">
        <f>IF($X947="","",SUMIFS(상세표[22~06시],상세표[사번키],INDEX(합계표[사번키],$X947),상세표[반영월],대상월키,상세표[반영 기관],"서울병원"))</f>
        <v/>
      </c>
      <c r="R947" s="20">
        <f>IF($X947="","",SUM($N947:$Q947))</f>
        <v/>
      </c>
      <c r="S947">
        <f>IF($X947="","",COUNTIFS(상세표[사번키],INDEX(합계표[사번키],$X947),상세표[반영월],대상월키,상세표[야간당직],1,상세표[야간 구분],"평일"))</f>
        <v/>
      </c>
      <c r="T947">
        <f>IF($X947="","",COUNTIFS(상세표[사번키],INDEX(합계표[사번키],$X947),상세표[반영월],대상월키,상세표[야간당직],1,상세표[야간 구분],"휴일"))</f>
        <v/>
      </c>
      <c r="U947">
        <f>IF($X947="","",COUNTIFS(상세표[사번키],INDEX(합계표[사번키],$X947),상세표[반영월],대상월키,상세표[야간당직],1,상세표[야간 구분],"평일",상세표[반영 기관],"서울병원"))</f>
        <v/>
      </c>
      <c r="V947">
        <f>IF($X947="","",COUNTIFS(상세표[사번키],INDEX(합계표[사번키],$X947),상세표[반영월],대상월키,상세표[야간당직],1,상세표[야간 구분],"휴일",상세표[반영 기관],"서울병원"))</f>
        <v/>
      </c>
      <c r="W947">
        <f>IF($X947="","",IF(ISNUMBER(MATCH(INDEX(합계표[사번키],$X947)&amp;"|"&amp;대상월키,월별근무지표[키],0)),"직접 입력",IF($L947="—","—","기관명단")))</f>
        <v/>
      </c>
      <c r="X947" s="4">
        <f>IFERROR(MATCH(942,합계표[판정순번],0),"")</f>
        <v/>
      </c>
    </row>
    <row r="948">
      <c r="A948">
        <f>IF($X948="","",INDEX(합계표[사번],$X948)&amp;"")</f>
        <v/>
      </c>
      <c r="B948">
        <f>IF($X948="","",INDEX(합계표[성명],$X948)&amp;"")</f>
        <v/>
      </c>
      <c r="C948">
        <f>IF($X948="","",INDEX(합계표[부서],$X948)&amp;"")</f>
        <v/>
      </c>
      <c r="D948">
        <f>IF($X948="","",INDEX(합계표[직위(요약)],$X948)&amp;"")</f>
        <v/>
      </c>
      <c r="E948">
        <f>IF($X948="","",INDEX(합계표[직급 공존],$X948)&amp;"")</f>
        <v/>
      </c>
      <c r="F948" s="20">
        <f>IF($X948="","",SUMIFS(합계표[시스템 합계],합계표[사번키],INDEX(합계표[사번키],$X948)))</f>
        <v/>
      </c>
      <c r="G948" s="20">
        <f>IF($X948="","",SUMIFS(상세표[기록 시간외],상세표[사번키],INDEX(합계표[사번키],$X948),상세표[기록월],대상월키))</f>
        <v/>
      </c>
      <c r="H948">
        <f>IF($X948="","",IF(ABS($F948-$G948)&lt;0.01,"일치","불일치(차이 "&amp;TEXT($G948-$F948,"0.00")&amp;")"))</f>
        <v/>
      </c>
      <c r="I948" s="20">
        <f>IF($X948="","",SUMIFS(상세표[기록 시간외],상세표[사번키],INDEX(합계표[사번키],$X948),상세표[기록월],대상월키,상세표[반영월],"&lt;&gt;"&amp;대상월키))</f>
        <v/>
      </c>
      <c r="J948" s="20">
        <f>IF($X948="","",SUMIFS(상세표[기록 시간외],상세표[사번키],INDEX(합계표[사번키],$X948),상세표[기록월],"&lt;&gt;"&amp;대상월키,상세표[반영월],대상월키))</f>
        <v/>
      </c>
      <c r="K948" s="20">
        <f>IF($X948="","",SUMIFS(상세표[기록 시간외],상세표[사번키],INDEX(합계표[사번키],$X948),상세표[반영월],대상월키))</f>
        <v/>
      </c>
      <c r="L948">
        <f>IF($X948="","",IFERROR(INDEX(월별근무지표[적용 급여병원],MATCH(INDEX(합계표[사번키],$X948)&amp;"|"&amp;대상월키,월별근무지표[키],0))&amp;"",IF(COUNTIF(기관표[사번키],INDEX(합계표[사번키],$X948))+COUNTIF(월별근무지표[사번키],INDEX(합계표[사번키],$X948))&gt;0,IFERROR(INDEX(기관표[급여지급병원(기준월)],MATCH(INDEX(합계표[사번키],$X948)&amp;"|"&amp;대상월키,기관표[키],0))&amp;"","—"),"—")))</f>
        <v/>
      </c>
      <c r="M948">
        <f>IF($X948="","",IF(NOT(COUNTIF(기관표[사번키],INDEX(합계표[사번키],$X948))+COUNTIF(월별근무지표[사번키],INDEX(합계표[사번키],$X948))&gt;0),"기관명단에 없음(다른 병원으로 발송)",IF($L948="서울병원","해당",IF(N($R948)&gt;0,"해당(말일 근무)",IF($L948="—","대상월 기관명단 없음(추가 필요)","비해당")))))</f>
        <v/>
      </c>
      <c r="N948" s="20">
        <f>IF($X948="","",SUMIFS(상세표[06~07시],상세표[사번키],INDEX(합계표[사번키],$X948),상세표[반영월],대상월키,상세표[반영 기관],"서울병원"))</f>
        <v/>
      </c>
      <c r="O948" s="20">
        <f>IF($X948="","",SUMIFS(상세표[07~18시],상세표[사번키],INDEX(합계표[사번키],$X948),상세표[반영월],대상월키,상세표[반영 기관],"서울병원"))</f>
        <v/>
      </c>
      <c r="P948" s="20">
        <f>IF($X948="","",SUMIFS(상세표[18~22시],상세표[사번키],INDEX(합계표[사번키],$X948),상세표[반영월],대상월키,상세표[반영 기관],"서울병원"))</f>
        <v/>
      </c>
      <c r="Q948" s="20">
        <f>IF($X948="","",SUMIFS(상세표[22~06시],상세표[사번키],INDEX(합계표[사번키],$X948),상세표[반영월],대상월키,상세표[반영 기관],"서울병원"))</f>
        <v/>
      </c>
      <c r="R948" s="20">
        <f>IF($X948="","",SUM($N948:$Q948))</f>
        <v/>
      </c>
      <c r="S948">
        <f>IF($X948="","",COUNTIFS(상세표[사번키],INDEX(합계표[사번키],$X948),상세표[반영월],대상월키,상세표[야간당직],1,상세표[야간 구분],"평일"))</f>
        <v/>
      </c>
      <c r="T948">
        <f>IF($X948="","",COUNTIFS(상세표[사번키],INDEX(합계표[사번키],$X948),상세표[반영월],대상월키,상세표[야간당직],1,상세표[야간 구분],"휴일"))</f>
        <v/>
      </c>
      <c r="U948">
        <f>IF($X948="","",COUNTIFS(상세표[사번키],INDEX(합계표[사번키],$X948),상세표[반영월],대상월키,상세표[야간당직],1,상세표[야간 구분],"평일",상세표[반영 기관],"서울병원"))</f>
        <v/>
      </c>
      <c r="V948">
        <f>IF($X948="","",COUNTIFS(상세표[사번키],INDEX(합계표[사번키],$X948),상세표[반영월],대상월키,상세표[야간당직],1,상세표[야간 구분],"휴일",상세표[반영 기관],"서울병원"))</f>
        <v/>
      </c>
      <c r="W948">
        <f>IF($X948="","",IF(ISNUMBER(MATCH(INDEX(합계표[사번키],$X948)&amp;"|"&amp;대상월키,월별근무지표[키],0)),"직접 입력",IF($L948="—","—","기관명단")))</f>
        <v/>
      </c>
      <c r="X948" s="4">
        <f>IFERROR(MATCH(943,합계표[판정순번],0),"")</f>
        <v/>
      </c>
    </row>
    <row r="949">
      <c r="A949">
        <f>IF($X949="","",INDEX(합계표[사번],$X949)&amp;"")</f>
        <v/>
      </c>
      <c r="B949">
        <f>IF($X949="","",INDEX(합계표[성명],$X949)&amp;"")</f>
        <v/>
      </c>
      <c r="C949">
        <f>IF($X949="","",INDEX(합계표[부서],$X949)&amp;"")</f>
        <v/>
      </c>
      <c r="D949">
        <f>IF($X949="","",INDEX(합계표[직위(요약)],$X949)&amp;"")</f>
        <v/>
      </c>
      <c r="E949">
        <f>IF($X949="","",INDEX(합계표[직급 공존],$X949)&amp;"")</f>
        <v/>
      </c>
      <c r="F949" s="20">
        <f>IF($X949="","",SUMIFS(합계표[시스템 합계],합계표[사번키],INDEX(합계표[사번키],$X949)))</f>
        <v/>
      </c>
      <c r="G949" s="20">
        <f>IF($X949="","",SUMIFS(상세표[기록 시간외],상세표[사번키],INDEX(합계표[사번키],$X949),상세표[기록월],대상월키))</f>
        <v/>
      </c>
      <c r="H949">
        <f>IF($X949="","",IF(ABS($F949-$G949)&lt;0.01,"일치","불일치(차이 "&amp;TEXT($G949-$F949,"0.00")&amp;")"))</f>
        <v/>
      </c>
      <c r="I949" s="20">
        <f>IF($X949="","",SUMIFS(상세표[기록 시간외],상세표[사번키],INDEX(합계표[사번키],$X949),상세표[기록월],대상월키,상세표[반영월],"&lt;&gt;"&amp;대상월키))</f>
        <v/>
      </c>
      <c r="J949" s="20">
        <f>IF($X949="","",SUMIFS(상세표[기록 시간외],상세표[사번키],INDEX(합계표[사번키],$X949),상세표[기록월],"&lt;&gt;"&amp;대상월키,상세표[반영월],대상월키))</f>
        <v/>
      </c>
      <c r="K949" s="20">
        <f>IF($X949="","",SUMIFS(상세표[기록 시간외],상세표[사번키],INDEX(합계표[사번키],$X949),상세표[반영월],대상월키))</f>
        <v/>
      </c>
      <c r="L949">
        <f>IF($X949="","",IFERROR(INDEX(월별근무지표[적용 급여병원],MATCH(INDEX(합계표[사번키],$X949)&amp;"|"&amp;대상월키,월별근무지표[키],0))&amp;"",IF(COUNTIF(기관표[사번키],INDEX(합계표[사번키],$X949))+COUNTIF(월별근무지표[사번키],INDEX(합계표[사번키],$X949))&gt;0,IFERROR(INDEX(기관표[급여지급병원(기준월)],MATCH(INDEX(합계표[사번키],$X949)&amp;"|"&amp;대상월키,기관표[키],0))&amp;"","—"),"—")))</f>
        <v/>
      </c>
      <c r="M949">
        <f>IF($X949="","",IF(NOT(COUNTIF(기관표[사번키],INDEX(합계표[사번키],$X949))+COUNTIF(월별근무지표[사번키],INDEX(합계표[사번키],$X949))&gt;0),"기관명단에 없음(다른 병원으로 발송)",IF($L949="서울병원","해당",IF(N($R949)&gt;0,"해당(말일 근무)",IF($L949="—","대상월 기관명단 없음(추가 필요)","비해당")))))</f>
        <v/>
      </c>
      <c r="N949" s="20">
        <f>IF($X949="","",SUMIFS(상세표[06~07시],상세표[사번키],INDEX(합계표[사번키],$X949),상세표[반영월],대상월키,상세표[반영 기관],"서울병원"))</f>
        <v/>
      </c>
      <c r="O949" s="20">
        <f>IF($X949="","",SUMIFS(상세표[07~18시],상세표[사번키],INDEX(합계표[사번키],$X949),상세표[반영월],대상월키,상세표[반영 기관],"서울병원"))</f>
        <v/>
      </c>
      <c r="P949" s="20">
        <f>IF($X949="","",SUMIFS(상세표[18~22시],상세표[사번키],INDEX(합계표[사번키],$X949),상세표[반영월],대상월키,상세표[반영 기관],"서울병원"))</f>
        <v/>
      </c>
      <c r="Q949" s="20">
        <f>IF($X949="","",SUMIFS(상세표[22~06시],상세표[사번키],INDEX(합계표[사번키],$X949),상세표[반영월],대상월키,상세표[반영 기관],"서울병원"))</f>
        <v/>
      </c>
      <c r="R949" s="20">
        <f>IF($X949="","",SUM($N949:$Q949))</f>
        <v/>
      </c>
      <c r="S949">
        <f>IF($X949="","",COUNTIFS(상세표[사번키],INDEX(합계표[사번키],$X949),상세표[반영월],대상월키,상세표[야간당직],1,상세표[야간 구분],"평일"))</f>
        <v/>
      </c>
      <c r="T949">
        <f>IF($X949="","",COUNTIFS(상세표[사번키],INDEX(합계표[사번키],$X949),상세표[반영월],대상월키,상세표[야간당직],1,상세표[야간 구분],"휴일"))</f>
        <v/>
      </c>
      <c r="U949">
        <f>IF($X949="","",COUNTIFS(상세표[사번키],INDEX(합계표[사번키],$X949),상세표[반영월],대상월키,상세표[야간당직],1,상세표[야간 구분],"평일",상세표[반영 기관],"서울병원"))</f>
        <v/>
      </c>
      <c r="V949">
        <f>IF($X949="","",COUNTIFS(상세표[사번키],INDEX(합계표[사번키],$X949),상세표[반영월],대상월키,상세표[야간당직],1,상세표[야간 구분],"휴일",상세표[반영 기관],"서울병원"))</f>
        <v/>
      </c>
      <c r="W949">
        <f>IF($X949="","",IF(ISNUMBER(MATCH(INDEX(합계표[사번키],$X949)&amp;"|"&amp;대상월키,월별근무지표[키],0)),"직접 입력",IF($L949="—","—","기관명단")))</f>
        <v/>
      </c>
      <c r="X949" s="4">
        <f>IFERROR(MATCH(944,합계표[판정순번],0),"")</f>
        <v/>
      </c>
    </row>
    <row r="950">
      <c r="A950">
        <f>IF($X950="","",INDEX(합계표[사번],$X950)&amp;"")</f>
        <v/>
      </c>
      <c r="B950">
        <f>IF($X950="","",INDEX(합계표[성명],$X950)&amp;"")</f>
        <v/>
      </c>
      <c r="C950">
        <f>IF($X950="","",INDEX(합계표[부서],$X950)&amp;"")</f>
        <v/>
      </c>
      <c r="D950">
        <f>IF($X950="","",INDEX(합계표[직위(요약)],$X950)&amp;"")</f>
        <v/>
      </c>
      <c r="E950">
        <f>IF($X950="","",INDEX(합계표[직급 공존],$X950)&amp;"")</f>
        <v/>
      </c>
      <c r="F950" s="20">
        <f>IF($X950="","",SUMIFS(합계표[시스템 합계],합계표[사번키],INDEX(합계표[사번키],$X950)))</f>
        <v/>
      </c>
      <c r="G950" s="20">
        <f>IF($X950="","",SUMIFS(상세표[기록 시간외],상세표[사번키],INDEX(합계표[사번키],$X950),상세표[기록월],대상월키))</f>
        <v/>
      </c>
      <c r="H950">
        <f>IF($X950="","",IF(ABS($F950-$G950)&lt;0.01,"일치","불일치(차이 "&amp;TEXT($G950-$F950,"0.00")&amp;")"))</f>
        <v/>
      </c>
      <c r="I950" s="20">
        <f>IF($X950="","",SUMIFS(상세표[기록 시간외],상세표[사번키],INDEX(합계표[사번키],$X950),상세표[기록월],대상월키,상세표[반영월],"&lt;&gt;"&amp;대상월키))</f>
        <v/>
      </c>
      <c r="J950" s="20">
        <f>IF($X950="","",SUMIFS(상세표[기록 시간외],상세표[사번키],INDEX(합계표[사번키],$X950),상세표[기록월],"&lt;&gt;"&amp;대상월키,상세표[반영월],대상월키))</f>
        <v/>
      </c>
      <c r="K950" s="20">
        <f>IF($X950="","",SUMIFS(상세표[기록 시간외],상세표[사번키],INDEX(합계표[사번키],$X950),상세표[반영월],대상월키))</f>
        <v/>
      </c>
      <c r="L950">
        <f>IF($X950="","",IFERROR(INDEX(월별근무지표[적용 급여병원],MATCH(INDEX(합계표[사번키],$X950)&amp;"|"&amp;대상월키,월별근무지표[키],0))&amp;"",IF(COUNTIF(기관표[사번키],INDEX(합계표[사번키],$X950))+COUNTIF(월별근무지표[사번키],INDEX(합계표[사번키],$X950))&gt;0,IFERROR(INDEX(기관표[급여지급병원(기준월)],MATCH(INDEX(합계표[사번키],$X950)&amp;"|"&amp;대상월키,기관표[키],0))&amp;"","—"),"—")))</f>
        <v/>
      </c>
      <c r="M950">
        <f>IF($X950="","",IF(NOT(COUNTIF(기관표[사번키],INDEX(합계표[사번키],$X950))+COUNTIF(월별근무지표[사번키],INDEX(합계표[사번키],$X950))&gt;0),"기관명단에 없음(다른 병원으로 발송)",IF($L950="서울병원","해당",IF(N($R950)&gt;0,"해당(말일 근무)",IF($L950="—","대상월 기관명단 없음(추가 필요)","비해당")))))</f>
        <v/>
      </c>
      <c r="N950" s="20">
        <f>IF($X950="","",SUMIFS(상세표[06~07시],상세표[사번키],INDEX(합계표[사번키],$X950),상세표[반영월],대상월키,상세표[반영 기관],"서울병원"))</f>
        <v/>
      </c>
      <c r="O950" s="20">
        <f>IF($X950="","",SUMIFS(상세표[07~18시],상세표[사번키],INDEX(합계표[사번키],$X950),상세표[반영월],대상월키,상세표[반영 기관],"서울병원"))</f>
        <v/>
      </c>
      <c r="P950" s="20">
        <f>IF($X950="","",SUMIFS(상세표[18~22시],상세표[사번키],INDEX(합계표[사번키],$X950),상세표[반영월],대상월키,상세표[반영 기관],"서울병원"))</f>
        <v/>
      </c>
      <c r="Q950" s="20">
        <f>IF($X950="","",SUMIFS(상세표[22~06시],상세표[사번키],INDEX(합계표[사번키],$X950),상세표[반영월],대상월키,상세표[반영 기관],"서울병원"))</f>
        <v/>
      </c>
      <c r="R950" s="20">
        <f>IF($X950="","",SUM($N950:$Q950))</f>
        <v/>
      </c>
      <c r="S950">
        <f>IF($X950="","",COUNTIFS(상세표[사번키],INDEX(합계표[사번키],$X950),상세표[반영월],대상월키,상세표[야간당직],1,상세표[야간 구분],"평일"))</f>
        <v/>
      </c>
      <c r="T950">
        <f>IF($X950="","",COUNTIFS(상세표[사번키],INDEX(합계표[사번키],$X950),상세표[반영월],대상월키,상세표[야간당직],1,상세표[야간 구분],"휴일"))</f>
        <v/>
      </c>
      <c r="U950">
        <f>IF($X950="","",COUNTIFS(상세표[사번키],INDEX(합계표[사번키],$X950),상세표[반영월],대상월키,상세표[야간당직],1,상세표[야간 구분],"평일",상세표[반영 기관],"서울병원"))</f>
        <v/>
      </c>
      <c r="V950">
        <f>IF($X950="","",COUNTIFS(상세표[사번키],INDEX(합계표[사번키],$X950),상세표[반영월],대상월키,상세표[야간당직],1,상세표[야간 구분],"휴일",상세표[반영 기관],"서울병원"))</f>
        <v/>
      </c>
      <c r="W950">
        <f>IF($X950="","",IF(ISNUMBER(MATCH(INDEX(합계표[사번키],$X950)&amp;"|"&amp;대상월키,월별근무지표[키],0)),"직접 입력",IF($L950="—","—","기관명단")))</f>
        <v/>
      </c>
      <c r="X950" s="4">
        <f>IFERROR(MATCH(945,합계표[판정순번],0),"")</f>
        <v/>
      </c>
    </row>
    <row r="951">
      <c r="A951">
        <f>IF($X951="","",INDEX(합계표[사번],$X951)&amp;"")</f>
        <v/>
      </c>
      <c r="B951">
        <f>IF($X951="","",INDEX(합계표[성명],$X951)&amp;"")</f>
        <v/>
      </c>
      <c r="C951">
        <f>IF($X951="","",INDEX(합계표[부서],$X951)&amp;"")</f>
        <v/>
      </c>
      <c r="D951">
        <f>IF($X951="","",INDEX(합계표[직위(요약)],$X951)&amp;"")</f>
        <v/>
      </c>
      <c r="E951">
        <f>IF($X951="","",INDEX(합계표[직급 공존],$X951)&amp;"")</f>
        <v/>
      </c>
      <c r="F951" s="20">
        <f>IF($X951="","",SUMIFS(합계표[시스템 합계],합계표[사번키],INDEX(합계표[사번키],$X951)))</f>
        <v/>
      </c>
      <c r="G951" s="20">
        <f>IF($X951="","",SUMIFS(상세표[기록 시간외],상세표[사번키],INDEX(합계표[사번키],$X951),상세표[기록월],대상월키))</f>
        <v/>
      </c>
      <c r="H951">
        <f>IF($X951="","",IF(ABS($F951-$G951)&lt;0.01,"일치","불일치(차이 "&amp;TEXT($G951-$F951,"0.00")&amp;")"))</f>
        <v/>
      </c>
      <c r="I951" s="20">
        <f>IF($X951="","",SUMIFS(상세표[기록 시간외],상세표[사번키],INDEX(합계표[사번키],$X951),상세표[기록월],대상월키,상세표[반영월],"&lt;&gt;"&amp;대상월키))</f>
        <v/>
      </c>
      <c r="J951" s="20">
        <f>IF($X951="","",SUMIFS(상세표[기록 시간외],상세표[사번키],INDEX(합계표[사번키],$X951),상세표[기록월],"&lt;&gt;"&amp;대상월키,상세표[반영월],대상월키))</f>
        <v/>
      </c>
      <c r="K951" s="20">
        <f>IF($X951="","",SUMIFS(상세표[기록 시간외],상세표[사번키],INDEX(합계표[사번키],$X951),상세표[반영월],대상월키))</f>
        <v/>
      </c>
      <c r="L951">
        <f>IF($X951="","",IFERROR(INDEX(월별근무지표[적용 급여병원],MATCH(INDEX(합계표[사번키],$X951)&amp;"|"&amp;대상월키,월별근무지표[키],0))&amp;"",IF(COUNTIF(기관표[사번키],INDEX(합계표[사번키],$X951))+COUNTIF(월별근무지표[사번키],INDEX(합계표[사번키],$X951))&gt;0,IFERROR(INDEX(기관표[급여지급병원(기준월)],MATCH(INDEX(합계표[사번키],$X951)&amp;"|"&amp;대상월키,기관표[키],0))&amp;"","—"),"—")))</f>
        <v/>
      </c>
      <c r="M951">
        <f>IF($X951="","",IF(NOT(COUNTIF(기관표[사번키],INDEX(합계표[사번키],$X951))+COUNTIF(월별근무지표[사번키],INDEX(합계표[사번키],$X951))&gt;0),"기관명단에 없음(다른 병원으로 발송)",IF($L951="서울병원","해당",IF(N($R951)&gt;0,"해당(말일 근무)",IF($L951="—","대상월 기관명단 없음(추가 필요)","비해당")))))</f>
        <v/>
      </c>
      <c r="N951" s="20">
        <f>IF($X951="","",SUMIFS(상세표[06~07시],상세표[사번키],INDEX(합계표[사번키],$X951),상세표[반영월],대상월키,상세표[반영 기관],"서울병원"))</f>
        <v/>
      </c>
      <c r="O951" s="20">
        <f>IF($X951="","",SUMIFS(상세표[07~18시],상세표[사번키],INDEX(합계표[사번키],$X951),상세표[반영월],대상월키,상세표[반영 기관],"서울병원"))</f>
        <v/>
      </c>
      <c r="P951" s="20">
        <f>IF($X951="","",SUMIFS(상세표[18~22시],상세표[사번키],INDEX(합계표[사번키],$X951),상세표[반영월],대상월키,상세표[반영 기관],"서울병원"))</f>
        <v/>
      </c>
      <c r="Q951" s="20">
        <f>IF($X951="","",SUMIFS(상세표[22~06시],상세표[사번키],INDEX(합계표[사번키],$X951),상세표[반영월],대상월키,상세표[반영 기관],"서울병원"))</f>
        <v/>
      </c>
      <c r="R951" s="20">
        <f>IF($X951="","",SUM($N951:$Q951))</f>
        <v/>
      </c>
      <c r="S951">
        <f>IF($X951="","",COUNTIFS(상세표[사번키],INDEX(합계표[사번키],$X951),상세표[반영월],대상월키,상세표[야간당직],1,상세표[야간 구분],"평일"))</f>
        <v/>
      </c>
      <c r="T951">
        <f>IF($X951="","",COUNTIFS(상세표[사번키],INDEX(합계표[사번키],$X951),상세표[반영월],대상월키,상세표[야간당직],1,상세표[야간 구분],"휴일"))</f>
        <v/>
      </c>
      <c r="U951">
        <f>IF($X951="","",COUNTIFS(상세표[사번키],INDEX(합계표[사번키],$X951),상세표[반영월],대상월키,상세표[야간당직],1,상세표[야간 구분],"평일",상세표[반영 기관],"서울병원"))</f>
        <v/>
      </c>
      <c r="V951">
        <f>IF($X951="","",COUNTIFS(상세표[사번키],INDEX(합계표[사번키],$X951),상세표[반영월],대상월키,상세표[야간당직],1,상세표[야간 구분],"휴일",상세표[반영 기관],"서울병원"))</f>
        <v/>
      </c>
      <c r="W951">
        <f>IF($X951="","",IF(ISNUMBER(MATCH(INDEX(합계표[사번키],$X951)&amp;"|"&amp;대상월키,월별근무지표[키],0)),"직접 입력",IF($L951="—","—","기관명단")))</f>
        <v/>
      </c>
      <c r="X951" s="4">
        <f>IFERROR(MATCH(946,합계표[판정순번],0),"")</f>
        <v/>
      </c>
    </row>
    <row r="952">
      <c r="A952">
        <f>IF($X952="","",INDEX(합계표[사번],$X952)&amp;"")</f>
        <v/>
      </c>
      <c r="B952">
        <f>IF($X952="","",INDEX(합계표[성명],$X952)&amp;"")</f>
        <v/>
      </c>
      <c r="C952">
        <f>IF($X952="","",INDEX(합계표[부서],$X952)&amp;"")</f>
        <v/>
      </c>
      <c r="D952">
        <f>IF($X952="","",INDEX(합계표[직위(요약)],$X952)&amp;"")</f>
        <v/>
      </c>
      <c r="E952">
        <f>IF($X952="","",INDEX(합계표[직급 공존],$X952)&amp;"")</f>
        <v/>
      </c>
      <c r="F952" s="20">
        <f>IF($X952="","",SUMIFS(합계표[시스템 합계],합계표[사번키],INDEX(합계표[사번키],$X952)))</f>
        <v/>
      </c>
      <c r="G952" s="20">
        <f>IF($X952="","",SUMIFS(상세표[기록 시간외],상세표[사번키],INDEX(합계표[사번키],$X952),상세표[기록월],대상월키))</f>
        <v/>
      </c>
      <c r="H952">
        <f>IF($X952="","",IF(ABS($F952-$G952)&lt;0.01,"일치","불일치(차이 "&amp;TEXT($G952-$F952,"0.00")&amp;")"))</f>
        <v/>
      </c>
      <c r="I952" s="20">
        <f>IF($X952="","",SUMIFS(상세표[기록 시간외],상세표[사번키],INDEX(합계표[사번키],$X952),상세표[기록월],대상월키,상세표[반영월],"&lt;&gt;"&amp;대상월키))</f>
        <v/>
      </c>
      <c r="J952" s="20">
        <f>IF($X952="","",SUMIFS(상세표[기록 시간외],상세표[사번키],INDEX(합계표[사번키],$X952),상세표[기록월],"&lt;&gt;"&amp;대상월키,상세표[반영월],대상월키))</f>
        <v/>
      </c>
      <c r="K952" s="20">
        <f>IF($X952="","",SUMIFS(상세표[기록 시간외],상세표[사번키],INDEX(합계표[사번키],$X952),상세표[반영월],대상월키))</f>
        <v/>
      </c>
      <c r="L952">
        <f>IF($X952="","",IFERROR(INDEX(월별근무지표[적용 급여병원],MATCH(INDEX(합계표[사번키],$X952)&amp;"|"&amp;대상월키,월별근무지표[키],0))&amp;"",IF(COUNTIF(기관표[사번키],INDEX(합계표[사번키],$X952))+COUNTIF(월별근무지표[사번키],INDEX(합계표[사번키],$X952))&gt;0,IFERROR(INDEX(기관표[급여지급병원(기준월)],MATCH(INDEX(합계표[사번키],$X952)&amp;"|"&amp;대상월키,기관표[키],0))&amp;"","—"),"—")))</f>
        <v/>
      </c>
      <c r="M952">
        <f>IF($X952="","",IF(NOT(COUNTIF(기관표[사번키],INDEX(합계표[사번키],$X952))+COUNTIF(월별근무지표[사번키],INDEX(합계표[사번키],$X952))&gt;0),"기관명단에 없음(다른 병원으로 발송)",IF($L952="서울병원","해당",IF(N($R952)&gt;0,"해당(말일 근무)",IF($L952="—","대상월 기관명단 없음(추가 필요)","비해당")))))</f>
        <v/>
      </c>
      <c r="N952" s="20">
        <f>IF($X952="","",SUMIFS(상세표[06~07시],상세표[사번키],INDEX(합계표[사번키],$X952),상세표[반영월],대상월키,상세표[반영 기관],"서울병원"))</f>
        <v/>
      </c>
      <c r="O952" s="20">
        <f>IF($X952="","",SUMIFS(상세표[07~18시],상세표[사번키],INDEX(합계표[사번키],$X952),상세표[반영월],대상월키,상세표[반영 기관],"서울병원"))</f>
        <v/>
      </c>
      <c r="P952" s="20">
        <f>IF($X952="","",SUMIFS(상세표[18~22시],상세표[사번키],INDEX(합계표[사번키],$X952),상세표[반영월],대상월키,상세표[반영 기관],"서울병원"))</f>
        <v/>
      </c>
      <c r="Q952" s="20">
        <f>IF($X952="","",SUMIFS(상세표[22~06시],상세표[사번키],INDEX(합계표[사번키],$X952),상세표[반영월],대상월키,상세표[반영 기관],"서울병원"))</f>
        <v/>
      </c>
      <c r="R952" s="20">
        <f>IF($X952="","",SUM($N952:$Q952))</f>
        <v/>
      </c>
      <c r="S952">
        <f>IF($X952="","",COUNTIFS(상세표[사번키],INDEX(합계표[사번키],$X952),상세표[반영월],대상월키,상세표[야간당직],1,상세표[야간 구분],"평일"))</f>
        <v/>
      </c>
      <c r="T952">
        <f>IF($X952="","",COUNTIFS(상세표[사번키],INDEX(합계표[사번키],$X952),상세표[반영월],대상월키,상세표[야간당직],1,상세표[야간 구분],"휴일"))</f>
        <v/>
      </c>
      <c r="U952">
        <f>IF($X952="","",COUNTIFS(상세표[사번키],INDEX(합계표[사번키],$X952),상세표[반영월],대상월키,상세표[야간당직],1,상세표[야간 구분],"평일",상세표[반영 기관],"서울병원"))</f>
        <v/>
      </c>
      <c r="V952">
        <f>IF($X952="","",COUNTIFS(상세표[사번키],INDEX(합계표[사번키],$X952),상세표[반영월],대상월키,상세표[야간당직],1,상세표[야간 구분],"휴일",상세표[반영 기관],"서울병원"))</f>
        <v/>
      </c>
      <c r="W952">
        <f>IF($X952="","",IF(ISNUMBER(MATCH(INDEX(합계표[사번키],$X952)&amp;"|"&amp;대상월키,월별근무지표[키],0)),"직접 입력",IF($L952="—","—","기관명단")))</f>
        <v/>
      </c>
      <c r="X952" s="4">
        <f>IFERROR(MATCH(947,합계표[판정순번],0),"")</f>
        <v/>
      </c>
    </row>
    <row r="953">
      <c r="A953">
        <f>IF($X953="","",INDEX(합계표[사번],$X953)&amp;"")</f>
        <v/>
      </c>
      <c r="B953">
        <f>IF($X953="","",INDEX(합계표[성명],$X953)&amp;"")</f>
        <v/>
      </c>
      <c r="C953">
        <f>IF($X953="","",INDEX(합계표[부서],$X953)&amp;"")</f>
        <v/>
      </c>
      <c r="D953">
        <f>IF($X953="","",INDEX(합계표[직위(요약)],$X953)&amp;"")</f>
        <v/>
      </c>
      <c r="E953">
        <f>IF($X953="","",INDEX(합계표[직급 공존],$X953)&amp;"")</f>
        <v/>
      </c>
      <c r="F953" s="20">
        <f>IF($X953="","",SUMIFS(합계표[시스템 합계],합계표[사번키],INDEX(합계표[사번키],$X953)))</f>
        <v/>
      </c>
      <c r="G953" s="20">
        <f>IF($X953="","",SUMIFS(상세표[기록 시간외],상세표[사번키],INDEX(합계표[사번키],$X953),상세표[기록월],대상월키))</f>
        <v/>
      </c>
      <c r="H953">
        <f>IF($X953="","",IF(ABS($F953-$G953)&lt;0.01,"일치","불일치(차이 "&amp;TEXT($G953-$F953,"0.00")&amp;")"))</f>
        <v/>
      </c>
      <c r="I953" s="20">
        <f>IF($X953="","",SUMIFS(상세표[기록 시간외],상세표[사번키],INDEX(합계표[사번키],$X953),상세표[기록월],대상월키,상세표[반영월],"&lt;&gt;"&amp;대상월키))</f>
        <v/>
      </c>
      <c r="J953" s="20">
        <f>IF($X953="","",SUMIFS(상세표[기록 시간외],상세표[사번키],INDEX(합계표[사번키],$X953),상세표[기록월],"&lt;&gt;"&amp;대상월키,상세표[반영월],대상월키))</f>
        <v/>
      </c>
      <c r="K953" s="20">
        <f>IF($X953="","",SUMIFS(상세표[기록 시간외],상세표[사번키],INDEX(합계표[사번키],$X953),상세표[반영월],대상월키))</f>
        <v/>
      </c>
      <c r="L953">
        <f>IF($X953="","",IFERROR(INDEX(월별근무지표[적용 급여병원],MATCH(INDEX(합계표[사번키],$X953)&amp;"|"&amp;대상월키,월별근무지표[키],0))&amp;"",IF(COUNTIF(기관표[사번키],INDEX(합계표[사번키],$X953))+COUNTIF(월별근무지표[사번키],INDEX(합계표[사번키],$X953))&gt;0,IFERROR(INDEX(기관표[급여지급병원(기준월)],MATCH(INDEX(합계표[사번키],$X953)&amp;"|"&amp;대상월키,기관표[키],0))&amp;"","—"),"—")))</f>
        <v/>
      </c>
      <c r="M953">
        <f>IF($X953="","",IF(NOT(COUNTIF(기관표[사번키],INDEX(합계표[사번키],$X953))+COUNTIF(월별근무지표[사번키],INDEX(합계표[사번키],$X953))&gt;0),"기관명단에 없음(다른 병원으로 발송)",IF($L953="서울병원","해당",IF(N($R953)&gt;0,"해당(말일 근무)",IF($L953="—","대상월 기관명단 없음(추가 필요)","비해당")))))</f>
        <v/>
      </c>
      <c r="N953" s="20">
        <f>IF($X953="","",SUMIFS(상세표[06~07시],상세표[사번키],INDEX(합계표[사번키],$X953),상세표[반영월],대상월키,상세표[반영 기관],"서울병원"))</f>
        <v/>
      </c>
      <c r="O953" s="20">
        <f>IF($X953="","",SUMIFS(상세표[07~18시],상세표[사번키],INDEX(합계표[사번키],$X953),상세표[반영월],대상월키,상세표[반영 기관],"서울병원"))</f>
        <v/>
      </c>
      <c r="P953" s="20">
        <f>IF($X953="","",SUMIFS(상세표[18~22시],상세표[사번키],INDEX(합계표[사번키],$X953),상세표[반영월],대상월키,상세표[반영 기관],"서울병원"))</f>
        <v/>
      </c>
      <c r="Q953" s="20">
        <f>IF($X953="","",SUMIFS(상세표[22~06시],상세표[사번키],INDEX(합계표[사번키],$X953),상세표[반영월],대상월키,상세표[반영 기관],"서울병원"))</f>
        <v/>
      </c>
      <c r="R953" s="20">
        <f>IF($X953="","",SUM($N953:$Q953))</f>
        <v/>
      </c>
      <c r="S953">
        <f>IF($X953="","",COUNTIFS(상세표[사번키],INDEX(합계표[사번키],$X953),상세표[반영월],대상월키,상세표[야간당직],1,상세표[야간 구분],"평일"))</f>
        <v/>
      </c>
      <c r="T953">
        <f>IF($X953="","",COUNTIFS(상세표[사번키],INDEX(합계표[사번키],$X953),상세표[반영월],대상월키,상세표[야간당직],1,상세표[야간 구분],"휴일"))</f>
        <v/>
      </c>
      <c r="U953">
        <f>IF($X953="","",COUNTIFS(상세표[사번키],INDEX(합계표[사번키],$X953),상세표[반영월],대상월키,상세표[야간당직],1,상세표[야간 구분],"평일",상세표[반영 기관],"서울병원"))</f>
        <v/>
      </c>
      <c r="V953">
        <f>IF($X953="","",COUNTIFS(상세표[사번키],INDEX(합계표[사번키],$X953),상세표[반영월],대상월키,상세표[야간당직],1,상세표[야간 구분],"휴일",상세표[반영 기관],"서울병원"))</f>
        <v/>
      </c>
      <c r="W953">
        <f>IF($X953="","",IF(ISNUMBER(MATCH(INDEX(합계표[사번키],$X953)&amp;"|"&amp;대상월키,월별근무지표[키],0)),"직접 입력",IF($L953="—","—","기관명단")))</f>
        <v/>
      </c>
      <c r="X953" s="4">
        <f>IFERROR(MATCH(948,합계표[판정순번],0),"")</f>
        <v/>
      </c>
    </row>
    <row r="954">
      <c r="A954">
        <f>IF($X954="","",INDEX(합계표[사번],$X954)&amp;"")</f>
        <v/>
      </c>
      <c r="B954">
        <f>IF($X954="","",INDEX(합계표[성명],$X954)&amp;"")</f>
        <v/>
      </c>
      <c r="C954">
        <f>IF($X954="","",INDEX(합계표[부서],$X954)&amp;"")</f>
        <v/>
      </c>
      <c r="D954">
        <f>IF($X954="","",INDEX(합계표[직위(요약)],$X954)&amp;"")</f>
        <v/>
      </c>
      <c r="E954">
        <f>IF($X954="","",INDEX(합계표[직급 공존],$X954)&amp;"")</f>
        <v/>
      </c>
      <c r="F954" s="20">
        <f>IF($X954="","",SUMIFS(합계표[시스템 합계],합계표[사번키],INDEX(합계표[사번키],$X954)))</f>
        <v/>
      </c>
      <c r="G954" s="20">
        <f>IF($X954="","",SUMIFS(상세표[기록 시간외],상세표[사번키],INDEX(합계표[사번키],$X954),상세표[기록월],대상월키))</f>
        <v/>
      </c>
      <c r="H954">
        <f>IF($X954="","",IF(ABS($F954-$G954)&lt;0.01,"일치","불일치(차이 "&amp;TEXT($G954-$F954,"0.00")&amp;")"))</f>
        <v/>
      </c>
      <c r="I954" s="20">
        <f>IF($X954="","",SUMIFS(상세표[기록 시간외],상세표[사번키],INDEX(합계표[사번키],$X954),상세표[기록월],대상월키,상세표[반영월],"&lt;&gt;"&amp;대상월키))</f>
        <v/>
      </c>
      <c r="J954" s="20">
        <f>IF($X954="","",SUMIFS(상세표[기록 시간외],상세표[사번키],INDEX(합계표[사번키],$X954),상세표[기록월],"&lt;&gt;"&amp;대상월키,상세표[반영월],대상월키))</f>
        <v/>
      </c>
      <c r="K954" s="20">
        <f>IF($X954="","",SUMIFS(상세표[기록 시간외],상세표[사번키],INDEX(합계표[사번키],$X954),상세표[반영월],대상월키))</f>
        <v/>
      </c>
      <c r="L954">
        <f>IF($X954="","",IFERROR(INDEX(월별근무지표[적용 급여병원],MATCH(INDEX(합계표[사번키],$X954)&amp;"|"&amp;대상월키,월별근무지표[키],0))&amp;"",IF(COUNTIF(기관표[사번키],INDEX(합계표[사번키],$X954))+COUNTIF(월별근무지표[사번키],INDEX(합계표[사번키],$X954))&gt;0,IFERROR(INDEX(기관표[급여지급병원(기준월)],MATCH(INDEX(합계표[사번키],$X954)&amp;"|"&amp;대상월키,기관표[키],0))&amp;"","—"),"—")))</f>
        <v/>
      </c>
      <c r="M954">
        <f>IF($X954="","",IF(NOT(COUNTIF(기관표[사번키],INDEX(합계표[사번키],$X954))+COUNTIF(월별근무지표[사번키],INDEX(합계표[사번키],$X954))&gt;0),"기관명단에 없음(다른 병원으로 발송)",IF($L954="서울병원","해당",IF(N($R954)&gt;0,"해당(말일 근무)",IF($L954="—","대상월 기관명단 없음(추가 필요)","비해당")))))</f>
        <v/>
      </c>
      <c r="N954" s="20">
        <f>IF($X954="","",SUMIFS(상세표[06~07시],상세표[사번키],INDEX(합계표[사번키],$X954),상세표[반영월],대상월키,상세표[반영 기관],"서울병원"))</f>
        <v/>
      </c>
      <c r="O954" s="20">
        <f>IF($X954="","",SUMIFS(상세표[07~18시],상세표[사번키],INDEX(합계표[사번키],$X954),상세표[반영월],대상월키,상세표[반영 기관],"서울병원"))</f>
        <v/>
      </c>
      <c r="P954" s="20">
        <f>IF($X954="","",SUMIFS(상세표[18~22시],상세표[사번키],INDEX(합계표[사번키],$X954),상세표[반영월],대상월키,상세표[반영 기관],"서울병원"))</f>
        <v/>
      </c>
      <c r="Q954" s="20">
        <f>IF($X954="","",SUMIFS(상세표[22~06시],상세표[사번키],INDEX(합계표[사번키],$X954),상세표[반영월],대상월키,상세표[반영 기관],"서울병원"))</f>
        <v/>
      </c>
      <c r="R954" s="20">
        <f>IF($X954="","",SUM($N954:$Q954))</f>
        <v/>
      </c>
      <c r="S954">
        <f>IF($X954="","",COUNTIFS(상세표[사번키],INDEX(합계표[사번키],$X954),상세표[반영월],대상월키,상세표[야간당직],1,상세표[야간 구분],"평일"))</f>
        <v/>
      </c>
      <c r="T954">
        <f>IF($X954="","",COUNTIFS(상세표[사번키],INDEX(합계표[사번키],$X954),상세표[반영월],대상월키,상세표[야간당직],1,상세표[야간 구분],"휴일"))</f>
        <v/>
      </c>
      <c r="U954">
        <f>IF($X954="","",COUNTIFS(상세표[사번키],INDEX(합계표[사번키],$X954),상세표[반영월],대상월키,상세표[야간당직],1,상세표[야간 구분],"평일",상세표[반영 기관],"서울병원"))</f>
        <v/>
      </c>
      <c r="V954">
        <f>IF($X954="","",COUNTIFS(상세표[사번키],INDEX(합계표[사번키],$X954),상세표[반영월],대상월키,상세표[야간당직],1,상세표[야간 구분],"휴일",상세표[반영 기관],"서울병원"))</f>
        <v/>
      </c>
      <c r="W954">
        <f>IF($X954="","",IF(ISNUMBER(MATCH(INDEX(합계표[사번키],$X954)&amp;"|"&amp;대상월키,월별근무지표[키],0)),"직접 입력",IF($L954="—","—","기관명단")))</f>
        <v/>
      </c>
      <c r="X954" s="4">
        <f>IFERROR(MATCH(949,합계표[판정순번],0),"")</f>
        <v/>
      </c>
    </row>
    <row r="955">
      <c r="A955">
        <f>IF($X955="","",INDEX(합계표[사번],$X955)&amp;"")</f>
        <v/>
      </c>
      <c r="B955">
        <f>IF($X955="","",INDEX(합계표[성명],$X955)&amp;"")</f>
        <v/>
      </c>
      <c r="C955">
        <f>IF($X955="","",INDEX(합계표[부서],$X955)&amp;"")</f>
        <v/>
      </c>
      <c r="D955">
        <f>IF($X955="","",INDEX(합계표[직위(요약)],$X955)&amp;"")</f>
        <v/>
      </c>
      <c r="E955">
        <f>IF($X955="","",INDEX(합계표[직급 공존],$X955)&amp;"")</f>
        <v/>
      </c>
      <c r="F955" s="20">
        <f>IF($X955="","",SUMIFS(합계표[시스템 합계],합계표[사번키],INDEX(합계표[사번키],$X955)))</f>
        <v/>
      </c>
      <c r="G955" s="20">
        <f>IF($X955="","",SUMIFS(상세표[기록 시간외],상세표[사번키],INDEX(합계표[사번키],$X955),상세표[기록월],대상월키))</f>
        <v/>
      </c>
      <c r="H955">
        <f>IF($X955="","",IF(ABS($F955-$G955)&lt;0.01,"일치","불일치(차이 "&amp;TEXT($G955-$F955,"0.00")&amp;")"))</f>
        <v/>
      </c>
      <c r="I955" s="20">
        <f>IF($X955="","",SUMIFS(상세표[기록 시간외],상세표[사번키],INDEX(합계표[사번키],$X955),상세표[기록월],대상월키,상세표[반영월],"&lt;&gt;"&amp;대상월키))</f>
        <v/>
      </c>
      <c r="J955" s="20">
        <f>IF($X955="","",SUMIFS(상세표[기록 시간외],상세표[사번키],INDEX(합계표[사번키],$X955),상세표[기록월],"&lt;&gt;"&amp;대상월키,상세표[반영월],대상월키))</f>
        <v/>
      </c>
      <c r="K955" s="20">
        <f>IF($X955="","",SUMIFS(상세표[기록 시간외],상세표[사번키],INDEX(합계표[사번키],$X955),상세표[반영월],대상월키))</f>
        <v/>
      </c>
      <c r="L955">
        <f>IF($X955="","",IFERROR(INDEX(월별근무지표[적용 급여병원],MATCH(INDEX(합계표[사번키],$X955)&amp;"|"&amp;대상월키,월별근무지표[키],0))&amp;"",IF(COUNTIF(기관표[사번키],INDEX(합계표[사번키],$X955))+COUNTIF(월별근무지표[사번키],INDEX(합계표[사번키],$X955))&gt;0,IFERROR(INDEX(기관표[급여지급병원(기준월)],MATCH(INDEX(합계표[사번키],$X955)&amp;"|"&amp;대상월키,기관표[키],0))&amp;"","—"),"—")))</f>
        <v/>
      </c>
      <c r="M955">
        <f>IF($X955="","",IF(NOT(COUNTIF(기관표[사번키],INDEX(합계표[사번키],$X955))+COUNTIF(월별근무지표[사번키],INDEX(합계표[사번키],$X955))&gt;0),"기관명단에 없음(다른 병원으로 발송)",IF($L955="서울병원","해당",IF(N($R955)&gt;0,"해당(말일 근무)",IF($L955="—","대상월 기관명단 없음(추가 필요)","비해당")))))</f>
        <v/>
      </c>
      <c r="N955" s="20">
        <f>IF($X955="","",SUMIFS(상세표[06~07시],상세표[사번키],INDEX(합계표[사번키],$X955),상세표[반영월],대상월키,상세표[반영 기관],"서울병원"))</f>
        <v/>
      </c>
      <c r="O955" s="20">
        <f>IF($X955="","",SUMIFS(상세표[07~18시],상세표[사번키],INDEX(합계표[사번키],$X955),상세표[반영월],대상월키,상세표[반영 기관],"서울병원"))</f>
        <v/>
      </c>
      <c r="P955" s="20">
        <f>IF($X955="","",SUMIFS(상세표[18~22시],상세표[사번키],INDEX(합계표[사번키],$X955),상세표[반영월],대상월키,상세표[반영 기관],"서울병원"))</f>
        <v/>
      </c>
      <c r="Q955" s="20">
        <f>IF($X955="","",SUMIFS(상세표[22~06시],상세표[사번키],INDEX(합계표[사번키],$X955),상세표[반영월],대상월키,상세표[반영 기관],"서울병원"))</f>
        <v/>
      </c>
      <c r="R955" s="20">
        <f>IF($X955="","",SUM($N955:$Q955))</f>
        <v/>
      </c>
      <c r="S955">
        <f>IF($X955="","",COUNTIFS(상세표[사번키],INDEX(합계표[사번키],$X955),상세표[반영월],대상월키,상세표[야간당직],1,상세표[야간 구분],"평일"))</f>
        <v/>
      </c>
      <c r="T955">
        <f>IF($X955="","",COUNTIFS(상세표[사번키],INDEX(합계표[사번키],$X955),상세표[반영월],대상월키,상세표[야간당직],1,상세표[야간 구분],"휴일"))</f>
        <v/>
      </c>
      <c r="U955">
        <f>IF($X955="","",COUNTIFS(상세표[사번키],INDEX(합계표[사번키],$X955),상세표[반영월],대상월키,상세표[야간당직],1,상세표[야간 구분],"평일",상세표[반영 기관],"서울병원"))</f>
        <v/>
      </c>
      <c r="V955">
        <f>IF($X955="","",COUNTIFS(상세표[사번키],INDEX(합계표[사번키],$X955),상세표[반영월],대상월키,상세표[야간당직],1,상세표[야간 구분],"휴일",상세표[반영 기관],"서울병원"))</f>
        <v/>
      </c>
      <c r="W955">
        <f>IF($X955="","",IF(ISNUMBER(MATCH(INDEX(합계표[사번키],$X955)&amp;"|"&amp;대상월키,월별근무지표[키],0)),"직접 입력",IF($L955="—","—","기관명단")))</f>
        <v/>
      </c>
      <c r="X955" s="4">
        <f>IFERROR(MATCH(950,합계표[판정순번],0),"")</f>
        <v/>
      </c>
    </row>
    <row r="956">
      <c r="A956">
        <f>IF($X956="","",INDEX(합계표[사번],$X956)&amp;"")</f>
        <v/>
      </c>
      <c r="B956">
        <f>IF($X956="","",INDEX(합계표[성명],$X956)&amp;"")</f>
        <v/>
      </c>
      <c r="C956">
        <f>IF($X956="","",INDEX(합계표[부서],$X956)&amp;"")</f>
        <v/>
      </c>
      <c r="D956">
        <f>IF($X956="","",INDEX(합계표[직위(요약)],$X956)&amp;"")</f>
        <v/>
      </c>
      <c r="E956">
        <f>IF($X956="","",INDEX(합계표[직급 공존],$X956)&amp;"")</f>
        <v/>
      </c>
      <c r="F956" s="20">
        <f>IF($X956="","",SUMIFS(합계표[시스템 합계],합계표[사번키],INDEX(합계표[사번키],$X956)))</f>
        <v/>
      </c>
      <c r="G956" s="20">
        <f>IF($X956="","",SUMIFS(상세표[기록 시간외],상세표[사번키],INDEX(합계표[사번키],$X956),상세표[기록월],대상월키))</f>
        <v/>
      </c>
      <c r="H956">
        <f>IF($X956="","",IF(ABS($F956-$G956)&lt;0.01,"일치","불일치(차이 "&amp;TEXT($G956-$F956,"0.00")&amp;")"))</f>
        <v/>
      </c>
      <c r="I956" s="20">
        <f>IF($X956="","",SUMIFS(상세표[기록 시간외],상세표[사번키],INDEX(합계표[사번키],$X956),상세표[기록월],대상월키,상세표[반영월],"&lt;&gt;"&amp;대상월키))</f>
        <v/>
      </c>
      <c r="J956" s="20">
        <f>IF($X956="","",SUMIFS(상세표[기록 시간외],상세표[사번키],INDEX(합계표[사번키],$X956),상세표[기록월],"&lt;&gt;"&amp;대상월키,상세표[반영월],대상월키))</f>
        <v/>
      </c>
      <c r="K956" s="20">
        <f>IF($X956="","",SUMIFS(상세표[기록 시간외],상세표[사번키],INDEX(합계표[사번키],$X956),상세표[반영월],대상월키))</f>
        <v/>
      </c>
      <c r="L956">
        <f>IF($X956="","",IFERROR(INDEX(월별근무지표[적용 급여병원],MATCH(INDEX(합계표[사번키],$X956)&amp;"|"&amp;대상월키,월별근무지표[키],0))&amp;"",IF(COUNTIF(기관표[사번키],INDEX(합계표[사번키],$X956))+COUNTIF(월별근무지표[사번키],INDEX(합계표[사번키],$X956))&gt;0,IFERROR(INDEX(기관표[급여지급병원(기준월)],MATCH(INDEX(합계표[사번키],$X956)&amp;"|"&amp;대상월키,기관표[키],0))&amp;"","—"),"—")))</f>
        <v/>
      </c>
      <c r="M956">
        <f>IF($X956="","",IF(NOT(COUNTIF(기관표[사번키],INDEX(합계표[사번키],$X956))+COUNTIF(월별근무지표[사번키],INDEX(합계표[사번키],$X956))&gt;0),"기관명단에 없음(다른 병원으로 발송)",IF($L956="서울병원","해당",IF(N($R956)&gt;0,"해당(말일 근무)",IF($L956="—","대상월 기관명단 없음(추가 필요)","비해당")))))</f>
        <v/>
      </c>
      <c r="N956" s="20">
        <f>IF($X956="","",SUMIFS(상세표[06~07시],상세표[사번키],INDEX(합계표[사번키],$X956),상세표[반영월],대상월키,상세표[반영 기관],"서울병원"))</f>
        <v/>
      </c>
      <c r="O956" s="20">
        <f>IF($X956="","",SUMIFS(상세표[07~18시],상세표[사번키],INDEX(합계표[사번키],$X956),상세표[반영월],대상월키,상세표[반영 기관],"서울병원"))</f>
        <v/>
      </c>
      <c r="P956" s="20">
        <f>IF($X956="","",SUMIFS(상세표[18~22시],상세표[사번키],INDEX(합계표[사번키],$X956),상세표[반영월],대상월키,상세표[반영 기관],"서울병원"))</f>
        <v/>
      </c>
      <c r="Q956" s="20">
        <f>IF($X956="","",SUMIFS(상세표[22~06시],상세표[사번키],INDEX(합계표[사번키],$X956),상세표[반영월],대상월키,상세표[반영 기관],"서울병원"))</f>
        <v/>
      </c>
      <c r="R956" s="20">
        <f>IF($X956="","",SUM($N956:$Q956))</f>
        <v/>
      </c>
      <c r="S956">
        <f>IF($X956="","",COUNTIFS(상세표[사번키],INDEX(합계표[사번키],$X956),상세표[반영월],대상월키,상세표[야간당직],1,상세표[야간 구분],"평일"))</f>
        <v/>
      </c>
      <c r="T956">
        <f>IF($X956="","",COUNTIFS(상세표[사번키],INDEX(합계표[사번키],$X956),상세표[반영월],대상월키,상세표[야간당직],1,상세표[야간 구분],"휴일"))</f>
        <v/>
      </c>
      <c r="U956">
        <f>IF($X956="","",COUNTIFS(상세표[사번키],INDEX(합계표[사번키],$X956),상세표[반영월],대상월키,상세표[야간당직],1,상세표[야간 구분],"평일",상세표[반영 기관],"서울병원"))</f>
        <v/>
      </c>
      <c r="V956">
        <f>IF($X956="","",COUNTIFS(상세표[사번키],INDEX(합계표[사번키],$X956),상세표[반영월],대상월키,상세표[야간당직],1,상세표[야간 구분],"휴일",상세표[반영 기관],"서울병원"))</f>
        <v/>
      </c>
      <c r="W956">
        <f>IF($X956="","",IF(ISNUMBER(MATCH(INDEX(합계표[사번키],$X956)&amp;"|"&amp;대상월키,월별근무지표[키],0)),"직접 입력",IF($L956="—","—","기관명단")))</f>
        <v/>
      </c>
      <c r="X956" s="4">
        <f>IFERROR(MATCH(951,합계표[판정순번],0),"")</f>
        <v/>
      </c>
    </row>
    <row r="957">
      <c r="A957">
        <f>IF($X957="","",INDEX(합계표[사번],$X957)&amp;"")</f>
        <v/>
      </c>
      <c r="B957">
        <f>IF($X957="","",INDEX(합계표[성명],$X957)&amp;"")</f>
        <v/>
      </c>
      <c r="C957">
        <f>IF($X957="","",INDEX(합계표[부서],$X957)&amp;"")</f>
        <v/>
      </c>
      <c r="D957">
        <f>IF($X957="","",INDEX(합계표[직위(요약)],$X957)&amp;"")</f>
        <v/>
      </c>
      <c r="E957">
        <f>IF($X957="","",INDEX(합계표[직급 공존],$X957)&amp;"")</f>
        <v/>
      </c>
      <c r="F957" s="20">
        <f>IF($X957="","",SUMIFS(합계표[시스템 합계],합계표[사번키],INDEX(합계표[사번키],$X957)))</f>
        <v/>
      </c>
      <c r="G957" s="20">
        <f>IF($X957="","",SUMIFS(상세표[기록 시간외],상세표[사번키],INDEX(합계표[사번키],$X957),상세표[기록월],대상월키))</f>
        <v/>
      </c>
      <c r="H957">
        <f>IF($X957="","",IF(ABS($F957-$G957)&lt;0.01,"일치","불일치(차이 "&amp;TEXT($G957-$F957,"0.00")&amp;")"))</f>
        <v/>
      </c>
      <c r="I957" s="20">
        <f>IF($X957="","",SUMIFS(상세표[기록 시간외],상세표[사번키],INDEX(합계표[사번키],$X957),상세표[기록월],대상월키,상세표[반영월],"&lt;&gt;"&amp;대상월키))</f>
        <v/>
      </c>
      <c r="J957" s="20">
        <f>IF($X957="","",SUMIFS(상세표[기록 시간외],상세표[사번키],INDEX(합계표[사번키],$X957),상세표[기록월],"&lt;&gt;"&amp;대상월키,상세표[반영월],대상월키))</f>
        <v/>
      </c>
      <c r="K957" s="20">
        <f>IF($X957="","",SUMIFS(상세표[기록 시간외],상세표[사번키],INDEX(합계표[사번키],$X957),상세표[반영월],대상월키))</f>
        <v/>
      </c>
      <c r="L957">
        <f>IF($X957="","",IFERROR(INDEX(월별근무지표[적용 급여병원],MATCH(INDEX(합계표[사번키],$X957)&amp;"|"&amp;대상월키,월별근무지표[키],0))&amp;"",IF(COUNTIF(기관표[사번키],INDEX(합계표[사번키],$X957))+COUNTIF(월별근무지표[사번키],INDEX(합계표[사번키],$X957))&gt;0,IFERROR(INDEX(기관표[급여지급병원(기준월)],MATCH(INDEX(합계표[사번키],$X957)&amp;"|"&amp;대상월키,기관표[키],0))&amp;"","—"),"—")))</f>
        <v/>
      </c>
      <c r="M957">
        <f>IF($X957="","",IF(NOT(COUNTIF(기관표[사번키],INDEX(합계표[사번키],$X957))+COUNTIF(월별근무지표[사번키],INDEX(합계표[사번키],$X957))&gt;0),"기관명단에 없음(다른 병원으로 발송)",IF($L957="서울병원","해당",IF(N($R957)&gt;0,"해당(말일 근무)",IF($L957="—","대상월 기관명단 없음(추가 필요)","비해당")))))</f>
        <v/>
      </c>
      <c r="N957" s="20">
        <f>IF($X957="","",SUMIFS(상세표[06~07시],상세표[사번키],INDEX(합계표[사번키],$X957),상세표[반영월],대상월키,상세표[반영 기관],"서울병원"))</f>
        <v/>
      </c>
      <c r="O957" s="20">
        <f>IF($X957="","",SUMIFS(상세표[07~18시],상세표[사번키],INDEX(합계표[사번키],$X957),상세표[반영월],대상월키,상세표[반영 기관],"서울병원"))</f>
        <v/>
      </c>
      <c r="P957" s="20">
        <f>IF($X957="","",SUMIFS(상세표[18~22시],상세표[사번키],INDEX(합계표[사번키],$X957),상세표[반영월],대상월키,상세표[반영 기관],"서울병원"))</f>
        <v/>
      </c>
      <c r="Q957" s="20">
        <f>IF($X957="","",SUMIFS(상세표[22~06시],상세표[사번키],INDEX(합계표[사번키],$X957),상세표[반영월],대상월키,상세표[반영 기관],"서울병원"))</f>
        <v/>
      </c>
      <c r="R957" s="20">
        <f>IF($X957="","",SUM($N957:$Q957))</f>
        <v/>
      </c>
      <c r="S957">
        <f>IF($X957="","",COUNTIFS(상세표[사번키],INDEX(합계표[사번키],$X957),상세표[반영월],대상월키,상세표[야간당직],1,상세표[야간 구분],"평일"))</f>
        <v/>
      </c>
      <c r="T957">
        <f>IF($X957="","",COUNTIFS(상세표[사번키],INDEX(합계표[사번키],$X957),상세표[반영월],대상월키,상세표[야간당직],1,상세표[야간 구분],"휴일"))</f>
        <v/>
      </c>
      <c r="U957">
        <f>IF($X957="","",COUNTIFS(상세표[사번키],INDEX(합계표[사번키],$X957),상세표[반영월],대상월키,상세표[야간당직],1,상세표[야간 구분],"평일",상세표[반영 기관],"서울병원"))</f>
        <v/>
      </c>
      <c r="V957">
        <f>IF($X957="","",COUNTIFS(상세표[사번키],INDEX(합계표[사번키],$X957),상세표[반영월],대상월키,상세표[야간당직],1,상세표[야간 구분],"휴일",상세표[반영 기관],"서울병원"))</f>
        <v/>
      </c>
      <c r="W957">
        <f>IF($X957="","",IF(ISNUMBER(MATCH(INDEX(합계표[사번키],$X957)&amp;"|"&amp;대상월키,월별근무지표[키],0)),"직접 입력",IF($L957="—","—","기관명단")))</f>
        <v/>
      </c>
      <c r="X957" s="4">
        <f>IFERROR(MATCH(952,합계표[판정순번],0),"")</f>
        <v/>
      </c>
    </row>
    <row r="958">
      <c r="A958">
        <f>IF($X958="","",INDEX(합계표[사번],$X958)&amp;"")</f>
        <v/>
      </c>
      <c r="B958">
        <f>IF($X958="","",INDEX(합계표[성명],$X958)&amp;"")</f>
        <v/>
      </c>
      <c r="C958">
        <f>IF($X958="","",INDEX(합계표[부서],$X958)&amp;"")</f>
        <v/>
      </c>
      <c r="D958">
        <f>IF($X958="","",INDEX(합계표[직위(요약)],$X958)&amp;"")</f>
        <v/>
      </c>
      <c r="E958">
        <f>IF($X958="","",INDEX(합계표[직급 공존],$X958)&amp;"")</f>
        <v/>
      </c>
      <c r="F958" s="20">
        <f>IF($X958="","",SUMIFS(합계표[시스템 합계],합계표[사번키],INDEX(합계표[사번키],$X958)))</f>
        <v/>
      </c>
      <c r="G958" s="20">
        <f>IF($X958="","",SUMIFS(상세표[기록 시간외],상세표[사번키],INDEX(합계표[사번키],$X958),상세표[기록월],대상월키))</f>
        <v/>
      </c>
      <c r="H958">
        <f>IF($X958="","",IF(ABS($F958-$G958)&lt;0.01,"일치","불일치(차이 "&amp;TEXT($G958-$F958,"0.00")&amp;")"))</f>
        <v/>
      </c>
      <c r="I958" s="20">
        <f>IF($X958="","",SUMIFS(상세표[기록 시간외],상세표[사번키],INDEX(합계표[사번키],$X958),상세표[기록월],대상월키,상세표[반영월],"&lt;&gt;"&amp;대상월키))</f>
        <v/>
      </c>
      <c r="J958" s="20">
        <f>IF($X958="","",SUMIFS(상세표[기록 시간외],상세표[사번키],INDEX(합계표[사번키],$X958),상세표[기록월],"&lt;&gt;"&amp;대상월키,상세표[반영월],대상월키))</f>
        <v/>
      </c>
      <c r="K958" s="20">
        <f>IF($X958="","",SUMIFS(상세표[기록 시간외],상세표[사번키],INDEX(합계표[사번키],$X958),상세표[반영월],대상월키))</f>
        <v/>
      </c>
      <c r="L958">
        <f>IF($X958="","",IFERROR(INDEX(월별근무지표[적용 급여병원],MATCH(INDEX(합계표[사번키],$X958)&amp;"|"&amp;대상월키,월별근무지표[키],0))&amp;"",IF(COUNTIF(기관표[사번키],INDEX(합계표[사번키],$X958))+COUNTIF(월별근무지표[사번키],INDEX(합계표[사번키],$X958))&gt;0,IFERROR(INDEX(기관표[급여지급병원(기준월)],MATCH(INDEX(합계표[사번키],$X958)&amp;"|"&amp;대상월키,기관표[키],0))&amp;"","—"),"—")))</f>
        <v/>
      </c>
      <c r="M958">
        <f>IF($X958="","",IF(NOT(COUNTIF(기관표[사번키],INDEX(합계표[사번키],$X958))+COUNTIF(월별근무지표[사번키],INDEX(합계표[사번키],$X958))&gt;0),"기관명단에 없음(다른 병원으로 발송)",IF($L958="서울병원","해당",IF(N($R958)&gt;0,"해당(말일 근무)",IF($L958="—","대상월 기관명단 없음(추가 필요)","비해당")))))</f>
        <v/>
      </c>
      <c r="N958" s="20">
        <f>IF($X958="","",SUMIFS(상세표[06~07시],상세표[사번키],INDEX(합계표[사번키],$X958),상세표[반영월],대상월키,상세표[반영 기관],"서울병원"))</f>
        <v/>
      </c>
      <c r="O958" s="20">
        <f>IF($X958="","",SUMIFS(상세표[07~18시],상세표[사번키],INDEX(합계표[사번키],$X958),상세표[반영월],대상월키,상세표[반영 기관],"서울병원"))</f>
        <v/>
      </c>
      <c r="P958" s="20">
        <f>IF($X958="","",SUMIFS(상세표[18~22시],상세표[사번키],INDEX(합계표[사번키],$X958),상세표[반영월],대상월키,상세표[반영 기관],"서울병원"))</f>
        <v/>
      </c>
      <c r="Q958" s="20">
        <f>IF($X958="","",SUMIFS(상세표[22~06시],상세표[사번키],INDEX(합계표[사번키],$X958),상세표[반영월],대상월키,상세표[반영 기관],"서울병원"))</f>
        <v/>
      </c>
      <c r="R958" s="20">
        <f>IF($X958="","",SUM($N958:$Q958))</f>
        <v/>
      </c>
      <c r="S958">
        <f>IF($X958="","",COUNTIFS(상세표[사번키],INDEX(합계표[사번키],$X958),상세표[반영월],대상월키,상세표[야간당직],1,상세표[야간 구분],"평일"))</f>
        <v/>
      </c>
      <c r="T958">
        <f>IF($X958="","",COUNTIFS(상세표[사번키],INDEX(합계표[사번키],$X958),상세표[반영월],대상월키,상세표[야간당직],1,상세표[야간 구분],"휴일"))</f>
        <v/>
      </c>
      <c r="U958">
        <f>IF($X958="","",COUNTIFS(상세표[사번키],INDEX(합계표[사번키],$X958),상세표[반영월],대상월키,상세표[야간당직],1,상세표[야간 구분],"평일",상세표[반영 기관],"서울병원"))</f>
        <v/>
      </c>
      <c r="V958">
        <f>IF($X958="","",COUNTIFS(상세표[사번키],INDEX(합계표[사번키],$X958),상세표[반영월],대상월키,상세표[야간당직],1,상세표[야간 구분],"휴일",상세표[반영 기관],"서울병원"))</f>
        <v/>
      </c>
      <c r="W958">
        <f>IF($X958="","",IF(ISNUMBER(MATCH(INDEX(합계표[사번키],$X958)&amp;"|"&amp;대상월키,월별근무지표[키],0)),"직접 입력",IF($L958="—","—","기관명단")))</f>
        <v/>
      </c>
      <c r="X958" s="4">
        <f>IFERROR(MATCH(953,합계표[판정순번],0),"")</f>
        <v/>
      </c>
    </row>
    <row r="959">
      <c r="A959">
        <f>IF($X959="","",INDEX(합계표[사번],$X959)&amp;"")</f>
        <v/>
      </c>
      <c r="B959">
        <f>IF($X959="","",INDEX(합계표[성명],$X959)&amp;"")</f>
        <v/>
      </c>
      <c r="C959">
        <f>IF($X959="","",INDEX(합계표[부서],$X959)&amp;"")</f>
        <v/>
      </c>
      <c r="D959">
        <f>IF($X959="","",INDEX(합계표[직위(요약)],$X959)&amp;"")</f>
        <v/>
      </c>
      <c r="E959">
        <f>IF($X959="","",INDEX(합계표[직급 공존],$X959)&amp;"")</f>
        <v/>
      </c>
      <c r="F959" s="20">
        <f>IF($X959="","",SUMIFS(합계표[시스템 합계],합계표[사번키],INDEX(합계표[사번키],$X959)))</f>
        <v/>
      </c>
      <c r="G959" s="20">
        <f>IF($X959="","",SUMIFS(상세표[기록 시간외],상세표[사번키],INDEX(합계표[사번키],$X959),상세표[기록월],대상월키))</f>
        <v/>
      </c>
      <c r="H959">
        <f>IF($X959="","",IF(ABS($F959-$G959)&lt;0.01,"일치","불일치(차이 "&amp;TEXT($G959-$F959,"0.00")&amp;")"))</f>
        <v/>
      </c>
      <c r="I959" s="20">
        <f>IF($X959="","",SUMIFS(상세표[기록 시간외],상세표[사번키],INDEX(합계표[사번키],$X959),상세표[기록월],대상월키,상세표[반영월],"&lt;&gt;"&amp;대상월키))</f>
        <v/>
      </c>
      <c r="J959" s="20">
        <f>IF($X959="","",SUMIFS(상세표[기록 시간외],상세표[사번키],INDEX(합계표[사번키],$X959),상세표[기록월],"&lt;&gt;"&amp;대상월키,상세표[반영월],대상월키))</f>
        <v/>
      </c>
      <c r="K959" s="20">
        <f>IF($X959="","",SUMIFS(상세표[기록 시간외],상세표[사번키],INDEX(합계표[사번키],$X959),상세표[반영월],대상월키))</f>
        <v/>
      </c>
      <c r="L959">
        <f>IF($X959="","",IFERROR(INDEX(월별근무지표[적용 급여병원],MATCH(INDEX(합계표[사번키],$X959)&amp;"|"&amp;대상월키,월별근무지표[키],0))&amp;"",IF(COUNTIF(기관표[사번키],INDEX(합계표[사번키],$X959))+COUNTIF(월별근무지표[사번키],INDEX(합계표[사번키],$X959))&gt;0,IFERROR(INDEX(기관표[급여지급병원(기준월)],MATCH(INDEX(합계표[사번키],$X959)&amp;"|"&amp;대상월키,기관표[키],0))&amp;"","—"),"—")))</f>
        <v/>
      </c>
      <c r="M959">
        <f>IF($X959="","",IF(NOT(COUNTIF(기관표[사번키],INDEX(합계표[사번키],$X959))+COUNTIF(월별근무지표[사번키],INDEX(합계표[사번키],$X959))&gt;0),"기관명단에 없음(다른 병원으로 발송)",IF($L959="서울병원","해당",IF(N($R959)&gt;0,"해당(말일 근무)",IF($L959="—","대상월 기관명단 없음(추가 필요)","비해당")))))</f>
        <v/>
      </c>
      <c r="N959" s="20">
        <f>IF($X959="","",SUMIFS(상세표[06~07시],상세표[사번키],INDEX(합계표[사번키],$X959),상세표[반영월],대상월키,상세표[반영 기관],"서울병원"))</f>
        <v/>
      </c>
      <c r="O959" s="20">
        <f>IF($X959="","",SUMIFS(상세표[07~18시],상세표[사번키],INDEX(합계표[사번키],$X959),상세표[반영월],대상월키,상세표[반영 기관],"서울병원"))</f>
        <v/>
      </c>
      <c r="P959" s="20">
        <f>IF($X959="","",SUMIFS(상세표[18~22시],상세표[사번키],INDEX(합계표[사번키],$X959),상세표[반영월],대상월키,상세표[반영 기관],"서울병원"))</f>
        <v/>
      </c>
      <c r="Q959" s="20">
        <f>IF($X959="","",SUMIFS(상세표[22~06시],상세표[사번키],INDEX(합계표[사번키],$X959),상세표[반영월],대상월키,상세표[반영 기관],"서울병원"))</f>
        <v/>
      </c>
      <c r="R959" s="20">
        <f>IF($X959="","",SUM($N959:$Q959))</f>
        <v/>
      </c>
      <c r="S959">
        <f>IF($X959="","",COUNTIFS(상세표[사번키],INDEX(합계표[사번키],$X959),상세표[반영월],대상월키,상세표[야간당직],1,상세표[야간 구분],"평일"))</f>
        <v/>
      </c>
      <c r="T959">
        <f>IF($X959="","",COUNTIFS(상세표[사번키],INDEX(합계표[사번키],$X959),상세표[반영월],대상월키,상세표[야간당직],1,상세표[야간 구분],"휴일"))</f>
        <v/>
      </c>
      <c r="U959">
        <f>IF($X959="","",COUNTIFS(상세표[사번키],INDEX(합계표[사번키],$X959),상세표[반영월],대상월키,상세표[야간당직],1,상세표[야간 구분],"평일",상세표[반영 기관],"서울병원"))</f>
        <v/>
      </c>
      <c r="V959">
        <f>IF($X959="","",COUNTIFS(상세표[사번키],INDEX(합계표[사번키],$X959),상세표[반영월],대상월키,상세표[야간당직],1,상세표[야간 구분],"휴일",상세표[반영 기관],"서울병원"))</f>
        <v/>
      </c>
      <c r="W959">
        <f>IF($X959="","",IF(ISNUMBER(MATCH(INDEX(합계표[사번키],$X959)&amp;"|"&amp;대상월키,월별근무지표[키],0)),"직접 입력",IF($L959="—","—","기관명단")))</f>
        <v/>
      </c>
      <c r="X959" s="4">
        <f>IFERROR(MATCH(954,합계표[판정순번],0),"")</f>
        <v/>
      </c>
    </row>
    <row r="960">
      <c r="A960">
        <f>IF($X960="","",INDEX(합계표[사번],$X960)&amp;"")</f>
        <v/>
      </c>
      <c r="B960">
        <f>IF($X960="","",INDEX(합계표[성명],$X960)&amp;"")</f>
        <v/>
      </c>
      <c r="C960">
        <f>IF($X960="","",INDEX(합계표[부서],$X960)&amp;"")</f>
        <v/>
      </c>
      <c r="D960">
        <f>IF($X960="","",INDEX(합계표[직위(요약)],$X960)&amp;"")</f>
        <v/>
      </c>
      <c r="E960">
        <f>IF($X960="","",INDEX(합계표[직급 공존],$X960)&amp;"")</f>
        <v/>
      </c>
      <c r="F960" s="20">
        <f>IF($X960="","",SUMIFS(합계표[시스템 합계],합계표[사번키],INDEX(합계표[사번키],$X960)))</f>
        <v/>
      </c>
      <c r="G960" s="20">
        <f>IF($X960="","",SUMIFS(상세표[기록 시간외],상세표[사번키],INDEX(합계표[사번키],$X960),상세표[기록월],대상월키))</f>
        <v/>
      </c>
      <c r="H960">
        <f>IF($X960="","",IF(ABS($F960-$G960)&lt;0.01,"일치","불일치(차이 "&amp;TEXT($G960-$F960,"0.00")&amp;")"))</f>
        <v/>
      </c>
      <c r="I960" s="20">
        <f>IF($X960="","",SUMIFS(상세표[기록 시간외],상세표[사번키],INDEX(합계표[사번키],$X960),상세표[기록월],대상월키,상세표[반영월],"&lt;&gt;"&amp;대상월키))</f>
        <v/>
      </c>
      <c r="J960" s="20">
        <f>IF($X960="","",SUMIFS(상세표[기록 시간외],상세표[사번키],INDEX(합계표[사번키],$X960),상세표[기록월],"&lt;&gt;"&amp;대상월키,상세표[반영월],대상월키))</f>
        <v/>
      </c>
      <c r="K960" s="20">
        <f>IF($X960="","",SUMIFS(상세표[기록 시간외],상세표[사번키],INDEX(합계표[사번키],$X960),상세표[반영월],대상월키))</f>
        <v/>
      </c>
      <c r="L960">
        <f>IF($X960="","",IFERROR(INDEX(월별근무지표[적용 급여병원],MATCH(INDEX(합계표[사번키],$X960)&amp;"|"&amp;대상월키,월별근무지표[키],0))&amp;"",IF(COUNTIF(기관표[사번키],INDEX(합계표[사번키],$X960))+COUNTIF(월별근무지표[사번키],INDEX(합계표[사번키],$X960))&gt;0,IFERROR(INDEX(기관표[급여지급병원(기준월)],MATCH(INDEX(합계표[사번키],$X960)&amp;"|"&amp;대상월키,기관표[키],0))&amp;"","—"),"—")))</f>
        <v/>
      </c>
      <c r="M960">
        <f>IF($X960="","",IF(NOT(COUNTIF(기관표[사번키],INDEX(합계표[사번키],$X960))+COUNTIF(월별근무지표[사번키],INDEX(합계표[사번키],$X960))&gt;0),"기관명단에 없음(다른 병원으로 발송)",IF($L960="서울병원","해당",IF(N($R960)&gt;0,"해당(말일 근무)",IF($L960="—","대상월 기관명단 없음(추가 필요)","비해당")))))</f>
        <v/>
      </c>
      <c r="N960" s="20">
        <f>IF($X960="","",SUMIFS(상세표[06~07시],상세표[사번키],INDEX(합계표[사번키],$X960),상세표[반영월],대상월키,상세표[반영 기관],"서울병원"))</f>
        <v/>
      </c>
      <c r="O960" s="20">
        <f>IF($X960="","",SUMIFS(상세표[07~18시],상세표[사번키],INDEX(합계표[사번키],$X960),상세표[반영월],대상월키,상세표[반영 기관],"서울병원"))</f>
        <v/>
      </c>
      <c r="P960" s="20">
        <f>IF($X960="","",SUMIFS(상세표[18~22시],상세표[사번키],INDEX(합계표[사번키],$X960),상세표[반영월],대상월키,상세표[반영 기관],"서울병원"))</f>
        <v/>
      </c>
      <c r="Q960" s="20">
        <f>IF($X960="","",SUMIFS(상세표[22~06시],상세표[사번키],INDEX(합계표[사번키],$X960),상세표[반영월],대상월키,상세표[반영 기관],"서울병원"))</f>
        <v/>
      </c>
      <c r="R960" s="20">
        <f>IF($X960="","",SUM($N960:$Q960))</f>
        <v/>
      </c>
      <c r="S960">
        <f>IF($X960="","",COUNTIFS(상세표[사번키],INDEX(합계표[사번키],$X960),상세표[반영월],대상월키,상세표[야간당직],1,상세표[야간 구분],"평일"))</f>
        <v/>
      </c>
      <c r="T960">
        <f>IF($X960="","",COUNTIFS(상세표[사번키],INDEX(합계표[사번키],$X960),상세표[반영월],대상월키,상세표[야간당직],1,상세표[야간 구분],"휴일"))</f>
        <v/>
      </c>
      <c r="U960">
        <f>IF($X960="","",COUNTIFS(상세표[사번키],INDEX(합계표[사번키],$X960),상세표[반영월],대상월키,상세표[야간당직],1,상세표[야간 구분],"평일",상세표[반영 기관],"서울병원"))</f>
        <v/>
      </c>
      <c r="V960">
        <f>IF($X960="","",COUNTIFS(상세표[사번키],INDEX(합계표[사번키],$X960),상세표[반영월],대상월키,상세표[야간당직],1,상세표[야간 구분],"휴일",상세표[반영 기관],"서울병원"))</f>
        <v/>
      </c>
      <c r="W960">
        <f>IF($X960="","",IF(ISNUMBER(MATCH(INDEX(합계표[사번키],$X960)&amp;"|"&amp;대상월키,월별근무지표[키],0)),"직접 입력",IF($L960="—","—","기관명단")))</f>
        <v/>
      </c>
      <c r="X960" s="4">
        <f>IFERROR(MATCH(955,합계표[판정순번],0),"")</f>
        <v/>
      </c>
    </row>
    <row r="961">
      <c r="A961">
        <f>IF($X961="","",INDEX(합계표[사번],$X961)&amp;"")</f>
        <v/>
      </c>
      <c r="B961">
        <f>IF($X961="","",INDEX(합계표[성명],$X961)&amp;"")</f>
        <v/>
      </c>
      <c r="C961">
        <f>IF($X961="","",INDEX(합계표[부서],$X961)&amp;"")</f>
        <v/>
      </c>
      <c r="D961">
        <f>IF($X961="","",INDEX(합계표[직위(요약)],$X961)&amp;"")</f>
        <v/>
      </c>
      <c r="E961">
        <f>IF($X961="","",INDEX(합계표[직급 공존],$X961)&amp;"")</f>
        <v/>
      </c>
      <c r="F961" s="20">
        <f>IF($X961="","",SUMIFS(합계표[시스템 합계],합계표[사번키],INDEX(합계표[사번키],$X961)))</f>
        <v/>
      </c>
      <c r="G961" s="20">
        <f>IF($X961="","",SUMIFS(상세표[기록 시간외],상세표[사번키],INDEX(합계표[사번키],$X961),상세표[기록월],대상월키))</f>
        <v/>
      </c>
      <c r="H961">
        <f>IF($X961="","",IF(ABS($F961-$G961)&lt;0.01,"일치","불일치(차이 "&amp;TEXT($G961-$F961,"0.00")&amp;")"))</f>
        <v/>
      </c>
      <c r="I961" s="20">
        <f>IF($X961="","",SUMIFS(상세표[기록 시간외],상세표[사번키],INDEX(합계표[사번키],$X961),상세표[기록월],대상월키,상세표[반영월],"&lt;&gt;"&amp;대상월키))</f>
        <v/>
      </c>
      <c r="J961" s="20">
        <f>IF($X961="","",SUMIFS(상세표[기록 시간외],상세표[사번키],INDEX(합계표[사번키],$X961),상세표[기록월],"&lt;&gt;"&amp;대상월키,상세표[반영월],대상월키))</f>
        <v/>
      </c>
      <c r="K961" s="20">
        <f>IF($X961="","",SUMIFS(상세표[기록 시간외],상세표[사번키],INDEX(합계표[사번키],$X961),상세표[반영월],대상월키))</f>
        <v/>
      </c>
      <c r="L961">
        <f>IF($X961="","",IFERROR(INDEX(월별근무지표[적용 급여병원],MATCH(INDEX(합계표[사번키],$X961)&amp;"|"&amp;대상월키,월별근무지표[키],0))&amp;"",IF(COUNTIF(기관표[사번키],INDEX(합계표[사번키],$X961))+COUNTIF(월별근무지표[사번키],INDEX(합계표[사번키],$X961))&gt;0,IFERROR(INDEX(기관표[급여지급병원(기준월)],MATCH(INDEX(합계표[사번키],$X961)&amp;"|"&amp;대상월키,기관표[키],0))&amp;"","—"),"—")))</f>
        <v/>
      </c>
      <c r="M961">
        <f>IF($X961="","",IF(NOT(COUNTIF(기관표[사번키],INDEX(합계표[사번키],$X961))+COUNTIF(월별근무지표[사번키],INDEX(합계표[사번키],$X961))&gt;0),"기관명단에 없음(다른 병원으로 발송)",IF($L961="서울병원","해당",IF(N($R961)&gt;0,"해당(말일 근무)",IF($L961="—","대상월 기관명단 없음(추가 필요)","비해당")))))</f>
        <v/>
      </c>
      <c r="N961" s="20">
        <f>IF($X961="","",SUMIFS(상세표[06~07시],상세표[사번키],INDEX(합계표[사번키],$X961),상세표[반영월],대상월키,상세표[반영 기관],"서울병원"))</f>
        <v/>
      </c>
      <c r="O961" s="20">
        <f>IF($X961="","",SUMIFS(상세표[07~18시],상세표[사번키],INDEX(합계표[사번키],$X961),상세표[반영월],대상월키,상세표[반영 기관],"서울병원"))</f>
        <v/>
      </c>
      <c r="P961" s="20">
        <f>IF($X961="","",SUMIFS(상세표[18~22시],상세표[사번키],INDEX(합계표[사번키],$X961),상세표[반영월],대상월키,상세표[반영 기관],"서울병원"))</f>
        <v/>
      </c>
      <c r="Q961" s="20">
        <f>IF($X961="","",SUMIFS(상세표[22~06시],상세표[사번키],INDEX(합계표[사번키],$X961),상세표[반영월],대상월키,상세표[반영 기관],"서울병원"))</f>
        <v/>
      </c>
      <c r="R961" s="20">
        <f>IF($X961="","",SUM($N961:$Q961))</f>
        <v/>
      </c>
      <c r="S961">
        <f>IF($X961="","",COUNTIFS(상세표[사번키],INDEX(합계표[사번키],$X961),상세표[반영월],대상월키,상세표[야간당직],1,상세표[야간 구분],"평일"))</f>
        <v/>
      </c>
      <c r="T961">
        <f>IF($X961="","",COUNTIFS(상세표[사번키],INDEX(합계표[사번키],$X961),상세표[반영월],대상월키,상세표[야간당직],1,상세표[야간 구분],"휴일"))</f>
        <v/>
      </c>
      <c r="U961">
        <f>IF($X961="","",COUNTIFS(상세표[사번키],INDEX(합계표[사번키],$X961),상세표[반영월],대상월키,상세표[야간당직],1,상세표[야간 구분],"평일",상세표[반영 기관],"서울병원"))</f>
        <v/>
      </c>
      <c r="V961">
        <f>IF($X961="","",COUNTIFS(상세표[사번키],INDEX(합계표[사번키],$X961),상세표[반영월],대상월키,상세표[야간당직],1,상세표[야간 구분],"휴일",상세표[반영 기관],"서울병원"))</f>
        <v/>
      </c>
      <c r="W961">
        <f>IF($X961="","",IF(ISNUMBER(MATCH(INDEX(합계표[사번키],$X961)&amp;"|"&amp;대상월키,월별근무지표[키],0)),"직접 입력",IF($L961="—","—","기관명단")))</f>
        <v/>
      </c>
      <c r="X961" s="4">
        <f>IFERROR(MATCH(956,합계표[판정순번],0),"")</f>
        <v/>
      </c>
    </row>
    <row r="962">
      <c r="A962">
        <f>IF($X962="","",INDEX(합계표[사번],$X962)&amp;"")</f>
        <v/>
      </c>
      <c r="B962">
        <f>IF($X962="","",INDEX(합계표[성명],$X962)&amp;"")</f>
        <v/>
      </c>
      <c r="C962">
        <f>IF($X962="","",INDEX(합계표[부서],$X962)&amp;"")</f>
        <v/>
      </c>
      <c r="D962">
        <f>IF($X962="","",INDEX(합계표[직위(요약)],$X962)&amp;"")</f>
        <v/>
      </c>
      <c r="E962">
        <f>IF($X962="","",INDEX(합계표[직급 공존],$X962)&amp;"")</f>
        <v/>
      </c>
      <c r="F962" s="20">
        <f>IF($X962="","",SUMIFS(합계표[시스템 합계],합계표[사번키],INDEX(합계표[사번키],$X962)))</f>
        <v/>
      </c>
      <c r="G962" s="20">
        <f>IF($X962="","",SUMIFS(상세표[기록 시간외],상세표[사번키],INDEX(합계표[사번키],$X962),상세표[기록월],대상월키))</f>
        <v/>
      </c>
      <c r="H962">
        <f>IF($X962="","",IF(ABS($F962-$G962)&lt;0.01,"일치","불일치(차이 "&amp;TEXT($G962-$F962,"0.00")&amp;")"))</f>
        <v/>
      </c>
      <c r="I962" s="20">
        <f>IF($X962="","",SUMIFS(상세표[기록 시간외],상세표[사번키],INDEX(합계표[사번키],$X962),상세표[기록월],대상월키,상세표[반영월],"&lt;&gt;"&amp;대상월키))</f>
        <v/>
      </c>
      <c r="J962" s="20">
        <f>IF($X962="","",SUMIFS(상세표[기록 시간외],상세표[사번키],INDEX(합계표[사번키],$X962),상세표[기록월],"&lt;&gt;"&amp;대상월키,상세표[반영월],대상월키))</f>
        <v/>
      </c>
      <c r="K962" s="20">
        <f>IF($X962="","",SUMIFS(상세표[기록 시간외],상세표[사번키],INDEX(합계표[사번키],$X962),상세표[반영월],대상월키))</f>
        <v/>
      </c>
      <c r="L962">
        <f>IF($X962="","",IFERROR(INDEX(월별근무지표[적용 급여병원],MATCH(INDEX(합계표[사번키],$X962)&amp;"|"&amp;대상월키,월별근무지표[키],0))&amp;"",IF(COUNTIF(기관표[사번키],INDEX(합계표[사번키],$X962))+COUNTIF(월별근무지표[사번키],INDEX(합계표[사번키],$X962))&gt;0,IFERROR(INDEX(기관표[급여지급병원(기준월)],MATCH(INDEX(합계표[사번키],$X962)&amp;"|"&amp;대상월키,기관표[키],0))&amp;"","—"),"—")))</f>
        <v/>
      </c>
      <c r="M962">
        <f>IF($X962="","",IF(NOT(COUNTIF(기관표[사번키],INDEX(합계표[사번키],$X962))+COUNTIF(월별근무지표[사번키],INDEX(합계표[사번키],$X962))&gt;0),"기관명단에 없음(다른 병원으로 발송)",IF($L962="서울병원","해당",IF(N($R962)&gt;0,"해당(말일 근무)",IF($L962="—","대상월 기관명단 없음(추가 필요)","비해당")))))</f>
        <v/>
      </c>
      <c r="N962" s="20">
        <f>IF($X962="","",SUMIFS(상세표[06~07시],상세표[사번키],INDEX(합계표[사번키],$X962),상세표[반영월],대상월키,상세표[반영 기관],"서울병원"))</f>
        <v/>
      </c>
      <c r="O962" s="20">
        <f>IF($X962="","",SUMIFS(상세표[07~18시],상세표[사번키],INDEX(합계표[사번키],$X962),상세표[반영월],대상월키,상세표[반영 기관],"서울병원"))</f>
        <v/>
      </c>
      <c r="P962" s="20">
        <f>IF($X962="","",SUMIFS(상세표[18~22시],상세표[사번키],INDEX(합계표[사번키],$X962),상세표[반영월],대상월키,상세표[반영 기관],"서울병원"))</f>
        <v/>
      </c>
      <c r="Q962" s="20">
        <f>IF($X962="","",SUMIFS(상세표[22~06시],상세표[사번키],INDEX(합계표[사번키],$X962),상세표[반영월],대상월키,상세표[반영 기관],"서울병원"))</f>
        <v/>
      </c>
      <c r="R962" s="20">
        <f>IF($X962="","",SUM($N962:$Q962))</f>
        <v/>
      </c>
      <c r="S962">
        <f>IF($X962="","",COUNTIFS(상세표[사번키],INDEX(합계표[사번키],$X962),상세표[반영월],대상월키,상세표[야간당직],1,상세표[야간 구분],"평일"))</f>
        <v/>
      </c>
      <c r="T962">
        <f>IF($X962="","",COUNTIFS(상세표[사번키],INDEX(합계표[사번키],$X962),상세표[반영월],대상월키,상세표[야간당직],1,상세표[야간 구분],"휴일"))</f>
        <v/>
      </c>
      <c r="U962">
        <f>IF($X962="","",COUNTIFS(상세표[사번키],INDEX(합계표[사번키],$X962),상세표[반영월],대상월키,상세표[야간당직],1,상세표[야간 구분],"평일",상세표[반영 기관],"서울병원"))</f>
        <v/>
      </c>
      <c r="V962">
        <f>IF($X962="","",COUNTIFS(상세표[사번키],INDEX(합계표[사번키],$X962),상세표[반영월],대상월키,상세표[야간당직],1,상세표[야간 구분],"휴일",상세표[반영 기관],"서울병원"))</f>
        <v/>
      </c>
      <c r="W962">
        <f>IF($X962="","",IF(ISNUMBER(MATCH(INDEX(합계표[사번키],$X962)&amp;"|"&amp;대상월키,월별근무지표[키],0)),"직접 입력",IF($L962="—","—","기관명단")))</f>
        <v/>
      </c>
      <c r="X962" s="4">
        <f>IFERROR(MATCH(957,합계표[판정순번],0),"")</f>
        <v/>
      </c>
    </row>
    <row r="963">
      <c r="A963">
        <f>IF($X963="","",INDEX(합계표[사번],$X963)&amp;"")</f>
        <v/>
      </c>
      <c r="B963">
        <f>IF($X963="","",INDEX(합계표[성명],$X963)&amp;"")</f>
        <v/>
      </c>
      <c r="C963">
        <f>IF($X963="","",INDEX(합계표[부서],$X963)&amp;"")</f>
        <v/>
      </c>
      <c r="D963">
        <f>IF($X963="","",INDEX(합계표[직위(요약)],$X963)&amp;"")</f>
        <v/>
      </c>
      <c r="E963">
        <f>IF($X963="","",INDEX(합계표[직급 공존],$X963)&amp;"")</f>
        <v/>
      </c>
      <c r="F963" s="20">
        <f>IF($X963="","",SUMIFS(합계표[시스템 합계],합계표[사번키],INDEX(합계표[사번키],$X963)))</f>
        <v/>
      </c>
      <c r="G963" s="20">
        <f>IF($X963="","",SUMIFS(상세표[기록 시간외],상세표[사번키],INDEX(합계표[사번키],$X963),상세표[기록월],대상월키))</f>
        <v/>
      </c>
      <c r="H963">
        <f>IF($X963="","",IF(ABS($F963-$G963)&lt;0.01,"일치","불일치(차이 "&amp;TEXT($G963-$F963,"0.00")&amp;")"))</f>
        <v/>
      </c>
      <c r="I963" s="20">
        <f>IF($X963="","",SUMIFS(상세표[기록 시간외],상세표[사번키],INDEX(합계표[사번키],$X963),상세표[기록월],대상월키,상세표[반영월],"&lt;&gt;"&amp;대상월키))</f>
        <v/>
      </c>
      <c r="J963" s="20">
        <f>IF($X963="","",SUMIFS(상세표[기록 시간외],상세표[사번키],INDEX(합계표[사번키],$X963),상세표[기록월],"&lt;&gt;"&amp;대상월키,상세표[반영월],대상월키))</f>
        <v/>
      </c>
      <c r="K963" s="20">
        <f>IF($X963="","",SUMIFS(상세표[기록 시간외],상세표[사번키],INDEX(합계표[사번키],$X963),상세표[반영월],대상월키))</f>
        <v/>
      </c>
      <c r="L963">
        <f>IF($X963="","",IFERROR(INDEX(월별근무지표[적용 급여병원],MATCH(INDEX(합계표[사번키],$X963)&amp;"|"&amp;대상월키,월별근무지표[키],0))&amp;"",IF(COUNTIF(기관표[사번키],INDEX(합계표[사번키],$X963))+COUNTIF(월별근무지표[사번키],INDEX(합계표[사번키],$X963))&gt;0,IFERROR(INDEX(기관표[급여지급병원(기준월)],MATCH(INDEX(합계표[사번키],$X963)&amp;"|"&amp;대상월키,기관표[키],0))&amp;"","—"),"—")))</f>
        <v/>
      </c>
      <c r="M963">
        <f>IF($X963="","",IF(NOT(COUNTIF(기관표[사번키],INDEX(합계표[사번키],$X963))+COUNTIF(월별근무지표[사번키],INDEX(합계표[사번키],$X963))&gt;0),"기관명단에 없음(다른 병원으로 발송)",IF($L963="서울병원","해당",IF(N($R963)&gt;0,"해당(말일 근무)",IF($L963="—","대상월 기관명단 없음(추가 필요)","비해당")))))</f>
        <v/>
      </c>
      <c r="N963" s="20">
        <f>IF($X963="","",SUMIFS(상세표[06~07시],상세표[사번키],INDEX(합계표[사번키],$X963),상세표[반영월],대상월키,상세표[반영 기관],"서울병원"))</f>
        <v/>
      </c>
      <c r="O963" s="20">
        <f>IF($X963="","",SUMIFS(상세표[07~18시],상세표[사번키],INDEX(합계표[사번키],$X963),상세표[반영월],대상월키,상세표[반영 기관],"서울병원"))</f>
        <v/>
      </c>
      <c r="P963" s="20">
        <f>IF($X963="","",SUMIFS(상세표[18~22시],상세표[사번키],INDEX(합계표[사번키],$X963),상세표[반영월],대상월키,상세표[반영 기관],"서울병원"))</f>
        <v/>
      </c>
      <c r="Q963" s="20">
        <f>IF($X963="","",SUMIFS(상세표[22~06시],상세표[사번키],INDEX(합계표[사번키],$X963),상세표[반영월],대상월키,상세표[반영 기관],"서울병원"))</f>
        <v/>
      </c>
      <c r="R963" s="20">
        <f>IF($X963="","",SUM($N963:$Q963))</f>
        <v/>
      </c>
      <c r="S963">
        <f>IF($X963="","",COUNTIFS(상세표[사번키],INDEX(합계표[사번키],$X963),상세표[반영월],대상월키,상세표[야간당직],1,상세표[야간 구분],"평일"))</f>
        <v/>
      </c>
      <c r="T963">
        <f>IF($X963="","",COUNTIFS(상세표[사번키],INDEX(합계표[사번키],$X963),상세표[반영월],대상월키,상세표[야간당직],1,상세표[야간 구분],"휴일"))</f>
        <v/>
      </c>
      <c r="U963">
        <f>IF($X963="","",COUNTIFS(상세표[사번키],INDEX(합계표[사번키],$X963),상세표[반영월],대상월키,상세표[야간당직],1,상세표[야간 구분],"평일",상세표[반영 기관],"서울병원"))</f>
        <v/>
      </c>
      <c r="V963">
        <f>IF($X963="","",COUNTIFS(상세표[사번키],INDEX(합계표[사번키],$X963),상세표[반영월],대상월키,상세표[야간당직],1,상세표[야간 구분],"휴일",상세표[반영 기관],"서울병원"))</f>
        <v/>
      </c>
      <c r="W963">
        <f>IF($X963="","",IF(ISNUMBER(MATCH(INDEX(합계표[사번키],$X963)&amp;"|"&amp;대상월키,월별근무지표[키],0)),"직접 입력",IF($L963="—","—","기관명단")))</f>
        <v/>
      </c>
      <c r="X963" s="4">
        <f>IFERROR(MATCH(958,합계표[판정순번],0),"")</f>
        <v/>
      </c>
    </row>
    <row r="964">
      <c r="A964">
        <f>IF($X964="","",INDEX(합계표[사번],$X964)&amp;"")</f>
        <v/>
      </c>
      <c r="B964">
        <f>IF($X964="","",INDEX(합계표[성명],$X964)&amp;"")</f>
        <v/>
      </c>
      <c r="C964">
        <f>IF($X964="","",INDEX(합계표[부서],$X964)&amp;"")</f>
        <v/>
      </c>
      <c r="D964">
        <f>IF($X964="","",INDEX(합계표[직위(요약)],$X964)&amp;"")</f>
        <v/>
      </c>
      <c r="E964">
        <f>IF($X964="","",INDEX(합계표[직급 공존],$X964)&amp;"")</f>
        <v/>
      </c>
      <c r="F964" s="20">
        <f>IF($X964="","",SUMIFS(합계표[시스템 합계],합계표[사번키],INDEX(합계표[사번키],$X964)))</f>
        <v/>
      </c>
      <c r="G964" s="20">
        <f>IF($X964="","",SUMIFS(상세표[기록 시간외],상세표[사번키],INDEX(합계표[사번키],$X964),상세표[기록월],대상월키))</f>
        <v/>
      </c>
      <c r="H964">
        <f>IF($X964="","",IF(ABS($F964-$G964)&lt;0.01,"일치","불일치(차이 "&amp;TEXT($G964-$F964,"0.00")&amp;")"))</f>
        <v/>
      </c>
      <c r="I964" s="20">
        <f>IF($X964="","",SUMIFS(상세표[기록 시간외],상세표[사번키],INDEX(합계표[사번키],$X964),상세표[기록월],대상월키,상세표[반영월],"&lt;&gt;"&amp;대상월키))</f>
        <v/>
      </c>
      <c r="J964" s="20">
        <f>IF($X964="","",SUMIFS(상세표[기록 시간외],상세표[사번키],INDEX(합계표[사번키],$X964),상세표[기록월],"&lt;&gt;"&amp;대상월키,상세표[반영월],대상월키))</f>
        <v/>
      </c>
      <c r="K964" s="20">
        <f>IF($X964="","",SUMIFS(상세표[기록 시간외],상세표[사번키],INDEX(합계표[사번키],$X964),상세표[반영월],대상월키))</f>
        <v/>
      </c>
      <c r="L964">
        <f>IF($X964="","",IFERROR(INDEX(월별근무지표[적용 급여병원],MATCH(INDEX(합계표[사번키],$X964)&amp;"|"&amp;대상월키,월별근무지표[키],0))&amp;"",IF(COUNTIF(기관표[사번키],INDEX(합계표[사번키],$X964))+COUNTIF(월별근무지표[사번키],INDEX(합계표[사번키],$X964))&gt;0,IFERROR(INDEX(기관표[급여지급병원(기준월)],MATCH(INDEX(합계표[사번키],$X964)&amp;"|"&amp;대상월키,기관표[키],0))&amp;"","—"),"—")))</f>
        <v/>
      </c>
      <c r="M964">
        <f>IF($X964="","",IF(NOT(COUNTIF(기관표[사번키],INDEX(합계표[사번키],$X964))+COUNTIF(월별근무지표[사번키],INDEX(합계표[사번키],$X964))&gt;0),"기관명단에 없음(다른 병원으로 발송)",IF($L964="서울병원","해당",IF(N($R964)&gt;0,"해당(말일 근무)",IF($L964="—","대상월 기관명단 없음(추가 필요)","비해당")))))</f>
        <v/>
      </c>
      <c r="N964" s="20">
        <f>IF($X964="","",SUMIFS(상세표[06~07시],상세표[사번키],INDEX(합계표[사번키],$X964),상세표[반영월],대상월키,상세표[반영 기관],"서울병원"))</f>
        <v/>
      </c>
      <c r="O964" s="20">
        <f>IF($X964="","",SUMIFS(상세표[07~18시],상세표[사번키],INDEX(합계표[사번키],$X964),상세표[반영월],대상월키,상세표[반영 기관],"서울병원"))</f>
        <v/>
      </c>
      <c r="P964" s="20">
        <f>IF($X964="","",SUMIFS(상세표[18~22시],상세표[사번키],INDEX(합계표[사번키],$X964),상세표[반영월],대상월키,상세표[반영 기관],"서울병원"))</f>
        <v/>
      </c>
      <c r="Q964" s="20">
        <f>IF($X964="","",SUMIFS(상세표[22~06시],상세표[사번키],INDEX(합계표[사번키],$X964),상세표[반영월],대상월키,상세표[반영 기관],"서울병원"))</f>
        <v/>
      </c>
      <c r="R964" s="20">
        <f>IF($X964="","",SUM($N964:$Q964))</f>
        <v/>
      </c>
      <c r="S964">
        <f>IF($X964="","",COUNTIFS(상세표[사번키],INDEX(합계표[사번키],$X964),상세표[반영월],대상월키,상세표[야간당직],1,상세표[야간 구분],"평일"))</f>
        <v/>
      </c>
      <c r="T964">
        <f>IF($X964="","",COUNTIFS(상세표[사번키],INDEX(합계표[사번키],$X964),상세표[반영월],대상월키,상세표[야간당직],1,상세표[야간 구분],"휴일"))</f>
        <v/>
      </c>
      <c r="U964">
        <f>IF($X964="","",COUNTIFS(상세표[사번키],INDEX(합계표[사번키],$X964),상세표[반영월],대상월키,상세표[야간당직],1,상세표[야간 구분],"평일",상세표[반영 기관],"서울병원"))</f>
        <v/>
      </c>
      <c r="V964">
        <f>IF($X964="","",COUNTIFS(상세표[사번키],INDEX(합계표[사번키],$X964),상세표[반영월],대상월키,상세표[야간당직],1,상세표[야간 구분],"휴일",상세표[반영 기관],"서울병원"))</f>
        <v/>
      </c>
      <c r="W964">
        <f>IF($X964="","",IF(ISNUMBER(MATCH(INDEX(합계표[사번키],$X964)&amp;"|"&amp;대상월키,월별근무지표[키],0)),"직접 입력",IF($L964="—","—","기관명단")))</f>
        <v/>
      </c>
      <c r="X964" s="4">
        <f>IFERROR(MATCH(959,합계표[판정순번],0),"")</f>
        <v/>
      </c>
    </row>
    <row r="965">
      <c r="A965">
        <f>IF($X965="","",INDEX(합계표[사번],$X965)&amp;"")</f>
        <v/>
      </c>
      <c r="B965">
        <f>IF($X965="","",INDEX(합계표[성명],$X965)&amp;"")</f>
        <v/>
      </c>
      <c r="C965">
        <f>IF($X965="","",INDEX(합계표[부서],$X965)&amp;"")</f>
        <v/>
      </c>
      <c r="D965">
        <f>IF($X965="","",INDEX(합계표[직위(요약)],$X965)&amp;"")</f>
        <v/>
      </c>
      <c r="E965">
        <f>IF($X965="","",INDEX(합계표[직급 공존],$X965)&amp;"")</f>
        <v/>
      </c>
      <c r="F965" s="20">
        <f>IF($X965="","",SUMIFS(합계표[시스템 합계],합계표[사번키],INDEX(합계표[사번키],$X965)))</f>
        <v/>
      </c>
      <c r="G965" s="20">
        <f>IF($X965="","",SUMIFS(상세표[기록 시간외],상세표[사번키],INDEX(합계표[사번키],$X965),상세표[기록월],대상월키))</f>
        <v/>
      </c>
      <c r="H965">
        <f>IF($X965="","",IF(ABS($F965-$G965)&lt;0.01,"일치","불일치(차이 "&amp;TEXT($G965-$F965,"0.00")&amp;")"))</f>
        <v/>
      </c>
      <c r="I965" s="20">
        <f>IF($X965="","",SUMIFS(상세표[기록 시간외],상세표[사번키],INDEX(합계표[사번키],$X965),상세표[기록월],대상월키,상세표[반영월],"&lt;&gt;"&amp;대상월키))</f>
        <v/>
      </c>
      <c r="J965" s="20">
        <f>IF($X965="","",SUMIFS(상세표[기록 시간외],상세표[사번키],INDEX(합계표[사번키],$X965),상세표[기록월],"&lt;&gt;"&amp;대상월키,상세표[반영월],대상월키))</f>
        <v/>
      </c>
      <c r="K965" s="20">
        <f>IF($X965="","",SUMIFS(상세표[기록 시간외],상세표[사번키],INDEX(합계표[사번키],$X965),상세표[반영월],대상월키))</f>
        <v/>
      </c>
      <c r="L965">
        <f>IF($X965="","",IFERROR(INDEX(월별근무지표[적용 급여병원],MATCH(INDEX(합계표[사번키],$X965)&amp;"|"&amp;대상월키,월별근무지표[키],0))&amp;"",IF(COUNTIF(기관표[사번키],INDEX(합계표[사번키],$X965))+COUNTIF(월별근무지표[사번키],INDEX(합계표[사번키],$X965))&gt;0,IFERROR(INDEX(기관표[급여지급병원(기준월)],MATCH(INDEX(합계표[사번키],$X965)&amp;"|"&amp;대상월키,기관표[키],0))&amp;"","—"),"—")))</f>
        <v/>
      </c>
      <c r="M965">
        <f>IF($X965="","",IF(NOT(COUNTIF(기관표[사번키],INDEX(합계표[사번키],$X965))+COUNTIF(월별근무지표[사번키],INDEX(합계표[사번키],$X965))&gt;0),"기관명단에 없음(다른 병원으로 발송)",IF($L965="서울병원","해당",IF(N($R965)&gt;0,"해당(말일 근무)",IF($L965="—","대상월 기관명단 없음(추가 필요)","비해당")))))</f>
        <v/>
      </c>
      <c r="N965" s="20">
        <f>IF($X965="","",SUMIFS(상세표[06~07시],상세표[사번키],INDEX(합계표[사번키],$X965),상세표[반영월],대상월키,상세표[반영 기관],"서울병원"))</f>
        <v/>
      </c>
      <c r="O965" s="20">
        <f>IF($X965="","",SUMIFS(상세표[07~18시],상세표[사번키],INDEX(합계표[사번키],$X965),상세표[반영월],대상월키,상세표[반영 기관],"서울병원"))</f>
        <v/>
      </c>
      <c r="P965" s="20">
        <f>IF($X965="","",SUMIFS(상세표[18~22시],상세표[사번키],INDEX(합계표[사번키],$X965),상세표[반영월],대상월키,상세표[반영 기관],"서울병원"))</f>
        <v/>
      </c>
      <c r="Q965" s="20">
        <f>IF($X965="","",SUMIFS(상세표[22~06시],상세표[사번키],INDEX(합계표[사번키],$X965),상세표[반영월],대상월키,상세표[반영 기관],"서울병원"))</f>
        <v/>
      </c>
      <c r="R965" s="20">
        <f>IF($X965="","",SUM($N965:$Q965))</f>
        <v/>
      </c>
      <c r="S965">
        <f>IF($X965="","",COUNTIFS(상세표[사번키],INDEX(합계표[사번키],$X965),상세표[반영월],대상월키,상세표[야간당직],1,상세표[야간 구분],"평일"))</f>
        <v/>
      </c>
      <c r="T965">
        <f>IF($X965="","",COUNTIFS(상세표[사번키],INDEX(합계표[사번키],$X965),상세표[반영월],대상월키,상세표[야간당직],1,상세표[야간 구분],"휴일"))</f>
        <v/>
      </c>
      <c r="U965">
        <f>IF($X965="","",COUNTIFS(상세표[사번키],INDEX(합계표[사번키],$X965),상세표[반영월],대상월키,상세표[야간당직],1,상세표[야간 구분],"평일",상세표[반영 기관],"서울병원"))</f>
        <v/>
      </c>
      <c r="V965">
        <f>IF($X965="","",COUNTIFS(상세표[사번키],INDEX(합계표[사번키],$X965),상세표[반영월],대상월키,상세표[야간당직],1,상세표[야간 구분],"휴일",상세표[반영 기관],"서울병원"))</f>
        <v/>
      </c>
      <c r="W965">
        <f>IF($X965="","",IF(ISNUMBER(MATCH(INDEX(합계표[사번키],$X965)&amp;"|"&amp;대상월키,월별근무지표[키],0)),"직접 입력",IF($L965="—","—","기관명단")))</f>
        <v/>
      </c>
      <c r="X965" s="4">
        <f>IFERROR(MATCH(960,합계표[판정순번],0),"")</f>
        <v/>
      </c>
    </row>
    <row r="966">
      <c r="A966">
        <f>IF($X966="","",INDEX(합계표[사번],$X966)&amp;"")</f>
        <v/>
      </c>
      <c r="B966">
        <f>IF($X966="","",INDEX(합계표[성명],$X966)&amp;"")</f>
        <v/>
      </c>
      <c r="C966">
        <f>IF($X966="","",INDEX(합계표[부서],$X966)&amp;"")</f>
        <v/>
      </c>
      <c r="D966">
        <f>IF($X966="","",INDEX(합계표[직위(요약)],$X966)&amp;"")</f>
        <v/>
      </c>
      <c r="E966">
        <f>IF($X966="","",INDEX(합계표[직급 공존],$X966)&amp;"")</f>
        <v/>
      </c>
      <c r="F966" s="20">
        <f>IF($X966="","",SUMIFS(합계표[시스템 합계],합계표[사번키],INDEX(합계표[사번키],$X966)))</f>
        <v/>
      </c>
      <c r="G966" s="20">
        <f>IF($X966="","",SUMIFS(상세표[기록 시간외],상세표[사번키],INDEX(합계표[사번키],$X966),상세표[기록월],대상월키))</f>
        <v/>
      </c>
      <c r="H966">
        <f>IF($X966="","",IF(ABS($F966-$G966)&lt;0.01,"일치","불일치(차이 "&amp;TEXT($G966-$F966,"0.00")&amp;")"))</f>
        <v/>
      </c>
      <c r="I966" s="20">
        <f>IF($X966="","",SUMIFS(상세표[기록 시간외],상세표[사번키],INDEX(합계표[사번키],$X966),상세표[기록월],대상월키,상세표[반영월],"&lt;&gt;"&amp;대상월키))</f>
        <v/>
      </c>
      <c r="J966" s="20">
        <f>IF($X966="","",SUMIFS(상세표[기록 시간외],상세표[사번키],INDEX(합계표[사번키],$X966),상세표[기록월],"&lt;&gt;"&amp;대상월키,상세표[반영월],대상월키))</f>
        <v/>
      </c>
      <c r="K966" s="20">
        <f>IF($X966="","",SUMIFS(상세표[기록 시간외],상세표[사번키],INDEX(합계표[사번키],$X966),상세표[반영월],대상월키))</f>
        <v/>
      </c>
      <c r="L966">
        <f>IF($X966="","",IFERROR(INDEX(월별근무지표[적용 급여병원],MATCH(INDEX(합계표[사번키],$X966)&amp;"|"&amp;대상월키,월별근무지표[키],0))&amp;"",IF(COUNTIF(기관표[사번키],INDEX(합계표[사번키],$X966))+COUNTIF(월별근무지표[사번키],INDEX(합계표[사번키],$X966))&gt;0,IFERROR(INDEX(기관표[급여지급병원(기준월)],MATCH(INDEX(합계표[사번키],$X966)&amp;"|"&amp;대상월키,기관표[키],0))&amp;"","—"),"—")))</f>
        <v/>
      </c>
      <c r="M966">
        <f>IF($X966="","",IF(NOT(COUNTIF(기관표[사번키],INDEX(합계표[사번키],$X966))+COUNTIF(월별근무지표[사번키],INDEX(합계표[사번키],$X966))&gt;0),"기관명단에 없음(다른 병원으로 발송)",IF($L966="서울병원","해당",IF(N($R966)&gt;0,"해당(말일 근무)",IF($L966="—","대상월 기관명단 없음(추가 필요)","비해당")))))</f>
        <v/>
      </c>
      <c r="N966" s="20">
        <f>IF($X966="","",SUMIFS(상세표[06~07시],상세표[사번키],INDEX(합계표[사번키],$X966),상세표[반영월],대상월키,상세표[반영 기관],"서울병원"))</f>
        <v/>
      </c>
      <c r="O966" s="20">
        <f>IF($X966="","",SUMIFS(상세표[07~18시],상세표[사번키],INDEX(합계표[사번키],$X966),상세표[반영월],대상월키,상세표[반영 기관],"서울병원"))</f>
        <v/>
      </c>
      <c r="P966" s="20">
        <f>IF($X966="","",SUMIFS(상세표[18~22시],상세표[사번키],INDEX(합계표[사번키],$X966),상세표[반영월],대상월키,상세표[반영 기관],"서울병원"))</f>
        <v/>
      </c>
      <c r="Q966" s="20">
        <f>IF($X966="","",SUMIFS(상세표[22~06시],상세표[사번키],INDEX(합계표[사번키],$X966),상세표[반영월],대상월키,상세표[반영 기관],"서울병원"))</f>
        <v/>
      </c>
      <c r="R966" s="20">
        <f>IF($X966="","",SUM($N966:$Q966))</f>
        <v/>
      </c>
      <c r="S966">
        <f>IF($X966="","",COUNTIFS(상세표[사번키],INDEX(합계표[사번키],$X966),상세표[반영월],대상월키,상세표[야간당직],1,상세표[야간 구분],"평일"))</f>
        <v/>
      </c>
      <c r="T966">
        <f>IF($X966="","",COUNTIFS(상세표[사번키],INDEX(합계표[사번키],$X966),상세표[반영월],대상월키,상세표[야간당직],1,상세표[야간 구분],"휴일"))</f>
        <v/>
      </c>
      <c r="U966">
        <f>IF($X966="","",COUNTIFS(상세표[사번키],INDEX(합계표[사번키],$X966),상세표[반영월],대상월키,상세표[야간당직],1,상세표[야간 구분],"평일",상세표[반영 기관],"서울병원"))</f>
        <v/>
      </c>
      <c r="V966">
        <f>IF($X966="","",COUNTIFS(상세표[사번키],INDEX(합계표[사번키],$X966),상세표[반영월],대상월키,상세표[야간당직],1,상세표[야간 구분],"휴일",상세표[반영 기관],"서울병원"))</f>
        <v/>
      </c>
      <c r="W966">
        <f>IF($X966="","",IF(ISNUMBER(MATCH(INDEX(합계표[사번키],$X966)&amp;"|"&amp;대상월키,월별근무지표[키],0)),"직접 입력",IF($L966="—","—","기관명단")))</f>
        <v/>
      </c>
      <c r="X966" s="4">
        <f>IFERROR(MATCH(961,합계표[판정순번],0),"")</f>
        <v/>
      </c>
    </row>
    <row r="967">
      <c r="A967">
        <f>IF($X967="","",INDEX(합계표[사번],$X967)&amp;"")</f>
        <v/>
      </c>
      <c r="B967">
        <f>IF($X967="","",INDEX(합계표[성명],$X967)&amp;"")</f>
        <v/>
      </c>
      <c r="C967">
        <f>IF($X967="","",INDEX(합계표[부서],$X967)&amp;"")</f>
        <v/>
      </c>
      <c r="D967">
        <f>IF($X967="","",INDEX(합계표[직위(요약)],$X967)&amp;"")</f>
        <v/>
      </c>
      <c r="E967">
        <f>IF($X967="","",INDEX(합계표[직급 공존],$X967)&amp;"")</f>
        <v/>
      </c>
      <c r="F967" s="20">
        <f>IF($X967="","",SUMIFS(합계표[시스템 합계],합계표[사번키],INDEX(합계표[사번키],$X967)))</f>
        <v/>
      </c>
      <c r="G967" s="20">
        <f>IF($X967="","",SUMIFS(상세표[기록 시간외],상세표[사번키],INDEX(합계표[사번키],$X967),상세표[기록월],대상월키))</f>
        <v/>
      </c>
      <c r="H967">
        <f>IF($X967="","",IF(ABS($F967-$G967)&lt;0.01,"일치","불일치(차이 "&amp;TEXT($G967-$F967,"0.00")&amp;")"))</f>
        <v/>
      </c>
      <c r="I967" s="20">
        <f>IF($X967="","",SUMIFS(상세표[기록 시간외],상세표[사번키],INDEX(합계표[사번키],$X967),상세표[기록월],대상월키,상세표[반영월],"&lt;&gt;"&amp;대상월키))</f>
        <v/>
      </c>
      <c r="J967" s="20">
        <f>IF($X967="","",SUMIFS(상세표[기록 시간외],상세표[사번키],INDEX(합계표[사번키],$X967),상세표[기록월],"&lt;&gt;"&amp;대상월키,상세표[반영월],대상월키))</f>
        <v/>
      </c>
      <c r="K967" s="20">
        <f>IF($X967="","",SUMIFS(상세표[기록 시간외],상세표[사번키],INDEX(합계표[사번키],$X967),상세표[반영월],대상월키))</f>
        <v/>
      </c>
      <c r="L967">
        <f>IF($X967="","",IFERROR(INDEX(월별근무지표[적용 급여병원],MATCH(INDEX(합계표[사번키],$X967)&amp;"|"&amp;대상월키,월별근무지표[키],0))&amp;"",IF(COUNTIF(기관표[사번키],INDEX(합계표[사번키],$X967))+COUNTIF(월별근무지표[사번키],INDEX(합계표[사번키],$X967))&gt;0,IFERROR(INDEX(기관표[급여지급병원(기준월)],MATCH(INDEX(합계표[사번키],$X967)&amp;"|"&amp;대상월키,기관표[키],0))&amp;"","—"),"—")))</f>
        <v/>
      </c>
      <c r="M967">
        <f>IF($X967="","",IF(NOT(COUNTIF(기관표[사번키],INDEX(합계표[사번키],$X967))+COUNTIF(월별근무지표[사번키],INDEX(합계표[사번키],$X967))&gt;0),"기관명단에 없음(다른 병원으로 발송)",IF($L967="서울병원","해당",IF(N($R967)&gt;0,"해당(말일 근무)",IF($L967="—","대상월 기관명단 없음(추가 필요)","비해당")))))</f>
        <v/>
      </c>
      <c r="N967" s="20">
        <f>IF($X967="","",SUMIFS(상세표[06~07시],상세표[사번키],INDEX(합계표[사번키],$X967),상세표[반영월],대상월키,상세표[반영 기관],"서울병원"))</f>
        <v/>
      </c>
      <c r="O967" s="20">
        <f>IF($X967="","",SUMIFS(상세표[07~18시],상세표[사번키],INDEX(합계표[사번키],$X967),상세표[반영월],대상월키,상세표[반영 기관],"서울병원"))</f>
        <v/>
      </c>
      <c r="P967" s="20">
        <f>IF($X967="","",SUMIFS(상세표[18~22시],상세표[사번키],INDEX(합계표[사번키],$X967),상세표[반영월],대상월키,상세표[반영 기관],"서울병원"))</f>
        <v/>
      </c>
      <c r="Q967" s="20">
        <f>IF($X967="","",SUMIFS(상세표[22~06시],상세표[사번키],INDEX(합계표[사번키],$X967),상세표[반영월],대상월키,상세표[반영 기관],"서울병원"))</f>
        <v/>
      </c>
      <c r="R967" s="20">
        <f>IF($X967="","",SUM($N967:$Q967))</f>
        <v/>
      </c>
      <c r="S967">
        <f>IF($X967="","",COUNTIFS(상세표[사번키],INDEX(합계표[사번키],$X967),상세표[반영월],대상월키,상세표[야간당직],1,상세표[야간 구분],"평일"))</f>
        <v/>
      </c>
      <c r="T967">
        <f>IF($X967="","",COUNTIFS(상세표[사번키],INDEX(합계표[사번키],$X967),상세표[반영월],대상월키,상세표[야간당직],1,상세표[야간 구분],"휴일"))</f>
        <v/>
      </c>
      <c r="U967">
        <f>IF($X967="","",COUNTIFS(상세표[사번키],INDEX(합계표[사번키],$X967),상세표[반영월],대상월키,상세표[야간당직],1,상세표[야간 구분],"평일",상세표[반영 기관],"서울병원"))</f>
        <v/>
      </c>
      <c r="V967">
        <f>IF($X967="","",COUNTIFS(상세표[사번키],INDEX(합계표[사번키],$X967),상세표[반영월],대상월키,상세표[야간당직],1,상세표[야간 구분],"휴일",상세표[반영 기관],"서울병원"))</f>
        <v/>
      </c>
      <c r="W967">
        <f>IF($X967="","",IF(ISNUMBER(MATCH(INDEX(합계표[사번키],$X967)&amp;"|"&amp;대상월키,월별근무지표[키],0)),"직접 입력",IF($L967="—","—","기관명단")))</f>
        <v/>
      </c>
      <c r="X967" s="4">
        <f>IFERROR(MATCH(962,합계표[판정순번],0),"")</f>
        <v/>
      </c>
    </row>
    <row r="968">
      <c r="A968">
        <f>IF($X968="","",INDEX(합계표[사번],$X968)&amp;"")</f>
        <v/>
      </c>
      <c r="B968">
        <f>IF($X968="","",INDEX(합계표[성명],$X968)&amp;"")</f>
        <v/>
      </c>
      <c r="C968">
        <f>IF($X968="","",INDEX(합계표[부서],$X968)&amp;"")</f>
        <v/>
      </c>
      <c r="D968">
        <f>IF($X968="","",INDEX(합계표[직위(요약)],$X968)&amp;"")</f>
        <v/>
      </c>
      <c r="E968">
        <f>IF($X968="","",INDEX(합계표[직급 공존],$X968)&amp;"")</f>
        <v/>
      </c>
      <c r="F968" s="20">
        <f>IF($X968="","",SUMIFS(합계표[시스템 합계],합계표[사번키],INDEX(합계표[사번키],$X968)))</f>
        <v/>
      </c>
      <c r="G968" s="20">
        <f>IF($X968="","",SUMIFS(상세표[기록 시간외],상세표[사번키],INDEX(합계표[사번키],$X968),상세표[기록월],대상월키))</f>
        <v/>
      </c>
      <c r="H968">
        <f>IF($X968="","",IF(ABS($F968-$G968)&lt;0.01,"일치","불일치(차이 "&amp;TEXT($G968-$F968,"0.00")&amp;")"))</f>
        <v/>
      </c>
      <c r="I968" s="20">
        <f>IF($X968="","",SUMIFS(상세표[기록 시간외],상세표[사번키],INDEX(합계표[사번키],$X968),상세표[기록월],대상월키,상세표[반영월],"&lt;&gt;"&amp;대상월키))</f>
        <v/>
      </c>
      <c r="J968" s="20">
        <f>IF($X968="","",SUMIFS(상세표[기록 시간외],상세표[사번키],INDEX(합계표[사번키],$X968),상세표[기록월],"&lt;&gt;"&amp;대상월키,상세표[반영월],대상월키))</f>
        <v/>
      </c>
      <c r="K968" s="20">
        <f>IF($X968="","",SUMIFS(상세표[기록 시간외],상세표[사번키],INDEX(합계표[사번키],$X968),상세표[반영월],대상월키))</f>
        <v/>
      </c>
      <c r="L968">
        <f>IF($X968="","",IFERROR(INDEX(월별근무지표[적용 급여병원],MATCH(INDEX(합계표[사번키],$X968)&amp;"|"&amp;대상월키,월별근무지표[키],0))&amp;"",IF(COUNTIF(기관표[사번키],INDEX(합계표[사번키],$X968))+COUNTIF(월별근무지표[사번키],INDEX(합계표[사번키],$X968))&gt;0,IFERROR(INDEX(기관표[급여지급병원(기준월)],MATCH(INDEX(합계표[사번키],$X968)&amp;"|"&amp;대상월키,기관표[키],0))&amp;"","—"),"—")))</f>
        <v/>
      </c>
      <c r="M968">
        <f>IF($X968="","",IF(NOT(COUNTIF(기관표[사번키],INDEX(합계표[사번키],$X968))+COUNTIF(월별근무지표[사번키],INDEX(합계표[사번키],$X968))&gt;0),"기관명단에 없음(다른 병원으로 발송)",IF($L968="서울병원","해당",IF(N($R968)&gt;0,"해당(말일 근무)",IF($L968="—","대상월 기관명단 없음(추가 필요)","비해당")))))</f>
        <v/>
      </c>
      <c r="N968" s="20">
        <f>IF($X968="","",SUMIFS(상세표[06~07시],상세표[사번키],INDEX(합계표[사번키],$X968),상세표[반영월],대상월키,상세표[반영 기관],"서울병원"))</f>
        <v/>
      </c>
      <c r="O968" s="20">
        <f>IF($X968="","",SUMIFS(상세표[07~18시],상세표[사번키],INDEX(합계표[사번키],$X968),상세표[반영월],대상월키,상세표[반영 기관],"서울병원"))</f>
        <v/>
      </c>
      <c r="P968" s="20">
        <f>IF($X968="","",SUMIFS(상세표[18~22시],상세표[사번키],INDEX(합계표[사번키],$X968),상세표[반영월],대상월키,상세표[반영 기관],"서울병원"))</f>
        <v/>
      </c>
      <c r="Q968" s="20">
        <f>IF($X968="","",SUMIFS(상세표[22~06시],상세표[사번키],INDEX(합계표[사번키],$X968),상세표[반영월],대상월키,상세표[반영 기관],"서울병원"))</f>
        <v/>
      </c>
      <c r="R968" s="20">
        <f>IF($X968="","",SUM($N968:$Q968))</f>
        <v/>
      </c>
      <c r="S968">
        <f>IF($X968="","",COUNTIFS(상세표[사번키],INDEX(합계표[사번키],$X968),상세표[반영월],대상월키,상세표[야간당직],1,상세표[야간 구분],"평일"))</f>
        <v/>
      </c>
      <c r="T968">
        <f>IF($X968="","",COUNTIFS(상세표[사번키],INDEX(합계표[사번키],$X968),상세표[반영월],대상월키,상세표[야간당직],1,상세표[야간 구분],"휴일"))</f>
        <v/>
      </c>
      <c r="U968">
        <f>IF($X968="","",COUNTIFS(상세표[사번키],INDEX(합계표[사번키],$X968),상세표[반영월],대상월키,상세표[야간당직],1,상세표[야간 구분],"평일",상세표[반영 기관],"서울병원"))</f>
        <v/>
      </c>
      <c r="V968">
        <f>IF($X968="","",COUNTIFS(상세표[사번키],INDEX(합계표[사번키],$X968),상세표[반영월],대상월키,상세표[야간당직],1,상세표[야간 구분],"휴일",상세표[반영 기관],"서울병원"))</f>
        <v/>
      </c>
      <c r="W968">
        <f>IF($X968="","",IF(ISNUMBER(MATCH(INDEX(합계표[사번키],$X968)&amp;"|"&amp;대상월키,월별근무지표[키],0)),"직접 입력",IF($L968="—","—","기관명단")))</f>
        <v/>
      </c>
      <c r="X968" s="4">
        <f>IFERROR(MATCH(963,합계표[판정순번],0),"")</f>
        <v/>
      </c>
    </row>
    <row r="969">
      <c r="A969">
        <f>IF($X969="","",INDEX(합계표[사번],$X969)&amp;"")</f>
        <v/>
      </c>
      <c r="B969">
        <f>IF($X969="","",INDEX(합계표[성명],$X969)&amp;"")</f>
        <v/>
      </c>
      <c r="C969">
        <f>IF($X969="","",INDEX(합계표[부서],$X969)&amp;"")</f>
        <v/>
      </c>
      <c r="D969">
        <f>IF($X969="","",INDEX(합계표[직위(요약)],$X969)&amp;"")</f>
        <v/>
      </c>
      <c r="E969">
        <f>IF($X969="","",INDEX(합계표[직급 공존],$X969)&amp;"")</f>
        <v/>
      </c>
      <c r="F969" s="20">
        <f>IF($X969="","",SUMIFS(합계표[시스템 합계],합계표[사번키],INDEX(합계표[사번키],$X969)))</f>
        <v/>
      </c>
      <c r="G969" s="20">
        <f>IF($X969="","",SUMIFS(상세표[기록 시간외],상세표[사번키],INDEX(합계표[사번키],$X969),상세표[기록월],대상월키))</f>
        <v/>
      </c>
      <c r="H969">
        <f>IF($X969="","",IF(ABS($F969-$G969)&lt;0.01,"일치","불일치(차이 "&amp;TEXT($G969-$F969,"0.00")&amp;")"))</f>
        <v/>
      </c>
      <c r="I969" s="20">
        <f>IF($X969="","",SUMIFS(상세표[기록 시간외],상세표[사번키],INDEX(합계표[사번키],$X969),상세표[기록월],대상월키,상세표[반영월],"&lt;&gt;"&amp;대상월키))</f>
        <v/>
      </c>
      <c r="J969" s="20">
        <f>IF($X969="","",SUMIFS(상세표[기록 시간외],상세표[사번키],INDEX(합계표[사번키],$X969),상세표[기록월],"&lt;&gt;"&amp;대상월키,상세표[반영월],대상월키))</f>
        <v/>
      </c>
      <c r="K969" s="20">
        <f>IF($X969="","",SUMIFS(상세표[기록 시간외],상세표[사번키],INDEX(합계표[사번키],$X969),상세표[반영월],대상월키))</f>
        <v/>
      </c>
      <c r="L969">
        <f>IF($X969="","",IFERROR(INDEX(월별근무지표[적용 급여병원],MATCH(INDEX(합계표[사번키],$X969)&amp;"|"&amp;대상월키,월별근무지표[키],0))&amp;"",IF(COUNTIF(기관표[사번키],INDEX(합계표[사번키],$X969))+COUNTIF(월별근무지표[사번키],INDEX(합계표[사번키],$X969))&gt;0,IFERROR(INDEX(기관표[급여지급병원(기준월)],MATCH(INDEX(합계표[사번키],$X969)&amp;"|"&amp;대상월키,기관표[키],0))&amp;"","—"),"—")))</f>
        <v/>
      </c>
      <c r="M969">
        <f>IF($X969="","",IF(NOT(COUNTIF(기관표[사번키],INDEX(합계표[사번키],$X969))+COUNTIF(월별근무지표[사번키],INDEX(합계표[사번키],$X969))&gt;0),"기관명단에 없음(다른 병원으로 발송)",IF($L969="서울병원","해당",IF(N($R969)&gt;0,"해당(말일 근무)",IF($L969="—","대상월 기관명단 없음(추가 필요)","비해당")))))</f>
        <v/>
      </c>
      <c r="N969" s="20">
        <f>IF($X969="","",SUMIFS(상세표[06~07시],상세표[사번키],INDEX(합계표[사번키],$X969),상세표[반영월],대상월키,상세표[반영 기관],"서울병원"))</f>
        <v/>
      </c>
      <c r="O969" s="20">
        <f>IF($X969="","",SUMIFS(상세표[07~18시],상세표[사번키],INDEX(합계표[사번키],$X969),상세표[반영월],대상월키,상세표[반영 기관],"서울병원"))</f>
        <v/>
      </c>
      <c r="P969" s="20">
        <f>IF($X969="","",SUMIFS(상세표[18~22시],상세표[사번키],INDEX(합계표[사번키],$X969),상세표[반영월],대상월키,상세표[반영 기관],"서울병원"))</f>
        <v/>
      </c>
      <c r="Q969" s="20">
        <f>IF($X969="","",SUMIFS(상세표[22~06시],상세표[사번키],INDEX(합계표[사번키],$X969),상세표[반영월],대상월키,상세표[반영 기관],"서울병원"))</f>
        <v/>
      </c>
      <c r="R969" s="20">
        <f>IF($X969="","",SUM($N969:$Q969))</f>
        <v/>
      </c>
      <c r="S969">
        <f>IF($X969="","",COUNTIFS(상세표[사번키],INDEX(합계표[사번키],$X969),상세표[반영월],대상월키,상세표[야간당직],1,상세표[야간 구분],"평일"))</f>
        <v/>
      </c>
      <c r="T969">
        <f>IF($X969="","",COUNTIFS(상세표[사번키],INDEX(합계표[사번키],$X969),상세표[반영월],대상월키,상세표[야간당직],1,상세표[야간 구분],"휴일"))</f>
        <v/>
      </c>
      <c r="U969">
        <f>IF($X969="","",COUNTIFS(상세표[사번키],INDEX(합계표[사번키],$X969),상세표[반영월],대상월키,상세표[야간당직],1,상세표[야간 구분],"평일",상세표[반영 기관],"서울병원"))</f>
        <v/>
      </c>
      <c r="V969">
        <f>IF($X969="","",COUNTIFS(상세표[사번키],INDEX(합계표[사번키],$X969),상세표[반영월],대상월키,상세표[야간당직],1,상세표[야간 구분],"휴일",상세표[반영 기관],"서울병원"))</f>
        <v/>
      </c>
      <c r="W969">
        <f>IF($X969="","",IF(ISNUMBER(MATCH(INDEX(합계표[사번키],$X969)&amp;"|"&amp;대상월키,월별근무지표[키],0)),"직접 입력",IF($L969="—","—","기관명단")))</f>
        <v/>
      </c>
      <c r="X969" s="4">
        <f>IFERROR(MATCH(964,합계표[판정순번],0),"")</f>
        <v/>
      </c>
    </row>
    <row r="970">
      <c r="A970">
        <f>IF($X970="","",INDEX(합계표[사번],$X970)&amp;"")</f>
        <v/>
      </c>
      <c r="B970">
        <f>IF($X970="","",INDEX(합계표[성명],$X970)&amp;"")</f>
        <v/>
      </c>
      <c r="C970">
        <f>IF($X970="","",INDEX(합계표[부서],$X970)&amp;"")</f>
        <v/>
      </c>
      <c r="D970">
        <f>IF($X970="","",INDEX(합계표[직위(요약)],$X970)&amp;"")</f>
        <v/>
      </c>
      <c r="E970">
        <f>IF($X970="","",INDEX(합계표[직급 공존],$X970)&amp;"")</f>
        <v/>
      </c>
      <c r="F970" s="20">
        <f>IF($X970="","",SUMIFS(합계표[시스템 합계],합계표[사번키],INDEX(합계표[사번키],$X970)))</f>
        <v/>
      </c>
      <c r="G970" s="20">
        <f>IF($X970="","",SUMIFS(상세표[기록 시간외],상세표[사번키],INDEX(합계표[사번키],$X970),상세표[기록월],대상월키))</f>
        <v/>
      </c>
      <c r="H970">
        <f>IF($X970="","",IF(ABS($F970-$G970)&lt;0.01,"일치","불일치(차이 "&amp;TEXT($G970-$F970,"0.00")&amp;")"))</f>
        <v/>
      </c>
      <c r="I970" s="20">
        <f>IF($X970="","",SUMIFS(상세표[기록 시간외],상세표[사번키],INDEX(합계표[사번키],$X970),상세표[기록월],대상월키,상세표[반영월],"&lt;&gt;"&amp;대상월키))</f>
        <v/>
      </c>
      <c r="J970" s="20">
        <f>IF($X970="","",SUMIFS(상세표[기록 시간외],상세표[사번키],INDEX(합계표[사번키],$X970),상세표[기록월],"&lt;&gt;"&amp;대상월키,상세표[반영월],대상월키))</f>
        <v/>
      </c>
      <c r="K970" s="20">
        <f>IF($X970="","",SUMIFS(상세표[기록 시간외],상세표[사번키],INDEX(합계표[사번키],$X970),상세표[반영월],대상월키))</f>
        <v/>
      </c>
      <c r="L970">
        <f>IF($X970="","",IFERROR(INDEX(월별근무지표[적용 급여병원],MATCH(INDEX(합계표[사번키],$X970)&amp;"|"&amp;대상월키,월별근무지표[키],0))&amp;"",IF(COUNTIF(기관표[사번키],INDEX(합계표[사번키],$X970))+COUNTIF(월별근무지표[사번키],INDEX(합계표[사번키],$X970))&gt;0,IFERROR(INDEX(기관표[급여지급병원(기준월)],MATCH(INDEX(합계표[사번키],$X970)&amp;"|"&amp;대상월키,기관표[키],0))&amp;"","—"),"—")))</f>
        <v/>
      </c>
      <c r="M970">
        <f>IF($X970="","",IF(NOT(COUNTIF(기관표[사번키],INDEX(합계표[사번키],$X970))+COUNTIF(월별근무지표[사번키],INDEX(합계표[사번키],$X970))&gt;0),"기관명단에 없음(다른 병원으로 발송)",IF($L970="서울병원","해당",IF(N($R970)&gt;0,"해당(말일 근무)",IF($L970="—","대상월 기관명단 없음(추가 필요)","비해당")))))</f>
        <v/>
      </c>
      <c r="N970" s="20">
        <f>IF($X970="","",SUMIFS(상세표[06~07시],상세표[사번키],INDEX(합계표[사번키],$X970),상세표[반영월],대상월키,상세표[반영 기관],"서울병원"))</f>
        <v/>
      </c>
      <c r="O970" s="20">
        <f>IF($X970="","",SUMIFS(상세표[07~18시],상세표[사번키],INDEX(합계표[사번키],$X970),상세표[반영월],대상월키,상세표[반영 기관],"서울병원"))</f>
        <v/>
      </c>
      <c r="P970" s="20">
        <f>IF($X970="","",SUMIFS(상세표[18~22시],상세표[사번키],INDEX(합계표[사번키],$X970),상세표[반영월],대상월키,상세표[반영 기관],"서울병원"))</f>
        <v/>
      </c>
      <c r="Q970" s="20">
        <f>IF($X970="","",SUMIFS(상세표[22~06시],상세표[사번키],INDEX(합계표[사번키],$X970),상세표[반영월],대상월키,상세표[반영 기관],"서울병원"))</f>
        <v/>
      </c>
      <c r="R970" s="20">
        <f>IF($X970="","",SUM($N970:$Q970))</f>
        <v/>
      </c>
      <c r="S970">
        <f>IF($X970="","",COUNTIFS(상세표[사번키],INDEX(합계표[사번키],$X970),상세표[반영월],대상월키,상세표[야간당직],1,상세표[야간 구분],"평일"))</f>
        <v/>
      </c>
      <c r="T970">
        <f>IF($X970="","",COUNTIFS(상세표[사번키],INDEX(합계표[사번키],$X970),상세표[반영월],대상월키,상세표[야간당직],1,상세표[야간 구분],"휴일"))</f>
        <v/>
      </c>
      <c r="U970">
        <f>IF($X970="","",COUNTIFS(상세표[사번키],INDEX(합계표[사번키],$X970),상세표[반영월],대상월키,상세표[야간당직],1,상세표[야간 구분],"평일",상세표[반영 기관],"서울병원"))</f>
        <v/>
      </c>
      <c r="V970">
        <f>IF($X970="","",COUNTIFS(상세표[사번키],INDEX(합계표[사번키],$X970),상세표[반영월],대상월키,상세표[야간당직],1,상세표[야간 구분],"휴일",상세표[반영 기관],"서울병원"))</f>
        <v/>
      </c>
      <c r="W970">
        <f>IF($X970="","",IF(ISNUMBER(MATCH(INDEX(합계표[사번키],$X970)&amp;"|"&amp;대상월키,월별근무지표[키],0)),"직접 입력",IF($L970="—","—","기관명단")))</f>
        <v/>
      </c>
      <c r="X970" s="4">
        <f>IFERROR(MATCH(965,합계표[판정순번],0),"")</f>
        <v/>
      </c>
    </row>
    <row r="971">
      <c r="A971">
        <f>IF($X971="","",INDEX(합계표[사번],$X971)&amp;"")</f>
        <v/>
      </c>
      <c r="B971">
        <f>IF($X971="","",INDEX(합계표[성명],$X971)&amp;"")</f>
        <v/>
      </c>
      <c r="C971">
        <f>IF($X971="","",INDEX(합계표[부서],$X971)&amp;"")</f>
        <v/>
      </c>
      <c r="D971">
        <f>IF($X971="","",INDEX(합계표[직위(요약)],$X971)&amp;"")</f>
        <v/>
      </c>
      <c r="E971">
        <f>IF($X971="","",INDEX(합계표[직급 공존],$X971)&amp;"")</f>
        <v/>
      </c>
      <c r="F971" s="20">
        <f>IF($X971="","",SUMIFS(합계표[시스템 합계],합계표[사번키],INDEX(합계표[사번키],$X971)))</f>
        <v/>
      </c>
      <c r="G971" s="20">
        <f>IF($X971="","",SUMIFS(상세표[기록 시간외],상세표[사번키],INDEX(합계표[사번키],$X971),상세표[기록월],대상월키))</f>
        <v/>
      </c>
      <c r="H971">
        <f>IF($X971="","",IF(ABS($F971-$G971)&lt;0.01,"일치","불일치(차이 "&amp;TEXT($G971-$F971,"0.00")&amp;")"))</f>
        <v/>
      </c>
      <c r="I971" s="20">
        <f>IF($X971="","",SUMIFS(상세표[기록 시간외],상세표[사번키],INDEX(합계표[사번키],$X971),상세표[기록월],대상월키,상세표[반영월],"&lt;&gt;"&amp;대상월키))</f>
        <v/>
      </c>
      <c r="J971" s="20">
        <f>IF($X971="","",SUMIFS(상세표[기록 시간외],상세표[사번키],INDEX(합계표[사번키],$X971),상세표[기록월],"&lt;&gt;"&amp;대상월키,상세표[반영월],대상월키))</f>
        <v/>
      </c>
      <c r="K971" s="20">
        <f>IF($X971="","",SUMIFS(상세표[기록 시간외],상세표[사번키],INDEX(합계표[사번키],$X971),상세표[반영월],대상월키))</f>
        <v/>
      </c>
      <c r="L971">
        <f>IF($X971="","",IFERROR(INDEX(월별근무지표[적용 급여병원],MATCH(INDEX(합계표[사번키],$X971)&amp;"|"&amp;대상월키,월별근무지표[키],0))&amp;"",IF(COUNTIF(기관표[사번키],INDEX(합계표[사번키],$X971))+COUNTIF(월별근무지표[사번키],INDEX(합계표[사번키],$X971))&gt;0,IFERROR(INDEX(기관표[급여지급병원(기준월)],MATCH(INDEX(합계표[사번키],$X971)&amp;"|"&amp;대상월키,기관표[키],0))&amp;"","—"),"—")))</f>
        <v/>
      </c>
      <c r="M971">
        <f>IF($X971="","",IF(NOT(COUNTIF(기관표[사번키],INDEX(합계표[사번키],$X971))+COUNTIF(월별근무지표[사번키],INDEX(합계표[사번키],$X971))&gt;0),"기관명단에 없음(다른 병원으로 발송)",IF($L971="서울병원","해당",IF(N($R971)&gt;0,"해당(말일 근무)",IF($L971="—","대상월 기관명단 없음(추가 필요)","비해당")))))</f>
        <v/>
      </c>
      <c r="N971" s="20">
        <f>IF($X971="","",SUMIFS(상세표[06~07시],상세표[사번키],INDEX(합계표[사번키],$X971),상세표[반영월],대상월키,상세표[반영 기관],"서울병원"))</f>
        <v/>
      </c>
      <c r="O971" s="20">
        <f>IF($X971="","",SUMIFS(상세표[07~18시],상세표[사번키],INDEX(합계표[사번키],$X971),상세표[반영월],대상월키,상세표[반영 기관],"서울병원"))</f>
        <v/>
      </c>
      <c r="P971" s="20">
        <f>IF($X971="","",SUMIFS(상세표[18~22시],상세표[사번키],INDEX(합계표[사번키],$X971),상세표[반영월],대상월키,상세표[반영 기관],"서울병원"))</f>
        <v/>
      </c>
      <c r="Q971" s="20">
        <f>IF($X971="","",SUMIFS(상세표[22~06시],상세표[사번키],INDEX(합계표[사번키],$X971),상세표[반영월],대상월키,상세표[반영 기관],"서울병원"))</f>
        <v/>
      </c>
      <c r="R971" s="20">
        <f>IF($X971="","",SUM($N971:$Q971))</f>
        <v/>
      </c>
      <c r="S971">
        <f>IF($X971="","",COUNTIFS(상세표[사번키],INDEX(합계표[사번키],$X971),상세표[반영월],대상월키,상세표[야간당직],1,상세표[야간 구분],"평일"))</f>
        <v/>
      </c>
      <c r="T971">
        <f>IF($X971="","",COUNTIFS(상세표[사번키],INDEX(합계표[사번키],$X971),상세표[반영월],대상월키,상세표[야간당직],1,상세표[야간 구분],"휴일"))</f>
        <v/>
      </c>
      <c r="U971">
        <f>IF($X971="","",COUNTIFS(상세표[사번키],INDEX(합계표[사번키],$X971),상세표[반영월],대상월키,상세표[야간당직],1,상세표[야간 구분],"평일",상세표[반영 기관],"서울병원"))</f>
        <v/>
      </c>
      <c r="V971">
        <f>IF($X971="","",COUNTIFS(상세표[사번키],INDEX(합계표[사번키],$X971),상세표[반영월],대상월키,상세표[야간당직],1,상세표[야간 구분],"휴일",상세표[반영 기관],"서울병원"))</f>
        <v/>
      </c>
      <c r="W971">
        <f>IF($X971="","",IF(ISNUMBER(MATCH(INDEX(합계표[사번키],$X971)&amp;"|"&amp;대상월키,월별근무지표[키],0)),"직접 입력",IF($L971="—","—","기관명단")))</f>
        <v/>
      </c>
      <c r="X971" s="4">
        <f>IFERROR(MATCH(966,합계표[판정순번],0),"")</f>
        <v/>
      </c>
    </row>
    <row r="972">
      <c r="A972">
        <f>IF($X972="","",INDEX(합계표[사번],$X972)&amp;"")</f>
        <v/>
      </c>
      <c r="B972">
        <f>IF($X972="","",INDEX(합계표[성명],$X972)&amp;"")</f>
        <v/>
      </c>
      <c r="C972">
        <f>IF($X972="","",INDEX(합계표[부서],$X972)&amp;"")</f>
        <v/>
      </c>
      <c r="D972">
        <f>IF($X972="","",INDEX(합계표[직위(요약)],$X972)&amp;"")</f>
        <v/>
      </c>
      <c r="E972">
        <f>IF($X972="","",INDEX(합계표[직급 공존],$X972)&amp;"")</f>
        <v/>
      </c>
      <c r="F972" s="20">
        <f>IF($X972="","",SUMIFS(합계표[시스템 합계],합계표[사번키],INDEX(합계표[사번키],$X972)))</f>
        <v/>
      </c>
      <c r="G972" s="20">
        <f>IF($X972="","",SUMIFS(상세표[기록 시간외],상세표[사번키],INDEX(합계표[사번키],$X972),상세표[기록월],대상월키))</f>
        <v/>
      </c>
      <c r="H972">
        <f>IF($X972="","",IF(ABS($F972-$G972)&lt;0.01,"일치","불일치(차이 "&amp;TEXT($G972-$F972,"0.00")&amp;")"))</f>
        <v/>
      </c>
      <c r="I972" s="20">
        <f>IF($X972="","",SUMIFS(상세표[기록 시간외],상세표[사번키],INDEX(합계표[사번키],$X972),상세표[기록월],대상월키,상세표[반영월],"&lt;&gt;"&amp;대상월키))</f>
        <v/>
      </c>
      <c r="J972" s="20">
        <f>IF($X972="","",SUMIFS(상세표[기록 시간외],상세표[사번키],INDEX(합계표[사번키],$X972),상세표[기록월],"&lt;&gt;"&amp;대상월키,상세표[반영월],대상월키))</f>
        <v/>
      </c>
      <c r="K972" s="20">
        <f>IF($X972="","",SUMIFS(상세표[기록 시간외],상세표[사번키],INDEX(합계표[사번키],$X972),상세표[반영월],대상월키))</f>
        <v/>
      </c>
      <c r="L972">
        <f>IF($X972="","",IFERROR(INDEX(월별근무지표[적용 급여병원],MATCH(INDEX(합계표[사번키],$X972)&amp;"|"&amp;대상월키,월별근무지표[키],0))&amp;"",IF(COUNTIF(기관표[사번키],INDEX(합계표[사번키],$X972))+COUNTIF(월별근무지표[사번키],INDEX(합계표[사번키],$X972))&gt;0,IFERROR(INDEX(기관표[급여지급병원(기준월)],MATCH(INDEX(합계표[사번키],$X972)&amp;"|"&amp;대상월키,기관표[키],0))&amp;"","—"),"—")))</f>
        <v/>
      </c>
      <c r="M972">
        <f>IF($X972="","",IF(NOT(COUNTIF(기관표[사번키],INDEX(합계표[사번키],$X972))+COUNTIF(월별근무지표[사번키],INDEX(합계표[사번키],$X972))&gt;0),"기관명단에 없음(다른 병원으로 발송)",IF($L972="서울병원","해당",IF(N($R972)&gt;0,"해당(말일 근무)",IF($L972="—","대상월 기관명단 없음(추가 필요)","비해당")))))</f>
        <v/>
      </c>
      <c r="N972" s="20">
        <f>IF($X972="","",SUMIFS(상세표[06~07시],상세표[사번키],INDEX(합계표[사번키],$X972),상세표[반영월],대상월키,상세표[반영 기관],"서울병원"))</f>
        <v/>
      </c>
      <c r="O972" s="20">
        <f>IF($X972="","",SUMIFS(상세표[07~18시],상세표[사번키],INDEX(합계표[사번키],$X972),상세표[반영월],대상월키,상세표[반영 기관],"서울병원"))</f>
        <v/>
      </c>
      <c r="P972" s="20">
        <f>IF($X972="","",SUMIFS(상세표[18~22시],상세표[사번키],INDEX(합계표[사번키],$X972),상세표[반영월],대상월키,상세표[반영 기관],"서울병원"))</f>
        <v/>
      </c>
      <c r="Q972" s="20">
        <f>IF($X972="","",SUMIFS(상세표[22~06시],상세표[사번키],INDEX(합계표[사번키],$X972),상세표[반영월],대상월키,상세표[반영 기관],"서울병원"))</f>
        <v/>
      </c>
      <c r="R972" s="20">
        <f>IF($X972="","",SUM($N972:$Q972))</f>
        <v/>
      </c>
      <c r="S972">
        <f>IF($X972="","",COUNTIFS(상세표[사번키],INDEX(합계표[사번키],$X972),상세표[반영월],대상월키,상세표[야간당직],1,상세표[야간 구분],"평일"))</f>
        <v/>
      </c>
      <c r="T972">
        <f>IF($X972="","",COUNTIFS(상세표[사번키],INDEX(합계표[사번키],$X972),상세표[반영월],대상월키,상세표[야간당직],1,상세표[야간 구분],"휴일"))</f>
        <v/>
      </c>
      <c r="U972">
        <f>IF($X972="","",COUNTIFS(상세표[사번키],INDEX(합계표[사번키],$X972),상세표[반영월],대상월키,상세표[야간당직],1,상세표[야간 구분],"평일",상세표[반영 기관],"서울병원"))</f>
        <v/>
      </c>
      <c r="V972">
        <f>IF($X972="","",COUNTIFS(상세표[사번키],INDEX(합계표[사번키],$X972),상세표[반영월],대상월키,상세표[야간당직],1,상세표[야간 구분],"휴일",상세표[반영 기관],"서울병원"))</f>
        <v/>
      </c>
      <c r="W972">
        <f>IF($X972="","",IF(ISNUMBER(MATCH(INDEX(합계표[사번키],$X972)&amp;"|"&amp;대상월키,월별근무지표[키],0)),"직접 입력",IF($L972="—","—","기관명단")))</f>
        <v/>
      </c>
      <c r="X972" s="4">
        <f>IFERROR(MATCH(967,합계표[판정순번],0),"")</f>
        <v/>
      </c>
    </row>
    <row r="973">
      <c r="A973">
        <f>IF($X973="","",INDEX(합계표[사번],$X973)&amp;"")</f>
        <v/>
      </c>
      <c r="B973">
        <f>IF($X973="","",INDEX(합계표[성명],$X973)&amp;"")</f>
        <v/>
      </c>
      <c r="C973">
        <f>IF($X973="","",INDEX(합계표[부서],$X973)&amp;"")</f>
        <v/>
      </c>
      <c r="D973">
        <f>IF($X973="","",INDEX(합계표[직위(요약)],$X973)&amp;"")</f>
        <v/>
      </c>
      <c r="E973">
        <f>IF($X973="","",INDEX(합계표[직급 공존],$X973)&amp;"")</f>
        <v/>
      </c>
      <c r="F973" s="20">
        <f>IF($X973="","",SUMIFS(합계표[시스템 합계],합계표[사번키],INDEX(합계표[사번키],$X973)))</f>
        <v/>
      </c>
      <c r="G973" s="20">
        <f>IF($X973="","",SUMIFS(상세표[기록 시간외],상세표[사번키],INDEX(합계표[사번키],$X973),상세표[기록월],대상월키))</f>
        <v/>
      </c>
      <c r="H973">
        <f>IF($X973="","",IF(ABS($F973-$G973)&lt;0.01,"일치","불일치(차이 "&amp;TEXT($G973-$F973,"0.00")&amp;")"))</f>
        <v/>
      </c>
      <c r="I973" s="20">
        <f>IF($X973="","",SUMIFS(상세표[기록 시간외],상세표[사번키],INDEX(합계표[사번키],$X973),상세표[기록월],대상월키,상세표[반영월],"&lt;&gt;"&amp;대상월키))</f>
        <v/>
      </c>
      <c r="J973" s="20">
        <f>IF($X973="","",SUMIFS(상세표[기록 시간외],상세표[사번키],INDEX(합계표[사번키],$X973),상세표[기록월],"&lt;&gt;"&amp;대상월키,상세표[반영월],대상월키))</f>
        <v/>
      </c>
      <c r="K973" s="20">
        <f>IF($X973="","",SUMIFS(상세표[기록 시간외],상세표[사번키],INDEX(합계표[사번키],$X973),상세표[반영월],대상월키))</f>
        <v/>
      </c>
      <c r="L973">
        <f>IF($X973="","",IFERROR(INDEX(월별근무지표[적용 급여병원],MATCH(INDEX(합계표[사번키],$X973)&amp;"|"&amp;대상월키,월별근무지표[키],0))&amp;"",IF(COUNTIF(기관표[사번키],INDEX(합계표[사번키],$X973))+COUNTIF(월별근무지표[사번키],INDEX(합계표[사번키],$X973))&gt;0,IFERROR(INDEX(기관표[급여지급병원(기준월)],MATCH(INDEX(합계표[사번키],$X973)&amp;"|"&amp;대상월키,기관표[키],0))&amp;"","—"),"—")))</f>
        <v/>
      </c>
      <c r="M973">
        <f>IF($X973="","",IF(NOT(COUNTIF(기관표[사번키],INDEX(합계표[사번키],$X973))+COUNTIF(월별근무지표[사번키],INDEX(합계표[사번키],$X973))&gt;0),"기관명단에 없음(다른 병원으로 발송)",IF($L973="서울병원","해당",IF(N($R973)&gt;0,"해당(말일 근무)",IF($L973="—","대상월 기관명단 없음(추가 필요)","비해당")))))</f>
        <v/>
      </c>
      <c r="N973" s="20">
        <f>IF($X973="","",SUMIFS(상세표[06~07시],상세표[사번키],INDEX(합계표[사번키],$X973),상세표[반영월],대상월키,상세표[반영 기관],"서울병원"))</f>
        <v/>
      </c>
      <c r="O973" s="20">
        <f>IF($X973="","",SUMIFS(상세표[07~18시],상세표[사번키],INDEX(합계표[사번키],$X973),상세표[반영월],대상월키,상세표[반영 기관],"서울병원"))</f>
        <v/>
      </c>
      <c r="P973" s="20">
        <f>IF($X973="","",SUMIFS(상세표[18~22시],상세표[사번키],INDEX(합계표[사번키],$X973),상세표[반영월],대상월키,상세표[반영 기관],"서울병원"))</f>
        <v/>
      </c>
      <c r="Q973" s="20">
        <f>IF($X973="","",SUMIFS(상세표[22~06시],상세표[사번키],INDEX(합계표[사번키],$X973),상세표[반영월],대상월키,상세표[반영 기관],"서울병원"))</f>
        <v/>
      </c>
      <c r="R973" s="20">
        <f>IF($X973="","",SUM($N973:$Q973))</f>
        <v/>
      </c>
      <c r="S973">
        <f>IF($X973="","",COUNTIFS(상세표[사번키],INDEX(합계표[사번키],$X973),상세표[반영월],대상월키,상세표[야간당직],1,상세표[야간 구분],"평일"))</f>
        <v/>
      </c>
      <c r="T973">
        <f>IF($X973="","",COUNTIFS(상세표[사번키],INDEX(합계표[사번키],$X973),상세표[반영월],대상월키,상세표[야간당직],1,상세표[야간 구분],"휴일"))</f>
        <v/>
      </c>
      <c r="U973">
        <f>IF($X973="","",COUNTIFS(상세표[사번키],INDEX(합계표[사번키],$X973),상세표[반영월],대상월키,상세표[야간당직],1,상세표[야간 구분],"평일",상세표[반영 기관],"서울병원"))</f>
        <v/>
      </c>
      <c r="V973">
        <f>IF($X973="","",COUNTIFS(상세표[사번키],INDEX(합계표[사번키],$X973),상세표[반영월],대상월키,상세표[야간당직],1,상세표[야간 구분],"휴일",상세표[반영 기관],"서울병원"))</f>
        <v/>
      </c>
      <c r="W973">
        <f>IF($X973="","",IF(ISNUMBER(MATCH(INDEX(합계표[사번키],$X973)&amp;"|"&amp;대상월키,월별근무지표[키],0)),"직접 입력",IF($L973="—","—","기관명단")))</f>
        <v/>
      </c>
      <c r="X973" s="4">
        <f>IFERROR(MATCH(968,합계표[판정순번],0),"")</f>
        <v/>
      </c>
    </row>
    <row r="974">
      <c r="A974">
        <f>IF($X974="","",INDEX(합계표[사번],$X974)&amp;"")</f>
        <v/>
      </c>
      <c r="B974">
        <f>IF($X974="","",INDEX(합계표[성명],$X974)&amp;"")</f>
        <v/>
      </c>
      <c r="C974">
        <f>IF($X974="","",INDEX(합계표[부서],$X974)&amp;"")</f>
        <v/>
      </c>
      <c r="D974">
        <f>IF($X974="","",INDEX(합계표[직위(요약)],$X974)&amp;"")</f>
        <v/>
      </c>
      <c r="E974">
        <f>IF($X974="","",INDEX(합계표[직급 공존],$X974)&amp;"")</f>
        <v/>
      </c>
      <c r="F974" s="20">
        <f>IF($X974="","",SUMIFS(합계표[시스템 합계],합계표[사번키],INDEX(합계표[사번키],$X974)))</f>
        <v/>
      </c>
      <c r="G974" s="20">
        <f>IF($X974="","",SUMIFS(상세표[기록 시간외],상세표[사번키],INDEX(합계표[사번키],$X974),상세표[기록월],대상월키))</f>
        <v/>
      </c>
      <c r="H974">
        <f>IF($X974="","",IF(ABS($F974-$G974)&lt;0.01,"일치","불일치(차이 "&amp;TEXT($G974-$F974,"0.00")&amp;")"))</f>
        <v/>
      </c>
      <c r="I974" s="20">
        <f>IF($X974="","",SUMIFS(상세표[기록 시간외],상세표[사번키],INDEX(합계표[사번키],$X974),상세표[기록월],대상월키,상세표[반영월],"&lt;&gt;"&amp;대상월키))</f>
        <v/>
      </c>
      <c r="J974" s="20">
        <f>IF($X974="","",SUMIFS(상세표[기록 시간외],상세표[사번키],INDEX(합계표[사번키],$X974),상세표[기록월],"&lt;&gt;"&amp;대상월키,상세표[반영월],대상월키))</f>
        <v/>
      </c>
      <c r="K974" s="20">
        <f>IF($X974="","",SUMIFS(상세표[기록 시간외],상세표[사번키],INDEX(합계표[사번키],$X974),상세표[반영월],대상월키))</f>
        <v/>
      </c>
      <c r="L974">
        <f>IF($X974="","",IFERROR(INDEX(월별근무지표[적용 급여병원],MATCH(INDEX(합계표[사번키],$X974)&amp;"|"&amp;대상월키,월별근무지표[키],0))&amp;"",IF(COUNTIF(기관표[사번키],INDEX(합계표[사번키],$X974))+COUNTIF(월별근무지표[사번키],INDEX(합계표[사번키],$X974))&gt;0,IFERROR(INDEX(기관표[급여지급병원(기준월)],MATCH(INDEX(합계표[사번키],$X974)&amp;"|"&amp;대상월키,기관표[키],0))&amp;"","—"),"—")))</f>
        <v/>
      </c>
      <c r="M974">
        <f>IF($X974="","",IF(NOT(COUNTIF(기관표[사번키],INDEX(합계표[사번키],$X974))+COUNTIF(월별근무지표[사번키],INDEX(합계표[사번키],$X974))&gt;0),"기관명단에 없음(다른 병원으로 발송)",IF($L974="서울병원","해당",IF(N($R974)&gt;0,"해당(말일 근무)",IF($L974="—","대상월 기관명단 없음(추가 필요)","비해당")))))</f>
        <v/>
      </c>
      <c r="N974" s="20">
        <f>IF($X974="","",SUMIFS(상세표[06~07시],상세표[사번키],INDEX(합계표[사번키],$X974),상세표[반영월],대상월키,상세표[반영 기관],"서울병원"))</f>
        <v/>
      </c>
      <c r="O974" s="20">
        <f>IF($X974="","",SUMIFS(상세표[07~18시],상세표[사번키],INDEX(합계표[사번키],$X974),상세표[반영월],대상월키,상세표[반영 기관],"서울병원"))</f>
        <v/>
      </c>
      <c r="P974" s="20">
        <f>IF($X974="","",SUMIFS(상세표[18~22시],상세표[사번키],INDEX(합계표[사번키],$X974),상세표[반영월],대상월키,상세표[반영 기관],"서울병원"))</f>
        <v/>
      </c>
      <c r="Q974" s="20">
        <f>IF($X974="","",SUMIFS(상세표[22~06시],상세표[사번키],INDEX(합계표[사번키],$X974),상세표[반영월],대상월키,상세표[반영 기관],"서울병원"))</f>
        <v/>
      </c>
      <c r="R974" s="20">
        <f>IF($X974="","",SUM($N974:$Q974))</f>
        <v/>
      </c>
      <c r="S974">
        <f>IF($X974="","",COUNTIFS(상세표[사번키],INDEX(합계표[사번키],$X974),상세표[반영월],대상월키,상세표[야간당직],1,상세표[야간 구분],"평일"))</f>
        <v/>
      </c>
      <c r="T974">
        <f>IF($X974="","",COUNTIFS(상세표[사번키],INDEX(합계표[사번키],$X974),상세표[반영월],대상월키,상세표[야간당직],1,상세표[야간 구분],"휴일"))</f>
        <v/>
      </c>
      <c r="U974">
        <f>IF($X974="","",COUNTIFS(상세표[사번키],INDEX(합계표[사번키],$X974),상세표[반영월],대상월키,상세표[야간당직],1,상세표[야간 구분],"평일",상세표[반영 기관],"서울병원"))</f>
        <v/>
      </c>
      <c r="V974">
        <f>IF($X974="","",COUNTIFS(상세표[사번키],INDEX(합계표[사번키],$X974),상세표[반영월],대상월키,상세표[야간당직],1,상세표[야간 구분],"휴일",상세표[반영 기관],"서울병원"))</f>
        <v/>
      </c>
      <c r="W974">
        <f>IF($X974="","",IF(ISNUMBER(MATCH(INDEX(합계표[사번키],$X974)&amp;"|"&amp;대상월키,월별근무지표[키],0)),"직접 입력",IF($L974="—","—","기관명단")))</f>
        <v/>
      </c>
      <c r="X974" s="4">
        <f>IFERROR(MATCH(969,합계표[판정순번],0),"")</f>
        <v/>
      </c>
    </row>
    <row r="975">
      <c r="A975">
        <f>IF($X975="","",INDEX(합계표[사번],$X975)&amp;"")</f>
        <v/>
      </c>
      <c r="B975">
        <f>IF($X975="","",INDEX(합계표[성명],$X975)&amp;"")</f>
        <v/>
      </c>
      <c r="C975">
        <f>IF($X975="","",INDEX(합계표[부서],$X975)&amp;"")</f>
        <v/>
      </c>
      <c r="D975">
        <f>IF($X975="","",INDEX(합계표[직위(요약)],$X975)&amp;"")</f>
        <v/>
      </c>
      <c r="E975">
        <f>IF($X975="","",INDEX(합계표[직급 공존],$X975)&amp;"")</f>
        <v/>
      </c>
      <c r="F975" s="20">
        <f>IF($X975="","",SUMIFS(합계표[시스템 합계],합계표[사번키],INDEX(합계표[사번키],$X975)))</f>
        <v/>
      </c>
      <c r="G975" s="20">
        <f>IF($X975="","",SUMIFS(상세표[기록 시간외],상세표[사번키],INDEX(합계표[사번키],$X975),상세표[기록월],대상월키))</f>
        <v/>
      </c>
      <c r="H975">
        <f>IF($X975="","",IF(ABS($F975-$G975)&lt;0.01,"일치","불일치(차이 "&amp;TEXT($G975-$F975,"0.00")&amp;")"))</f>
        <v/>
      </c>
      <c r="I975" s="20">
        <f>IF($X975="","",SUMIFS(상세표[기록 시간외],상세표[사번키],INDEX(합계표[사번키],$X975),상세표[기록월],대상월키,상세표[반영월],"&lt;&gt;"&amp;대상월키))</f>
        <v/>
      </c>
      <c r="J975" s="20">
        <f>IF($X975="","",SUMIFS(상세표[기록 시간외],상세표[사번키],INDEX(합계표[사번키],$X975),상세표[기록월],"&lt;&gt;"&amp;대상월키,상세표[반영월],대상월키))</f>
        <v/>
      </c>
      <c r="K975" s="20">
        <f>IF($X975="","",SUMIFS(상세표[기록 시간외],상세표[사번키],INDEX(합계표[사번키],$X975),상세표[반영월],대상월키))</f>
        <v/>
      </c>
      <c r="L975">
        <f>IF($X975="","",IFERROR(INDEX(월별근무지표[적용 급여병원],MATCH(INDEX(합계표[사번키],$X975)&amp;"|"&amp;대상월키,월별근무지표[키],0))&amp;"",IF(COUNTIF(기관표[사번키],INDEX(합계표[사번키],$X975))+COUNTIF(월별근무지표[사번키],INDEX(합계표[사번키],$X975))&gt;0,IFERROR(INDEX(기관표[급여지급병원(기준월)],MATCH(INDEX(합계표[사번키],$X975)&amp;"|"&amp;대상월키,기관표[키],0))&amp;"","—"),"—")))</f>
        <v/>
      </c>
      <c r="M975">
        <f>IF($X975="","",IF(NOT(COUNTIF(기관표[사번키],INDEX(합계표[사번키],$X975))+COUNTIF(월별근무지표[사번키],INDEX(합계표[사번키],$X975))&gt;0),"기관명단에 없음(다른 병원으로 발송)",IF($L975="서울병원","해당",IF(N($R975)&gt;0,"해당(말일 근무)",IF($L975="—","대상월 기관명단 없음(추가 필요)","비해당")))))</f>
        <v/>
      </c>
      <c r="N975" s="20">
        <f>IF($X975="","",SUMIFS(상세표[06~07시],상세표[사번키],INDEX(합계표[사번키],$X975),상세표[반영월],대상월키,상세표[반영 기관],"서울병원"))</f>
        <v/>
      </c>
      <c r="O975" s="20">
        <f>IF($X975="","",SUMIFS(상세표[07~18시],상세표[사번키],INDEX(합계표[사번키],$X975),상세표[반영월],대상월키,상세표[반영 기관],"서울병원"))</f>
        <v/>
      </c>
      <c r="P975" s="20">
        <f>IF($X975="","",SUMIFS(상세표[18~22시],상세표[사번키],INDEX(합계표[사번키],$X975),상세표[반영월],대상월키,상세표[반영 기관],"서울병원"))</f>
        <v/>
      </c>
      <c r="Q975" s="20">
        <f>IF($X975="","",SUMIFS(상세표[22~06시],상세표[사번키],INDEX(합계표[사번키],$X975),상세표[반영월],대상월키,상세표[반영 기관],"서울병원"))</f>
        <v/>
      </c>
      <c r="R975" s="20">
        <f>IF($X975="","",SUM($N975:$Q975))</f>
        <v/>
      </c>
      <c r="S975">
        <f>IF($X975="","",COUNTIFS(상세표[사번키],INDEX(합계표[사번키],$X975),상세표[반영월],대상월키,상세표[야간당직],1,상세표[야간 구분],"평일"))</f>
        <v/>
      </c>
      <c r="T975">
        <f>IF($X975="","",COUNTIFS(상세표[사번키],INDEX(합계표[사번키],$X975),상세표[반영월],대상월키,상세표[야간당직],1,상세표[야간 구분],"휴일"))</f>
        <v/>
      </c>
      <c r="U975">
        <f>IF($X975="","",COUNTIFS(상세표[사번키],INDEX(합계표[사번키],$X975),상세표[반영월],대상월키,상세표[야간당직],1,상세표[야간 구분],"평일",상세표[반영 기관],"서울병원"))</f>
        <v/>
      </c>
      <c r="V975">
        <f>IF($X975="","",COUNTIFS(상세표[사번키],INDEX(합계표[사번키],$X975),상세표[반영월],대상월키,상세표[야간당직],1,상세표[야간 구분],"휴일",상세표[반영 기관],"서울병원"))</f>
        <v/>
      </c>
      <c r="W975">
        <f>IF($X975="","",IF(ISNUMBER(MATCH(INDEX(합계표[사번키],$X975)&amp;"|"&amp;대상월키,월별근무지표[키],0)),"직접 입력",IF($L975="—","—","기관명단")))</f>
        <v/>
      </c>
      <c r="X975" s="4">
        <f>IFERROR(MATCH(970,합계표[판정순번],0),"")</f>
        <v/>
      </c>
    </row>
    <row r="976">
      <c r="A976">
        <f>IF($X976="","",INDEX(합계표[사번],$X976)&amp;"")</f>
        <v/>
      </c>
      <c r="B976">
        <f>IF($X976="","",INDEX(합계표[성명],$X976)&amp;"")</f>
        <v/>
      </c>
      <c r="C976">
        <f>IF($X976="","",INDEX(합계표[부서],$X976)&amp;"")</f>
        <v/>
      </c>
      <c r="D976">
        <f>IF($X976="","",INDEX(합계표[직위(요약)],$X976)&amp;"")</f>
        <v/>
      </c>
      <c r="E976">
        <f>IF($X976="","",INDEX(합계표[직급 공존],$X976)&amp;"")</f>
        <v/>
      </c>
      <c r="F976" s="20">
        <f>IF($X976="","",SUMIFS(합계표[시스템 합계],합계표[사번키],INDEX(합계표[사번키],$X976)))</f>
        <v/>
      </c>
      <c r="G976" s="20">
        <f>IF($X976="","",SUMIFS(상세표[기록 시간외],상세표[사번키],INDEX(합계표[사번키],$X976),상세표[기록월],대상월키))</f>
        <v/>
      </c>
      <c r="H976">
        <f>IF($X976="","",IF(ABS($F976-$G976)&lt;0.01,"일치","불일치(차이 "&amp;TEXT($G976-$F976,"0.00")&amp;")"))</f>
        <v/>
      </c>
      <c r="I976" s="20">
        <f>IF($X976="","",SUMIFS(상세표[기록 시간외],상세표[사번키],INDEX(합계표[사번키],$X976),상세표[기록월],대상월키,상세표[반영월],"&lt;&gt;"&amp;대상월키))</f>
        <v/>
      </c>
      <c r="J976" s="20">
        <f>IF($X976="","",SUMIFS(상세표[기록 시간외],상세표[사번키],INDEX(합계표[사번키],$X976),상세표[기록월],"&lt;&gt;"&amp;대상월키,상세표[반영월],대상월키))</f>
        <v/>
      </c>
      <c r="K976" s="20">
        <f>IF($X976="","",SUMIFS(상세표[기록 시간외],상세표[사번키],INDEX(합계표[사번키],$X976),상세표[반영월],대상월키))</f>
        <v/>
      </c>
      <c r="L976">
        <f>IF($X976="","",IFERROR(INDEX(월별근무지표[적용 급여병원],MATCH(INDEX(합계표[사번키],$X976)&amp;"|"&amp;대상월키,월별근무지표[키],0))&amp;"",IF(COUNTIF(기관표[사번키],INDEX(합계표[사번키],$X976))+COUNTIF(월별근무지표[사번키],INDEX(합계표[사번키],$X976))&gt;0,IFERROR(INDEX(기관표[급여지급병원(기준월)],MATCH(INDEX(합계표[사번키],$X976)&amp;"|"&amp;대상월키,기관표[키],0))&amp;"","—"),"—")))</f>
        <v/>
      </c>
      <c r="M976">
        <f>IF($X976="","",IF(NOT(COUNTIF(기관표[사번키],INDEX(합계표[사번키],$X976))+COUNTIF(월별근무지표[사번키],INDEX(합계표[사번키],$X976))&gt;0),"기관명단에 없음(다른 병원으로 발송)",IF($L976="서울병원","해당",IF(N($R976)&gt;0,"해당(말일 근무)",IF($L976="—","대상월 기관명단 없음(추가 필요)","비해당")))))</f>
        <v/>
      </c>
      <c r="N976" s="20">
        <f>IF($X976="","",SUMIFS(상세표[06~07시],상세표[사번키],INDEX(합계표[사번키],$X976),상세표[반영월],대상월키,상세표[반영 기관],"서울병원"))</f>
        <v/>
      </c>
      <c r="O976" s="20">
        <f>IF($X976="","",SUMIFS(상세표[07~18시],상세표[사번키],INDEX(합계표[사번키],$X976),상세표[반영월],대상월키,상세표[반영 기관],"서울병원"))</f>
        <v/>
      </c>
      <c r="P976" s="20">
        <f>IF($X976="","",SUMIFS(상세표[18~22시],상세표[사번키],INDEX(합계표[사번키],$X976),상세표[반영월],대상월키,상세표[반영 기관],"서울병원"))</f>
        <v/>
      </c>
      <c r="Q976" s="20">
        <f>IF($X976="","",SUMIFS(상세표[22~06시],상세표[사번키],INDEX(합계표[사번키],$X976),상세표[반영월],대상월키,상세표[반영 기관],"서울병원"))</f>
        <v/>
      </c>
      <c r="R976" s="20">
        <f>IF($X976="","",SUM($N976:$Q976))</f>
        <v/>
      </c>
      <c r="S976">
        <f>IF($X976="","",COUNTIFS(상세표[사번키],INDEX(합계표[사번키],$X976),상세표[반영월],대상월키,상세표[야간당직],1,상세표[야간 구분],"평일"))</f>
        <v/>
      </c>
      <c r="T976">
        <f>IF($X976="","",COUNTIFS(상세표[사번키],INDEX(합계표[사번키],$X976),상세표[반영월],대상월키,상세표[야간당직],1,상세표[야간 구분],"휴일"))</f>
        <v/>
      </c>
      <c r="U976">
        <f>IF($X976="","",COUNTIFS(상세표[사번키],INDEX(합계표[사번키],$X976),상세표[반영월],대상월키,상세표[야간당직],1,상세표[야간 구분],"평일",상세표[반영 기관],"서울병원"))</f>
        <v/>
      </c>
      <c r="V976">
        <f>IF($X976="","",COUNTIFS(상세표[사번키],INDEX(합계표[사번키],$X976),상세표[반영월],대상월키,상세표[야간당직],1,상세표[야간 구분],"휴일",상세표[반영 기관],"서울병원"))</f>
        <v/>
      </c>
      <c r="W976">
        <f>IF($X976="","",IF(ISNUMBER(MATCH(INDEX(합계표[사번키],$X976)&amp;"|"&amp;대상월키,월별근무지표[키],0)),"직접 입력",IF($L976="—","—","기관명단")))</f>
        <v/>
      </c>
      <c r="X976" s="4">
        <f>IFERROR(MATCH(971,합계표[판정순번],0),"")</f>
        <v/>
      </c>
    </row>
    <row r="977">
      <c r="A977">
        <f>IF($X977="","",INDEX(합계표[사번],$X977)&amp;"")</f>
        <v/>
      </c>
      <c r="B977">
        <f>IF($X977="","",INDEX(합계표[성명],$X977)&amp;"")</f>
        <v/>
      </c>
      <c r="C977">
        <f>IF($X977="","",INDEX(합계표[부서],$X977)&amp;"")</f>
        <v/>
      </c>
      <c r="D977">
        <f>IF($X977="","",INDEX(합계표[직위(요약)],$X977)&amp;"")</f>
        <v/>
      </c>
      <c r="E977">
        <f>IF($X977="","",INDEX(합계표[직급 공존],$X977)&amp;"")</f>
        <v/>
      </c>
      <c r="F977" s="20">
        <f>IF($X977="","",SUMIFS(합계표[시스템 합계],합계표[사번키],INDEX(합계표[사번키],$X977)))</f>
        <v/>
      </c>
      <c r="G977" s="20">
        <f>IF($X977="","",SUMIFS(상세표[기록 시간외],상세표[사번키],INDEX(합계표[사번키],$X977),상세표[기록월],대상월키))</f>
        <v/>
      </c>
      <c r="H977">
        <f>IF($X977="","",IF(ABS($F977-$G977)&lt;0.01,"일치","불일치(차이 "&amp;TEXT($G977-$F977,"0.00")&amp;")"))</f>
        <v/>
      </c>
      <c r="I977" s="20">
        <f>IF($X977="","",SUMIFS(상세표[기록 시간외],상세표[사번키],INDEX(합계표[사번키],$X977),상세표[기록월],대상월키,상세표[반영월],"&lt;&gt;"&amp;대상월키))</f>
        <v/>
      </c>
      <c r="J977" s="20">
        <f>IF($X977="","",SUMIFS(상세표[기록 시간외],상세표[사번키],INDEX(합계표[사번키],$X977),상세표[기록월],"&lt;&gt;"&amp;대상월키,상세표[반영월],대상월키))</f>
        <v/>
      </c>
      <c r="K977" s="20">
        <f>IF($X977="","",SUMIFS(상세표[기록 시간외],상세표[사번키],INDEX(합계표[사번키],$X977),상세표[반영월],대상월키))</f>
        <v/>
      </c>
      <c r="L977">
        <f>IF($X977="","",IFERROR(INDEX(월별근무지표[적용 급여병원],MATCH(INDEX(합계표[사번키],$X977)&amp;"|"&amp;대상월키,월별근무지표[키],0))&amp;"",IF(COUNTIF(기관표[사번키],INDEX(합계표[사번키],$X977))+COUNTIF(월별근무지표[사번키],INDEX(합계표[사번키],$X977))&gt;0,IFERROR(INDEX(기관표[급여지급병원(기준월)],MATCH(INDEX(합계표[사번키],$X977)&amp;"|"&amp;대상월키,기관표[키],0))&amp;"","—"),"—")))</f>
        <v/>
      </c>
      <c r="M977">
        <f>IF($X977="","",IF(NOT(COUNTIF(기관표[사번키],INDEX(합계표[사번키],$X977))+COUNTIF(월별근무지표[사번키],INDEX(합계표[사번키],$X977))&gt;0),"기관명단에 없음(다른 병원으로 발송)",IF($L977="서울병원","해당",IF(N($R977)&gt;0,"해당(말일 근무)",IF($L977="—","대상월 기관명단 없음(추가 필요)","비해당")))))</f>
        <v/>
      </c>
      <c r="N977" s="20">
        <f>IF($X977="","",SUMIFS(상세표[06~07시],상세표[사번키],INDEX(합계표[사번키],$X977),상세표[반영월],대상월키,상세표[반영 기관],"서울병원"))</f>
        <v/>
      </c>
      <c r="O977" s="20">
        <f>IF($X977="","",SUMIFS(상세표[07~18시],상세표[사번키],INDEX(합계표[사번키],$X977),상세표[반영월],대상월키,상세표[반영 기관],"서울병원"))</f>
        <v/>
      </c>
      <c r="P977" s="20">
        <f>IF($X977="","",SUMIFS(상세표[18~22시],상세표[사번키],INDEX(합계표[사번키],$X977),상세표[반영월],대상월키,상세표[반영 기관],"서울병원"))</f>
        <v/>
      </c>
      <c r="Q977" s="20">
        <f>IF($X977="","",SUMIFS(상세표[22~06시],상세표[사번키],INDEX(합계표[사번키],$X977),상세표[반영월],대상월키,상세표[반영 기관],"서울병원"))</f>
        <v/>
      </c>
      <c r="R977" s="20">
        <f>IF($X977="","",SUM($N977:$Q977))</f>
        <v/>
      </c>
      <c r="S977">
        <f>IF($X977="","",COUNTIFS(상세표[사번키],INDEX(합계표[사번키],$X977),상세표[반영월],대상월키,상세표[야간당직],1,상세표[야간 구분],"평일"))</f>
        <v/>
      </c>
      <c r="T977">
        <f>IF($X977="","",COUNTIFS(상세표[사번키],INDEX(합계표[사번키],$X977),상세표[반영월],대상월키,상세표[야간당직],1,상세표[야간 구분],"휴일"))</f>
        <v/>
      </c>
      <c r="U977">
        <f>IF($X977="","",COUNTIFS(상세표[사번키],INDEX(합계표[사번키],$X977),상세표[반영월],대상월키,상세표[야간당직],1,상세표[야간 구분],"평일",상세표[반영 기관],"서울병원"))</f>
        <v/>
      </c>
      <c r="V977">
        <f>IF($X977="","",COUNTIFS(상세표[사번키],INDEX(합계표[사번키],$X977),상세표[반영월],대상월키,상세표[야간당직],1,상세표[야간 구분],"휴일",상세표[반영 기관],"서울병원"))</f>
        <v/>
      </c>
      <c r="W977">
        <f>IF($X977="","",IF(ISNUMBER(MATCH(INDEX(합계표[사번키],$X977)&amp;"|"&amp;대상월키,월별근무지표[키],0)),"직접 입력",IF($L977="—","—","기관명단")))</f>
        <v/>
      </c>
      <c r="X977" s="4">
        <f>IFERROR(MATCH(972,합계표[판정순번],0),"")</f>
        <v/>
      </c>
    </row>
    <row r="978">
      <c r="A978">
        <f>IF($X978="","",INDEX(합계표[사번],$X978)&amp;"")</f>
        <v/>
      </c>
      <c r="B978">
        <f>IF($X978="","",INDEX(합계표[성명],$X978)&amp;"")</f>
        <v/>
      </c>
      <c r="C978">
        <f>IF($X978="","",INDEX(합계표[부서],$X978)&amp;"")</f>
        <v/>
      </c>
      <c r="D978">
        <f>IF($X978="","",INDEX(합계표[직위(요약)],$X978)&amp;"")</f>
        <v/>
      </c>
      <c r="E978">
        <f>IF($X978="","",INDEX(합계표[직급 공존],$X978)&amp;"")</f>
        <v/>
      </c>
      <c r="F978" s="20">
        <f>IF($X978="","",SUMIFS(합계표[시스템 합계],합계표[사번키],INDEX(합계표[사번키],$X978)))</f>
        <v/>
      </c>
      <c r="G978" s="20">
        <f>IF($X978="","",SUMIFS(상세표[기록 시간외],상세표[사번키],INDEX(합계표[사번키],$X978),상세표[기록월],대상월키))</f>
        <v/>
      </c>
      <c r="H978">
        <f>IF($X978="","",IF(ABS($F978-$G978)&lt;0.01,"일치","불일치(차이 "&amp;TEXT($G978-$F978,"0.00")&amp;")"))</f>
        <v/>
      </c>
      <c r="I978" s="20">
        <f>IF($X978="","",SUMIFS(상세표[기록 시간외],상세표[사번키],INDEX(합계표[사번키],$X978),상세표[기록월],대상월키,상세표[반영월],"&lt;&gt;"&amp;대상월키))</f>
        <v/>
      </c>
      <c r="J978" s="20">
        <f>IF($X978="","",SUMIFS(상세표[기록 시간외],상세표[사번키],INDEX(합계표[사번키],$X978),상세표[기록월],"&lt;&gt;"&amp;대상월키,상세표[반영월],대상월키))</f>
        <v/>
      </c>
      <c r="K978" s="20">
        <f>IF($X978="","",SUMIFS(상세표[기록 시간외],상세표[사번키],INDEX(합계표[사번키],$X978),상세표[반영월],대상월키))</f>
        <v/>
      </c>
      <c r="L978">
        <f>IF($X978="","",IFERROR(INDEX(월별근무지표[적용 급여병원],MATCH(INDEX(합계표[사번키],$X978)&amp;"|"&amp;대상월키,월별근무지표[키],0))&amp;"",IF(COUNTIF(기관표[사번키],INDEX(합계표[사번키],$X978))+COUNTIF(월별근무지표[사번키],INDEX(합계표[사번키],$X978))&gt;0,IFERROR(INDEX(기관표[급여지급병원(기준월)],MATCH(INDEX(합계표[사번키],$X978)&amp;"|"&amp;대상월키,기관표[키],0))&amp;"","—"),"—")))</f>
        <v/>
      </c>
      <c r="M978">
        <f>IF($X978="","",IF(NOT(COUNTIF(기관표[사번키],INDEX(합계표[사번키],$X978))+COUNTIF(월별근무지표[사번키],INDEX(합계표[사번키],$X978))&gt;0),"기관명단에 없음(다른 병원으로 발송)",IF($L978="서울병원","해당",IF(N($R978)&gt;0,"해당(말일 근무)",IF($L978="—","대상월 기관명단 없음(추가 필요)","비해당")))))</f>
        <v/>
      </c>
      <c r="N978" s="20">
        <f>IF($X978="","",SUMIFS(상세표[06~07시],상세표[사번키],INDEX(합계표[사번키],$X978),상세표[반영월],대상월키,상세표[반영 기관],"서울병원"))</f>
        <v/>
      </c>
      <c r="O978" s="20">
        <f>IF($X978="","",SUMIFS(상세표[07~18시],상세표[사번키],INDEX(합계표[사번키],$X978),상세표[반영월],대상월키,상세표[반영 기관],"서울병원"))</f>
        <v/>
      </c>
      <c r="P978" s="20">
        <f>IF($X978="","",SUMIFS(상세표[18~22시],상세표[사번키],INDEX(합계표[사번키],$X978),상세표[반영월],대상월키,상세표[반영 기관],"서울병원"))</f>
        <v/>
      </c>
      <c r="Q978" s="20">
        <f>IF($X978="","",SUMIFS(상세표[22~06시],상세표[사번키],INDEX(합계표[사번키],$X978),상세표[반영월],대상월키,상세표[반영 기관],"서울병원"))</f>
        <v/>
      </c>
      <c r="R978" s="20">
        <f>IF($X978="","",SUM($N978:$Q978))</f>
        <v/>
      </c>
      <c r="S978">
        <f>IF($X978="","",COUNTIFS(상세표[사번키],INDEX(합계표[사번키],$X978),상세표[반영월],대상월키,상세표[야간당직],1,상세표[야간 구분],"평일"))</f>
        <v/>
      </c>
      <c r="T978">
        <f>IF($X978="","",COUNTIFS(상세표[사번키],INDEX(합계표[사번키],$X978),상세표[반영월],대상월키,상세표[야간당직],1,상세표[야간 구분],"휴일"))</f>
        <v/>
      </c>
      <c r="U978">
        <f>IF($X978="","",COUNTIFS(상세표[사번키],INDEX(합계표[사번키],$X978),상세표[반영월],대상월키,상세표[야간당직],1,상세표[야간 구분],"평일",상세표[반영 기관],"서울병원"))</f>
        <v/>
      </c>
      <c r="V978">
        <f>IF($X978="","",COUNTIFS(상세표[사번키],INDEX(합계표[사번키],$X978),상세표[반영월],대상월키,상세표[야간당직],1,상세표[야간 구분],"휴일",상세표[반영 기관],"서울병원"))</f>
        <v/>
      </c>
      <c r="W978">
        <f>IF($X978="","",IF(ISNUMBER(MATCH(INDEX(합계표[사번키],$X978)&amp;"|"&amp;대상월키,월별근무지표[키],0)),"직접 입력",IF($L978="—","—","기관명단")))</f>
        <v/>
      </c>
      <c r="X978" s="4">
        <f>IFERROR(MATCH(973,합계표[판정순번],0),"")</f>
        <v/>
      </c>
    </row>
    <row r="979">
      <c r="A979">
        <f>IF($X979="","",INDEX(합계표[사번],$X979)&amp;"")</f>
        <v/>
      </c>
      <c r="B979">
        <f>IF($X979="","",INDEX(합계표[성명],$X979)&amp;"")</f>
        <v/>
      </c>
      <c r="C979">
        <f>IF($X979="","",INDEX(합계표[부서],$X979)&amp;"")</f>
        <v/>
      </c>
      <c r="D979">
        <f>IF($X979="","",INDEX(합계표[직위(요약)],$X979)&amp;"")</f>
        <v/>
      </c>
      <c r="E979">
        <f>IF($X979="","",INDEX(합계표[직급 공존],$X979)&amp;"")</f>
        <v/>
      </c>
      <c r="F979" s="20">
        <f>IF($X979="","",SUMIFS(합계표[시스템 합계],합계표[사번키],INDEX(합계표[사번키],$X979)))</f>
        <v/>
      </c>
      <c r="G979" s="20">
        <f>IF($X979="","",SUMIFS(상세표[기록 시간외],상세표[사번키],INDEX(합계표[사번키],$X979),상세표[기록월],대상월키))</f>
        <v/>
      </c>
      <c r="H979">
        <f>IF($X979="","",IF(ABS($F979-$G979)&lt;0.01,"일치","불일치(차이 "&amp;TEXT($G979-$F979,"0.00")&amp;")"))</f>
        <v/>
      </c>
      <c r="I979" s="20">
        <f>IF($X979="","",SUMIFS(상세표[기록 시간외],상세표[사번키],INDEX(합계표[사번키],$X979),상세표[기록월],대상월키,상세표[반영월],"&lt;&gt;"&amp;대상월키))</f>
        <v/>
      </c>
      <c r="J979" s="20">
        <f>IF($X979="","",SUMIFS(상세표[기록 시간외],상세표[사번키],INDEX(합계표[사번키],$X979),상세표[기록월],"&lt;&gt;"&amp;대상월키,상세표[반영월],대상월키))</f>
        <v/>
      </c>
      <c r="K979" s="20">
        <f>IF($X979="","",SUMIFS(상세표[기록 시간외],상세표[사번키],INDEX(합계표[사번키],$X979),상세표[반영월],대상월키))</f>
        <v/>
      </c>
      <c r="L979">
        <f>IF($X979="","",IFERROR(INDEX(월별근무지표[적용 급여병원],MATCH(INDEX(합계표[사번키],$X979)&amp;"|"&amp;대상월키,월별근무지표[키],0))&amp;"",IF(COUNTIF(기관표[사번키],INDEX(합계표[사번키],$X979))+COUNTIF(월별근무지표[사번키],INDEX(합계표[사번키],$X979))&gt;0,IFERROR(INDEX(기관표[급여지급병원(기준월)],MATCH(INDEX(합계표[사번키],$X979)&amp;"|"&amp;대상월키,기관표[키],0))&amp;"","—"),"—")))</f>
        <v/>
      </c>
      <c r="M979">
        <f>IF($X979="","",IF(NOT(COUNTIF(기관표[사번키],INDEX(합계표[사번키],$X979))+COUNTIF(월별근무지표[사번키],INDEX(합계표[사번키],$X979))&gt;0),"기관명단에 없음(다른 병원으로 발송)",IF($L979="서울병원","해당",IF(N($R979)&gt;0,"해당(말일 근무)",IF($L979="—","대상월 기관명단 없음(추가 필요)","비해당")))))</f>
        <v/>
      </c>
      <c r="N979" s="20">
        <f>IF($X979="","",SUMIFS(상세표[06~07시],상세표[사번키],INDEX(합계표[사번키],$X979),상세표[반영월],대상월키,상세표[반영 기관],"서울병원"))</f>
        <v/>
      </c>
      <c r="O979" s="20">
        <f>IF($X979="","",SUMIFS(상세표[07~18시],상세표[사번키],INDEX(합계표[사번키],$X979),상세표[반영월],대상월키,상세표[반영 기관],"서울병원"))</f>
        <v/>
      </c>
      <c r="P979" s="20">
        <f>IF($X979="","",SUMIFS(상세표[18~22시],상세표[사번키],INDEX(합계표[사번키],$X979),상세표[반영월],대상월키,상세표[반영 기관],"서울병원"))</f>
        <v/>
      </c>
      <c r="Q979" s="20">
        <f>IF($X979="","",SUMIFS(상세표[22~06시],상세표[사번키],INDEX(합계표[사번키],$X979),상세표[반영월],대상월키,상세표[반영 기관],"서울병원"))</f>
        <v/>
      </c>
      <c r="R979" s="20">
        <f>IF($X979="","",SUM($N979:$Q979))</f>
        <v/>
      </c>
      <c r="S979">
        <f>IF($X979="","",COUNTIFS(상세표[사번키],INDEX(합계표[사번키],$X979),상세표[반영월],대상월키,상세표[야간당직],1,상세표[야간 구분],"평일"))</f>
        <v/>
      </c>
      <c r="T979">
        <f>IF($X979="","",COUNTIFS(상세표[사번키],INDEX(합계표[사번키],$X979),상세표[반영월],대상월키,상세표[야간당직],1,상세표[야간 구분],"휴일"))</f>
        <v/>
      </c>
      <c r="U979">
        <f>IF($X979="","",COUNTIFS(상세표[사번키],INDEX(합계표[사번키],$X979),상세표[반영월],대상월키,상세표[야간당직],1,상세표[야간 구분],"평일",상세표[반영 기관],"서울병원"))</f>
        <v/>
      </c>
      <c r="V979">
        <f>IF($X979="","",COUNTIFS(상세표[사번키],INDEX(합계표[사번키],$X979),상세표[반영월],대상월키,상세표[야간당직],1,상세표[야간 구분],"휴일",상세표[반영 기관],"서울병원"))</f>
        <v/>
      </c>
      <c r="W979">
        <f>IF($X979="","",IF(ISNUMBER(MATCH(INDEX(합계표[사번키],$X979)&amp;"|"&amp;대상월키,월별근무지표[키],0)),"직접 입력",IF($L979="—","—","기관명단")))</f>
        <v/>
      </c>
      <c r="X979" s="4">
        <f>IFERROR(MATCH(974,합계표[판정순번],0),"")</f>
        <v/>
      </c>
    </row>
    <row r="980">
      <c r="A980">
        <f>IF($X980="","",INDEX(합계표[사번],$X980)&amp;"")</f>
        <v/>
      </c>
      <c r="B980">
        <f>IF($X980="","",INDEX(합계표[성명],$X980)&amp;"")</f>
        <v/>
      </c>
      <c r="C980">
        <f>IF($X980="","",INDEX(합계표[부서],$X980)&amp;"")</f>
        <v/>
      </c>
      <c r="D980">
        <f>IF($X980="","",INDEX(합계표[직위(요약)],$X980)&amp;"")</f>
        <v/>
      </c>
      <c r="E980">
        <f>IF($X980="","",INDEX(합계표[직급 공존],$X980)&amp;"")</f>
        <v/>
      </c>
      <c r="F980" s="20">
        <f>IF($X980="","",SUMIFS(합계표[시스템 합계],합계표[사번키],INDEX(합계표[사번키],$X980)))</f>
        <v/>
      </c>
      <c r="G980" s="20">
        <f>IF($X980="","",SUMIFS(상세표[기록 시간외],상세표[사번키],INDEX(합계표[사번키],$X980),상세표[기록월],대상월키))</f>
        <v/>
      </c>
      <c r="H980">
        <f>IF($X980="","",IF(ABS($F980-$G980)&lt;0.01,"일치","불일치(차이 "&amp;TEXT($G980-$F980,"0.00")&amp;")"))</f>
        <v/>
      </c>
      <c r="I980" s="20">
        <f>IF($X980="","",SUMIFS(상세표[기록 시간외],상세표[사번키],INDEX(합계표[사번키],$X980),상세표[기록월],대상월키,상세표[반영월],"&lt;&gt;"&amp;대상월키))</f>
        <v/>
      </c>
      <c r="J980" s="20">
        <f>IF($X980="","",SUMIFS(상세표[기록 시간외],상세표[사번키],INDEX(합계표[사번키],$X980),상세표[기록월],"&lt;&gt;"&amp;대상월키,상세표[반영월],대상월키))</f>
        <v/>
      </c>
      <c r="K980" s="20">
        <f>IF($X980="","",SUMIFS(상세표[기록 시간외],상세표[사번키],INDEX(합계표[사번키],$X980),상세표[반영월],대상월키))</f>
        <v/>
      </c>
      <c r="L980">
        <f>IF($X980="","",IFERROR(INDEX(월별근무지표[적용 급여병원],MATCH(INDEX(합계표[사번키],$X980)&amp;"|"&amp;대상월키,월별근무지표[키],0))&amp;"",IF(COUNTIF(기관표[사번키],INDEX(합계표[사번키],$X980))+COUNTIF(월별근무지표[사번키],INDEX(합계표[사번키],$X980))&gt;0,IFERROR(INDEX(기관표[급여지급병원(기준월)],MATCH(INDEX(합계표[사번키],$X980)&amp;"|"&amp;대상월키,기관표[키],0))&amp;"","—"),"—")))</f>
        <v/>
      </c>
      <c r="M980">
        <f>IF($X980="","",IF(NOT(COUNTIF(기관표[사번키],INDEX(합계표[사번키],$X980))+COUNTIF(월별근무지표[사번키],INDEX(합계표[사번키],$X980))&gt;0),"기관명단에 없음(다른 병원으로 발송)",IF($L980="서울병원","해당",IF(N($R980)&gt;0,"해당(말일 근무)",IF($L980="—","대상월 기관명단 없음(추가 필요)","비해당")))))</f>
        <v/>
      </c>
      <c r="N980" s="20">
        <f>IF($X980="","",SUMIFS(상세표[06~07시],상세표[사번키],INDEX(합계표[사번키],$X980),상세표[반영월],대상월키,상세표[반영 기관],"서울병원"))</f>
        <v/>
      </c>
      <c r="O980" s="20">
        <f>IF($X980="","",SUMIFS(상세표[07~18시],상세표[사번키],INDEX(합계표[사번키],$X980),상세표[반영월],대상월키,상세표[반영 기관],"서울병원"))</f>
        <v/>
      </c>
      <c r="P980" s="20">
        <f>IF($X980="","",SUMIFS(상세표[18~22시],상세표[사번키],INDEX(합계표[사번키],$X980),상세표[반영월],대상월키,상세표[반영 기관],"서울병원"))</f>
        <v/>
      </c>
      <c r="Q980" s="20">
        <f>IF($X980="","",SUMIFS(상세표[22~06시],상세표[사번키],INDEX(합계표[사번키],$X980),상세표[반영월],대상월키,상세표[반영 기관],"서울병원"))</f>
        <v/>
      </c>
      <c r="R980" s="20">
        <f>IF($X980="","",SUM($N980:$Q980))</f>
        <v/>
      </c>
      <c r="S980">
        <f>IF($X980="","",COUNTIFS(상세표[사번키],INDEX(합계표[사번키],$X980),상세표[반영월],대상월키,상세표[야간당직],1,상세표[야간 구분],"평일"))</f>
        <v/>
      </c>
      <c r="T980">
        <f>IF($X980="","",COUNTIFS(상세표[사번키],INDEX(합계표[사번키],$X980),상세표[반영월],대상월키,상세표[야간당직],1,상세표[야간 구분],"휴일"))</f>
        <v/>
      </c>
      <c r="U980">
        <f>IF($X980="","",COUNTIFS(상세표[사번키],INDEX(합계표[사번키],$X980),상세표[반영월],대상월키,상세표[야간당직],1,상세표[야간 구분],"평일",상세표[반영 기관],"서울병원"))</f>
        <v/>
      </c>
      <c r="V980">
        <f>IF($X980="","",COUNTIFS(상세표[사번키],INDEX(합계표[사번키],$X980),상세표[반영월],대상월키,상세표[야간당직],1,상세표[야간 구분],"휴일",상세표[반영 기관],"서울병원"))</f>
        <v/>
      </c>
      <c r="W980">
        <f>IF($X980="","",IF(ISNUMBER(MATCH(INDEX(합계표[사번키],$X980)&amp;"|"&amp;대상월키,월별근무지표[키],0)),"직접 입력",IF($L980="—","—","기관명단")))</f>
        <v/>
      </c>
      <c r="X980" s="4">
        <f>IFERROR(MATCH(975,합계표[판정순번],0),"")</f>
        <v/>
      </c>
    </row>
    <row r="981">
      <c r="A981">
        <f>IF($X981="","",INDEX(합계표[사번],$X981)&amp;"")</f>
        <v/>
      </c>
      <c r="B981">
        <f>IF($X981="","",INDEX(합계표[성명],$X981)&amp;"")</f>
        <v/>
      </c>
      <c r="C981">
        <f>IF($X981="","",INDEX(합계표[부서],$X981)&amp;"")</f>
        <v/>
      </c>
      <c r="D981">
        <f>IF($X981="","",INDEX(합계표[직위(요약)],$X981)&amp;"")</f>
        <v/>
      </c>
      <c r="E981">
        <f>IF($X981="","",INDEX(합계표[직급 공존],$X981)&amp;"")</f>
        <v/>
      </c>
      <c r="F981" s="20">
        <f>IF($X981="","",SUMIFS(합계표[시스템 합계],합계표[사번키],INDEX(합계표[사번키],$X981)))</f>
        <v/>
      </c>
      <c r="G981" s="20">
        <f>IF($X981="","",SUMIFS(상세표[기록 시간외],상세표[사번키],INDEX(합계표[사번키],$X981),상세표[기록월],대상월키))</f>
        <v/>
      </c>
      <c r="H981">
        <f>IF($X981="","",IF(ABS($F981-$G981)&lt;0.01,"일치","불일치(차이 "&amp;TEXT($G981-$F981,"0.00")&amp;")"))</f>
        <v/>
      </c>
      <c r="I981" s="20">
        <f>IF($X981="","",SUMIFS(상세표[기록 시간외],상세표[사번키],INDEX(합계표[사번키],$X981),상세표[기록월],대상월키,상세표[반영월],"&lt;&gt;"&amp;대상월키))</f>
        <v/>
      </c>
      <c r="J981" s="20">
        <f>IF($X981="","",SUMIFS(상세표[기록 시간외],상세표[사번키],INDEX(합계표[사번키],$X981),상세표[기록월],"&lt;&gt;"&amp;대상월키,상세표[반영월],대상월키))</f>
        <v/>
      </c>
      <c r="K981" s="20">
        <f>IF($X981="","",SUMIFS(상세표[기록 시간외],상세표[사번키],INDEX(합계표[사번키],$X981),상세표[반영월],대상월키))</f>
        <v/>
      </c>
      <c r="L981">
        <f>IF($X981="","",IFERROR(INDEX(월별근무지표[적용 급여병원],MATCH(INDEX(합계표[사번키],$X981)&amp;"|"&amp;대상월키,월별근무지표[키],0))&amp;"",IF(COUNTIF(기관표[사번키],INDEX(합계표[사번키],$X981))+COUNTIF(월별근무지표[사번키],INDEX(합계표[사번키],$X981))&gt;0,IFERROR(INDEX(기관표[급여지급병원(기준월)],MATCH(INDEX(합계표[사번키],$X981)&amp;"|"&amp;대상월키,기관표[키],0))&amp;"","—"),"—")))</f>
        <v/>
      </c>
      <c r="M981">
        <f>IF($X981="","",IF(NOT(COUNTIF(기관표[사번키],INDEX(합계표[사번키],$X981))+COUNTIF(월별근무지표[사번키],INDEX(합계표[사번키],$X981))&gt;0),"기관명단에 없음(다른 병원으로 발송)",IF($L981="서울병원","해당",IF(N($R981)&gt;0,"해당(말일 근무)",IF($L981="—","대상월 기관명단 없음(추가 필요)","비해당")))))</f>
        <v/>
      </c>
      <c r="N981" s="20">
        <f>IF($X981="","",SUMIFS(상세표[06~07시],상세표[사번키],INDEX(합계표[사번키],$X981),상세표[반영월],대상월키,상세표[반영 기관],"서울병원"))</f>
        <v/>
      </c>
      <c r="O981" s="20">
        <f>IF($X981="","",SUMIFS(상세표[07~18시],상세표[사번키],INDEX(합계표[사번키],$X981),상세표[반영월],대상월키,상세표[반영 기관],"서울병원"))</f>
        <v/>
      </c>
      <c r="P981" s="20">
        <f>IF($X981="","",SUMIFS(상세표[18~22시],상세표[사번키],INDEX(합계표[사번키],$X981),상세표[반영월],대상월키,상세표[반영 기관],"서울병원"))</f>
        <v/>
      </c>
      <c r="Q981" s="20">
        <f>IF($X981="","",SUMIFS(상세표[22~06시],상세표[사번키],INDEX(합계표[사번키],$X981),상세표[반영월],대상월키,상세표[반영 기관],"서울병원"))</f>
        <v/>
      </c>
      <c r="R981" s="20">
        <f>IF($X981="","",SUM($N981:$Q981))</f>
        <v/>
      </c>
      <c r="S981">
        <f>IF($X981="","",COUNTIFS(상세표[사번키],INDEX(합계표[사번키],$X981),상세표[반영월],대상월키,상세표[야간당직],1,상세표[야간 구분],"평일"))</f>
        <v/>
      </c>
      <c r="T981">
        <f>IF($X981="","",COUNTIFS(상세표[사번키],INDEX(합계표[사번키],$X981),상세표[반영월],대상월키,상세표[야간당직],1,상세표[야간 구분],"휴일"))</f>
        <v/>
      </c>
      <c r="U981">
        <f>IF($X981="","",COUNTIFS(상세표[사번키],INDEX(합계표[사번키],$X981),상세표[반영월],대상월키,상세표[야간당직],1,상세표[야간 구분],"평일",상세표[반영 기관],"서울병원"))</f>
        <v/>
      </c>
      <c r="V981">
        <f>IF($X981="","",COUNTIFS(상세표[사번키],INDEX(합계표[사번키],$X981),상세표[반영월],대상월키,상세표[야간당직],1,상세표[야간 구분],"휴일",상세표[반영 기관],"서울병원"))</f>
        <v/>
      </c>
      <c r="W981">
        <f>IF($X981="","",IF(ISNUMBER(MATCH(INDEX(합계표[사번키],$X981)&amp;"|"&amp;대상월키,월별근무지표[키],0)),"직접 입력",IF($L981="—","—","기관명단")))</f>
        <v/>
      </c>
      <c r="X981" s="4">
        <f>IFERROR(MATCH(976,합계표[판정순번],0),"")</f>
        <v/>
      </c>
    </row>
    <row r="982">
      <c r="A982">
        <f>IF($X982="","",INDEX(합계표[사번],$X982)&amp;"")</f>
        <v/>
      </c>
      <c r="B982">
        <f>IF($X982="","",INDEX(합계표[성명],$X982)&amp;"")</f>
        <v/>
      </c>
      <c r="C982">
        <f>IF($X982="","",INDEX(합계표[부서],$X982)&amp;"")</f>
        <v/>
      </c>
      <c r="D982">
        <f>IF($X982="","",INDEX(합계표[직위(요약)],$X982)&amp;"")</f>
        <v/>
      </c>
      <c r="E982">
        <f>IF($X982="","",INDEX(합계표[직급 공존],$X982)&amp;"")</f>
        <v/>
      </c>
      <c r="F982" s="20">
        <f>IF($X982="","",SUMIFS(합계표[시스템 합계],합계표[사번키],INDEX(합계표[사번키],$X982)))</f>
        <v/>
      </c>
      <c r="G982" s="20">
        <f>IF($X982="","",SUMIFS(상세표[기록 시간외],상세표[사번키],INDEX(합계표[사번키],$X982),상세표[기록월],대상월키))</f>
        <v/>
      </c>
      <c r="H982">
        <f>IF($X982="","",IF(ABS($F982-$G982)&lt;0.01,"일치","불일치(차이 "&amp;TEXT($G982-$F982,"0.00")&amp;")"))</f>
        <v/>
      </c>
      <c r="I982" s="20">
        <f>IF($X982="","",SUMIFS(상세표[기록 시간외],상세표[사번키],INDEX(합계표[사번키],$X982),상세표[기록월],대상월키,상세표[반영월],"&lt;&gt;"&amp;대상월키))</f>
        <v/>
      </c>
      <c r="J982" s="20">
        <f>IF($X982="","",SUMIFS(상세표[기록 시간외],상세표[사번키],INDEX(합계표[사번키],$X982),상세표[기록월],"&lt;&gt;"&amp;대상월키,상세표[반영월],대상월키))</f>
        <v/>
      </c>
      <c r="K982" s="20">
        <f>IF($X982="","",SUMIFS(상세표[기록 시간외],상세표[사번키],INDEX(합계표[사번키],$X982),상세표[반영월],대상월키))</f>
        <v/>
      </c>
      <c r="L982">
        <f>IF($X982="","",IFERROR(INDEX(월별근무지표[적용 급여병원],MATCH(INDEX(합계표[사번키],$X982)&amp;"|"&amp;대상월키,월별근무지표[키],0))&amp;"",IF(COUNTIF(기관표[사번키],INDEX(합계표[사번키],$X982))+COUNTIF(월별근무지표[사번키],INDEX(합계표[사번키],$X982))&gt;0,IFERROR(INDEX(기관표[급여지급병원(기준월)],MATCH(INDEX(합계표[사번키],$X982)&amp;"|"&amp;대상월키,기관표[키],0))&amp;"","—"),"—")))</f>
        <v/>
      </c>
      <c r="M982">
        <f>IF($X982="","",IF(NOT(COUNTIF(기관표[사번키],INDEX(합계표[사번키],$X982))+COUNTIF(월별근무지표[사번키],INDEX(합계표[사번키],$X982))&gt;0),"기관명단에 없음(다른 병원으로 발송)",IF($L982="서울병원","해당",IF(N($R982)&gt;0,"해당(말일 근무)",IF($L982="—","대상월 기관명단 없음(추가 필요)","비해당")))))</f>
        <v/>
      </c>
      <c r="N982" s="20">
        <f>IF($X982="","",SUMIFS(상세표[06~07시],상세표[사번키],INDEX(합계표[사번키],$X982),상세표[반영월],대상월키,상세표[반영 기관],"서울병원"))</f>
        <v/>
      </c>
      <c r="O982" s="20">
        <f>IF($X982="","",SUMIFS(상세표[07~18시],상세표[사번키],INDEX(합계표[사번키],$X982),상세표[반영월],대상월키,상세표[반영 기관],"서울병원"))</f>
        <v/>
      </c>
      <c r="P982" s="20">
        <f>IF($X982="","",SUMIFS(상세표[18~22시],상세표[사번키],INDEX(합계표[사번키],$X982),상세표[반영월],대상월키,상세표[반영 기관],"서울병원"))</f>
        <v/>
      </c>
      <c r="Q982" s="20">
        <f>IF($X982="","",SUMIFS(상세표[22~06시],상세표[사번키],INDEX(합계표[사번키],$X982),상세표[반영월],대상월키,상세표[반영 기관],"서울병원"))</f>
        <v/>
      </c>
      <c r="R982" s="20">
        <f>IF($X982="","",SUM($N982:$Q982))</f>
        <v/>
      </c>
      <c r="S982">
        <f>IF($X982="","",COUNTIFS(상세표[사번키],INDEX(합계표[사번키],$X982),상세표[반영월],대상월키,상세표[야간당직],1,상세표[야간 구분],"평일"))</f>
        <v/>
      </c>
      <c r="T982">
        <f>IF($X982="","",COUNTIFS(상세표[사번키],INDEX(합계표[사번키],$X982),상세표[반영월],대상월키,상세표[야간당직],1,상세표[야간 구분],"휴일"))</f>
        <v/>
      </c>
      <c r="U982">
        <f>IF($X982="","",COUNTIFS(상세표[사번키],INDEX(합계표[사번키],$X982),상세표[반영월],대상월키,상세표[야간당직],1,상세표[야간 구분],"평일",상세표[반영 기관],"서울병원"))</f>
        <v/>
      </c>
      <c r="V982">
        <f>IF($X982="","",COUNTIFS(상세표[사번키],INDEX(합계표[사번키],$X982),상세표[반영월],대상월키,상세표[야간당직],1,상세표[야간 구분],"휴일",상세표[반영 기관],"서울병원"))</f>
        <v/>
      </c>
      <c r="W982">
        <f>IF($X982="","",IF(ISNUMBER(MATCH(INDEX(합계표[사번키],$X982)&amp;"|"&amp;대상월키,월별근무지표[키],0)),"직접 입력",IF($L982="—","—","기관명단")))</f>
        <v/>
      </c>
      <c r="X982" s="4">
        <f>IFERROR(MATCH(977,합계표[판정순번],0),"")</f>
        <v/>
      </c>
    </row>
    <row r="983">
      <c r="A983">
        <f>IF($X983="","",INDEX(합계표[사번],$X983)&amp;"")</f>
        <v/>
      </c>
      <c r="B983">
        <f>IF($X983="","",INDEX(합계표[성명],$X983)&amp;"")</f>
        <v/>
      </c>
      <c r="C983">
        <f>IF($X983="","",INDEX(합계표[부서],$X983)&amp;"")</f>
        <v/>
      </c>
      <c r="D983">
        <f>IF($X983="","",INDEX(합계표[직위(요약)],$X983)&amp;"")</f>
        <v/>
      </c>
      <c r="E983">
        <f>IF($X983="","",INDEX(합계표[직급 공존],$X983)&amp;"")</f>
        <v/>
      </c>
      <c r="F983" s="20">
        <f>IF($X983="","",SUMIFS(합계표[시스템 합계],합계표[사번키],INDEX(합계표[사번키],$X983)))</f>
        <v/>
      </c>
      <c r="G983" s="20">
        <f>IF($X983="","",SUMIFS(상세표[기록 시간외],상세표[사번키],INDEX(합계표[사번키],$X983),상세표[기록월],대상월키))</f>
        <v/>
      </c>
      <c r="H983">
        <f>IF($X983="","",IF(ABS($F983-$G983)&lt;0.01,"일치","불일치(차이 "&amp;TEXT($G983-$F983,"0.00")&amp;")"))</f>
        <v/>
      </c>
      <c r="I983" s="20">
        <f>IF($X983="","",SUMIFS(상세표[기록 시간외],상세표[사번키],INDEX(합계표[사번키],$X983),상세표[기록월],대상월키,상세표[반영월],"&lt;&gt;"&amp;대상월키))</f>
        <v/>
      </c>
      <c r="J983" s="20">
        <f>IF($X983="","",SUMIFS(상세표[기록 시간외],상세표[사번키],INDEX(합계표[사번키],$X983),상세표[기록월],"&lt;&gt;"&amp;대상월키,상세표[반영월],대상월키))</f>
        <v/>
      </c>
      <c r="K983" s="20">
        <f>IF($X983="","",SUMIFS(상세표[기록 시간외],상세표[사번키],INDEX(합계표[사번키],$X983),상세표[반영월],대상월키))</f>
        <v/>
      </c>
      <c r="L983">
        <f>IF($X983="","",IFERROR(INDEX(월별근무지표[적용 급여병원],MATCH(INDEX(합계표[사번키],$X983)&amp;"|"&amp;대상월키,월별근무지표[키],0))&amp;"",IF(COUNTIF(기관표[사번키],INDEX(합계표[사번키],$X983))+COUNTIF(월별근무지표[사번키],INDEX(합계표[사번키],$X983))&gt;0,IFERROR(INDEX(기관표[급여지급병원(기준월)],MATCH(INDEX(합계표[사번키],$X983)&amp;"|"&amp;대상월키,기관표[키],0))&amp;"","—"),"—")))</f>
        <v/>
      </c>
      <c r="M983">
        <f>IF($X983="","",IF(NOT(COUNTIF(기관표[사번키],INDEX(합계표[사번키],$X983))+COUNTIF(월별근무지표[사번키],INDEX(합계표[사번키],$X983))&gt;0),"기관명단에 없음(다른 병원으로 발송)",IF($L983="서울병원","해당",IF(N($R983)&gt;0,"해당(말일 근무)",IF($L983="—","대상월 기관명단 없음(추가 필요)","비해당")))))</f>
        <v/>
      </c>
      <c r="N983" s="20">
        <f>IF($X983="","",SUMIFS(상세표[06~07시],상세표[사번키],INDEX(합계표[사번키],$X983),상세표[반영월],대상월키,상세표[반영 기관],"서울병원"))</f>
        <v/>
      </c>
      <c r="O983" s="20">
        <f>IF($X983="","",SUMIFS(상세표[07~18시],상세표[사번키],INDEX(합계표[사번키],$X983),상세표[반영월],대상월키,상세표[반영 기관],"서울병원"))</f>
        <v/>
      </c>
      <c r="P983" s="20">
        <f>IF($X983="","",SUMIFS(상세표[18~22시],상세표[사번키],INDEX(합계표[사번키],$X983),상세표[반영월],대상월키,상세표[반영 기관],"서울병원"))</f>
        <v/>
      </c>
      <c r="Q983" s="20">
        <f>IF($X983="","",SUMIFS(상세표[22~06시],상세표[사번키],INDEX(합계표[사번키],$X983),상세표[반영월],대상월키,상세표[반영 기관],"서울병원"))</f>
        <v/>
      </c>
      <c r="R983" s="20">
        <f>IF($X983="","",SUM($N983:$Q983))</f>
        <v/>
      </c>
      <c r="S983">
        <f>IF($X983="","",COUNTIFS(상세표[사번키],INDEX(합계표[사번키],$X983),상세표[반영월],대상월키,상세표[야간당직],1,상세표[야간 구분],"평일"))</f>
        <v/>
      </c>
      <c r="T983">
        <f>IF($X983="","",COUNTIFS(상세표[사번키],INDEX(합계표[사번키],$X983),상세표[반영월],대상월키,상세표[야간당직],1,상세표[야간 구분],"휴일"))</f>
        <v/>
      </c>
      <c r="U983">
        <f>IF($X983="","",COUNTIFS(상세표[사번키],INDEX(합계표[사번키],$X983),상세표[반영월],대상월키,상세표[야간당직],1,상세표[야간 구분],"평일",상세표[반영 기관],"서울병원"))</f>
        <v/>
      </c>
      <c r="V983">
        <f>IF($X983="","",COUNTIFS(상세표[사번키],INDEX(합계표[사번키],$X983),상세표[반영월],대상월키,상세표[야간당직],1,상세표[야간 구분],"휴일",상세표[반영 기관],"서울병원"))</f>
        <v/>
      </c>
      <c r="W983">
        <f>IF($X983="","",IF(ISNUMBER(MATCH(INDEX(합계표[사번키],$X983)&amp;"|"&amp;대상월키,월별근무지표[키],0)),"직접 입력",IF($L983="—","—","기관명단")))</f>
        <v/>
      </c>
      <c r="X983" s="4">
        <f>IFERROR(MATCH(978,합계표[판정순번],0),"")</f>
        <v/>
      </c>
    </row>
    <row r="984">
      <c r="A984">
        <f>IF($X984="","",INDEX(합계표[사번],$X984)&amp;"")</f>
        <v/>
      </c>
      <c r="B984">
        <f>IF($X984="","",INDEX(합계표[성명],$X984)&amp;"")</f>
        <v/>
      </c>
      <c r="C984">
        <f>IF($X984="","",INDEX(합계표[부서],$X984)&amp;"")</f>
        <v/>
      </c>
      <c r="D984">
        <f>IF($X984="","",INDEX(합계표[직위(요약)],$X984)&amp;"")</f>
        <v/>
      </c>
      <c r="E984">
        <f>IF($X984="","",INDEX(합계표[직급 공존],$X984)&amp;"")</f>
        <v/>
      </c>
      <c r="F984" s="20">
        <f>IF($X984="","",SUMIFS(합계표[시스템 합계],합계표[사번키],INDEX(합계표[사번키],$X984)))</f>
        <v/>
      </c>
      <c r="G984" s="20">
        <f>IF($X984="","",SUMIFS(상세표[기록 시간외],상세표[사번키],INDEX(합계표[사번키],$X984),상세표[기록월],대상월키))</f>
        <v/>
      </c>
      <c r="H984">
        <f>IF($X984="","",IF(ABS($F984-$G984)&lt;0.01,"일치","불일치(차이 "&amp;TEXT($G984-$F984,"0.00")&amp;")"))</f>
        <v/>
      </c>
      <c r="I984" s="20">
        <f>IF($X984="","",SUMIFS(상세표[기록 시간외],상세표[사번키],INDEX(합계표[사번키],$X984),상세표[기록월],대상월키,상세표[반영월],"&lt;&gt;"&amp;대상월키))</f>
        <v/>
      </c>
      <c r="J984" s="20">
        <f>IF($X984="","",SUMIFS(상세표[기록 시간외],상세표[사번키],INDEX(합계표[사번키],$X984),상세표[기록월],"&lt;&gt;"&amp;대상월키,상세표[반영월],대상월키))</f>
        <v/>
      </c>
      <c r="K984" s="20">
        <f>IF($X984="","",SUMIFS(상세표[기록 시간외],상세표[사번키],INDEX(합계표[사번키],$X984),상세표[반영월],대상월키))</f>
        <v/>
      </c>
      <c r="L984">
        <f>IF($X984="","",IFERROR(INDEX(월별근무지표[적용 급여병원],MATCH(INDEX(합계표[사번키],$X984)&amp;"|"&amp;대상월키,월별근무지표[키],0))&amp;"",IF(COUNTIF(기관표[사번키],INDEX(합계표[사번키],$X984))+COUNTIF(월별근무지표[사번키],INDEX(합계표[사번키],$X984))&gt;0,IFERROR(INDEX(기관표[급여지급병원(기준월)],MATCH(INDEX(합계표[사번키],$X984)&amp;"|"&amp;대상월키,기관표[키],0))&amp;"","—"),"—")))</f>
        <v/>
      </c>
      <c r="M984">
        <f>IF($X984="","",IF(NOT(COUNTIF(기관표[사번키],INDEX(합계표[사번키],$X984))+COUNTIF(월별근무지표[사번키],INDEX(합계표[사번키],$X984))&gt;0),"기관명단에 없음(다른 병원으로 발송)",IF($L984="서울병원","해당",IF(N($R984)&gt;0,"해당(말일 근무)",IF($L984="—","대상월 기관명단 없음(추가 필요)","비해당")))))</f>
        <v/>
      </c>
      <c r="N984" s="20">
        <f>IF($X984="","",SUMIFS(상세표[06~07시],상세표[사번키],INDEX(합계표[사번키],$X984),상세표[반영월],대상월키,상세표[반영 기관],"서울병원"))</f>
        <v/>
      </c>
      <c r="O984" s="20">
        <f>IF($X984="","",SUMIFS(상세표[07~18시],상세표[사번키],INDEX(합계표[사번키],$X984),상세표[반영월],대상월키,상세표[반영 기관],"서울병원"))</f>
        <v/>
      </c>
      <c r="P984" s="20">
        <f>IF($X984="","",SUMIFS(상세표[18~22시],상세표[사번키],INDEX(합계표[사번키],$X984),상세표[반영월],대상월키,상세표[반영 기관],"서울병원"))</f>
        <v/>
      </c>
      <c r="Q984" s="20">
        <f>IF($X984="","",SUMIFS(상세표[22~06시],상세표[사번키],INDEX(합계표[사번키],$X984),상세표[반영월],대상월키,상세표[반영 기관],"서울병원"))</f>
        <v/>
      </c>
      <c r="R984" s="20">
        <f>IF($X984="","",SUM($N984:$Q984))</f>
        <v/>
      </c>
      <c r="S984">
        <f>IF($X984="","",COUNTIFS(상세표[사번키],INDEX(합계표[사번키],$X984),상세표[반영월],대상월키,상세표[야간당직],1,상세표[야간 구분],"평일"))</f>
        <v/>
      </c>
      <c r="T984">
        <f>IF($X984="","",COUNTIFS(상세표[사번키],INDEX(합계표[사번키],$X984),상세표[반영월],대상월키,상세표[야간당직],1,상세표[야간 구분],"휴일"))</f>
        <v/>
      </c>
      <c r="U984">
        <f>IF($X984="","",COUNTIFS(상세표[사번키],INDEX(합계표[사번키],$X984),상세표[반영월],대상월키,상세표[야간당직],1,상세표[야간 구분],"평일",상세표[반영 기관],"서울병원"))</f>
        <v/>
      </c>
      <c r="V984">
        <f>IF($X984="","",COUNTIFS(상세표[사번키],INDEX(합계표[사번키],$X984),상세표[반영월],대상월키,상세표[야간당직],1,상세표[야간 구분],"휴일",상세표[반영 기관],"서울병원"))</f>
        <v/>
      </c>
      <c r="W984">
        <f>IF($X984="","",IF(ISNUMBER(MATCH(INDEX(합계표[사번키],$X984)&amp;"|"&amp;대상월키,월별근무지표[키],0)),"직접 입력",IF($L984="—","—","기관명단")))</f>
        <v/>
      </c>
      <c r="X984" s="4">
        <f>IFERROR(MATCH(979,합계표[판정순번],0),"")</f>
        <v/>
      </c>
    </row>
    <row r="985">
      <c r="A985">
        <f>IF($X985="","",INDEX(합계표[사번],$X985)&amp;"")</f>
        <v/>
      </c>
      <c r="B985">
        <f>IF($X985="","",INDEX(합계표[성명],$X985)&amp;"")</f>
        <v/>
      </c>
      <c r="C985">
        <f>IF($X985="","",INDEX(합계표[부서],$X985)&amp;"")</f>
        <v/>
      </c>
      <c r="D985">
        <f>IF($X985="","",INDEX(합계표[직위(요약)],$X985)&amp;"")</f>
        <v/>
      </c>
      <c r="E985">
        <f>IF($X985="","",INDEX(합계표[직급 공존],$X985)&amp;"")</f>
        <v/>
      </c>
      <c r="F985" s="20">
        <f>IF($X985="","",SUMIFS(합계표[시스템 합계],합계표[사번키],INDEX(합계표[사번키],$X985)))</f>
        <v/>
      </c>
      <c r="G985" s="20">
        <f>IF($X985="","",SUMIFS(상세표[기록 시간외],상세표[사번키],INDEX(합계표[사번키],$X985),상세표[기록월],대상월키))</f>
        <v/>
      </c>
      <c r="H985">
        <f>IF($X985="","",IF(ABS($F985-$G985)&lt;0.01,"일치","불일치(차이 "&amp;TEXT($G985-$F985,"0.00")&amp;")"))</f>
        <v/>
      </c>
      <c r="I985" s="20">
        <f>IF($X985="","",SUMIFS(상세표[기록 시간외],상세표[사번키],INDEX(합계표[사번키],$X985),상세표[기록월],대상월키,상세표[반영월],"&lt;&gt;"&amp;대상월키))</f>
        <v/>
      </c>
      <c r="J985" s="20">
        <f>IF($X985="","",SUMIFS(상세표[기록 시간외],상세표[사번키],INDEX(합계표[사번키],$X985),상세표[기록월],"&lt;&gt;"&amp;대상월키,상세표[반영월],대상월키))</f>
        <v/>
      </c>
      <c r="K985" s="20">
        <f>IF($X985="","",SUMIFS(상세표[기록 시간외],상세표[사번키],INDEX(합계표[사번키],$X985),상세표[반영월],대상월키))</f>
        <v/>
      </c>
      <c r="L985">
        <f>IF($X985="","",IFERROR(INDEX(월별근무지표[적용 급여병원],MATCH(INDEX(합계표[사번키],$X985)&amp;"|"&amp;대상월키,월별근무지표[키],0))&amp;"",IF(COUNTIF(기관표[사번키],INDEX(합계표[사번키],$X985))+COUNTIF(월별근무지표[사번키],INDEX(합계표[사번키],$X985))&gt;0,IFERROR(INDEX(기관표[급여지급병원(기준월)],MATCH(INDEX(합계표[사번키],$X985)&amp;"|"&amp;대상월키,기관표[키],0))&amp;"","—"),"—")))</f>
        <v/>
      </c>
      <c r="M985">
        <f>IF($X985="","",IF(NOT(COUNTIF(기관표[사번키],INDEX(합계표[사번키],$X985))+COUNTIF(월별근무지표[사번키],INDEX(합계표[사번키],$X985))&gt;0),"기관명단에 없음(다른 병원으로 발송)",IF($L985="서울병원","해당",IF(N($R985)&gt;0,"해당(말일 근무)",IF($L985="—","대상월 기관명단 없음(추가 필요)","비해당")))))</f>
        <v/>
      </c>
      <c r="N985" s="20">
        <f>IF($X985="","",SUMIFS(상세표[06~07시],상세표[사번키],INDEX(합계표[사번키],$X985),상세표[반영월],대상월키,상세표[반영 기관],"서울병원"))</f>
        <v/>
      </c>
      <c r="O985" s="20">
        <f>IF($X985="","",SUMIFS(상세표[07~18시],상세표[사번키],INDEX(합계표[사번키],$X985),상세표[반영월],대상월키,상세표[반영 기관],"서울병원"))</f>
        <v/>
      </c>
      <c r="P985" s="20">
        <f>IF($X985="","",SUMIFS(상세표[18~22시],상세표[사번키],INDEX(합계표[사번키],$X985),상세표[반영월],대상월키,상세표[반영 기관],"서울병원"))</f>
        <v/>
      </c>
      <c r="Q985" s="20">
        <f>IF($X985="","",SUMIFS(상세표[22~06시],상세표[사번키],INDEX(합계표[사번키],$X985),상세표[반영월],대상월키,상세표[반영 기관],"서울병원"))</f>
        <v/>
      </c>
      <c r="R985" s="20">
        <f>IF($X985="","",SUM($N985:$Q985))</f>
        <v/>
      </c>
      <c r="S985">
        <f>IF($X985="","",COUNTIFS(상세표[사번키],INDEX(합계표[사번키],$X985),상세표[반영월],대상월키,상세표[야간당직],1,상세표[야간 구분],"평일"))</f>
        <v/>
      </c>
      <c r="T985">
        <f>IF($X985="","",COUNTIFS(상세표[사번키],INDEX(합계표[사번키],$X985),상세표[반영월],대상월키,상세표[야간당직],1,상세표[야간 구분],"휴일"))</f>
        <v/>
      </c>
      <c r="U985">
        <f>IF($X985="","",COUNTIFS(상세표[사번키],INDEX(합계표[사번키],$X985),상세표[반영월],대상월키,상세표[야간당직],1,상세표[야간 구분],"평일",상세표[반영 기관],"서울병원"))</f>
        <v/>
      </c>
      <c r="V985">
        <f>IF($X985="","",COUNTIFS(상세표[사번키],INDEX(합계표[사번키],$X985),상세표[반영월],대상월키,상세표[야간당직],1,상세표[야간 구분],"휴일",상세표[반영 기관],"서울병원"))</f>
        <v/>
      </c>
      <c r="W985">
        <f>IF($X985="","",IF(ISNUMBER(MATCH(INDEX(합계표[사번키],$X985)&amp;"|"&amp;대상월키,월별근무지표[키],0)),"직접 입력",IF($L985="—","—","기관명단")))</f>
        <v/>
      </c>
      <c r="X985" s="4">
        <f>IFERROR(MATCH(980,합계표[판정순번],0),"")</f>
        <v/>
      </c>
    </row>
    <row r="986">
      <c r="A986">
        <f>IF($X986="","",INDEX(합계표[사번],$X986)&amp;"")</f>
        <v/>
      </c>
      <c r="B986">
        <f>IF($X986="","",INDEX(합계표[성명],$X986)&amp;"")</f>
        <v/>
      </c>
      <c r="C986">
        <f>IF($X986="","",INDEX(합계표[부서],$X986)&amp;"")</f>
        <v/>
      </c>
      <c r="D986">
        <f>IF($X986="","",INDEX(합계표[직위(요약)],$X986)&amp;"")</f>
        <v/>
      </c>
      <c r="E986">
        <f>IF($X986="","",INDEX(합계표[직급 공존],$X986)&amp;"")</f>
        <v/>
      </c>
      <c r="F986" s="20">
        <f>IF($X986="","",SUMIFS(합계표[시스템 합계],합계표[사번키],INDEX(합계표[사번키],$X986)))</f>
        <v/>
      </c>
      <c r="G986" s="20">
        <f>IF($X986="","",SUMIFS(상세표[기록 시간외],상세표[사번키],INDEX(합계표[사번키],$X986),상세표[기록월],대상월키))</f>
        <v/>
      </c>
      <c r="H986">
        <f>IF($X986="","",IF(ABS($F986-$G986)&lt;0.01,"일치","불일치(차이 "&amp;TEXT($G986-$F986,"0.00")&amp;")"))</f>
        <v/>
      </c>
      <c r="I986" s="20">
        <f>IF($X986="","",SUMIFS(상세표[기록 시간외],상세표[사번키],INDEX(합계표[사번키],$X986),상세표[기록월],대상월키,상세표[반영월],"&lt;&gt;"&amp;대상월키))</f>
        <v/>
      </c>
      <c r="J986" s="20">
        <f>IF($X986="","",SUMIFS(상세표[기록 시간외],상세표[사번키],INDEX(합계표[사번키],$X986),상세표[기록월],"&lt;&gt;"&amp;대상월키,상세표[반영월],대상월키))</f>
        <v/>
      </c>
      <c r="K986" s="20">
        <f>IF($X986="","",SUMIFS(상세표[기록 시간외],상세표[사번키],INDEX(합계표[사번키],$X986),상세표[반영월],대상월키))</f>
        <v/>
      </c>
      <c r="L986">
        <f>IF($X986="","",IFERROR(INDEX(월별근무지표[적용 급여병원],MATCH(INDEX(합계표[사번키],$X986)&amp;"|"&amp;대상월키,월별근무지표[키],0))&amp;"",IF(COUNTIF(기관표[사번키],INDEX(합계표[사번키],$X986))+COUNTIF(월별근무지표[사번키],INDEX(합계표[사번키],$X986))&gt;0,IFERROR(INDEX(기관표[급여지급병원(기준월)],MATCH(INDEX(합계표[사번키],$X986)&amp;"|"&amp;대상월키,기관표[키],0))&amp;"","—"),"—")))</f>
        <v/>
      </c>
      <c r="M986">
        <f>IF($X986="","",IF(NOT(COUNTIF(기관표[사번키],INDEX(합계표[사번키],$X986))+COUNTIF(월별근무지표[사번키],INDEX(합계표[사번키],$X986))&gt;0),"기관명단에 없음(다른 병원으로 발송)",IF($L986="서울병원","해당",IF(N($R986)&gt;0,"해당(말일 근무)",IF($L986="—","대상월 기관명단 없음(추가 필요)","비해당")))))</f>
        <v/>
      </c>
      <c r="N986" s="20">
        <f>IF($X986="","",SUMIFS(상세표[06~07시],상세표[사번키],INDEX(합계표[사번키],$X986),상세표[반영월],대상월키,상세표[반영 기관],"서울병원"))</f>
        <v/>
      </c>
      <c r="O986" s="20">
        <f>IF($X986="","",SUMIFS(상세표[07~18시],상세표[사번키],INDEX(합계표[사번키],$X986),상세표[반영월],대상월키,상세표[반영 기관],"서울병원"))</f>
        <v/>
      </c>
      <c r="P986" s="20">
        <f>IF($X986="","",SUMIFS(상세표[18~22시],상세표[사번키],INDEX(합계표[사번키],$X986),상세표[반영월],대상월키,상세표[반영 기관],"서울병원"))</f>
        <v/>
      </c>
      <c r="Q986" s="20">
        <f>IF($X986="","",SUMIFS(상세표[22~06시],상세표[사번키],INDEX(합계표[사번키],$X986),상세표[반영월],대상월키,상세표[반영 기관],"서울병원"))</f>
        <v/>
      </c>
      <c r="R986" s="20">
        <f>IF($X986="","",SUM($N986:$Q986))</f>
        <v/>
      </c>
      <c r="S986">
        <f>IF($X986="","",COUNTIFS(상세표[사번키],INDEX(합계표[사번키],$X986),상세표[반영월],대상월키,상세표[야간당직],1,상세표[야간 구분],"평일"))</f>
        <v/>
      </c>
      <c r="T986">
        <f>IF($X986="","",COUNTIFS(상세표[사번키],INDEX(합계표[사번키],$X986),상세표[반영월],대상월키,상세표[야간당직],1,상세표[야간 구분],"휴일"))</f>
        <v/>
      </c>
      <c r="U986">
        <f>IF($X986="","",COUNTIFS(상세표[사번키],INDEX(합계표[사번키],$X986),상세표[반영월],대상월키,상세표[야간당직],1,상세표[야간 구분],"평일",상세표[반영 기관],"서울병원"))</f>
        <v/>
      </c>
      <c r="V986">
        <f>IF($X986="","",COUNTIFS(상세표[사번키],INDEX(합계표[사번키],$X986),상세표[반영월],대상월키,상세표[야간당직],1,상세표[야간 구분],"휴일",상세표[반영 기관],"서울병원"))</f>
        <v/>
      </c>
      <c r="W986">
        <f>IF($X986="","",IF(ISNUMBER(MATCH(INDEX(합계표[사번키],$X986)&amp;"|"&amp;대상월키,월별근무지표[키],0)),"직접 입력",IF($L986="—","—","기관명단")))</f>
        <v/>
      </c>
      <c r="X986" s="4">
        <f>IFERROR(MATCH(981,합계표[판정순번],0),"")</f>
        <v/>
      </c>
    </row>
    <row r="987">
      <c r="A987">
        <f>IF($X987="","",INDEX(합계표[사번],$X987)&amp;"")</f>
        <v/>
      </c>
      <c r="B987">
        <f>IF($X987="","",INDEX(합계표[성명],$X987)&amp;"")</f>
        <v/>
      </c>
      <c r="C987">
        <f>IF($X987="","",INDEX(합계표[부서],$X987)&amp;"")</f>
        <v/>
      </c>
      <c r="D987">
        <f>IF($X987="","",INDEX(합계표[직위(요약)],$X987)&amp;"")</f>
        <v/>
      </c>
      <c r="E987">
        <f>IF($X987="","",INDEX(합계표[직급 공존],$X987)&amp;"")</f>
        <v/>
      </c>
      <c r="F987" s="20">
        <f>IF($X987="","",SUMIFS(합계표[시스템 합계],합계표[사번키],INDEX(합계표[사번키],$X987)))</f>
        <v/>
      </c>
      <c r="G987" s="20">
        <f>IF($X987="","",SUMIFS(상세표[기록 시간외],상세표[사번키],INDEX(합계표[사번키],$X987),상세표[기록월],대상월키))</f>
        <v/>
      </c>
      <c r="H987">
        <f>IF($X987="","",IF(ABS($F987-$G987)&lt;0.01,"일치","불일치(차이 "&amp;TEXT($G987-$F987,"0.00")&amp;")"))</f>
        <v/>
      </c>
      <c r="I987" s="20">
        <f>IF($X987="","",SUMIFS(상세표[기록 시간외],상세표[사번키],INDEX(합계표[사번키],$X987),상세표[기록월],대상월키,상세표[반영월],"&lt;&gt;"&amp;대상월키))</f>
        <v/>
      </c>
      <c r="J987" s="20">
        <f>IF($X987="","",SUMIFS(상세표[기록 시간외],상세표[사번키],INDEX(합계표[사번키],$X987),상세표[기록월],"&lt;&gt;"&amp;대상월키,상세표[반영월],대상월키))</f>
        <v/>
      </c>
      <c r="K987" s="20">
        <f>IF($X987="","",SUMIFS(상세표[기록 시간외],상세표[사번키],INDEX(합계표[사번키],$X987),상세표[반영월],대상월키))</f>
        <v/>
      </c>
      <c r="L987">
        <f>IF($X987="","",IFERROR(INDEX(월별근무지표[적용 급여병원],MATCH(INDEX(합계표[사번키],$X987)&amp;"|"&amp;대상월키,월별근무지표[키],0))&amp;"",IF(COUNTIF(기관표[사번키],INDEX(합계표[사번키],$X987))+COUNTIF(월별근무지표[사번키],INDEX(합계표[사번키],$X987))&gt;0,IFERROR(INDEX(기관표[급여지급병원(기준월)],MATCH(INDEX(합계표[사번키],$X987)&amp;"|"&amp;대상월키,기관표[키],0))&amp;"","—"),"—")))</f>
        <v/>
      </c>
      <c r="M987">
        <f>IF($X987="","",IF(NOT(COUNTIF(기관표[사번키],INDEX(합계표[사번키],$X987))+COUNTIF(월별근무지표[사번키],INDEX(합계표[사번키],$X987))&gt;0),"기관명단에 없음(다른 병원으로 발송)",IF($L987="서울병원","해당",IF(N($R987)&gt;0,"해당(말일 근무)",IF($L987="—","대상월 기관명단 없음(추가 필요)","비해당")))))</f>
        <v/>
      </c>
      <c r="N987" s="20">
        <f>IF($X987="","",SUMIFS(상세표[06~07시],상세표[사번키],INDEX(합계표[사번키],$X987),상세표[반영월],대상월키,상세표[반영 기관],"서울병원"))</f>
        <v/>
      </c>
      <c r="O987" s="20">
        <f>IF($X987="","",SUMIFS(상세표[07~18시],상세표[사번키],INDEX(합계표[사번키],$X987),상세표[반영월],대상월키,상세표[반영 기관],"서울병원"))</f>
        <v/>
      </c>
      <c r="P987" s="20">
        <f>IF($X987="","",SUMIFS(상세표[18~22시],상세표[사번키],INDEX(합계표[사번키],$X987),상세표[반영월],대상월키,상세표[반영 기관],"서울병원"))</f>
        <v/>
      </c>
      <c r="Q987" s="20">
        <f>IF($X987="","",SUMIFS(상세표[22~06시],상세표[사번키],INDEX(합계표[사번키],$X987),상세표[반영월],대상월키,상세표[반영 기관],"서울병원"))</f>
        <v/>
      </c>
      <c r="R987" s="20">
        <f>IF($X987="","",SUM($N987:$Q987))</f>
        <v/>
      </c>
      <c r="S987">
        <f>IF($X987="","",COUNTIFS(상세표[사번키],INDEX(합계표[사번키],$X987),상세표[반영월],대상월키,상세표[야간당직],1,상세표[야간 구분],"평일"))</f>
        <v/>
      </c>
      <c r="T987">
        <f>IF($X987="","",COUNTIFS(상세표[사번키],INDEX(합계표[사번키],$X987),상세표[반영월],대상월키,상세표[야간당직],1,상세표[야간 구분],"휴일"))</f>
        <v/>
      </c>
      <c r="U987">
        <f>IF($X987="","",COUNTIFS(상세표[사번키],INDEX(합계표[사번키],$X987),상세표[반영월],대상월키,상세표[야간당직],1,상세표[야간 구분],"평일",상세표[반영 기관],"서울병원"))</f>
        <v/>
      </c>
      <c r="V987">
        <f>IF($X987="","",COUNTIFS(상세표[사번키],INDEX(합계표[사번키],$X987),상세표[반영월],대상월키,상세표[야간당직],1,상세표[야간 구분],"휴일",상세표[반영 기관],"서울병원"))</f>
        <v/>
      </c>
      <c r="W987">
        <f>IF($X987="","",IF(ISNUMBER(MATCH(INDEX(합계표[사번키],$X987)&amp;"|"&amp;대상월키,월별근무지표[키],0)),"직접 입력",IF($L987="—","—","기관명단")))</f>
        <v/>
      </c>
      <c r="X987" s="4">
        <f>IFERROR(MATCH(982,합계표[판정순번],0),"")</f>
        <v/>
      </c>
    </row>
    <row r="988">
      <c r="A988">
        <f>IF($X988="","",INDEX(합계표[사번],$X988)&amp;"")</f>
        <v/>
      </c>
      <c r="B988">
        <f>IF($X988="","",INDEX(합계표[성명],$X988)&amp;"")</f>
        <v/>
      </c>
      <c r="C988">
        <f>IF($X988="","",INDEX(합계표[부서],$X988)&amp;"")</f>
        <v/>
      </c>
      <c r="D988">
        <f>IF($X988="","",INDEX(합계표[직위(요약)],$X988)&amp;"")</f>
        <v/>
      </c>
      <c r="E988">
        <f>IF($X988="","",INDEX(합계표[직급 공존],$X988)&amp;"")</f>
        <v/>
      </c>
      <c r="F988" s="20">
        <f>IF($X988="","",SUMIFS(합계표[시스템 합계],합계표[사번키],INDEX(합계표[사번키],$X988)))</f>
        <v/>
      </c>
      <c r="G988" s="20">
        <f>IF($X988="","",SUMIFS(상세표[기록 시간외],상세표[사번키],INDEX(합계표[사번키],$X988),상세표[기록월],대상월키))</f>
        <v/>
      </c>
      <c r="H988">
        <f>IF($X988="","",IF(ABS($F988-$G988)&lt;0.01,"일치","불일치(차이 "&amp;TEXT($G988-$F988,"0.00")&amp;")"))</f>
        <v/>
      </c>
      <c r="I988" s="20">
        <f>IF($X988="","",SUMIFS(상세표[기록 시간외],상세표[사번키],INDEX(합계표[사번키],$X988),상세표[기록월],대상월키,상세표[반영월],"&lt;&gt;"&amp;대상월키))</f>
        <v/>
      </c>
      <c r="J988" s="20">
        <f>IF($X988="","",SUMIFS(상세표[기록 시간외],상세표[사번키],INDEX(합계표[사번키],$X988),상세표[기록월],"&lt;&gt;"&amp;대상월키,상세표[반영월],대상월키))</f>
        <v/>
      </c>
      <c r="K988" s="20">
        <f>IF($X988="","",SUMIFS(상세표[기록 시간외],상세표[사번키],INDEX(합계표[사번키],$X988),상세표[반영월],대상월키))</f>
        <v/>
      </c>
      <c r="L988">
        <f>IF($X988="","",IFERROR(INDEX(월별근무지표[적용 급여병원],MATCH(INDEX(합계표[사번키],$X988)&amp;"|"&amp;대상월키,월별근무지표[키],0))&amp;"",IF(COUNTIF(기관표[사번키],INDEX(합계표[사번키],$X988))+COUNTIF(월별근무지표[사번키],INDEX(합계표[사번키],$X988))&gt;0,IFERROR(INDEX(기관표[급여지급병원(기준월)],MATCH(INDEX(합계표[사번키],$X988)&amp;"|"&amp;대상월키,기관표[키],0))&amp;"","—"),"—")))</f>
        <v/>
      </c>
      <c r="M988">
        <f>IF($X988="","",IF(NOT(COUNTIF(기관표[사번키],INDEX(합계표[사번키],$X988))+COUNTIF(월별근무지표[사번키],INDEX(합계표[사번키],$X988))&gt;0),"기관명단에 없음(다른 병원으로 발송)",IF($L988="서울병원","해당",IF(N($R988)&gt;0,"해당(말일 근무)",IF($L988="—","대상월 기관명단 없음(추가 필요)","비해당")))))</f>
        <v/>
      </c>
      <c r="N988" s="20">
        <f>IF($X988="","",SUMIFS(상세표[06~07시],상세표[사번키],INDEX(합계표[사번키],$X988),상세표[반영월],대상월키,상세표[반영 기관],"서울병원"))</f>
        <v/>
      </c>
      <c r="O988" s="20">
        <f>IF($X988="","",SUMIFS(상세표[07~18시],상세표[사번키],INDEX(합계표[사번키],$X988),상세표[반영월],대상월키,상세표[반영 기관],"서울병원"))</f>
        <v/>
      </c>
      <c r="P988" s="20">
        <f>IF($X988="","",SUMIFS(상세표[18~22시],상세표[사번키],INDEX(합계표[사번키],$X988),상세표[반영월],대상월키,상세표[반영 기관],"서울병원"))</f>
        <v/>
      </c>
      <c r="Q988" s="20">
        <f>IF($X988="","",SUMIFS(상세표[22~06시],상세표[사번키],INDEX(합계표[사번키],$X988),상세표[반영월],대상월키,상세표[반영 기관],"서울병원"))</f>
        <v/>
      </c>
      <c r="R988" s="20">
        <f>IF($X988="","",SUM($N988:$Q988))</f>
        <v/>
      </c>
      <c r="S988">
        <f>IF($X988="","",COUNTIFS(상세표[사번키],INDEX(합계표[사번키],$X988),상세표[반영월],대상월키,상세표[야간당직],1,상세표[야간 구분],"평일"))</f>
        <v/>
      </c>
      <c r="T988">
        <f>IF($X988="","",COUNTIFS(상세표[사번키],INDEX(합계표[사번키],$X988),상세표[반영월],대상월키,상세표[야간당직],1,상세표[야간 구분],"휴일"))</f>
        <v/>
      </c>
      <c r="U988">
        <f>IF($X988="","",COUNTIFS(상세표[사번키],INDEX(합계표[사번키],$X988),상세표[반영월],대상월키,상세표[야간당직],1,상세표[야간 구분],"평일",상세표[반영 기관],"서울병원"))</f>
        <v/>
      </c>
      <c r="V988">
        <f>IF($X988="","",COUNTIFS(상세표[사번키],INDEX(합계표[사번키],$X988),상세표[반영월],대상월키,상세표[야간당직],1,상세표[야간 구분],"휴일",상세표[반영 기관],"서울병원"))</f>
        <v/>
      </c>
      <c r="W988">
        <f>IF($X988="","",IF(ISNUMBER(MATCH(INDEX(합계표[사번키],$X988)&amp;"|"&amp;대상월키,월별근무지표[키],0)),"직접 입력",IF($L988="—","—","기관명단")))</f>
        <v/>
      </c>
      <c r="X988" s="4">
        <f>IFERROR(MATCH(983,합계표[판정순번],0),"")</f>
        <v/>
      </c>
    </row>
    <row r="989">
      <c r="A989">
        <f>IF($X989="","",INDEX(합계표[사번],$X989)&amp;"")</f>
        <v/>
      </c>
      <c r="B989">
        <f>IF($X989="","",INDEX(합계표[성명],$X989)&amp;"")</f>
        <v/>
      </c>
      <c r="C989">
        <f>IF($X989="","",INDEX(합계표[부서],$X989)&amp;"")</f>
        <v/>
      </c>
      <c r="D989">
        <f>IF($X989="","",INDEX(합계표[직위(요약)],$X989)&amp;"")</f>
        <v/>
      </c>
      <c r="E989">
        <f>IF($X989="","",INDEX(합계표[직급 공존],$X989)&amp;"")</f>
        <v/>
      </c>
      <c r="F989" s="20">
        <f>IF($X989="","",SUMIFS(합계표[시스템 합계],합계표[사번키],INDEX(합계표[사번키],$X989)))</f>
        <v/>
      </c>
      <c r="G989" s="20">
        <f>IF($X989="","",SUMIFS(상세표[기록 시간외],상세표[사번키],INDEX(합계표[사번키],$X989),상세표[기록월],대상월키))</f>
        <v/>
      </c>
      <c r="H989">
        <f>IF($X989="","",IF(ABS($F989-$G989)&lt;0.01,"일치","불일치(차이 "&amp;TEXT($G989-$F989,"0.00")&amp;")"))</f>
        <v/>
      </c>
      <c r="I989" s="20">
        <f>IF($X989="","",SUMIFS(상세표[기록 시간외],상세표[사번키],INDEX(합계표[사번키],$X989),상세표[기록월],대상월키,상세표[반영월],"&lt;&gt;"&amp;대상월키))</f>
        <v/>
      </c>
      <c r="J989" s="20">
        <f>IF($X989="","",SUMIFS(상세표[기록 시간외],상세표[사번키],INDEX(합계표[사번키],$X989),상세표[기록월],"&lt;&gt;"&amp;대상월키,상세표[반영월],대상월키))</f>
        <v/>
      </c>
      <c r="K989" s="20">
        <f>IF($X989="","",SUMIFS(상세표[기록 시간외],상세표[사번키],INDEX(합계표[사번키],$X989),상세표[반영월],대상월키))</f>
        <v/>
      </c>
      <c r="L989">
        <f>IF($X989="","",IFERROR(INDEX(월별근무지표[적용 급여병원],MATCH(INDEX(합계표[사번키],$X989)&amp;"|"&amp;대상월키,월별근무지표[키],0))&amp;"",IF(COUNTIF(기관표[사번키],INDEX(합계표[사번키],$X989))+COUNTIF(월별근무지표[사번키],INDEX(합계표[사번키],$X989))&gt;0,IFERROR(INDEX(기관표[급여지급병원(기준월)],MATCH(INDEX(합계표[사번키],$X989)&amp;"|"&amp;대상월키,기관표[키],0))&amp;"","—"),"—")))</f>
        <v/>
      </c>
      <c r="M989">
        <f>IF($X989="","",IF(NOT(COUNTIF(기관표[사번키],INDEX(합계표[사번키],$X989))+COUNTIF(월별근무지표[사번키],INDEX(합계표[사번키],$X989))&gt;0),"기관명단에 없음(다른 병원으로 발송)",IF($L989="서울병원","해당",IF(N($R989)&gt;0,"해당(말일 근무)",IF($L989="—","대상월 기관명단 없음(추가 필요)","비해당")))))</f>
        <v/>
      </c>
      <c r="N989" s="20">
        <f>IF($X989="","",SUMIFS(상세표[06~07시],상세표[사번키],INDEX(합계표[사번키],$X989),상세표[반영월],대상월키,상세표[반영 기관],"서울병원"))</f>
        <v/>
      </c>
      <c r="O989" s="20">
        <f>IF($X989="","",SUMIFS(상세표[07~18시],상세표[사번키],INDEX(합계표[사번키],$X989),상세표[반영월],대상월키,상세표[반영 기관],"서울병원"))</f>
        <v/>
      </c>
      <c r="P989" s="20">
        <f>IF($X989="","",SUMIFS(상세표[18~22시],상세표[사번키],INDEX(합계표[사번키],$X989),상세표[반영월],대상월키,상세표[반영 기관],"서울병원"))</f>
        <v/>
      </c>
      <c r="Q989" s="20">
        <f>IF($X989="","",SUMIFS(상세표[22~06시],상세표[사번키],INDEX(합계표[사번키],$X989),상세표[반영월],대상월키,상세표[반영 기관],"서울병원"))</f>
        <v/>
      </c>
      <c r="R989" s="20">
        <f>IF($X989="","",SUM($N989:$Q989))</f>
        <v/>
      </c>
      <c r="S989">
        <f>IF($X989="","",COUNTIFS(상세표[사번키],INDEX(합계표[사번키],$X989),상세표[반영월],대상월키,상세표[야간당직],1,상세표[야간 구분],"평일"))</f>
        <v/>
      </c>
      <c r="T989">
        <f>IF($X989="","",COUNTIFS(상세표[사번키],INDEX(합계표[사번키],$X989),상세표[반영월],대상월키,상세표[야간당직],1,상세표[야간 구분],"휴일"))</f>
        <v/>
      </c>
      <c r="U989">
        <f>IF($X989="","",COUNTIFS(상세표[사번키],INDEX(합계표[사번키],$X989),상세표[반영월],대상월키,상세표[야간당직],1,상세표[야간 구분],"평일",상세표[반영 기관],"서울병원"))</f>
        <v/>
      </c>
      <c r="V989">
        <f>IF($X989="","",COUNTIFS(상세표[사번키],INDEX(합계표[사번키],$X989),상세표[반영월],대상월키,상세표[야간당직],1,상세표[야간 구분],"휴일",상세표[반영 기관],"서울병원"))</f>
        <v/>
      </c>
      <c r="W989">
        <f>IF($X989="","",IF(ISNUMBER(MATCH(INDEX(합계표[사번키],$X989)&amp;"|"&amp;대상월키,월별근무지표[키],0)),"직접 입력",IF($L989="—","—","기관명단")))</f>
        <v/>
      </c>
      <c r="X989" s="4">
        <f>IFERROR(MATCH(984,합계표[판정순번],0),"")</f>
        <v/>
      </c>
    </row>
    <row r="990">
      <c r="A990">
        <f>IF($X990="","",INDEX(합계표[사번],$X990)&amp;"")</f>
        <v/>
      </c>
      <c r="B990">
        <f>IF($X990="","",INDEX(합계표[성명],$X990)&amp;"")</f>
        <v/>
      </c>
      <c r="C990">
        <f>IF($X990="","",INDEX(합계표[부서],$X990)&amp;"")</f>
        <v/>
      </c>
      <c r="D990">
        <f>IF($X990="","",INDEX(합계표[직위(요약)],$X990)&amp;"")</f>
        <v/>
      </c>
      <c r="E990">
        <f>IF($X990="","",INDEX(합계표[직급 공존],$X990)&amp;"")</f>
        <v/>
      </c>
      <c r="F990" s="20">
        <f>IF($X990="","",SUMIFS(합계표[시스템 합계],합계표[사번키],INDEX(합계표[사번키],$X990)))</f>
        <v/>
      </c>
      <c r="G990" s="20">
        <f>IF($X990="","",SUMIFS(상세표[기록 시간외],상세표[사번키],INDEX(합계표[사번키],$X990),상세표[기록월],대상월키))</f>
        <v/>
      </c>
      <c r="H990">
        <f>IF($X990="","",IF(ABS($F990-$G990)&lt;0.01,"일치","불일치(차이 "&amp;TEXT($G990-$F990,"0.00")&amp;")"))</f>
        <v/>
      </c>
      <c r="I990" s="20">
        <f>IF($X990="","",SUMIFS(상세표[기록 시간외],상세표[사번키],INDEX(합계표[사번키],$X990),상세표[기록월],대상월키,상세표[반영월],"&lt;&gt;"&amp;대상월키))</f>
        <v/>
      </c>
      <c r="J990" s="20">
        <f>IF($X990="","",SUMIFS(상세표[기록 시간외],상세표[사번키],INDEX(합계표[사번키],$X990),상세표[기록월],"&lt;&gt;"&amp;대상월키,상세표[반영월],대상월키))</f>
        <v/>
      </c>
      <c r="K990" s="20">
        <f>IF($X990="","",SUMIFS(상세표[기록 시간외],상세표[사번키],INDEX(합계표[사번키],$X990),상세표[반영월],대상월키))</f>
        <v/>
      </c>
      <c r="L990">
        <f>IF($X990="","",IFERROR(INDEX(월별근무지표[적용 급여병원],MATCH(INDEX(합계표[사번키],$X990)&amp;"|"&amp;대상월키,월별근무지표[키],0))&amp;"",IF(COUNTIF(기관표[사번키],INDEX(합계표[사번키],$X990))+COUNTIF(월별근무지표[사번키],INDEX(합계표[사번키],$X990))&gt;0,IFERROR(INDEX(기관표[급여지급병원(기준월)],MATCH(INDEX(합계표[사번키],$X990)&amp;"|"&amp;대상월키,기관표[키],0))&amp;"","—"),"—")))</f>
        <v/>
      </c>
      <c r="M990">
        <f>IF($X990="","",IF(NOT(COUNTIF(기관표[사번키],INDEX(합계표[사번키],$X990))+COUNTIF(월별근무지표[사번키],INDEX(합계표[사번키],$X990))&gt;0),"기관명단에 없음(다른 병원으로 발송)",IF($L990="서울병원","해당",IF(N($R990)&gt;0,"해당(말일 근무)",IF($L990="—","대상월 기관명단 없음(추가 필요)","비해당")))))</f>
        <v/>
      </c>
      <c r="N990" s="20">
        <f>IF($X990="","",SUMIFS(상세표[06~07시],상세표[사번키],INDEX(합계표[사번키],$X990),상세표[반영월],대상월키,상세표[반영 기관],"서울병원"))</f>
        <v/>
      </c>
      <c r="O990" s="20">
        <f>IF($X990="","",SUMIFS(상세표[07~18시],상세표[사번키],INDEX(합계표[사번키],$X990),상세표[반영월],대상월키,상세표[반영 기관],"서울병원"))</f>
        <v/>
      </c>
      <c r="P990" s="20">
        <f>IF($X990="","",SUMIFS(상세표[18~22시],상세표[사번키],INDEX(합계표[사번키],$X990),상세표[반영월],대상월키,상세표[반영 기관],"서울병원"))</f>
        <v/>
      </c>
      <c r="Q990" s="20">
        <f>IF($X990="","",SUMIFS(상세표[22~06시],상세표[사번키],INDEX(합계표[사번키],$X990),상세표[반영월],대상월키,상세표[반영 기관],"서울병원"))</f>
        <v/>
      </c>
      <c r="R990" s="20">
        <f>IF($X990="","",SUM($N990:$Q990))</f>
        <v/>
      </c>
      <c r="S990">
        <f>IF($X990="","",COUNTIFS(상세표[사번키],INDEX(합계표[사번키],$X990),상세표[반영월],대상월키,상세표[야간당직],1,상세표[야간 구분],"평일"))</f>
        <v/>
      </c>
      <c r="T990">
        <f>IF($X990="","",COUNTIFS(상세표[사번키],INDEX(합계표[사번키],$X990),상세표[반영월],대상월키,상세표[야간당직],1,상세표[야간 구분],"휴일"))</f>
        <v/>
      </c>
      <c r="U990">
        <f>IF($X990="","",COUNTIFS(상세표[사번키],INDEX(합계표[사번키],$X990),상세표[반영월],대상월키,상세표[야간당직],1,상세표[야간 구분],"평일",상세표[반영 기관],"서울병원"))</f>
        <v/>
      </c>
      <c r="V990">
        <f>IF($X990="","",COUNTIFS(상세표[사번키],INDEX(합계표[사번키],$X990),상세표[반영월],대상월키,상세표[야간당직],1,상세표[야간 구분],"휴일",상세표[반영 기관],"서울병원"))</f>
        <v/>
      </c>
      <c r="W990">
        <f>IF($X990="","",IF(ISNUMBER(MATCH(INDEX(합계표[사번키],$X990)&amp;"|"&amp;대상월키,월별근무지표[키],0)),"직접 입력",IF($L990="—","—","기관명단")))</f>
        <v/>
      </c>
      <c r="X990" s="4">
        <f>IFERROR(MATCH(985,합계표[판정순번],0),"")</f>
        <v/>
      </c>
    </row>
    <row r="991">
      <c r="A991">
        <f>IF($X991="","",INDEX(합계표[사번],$X991)&amp;"")</f>
        <v/>
      </c>
      <c r="B991">
        <f>IF($X991="","",INDEX(합계표[성명],$X991)&amp;"")</f>
        <v/>
      </c>
      <c r="C991">
        <f>IF($X991="","",INDEX(합계표[부서],$X991)&amp;"")</f>
        <v/>
      </c>
      <c r="D991">
        <f>IF($X991="","",INDEX(합계표[직위(요약)],$X991)&amp;"")</f>
        <v/>
      </c>
      <c r="E991">
        <f>IF($X991="","",INDEX(합계표[직급 공존],$X991)&amp;"")</f>
        <v/>
      </c>
      <c r="F991" s="20">
        <f>IF($X991="","",SUMIFS(합계표[시스템 합계],합계표[사번키],INDEX(합계표[사번키],$X991)))</f>
        <v/>
      </c>
      <c r="G991" s="20">
        <f>IF($X991="","",SUMIFS(상세표[기록 시간외],상세표[사번키],INDEX(합계표[사번키],$X991),상세표[기록월],대상월키))</f>
        <v/>
      </c>
      <c r="H991">
        <f>IF($X991="","",IF(ABS($F991-$G991)&lt;0.01,"일치","불일치(차이 "&amp;TEXT($G991-$F991,"0.00")&amp;")"))</f>
        <v/>
      </c>
      <c r="I991" s="20">
        <f>IF($X991="","",SUMIFS(상세표[기록 시간외],상세표[사번키],INDEX(합계표[사번키],$X991),상세표[기록월],대상월키,상세표[반영월],"&lt;&gt;"&amp;대상월키))</f>
        <v/>
      </c>
      <c r="J991" s="20">
        <f>IF($X991="","",SUMIFS(상세표[기록 시간외],상세표[사번키],INDEX(합계표[사번키],$X991),상세표[기록월],"&lt;&gt;"&amp;대상월키,상세표[반영월],대상월키))</f>
        <v/>
      </c>
      <c r="K991" s="20">
        <f>IF($X991="","",SUMIFS(상세표[기록 시간외],상세표[사번키],INDEX(합계표[사번키],$X991),상세표[반영월],대상월키))</f>
        <v/>
      </c>
      <c r="L991">
        <f>IF($X991="","",IFERROR(INDEX(월별근무지표[적용 급여병원],MATCH(INDEX(합계표[사번키],$X991)&amp;"|"&amp;대상월키,월별근무지표[키],0))&amp;"",IF(COUNTIF(기관표[사번키],INDEX(합계표[사번키],$X991))+COUNTIF(월별근무지표[사번키],INDEX(합계표[사번키],$X991))&gt;0,IFERROR(INDEX(기관표[급여지급병원(기준월)],MATCH(INDEX(합계표[사번키],$X991)&amp;"|"&amp;대상월키,기관표[키],0))&amp;"","—"),"—")))</f>
        <v/>
      </c>
      <c r="M991">
        <f>IF($X991="","",IF(NOT(COUNTIF(기관표[사번키],INDEX(합계표[사번키],$X991))+COUNTIF(월별근무지표[사번키],INDEX(합계표[사번키],$X991))&gt;0),"기관명단에 없음(다른 병원으로 발송)",IF($L991="서울병원","해당",IF(N($R991)&gt;0,"해당(말일 근무)",IF($L991="—","대상월 기관명단 없음(추가 필요)","비해당")))))</f>
        <v/>
      </c>
      <c r="N991" s="20">
        <f>IF($X991="","",SUMIFS(상세표[06~07시],상세표[사번키],INDEX(합계표[사번키],$X991),상세표[반영월],대상월키,상세표[반영 기관],"서울병원"))</f>
        <v/>
      </c>
      <c r="O991" s="20">
        <f>IF($X991="","",SUMIFS(상세표[07~18시],상세표[사번키],INDEX(합계표[사번키],$X991),상세표[반영월],대상월키,상세표[반영 기관],"서울병원"))</f>
        <v/>
      </c>
      <c r="P991" s="20">
        <f>IF($X991="","",SUMIFS(상세표[18~22시],상세표[사번키],INDEX(합계표[사번키],$X991),상세표[반영월],대상월키,상세표[반영 기관],"서울병원"))</f>
        <v/>
      </c>
      <c r="Q991" s="20">
        <f>IF($X991="","",SUMIFS(상세표[22~06시],상세표[사번키],INDEX(합계표[사번키],$X991),상세표[반영월],대상월키,상세표[반영 기관],"서울병원"))</f>
        <v/>
      </c>
      <c r="R991" s="20">
        <f>IF($X991="","",SUM($N991:$Q991))</f>
        <v/>
      </c>
      <c r="S991">
        <f>IF($X991="","",COUNTIFS(상세표[사번키],INDEX(합계표[사번키],$X991),상세표[반영월],대상월키,상세표[야간당직],1,상세표[야간 구분],"평일"))</f>
        <v/>
      </c>
      <c r="T991">
        <f>IF($X991="","",COUNTIFS(상세표[사번키],INDEX(합계표[사번키],$X991),상세표[반영월],대상월키,상세표[야간당직],1,상세표[야간 구분],"휴일"))</f>
        <v/>
      </c>
      <c r="U991">
        <f>IF($X991="","",COUNTIFS(상세표[사번키],INDEX(합계표[사번키],$X991),상세표[반영월],대상월키,상세표[야간당직],1,상세표[야간 구분],"평일",상세표[반영 기관],"서울병원"))</f>
        <v/>
      </c>
      <c r="V991">
        <f>IF($X991="","",COUNTIFS(상세표[사번키],INDEX(합계표[사번키],$X991),상세표[반영월],대상월키,상세표[야간당직],1,상세표[야간 구분],"휴일",상세표[반영 기관],"서울병원"))</f>
        <v/>
      </c>
      <c r="W991">
        <f>IF($X991="","",IF(ISNUMBER(MATCH(INDEX(합계표[사번키],$X991)&amp;"|"&amp;대상월키,월별근무지표[키],0)),"직접 입력",IF($L991="—","—","기관명단")))</f>
        <v/>
      </c>
      <c r="X991" s="4">
        <f>IFERROR(MATCH(986,합계표[판정순번],0),"")</f>
        <v/>
      </c>
    </row>
    <row r="992">
      <c r="A992">
        <f>IF($X992="","",INDEX(합계표[사번],$X992)&amp;"")</f>
        <v/>
      </c>
      <c r="B992">
        <f>IF($X992="","",INDEX(합계표[성명],$X992)&amp;"")</f>
        <v/>
      </c>
      <c r="C992">
        <f>IF($X992="","",INDEX(합계표[부서],$X992)&amp;"")</f>
        <v/>
      </c>
      <c r="D992">
        <f>IF($X992="","",INDEX(합계표[직위(요약)],$X992)&amp;"")</f>
        <v/>
      </c>
      <c r="E992">
        <f>IF($X992="","",INDEX(합계표[직급 공존],$X992)&amp;"")</f>
        <v/>
      </c>
      <c r="F992" s="20">
        <f>IF($X992="","",SUMIFS(합계표[시스템 합계],합계표[사번키],INDEX(합계표[사번키],$X992)))</f>
        <v/>
      </c>
      <c r="G992" s="20">
        <f>IF($X992="","",SUMIFS(상세표[기록 시간외],상세표[사번키],INDEX(합계표[사번키],$X992),상세표[기록월],대상월키))</f>
        <v/>
      </c>
      <c r="H992">
        <f>IF($X992="","",IF(ABS($F992-$G992)&lt;0.01,"일치","불일치(차이 "&amp;TEXT($G992-$F992,"0.00")&amp;")"))</f>
        <v/>
      </c>
      <c r="I992" s="20">
        <f>IF($X992="","",SUMIFS(상세표[기록 시간외],상세표[사번키],INDEX(합계표[사번키],$X992),상세표[기록월],대상월키,상세표[반영월],"&lt;&gt;"&amp;대상월키))</f>
        <v/>
      </c>
      <c r="J992" s="20">
        <f>IF($X992="","",SUMIFS(상세표[기록 시간외],상세표[사번키],INDEX(합계표[사번키],$X992),상세표[기록월],"&lt;&gt;"&amp;대상월키,상세표[반영월],대상월키))</f>
        <v/>
      </c>
      <c r="K992" s="20">
        <f>IF($X992="","",SUMIFS(상세표[기록 시간외],상세표[사번키],INDEX(합계표[사번키],$X992),상세표[반영월],대상월키))</f>
        <v/>
      </c>
      <c r="L992">
        <f>IF($X992="","",IFERROR(INDEX(월별근무지표[적용 급여병원],MATCH(INDEX(합계표[사번키],$X992)&amp;"|"&amp;대상월키,월별근무지표[키],0))&amp;"",IF(COUNTIF(기관표[사번키],INDEX(합계표[사번키],$X992))+COUNTIF(월별근무지표[사번키],INDEX(합계표[사번키],$X992))&gt;0,IFERROR(INDEX(기관표[급여지급병원(기준월)],MATCH(INDEX(합계표[사번키],$X992)&amp;"|"&amp;대상월키,기관표[키],0))&amp;"","—"),"—")))</f>
        <v/>
      </c>
      <c r="M992">
        <f>IF($X992="","",IF(NOT(COUNTIF(기관표[사번키],INDEX(합계표[사번키],$X992))+COUNTIF(월별근무지표[사번키],INDEX(합계표[사번키],$X992))&gt;0),"기관명단에 없음(다른 병원으로 발송)",IF($L992="서울병원","해당",IF(N($R992)&gt;0,"해당(말일 근무)",IF($L992="—","대상월 기관명단 없음(추가 필요)","비해당")))))</f>
        <v/>
      </c>
      <c r="N992" s="20">
        <f>IF($X992="","",SUMIFS(상세표[06~07시],상세표[사번키],INDEX(합계표[사번키],$X992),상세표[반영월],대상월키,상세표[반영 기관],"서울병원"))</f>
        <v/>
      </c>
      <c r="O992" s="20">
        <f>IF($X992="","",SUMIFS(상세표[07~18시],상세표[사번키],INDEX(합계표[사번키],$X992),상세표[반영월],대상월키,상세표[반영 기관],"서울병원"))</f>
        <v/>
      </c>
      <c r="P992" s="20">
        <f>IF($X992="","",SUMIFS(상세표[18~22시],상세표[사번키],INDEX(합계표[사번키],$X992),상세표[반영월],대상월키,상세표[반영 기관],"서울병원"))</f>
        <v/>
      </c>
      <c r="Q992" s="20">
        <f>IF($X992="","",SUMIFS(상세표[22~06시],상세표[사번키],INDEX(합계표[사번키],$X992),상세표[반영월],대상월키,상세표[반영 기관],"서울병원"))</f>
        <v/>
      </c>
      <c r="R992" s="20">
        <f>IF($X992="","",SUM($N992:$Q992))</f>
        <v/>
      </c>
      <c r="S992">
        <f>IF($X992="","",COUNTIFS(상세표[사번키],INDEX(합계표[사번키],$X992),상세표[반영월],대상월키,상세표[야간당직],1,상세표[야간 구분],"평일"))</f>
        <v/>
      </c>
      <c r="T992">
        <f>IF($X992="","",COUNTIFS(상세표[사번키],INDEX(합계표[사번키],$X992),상세표[반영월],대상월키,상세표[야간당직],1,상세표[야간 구분],"휴일"))</f>
        <v/>
      </c>
      <c r="U992">
        <f>IF($X992="","",COUNTIFS(상세표[사번키],INDEX(합계표[사번키],$X992),상세표[반영월],대상월키,상세표[야간당직],1,상세표[야간 구분],"평일",상세표[반영 기관],"서울병원"))</f>
        <v/>
      </c>
      <c r="V992">
        <f>IF($X992="","",COUNTIFS(상세표[사번키],INDEX(합계표[사번키],$X992),상세표[반영월],대상월키,상세표[야간당직],1,상세표[야간 구분],"휴일",상세표[반영 기관],"서울병원"))</f>
        <v/>
      </c>
      <c r="W992">
        <f>IF($X992="","",IF(ISNUMBER(MATCH(INDEX(합계표[사번키],$X992)&amp;"|"&amp;대상월키,월별근무지표[키],0)),"직접 입력",IF($L992="—","—","기관명단")))</f>
        <v/>
      </c>
      <c r="X992" s="4">
        <f>IFERROR(MATCH(987,합계표[판정순번],0),"")</f>
        <v/>
      </c>
    </row>
    <row r="993">
      <c r="A993">
        <f>IF($X993="","",INDEX(합계표[사번],$X993)&amp;"")</f>
        <v/>
      </c>
      <c r="B993">
        <f>IF($X993="","",INDEX(합계표[성명],$X993)&amp;"")</f>
        <v/>
      </c>
      <c r="C993">
        <f>IF($X993="","",INDEX(합계표[부서],$X993)&amp;"")</f>
        <v/>
      </c>
      <c r="D993">
        <f>IF($X993="","",INDEX(합계표[직위(요약)],$X993)&amp;"")</f>
        <v/>
      </c>
      <c r="E993">
        <f>IF($X993="","",INDEX(합계표[직급 공존],$X993)&amp;"")</f>
        <v/>
      </c>
      <c r="F993" s="20">
        <f>IF($X993="","",SUMIFS(합계표[시스템 합계],합계표[사번키],INDEX(합계표[사번키],$X993)))</f>
        <v/>
      </c>
      <c r="G993" s="20">
        <f>IF($X993="","",SUMIFS(상세표[기록 시간외],상세표[사번키],INDEX(합계표[사번키],$X993),상세표[기록월],대상월키))</f>
        <v/>
      </c>
      <c r="H993">
        <f>IF($X993="","",IF(ABS($F993-$G993)&lt;0.01,"일치","불일치(차이 "&amp;TEXT($G993-$F993,"0.00")&amp;")"))</f>
        <v/>
      </c>
      <c r="I993" s="20">
        <f>IF($X993="","",SUMIFS(상세표[기록 시간외],상세표[사번키],INDEX(합계표[사번키],$X993),상세표[기록월],대상월키,상세표[반영월],"&lt;&gt;"&amp;대상월키))</f>
        <v/>
      </c>
      <c r="J993" s="20">
        <f>IF($X993="","",SUMIFS(상세표[기록 시간외],상세표[사번키],INDEX(합계표[사번키],$X993),상세표[기록월],"&lt;&gt;"&amp;대상월키,상세표[반영월],대상월키))</f>
        <v/>
      </c>
      <c r="K993" s="20">
        <f>IF($X993="","",SUMIFS(상세표[기록 시간외],상세표[사번키],INDEX(합계표[사번키],$X993),상세표[반영월],대상월키))</f>
        <v/>
      </c>
      <c r="L993">
        <f>IF($X993="","",IFERROR(INDEX(월별근무지표[적용 급여병원],MATCH(INDEX(합계표[사번키],$X993)&amp;"|"&amp;대상월키,월별근무지표[키],0))&amp;"",IF(COUNTIF(기관표[사번키],INDEX(합계표[사번키],$X993))+COUNTIF(월별근무지표[사번키],INDEX(합계표[사번키],$X993))&gt;0,IFERROR(INDEX(기관표[급여지급병원(기준월)],MATCH(INDEX(합계표[사번키],$X993)&amp;"|"&amp;대상월키,기관표[키],0))&amp;"","—"),"—")))</f>
        <v/>
      </c>
      <c r="M993">
        <f>IF($X993="","",IF(NOT(COUNTIF(기관표[사번키],INDEX(합계표[사번키],$X993))+COUNTIF(월별근무지표[사번키],INDEX(합계표[사번키],$X993))&gt;0),"기관명단에 없음(다른 병원으로 발송)",IF($L993="서울병원","해당",IF(N($R993)&gt;0,"해당(말일 근무)",IF($L993="—","대상월 기관명단 없음(추가 필요)","비해당")))))</f>
        <v/>
      </c>
      <c r="N993" s="20">
        <f>IF($X993="","",SUMIFS(상세표[06~07시],상세표[사번키],INDEX(합계표[사번키],$X993),상세표[반영월],대상월키,상세표[반영 기관],"서울병원"))</f>
        <v/>
      </c>
      <c r="O993" s="20">
        <f>IF($X993="","",SUMIFS(상세표[07~18시],상세표[사번키],INDEX(합계표[사번키],$X993),상세표[반영월],대상월키,상세표[반영 기관],"서울병원"))</f>
        <v/>
      </c>
      <c r="P993" s="20">
        <f>IF($X993="","",SUMIFS(상세표[18~22시],상세표[사번키],INDEX(합계표[사번키],$X993),상세표[반영월],대상월키,상세표[반영 기관],"서울병원"))</f>
        <v/>
      </c>
      <c r="Q993" s="20">
        <f>IF($X993="","",SUMIFS(상세표[22~06시],상세표[사번키],INDEX(합계표[사번키],$X993),상세표[반영월],대상월키,상세표[반영 기관],"서울병원"))</f>
        <v/>
      </c>
      <c r="R993" s="20">
        <f>IF($X993="","",SUM($N993:$Q993))</f>
        <v/>
      </c>
      <c r="S993">
        <f>IF($X993="","",COUNTIFS(상세표[사번키],INDEX(합계표[사번키],$X993),상세표[반영월],대상월키,상세표[야간당직],1,상세표[야간 구분],"평일"))</f>
        <v/>
      </c>
      <c r="T993">
        <f>IF($X993="","",COUNTIFS(상세표[사번키],INDEX(합계표[사번키],$X993),상세표[반영월],대상월키,상세표[야간당직],1,상세표[야간 구분],"휴일"))</f>
        <v/>
      </c>
      <c r="U993">
        <f>IF($X993="","",COUNTIFS(상세표[사번키],INDEX(합계표[사번키],$X993),상세표[반영월],대상월키,상세표[야간당직],1,상세표[야간 구분],"평일",상세표[반영 기관],"서울병원"))</f>
        <v/>
      </c>
      <c r="V993">
        <f>IF($X993="","",COUNTIFS(상세표[사번키],INDEX(합계표[사번키],$X993),상세표[반영월],대상월키,상세표[야간당직],1,상세표[야간 구분],"휴일",상세표[반영 기관],"서울병원"))</f>
        <v/>
      </c>
      <c r="W993">
        <f>IF($X993="","",IF(ISNUMBER(MATCH(INDEX(합계표[사번키],$X993)&amp;"|"&amp;대상월키,월별근무지표[키],0)),"직접 입력",IF($L993="—","—","기관명단")))</f>
        <v/>
      </c>
      <c r="X993" s="4">
        <f>IFERROR(MATCH(988,합계표[판정순번],0),"")</f>
        <v/>
      </c>
    </row>
    <row r="994">
      <c r="A994">
        <f>IF($X994="","",INDEX(합계표[사번],$X994)&amp;"")</f>
        <v/>
      </c>
      <c r="B994">
        <f>IF($X994="","",INDEX(합계표[성명],$X994)&amp;"")</f>
        <v/>
      </c>
      <c r="C994">
        <f>IF($X994="","",INDEX(합계표[부서],$X994)&amp;"")</f>
        <v/>
      </c>
      <c r="D994">
        <f>IF($X994="","",INDEX(합계표[직위(요약)],$X994)&amp;"")</f>
        <v/>
      </c>
      <c r="E994">
        <f>IF($X994="","",INDEX(합계표[직급 공존],$X994)&amp;"")</f>
        <v/>
      </c>
      <c r="F994" s="20">
        <f>IF($X994="","",SUMIFS(합계표[시스템 합계],합계표[사번키],INDEX(합계표[사번키],$X994)))</f>
        <v/>
      </c>
      <c r="G994" s="20">
        <f>IF($X994="","",SUMIFS(상세표[기록 시간외],상세표[사번키],INDEX(합계표[사번키],$X994),상세표[기록월],대상월키))</f>
        <v/>
      </c>
      <c r="H994">
        <f>IF($X994="","",IF(ABS($F994-$G994)&lt;0.01,"일치","불일치(차이 "&amp;TEXT($G994-$F994,"0.00")&amp;")"))</f>
        <v/>
      </c>
      <c r="I994" s="20">
        <f>IF($X994="","",SUMIFS(상세표[기록 시간외],상세표[사번키],INDEX(합계표[사번키],$X994),상세표[기록월],대상월키,상세표[반영월],"&lt;&gt;"&amp;대상월키))</f>
        <v/>
      </c>
      <c r="J994" s="20">
        <f>IF($X994="","",SUMIFS(상세표[기록 시간외],상세표[사번키],INDEX(합계표[사번키],$X994),상세표[기록월],"&lt;&gt;"&amp;대상월키,상세표[반영월],대상월키))</f>
        <v/>
      </c>
      <c r="K994" s="20">
        <f>IF($X994="","",SUMIFS(상세표[기록 시간외],상세표[사번키],INDEX(합계표[사번키],$X994),상세표[반영월],대상월키))</f>
        <v/>
      </c>
      <c r="L994">
        <f>IF($X994="","",IFERROR(INDEX(월별근무지표[적용 급여병원],MATCH(INDEX(합계표[사번키],$X994)&amp;"|"&amp;대상월키,월별근무지표[키],0))&amp;"",IF(COUNTIF(기관표[사번키],INDEX(합계표[사번키],$X994))+COUNTIF(월별근무지표[사번키],INDEX(합계표[사번키],$X994))&gt;0,IFERROR(INDEX(기관표[급여지급병원(기준월)],MATCH(INDEX(합계표[사번키],$X994)&amp;"|"&amp;대상월키,기관표[키],0))&amp;"","—"),"—")))</f>
        <v/>
      </c>
      <c r="M994">
        <f>IF($X994="","",IF(NOT(COUNTIF(기관표[사번키],INDEX(합계표[사번키],$X994))+COUNTIF(월별근무지표[사번키],INDEX(합계표[사번키],$X994))&gt;0),"기관명단에 없음(다른 병원으로 발송)",IF($L994="서울병원","해당",IF(N($R994)&gt;0,"해당(말일 근무)",IF($L994="—","대상월 기관명단 없음(추가 필요)","비해당")))))</f>
        <v/>
      </c>
      <c r="N994" s="20">
        <f>IF($X994="","",SUMIFS(상세표[06~07시],상세표[사번키],INDEX(합계표[사번키],$X994),상세표[반영월],대상월키,상세표[반영 기관],"서울병원"))</f>
        <v/>
      </c>
      <c r="O994" s="20">
        <f>IF($X994="","",SUMIFS(상세표[07~18시],상세표[사번키],INDEX(합계표[사번키],$X994),상세표[반영월],대상월키,상세표[반영 기관],"서울병원"))</f>
        <v/>
      </c>
      <c r="P994" s="20">
        <f>IF($X994="","",SUMIFS(상세표[18~22시],상세표[사번키],INDEX(합계표[사번키],$X994),상세표[반영월],대상월키,상세표[반영 기관],"서울병원"))</f>
        <v/>
      </c>
      <c r="Q994" s="20">
        <f>IF($X994="","",SUMIFS(상세표[22~06시],상세표[사번키],INDEX(합계표[사번키],$X994),상세표[반영월],대상월키,상세표[반영 기관],"서울병원"))</f>
        <v/>
      </c>
      <c r="R994" s="20">
        <f>IF($X994="","",SUM($N994:$Q994))</f>
        <v/>
      </c>
      <c r="S994">
        <f>IF($X994="","",COUNTIFS(상세표[사번키],INDEX(합계표[사번키],$X994),상세표[반영월],대상월키,상세표[야간당직],1,상세표[야간 구분],"평일"))</f>
        <v/>
      </c>
      <c r="T994">
        <f>IF($X994="","",COUNTIFS(상세표[사번키],INDEX(합계표[사번키],$X994),상세표[반영월],대상월키,상세표[야간당직],1,상세표[야간 구분],"휴일"))</f>
        <v/>
      </c>
      <c r="U994">
        <f>IF($X994="","",COUNTIFS(상세표[사번키],INDEX(합계표[사번키],$X994),상세표[반영월],대상월키,상세표[야간당직],1,상세표[야간 구분],"평일",상세표[반영 기관],"서울병원"))</f>
        <v/>
      </c>
      <c r="V994">
        <f>IF($X994="","",COUNTIFS(상세표[사번키],INDEX(합계표[사번키],$X994),상세표[반영월],대상월키,상세표[야간당직],1,상세표[야간 구분],"휴일",상세표[반영 기관],"서울병원"))</f>
        <v/>
      </c>
      <c r="W994">
        <f>IF($X994="","",IF(ISNUMBER(MATCH(INDEX(합계표[사번키],$X994)&amp;"|"&amp;대상월키,월별근무지표[키],0)),"직접 입력",IF($L994="—","—","기관명단")))</f>
        <v/>
      </c>
      <c r="X994" s="4">
        <f>IFERROR(MATCH(989,합계표[판정순번],0),"")</f>
        <v/>
      </c>
    </row>
    <row r="995">
      <c r="A995">
        <f>IF($X995="","",INDEX(합계표[사번],$X995)&amp;"")</f>
        <v/>
      </c>
      <c r="B995">
        <f>IF($X995="","",INDEX(합계표[성명],$X995)&amp;"")</f>
        <v/>
      </c>
      <c r="C995">
        <f>IF($X995="","",INDEX(합계표[부서],$X995)&amp;"")</f>
        <v/>
      </c>
      <c r="D995">
        <f>IF($X995="","",INDEX(합계표[직위(요약)],$X995)&amp;"")</f>
        <v/>
      </c>
      <c r="E995">
        <f>IF($X995="","",INDEX(합계표[직급 공존],$X995)&amp;"")</f>
        <v/>
      </c>
      <c r="F995" s="20">
        <f>IF($X995="","",SUMIFS(합계표[시스템 합계],합계표[사번키],INDEX(합계표[사번키],$X995)))</f>
        <v/>
      </c>
      <c r="G995" s="20">
        <f>IF($X995="","",SUMIFS(상세표[기록 시간외],상세표[사번키],INDEX(합계표[사번키],$X995),상세표[기록월],대상월키))</f>
        <v/>
      </c>
      <c r="H995">
        <f>IF($X995="","",IF(ABS($F995-$G995)&lt;0.01,"일치","불일치(차이 "&amp;TEXT($G995-$F995,"0.00")&amp;")"))</f>
        <v/>
      </c>
      <c r="I995" s="20">
        <f>IF($X995="","",SUMIFS(상세표[기록 시간외],상세표[사번키],INDEX(합계표[사번키],$X995),상세표[기록월],대상월키,상세표[반영월],"&lt;&gt;"&amp;대상월키))</f>
        <v/>
      </c>
      <c r="J995" s="20">
        <f>IF($X995="","",SUMIFS(상세표[기록 시간외],상세표[사번키],INDEX(합계표[사번키],$X995),상세표[기록월],"&lt;&gt;"&amp;대상월키,상세표[반영월],대상월키))</f>
        <v/>
      </c>
      <c r="K995" s="20">
        <f>IF($X995="","",SUMIFS(상세표[기록 시간외],상세표[사번키],INDEX(합계표[사번키],$X995),상세표[반영월],대상월키))</f>
        <v/>
      </c>
      <c r="L995">
        <f>IF($X995="","",IFERROR(INDEX(월별근무지표[적용 급여병원],MATCH(INDEX(합계표[사번키],$X995)&amp;"|"&amp;대상월키,월별근무지표[키],0))&amp;"",IF(COUNTIF(기관표[사번키],INDEX(합계표[사번키],$X995))+COUNTIF(월별근무지표[사번키],INDEX(합계표[사번키],$X995))&gt;0,IFERROR(INDEX(기관표[급여지급병원(기준월)],MATCH(INDEX(합계표[사번키],$X995)&amp;"|"&amp;대상월키,기관표[키],0))&amp;"","—"),"—")))</f>
        <v/>
      </c>
      <c r="M995">
        <f>IF($X995="","",IF(NOT(COUNTIF(기관표[사번키],INDEX(합계표[사번키],$X995))+COUNTIF(월별근무지표[사번키],INDEX(합계표[사번키],$X995))&gt;0),"기관명단에 없음(다른 병원으로 발송)",IF($L995="서울병원","해당",IF(N($R995)&gt;0,"해당(말일 근무)",IF($L995="—","대상월 기관명단 없음(추가 필요)","비해당")))))</f>
        <v/>
      </c>
      <c r="N995" s="20">
        <f>IF($X995="","",SUMIFS(상세표[06~07시],상세표[사번키],INDEX(합계표[사번키],$X995),상세표[반영월],대상월키,상세표[반영 기관],"서울병원"))</f>
        <v/>
      </c>
      <c r="O995" s="20">
        <f>IF($X995="","",SUMIFS(상세표[07~18시],상세표[사번키],INDEX(합계표[사번키],$X995),상세표[반영월],대상월키,상세표[반영 기관],"서울병원"))</f>
        <v/>
      </c>
      <c r="P995" s="20">
        <f>IF($X995="","",SUMIFS(상세표[18~22시],상세표[사번키],INDEX(합계표[사번키],$X995),상세표[반영월],대상월키,상세표[반영 기관],"서울병원"))</f>
        <v/>
      </c>
      <c r="Q995" s="20">
        <f>IF($X995="","",SUMIFS(상세표[22~06시],상세표[사번키],INDEX(합계표[사번키],$X995),상세표[반영월],대상월키,상세표[반영 기관],"서울병원"))</f>
        <v/>
      </c>
      <c r="R995" s="20">
        <f>IF($X995="","",SUM($N995:$Q995))</f>
        <v/>
      </c>
      <c r="S995">
        <f>IF($X995="","",COUNTIFS(상세표[사번키],INDEX(합계표[사번키],$X995),상세표[반영월],대상월키,상세표[야간당직],1,상세표[야간 구분],"평일"))</f>
        <v/>
      </c>
      <c r="T995">
        <f>IF($X995="","",COUNTIFS(상세표[사번키],INDEX(합계표[사번키],$X995),상세표[반영월],대상월키,상세표[야간당직],1,상세표[야간 구분],"휴일"))</f>
        <v/>
      </c>
      <c r="U995">
        <f>IF($X995="","",COUNTIFS(상세표[사번키],INDEX(합계표[사번키],$X995),상세표[반영월],대상월키,상세표[야간당직],1,상세표[야간 구분],"평일",상세표[반영 기관],"서울병원"))</f>
        <v/>
      </c>
      <c r="V995">
        <f>IF($X995="","",COUNTIFS(상세표[사번키],INDEX(합계표[사번키],$X995),상세표[반영월],대상월키,상세표[야간당직],1,상세표[야간 구분],"휴일",상세표[반영 기관],"서울병원"))</f>
        <v/>
      </c>
      <c r="W995">
        <f>IF($X995="","",IF(ISNUMBER(MATCH(INDEX(합계표[사번키],$X995)&amp;"|"&amp;대상월키,월별근무지표[키],0)),"직접 입력",IF($L995="—","—","기관명단")))</f>
        <v/>
      </c>
      <c r="X995" s="4">
        <f>IFERROR(MATCH(990,합계표[판정순번],0),"")</f>
        <v/>
      </c>
    </row>
    <row r="996">
      <c r="A996">
        <f>IF($X996="","",INDEX(합계표[사번],$X996)&amp;"")</f>
        <v/>
      </c>
      <c r="B996">
        <f>IF($X996="","",INDEX(합계표[성명],$X996)&amp;"")</f>
        <v/>
      </c>
      <c r="C996">
        <f>IF($X996="","",INDEX(합계표[부서],$X996)&amp;"")</f>
        <v/>
      </c>
      <c r="D996">
        <f>IF($X996="","",INDEX(합계표[직위(요약)],$X996)&amp;"")</f>
        <v/>
      </c>
      <c r="E996">
        <f>IF($X996="","",INDEX(합계표[직급 공존],$X996)&amp;"")</f>
        <v/>
      </c>
      <c r="F996" s="20">
        <f>IF($X996="","",SUMIFS(합계표[시스템 합계],합계표[사번키],INDEX(합계표[사번키],$X996)))</f>
        <v/>
      </c>
      <c r="G996" s="20">
        <f>IF($X996="","",SUMIFS(상세표[기록 시간외],상세표[사번키],INDEX(합계표[사번키],$X996),상세표[기록월],대상월키))</f>
        <v/>
      </c>
      <c r="H996">
        <f>IF($X996="","",IF(ABS($F996-$G996)&lt;0.01,"일치","불일치(차이 "&amp;TEXT($G996-$F996,"0.00")&amp;")"))</f>
        <v/>
      </c>
      <c r="I996" s="20">
        <f>IF($X996="","",SUMIFS(상세표[기록 시간외],상세표[사번키],INDEX(합계표[사번키],$X996),상세표[기록월],대상월키,상세표[반영월],"&lt;&gt;"&amp;대상월키))</f>
        <v/>
      </c>
      <c r="J996" s="20">
        <f>IF($X996="","",SUMIFS(상세표[기록 시간외],상세표[사번키],INDEX(합계표[사번키],$X996),상세표[기록월],"&lt;&gt;"&amp;대상월키,상세표[반영월],대상월키))</f>
        <v/>
      </c>
      <c r="K996" s="20">
        <f>IF($X996="","",SUMIFS(상세표[기록 시간외],상세표[사번키],INDEX(합계표[사번키],$X996),상세표[반영월],대상월키))</f>
        <v/>
      </c>
      <c r="L996">
        <f>IF($X996="","",IFERROR(INDEX(월별근무지표[적용 급여병원],MATCH(INDEX(합계표[사번키],$X996)&amp;"|"&amp;대상월키,월별근무지표[키],0))&amp;"",IF(COUNTIF(기관표[사번키],INDEX(합계표[사번키],$X996))+COUNTIF(월별근무지표[사번키],INDEX(합계표[사번키],$X996))&gt;0,IFERROR(INDEX(기관표[급여지급병원(기준월)],MATCH(INDEX(합계표[사번키],$X996)&amp;"|"&amp;대상월키,기관표[키],0))&amp;"","—"),"—")))</f>
        <v/>
      </c>
      <c r="M996">
        <f>IF($X996="","",IF(NOT(COUNTIF(기관표[사번키],INDEX(합계표[사번키],$X996))+COUNTIF(월별근무지표[사번키],INDEX(합계표[사번키],$X996))&gt;0),"기관명단에 없음(다른 병원으로 발송)",IF($L996="서울병원","해당",IF(N($R996)&gt;0,"해당(말일 근무)",IF($L996="—","대상월 기관명단 없음(추가 필요)","비해당")))))</f>
        <v/>
      </c>
      <c r="N996" s="20">
        <f>IF($X996="","",SUMIFS(상세표[06~07시],상세표[사번키],INDEX(합계표[사번키],$X996),상세표[반영월],대상월키,상세표[반영 기관],"서울병원"))</f>
        <v/>
      </c>
      <c r="O996" s="20">
        <f>IF($X996="","",SUMIFS(상세표[07~18시],상세표[사번키],INDEX(합계표[사번키],$X996),상세표[반영월],대상월키,상세표[반영 기관],"서울병원"))</f>
        <v/>
      </c>
      <c r="P996" s="20">
        <f>IF($X996="","",SUMIFS(상세표[18~22시],상세표[사번키],INDEX(합계표[사번키],$X996),상세표[반영월],대상월키,상세표[반영 기관],"서울병원"))</f>
        <v/>
      </c>
      <c r="Q996" s="20">
        <f>IF($X996="","",SUMIFS(상세표[22~06시],상세표[사번키],INDEX(합계표[사번키],$X996),상세표[반영월],대상월키,상세표[반영 기관],"서울병원"))</f>
        <v/>
      </c>
      <c r="R996" s="20">
        <f>IF($X996="","",SUM($N996:$Q996))</f>
        <v/>
      </c>
      <c r="S996">
        <f>IF($X996="","",COUNTIFS(상세표[사번키],INDEX(합계표[사번키],$X996),상세표[반영월],대상월키,상세표[야간당직],1,상세표[야간 구분],"평일"))</f>
        <v/>
      </c>
      <c r="T996">
        <f>IF($X996="","",COUNTIFS(상세표[사번키],INDEX(합계표[사번키],$X996),상세표[반영월],대상월키,상세표[야간당직],1,상세표[야간 구분],"휴일"))</f>
        <v/>
      </c>
      <c r="U996">
        <f>IF($X996="","",COUNTIFS(상세표[사번키],INDEX(합계표[사번키],$X996),상세표[반영월],대상월키,상세표[야간당직],1,상세표[야간 구분],"평일",상세표[반영 기관],"서울병원"))</f>
        <v/>
      </c>
      <c r="V996">
        <f>IF($X996="","",COUNTIFS(상세표[사번키],INDEX(합계표[사번키],$X996),상세표[반영월],대상월키,상세표[야간당직],1,상세표[야간 구분],"휴일",상세표[반영 기관],"서울병원"))</f>
        <v/>
      </c>
      <c r="W996">
        <f>IF($X996="","",IF(ISNUMBER(MATCH(INDEX(합계표[사번키],$X996)&amp;"|"&amp;대상월키,월별근무지표[키],0)),"직접 입력",IF($L996="—","—","기관명단")))</f>
        <v/>
      </c>
      <c r="X996" s="4">
        <f>IFERROR(MATCH(991,합계표[판정순번],0),"")</f>
        <v/>
      </c>
    </row>
    <row r="997">
      <c r="A997">
        <f>IF($X997="","",INDEX(합계표[사번],$X997)&amp;"")</f>
        <v/>
      </c>
      <c r="B997">
        <f>IF($X997="","",INDEX(합계표[성명],$X997)&amp;"")</f>
        <v/>
      </c>
      <c r="C997">
        <f>IF($X997="","",INDEX(합계표[부서],$X997)&amp;"")</f>
        <v/>
      </c>
      <c r="D997">
        <f>IF($X997="","",INDEX(합계표[직위(요약)],$X997)&amp;"")</f>
        <v/>
      </c>
      <c r="E997">
        <f>IF($X997="","",INDEX(합계표[직급 공존],$X997)&amp;"")</f>
        <v/>
      </c>
      <c r="F997" s="20">
        <f>IF($X997="","",SUMIFS(합계표[시스템 합계],합계표[사번키],INDEX(합계표[사번키],$X997)))</f>
        <v/>
      </c>
      <c r="G997" s="20">
        <f>IF($X997="","",SUMIFS(상세표[기록 시간외],상세표[사번키],INDEX(합계표[사번키],$X997),상세표[기록월],대상월키))</f>
        <v/>
      </c>
      <c r="H997">
        <f>IF($X997="","",IF(ABS($F997-$G997)&lt;0.01,"일치","불일치(차이 "&amp;TEXT($G997-$F997,"0.00")&amp;")"))</f>
        <v/>
      </c>
      <c r="I997" s="20">
        <f>IF($X997="","",SUMIFS(상세표[기록 시간외],상세표[사번키],INDEX(합계표[사번키],$X997),상세표[기록월],대상월키,상세표[반영월],"&lt;&gt;"&amp;대상월키))</f>
        <v/>
      </c>
      <c r="J997" s="20">
        <f>IF($X997="","",SUMIFS(상세표[기록 시간외],상세표[사번키],INDEX(합계표[사번키],$X997),상세표[기록월],"&lt;&gt;"&amp;대상월키,상세표[반영월],대상월키))</f>
        <v/>
      </c>
      <c r="K997" s="20">
        <f>IF($X997="","",SUMIFS(상세표[기록 시간외],상세표[사번키],INDEX(합계표[사번키],$X997),상세표[반영월],대상월키))</f>
        <v/>
      </c>
      <c r="L997">
        <f>IF($X997="","",IFERROR(INDEX(월별근무지표[적용 급여병원],MATCH(INDEX(합계표[사번키],$X997)&amp;"|"&amp;대상월키,월별근무지표[키],0))&amp;"",IF(COUNTIF(기관표[사번키],INDEX(합계표[사번키],$X997))+COUNTIF(월별근무지표[사번키],INDEX(합계표[사번키],$X997))&gt;0,IFERROR(INDEX(기관표[급여지급병원(기준월)],MATCH(INDEX(합계표[사번키],$X997)&amp;"|"&amp;대상월키,기관표[키],0))&amp;"","—"),"—")))</f>
        <v/>
      </c>
      <c r="M997">
        <f>IF($X997="","",IF(NOT(COUNTIF(기관표[사번키],INDEX(합계표[사번키],$X997))+COUNTIF(월별근무지표[사번키],INDEX(합계표[사번키],$X997))&gt;0),"기관명단에 없음(다른 병원으로 발송)",IF($L997="서울병원","해당",IF(N($R997)&gt;0,"해당(말일 근무)",IF($L997="—","대상월 기관명단 없음(추가 필요)","비해당")))))</f>
        <v/>
      </c>
      <c r="N997" s="20">
        <f>IF($X997="","",SUMIFS(상세표[06~07시],상세표[사번키],INDEX(합계표[사번키],$X997),상세표[반영월],대상월키,상세표[반영 기관],"서울병원"))</f>
        <v/>
      </c>
      <c r="O997" s="20">
        <f>IF($X997="","",SUMIFS(상세표[07~18시],상세표[사번키],INDEX(합계표[사번키],$X997),상세표[반영월],대상월키,상세표[반영 기관],"서울병원"))</f>
        <v/>
      </c>
      <c r="P997" s="20">
        <f>IF($X997="","",SUMIFS(상세표[18~22시],상세표[사번키],INDEX(합계표[사번키],$X997),상세표[반영월],대상월키,상세표[반영 기관],"서울병원"))</f>
        <v/>
      </c>
      <c r="Q997" s="20">
        <f>IF($X997="","",SUMIFS(상세표[22~06시],상세표[사번키],INDEX(합계표[사번키],$X997),상세표[반영월],대상월키,상세표[반영 기관],"서울병원"))</f>
        <v/>
      </c>
      <c r="R997" s="20">
        <f>IF($X997="","",SUM($N997:$Q997))</f>
        <v/>
      </c>
      <c r="S997">
        <f>IF($X997="","",COUNTIFS(상세표[사번키],INDEX(합계표[사번키],$X997),상세표[반영월],대상월키,상세표[야간당직],1,상세표[야간 구분],"평일"))</f>
        <v/>
      </c>
      <c r="T997">
        <f>IF($X997="","",COUNTIFS(상세표[사번키],INDEX(합계표[사번키],$X997),상세표[반영월],대상월키,상세표[야간당직],1,상세표[야간 구분],"휴일"))</f>
        <v/>
      </c>
      <c r="U997">
        <f>IF($X997="","",COUNTIFS(상세표[사번키],INDEX(합계표[사번키],$X997),상세표[반영월],대상월키,상세표[야간당직],1,상세표[야간 구분],"평일",상세표[반영 기관],"서울병원"))</f>
        <v/>
      </c>
      <c r="V997">
        <f>IF($X997="","",COUNTIFS(상세표[사번키],INDEX(합계표[사번키],$X997),상세표[반영월],대상월키,상세표[야간당직],1,상세표[야간 구분],"휴일",상세표[반영 기관],"서울병원"))</f>
        <v/>
      </c>
      <c r="W997">
        <f>IF($X997="","",IF(ISNUMBER(MATCH(INDEX(합계표[사번키],$X997)&amp;"|"&amp;대상월키,월별근무지표[키],0)),"직접 입력",IF($L997="—","—","기관명단")))</f>
        <v/>
      </c>
      <c r="X997" s="4">
        <f>IFERROR(MATCH(992,합계표[판정순번],0),"")</f>
        <v/>
      </c>
    </row>
    <row r="998">
      <c r="A998">
        <f>IF($X998="","",INDEX(합계표[사번],$X998)&amp;"")</f>
        <v/>
      </c>
      <c r="B998">
        <f>IF($X998="","",INDEX(합계표[성명],$X998)&amp;"")</f>
        <v/>
      </c>
      <c r="C998">
        <f>IF($X998="","",INDEX(합계표[부서],$X998)&amp;"")</f>
        <v/>
      </c>
      <c r="D998">
        <f>IF($X998="","",INDEX(합계표[직위(요약)],$X998)&amp;"")</f>
        <v/>
      </c>
      <c r="E998">
        <f>IF($X998="","",INDEX(합계표[직급 공존],$X998)&amp;"")</f>
        <v/>
      </c>
      <c r="F998" s="20">
        <f>IF($X998="","",SUMIFS(합계표[시스템 합계],합계표[사번키],INDEX(합계표[사번키],$X998)))</f>
        <v/>
      </c>
      <c r="G998" s="20">
        <f>IF($X998="","",SUMIFS(상세표[기록 시간외],상세표[사번키],INDEX(합계표[사번키],$X998),상세표[기록월],대상월키))</f>
        <v/>
      </c>
      <c r="H998">
        <f>IF($X998="","",IF(ABS($F998-$G998)&lt;0.01,"일치","불일치(차이 "&amp;TEXT($G998-$F998,"0.00")&amp;")"))</f>
        <v/>
      </c>
      <c r="I998" s="20">
        <f>IF($X998="","",SUMIFS(상세표[기록 시간외],상세표[사번키],INDEX(합계표[사번키],$X998),상세표[기록월],대상월키,상세표[반영월],"&lt;&gt;"&amp;대상월키))</f>
        <v/>
      </c>
      <c r="J998" s="20">
        <f>IF($X998="","",SUMIFS(상세표[기록 시간외],상세표[사번키],INDEX(합계표[사번키],$X998),상세표[기록월],"&lt;&gt;"&amp;대상월키,상세표[반영월],대상월키))</f>
        <v/>
      </c>
      <c r="K998" s="20">
        <f>IF($X998="","",SUMIFS(상세표[기록 시간외],상세표[사번키],INDEX(합계표[사번키],$X998),상세표[반영월],대상월키))</f>
        <v/>
      </c>
      <c r="L998">
        <f>IF($X998="","",IFERROR(INDEX(월별근무지표[적용 급여병원],MATCH(INDEX(합계표[사번키],$X998)&amp;"|"&amp;대상월키,월별근무지표[키],0))&amp;"",IF(COUNTIF(기관표[사번키],INDEX(합계표[사번키],$X998))+COUNTIF(월별근무지표[사번키],INDEX(합계표[사번키],$X998))&gt;0,IFERROR(INDEX(기관표[급여지급병원(기준월)],MATCH(INDEX(합계표[사번키],$X998)&amp;"|"&amp;대상월키,기관표[키],0))&amp;"","—"),"—")))</f>
        <v/>
      </c>
      <c r="M998">
        <f>IF($X998="","",IF(NOT(COUNTIF(기관표[사번키],INDEX(합계표[사번키],$X998))+COUNTIF(월별근무지표[사번키],INDEX(합계표[사번키],$X998))&gt;0),"기관명단에 없음(다른 병원으로 발송)",IF($L998="서울병원","해당",IF(N($R998)&gt;0,"해당(말일 근무)",IF($L998="—","대상월 기관명단 없음(추가 필요)","비해당")))))</f>
        <v/>
      </c>
      <c r="N998" s="20">
        <f>IF($X998="","",SUMIFS(상세표[06~07시],상세표[사번키],INDEX(합계표[사번키],$X998),상세표[반영월],대상월키,상세표[반영 기관],"서울병원"))</f>
        <v/>
      </c>
      <c r="O998" s="20">
        <f>IF($X998="","",SUMIFS(상세표[07~18시],상세표[사번키],INDEX(합계표[사번키],$X998),상세표[반영월],대상월키,상세표[반영 기관],"서울병원"))</f>
        <v/>
      </c>
      <c r="P998" s="20">
        <f>IF($X998="","",SUMIFS(상세표[18~22시],상세표[사번키],INDEX(합계표[사번키],$X998),상세표[반영월],대상월키,상세표[반영 기관],"서울병원"))</f>
        <v/>
      </c>
      <c r="Q998" s="20">
        <f>IF($X998="","",SUMIFS(상세표[22~06시],상세표[사번키],INDEX(합계표[사번키],$X998),상세표[반영월],대상월키,상세표[반영 기관],"서울병원"))</f>
        <v/>
      </c>
      <c r="R998" s="20">
        <f>IF($X998="","",SUM($N998:$Q998))</f>
        <v/>
      </c>
      <c r="S998">
        <f>IF($X998="","",COUNTIFS(상세표[사번키],INDEX(합계표[사번키],$X998),상세표[반영월],대상월키,상세표[야간당직],1,상세표[야간 구분],"평일"))</f>
        <v/>
      </c>
      <c r="T998">
        <f>IF($X998="","",COUNTIFS(상세표[사번키],INDEX(합계표[사번키],$X998),상세표[반영월],대상월키,상세표[야간당직],1,상세표[야간 구분],"휴일"))</f>
        <v/>
      </c>
      <c r="U998">
        <f>IF($X998="","",COUNTIFS(상세표[사번키],INDEX(합계표[사번키],$X998),상세표[반영월],대상월키,상세표[야간당직],1,상세표[야간 구분],"평일",상세표[반영 기관],"서울병원"))</f>
        <v/>
      </c>
      <c r="V998">
        <f>IF($X998="","",COUNTIFS(상세표[사번키],INDEX(합계표[사번키],$X998),상세표[반영월],대상월키,상세표[야간당직],1,상세표[야간 구분],"휴일",상세표[반영 기관],"서울병원"))</f>
        <v/>
      </c>
      <c r="W998">
        <f>IF($X998="","",IF(ISNUMBER(MATCH(INDEX(합계표[사번키],$X998)&amp;"|"&amp;대상월키,월별근무지표[키],0)),"직접 입력",IF($L998="—","—","기관명단")))</f>
        <v/>
      </c>
      <c r="X998" s="4">
        <f>IFERROR(MATCH(993,합계표[판정순번],0),"")</f>
        <v/>
      </c>
    </row>
    <row r="999">
      <c r="A999">
        <f>IF($X999="","",INDEX(합계표[사번],$X999)&amp;"")</f>
        <v/>
      </c>
      <c r="B999">
        <f>IF($X999="","",INDEX(합계표[성명],$X999)&amp;"")</f>
        <v/>
      </c>
      <c r="C999">
        <f>IF($X999="","",INDEX(합계표[부서],$X999)&amp;"")</f>
        <v/>
      </c>
      <c r="D999">
        <f>IF($X999="","",INDEX(합계표[직위(요약)],$X999)&amp;"")</f>
        <v/>
      </c>
      <c r="E999">
        <f>IF($X999="","",INDEX(합계표[직급 공존],$X999)&amp;"")</f>
        <v/>
      </c>
      <c r="F999" s="20">
        <f>IF($X999="","",SUMIFS(합계표[시스템 합계],합계표[사번키],INDEX(합계표[사번키],$X999)))</f>
        <v/>
      </c>
      <c r="G999" s="20">
        <f>IF($X999="","",SUMIFS(상세표[기록 시간외],상세표[사번키],INDEX(합계표[사번키],$X999),상세표[기록월],대상월키))</f>
        <v/>
      </c>
      <c r="H999">
        <f>IF($X999="","",IF(ABS($F999-$G999)&lt;0.01,"일치","불일치(차이 "&amp;TEXT($G999-$F999,"0.00")&amp;")"))</f>
        <v/>
      </c>
      <c r="I999" s="20">
        <f>IF($X999="","",SUMIFS(상세표[기록 시간외],상세표[사번키],INDEX(합계표[사번키],$X999),상세표[기록월],대상월키,상세표[반영월],"&lt;&gt;"&amp;대상월키))</f>
        <v/>
      </c>
      <c r="J999" s="20">
        <f>IF($X999="","",SUMIFS(상세표[기록 시간외],상세표[사번키],INDEX(합계표[사번키],$X999),상세표[기록월],"&lt;&gt;"&amp;대상월키,상세표[반영월],대상월키))</f>
        <v/>
      </c>
      <c r="K999" s="20">
        <f>IF($X999="","",SUMIFS(상세표[기록 시간외],상세표[사번키],INDEX(합계표[사번키],$X999),상세표[반영월],대상월키))</f>
        <v/>
      </c>
      <c r="L999">
        <f>IF($X999="","",IFERROR(INDEX(월별근무지표[적용 급여병원],MATCH(INDEX(합계표[사번키],$X999)&amp;"|"&amp;대상월키,월별근무지표[키],0))&amp;"",IF(COUNTIF(기관표[사번키],INDEX(합계표[사번키],$X999))+COUNTIF(월별근무지표[사번키],INDEX(합계표[사번키],$X999))&gt;0,IFERROR(INDEX(기관표[급여지급병원(기준월)],MATCH(INDEX(합계표[사번키],$X999)&amp;"|"&amp;대상월키,기관표[키],0))&amp;"","—"),"—")))</f>
        <v/>
      </c>
      <c r="M999">
        <f>IF($X999="","",IF(NOT(COUNTIF(기관표[사번키],INDEX(합계표[사번키],$X999))+COUNTIF(월별근무지표[사번키],INDEX(합계표[사번키],$X999))&gt;0),"기관명단에 없음(다른 병원으로 발송)",IF($L999="서울병원","해당",IF(N($R999)&gt;0,"해당(말일 근무)",IF($L999="—","대상월 기관명단 없음(추가 필요)","비해당")))))</f>
        <v/>
      </c>
      <c r="N999" s="20">
        <f>IF($X999="","",SUMIFS(상세표[06~07시],상세표[사번키],INDEX(합계표[사번키],$X999),상세표[반영월],대상월키,상세표[반영 기관],"서울병원"))</f>
        <v/>
      </c>
      <c r="O999" s="20">
        <f>IF($X999="","",SUMIFS(상세표[07~18시],상세표[사번키],INDEX(합계표[사번키],$X999),상세표[반영월],대상월키,상세표[반영 기관],"서울병원"))</f>
        <v/>
      </c>
      <c r="P999" s="20">
        <f>IF($X999="","",SUMIFS(상세표[18~22시],상세표[사번키],INDEX(합계표[사번키],$X999),상세표[반영월],대상월키,상세표[반영 기관],"서울병원"))</f>
        <v/>
      </c>
      <c r="Q999" s="20">
        <f>IF($X999="","",SUMIFS(상세표[22~06시],상세표[사번키],INDEX(합계표[사번키],$X999),상세표[반영월],대상월키,상세표[반영 기관],"서울병원"))</f>
        <v/>
      </c>
      <c r="R999" s="20">
        <f>IF($X999="","",SUM($N999:$Q999))</f>
        <v/>
      </c>
      <c r="S999">
        <f>IF($X999="","",COUNTIFS(상세표[사번키],INDEX(합계표[사번키],$X999),상세표[반영월],대상월키,상세표[야간당직],1,상세표[야간 구분],"평일"))</f>
        <v/>
      </c>
      <c r="T999">
        <f>IF($X999="","",COUNTIFS(상세표[사번키],INDEX(합계표[사번키],$X999),상세표[반영월],대상월키,상세표[야간당직],1,상세표[야간 구분],"휴일"))</f>
        <v/>
      </c>
      <c r="U999">
        <f>IF($X999="","",COUNTIFS(상세표[사번키],INDEX(합계표[사번키],$X999),상세표[반영월],대상월키,상세표[야간당직],1,상세표[야간 구분],"평일",상세표[반영 기관],"서울병원"))</f>
        <v/>
      </c>
      <c r="V999">
        <f>IF($X999="","",COUNTIFS(상세표[사번키],INDEX(합계표[사번키],$X999),상세표[반영월],대상월키,상세표[야간당직],1,상세표[야간 구분],"휴일",상세표[반영 기관],"서울병원"))</f>
        <v/>
      </c>
      <c r="W999">
        <f>IF($X999="","",IF(ISNUMBER(MATCH(INDEX(합계표[사번키],$X999)&amp;"|"&amp;대상월키,월별근무지표[키],0)),"직접 입력",IF($L999="—","—","기관명단")))</f>
        <v/>
      </c>
      <c r="X999" s="4">
        <f>IFERROR(MATCH(994,합계표[판정순번],0),"")</f>
        <v/>
      </c>
    </row>
    <row r="1000">
      <c r="A1000">
        <f>IF($X1000="","",INDEX(합계표[사번],$X1000)&amp;"")</f>
        <v/>
      </c>
      <c r="B1000">
        <f>IF($X1000="","",INDEX(합계표[성명],$X1000)&amp;"")</f>
        <v/>
      </c>
      <c r="C1000">
        <f>IF($X1000="","",INDEX(합계표[부서],$X1000)&amp;"")</f>
        <v/>
      </c>
      <c r="D1000">
        <f>IF($X1000="","",INDEX(합계표[직위(요약)],$X1000)&amp;"")</f>
        <v/>
      </c>
      <c r="E1000">
        <f>IF($X1000="","",INDEX(합계표[직급 공존],$X1000)&amp;"")</f>
        <v/>
      </c>
      <c r="F1000" s="20">
        <f>IF($X1000="","",SUMIFS(합계표[시스템 합계],합계표[사번키],INDEX(합계표[사번키],$X1000)))</f>
        <v/>
      </c>
      <c r="G1000" s="20">
        <f>IF($X1000="","",SUMIFS(상세표[기록 시간외],상세표[사번키],INDEX(합계표[사번키],$X1000),상세표[기록월],대상월키))</f>
        <v/>
      </c>
      <c r="H1000">
        <f>IF($X1000="","",IF(ABS($F1000-$G1000)&lt;0.01,"일치","불일치(차이 "&amp;TEXT($G1000-$F1000,"0.00")&amp;")"))</f>
        <v/>
      </c>
      <c r="I1000" s="20">
        <f>IF($X1000="","",SUMIFS(상세표[기록 시간외],상세표[사번키],INDEX(합계표[사번키],$X1000),상세표[기록월],대상월키,상세표[반영월],"&lt;&gt;"&amp;대상월키))</f>
        <v/>
      </c>
      <c r="J1000" s="20">
        <f>IF($X1000="","",SUMIFS(상세표[기록 시간외],상세표[사번키],INDEX(합계표[사번키],$X1000),상세표[기록월],"&lt;&gt;"&amp;대상월키,상세표[반영월],대상월키))</f>
        <v/>
      </c>
      <c r="K1000" s="20">
        <f>IF($X1000="","",SUMIFS(상세표[기록 시간외],상세표[사번키],INDEX(합계표[사번키],$X1000),상세표[반영월],대상월키))</f>
        <v/>
      </c>
      <c r="L1000">
        <f>IF($X1000="","",IFERROR(INDEX(월별근무지표[적용 급여병원],MATCH(INDEX(합계표[사번키],$X1000)&amp;"|"&amp;대상월키,월별근무지표[키],0))&amp;"",IF(COUNTIF(기관표[사번키],INDEX(합계표[사번키],$X1000))+COUNTIF(월별근무지표[사번키],INDEX(합계표[사번키],$X1000))&gt;0,IFERROR(INDEX(기관표[급여지급병원(기준월)],MATCH(INDEX(합계표[사번키],$X1000)&amp;"|"&amp;대상월키,기관표[키],0))&amp;"","—"),"—")))</f>
        <v/>
      </c>
      <c r="M1000">
        <f>IF($X1000="","",IF(NOT(COUNTIF(기관표[사번키],INDEX(합계표[사번키],$X1000))+COUNTIF(월별근무지표[사번키],INDEX(합계표[사번키],$X1000))&gt;0),"기관명단에 없음(다른 병원으로 발송)",IF($L1000="서울병원","해당",IF(N($R1000)&gt;0,"해당(말일 근무)",IF($L1000="—","대상월 기관명단 없음(추가 필요)","비해당")))))</f>
        <v/>
      </c>
      <c r="N1000" s="20">
        <f>IF($X1000="","",SUMIFS(상세표[06~07시],상세표[사번키],INDEX(합계표[사번키],$X1000),상세표[반영월],대상월키,상세표[반영 기관],"서울병원"))</f>
        <v/>
      </c>
      <c r="O1000" s="20">
        <f>IF($X1000="","",SUMIFS(상세표[07~18시],상세표[사번키],INDEX(합계표[사번키],$X1000),상세표[반영월],대상월키,상세표[반영 기관],"서울병원"))</f>
        <v/>
      </c>
      <c r="P1000" s="20">
        <f>IF($X1000="","",SUMIFS(상세표[18~22시],상세표[사번키],INDEX(합계표[사번키],$X1000),상세표[반영월],대상월키,상세표[반영 기관],"서울병원"))</f>
        <v/>
      </c>
      <c r="Q1000" s="20">
        <f>IF($X1000="","",SUMIFS(상세표[22~06시],상세표[사번키],INDEX(합계표[사번키],$X1000),상세표[반영월],대상월키,상세표[반영 기관],"서울병원"))</f>
        <v/>
      </c>
      <c r="R1000" s="20">
        <f>IF($X1000="","",SUM($N1000:$Q1000))</f>
        <v/>
      </c>
      <c r="S1000">
        <f>IF($X1000="","",COUNTIFS(상세표[사번키],INDEX(합계표[사번키],$X1000),상세표[반영월],대상월키,상세표[야간당직],1,상세표[야간 구분],"평일"))</f>
        <v/>
      </c>
      <c r="T1000">
        <f>IF($X1000="","",COUNTIFS(상세표[사번키],INDEX(합계표[사번키],$X1000),상세표[반영월],대상월키,상세표[야간당직],1,상세표[야간 구분],"휴일"))</f>
        <v/>
      </c>
      <c r="U1000">
        <f>IF($X1000="","",COUNTIFS(상세표[사번키],INDEX(합계표[사번키],$X1000),상세표[반영월],대상월키,상세표[야간당직],1,상세표[야간 구분],"평일",상세표[반영 기관],"서울병원"))</f>
        <v/>
      </c>
      <c r="V1000">
        <f>IF($X1000="","",COUNTIFS(상세표[사번키],INDEX(합계표[사번키],$X1000),상세표[반영월],대상월키,상세표[야간당직],1,상세표[야간 구분],"휴일",상세표[반영 기관],"서울병원"))</f>
        <v/>
      </c>
      <c r="W1000">
        <f>IF($X1000="","",IF(ISNUMBER(MATCH(INDEX(합계표[사번키],$X1000)&amp;"|"&amp;대상월키,월별근무지표[키],0)),"직접 입력",IF($L1000="—","—","기관명단")))</f>
        <v/>
      </c>
      <c r="X1000" s="4">
        <f>IFERROR(MATCH(995,합계표[판정순번],0),"")</f>
        <v/>
      </c>
    </row>
    <row r="1001">
      <c r="A1001">
        <f>IF($X1001="","",INDEX(합계표[사번],$X1001)&amp;"")</f>
        <v/>
      </c>
      <c r="B1001">
        <f>IF($X1001="","",INDEX(합계표[성명],$X1001)&amp;"")</f>
        <v/>
      </c>
      <c r="C1001">
        <f>IF($X1001="","",INDEX(합계표[부서],$X1001)&amp;"")</f>
        <v/>
      </c>
      <c r="D1001">
        <f>IF($X1001="","",INDEX(합계표[직위(요약)],$X1001)&amp;"")</f>
        <v/>
      </c>
      <c r="E1001">
        <f>IF($X1001="","",INDEX(합계표[직급 공존],$X1001)&amp;"")</f>
        <v/>
      </c>
      <c r="F1001" s="20">
        <f>IF($X1001="","",SUMIFS(합계표[시스템 합계],합계표[사번키],INDEX(합계표[사번키],$X1001)))</f>
        <v/>
      </c>
      <c r="G1001" s="20">
        <f>IF($X1001="","",SUMIFS(상세표[기록 시간외],상세표[사번키],INDEX(합계표[사번키],$X1001),상세표[기록월],대상월키))</f>
        <v/>
      </c>
      <c r="H1001">
        <f>IF($X1001="","",IF(ABS($F1001-$G1001)&lt;0.01,"일치","불일치(차이 "&amp;TEXT($G1001-$F1001,"0.00")&amp;")"))</f>
        <v/>
      </c>
      <c r="I1001" s="20">
        <f>IF($X1001="","",SUMIFS(상세표[기록 시간외],상세표[사번키],INDEX(합계표[사번키],$X1001),상세표[기록월],대상월키,상세표[반영월],"&lt;&gt;"&amp;대상월키))</f>
        <v/>
      </c>
      <c r="J1001" s="20">
        <f>IF($X1001="","",SUMIFS(상세표[기록 시간외],상세표[사번키],INDEX(합계표[사번키],$X1001),상세표[기록월],"&lt;&gt;"&amp;대상월키,상세표[반영월],대상월키))</f>
        <v/>
      </c>
      <c r="K1001" s="20">
        <f>IF($X1001="","",SUMIFS(상세표[기록 시간외],상세표[사번키],INDEX(합계표[사번키],$X1001),상세표[반영월],대상월키))</f>
        <v/>
      </c>
      <c r="L1001">
        <f>IF($X1001="","",IFERROR(INDEX(월별근무지표[적용 급여병원],MATCH(INDEX(합계표[사번키],$X1001)&amp;"|"&amp;대상월키,월별근무지표[키],0))&amp;"",IF(COUNTIF(기관표[사번키],INDEX(합계표[사번키],$X1001))+COUNTIF(월별근무지표[사번키],INDEX(합계표[사번키],$X1001))&gt;0,IFERROR(INDEX(기관표[급여지급병원(기준월)],MATCH(INDEX(합계표[사번키],$X1001)&amp;"|"&amp;대상월키,기관표[키],0))&amp;"","—"),"—")))</f>
        <v/>
      </c>
      <c r="M1001">
        <f>IF($X1001="","",IF(NOT(COUNTIF(기관표[사번키],INDEX(합계표[사번키],$X1001))+COUNTIF(월별근무지표[사번키],INDEX(합계표[사번키],$X1001))&gt;0),"기관명단에 없음(다른 병원으로 발송)",IF($L1001="서울병원","해당",IF(N($R1001)&gt;0,"해당(말일 근무)",IF($L1001="—","대상월 기관명단 없음(추가 필요)","비해당")))))</f>
        <v/>
      </c>
      <c r="N1001" s="20">
        <f>IF($X1001="","",SUMIFS(상세표[06~07시],상세표[사번키],INDEX(합계표[사번키],$X1001),상세표[반영월],대상월키,상세표[반영 기관],"서울병원"))</f>
        <v/>
      </c>
      <c r="O1001" s="20">
        <f>IF($X1001="","",SUMIFS(상세표[07~18시],상세표[사번키],INDEX(합계표[사번키],$X1001),상세표[반영월],대상월키,상세표[반영 기관],"서울병원"))</f>
        <v/>
      </c>
      <c r="P1001" s="20">
        <f>IF($X1001="","",SUMIFS(상세표[18~22시],상세표[사번키],INDEX(합계표[사번키],$X1001),상세표[반영월],대상월키,상세표[반영 기관],"서울병원"))</f>
        <v/>
      </c>
      <c r="Q1001" s="20">
        <f>IF($X1001="","",SUMIFS(상세표[22~06시],상세표[사번키],INDEX(합계표[사번키],$X1001),상세표[반영월],대상월키,상세표[반영 기관],"서울병원"))</f>
        <v/>
      </c>
      <c r="R1001" s="20">
        <f>IF($X1001="","",SUM($N1001:$Q1001))</f>
        <v/>
      </c>
      <c r="S1001">
        <f>IF($X1001="","",COUNTIFS(상세표[사번키],INDEX(합계표[사번키],$X1001),상세표[반영월],대상월키,상세표[야간당직],1,상세표[야간 구분],"평일"))</f>
        <v/>
      </c>
      <c r="T1001">
        <f>IF($X1001="","",COUNTIFS(상세표[사번키],INDEX(합계표[사번키],$X1001),상세표[반영월],대상월키,상세표[야간당직],1,상세표[야간 구분],"휴일"))</f>
        <v/>
      </c>
      <c r="U1001">
        <f>IF($X1001="","",COUNTIFS(상세표[사번키],INDEX(합계표[사번키],$X1001),상세표[반영월],대상월키,상세표[야간당직],1,상세표[야간 구분],"평일",상세표[반영 기관],"서울병원"))</f>
        <v/>
      </c>
      <c r="V1001">
        <f>IF($X1001="","",COUNTIFS(상세표[사번키],INDEX(합계표[사번키],$X1001),상세표[반영월],대상월키,상세표[야간당직],1,상세표[야간 구분],"휴일",상세표[반영 기관],"서울병원"))</f>
        <v/>
      </c>
      <c r="W1001">
        <f>IF($X1001="","",IF(ISNUMBER(MATCH(INDEX(합계표[사번키],$X1001)&amp;"|"&amp;대상월키,월별근무지표[키],0)),"직접 입력",IF($L1001="—","—","기관명단")))</f>
        <v/>
      </c>
      <c r="X1001" s="4">
        <f>IFERROR(MATCH(996,합계표[판정순번],0),"")</f>
        <v/>
      </c>
    </row>
    <row r="1002">
      <c r="A1002">
        <f>IF($X1002="","",INDEX(합계표[사번],$X1002)&amp;"")</f>
        <v/>
      </c>
      <c r="B1002">
        <f>IF($X1002="","",INDEX(합계표[성명],$X1002)&amp;"")</f>
        <v/>
      </c>
      <c r="C1002">
        <f>IF($X1002="","",INDEX(합계표[부서],$X1002)&amp;"")</f>
        <v/>
      </c>
      <c r="D1002">
        <f>IF($X1002="","",INDEX(합계표[직위(요약)],$X1002)&amp;"")</f>
        <v/>
      </c>
      <c r="E1002">
        <f>IF($X1002="","",INDEX(합계표[직급 공존],$X1002)&amp;"")</f>
        <v/>
      </c>
      <c r="F1002" s="20">
        <f>IF($X1002="","",SUMIFS(합계표[시스템 합계],합계표[사번키],INDEX(합계표[사번키],$X1002)))</f>
        <v/>
      </c>
      <c r="G1002" s="20">
        <f>IF($X1002="","",SUMIFS(상세표[기록 시간외],상세표[사번키],INDEX(합계표[사번키],$X1002),상세표[기록월],대상월키))</f>
        <v/>
      </c>
      <c r="H1002">
        <f>IF($X1002="","",IF(ABS($F1002-$G1002)&lt;0.01,"일치","불일치(차이 "&amp;TEXT($G1002-$F1002,"0.00")&amp;")"))</f>
        <v/>
      </c>
      <c r="I1002" s="20">
        <f>IF($X1002="","",SUMIFS(상세표[기록 시간외],상세표[사번키],INDEX(합계표[사번키],$X1002),상세표[기록월],대상월키,상세표[반영월],"&lt;&gt;"&amp;대상월키))</f>
        <v/>
      </c>
      <c r="J1002" s="20">
        <f>IF($X1002="","",SUMIFS(상세표[기록 시간외],상세표[사번키],INDEX(합계표[사번키],$X1002),상세표[기록월],"&lt;&gt;"&amp;대상월키,상세표[반영월],대상월키))</f>
        <v/>
      </c>
      <c r="K1002" s="20">
        <f>IF($X1002="","",SUMIFS(상세표[기록 시간외],상세표[사번키],INDEX(합계표[사번키],$X1002),상세표[반영월],대상월키))</f>
        <v/>
      </c>
      <c r="L1002">
        <f>IF($X1002="","",IFERROR(INDEX(월별근무지표[적용 급여병원],MATCH(INDEX(합계표[사번키],$X1002)&amp;"|"&amp;대상월키,월별근무지표[키],0))&amp;"",IF(COUNTIF(기관표[사번키],INDEX(합계표[사번키],$X1002))+COUNTIF(월별근무지표[사번키],INDEX(합계표[사번키],$X1002))&gt;0,IFERROR(INDEX(기관표[급여지급병원(기준월)],MATCH(INDEX(합계표[사번키],$X1002)&amp;"|"&amp;대상월키,기관표[키],0))&amp;"","—"),"—")))</f>
        <v/>
      </c>
      <c r="M1002">
        <f>IF($X1002="","",IF(NOT(COUNTIF(기관표[사번키],INDEX(합계표[사번키],$X1002))+COUNTIF(월별근무지표[사번키],INDEX(합계표[사번키],$X1002))&gt;0),"기관명단에 없음(다른 병원으로 발송)",IF($L1002="서울병원","해당",IF(N($R1002)&gt;0,"해당(말일 근무)",IF($L1002="—","대상월 기관명단 없음(추가 필요)","비해당")))))</f>
        <v/>
      </c>
      <c r="N1002" s="20">
        <f>IF($X1002="","",SUMIFS(상세표[06~07시],상세표[사번키],INDEX(합계표[사번키],$X1002),상세표[반영월],대상월키,상세표[반영 기관],"서울병원"))</f>
        <v/>
      </c>
      <c r="O1002" s="20">
        <f>IF($X1002="","",SUMIFS(상세표[07~18시],상세표[사번키],INDEX(합계표[사번키],$X1002),상세표[반영월],대상월키,상세표[반영 기관],"서울병원"))</f>
        <v/>
      </c>
      <c r="P1002" s="20">
        <f>IF($X1002="","",SUMIFS(상세표[18~22시],상세표[사번키],INDEX(합계표[사번키],$X1002),상세표[반영월],대상월키,상세표[반영 기관],"서울병원"))</f>
        <v/>
      </c>
      <c r="Q1002" s="20">
        <f>IF($X1002="","",SUMIFS(상세표[22~06시],상세표[사번키],INDEX(합계표[사번키],$X1002),상세표[반영월],대상월키,상세표[반영 기관],"서울병원"))</f>
        <v/>
      </c>
      <c r="R1002" s="20">
        <f>IF($X1002="","",SUM($N1002:$Q1002))</f>
        <v/>
      </c>
      <c r="S1002">
        <f>IF($X1002="","",COUNTIFS(상세표[사번키],INDEX(합계표[사번키],$X1002),상세표[반영월],대상월키,상세표[야간당직],1,상세표[야간 구분],"평일"))</f>
        <v/>
      </c>
      <c r="T1002">
        <f>IF($X1002="","",COUNTIFS(상세표[사번키],INDEX(합계표[사번키],$X1002),상세표[반영월],대상월키,상세표[야간당직],1,상세표[야간 구분],"휴일"))</f>
        <v/>
      </c>
      <c r="U1002">
        <f>IF($X1002="","",COUNTIFS(상세표[사번키],INDEX(합계표[사번키],$X1002),상세표[반영월],대상월키,상세표[야간당직],1,상세표[야간 구분],"평일",상세표[반영 기관],"서울병원"))</f>
        <v/>
      </c>
      <c r="V1002">
        <f>IF($X1002="","",COUNTIFS(상세표[사번키],INDEX(합계표[사번키],$X1002),상세표[반영월],대상월키,상세표[야간당직],1,상세표[야간 구분],"휴일",상세표[반영 기관],"서울병원"))</f>
        <v/>
      </c>
      <c r="W1002">
        <f>IF($X1002="","",IF(ISNUMBER(MATCH(INDEX(합계표[사번키],$X1002)&amp;"|"&amp;대상월키,월별근무지표[키],0)),"직접 입력",IF($L1002="—","—","기관명단")))</f>
        <v/>
      </c>
      <c r="X1002" s="4">
        <f>IFERROR(MATCH(997,합계표[판정순번],0),"")</f>
        <v/>
      </c>
    </row>
    <row r="1003">
      <c r="A1003">
        <f>IF($X1003="","",INDEX(합계표[사번],$X1003)&amp;"")</f>
        <v/>
      </c>
      <c r="B1003">
        <f>IF($X1003="","",INDEX(합계표[성명],$X1003)&amp;"")</f>
        <v/>
      </c>
      <c r="C1003">
        <f>IF($X1003="","",INDEX(합계표[부서],$X1003)&amp;"")</f>
        <v/>
      </c>
      <c r="D1003">
        <f>IF($X1003="","",INDEX(합계표[직위(요약)],$X1003)&amp;"")</f>
        <v/>
      </c>
      <c r="E1003">
        <f>IF($X1003="","",INDEX(합계표[직급 공존],$X1003)&amp;"")</f>
        <v/>
      </c>
      <c r="F1003" s="20">
        <f>IF($X1003="","",SUMIFS(합계표[시스템 합계],합계표[사번키],INDEX(합계표[사번키],$X1003)))</f>
        <v/>
      </c>
      <c r="G1003" s="20">
        <f>IF($X1003="","",SUMIFS(상세표[기록 시간외],상세표[사번키],INDEX(합계표[사번키],$X1003),상세표[기록월],대상월키))</f>
        <v/>
      </c>
      <c r="H1003">
        <f>IF($X1003="","",IF(ABS($F1003-$G1003)&lt;0.01,"일치","불일치(차이 "&amp;TEXT($G1003-$F1003,"0.00")&amp;")"))</f>
        <v/>
      </c>
      <c r="I1003" s="20">
        <f>IF($X1003="","",SUMIFS(상세표[기록 시간외],상세표[사번키],INDEX(합계표[사번키],$X1003),상세표[기록월],대상월키,상세표[반영월],"&lt;&gt;"&amp;대상월키))</f>
        <v/>
      </c>
      <c r="J1003" s="20">
        <f>IF($X1003="","",SUMIFS(상세표[기록 시간외],상세표[사번키],INDEX(합계표[사번키],$X1003),상세표[기록월],"&lt;&gt;"&amp;대상월키,상세표[반영월],대상월키))</f>
        <v/>
      </c>
      <c r="K1003" s="20">
        <f>IF($X1003="","",SUMIFS(상세표[기록 시간외],상세표[사번키],INDEX(합계표[사번키],$X1003),상세표[반영월],대상월키))</f>
        <v/>
      </c>
      <c r="L1003">
        <f>IF($X1003="","",IFERROR(INDEX(월별근무지표[적용 급여병원],MATCH(INDEX(합계표[사번키],$X1003)&amp;"|"&amp;대상월키,월별근무지표[키],0))&amp;"",IF(COUNTIF(기관표[사번키],INDEX(합계표[사번키],$X1003))+COUNTIF(월별근무지표[사번키],INDEX(합계표[사번키],$X1003))&gt;0,IFERROR(INDEX(기관표[급여지급병원(기준월)],MATCH(INDEX(합계표[사번키],$X1003)&amp;"|"&amp;대상월키,기관표[키],0))&amp;"","—"),"—")))</f>
        <v/>
      </c>
      <c r="M1003">
        <f>IF($X1003="","",IF(NOT(COUNTIF(기관표[사번키],INDEX(합계표[사번키],$X1003))+COUNTIF(월별근무지표[사번키],INDEX(합계표[사번키],$X1003))&gt;0),"기관명단에 없음(다른 병원으로 발송)",IF($L1003="서울병원","해당",IF(N($R1003)&gt;0,"해당(말일 근무)",IF($L1003="—","대상월 기관명단 없음(추가 필요)","비해당")))))</f>
        <v/>
      </c>
      <c r="N1003" s="20">
        <f>IF($X1003="","",SUMIFS(상세표[06~07시],상세표[사번키],INDEX(합계표[사번키],$X1003),상세표[반영월],대상월키,상세표[반영 기관],"서울병원"))</f>
        <v/>
      </c>
      <c r="O1003" s="20">
        <f>IF($X1003="","",SUMIFS(상세표[07~18시],상세표[사번키],INDEX(합계표[사번키],$X1003),상세표[반영월],대상월키,상세표[반영 기관],"서울병원"))</f>
        <v/>
      </c>
      <c r="P1003" s="20">
        <f>IF($X1003="","",SUMIFS(상세표[18~22시],상세표[사번키],INDEX(합계표[사번키],$X1003),상세표[반영월],대상월키,상세표[반영 기관],"서울병원"))</f>
        <v/>
      </c>
      <c r="Q1003" s="20">
        <f>IF($X1003="","",SUMIFS(상세표[22~06시],상세표[사번키],INDEX(합계표[사번키],$X1003),상세표[반영월],대상월키,상세표[반영 기관],"서울병원"))</f>
        <v/>
      </c>
      <c r="R1003" s="20">
        <f>IF($X1003="","",SUM($N1003:$Q1003))</f>
        <v/>
      </c>
      <c r="S1003">
        <f>IF($X1003="","",COUNTIFS(상세표[사번키],INDEX(합계표[사번키],$X1003),상세표[반영월],대상월키,상세표[야간당직],1,상세표[야간 구분],"평일"))</f>
        <v/>
      </c>
      <c r="T1003">
        <f>IF($X1003="","",COUNTIFS(상세표[사번키],INDEX(합계표[사번키],$X1003),상세표[반영월],대상월키,상세표[야간당직],1,상세표[야간 구분],"휴일"))</f>
        <v/>
      </c>
      <c r="U1003">
        <f>IF($X1003="","",COUNTIFS(상세표[사번키],INDEX(합계표[사번키],$X1003),상세표[반영월],대상월키,상세표[야간당직],1,상세표[야간 구분],"평일",상세표[반영 기관],"서울병원"))</f>
        <v/>
      </c>
      <c r="V1003">
        <f>IF($X1003="","",COUNTIFS(상세표[사번키],INDEX(합계표[사번키],$X1003),상세표[반영월],대상월키,상세표[야간당직],1,상세표[야간 구분],"휴일",상세표[반영 기관],"서울병원"))</f>
        <v/>
      </c>
      <c r="W1003">
        <f>IF($X1003="","",IF(ISNUMBER(MATCH(INDEX(합계표[사번키],$X1003)&amp;"|"&amp;대상월키,월별근무지표[키],0)),"직접 입력",IF($L1003="—","—","기관명단")))</f>
        <v/>
      </c>
      <c r="X1003" s="4">
        <f>IFERROR(MATCH(998,합계표[판정순번],0),"")</f>
        <v/>
      </c>
    </row>
    <row r="1004">
      <c r="A1004">
        <f>IF($X1004="","",INDEX(합계표[사번],$X1004)&amp;"")</f>
        <v/>
      </c>
      <c r="B1004">
        <f>IF($X1004="","",INDEX(합계표[성명],$X1004)&amp;"")</f>
        <v/>
      </c>
      <c r="C1004">
        <f>IF($X1004="","",INDEX(합계표[부서],$X1004)&amp;"")</f>
        <v/>
      </c>
      <c r="D1004">
        <f>IF($X1004="","",INDEX(합계표[직위(요약)],$X1004)&amp;"")</f>
        <v/>
      </c>
      <c r="E1004">
        <f>IF($X1004="","",INDEX(합계표[직급 공존],$X1004)&amp;"")</f>
        <v/>
      </c>
      <c r="F1004" s="20">
        <f>IF($X1004="","",SUMIFS(합계표[시스템 합계],합계표[사번키],INDEX(합계표[사번키],$X1004)))</f>
        <v/>
      </c>
      <c r="G1004" s="20">
        <f>IF($X1004="","",SUMIFS(상세표[기록 시간외],상세표[사번키],INDEX(합계표[사번키],$X1004),상세표[기록월],대상월키))</f>
        <v/>
      </c>
      <c r="H1004">
        <f>IF($X1004="","",IF(ABS($F1004-$G1004)&lt;0.01,"일치","불일치(차이 "&amp;TEXT($G1004-$F1004,"0.00")&amp;")"))</f>
        <v/>
      </c>
      <c r="I1004" s="20">
        <f>IF($X1004="","",SUMIFS(상세표[기록 시간외],상세표[사번키],INDEX(합계표[사번키],$X1004),상세표[기록월],대상월키,상세표[반영월],"&lt;&gt;"&amp;대상월키))</f>
        <v/>
      </c>
      <c r="J1004" s="20">
        <f>IF($X1004="","",SUMIFS(상세표[기록 시간외],상세표[사번키],INDEX(합계표[사번키],$X1004),상세표[기록월],"&lt;&gt;"&amp;대상월키,상세표[반영월],대상월키))</f>
        <v/>
      </c>
      <c r="K1004" s="20">
        <f>IF($X1004="","",SUMIFS(상세표[기록 시간외],상세표[사번키],INDEX(합계표[사번키],$X1004),상세표[반영월],대상월키))</f>
        <v/>
      </c>
      <c r="L1004">
        <f>IF($X1004="","",IFERROR(INDEX(월별근무지표[적용 급여병원],MATCH(INDEX(합계표[사번키],$X1004)&amp;"|"&amp;대상월키,월별근무지표[키],0))&amp;"",IF(COUNTIF(기관표[사번키],INDEX(합계표[사번키],$X1004))+COUNTIF(월별근무지표[사번키],INDEX(합계표[사번키],$X1004))&gt;0,IFERROR(INDEX(기관표[급여지급병원(기준월)],MATCH(INDEX(합계표[사번키],$X1004)&amp;"|"&amp;대상월키,기관표[키],0))&amp;"","—"),"—")))</f>
        <v/>
      </c>
      <c r="M1004">
        <f>IF($X1004="","",IF(NOT(COUNTIF(기관표[사번키],INDEX(합계표[사번키],$X1004))+COUNTIF(월별근무지표[사번키],INDEX(합계표[사번키],$X1004))&gt;0),"기관명단에 없음(다른 병원으로 발송)",IF($L1004="서울병원","해당",IF(N($R1004)&gt;0,"해당(말일 근무)",IF($L1004="—","대상월 기관명단 없음(추가 필요)","비해당")))))</f>
        <v/>
      </c>
      <c r="N1004" s="20">
        <f>IF($X1004="","",SUMIFS(상세표[06~07시],상세표[사번키],INDEX(합계표[사번키],$X1004),상세표[반영월],대상월키,상세표[반영 기관],"서울병원"))</f>
        <v/>
      </c>
      <c r="O1004" s="20">
        <f>IF($X1004="","",SUMIFS(상세표[07~18시],상세표[사번키],INDEX(합계표[사번키],$X1004),상세표[반영월],대상월키,상세표[반영 기관],"서울병원"))</f>
        <v/>
      </c>
      <c r="P1004" s="20">
        <f>IF($X1004="","",SUMIFS(상세표[18~22시],상세표[사번키],INDEX(합계표[사번키],$X1004),상세표[반영월],대상월키,상세표[반영 기관],"서울병원"))</f>
        <v/>
      </c>
      <c r="Q1004" s="20">
        <f>IF($X1004="","",SUMIFS(상세표[22~06시],상세표[사번키],INDEX(합계표[사번키],$X1004),상세표[반영월],대상월키,상세표[반영 기관],"서울병원"))</f>
        <v/>
      </c>
      <c r="R1004" s="20">
        <f>IF($X1004="","",SUM($N1004:$Q1004))</f>
        <v/>
      </c>
      <c r="S1004">
        <f>IF($X1004="","",COUNTIFS(상세표[사번키],INDEX(합계표[사번키],$X1004),상세표[반영월],대상월키,상세표[야간당직],1,상세표[야간 구분],"평일"))</f>
        <v/>
      </c>
      <c r="T1004">
        <f>IF($X1004="","",COUNTIFS(상세표[사번키],INDEX(합계표[사번키],$X1004),상세표[반영월],대상월키,상세표[야간당직],1,상세표[야간 구분],"휴일"))</f>
        <v/>
      </c>
      <c r="U1004">
        <f>IF($X1004="","",COUNTIFS(상세표[사번키],INDEX(합계표[사번키],$X1004),상세표[반영월],대상월키,상세표[야간당직],1,상세표[야간 구분],"평일",상세표[반영 기관],"서울병원"))</f>
        <v/>
      </c>
      <c r="V1004">
        <f>IF($X1004="","",COUNTIFS(상세표[사번키],INDEX(합계표[사번키],$X1004),상세표[반영월],대상월키,상세표[야간당직],1,상세표[야간 구분],"휴일",상세표[반영 기관],"서울병원"))</f>
        <v/>
      </c>
      <c r="W1004">
        <f>IF($X1004="","",IF(ISNUMBER(MATCH(INDEX(합계표[사번키],$X1004)&amp;"|"&amp;대상월키,월별근무지표[키],0)),"직접 입력",IF($L1004="—","—","기관명단")))</f>
        <v/>
      </c>
      <c r="X1004" s="4">
        <f>IFERROR(MATCH(999,합계표[판정순번],0),"")</f>
        <v/>
      </c>
    </row>
    <row r="1005">
      <c r="A1005">
        <f>IF($X1005="","",INDEX(합계표[사번],$X1005)&amp;"")</f>
        <v/>
      </c>
      <c r="B1005">
        <f>IF($X1005="","",INDEX(합계표[성명],$X1005)&amp;"")</f>
        <v/>
      </c>
      <c r="C1005">
        <f>IF($X1005="","",INDEX(합계표[부서],$X1005)&amp;"")</f>
        <v/>
      </c>
      <c r="D1005">
        <f>IF($X1005="","",INDEX(합계표[직위(요약)],$X1005)&amp;"")</f>
        <v/>
      </c>
      <c r="E1005">
        <f>IF($X1005="","",INDEX(합계표[직급 공존],$X1005)&amp;"")</f>
        <v/>
      </c>
      <c r="F1005" s="20">
        <f>IF($X1005="","",SUMIFS(합계표[시스템 합계],합계표[사번키],INDEX(합계표[사번키],$X1005)))</f>
        <v/>
      </c>
      <c r="G1005" s="20">
        <f>IF($X1005="","",SUMIFS(상세표[기록 시간외],상세표[사번키],INDEX(합계표[사번키],$X1005),상세표[기록월],대상월키))</f>
        <v/>
      </c>
      <c r="H1005">
        <f>IF($X1005="","",IF(ABS($F1005-$G1005)&lt;0.01,"일치","불일치(차이 "&amp;TEXT($G1005-$F1005,"0.00")&amp;")"))</f>
        <v/>
      </c>
      <c r="I1005" s="20">
        <f>IF($X1005="","",SUMIFS(상세표[기록 시간외],상세표[사번키],INDEX(합계표[사번키],$X1005),상세표[기록월],대상월키,상세표[반영월],"&lt;&gt;"&amp;대상월키))</f>
        <v/>
      </c>
      <c r="J1005" s="20">
        <f>IF($X1005="","",SUMIFS(상세표[기록 시간외],상세표[사번키],INDEX(합계표[사번키],$X1005),상세표[기록월],"&lt;&gt;"&amp;대상월키,상세표[반영월],대상월키))</f>
        <v/>
      </c>
      <c r="K1005" s="20">
        <f>IF($X1005="","",SUMIFS(상세표[기록 시간외],상세표[사번키],INDEX(합계표[사번키],$X1005),상세표[반영월],대상월키))</f>
        <v/>
      </c>
      <c r="L1005">
        <f>IF($X1005="","",IFERROR(INDEX(월별근무지표[적용 급여병원],MATCH(INDEX(합계표[사번키],$X1005)&amp;"|"&amp;대상월키,월별근무지표[키],0))&amp;"",IF(COUNTIF(기관표[사번키],INDEX(합계표[사번키],$X1005))+COUNTIF(월별근무지표[사번키],INDEX(합계표[사번키],$X1005))&gt;0,IFERROR(INDEX(기관표[급여지급병원(기준월)],MATCH(INDEX(합계표[사번키],$X1005)&amp;"|"&amp;대상월키,기관표[키],0))&amp;"","—"),"—")))</f>
        <v/>
      </c>
      <c r="M1005">
        <f>IF($X1005="","",IF(NOT(COUNTIF(기관표[사번키],INDEX(합계표[사번키],$X1005))+COUNTIF(월별근무지표[사번키],INDEX(합계표[사번키],$X1005))&gt;0),"기관명단에 없음(다른 병원으로 발송)",IF($L1005="서울병원","해당",IF(N($R1005)&gt;0,"해당(말일 근무)",IF($L1005="—","대상월 기관명단 없음(추가 필요)","비해당")))))</f>
        <v/>
      </c>
      <c r="N1005" s="20">
        <f>IF($X1005="","",SUMIFS(상세표[06~07시],상세표[사번키],INDEX(합계표[사번키],$X1005),상세표[반영월],대상월키,상세표[반영 기관],"서울병원"))</f>
        <v/>
      </c>
      <c r="O1005" s="20">
        <f>IF($X1005="","",SUMIFS(상세표[07~18시],상세표[사번키],INDEX(합계표[사번키],$X1005),상세표[반영월],대상월키,상세표[반영 기관],"서울병원"))</f>
        <v/>
      </c>
      <c r="P1005" s="20">
        <f>IF($X1005="","",SUMIFS(상세표[18~22시],상세표[사번키],INDEX(합계표[사번키],$X1005),상세표[반영월],대상월키,상세표[반영 기관],"서울병원"))</f>
        <v/>
      </c>
      <c r="Q1005" s="20">
        <f>IF($X1005="","",SUMIFS(상세표[22~06시],상세표[사번키],INDEX(합계표[사번키],$X1005),상세표[반영월],대상월키,상세표[반영 기관],"서울병원"))</f>
        <v/>
      </c>
      <c r="R1005" s="20">
        <f>IF($X1005="","",SUM($N1005:$Q1005))</f>
        <v/>
      </c>
      <c r="S1005">
        <f>IF($X1005="","",COUNTIFS(상세표[사번키],INDEX(합계표[사번키],$X1005),상세표[반영월],대상월키,상세표[야간당직],1,상세표[야간 구분],"평일"))</f>
        <v/>
      </c>
      <c r="T1005">
        <f>IF($X1005="","",COUNTIFS(상세표[사번키],INDEX(합계표[사번키],$X1005),상세표[반영월],대상월키,상세표[야간당직],1,상세표[야간 구분],"휴일"))</f>
        <v/>
      </c>
      <c r="U1005">
        <f>IF($X1005="","",COUNTIFS(상세표[사번키],INDEX(합계표[사번키],$X1005),상세표[반영월],대상월키,상세표[야간당직],1,상세표[야간 구분],"평일",상세표[반영 기관],"서울병원"))</f>
        <v/>
      </c>
      <c r="V1005">
        <f>IF($X1005="","",COUNTIFS(상세표[사번키],INDEX(합계표[사번키],$X1005),상세표[반영월],대상월키,상세표[야간당직],1,상세표[야간 구분],"휴일",상세표[반영 기관],"서울병원"))</f>
        <v/>
      </c>
      <c r="W1005">
        <f>IF($X1005="","",IF(ISNUMBER(MATCH(INDEX(합계표[사번키],$X1005)&amp;"|"&amp;대상월키,월별근무지표[키],0)),"직접 입력",IF($L1005="—","—","기관명단")))</f>
        <v/>
      </c>
      <c r="X1005" s="4">
        <f>IFERROR(MATCH(1000,합계표[판정순번],0),"")</f>
        <v/>
      </c>
    </row>
  </sheetData>
  <conditionalFormatting sqref="R3">
    <cfRule type="expression" priority="1" dxfId="4">
      <formula>R3&gt;0</formula>
    </cfRule>
  </conditionalFormatting>
  <conditionalFormatting sqref="P3">
    <cfRule type="expression" priority="2" dxfId="6">
      <formula>P3&gt;0</formula>
    </cfRule>
  </conditionalFormatting>
  <conditionalFormatting sqref="H3">
    <cfRule type="expression" priority="3" dxfId="1">
      <formula>H3&gt;0</formula>
    </cfRule>
  </conditionalFormatting>
  <conditionalFormatting sqref="L3">
    <cfRule type="expression" priority="4" dxfId="1">
      <formula>L3&gt;0</formula>
    </cfRule>
  </conditionalFormatting>
  <conditionalFormatting sqref="J3">
    <cfRule type="expression" priority="5" dxfId="7">
      <formula>J3&gt;0</formula>
    </cfRule>
  </conditionalFormatting>
  <conditionalFormatting sqref="A6:W1005">
    <cfRule type="expression" priority="6" dxfId="8">
      <formula>$M6="비해당"</formula>
    </cfRule>
    <cfRule type="expression" priority="7" dxfId="9">
      <formula>LEFT($M6,7)="기관명단에 없"</formula>
    </cfRule>
  </conditionalFormatting>
  <conditionalFormatting sqref="M6:M1005">
    <cfRule type="expression" priority="8" dxfId="1">
      <formula>LEFT($M6,6)="대상월 기관"</formula>
    </cfRule>
    <cfRule type="expression" priority="11" dxfId="10">
      <formula>LEFT($M6,2)="해당"</formula>
    </cfRule>
  </conditionalFormatting>
  <conditionalFormatting sqref="H6:H1005">
    <cfRule type="expression" priority="9" dxfId="0">
      <formula>LEFT($H6,3)="불일치"</formula>
    </cfRule>
  </conditionalFormatting>
  <conditionalFormatting sqref="I6:J1005">
    <cfRule type="expression" priority="10" dxfId="11">
      <formula>AND(ISNUMBER(I6),I6&lt;&gt;0)</formula>
    </cfRule>
  </conditionalFormatting>
  <conditionalFormatting sqref="W6:W1005">
    <cfRule type="expression" priority="12" dxfId="5">
      <formula>$W6="직접 입력"</formula>
    </cfRule>
  </conditionalFormatting>
  <conditionalFormatting sqref="D6:E1005">
    <cfRule type="expression" priority="13" dxfId="12">
      <formula>$E6&lt;&gt;""</formula>
    </cfRule>
  </conditionalFormatting>
  <conditionalFormatting sqref="T6:T1005">
    <cfRule type="expression" priority="14" dxfId="3">
      <formula>AND(ISNUMBER($T6),$T6&gt;0)</formula>
    </cfRule>
  </conditionalFormatting>
  <conditionalFormatting sqref="V6:V1005">
    <cfRule type="expression" priority="15" dxfId="3">
      <formula>AND(ISNUMBER($V6),$V6&gt;0)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U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6" customWidth="1" min="4" max="4"/>
    <col width="8" customWidth="1" min="5" max="5"/>
    <col width="9" customWidth="1" min="6" max="6"/>
    <col width="9" customWidth="1" min="7" max="7"/>
    <col width="6" customWidth="1" min="8" max="8"/>
    <col width="3" customWidth="1" min="9" max="9"/>
    <col width="10" customWidth="1" min="10" max="10"/>
    <col width="8" customWidth="1" min="11" max="11"/>
    <col width="10" customWidth="1" min="12" max="12"/>
    <col width="11" customWidth="1" min="13" max="13"/>
    <col width="16" customWidth="1" min="14" max="14"/>
    <col width="16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</cols>
  <sheetData>
    <row r="1">
      <c r="A1" s="1" t="inlineStr">
        <is>
          <t>기관명단에 없는 시간외 근무자 — 다른 병원으로 발송</t>
        </is>
      </c>
    </row>
    <row r="2">
      <c r="A2" s="4" t="inlineStr">
        <is>
          <t>※ 자동 목록(입력 금지). 대상월에 기록(또는 반영)이 있는데 입력_기관명단에 사번이 한 번도 없는 사람입니다(같은 사번은 직위가 달라도 한 사람). 왼쪽은 사람별 합계(최대 300명), 오른쪽은 발송할 상세 기록(최대 2000건)입니다. 우리 기관 사람인데 여기 나오면 기관명단을 확인하세요.</t>
        </is>
      </c>
    </row>
    <row r="3">
      <c r="A3" s="16" t="inlineStr">
        <is>
          <t>발송 대상 인원</t>
        </is>
      </c>
      <c r="B3" s="17">
        <f>SUM(상세표[발송첫행])</f>
        <v/>
      </c>
      <c r="C3" s="16" t="inlineStr">
        <is>
          <t>발송 기록 수</t>
        </is>
      </c>
      <c r="D3" s="17">
        <f>SUM(상세표[발송표시])</f>
        <v/>
      </c>
      <c r="E3" s="18">
        <f>IF(OR(B3&gt;300,D3&gt;2000),"⚠ 표시 한도 초과","")</f>
        <v/>
      </c>
    </row>
    <row r="4"/>
    <row r="5" ht="30" customHeight="1">
      <c r="A5" s="21" t="inlineStr">
        <is>
          <t>사번</t>
        </is>
      </c>
      <c r="B5" s="21" t="inlineStr">
        <is>
          <t>성명</t>
        </is>
      </c>
      <c r="C5" s="21" t="inlineStr">
        <is>
          <t>부서</t>
        </is>
      </c>
      <c r="D5" s="21" t="inlineStr">
        <is>
          <t>직위</t>
        </is>
      </c>
      <c r="E5" s="21" t="inlineStr">
        <is>
          <t>대상월 기록 수</t>
        </is>
      </c>
      <c r="F5" s="21" t="inlineStr">
        <is>
          <t>대상월 상세 시간</t>
        </is>
      </c>
      <c r="G5" s="21" t="inlineStr">
        <is>
          <t>시스템 합계</t>
        </is>
      </c>
      <c r="H5" s="19" t="inlineStr">
        <is>
          <t>(행)</t>
        </is>
      </c>
      <c r="J5" s="21" t="inlineStr">
        <is>
          <t>사번</t>
        </is>
      </c>
      <c r="K5" s="21" t="inlineStr">
        <is>
          <t>성명</t>
        </is>
      </c>
      <c r="L5" s="21" t="inlineStr">
        <is>
          <t>직위</t>
        </is>
      </c>
      <c r="M5" s="21" t="inlineStr">
        <is>
          <t>근무일자</t>
        </is>
      </c>
      <c r="N5" s="21" t="inlineStr">
        <is>
          <t>시작</t>
        </is>
      </c>
      <c r="O5" s="21" t="inlineStr">
        <is>
          <t>종료</t>
        </is>
      </c>
      <c r="P5" s="21" t="inlineStr">
        <is>
          <t>06~07시</t>
        </is>
      </c>
      <c r="Q5" s="21" t="inlineStr">
        <is>
          <t>07~18시</t>
        </is>
      </c>
      <c r="R5" s="21" t="inlineStr">
        <is>
          <t>18~22시</t>
        </is>
      </c>
      <c r="S5" s="21" t="inlineStr">
        <is>
          <t>22~06시</t>
        </is>
      </c>
      <c r="T5" s="21" t="inlineStr">
        <is>
          <t>시간외 합계</t>
        </is>
      </c>
      <c r="U5" s="19" t="inlineStr">
        <is>
          <t>(행)</t>
        </is>
      </c>
    </row>
    <row r="6">
      <c r="A6">
        <f>IF($H6="",IF(SUM(상세표[발송첫행])=0,"발송 대상 없음",""),INDEX(상세표[사번],$H6)&amp;"")</f>
        <v/>
      </c>
      <c r="B6">
        <f>IF($H6="","",INDEX(상세표[성명],$H6)&amp;"")</f>
        <v/>
      </c>
      <c r="C6">
        <f>IF($H6="","",INDEX(상세표[부서],$H6)&amp;"")</f>
        <v/>
      </c>
      <c r="D6">
        <f>IF($H6="","",IF(IFERROR(INDEX(합계표[직위(요약)],MATCH(INDEX(상세표[사번키],$H6),합계표[사번키],0))&amp;IF(INDEX(합계표[직급 공존],MATCH(INDEX(상세표[사번키],$H6),합계표[사번키],0))="",""," ("&amp;INDEX(합계표[직급 공존],MATCH(INDEX(상세표[사번키],$H6),합계표[사번키],0))&amp;")"),"")="",INDEX(상세표[직위],$H6)&amp;"",IFERROR(INDEX(합계표[직위(요약)],MATCH(INDEX(상세표[사번키],$H6),합계표[사번키],0))&amp;IF(INDEX(합계표[직급 공존],MATCH(INDEX(상세표[사번키],$H6),합계표[사번키],0))="",""," ("&amp;INDEX(합계표[직급 공존],MATCH(INDEX(상세표[사번키],$H6),합계표[사번키],0))&amp;")"),"")))</f>
        <v/>
      </c>
      <c r="E6">
        <f>IF($H6="","",COUNTIFS(상세표[사번키],INDEX(상세표[사번키],$H6),상세표[기록월],대상월키))</f>
        <v/>
      </c>
      <c r="F6" s="20">
        <f>IF($H6="","",SUMIFS(상세표[기록 시간외],상세표[사번키],INDEX(상세표[사번키],$H6),상세표[기록월],대상월키))</f>
        <v/>
      </c>
      <c r="G6" s="20">
        <f>IF($H6="","",SUMIFS(합계표[시스템 합계],합계표[사번키],INDEX(상세표[사번키],$H6)))</f>
        <v/>
      </c>
      <c r="H6" s="4">
        <f>IFERROR(MATCH(1,상세표[발송인원순번],0),"")</f>
        <v/>
      </c>
      <c r="J6">
        <f>IF($U6="","",INDEX(상세표[사번],$U6)&amp;"")</f>
        <v/>
      </c>
      <c r="K6">
        <f>IF($U6="","",INDEX(상세표[성명],$U6)&amp;"")</f>
        <v/>
      </c>
      <c r="L6">
        <f>IF($U6="","",INDEX(상세표[직위],$U6)&amp;"")</f>
        <v/>
      </c>
      <c r="M6">
        <f>IF($U6="","",IF(ISNUMBER(INDEX(상세표[근무일자],$U6)),TEXT(INDEX(상세표[근무일자],$U6),"yyyy-mm-dd"),INDEX(상세표[근무일자],$U6)&amp;""))</f>
        <v/>
      </c>
      <c r="N6">
        <f>IF($U6="","",IF(ISNUMBER(INDEX(상세표[시작],$U6)),TEXT(INDEX(상세표[시작],$U6),"yyyy-mm-dd hh:mm"),INDEX(상세표[시작],$U6)&amp;""))</f>
        <v/>
      </c>
      <c r="O6">
        <f>IF($U6="","",IF(ISNUMBER(INDEX(상세표[종료],$U6)),TEXT(INDEX(상세표[종료],$U6),"yyyy-mm-dd hh:mm"),INDEX(상세표[종료],$U6)&amp;""))</f>
        <v/>
      </c>
      <c r="P6" s="20">
        <f>IF($U6="","",INDEX(상세표[06~07시],$U6))</f>
        <v/>
      </c>
      <c r="Q6" s="20">
        <f>IF($U6="","",INDEX(상세표[07~18시],$U6))</f>
        <v/>
      </c>
      <c r="R6" s="20">
        <f>IF($U6="","",INDEX(상세표[18~22시],$U6))</f>
        <v/>
      </c>
      <c r="S6" s="20">
        <f>IF($U6="","",INDEX(상세표[22~06시],$U6))</f>
        <v/>
      </c>
      <c r="T6" s="20">
        <f>IF($U6="","",INDEX(상세표[기록 시간외],$U6))</f>
        <v/>
      </c>
      <c r="U6" s="4">
        <f>IFERROR(MATCH(1,상세표[발송순번],0),"")</f>
        <v/>
      </c>
    </row>
    <row r="7">
      <c r="A7">
        <f>IF($H7="","",INDEX(상세표[사번],$H7)&amp;"")</f>
        <v/>
      </c>
      <c r="B7">
        <f>IF($H7="","",INDEX(상세표[성명],$H7)&amp;"")</f>
        <v/>
      </c>
      <c r="C7">
        <f>IF($H7="","",INDEX(상세표[부서],$H7)&amp;"")</f>
        <v/>
      </c>
      <c r="D7">
        <f>IF($H7="","",IF(IFERROR(INDEX(합계표[직위(요약)],MATCH(INDEX(상세표[사번키],$H7),합계표[사번키],0))&amp;IF(INDEX(합계표[직급 공존],MATCH(INDEX(상세표[사번키],$H7),합계표[사번키],0))="",""," ("&amp;INDEX(합계표[직급 공존],MATCH(INDEX(상세표[사번키],$H7),합계표[사번키],0))&amp;")"),"")="",INDEX(상세표[직위],$H7)&amp;"",IFERROR(INDEX(합계표[직위(요약)],MATCH(INDEX(상세표[사번키],$H7),합계표[사번키],0))&amp;IF(INDEX(합계표[직급 공존],MATCH(INDEX(상세표[사번키],$H7),합계표[사번키],0))="",""," ("&amp;INDEX(합계표[직급 공존],MATCH(INDEX(상세표[사번키],$H7),합계표[사번키],0))&amp;")"),"")))</f>
        <v/>
      </c>
      <c r="E7">
        <f>IF($H7="","",COUNTIFS(상세표[사번키],INDEX(상세표[사번키],$H7),상세표[기록월],대상월키))</f>
        <v/>
      </c>
      <c r="F7" s="20">
        <f>IF($H7="","",SUMIFS(상세표[기록 시간외],상세표[사번키],INDEX(상세표[사번키],$H7),상세표[기록월],대상월키))</f>
        <v/>
      </c>
      <c r="G7" s="20">
        <f>IF($H7="","",SUMIFS(합계표[시스템 합계],합계표[사번키],INDEX(상세표[사번키],$H7)))</f>
        <v/>
      </c>
      <c r="H7" s="4">
        <f>IFERROR(MATCH(2,상세표[발송인원순번],0),"")</f>
        <v/>
      </c>
      <c r="J7">
        <f>IF($U7="","",INDEX(상세표[사번],$U7)&amp;"")</f>
        <v/>
      </c>
      <c r="K7">
        <f>IF($U7="","",INDEX(상세표[성명],$U7)&amp;"")</f>
        <v/>
      </c>
      <c r="L7">
        <f>IF($U7="","",INDEX(상세표[직위],$U7)&amp;"")</f>
        <v/>
      </c>
      <c r="M7">
        <f>IF($U7="","",IF(ISNUMBER(INDEX(상세표[근무일자],$U7)),TEXT(INDEX(상세표[근무일자],$U7),"yyyy-mm-dd"),INDEX(상세표[근무일자],$U7)&amp;""))</f>
        <v/>
      </c>
      <c r="N7">
        <f>IF($U7="","",IF(ISNUMBER(INDEX(상세표[시작],$U7)),TEXT(INDEX(상세표[시작],$U7),"yyyy-mm-dd hh:mm"),INDEX(상세표[시작],$U7)&amp;""))</f>
        <v/>
      </c>
      <c r="O7">
        <f>IF($U7="","",IF(ISNUMBER(INDEX(상세표[종료],$U7)),TEXT(INDEX(상세표[종료],$U7),"yyyy-mm-dd hh:mm"),INDEX(상세표[종료],$U7)&amp;""))</f>
        <v/>
      </c>
      <c r="P7" s="20">
        <f>IF($U7="","",INDEX(상세표[06~07시],$U7))</f>
        <v/>
      </c>
      <c r="Q7" s="20">
        <f>IF($U7="","",INDEX(상세표[07~18시],$U7))</f>
        <v/>
      </c>
      <c r="R7" s="20">
        <f>IF($U7="","",INDEX(상세표[18~22시],$U7))</f>
        <v/>
      </c>
      <c r="S7" s="20">
        <f>IF($U7="","",INDEX(상세표[22~06시],$U7))</f>
        <v/>
      </c>
      <c r="T7" s="20">
        <f>IF($U7="","",INDEX(상세표[기록 시간외],$U7))</f>
        <v/>
      </c>
      <c r="U7" s="4">
        <f>IFERROR(MATCH(2,상세표[발송순번],0),"")</f>
        <v/>
      </c>
    </row>
    <row r="8">
      <c r="A8">
        <f>IF($H8="","",INDEX(상세표[사번],$H8)&amp;"")</f>
        <v/>
      </c>
      <c r="B8">
        <f>IF($H8="","",INDEX(상세표[성명],$H8)&amp;"")</f>
        <v/>
      </c>
      <c r="C8">
        <f>IF($H8="","",INDEX(상세표[부서],$H8)&amp;"")</f>
        <v/>
      </c>
      <c r="D8">
        <f>IF($H8="","",IF(IFERROR(INDEX(합계표[직위(요약)],MATCH(INDEX(상세표[사번키],$H8),합계표[사번키],0))&amp;IF(INDEX(합계표[직급 공존],MATCH(INDEX(상세표[사번키],$H8),합계표[사번키],0))="",""," ("&amp;INDEX(합계표[직급 공존],MATCH(INDEX(상세표[사번키],$H8),합계표[사번키],0))&amp;")"),"")="",INDEX(상세표[직위],$H8)&amp;"",IFERROR(INDEX(합계표[직위(요약)],MATCH(INDEX(상세표[사번키],$H8),합계표[사번키],0))&amp;IF(INDEX(합계표[직급 공존],MATCH(INDEX(상세표[사번키],$H8),합계표[사번키],0))="",""," ("&amp;INDEX(합계표[직급 공존],MATCH(INDEX(상세표[사번키],$H8),합계표[사번키],0))&amp;")"),"")))</f>
        <v/>
      </c>
      <c r="E8">
        <f>IF($H8="","",COUNTIFS(상세표[사번키],INDEX(상세표[사번키],$H8),상세표[기록월],대상월키))</f>
        <v/>
      </c>
      <c r="F8" s="20">
        <f>IF($H8="","",SUMIFS(상세표[기록 시간외],상세표[사번키],INDEX(상세표[사번키],$H8),상세표[기록월],대상월키))</f>
        <v/>
      </c>
      <c r="G8" s="20">
        <f>IF($H8="","",SUMIFS(합계표[시스템 합계],합계표[사번키],INDEX(상세표[사번키],$H8)))</f>
        <v/>
      </c>
      <c r="H8" s="4">
        <f>IFERROR(MATCH(3,상세표[발송인원순번],0),"")</f>
        <v/>
      </c>
      <c r="J8">
        <f>IF($U8="","",INDEX(상세표[사번],$U8)&amp;"")</f>
        <v/>
      </c>
      <c r="K8">
        <f>IF($U8="","",INDEX(상세표[성명],$U8)&amp;"")</f>
        <v/>
      </c>
      <c r="L8">
        <f>IF($U8="","",INDEX(상세표[직위],$U8)&amp;"")</f>
        <v/>
      </c>
      <c r="M8">
        <f>IF($U8="","",IF(ISNUMBER(INDEX(상세표[근무일자],$U8)),TEXT(INDEX(상세표[근무일자],$U8),"yyyy-mm-dd"),INDEX(상세표[근무일자],$U8)&amp;""))</f>
        <v/>
      </c>
      <c r="N8">
        <f>IF($U8="","",IF(ISNUMBER(INDEX(상세표[시작],$U8)),TEXT(INDEX(상세표[시작],$U8),"yyyy-mm-dd hh:mm"),INDEX(상세표[시작],$U8)&amp;""))</f>
        <v/>
      </c>
      <c r="O8">
        <f>IF($U8="","",IF(ISNUMBER(INDEX(상세표[종료],$U8)),TEXT(INDEX(상세표[종료],$U8),"yyyy-mm-dd hh:mm"),INDEX(상세표[종료],$U8)&amp;""))</f>
        <v/>
      </c>
      <c r="P8" s="20">
        <f>IF($U8="","",INDEX(상세표[06~07시],$U8))</f>
        <v/>
      </c>
      <c r="Q8" s="20">
        <f>IF($U8="","",INDEX(상세표[07~18시],$U8))</f>
        <v/>
      </c>
      <c r="R8" s="20">
        <f>IF($U8="","",INDEX(상세표[18~22시],$U8))</f>
        <v/>
      </c>
      <c r="S8" s="20">
        <f>IF($U8="","",INDEX(상세표[22~06시],$U8))</f>
        <v/>
      </c>
      <c r="T8" s="20">
        <f>IF($U8="","",INDEX(상세표[기록 시간외],$U8))</f>
        <v/>
      </c>
      <c r="U8" s="4">
        <f>IFERROR(MATCH(3,상세표[발송순번],0),"")</f>
        <v/>
      </c>
    </row>
    <row r="9">
      <c r="A9">
        <f>IF($H9="","",INDEX(상세표[사번],$H9)&amp;"")</f>
        <v/>
      </c>
      <c r="B9">
        <f>IF($H9="","",INDEX(상세표[성명],$H9)&amp;"")</f>
        <v/>
      </c>
      <c r="C9">
        <f>IF($H9="","",INDEX(상세표[부서],$H9)&amp;"")</f>
        <v/>
      </c>
      <c r="D9">
        <f>IF($H9="","",IF(IFERROR(INDEX(합계표[직위(요약)],MATCH(INDEX(상세표[사번키],$H9),합계표[사번키],0))&amp;IF(INDEX(합계표[직급 공존],MATCH(INDEX(상세표[사번키],$H9),합계표[사번키],0))="",""," ("&amp;INDEX(합계표[직급 공존],MATCH(INDEX(상세표[사번키],$H9),합계표[사번키],0))&amp;")"),"")="",INDEX(상세표[직위],$H9)&amp;"",IFERROR(INDEX(합계표[직위(요약)],MATCH(INDEX(상세표[사번키],$H9),합계표[사번키],0))&amp;IF(INDEX(합계표[직급 공존],MATCH(INDEX(상세표[사번키],$H9),합계표[사번키],0))="",""," ("&amp;INDEX(합계표[직급 공존],MATCH(INDEX(상세표[사번키],$H9),합계표[사번키],0))&amp;")"),"")))</f>
        <v/>
      </c>
      <c r="E9">
        <f>IF($H9="","",COUNTIFS(상세표[사번키],INDEX(상세표[사번키],$H9),상세표[기록월],대상월키))</f>
        <v/>
      </c>
      <c r="F9" s="20">
        <f>IF($H9="","",SUMIFS(상세표[기록 시간외],상세표[사번키],INDEX(상세표[사번키],$H9),상세표[기록월],대상월키))</f>
        <v/>
      </c>
      <c r="G9" s="20">
        <f>IF($H9="","",SUMIFS(합계표[시스템 합계],합계표[사번키],INDEX(상세표[사번키],$H9)))</f>
        <v/>
      </c>
      <c r="H9" s="4">
        <f>IFERROR(MATCH(4,상세표[발송인원순번],0),"")</f>
        <v/>
      </c>
      <c r="J9">
        <f>IF($U9="","",INDEX(상세표[사번],$U9)&amp;"")</f>
        <v/>
      </c>
      <c r="K9">
        <f>IF($U9="","",INDEX(상세표[성명],$U9)&amp;"")</f>
        <v/>
      </c>
      <c r="L9">
        <f>IF($U9="","",INDEX(상세표[직위],$U9)&amp;"")</f>
        <v/>
      </c>
      <c r="M9">
        <f>IF($U9="","",IF(ISNUMBER(INDEX(상세표[근무일자],$U9)),TEXT(INDEX(상세표[근무일자],$U9),"yyyy-mm-dd"),INDEX(상세표[근무일자],$U9)&amp;""))</f>
        <v/>
      </c>
      <c r="N9">
        <f>IF($U9="","",IF(ISNUMBER(INDEX(상세표[시작],$U9)),TEXT(INDEX(상세표[시작],$U9),"yyyy-mm-dd hh:mm"),INDEX(상세표[시작],$U9)&amp;""))</f>
        <v/>
      </c>
      <c r="O9">
        <f>IF($U9="","",IF(ISNUMBER(INDEX(상세표[종료],$U9)),TEXT(INDEX(상세표[종료],$U9),"yyyy-mm-dd hh:mm"),INDEX(상세표[종료],$U9)&amp;""))</f>
        <v/>
      </c>
      <c r="P9" s="20">
        <f>IF($U9="","",INDEX(상세표[06~07시],$U9))</f>
        <v/>
      </c>
      <c r="Q9" s="20">
        <f>IF($U9="","",INDEX(상세표[07~18시],$U9))</f>
        <v/>
      </c>
      <c r="R9" s="20">
        <f>IF($U9="","",INDEX(상세표[18~22시],$U9))</f>
        <v/>
      </c>
      <c r="S9" s="20">
        <f>IF($U9="","",INDEX(상세표[22~06시],$U9))</f>
        <v/>
      </c>
      <c r="T9" s="20">
        <f>IF($U9="","",INDEX(상세표[기록 시간외],$U9))</f>
        <v/>
      </c>
      <c r="U9" s="4">
        <f>IFERROR(MATCH(4,상세표[발송순번],0),"")</f>
        <v/>
      </c>
    </row>
    <row r="10">
      <c r="A10">
        <f>IF($H10="","",INDEX(상세표[사번],$H10)&amp;"")</f>
        <v/>
      </c>
      <c r="B10">
        <f>IF($H10="","",INDEX(상세표[성명],$H10)&amp;"")</f>
        <v/>
      </c>
      <c r="C10">
        <f>IF($H10="","",INDEX(상세표[부서],$H10)&amp;"")</f>
        <v/>
      </c>
      <c r="D10">
        <f>IF($H10="","",IF(IFERROR(INDEX(합계표[직위(요약)],MATCH(INDEX(상세표[사번키],$H10),합계표[사번키],0))&amp;IF(INDEX(합계표[직급 공존],MATCH(INDEX(상세표[사번키],$H10),합계표[사번키],0))="",""," ("&amp;INDEX(합계표[직급 공존],MATCH(INDEX(상세표[사번키],$H10),합계표[사번키],0))&amp;")"),"")="",INDEX(상세표[직위],$H10)&amp;"",IFERROR(INDEX(합계표[직위(요약)],MATCH(INDEX(상세표[사번키],$H10),합계표[사번키],0))&amp;IF(INDEX(합계표[직급 공존],MATCH(INDEX(상세표[사번키],$H10),합계표[사번키],0))="",""," ("&amp;INDEX(합계표[직급 공존],MATCH(INDEX(상세표[사번키],$H10),합계표[사번키],0))&amp;")"),"")))</f>
        <v/>
      </c>
      <c r="E10">
        <f>IF($H10="","",COUNTIFS(상세표[사번키],INDEX(상세표[사번키],$H10),상세표[기록월],대상월키))</f>
        <v/>
      </c>
      <c r="F10" s="20">
        <f>IF($H10="","",SUMIFS(상세표[기록 시간외],상세표[사번키],INDEX(상세표[사번키],$H10),상세표[기록월],대상월키))</f>
        <v/>
      </c>
      <c r="G10" s="20">
        <f>IF($H10="","",SUMIFS(합계표[시스템 합계],합계표[사번키],INDEX(상세표[사번키],$H10)))</f>
        <v/>
      </c>
      <c r="H10" s="4">
        <f>IFERROR(MATCH(5,상세표[발송인원순번],0),"")</f>
        <v/>
      </c>
      <c r="J10">
        <f>IF($U10="","",INDEX(상세표[사번],$U10)&amp;"")</f>
        <v/>
      </c>
      <c r="K10">
        <f>IF($U10="","",INDEX(상세표[성명],$U10)&amp;"")</f>
        <v/>
      </c>
      <c r="L10">
        <f>IF($U10="","",INDEX(상세표[직위],$U10)&amp;"")</f>
        <v/>
      </c>
      <c r="M10">
        <f>IF($U10="","",IF(ISNUMBER(INDEX(상세표[근무일자],$U10)),TEXT(INDEX(상세표[근무일자],$U10),"yyyy-mm-dd"),INDEX(상세표[근무일자],$U10)&amp;""))</f>
        <v/>
      </c>
      <c r="N10">
        <f>IF($U10="","",IF(ISNUMBER(INDEX(상세표[시작],$U10)),TEXT(INDEX(상세표[시작],$U10),"yyyy-mm-dd hh:mm"),INDEX(상세표[시작],$U10)&amp;""))</f>
        <v/>
      </c>
      <c r="O10">
        <f>IF($U10="","",IF(ISNUMBER(INDEX(상세표[종료],$U10)),TEXT(INDEX(상세표[종료],$U10),"yyyy-mm-dd hh:mm"),INDEX(상세표[종료],$U10)&amp;""))</f>
        <v/>
      </c>
      <c r="P10" s="20">
        <f>IF($U10="","",INDEX(상세표[06~07시],$U10))</f>
        <v/>
      </c>
      <c r="Q10" s="20">
        <f>IF($U10="","",INDEX(상세표[07~18시],$U10))</f>
        <v/>
      </c>
      <c r="R10" s="20">
        <f>IF($U10="","",INDEX(상세표[18~22시],$U10))</f>
        <v/>
      </c>
      <c r="S10" s="20">
        <f>IF($U10="","",INDEX(상세표[22~06시],$U10))</f>
        <v/>
      </c>
      <c r="T10" s="20">
        <f>IF($U10="","",INDEX(상세표[기록 시간외],$U10))</f>
        <v/>
      </c>
      <c r="U10" s="4">
        <f>IFERROR(MATCH(5,상세표[발송순번],0),"")</f>
        <v/>
      </c>
    </row>
    <row r="11">
      <c r="A11">
        <f>IF($H11="","",INDEX(상세표[사번],$H11)&amp;"")</f>
        <v/>
      </c>
      <c r="B11">
        <f>IF($H11="","",INDEX(상세표[성명],$H11)&amp;"")</f>
        <v/>
      </c>
      <c r="C11">
        <f>IF($H11="","",INDEX(상세표[부서],$H11)&amp;"")</f>
        <v/>
      </c>
      <c r="D11">
        <f>IF($H11="","",IF(IFERROR(INDEX(합계표[직위(요약)],MATCH(INDEX(상세표[사번키],$H11),합계표[사번키],0))&amp;IF(INDEX(합계표[직급 공존],MATCH(INDEX(상세표[사번키],$H11),합계표[사번키],0))="",""," ("&amp;INDEX(합계표[직급 공존],MATCH(INDEX(상세표[사번키],$H11),합계표[사번키],0))&amp;")"),"")="",INDEX(상세표[직위],$H11)&amp;"",IFERROR(INDEX(합계표[직위(요약)],MATCH(INDEX(상세표[사번키],$H11),합계표[사번키],0))&amp;IF(INDEX(합계표[직급 공존],MATCH(INDEX(상세표[사번키],$H11),합계표[사번키],0))="",""," ("&amp;INDEX(합계표[직급 공존],MATCH(INDEX(상세표[사번키],$H11),합계표[사번키],0))&amp;")"),"")))</f>
        <v/>
      </c>
      <c r="E11">
        <f>IF($H11="","",COUNTIFS(상세표[사번키],INDEX(상세표[사번키],$H11),상세표[기록월],대상월키))</f>
        <v/>
      </c>
      <c r="F11" s="20">
        <f>IF($H11="","",SUMIFS(상세표[기록 시간외],상세표[사번키],INDEX(상세표[사번키],$H11),상세표[기록월],대상월키))</f>
        <v/>
      </c>
      <c r="G11" s="20">
        <f>IF($H11="","",SUMIFS(합계표[시스템 합계],합계표[사번키],INDEX(상세표[사번키],$H11)))</f>
        <v/>
      </c>
      <c r="H11" s="4">
        <f>IFERROR(MATCH(6,상세표[발송인원순번],0),"")</f>
        <v/>
      </c>
      <c r="J11">
        <f>IF($U11="","",INDEX(상세표[사번],$U11)&amp;"")</f>
        <v/>
      </c>
      <c r="K11">
        <f>IF($U11="","",INDEX(상세표[성명],$U11)&amp;"")</f>
        <v/>
      </c>
      <c r="L11">
        <f>IF($U11="","",INDEX(상세표[직위],$U11)&amp;"")</f>
        <v/>
      </c>
      <c r="M11">
        <f>IF($U11="","",IF(ISNUMBER(INDEX(상세표[근무일자],$U11)),TEXT(INDEX(상세표[근무일자],$U11),"yyyy-mm-dd"),INDEX(상세표[근무일자],$U11)&amp;""))</f>
        <v/>
      </c>
      <c r="N11">
        <f>IF($U11="","",IF(ISNUMBER(INDEX(상세표[시작],$U11)),TEXT(INDEX(상세표[시작],$U11),"yyyy-mm-dd hh:mm"),INDEX(상세표[시작],$U11)&amp;""))</f>
        <v/>
      </c>
      <c r="O11">
        <f>IF($U11="","",IF(ISNUMBER(INDEX(상세표[종료],$U11)),TEXT(INDEX(상세표[종료],$U11),"yyyy-mm-dd hh:mm"),INDEX(상세표[종료],$U11)&amp;""))</f>
        <v/>
      </c>
      <c r="P11" s="20">
        <f>IF($U11="","",INDEX(상세표[06~07시],$U11))</f>
        <v/>
      </c>
      <c r="Q11" s="20">
        <f>IF($U11="","",INDEX(상세표[07~18시],$U11))</f>
        <v/>
      </c>
      <c r="R11" s="20">
        <f>IF($U11="","",INDEX(상세표[18~22시],$U11))</f>
        <v/>
      </c>
      <c r="S11" s="20">
        <f>IF($U11="","",INDEX(상세표[22~06시],$U11))</f>
        <v/>
      </c>
      <c r="T11" s="20">
        <f>IF($U11="","",INDEX(상세표[기록 시간외],$U11))</f>
        <v/>
      </c>
      <c r="U11" s="4">
        <f>IFERROR(MATCH(6,상세표[발송순번],0),"")</f>
        <v/>
      </c>
    </row>
    <row r="12">
      <c r="A12">
        <f>IF($H12="","",INDEX(상세표[사번],$H12)&amp;"")</f>
        <v/>
      </c>
      <c r="B12">
        <f>IF($H12="","",INDEX(상세표[성명],$H12)&amp;"")</f>
        <v/>
      </c>
      <c r="C12">
        <f>IF($H12="","",INDEX(상세표[부서],$H12)&amp;"")</f>
        <v/>
      </c>
      <c r="D12">
        <f>IF($H12="","",IF(IFERROR(INDEX(합계표[직위(요약)],MATCH(INDEX(상세표[사번키],$H12),합계표[사번키],0))&amp;IF(INDEX(합계표[직급 공존],MATCH(INDEX(상세표[사번키],$H12),합계표[사번키],0))="",""," ("&amp;INDEX(합계표[직급 공존],MATCH(INDEX(상세표[사번키],$H12),합계표[사번키],0))&amp;")"),"")="",INDEX(상세표[직위],$H12)&amp;"",IFERROR(INDEX(합계표[직위(요약)],MATCH(INDEX(상세표[사번키],$H12),합계표[사번키],0))&amp;IF(INDEX(합계표[직급 공존],MATCH(INDEX(상세표[사번키],$H12),합계표[사번키],0))="",""," ("&amp;INDEX(합계표[직급 공존],MATCH(INDEX(상세표[사번키],$H12),합계표[사번키],0))&amp;")"),"")))</f>
        <v/>
      </c>
      <c r="E12">
        <f>IF($H12="","",COUNTIFS(상세표[사번키],INDEX(상세표[사번키],$H12),상세표[기록월],대상월키))</f>
        <v/>
      </c>
      <c r="F12" s="20">
        <f>IF($H12="","",SUMIFS(상세표[기록 시간외],상세표[사번키],INDEX(상세표[사번키],$H12),상세표[기록월],대상월키))</f>
        <v/>
      </c>
      <c r="G12" s="20">
        <f>IF($H12="","",SUMIFS(합계표[시스템 합계],합계표[사번키],INDEX(상세표[사번키],$H12)))</f>
        <v/>
      </c>
      <c r="H12" s="4">
        <f>IFERROR(MATCH(7,상세표[발송인원순번],0),"")</f>
        <v/>
      </c>
      <c r="J12">
        <f>IF($U12="","",INDEX(상세표[사번],$U12)&amp;"")</f>
        <v/>
      </c>
      <c r="K12">
        <f>IF($U12="","",INDEX(상세표[성명],$U12)&amp;"")</f>
        <v/>
      </c>
      <c r="L12">
        <f>IF($U12="","",INDEX(상세표[직위],$U12)&amp;"")</f>
        <v/>
      </c>
      <c r="M12">
        <f>IF($U12="","",IF(ISNUMBER(INDEX(상세표[근무일자],$U12)),TEXT(INDEX(상세표[근무일자],$U12),"yyyy-mm-dd"),INDEX(상세표[근무일자],$U12)&amp;""))</f>
        <v/>
      </c>
      <c r="N12">
        <f>IF($U12="","",IF(ISNUMBER(INDEX(상세표[시작],$U12)),TEXT(INDEX(상세표[시작],$U12),"yyyy-mm-dd hh:mm"),INDEX(상세표[시작],$U12)&amp;""))</f>
        <v/>
      </c>
      <c r="O12">
        <f>IF($U12="","",IF(ISNUMBER(INDEX(상세표[종료],$U12)),TEXT(INDEX(상세표[종료],$U12),"yyyy-mm-dd hh:mm"),INDEX(상세표[종료],$U12)&amp;""))</f>
        <v/>
      </c>
      <c r="P12" s="20">
        <f>IF($U12="","",INDEX(상세표[06~07시],$U12))</f>
        <v/>
      </c>
      <c r="Q12" s="20">
        <f>IF($U12="","",INDEX(상세표[07~18시],$U12))</f>
        <v/>
      </c>
      <c r="R12" s="20">
        <f>IF($U12="","",INDEX(상세표[18~22시],$U12))</f>
        <v/>
      </c>
      <c r="S12" s="20">
        <f>IF($U12="","",INDEX(상세표[22~06시],$U12))</f>
        <v/>
      </c>
      <c r="T12" s="20">
        <f>IF($U12="","",INDEX(상세표[기록 시간외],$U12))</f>
        <v/>
      </c>
      <c r="U12" s="4">
        <f>IFERROR(MATCH(7,상세표[발송순번],0),"")</f>
        <v/>
      </c>
    </row>
    <row r="13">
      <c r="A13">
        <f>IF($H13="","",INDEX(상세표[사번],$H13)&amp;"")</f>
        <v/>
      </c>
      <c r="B13">
        <f>IF($H13="","",INDEX(상세표[성명],$H13)&amp;"")</f>
        <v/>
      </c>
      <c r="C13">
        <f>IF($H13="","",INDEX(상세표[부서],$H13)&amp;"")</f>
        <v/>
      </c>
      <c r="D13">
        <f>IF($H13="","",IF(IFERROR(INDEX(합계표[직위(요약)],MATCH(INDEX(상세표[사번키],$H13),합계표[사번키],0))&amp;IF(INDEX(합계표[직급 공존],MATCH(INDEX(상세표[사번키],$H13),합계표[사번키],0))="",""," ("&amp;INDEX(합계표[직급 공존],MATCH(INDEX(상세표[사번키],$H13),합계표[사번키],0))&amp;")"),"")="",INDEX(상세표[직위],$H13)&amp;"",IFERROR(INDEX(합계표[직위(요약)],MATCH(INDEX(상세표[사번키],$H13),합계표[사번키],0))&amp;IF(INDEX(합계표[직급 공존],MATCH(INDEX(상세표[사번키],$H13),합계표[사번키],0))="",""," ("&amp;INDEX(합계표[직급 공존],MATCH(INDEX(상세표[사번키],$H13),합계표[사번키],0))&amp;")"),"")))</f>
        <v/>
      </c>
      <c r="E13">
        <f>IF($H13="","",COUNTIFS(상세표[사번키],INDEX(상세표[사번키],$H13),상세표[기록월],대상월키))</f>
        <v/>
      </c>
      <c r="F13" s="20">
        <f>IF($H13="","",SUMIFS(상세표[기록 시간외],상세표[사번키],INDEX(상세표[사번키],$H13),상세표[기록월],대상월키))</f>
        <v/>
      </c>
      <c r="G13" s="20">
        <f>IF($H13="","",SUMIFS(합계표[시스템 합계],합계표[사번키],INDEX(상세표[사번키],$H13)))</f>
        <v/>
      </c>
      <c r="H13" s="4">
        <f>IFERROR(MATCH(8,상세표[발송인원순번],0),"")</f>
        <v/>
      </c>
      <c r="J13">
        <f>IF($U13="","",INDEX(상세표[사번],$U13)&amp;"")</f>
        <v/>
      </c>
      <c r="K13">
        <f>IF($U13="","",INDEX(상세표[성명],$U13)&amp;"")</f>
        <v/>
      </c>
      <c r="L13">
        <f>IF($U13="","",INDEX(상세표[직위],$U13)&amp;"")</f>
        <v/>
      </c>
      <c r="M13">
        <f>IF($U13="","",IF(ISNUMBER(INDEX(상세표[근무일자],$U13)),TEXT(INDEX(상세표[근무일자],$U13),"yyyy-mm-dd"),INDEX(상세표[근무일자],$U13)&amp;""))</f>
        <v/>
      </c>
      <c r="N13">
        <f>IF($U13="","",IF(ISNUMBER(INDEX(상세표[시작],$U13)),TEXT(INDEX(상세표[시작],$U13),"yyyy-mm-dd hh:mm"),INDEX(상세표[시작],$U13)&amp;""))</f>
        <v/>
      </c>
      <c r="O13">
        <f>IF($U13="","",IF(ISNUMBER(INDEX(상세표[종료],$U13)),TEXT(INDEX(상세표[종료],$U13),"yyyy-mm-dd hh:mm"),INDEX(상세표[종료],$U13)&amp;""))</f>
        <v/>
      </c>
      <c r="P13" s="20">
        <f>IF($U13="","",INDEX(상세표[06~07시],$U13))</f>
        <v/>
      </c>
      <c r="Q13" s="20">
        <f>IF($U13="","",INDEX(상세표[07~18시],$U13))</f>
        <v/>
      </c>
      <c r="R13" s="20">
        <f>IF($U13="","",INDEX(상세표[18~22시],$U13))</f>
        <v/>
      </c>
      <c r="S13" s="20">
        <f>IF($U13="","",INDEX(상세표[22~06시],$U13))</f>
        <v/>
      </c>
      <c r="T13" s="20">
        <f>IF($U13="","",INDEX(상세표[기록 시간외],$U13))</f>
        <v/>
      </c>
      <c r="U13" s="4">
        <f>IFERROR(MATCH(8,상세표[발송순번],0),"")</f>
        <v/>
      </c>
    </row>
    <row r="14">
      <c r="A14">
        <f>IF($H14="","",INDEX(상세표[사번],$H14)&amp;"")</f>
        <v/>
      </c>
      <c r="B14">
        <f>IF($H14="","",INDEX(상세표[성명],$H14)&amp;"")</f>
        <v/>
      </c>
      <c r="C14">
        <f>IF($H14="","",INDEX(상세표[부서],$H14)&amp;"")</f>
        <v/>
      </c>
      <c r="D14">
        <f>IF($H14="","",IF(IFERROR(INDEX(합계표[직위(요약)],MATCH(INDEX(상세표[사번키],$H14),합계표[사번키],0))&amp;IF(INDEX(합계표[직급 공존],MATCH(INDEX(상세표[사번키],$H14),합계표[사번키],0))="",""," ("&amp;INDEX(합계표[직급 공존],MATCH(INDEX(상세표[사번키],$H14),합계표[사번키],0))&amp;")"),"")="",INDEX(상세표[직위],$H14)&amp;"",IFERROR(INDEX(합계표[직위(요약)],MATCH(INDEX(상세표[사번키],$H14),합계표[사번키],0))&amp;IF(INDEX(합계표[직급 공존],MATCH(INDEX(상세표[사번키],$H14),합계표[사번키],0))="",""," ("&amp;INDEX(합계표[직급 공존],MATCH(INDEX(상세표[사번키],$H14),합계표[사번키],0))&amp;")"),"")))</f>
        <v/>
      </c>
      <c r="E14">
        <f>IF($H14="","",COUNTIFS(상세표[사번키],INDEX(상세표[사번키],$H14),상세표[기록월],대상월키))</f>
        <v/>
      </c>
      <c r="F14" s="20">
        <f>IF($H14="","",SUMIFS(상세표[기록 시간외],상세표[사번키],INDEX(상세표[사번키],$H14),상세표[기록월],대상월키))</f>
        <v/>
      </c>
      <c r="G14" s="20">
        <f>IF($H14="","",SUMIFS(합계표[시스템 합계],합계표[사번키],INDEX(상세표[사번키],$H14)))</f>
        <v/>
      </c>
      <c r="H14" s="4">
        <f>IFERROR(MATCH(9,상세표[발송인원순번],0),"")</f>
        <v/>
      </c>
      <c r="J14">
        <f>IF($U14="","",INDEX(상세표[사번],$U14)&amp;"")</f>
        <v/>
      </c>
      <c r="K14">
        <f>IF($U14="","",INDEX(상세표[성명],$U14)&amp;"")</f>
        <v/>
      </c>
      <c r="L14">
        <f>IF($U14="","",INDEX(상세표[직위],$U14)&amp;"")</f>
        <v/>
      </c>
      <c r="M14">
        <f>IF($U14="","",IF(ISNUMBER(INDEX(상세표[근무일자],$U14)),TEXT(INDEX(상세표[근무일자],$U14),"yyyy-mm-dd"),INDEX(상세표[근무일자],$U14)&amp;""))</f>
        <v/>
      </c>
      <c r="N14">
        <f>IF($U14="","",IF(ISNUMBER(INDEX(상세표[시작],$U14)),TEXT(INDEX(상세표[시작],$U14),"yyyy-mm-dd hh:mm"),INDEX(상세표[시작],$U14)&amp;""))</f>
        <v/>
      </c>
      <c r="O14">
        <f>IF($U14="","",IF(ISNUMBER(INDEX(상세표[종료],$U14)),TEXT(INDEX(상세표[종료],$U14),"yyyy-mm-dd hh:mm"),INDEX(상세표[종료],$U14)&amp;""))</f>
        <v/>
      </c>
      <c r="P14" s="20">
        <f>IF($U14="","",INDEX(상세표[06~07시],$U14))</f>
        <v/>
      </c>
      <c r="Q14" s="20">
        <f>IF($U14="","",INDEX(상세표[07~18시],$U14))</f>
        <v/>
      </c>
      <c r="R14" s="20">
        <f>IF($U14="","",INDEX(상세표[18~22시],$U14))</f>
        <v/>
      </c>
      <c r="S14" s="20">
        <f>IF($U14="","",INDEX(상세표[22~06시],$U14))</f>
        <v/>
      </c>
      <c r="T14" s="20">
        <f>IF($U14="","",INDEX(상세표[기록 시간외],$U14))</f>
        <v/>
      </c>
      <c r="U14" s="4">
        <f>IFERROR(MATCH(9,상세표[발송순번],0),"")</f>
        <v/>
      </c>
    </row>
    <row r="15">
      <c r="A15">
        <f>IF($H15="","",INDEX(상세표[사번],$H15)&amp;"")</f>
        <v/>
      </c>
      <c r="B15">
        <f>IF($H15="","",INDEX(상세표[성명],$H15)&amp;"")</f>
        <v/>
      </c>
      <c r="C15">
        <f>IF($H15="","",INDEX(상세표[부서],$H15)&amp;"")</f>
        <v/>
      </c>
      <c r="D15">
        <f>IF($H15="","",IF(IFERROR(INDEX(합계표[직위(요약)],MATCH(INDEX(상세표[사번키],$H15),합계표[사번키],0))&amp;IF(INDEX(합계표[직급 공존],MATCH(INDEX(상세표[사번키],$H15),합계표[사번키],0))="",""," ("&amp;INDEX(합계표[직급 공존],MATCH(INDEX(상세표[사번키],$H15),합계표[사번키],0))&amp;")"),"")="",INDEX(상세표[직위],$H15)&amp;"",IFERROR(INDEX(합계표[직위(요약)],MATCH(INDEX(상세표[사번키],$H15),합계표[사번키],0))&amp;IF(INDEX(합계표[직급 공존],MATCH(INDEX(상세표[사번키],$H15),합계표[사번키],0))="",""," ("&amp;INDEX(합계표[직급 공존],MATCH(INDEX(상세표[사번키],$H15),합계표[사번키],0))&amp;")"),"")))</f>
        <v/>
      </c>
      <c r="E15">
        <f>IF($H15="","",COUNTIFS(상세표[사번키],INDEX(상세표[사번키],$H15),상세표[기록월],대상월키))</f>
        <v/>
      </c>
      <c r="F15" s="20">
        <f>IF($H15="","",SUMIFS(상세표[기록 시간외],상세표[사번키],INDEX(상세표[사번키],$H15),상세표[기록월],대상월키))</f>
        <v/>
      </c>
      <c r="G15" s="20">
        <f>IF($H15="","",SUMIFS(합계표[시스템 합계],합계표[사번키],INDEX(상세표[사번키],$H15)))</f>
        <v/>
      </c>
      <c r="H15" s="4">
        <f>IFERROR(MATCH(10,상세표[발송인원순번],0),"")</f>
        <v/>
      </c>
      <c r="J15">
        <f>IF($U15="","",INDEX(상세표[사번],$U15)&amp;"")</f>
        <v/>
      </c>
      <c r="K15">
        <f>IF($U15="","",INDEX(상세표[성명],$U15)&amp;"")</f>
        <v/>
      </c>
      <c r="L15">
        <f>IF($U15="","",INDEX(상세표[직위],$U15)&amp;"")</f>
        <v/>
      </c>
      <c r="M15">
        <f>IF($U15="","",IF(ISNUMBER(INDEX(상세표[근무일자],$U15)),TEXT(INDEX(상세표[근무일자],$U15),"yyyy-mm-dd"),INDEX(상세표[근무일자],$U15)&amp;""))</f>
        <v/>
      </c>
      <c r="N15">
        <f>IF($U15="","",IF(ISNUMBER(INDEX(상세표[시작],$U15)),TEXT(INDEX(상세표[시작],$U15),"yyyy-mm-dd hh:mm"),INDEX(상세표[시작],$U15)&amp;""))</f>
        <v/>
      </c>
      <c r="O15">
        <f>IF($U15="","",IF(ISNUMBER(INDEX(상세표[종료],$U15)),TEXT(INDEX(상세표[종료],$U15),"yyyy-mm-dd hh:mm"),INDEX(상세표[종료],$U15)&amp;""))</f>
        <v/>
      </c>
      <c r="P15" s="20">
        <f>IF($U15="","",INDEX(상세표[06~07시],$U15))</f>
        <v/>
      </c>
      <c r="Q15" s="20">
        <f>IF($U15="","",INDEX(상세표[07~18시],$U15))</f>
        <v/>
      </c>
      <c r="R15" s="20">
        <f>IF($U15="","",INDEX(상세표[18~22시],$U15))</f>
        <v/>
      </c>
      <c r="S15" s="20">
        <f>IF($U15="","",INDEX(상세표[22~06시],$U15))</f>
        <v/>
      </c>
      <c r="T15" s="20">
        <f>IF($U15="","",INDEX(상세표[기록 시간외],$U15))</f>
        <v/>
      </c>
      <c r="U15" s="4">
        <f>IFERROR(MATCH(10,상세표[발송순번],0),"")</f>
        <v/>
      </c>
    </row>
    <row r="16">
      <c r="A16">
        <f>IF($H16="","",INDEX(상세표[사번],$H16)&amp;"")</f>
        <v/>
      </c>
      <c r="B16">
        <f>IF($H16="","",INDEX(상세표[성명],$H16)&amp;"")</f>
        <v/>
      </c>
      <c r="C16">
        <f>IF($H16="","",INDEX(상세표[부서],$H16)&amp;"")</f>
        <v/>
      </c>
      <c r="D16">
        <f>IF($H16="","",IF(IFERROR(INDEX(합계표[직위(요약)],MATCH(INDEX(상세표[사번키],$H16),합계표[사번키],0))&amp;IF(INDEX(합계표[직급 공존],MATCH(INDEX(상세표[사번키],$H16),합계표[사번키],0))="",""," ("&amp;INDEX(합계표[직급 공존],MATCH(INDEX(상세표[사번키],$H16),합계표[사번키],0))&amp;")"),"")="",INDEX(상세표[직위],$H16)&amp;"",IFERROR(INDEX(합계표[직위(요약)],MATCH(INDEX(상세표[사번키],$H16),합계표[사번키],0))&amp;IF(INDEX(합계표[직급 공존],MATCH(INDEX(상세표[사번키],$H16),합계표[사번키],0))="",""," ("&amp;INDEX(합계표[직급 공존],MATCH(INDEX(상세표[사번키],$H16),합계표[사번키],0))&amp;")"),"")))</f>
        <v/>
      </c>
      <c r="E16">
        <f>IF($H16="","",COUNTIFS(상세표[사번키],INDEX(상세표[사번키],$H16),상세표[기록월],대상월키))</f>
        <v/>
      </c>
      <c r="F16" s="20">
        <f>IF($H16="","",SUMIFS(상세표[기록 시간외],상세표[사번키],INDEX(상세표[사번키],$H16),상세표[기록월],대상월키))</f>
        <v/>
      </c>
      <c r="G16" s="20">
        <f>IF($H16="","",SUMIFS(합계표[시스템 합계],합계표[사번키],INDEX(상세표[사번키],$H16)))</f>
        <v/>
      </c>
      <c r="H16" s="4">
        <f>IFERROR(MATCH(11,상세표[발송인원순번],0),"")</f>
        <v/>
      </c>
      <c r="J16">
        <f>IF($U16="","",INDEX(상세표[사번],$U16)&amp;"")</f>
        <v/>
      </c>
      <c r="K16">
        <f>IF($U16="","",INDEX(상세표[성명],$U16)&amp;"")</f>
        <v/>
      </c>
      <c r="L16">
        <f>IF($U16="","",INDEX(상세표[직위],$U16)&amp;"")</f>
        <v/>
      </c>
      <c r="M16">
        <f>IF($U16="","",IF(ISNUMBER(INDEX(상세표[근무일자],$U16)),TEXT(INDEX(상세표[근무일자],$U16),"yyyy-mm-dd"),INDEX(상세표[근무일자],$U16)&amp;""))</f>
        <v/>
      </c>
      <c r="N16">
        <f>IF($U16="","",IF(ISNUMBER(INDEX(상세표[시작],$U16)),TEXT(INDEX(상세표[시작],$U16),"yyyy-mm-dd hh:mm"),INDEX(상세표[시작],$U16)&amp;""))</f>
        <v/>
      </c>
      <c r="O16">
        <f>IF($U16="","",IF(ISNUMBER(INDEX(상세표[종료],$U16)),TEXT(INDEX(상세표[종료],$U16),"yyyy-mm-dd hh:mm"),INDEX(상세표[종료],$U16)&amp;""))</f>
        <v/>
      </c>
      <c r="P16" s="20">
        <f>IF($U16="","",INDEX(상세표[06~07시],$U16))</f>
        <v/>
      </c>
      <c r="Q16" s="20">
        <f>IF($U16="","",INDEX(상세표[07~18시],$U16))</f>
        <v/>
      </c>
      <c r="R16" s="20">
        <f>IF($U16="","",INDEX(상세표[18~22시],$U16))</f>
        <v/>
      </c>
      <c r="S16" s="20">
        <f>IF($U16="","",INDEX(상세표[22~06시],$U16))</f>
        <v/>
      </c>
      <c r="T16" s="20">
        <f>IF($U16="","",INDEX(상세표[기록 시간외],$U16))</f>
        <v/>
      </c>
      <c r="U16" s="4">
        <f>IFERROR(MATCH(11,상세표[발송순번],0),"")</f>
        <v/>
      </c>
    </row>
    <row r="17">
      <c r="A17">
        <f>IF($H17="","",INDEX(상세표[사번],$H17)&amp;"")</f>
        <v/>
      </c>
      <c r="B17">
        <f>IF($H17="","",INDEX(상세표[성명],$H17)&amp;"")</f>
        <v/>
      </c>
      <c r="C17">
        <f>IF($H17="","",INDEX(상세표[부서],$H17)&amp;"")</f>
        <v/>
      </c>
      <c r="D17">
        <f>IF($H17="","",IF(IFERROR(INDEX(합계표[직위(요약)],MATCH(INDEX(상세표[사번키],$H17),합계표[사번키],0))&amp;IF(INDEX(합계표[직급 공존],MATCH(INDEX(상세표[사번키],$H17),합계표[사번키],0))="",""," ("&amp;INDEX(합계표[직급 공존],MATCH(INDEX(상세표[사번키],$H17),합계표[사번키],0))&amp;")"),"")="",INDEX(상세표[직위],$H17)&amp;"",IFERROR(INDEX(합계표[직위(요약)],MATCH(INDEX(상세표[사번키],$H17),합계표[사번키],0))&amp;IF(INDEX(합계표[직급 공존],MATCH(INDEX(상세표[사번키],$H17),합계표[사번키],0))="",""," ("&amp;INDEX(합계표[직급 공존],MATCH(INDEX(상세표[사번키],$H17),합계표[사번키],0))&amp;")"),"")))</f>
        <v/>
      </c>
      <c r="E17">
        <f>IF($H17="","",COUNTIFS(상세표[사번키],INDEX(상세표[사번키],$H17),상세표[기록월],대상월키))</f>
        <v/>
      </c>
      <c r="F17" s="20">
        <f>IF($H17="","",SUMIFS(상세표[기록 시간외],상세표[사번키],INDEX(상세표[사번키],$H17),상세표[기록월],대상월키))</f>
        <v/>
      </c>
      <c r="G17" s="20">
        <f>IF($H17="","",SUMIFS(합계표[시스템 합계],합계표[사번키],INDEX(상세표[사번키],$H17)))</f>
        <v/>
      </c>
      <c r="H17" s="4">
        <f>IFERROR(MATCH(12,상세표[발송인원순번],0),"")</f>
        <v/>
      </c>
      <c r="J17">
        <f>IF($U17="","",INDEX(상세표[사번],$U17)&amp;"")</f>
        <v/>
      </c>
      <c r="K17">
        <f>IF($U17="","",INDEX(상세표[성명],$U17)&amp;"")</f>
        <v/>
      </c>
      <c r="L17">
        <f>IF($U17="","",INDEX(상세표[직위],$U17)&amp;"")</f>
        <v/>
      </c>
      <c r="M17">
        <f>IF($U17="","",IF(ISNUMBER(INDEX(상세표[근무일자],$U17)),TEXT(INDEX(상세표[근무일자],$U17),"yyyy-mm-dd"),INDEX(상세표[근무일자],$U17)&amp;""))</f>
        <v/>
      </c>
      <c r="N17">
        <f>IF($U17="","",IF(ISNUMBER(INDEX(상세표[시작],$U17)),TEXT(INDEX(상세표[시작],$U17),"yyyy-mm-dd hh:mm"),INDEX(상세표[시작],$U17)&amp;""))</f>
        <v/>
      </c>
      <c r="O17">
        <f>IF($U17="","",IF(ISNUMBER(INDEX(상세표[종료],$U17)),TEXT(INDEX(상세표[종료],$U17),"yyyy-mm-dd hh:mm"),INDEX(상세표[종료],$U17)&amp;""))</f>
        <v/>
      </c>
      <c r="P17" s="20">
        <f>IF($U17="","",INDEX(상세표[06~07시],$U17))</f>
        <v/>
      </c>
      <c r="Q17" s="20">
        <f>IF($U17="","",INDEX(상세표[07~18시],$U17))</f>
        <v/>
      </c>
      <c r="R17" s="20">
        <f>IF($U17="","",INDEX(상세표[18~22시],$U17))</f>
        <v/>
      </c>
      <c r="S17" s="20">
        <f>IF($U17="","",INDEX(상세표[22~06시],$U17))</f>
        <v/>
      </c>
      <c r="T17" s="20">
        <f>IF($U17="","",INDEX(상세표[기록 시간외],$U17))</f>
        <v/>
      </c>
      <c r="U17" s="4">
        <f>IFERROR(MATCH(12,상세표[발송순번],0),"")</f>
        <v/>
      </c>
    </row>
    <row r="18">
      <c r="A18">
        <f>IF($H18="","",INDEX(상세표[사번],$H18)&amp;"")</f>
        <v/>
      </c>
      <c r="B18">
        <f>IF($H18="","",INDEX(상세표[성명],$H18)&amp;"")</f>
        <v/>
      </c>
      <c r="C18">
        <f>IF($H18="","",INDEX(상세표[부서],$H18)&amp;"")</f>
        <v/>
      </c>
      <c r="D18">
        <f>IF($H18="","",IF(IFERROR(INDEX(합계표[직위(요약)],MATCH(INDEX(상세표[사번키],$H18),합계표[사번키],0))&amp;IF(INDEX(합계표[직급 공존],MATCH(INDEX(상세표[사번키],$H18),합계표[사번키],0))="",""," ("&amp;INDEX(합계표[직급 공존],MATCH(INDEX(상세표[사번키],$H18),합계표[사번키],0))&amp;")"),"")="",INDEX(상세표[직위],$H18)&amp;"",IFERROR(INDEX(합계표[직위(요약)],MATCH(INDEX(상세표[사번키],$H18),합계표[사번키],0))&amp;IF(INDEX(합계표[직급 공존],MATCH(INDEX(상세표[사번키],$H18),합계표[사번키],0))="",""," ("&amp;INDEX(합계표[직급 공존],MATCH(INDEX(상세표[사번키],$H18),합계표[사번키],0))&amp;")"),"")))</f>
        <v/>
      </c>
      <c r="E18">
        <f>IF($H18="","",COUNTIFS(상세표[사번키],INDEX(상세표[사번키],$H18),상세표[기록월],대상월키))</f>
        <v/>
      </c>
      <c r="F18" s="20">
        <f>IF($H18="","",SUMIFS(상세표[기록 시간외],상세표[사번키],INDEX(상세표[사번키],$H18),상세표[기록월],대상월키))</f>
        <v/>
      </c>
      <c r="G18" s="20">
        <f>IF($H18="","",SUMIFS(합계표[시스템 합계],합계표[사번키],INDEX(상세표[사번키],$H18)))</f>
        <v/>
      </c>
      <c r="H18" s="4">
        <f>IFERROR(MATCH(13,상세표[발송인원순번],0),"")</f>
        <v/>
      </c>
      <c r="J18">
        <f>IF($U18="","",INDEX(상세표[사번],$U18)&amp;"")</f>
        <v/>
      </c>
      <c r="K18">
        <f>IF($U18="","",INDEX(상세표[성명],$U18)&amp;"")</f>
        <v/>
      </c>
      <c r="L18">
        <f>IF($U18="","",INDEX(상세표[직위],$U18)&amp;"")</f>
        <v/>
      </c>
      <c r="M18">
        <f>IF($U18="","",IF(ISNUMBER(INDEX(상세표[근무일자],$U18)),TEXT(INDEX(상세표[근무일자],$U18),"yyyy-mm-dd"),INDEX(상세표[근무일자],$U18)&amp;""))</f>
        <v/>
      </c>
      <c r="N18">
        <f>IF($U18="","",IF(ISNUMBER(INDEX(상세표[시작],$U18)),TEXT(INDEX(상세표[시작],$U18),"yyyy-mm-dd hh:mm"),INDEX(상세표[시작],$U18)&amp;""))</f>
        <v/>
      </c>
      <c r="O18">
        <f>IF($U18="","",IF(ISNUMBER(INDEX(상세표[종료],$U18)),TEXT(INDEX(상세표[종료],$U18),"yyyy-mm-dd hh:mm"),INDEX(상세표[종료],$U18)&amp;""))</f>
        <v/>
      </c>
      <c r="P18" s="20">
        <f>IF($U18="","",INDEX(상세표[06~07시],$U18))</f>
        <v/>
      </c>
      <c r="Q18" s="20">
        <f>IF($U18="","",INDEX(상세표[07~18시],$U18))</f>
        <v/>
      </c>
      <c r="R18" s="20">
        <f>IF($U18="","",INDEX(상세표[18~22시],$U18))</f>
        <v/>
      </c>
      <c r="S18" s="20">
        <f>IF($U18="","",INDEX(상세표[22~06시],$U18))</f>
        <v/>
      </c>
      <c r="T18" s="20">
        <f>IF($U18="","",INDEX(상세표[기록 시간외],$U18))</f>
        <v/>
      </c>
      <c r="U18" s="4">
        <f>IFERROR(MATCH(13,상세표[발송순번],0),"")</f>
        <v/>
      </c>
    </row>
    <row r="19">
      <c r="A19">
        <f>IF($H19="","",INDEX(상세표[사번],$H19)&amp;"")</f>
        <v/>
      </c>
      <c r="B19">
        <f>IF($H19="","",INDEX(상세표[성명],$H19)&amp;"")</f>
        <v/>
      </c>
      <c r="C19">
        <f>IF($H19="","",INDEX(상세표[부서],$H19)&amp;"")</f>
        <v/>
      </c>
      <c r="D19">
        <f>IF($H19="","",IF(IFERROR(INDEX(합계표[직위(요약)],MATCH(INDEX(상세표[사번키],$H19),합계표[사번키],0))&amp;IF(INDEX(합계표[직급 공존],MATCH(INDEX(상세표[사번키],$H19),합계표[사번키],0))="",""," ("&amp;INDEX(합계표[직급 공존],MATCH(INDEX(상세표[사번키],$H19),합계표[사번키],0))&amp;")"),"")="",INDEX(상세표[직위],$H19)&amp;"",IFERROR(INDEX(합계표[직위(요약)],MATCH(INDEX(상세표[사번키],$H19),합계표[사번키],0))&amp;IF(INDEX(합계표[직급 공존],MATCH(INDEX(상세표[사번키],$H19),합계표[사번키],0))="",""," ("&amp;INDEX(합계표[직급 공존],MATCH(INDEX(상세표[사번키],$H19),합계표[사번키],0))&amp;")"),"")))</f>
        <v/>
      </c>
      <c r="E19">
        <f>IF($H19="","",COUNTIFS(상세표[사번키],INDEX(상세표[사번키],$H19),상세표[기록월],대상월키))</f>
        <v/>
      </c>
      <c r="F19" s="20">
        <f>IF($H19="","",SUMIFS(상세표[기록 시간외],상세표[사번키],INDEX(상세표[사번키],$H19),상세표[기록월],대상월키))</f>
        <v/>
      </c>
      <c r="G19" s="20">
        <f>IF($H19="","",SUMIFS(합계표[시스템 합계],합계표[사번키],INDEX(상세표[사번키],$H19)))</f>
        <v/>
      </c>
      <c r="H19" s="4">
        <f>IFERROR(MATCH(14,상세표[발송인원순번],0),"")</f>
        <v/>
      </c>
      <c r="J19">
        <f>IF($U19="","",INDEX(상세표[사번],$U19)&amp;"")</f>
        <v/>
      </c>
      <c r="K19">
        <f>IF($U19="","",INDEX(상세표[성명],$U19)&amp;"")</f>
        <v/>
      </c>
      <c r="L19">
        <f>IF($U19="","",INDEX(상세표[직위],$U19)&amp;"")</f>
        <v/>
      </c>
      <c r="M19">
        <f>IF($U19="","",IF(ISNUMBER(INDEX(상세표[근무일자],$U19)),TEXT(INDEX(상세표[근무일자],$U19),"yyyy-mm-dd"),INDEX(상세표[근무일자],$U19)&amp;""))</f>
        <v/>
      </c>
      <c r="N19">
        <f>IF($U19="","",IF(ISNUMBER(INDEX(상세표[시작],$U19)),TEXT(INDEX(상세표[시작],$U19),"yyyy-mm-dd hh:mm"),INDEX(상세표[시작],$U19)&amp;""))</f>
        <v/>
      </c>
      <c r="O19">
        <f>IF($U19="","",IF(ISNUMBER(INDEX(상세표[종료],$U19)),TEXT(INDEX(상세표[종료],$U19),"yyyy-mm-dd hh:mm"),INDEX(상세표[종료],$U19)&amp;""))</f>
        <v/>
      </c>
      <c r="P19" s="20">
        <f>IF($U19="","",INDEX(상세표[06~07시],$U19))</f>
        <v/>
      </c>
      <c r="Q19" s="20">
        <f>IF($U19="","",INDEX(상세표[07~18시],$U19))</f>
        <v/>
      </c>
      <c r="R19" s="20">
        <f>IF($U19="","",INDEX(상세표[18~22시],$U19))</f>
        <v/>
      </c>
      <c r="S19" s="20">
        <f>IF($U19="","",INDEX(상세표[22~06시],$U19))</f>
        <v/>
      </c>
      <c r="T19" s="20">
        <f>IF($U19="","",INDEX(상세표[기록 시간외],$U19))</f>
        <v/>
      </c>
      <c r="U19" s="4">
        <f>IFERROR(MATCH(14,상세표[발송순번],0),"")</f>
        <v/>
      </c>
    </row>
    <row r="20">
      <c r="A20">
        <f>IF($H20="","",INDEX(상세표[사번],$H20)&amp;"")</f>
        <v/>
      </c>
      <c r="B20">
        <f>IF($H20="","",INDEX(상세표[성명],$H20)&amp;"")</f>
        <v/>
      </c>
      <c r="C20">
        <f>IF($H20="","",INDEX(상세표[부서],$H20)&amp;"")</f>
        <v/>
      </c>
      <c r="D20">
        <f>IF($H20="","",IF(IFERROR(INDEX(합계표[직위(요약)],MATCH(INDEX(상세표[사번키],$H20),합계표[사번키],0))&amp;IF(INDEX(합계표[직급 공존],MATCH(INDEX(상세표[사번키],$H20),합계표[사번키],0))="",""," ("&amp;INDEX(합계표[직급 공존],MATCH(INDEX(상세표[사번키],$H20),합계표[사번키],0))&amp;")"),"")="",INDEX(상세표[직위],$H20)&amp;"",IFERROR(INDEX(합계표[직위(요약)],MATCH(INDEX(상세표[사번키],$H20),합계표[사번키],0))&amp;IF(INDEX(합계표[직급 공존],MATCH(INDEX(상세표[사번키],$H20),합계표[사번키],0))="",""," ("&amp;INDEX(합계표[직급 공존],MATCH(INDEX(상세표[사번키],$H20),합계표[사번키],0))&amp;")"),"")))</f>
        <v/>
      </c>
      <c r="E20">
        <f>IF($H20="","",COUNTIFS(상세표[사번키],INDEX(상세표[사번키],$H20),상세표[기록월],대상월키))</f>
        <v/>
      </c>
      <c r="F20" s="20">
        <f>IF($H20="","",SUMIFS(상세표[기록 시간외],상세표[사번키],INDEX(상세표[사번키],$H20),상세표[기록월],대상월키))</f>
        <v/>
      </c>
      <c r="G20" s="20">
        <f>IF($H20="","",SUMIFS(합계표[시스템 합계],합계표[사번키],INDEX(상세표[사번키],$H20)))</f>
        <v/>
      </c>
      <c r="H20" s="4">
        <f>IFERROR(MATCH(15,상세표[발송인원순번],0),"")</f>
        <v/>
      </c>
      <c r="J20">
        <f>IF($U20="","",INDEX(상세표[사번],$U20)&amp;"")</f>
        <v/>
      </c>
      <c r="K20">
        <f>IF($U20="","",INDEX(상세표[성명],$U20)&amp;"")</f>
        <v/>
      </c>
      <c r="L20">
        <f>IF($U20="","",INDEX(상세표[직위],$U20)&amp;"")</f>
        <v/>
      </c>
      <c r="M20">
        <f>IF($U20="","",IF(ISNUMBER(INDEX(상세표[근무일자],$U20)),TEXT(INDEX(상세표[근무일자],$U20),"yyyy-mm-dd"),INDEX(상세표[근무일자],$U20)&amp;""))</f>
        <v/>
      </c>
      <c r="N20">
        <f>IF($U20="","",IF(ISNUMBER(INDEX(상세표[시작],$U20)),TEXT(INDEX(상세표[시작],$U20),"yyyy-mm-dd hh:mm"),INDEX(상세표[시작],$U20)&amp;""))</f>
        <v/>
      </c>
      <c r="O20">
        <f>IF($U20="","",IF(ISNUMBER(INDEX(상세표[종료],$U20)),TEXT(INDEX(상세표[종료],$U20),"yyyy-mm-dd hh:mm"),INDEX(상세표[종료],$U20)&amp;""))</f>
        <v/>
      </c>
      <c r="P20" s="20">
        <f>IF($U20="","",INDEX(상세표[06~07시],$U20))</f>
        <v/>
      </c>
      <c r="Q20" s="20">
        <f>IF($U20="","",INDEX(상세표[07~18시],$U20))</f>
        <v/>
      </c>
      <c r="R20" s="20">
        <f>IF($U20="","",INDEX(상세표[18~22시],$U20))</f>
        <v/>
      </c>
      <c r="S20" s="20">
        <f>IF($U20="","",INDEX(상세표[22~06시],$U20))</f>
        <v/>
      </c>
      <c r="T20" s="20">
        <f>IF($U20="","",INDEX(상세표[기록 시간외],$U20))</f>
        <v/>
      </c>
      <c r="U20" s="4">
        <f>IFERROR(MATCH(15,상세표[발송순번],0),"")</f>
        <v/>
      </c>
    </row>
    <row r="21">
      <c r="A21">
        <f>IF($H21="","",INDEX(상세표[사번],$H21)&amp;"")</f>
        <v/>
      </c>
      <c r="B21">
        <f>IF($H21="","",INDEX(상세표[성명],$H21)&amp;"")</f>
        <v/>
      </c>
      <c r="C21">
        <f>IF($H21="","",INDEX(상세표[부서],$H21)&amp;"")</f>
        <v/>
      </c>
      <c r="D21">
        <f>IF($H21="","",IF(IFERROR(INDEX(합계표[직위(요약)],MATCH(INDEX(상세표[사번키],$H21),합계표[사번키],0))&amp;IF(INDEX(합계표[직급 공존],MATCH(INDEX(상세표[사번키],$H21),합계표[사번키],0))="",""," ("&amp;INDEX(합계표[직급 공존],MATCH(INDEX(상세표[사번키],$H21),합계표[사번키],0))&amp;")"),"")="",INDEX(상세표[직위],$H21)&amp;"",IFERROR(INDEX(합계표[직위(요약)],MATCH(INDEX(상세표[사번키],$H21),합계표[사번키],0))&amp;IF(INDEX(합계표[직급 공존],MATCH(INDEX(상세표[사번키],$H21),합계표[사번키],0))="",""," ("&amp;INDEX(합계표[직급 공존],MATCH(INDEX(상세표[사번키],$H21),합계표[사번키],0))&amp;")"),"")))</f>
        <v/>
      </c>
      <c r="E21">
        <f>IF($H21="","",COUNTIFS(상세표[사번키],INDEX(상세표[사번키],$H21),상세표[기록월],대상월키))</f>
        <v/>
      </c>
      <c r="F21" s="20">
        <f>IF($H21="","",SUMIFS(상세표[기록 시간외],상세표[사번키],INDEX(상세표[사번키],$H21),상세표[기록월],대상월키))</f>
        <v/>
      </c>
      <c r="G21" s="20">
        <f>IF($H21="","",SUMIFS(합계표[시스템 합계],합계표[사번키],INDEX(상세표[사번키],$H21)))</f>
        <v/>
      </c>
      <c r="H21" s="4">
        <f>IFERROR(MATCH(16,상세표[발송인원순번],0),"")</f>
        <v/>
      </c>
      <c r="J21">
        <f>IF($U21="","",INDEX(상세표[사번],$U21)&amp;"")</f>
        <v/>
      </c>
      <c r="K21">
        <f>IF($U21="","",INDEX(상세표[성명],$U21)&amp;"")</f>
        <v/>
      </c>
      <c r="L21">
        <f>IF($U21="","",INDEX(상세표[직위],$U21)&amp;"")</f>
        <v/>
      </c>
      <c r="M21">
        <f>IF($U21="","",IF(ISNUMBER(INDEX(상세표[근무일자],$U21)),TEXT(INDEX(상세표[근무일자],$U21),"yyyy-mm-dd"),INDEX(상세표[근무일자],$U21)&amp;""))</f>
        <v/>
      </c>
      <c r="N21">
        <f>IF($U21="","",IF(ISNUMBER(INDEX(상세표[시작],$U21)),TEXT(INDEX(상세표[시작],$U21),"yyyy-mm-dd hh:mm"),INDEX(상세표[시작],$U21)&amp;""))</f>
        <v/>
      </c>
      <c r="O21">
        <f>IF($U21="","",IF(ISNUMBER(INDEX(상세표[종료],$U21)),TEXT(INDEX(상세표[종료],$U21),"yyyy-mm-dd hh:mm"),INDEX(상세표[종료],$U21)&amp;""))</f>
        <v/>
      </c>
      <c r="P21" s="20">
        <f>IF($U21="","",INDEX(상세표[06~07시],$U21))</f>
        <v/>
      </c>
      <c r="Q21" s="20">
        <f>IF($U21="","",INDEX(상세표[07~18시],$U21))</f>
        <v/>
      </c>
      <c r="R21" s="20">
        <f>IF($U21="","",INDEX(상세표[18~22시],$U21))</f>
        <v/>
      </c>
      <c r="S21" s="20">
        <f>IF($U21="","",INDEX(상세표[22~06시],$U21))</f>
        <v/>
      </c>
      <c r="T21" s="20">
        <f>IF($U21="","",INDEX(상세표[기록 시간외],$U21))</f>
        <v/>
      </c>
      <c r="U21" s="4">
        <f>IFERROR(MATCH(16,상세표[발송순번],0),"")</f>
        <v/>
      </c>
    </row>
    <row r="22">
      <c r="A22">
        <f>IF($H22="","",INDEX(상세표[사번],$H22)&amp;"")</f>
        <v/>
      </c>
      <c r="B22">
        <f>IF($H22="","",INDEX(상세표[성명],$H22)&amp;"")</f>
        <v/>
      </c>
      <c r="C22">
        <f>IF($H22="","",INDEX(상세표[부서],$H22)&amp;"")</f>
        <v/>
      </c>
      <c r="D22">
        <f>IF($H22="","",IF(IFERROR(INDEX(합계표[직위(요약)],MATCH(INDEX(상세표[사번키],$H22),합계표[사번키],0))&amp;IF(INDEX(합계표[직급 공존],MATCH(INDEX(상세표[사번키],$H22),합계표[사번키],0))="",""," ("&amp;INDEX(합계표[직급 공존],MATCH(INDEX(상세표[사번키],$H22),합계표[사번키],0))&amp;")"),"")="",INDEX(상세표[직위],$H22)&amp;"",IFERROR(INDEX(합계표[직위(요약)],MATCH(INDEX(상세표[사번키],$H22),합계표[사번키],0))&amp;IF(INDEX(합계표[직급 공존],MATCH(INDEX(상세표[사번키],$H22),합계표[사번키],0))="",""," ("&amp;INDEX(합계표[직급 공존],MATCH(INDEX(상세표[사번키],$H22),합계표[사번키],0))&amp;")"),"")))</f>
        <v/>
      </c>
      <c r="E22">
        <f>IF($H22="","",COUNTIFS(상세표[사번키],INDEX(상세표[사번키],$H22),상세표[기록월],대상월키))</f>
        <v/>
      </c>
      <c r="F22" s="20">
        <f>IF($H22="","",SUMIFS(상세표[기록 시간외],상세표[사번키],INDEX(상세표[사번키],$H22),상세표[기록월],대상월키))</f>
        <v/>
      </c>
      <c r="G22" s="20">
        <f>IF($H22="","",SUMIFS(합계표[시스템 합계],합계표[사번키],INDEX(상세표[사번키],$H22)))</f>
        <v/>
      </c>
      <c r="H22" s="4">
        <f>IFERROR(MATCH(17,상세표[발송인원순번],0),"")</f>
        <v/>
      </c>
      <c r="J22">
        <f>IF($U22="","",INDEX(상세표[사번],$U22)&amp;"")</f>
        <v/>
      </c>
      <c r="K22">
        <f>IF($U22="","",INDEX(상세표[성명],$U22)&amp;"")</f>
        <v/>
      </c>
      <c r="L22">
        <f>IF($U22="","",INDEX(상세표[직위],$U22)&amp;"")</f>
        <v/>
      </c>
      <c r="M22">
        <f>IF($U22="","",IF(ISNUMBER(INDEX(상세표[근무일자],$U22)),TEXT(INDEX(상세표[근무일자],$U22),"yyyy-mm-dd"),INDEX(상세표[근무일자],$U22)&amp;""))</f>
        <v/>
      </c>
      <c r="N22">
        <f>IF($U22="","",IF(ISNUMBER(INDEX(상세표[시작],$U22)),TEXT(INDEX(상세표[시작],$U22),"yyyy-mm-dd hh:mm"),INDEX(상세표[시작],$U22)&amp;""))</f>
        <v/>
      </c>
      <c r="O22">
        <f>IF($U22="","",IF(ISNUMBER(INDEX(상세표[종료],$U22)),TEXT(INDEX(상세표[종료],$U22),"yyyy-mm-dd hh:mm"),INDEX(상세표[종료],$U22)&amp;""))</f>
        <v/>
      </c>
      <c r="P22" s="20">
        <f>IF($U22="","",INDEX(상세표[06~07시],$U22))</f>
        <v/>
      </c>
      <c r="Q22" s="20">
        <f>IF($U22="","",INDEX(상세표[07~18시],$U22))</f>
        <v/>
      </c>
      <c r="R22" s="20">
        <f>IF($U22="","",INDEX(상세표[18~22시],$U22))</f>
        <v/>
      </c>
      <c r="S22" s="20">
        <f>IF($U22="","",INDEX(상세표[22~06시],$U22))</f>
        <v/>
      </c>
      <c r="T22" s="20">
        <f>IF($U22="","",INDEX(상세표[기록 시간외],$U22))</f>
        <v/>
      </c>
      <c r="U22" s="4">
        <f>IFERROR(MATCH(17,상세표[발송순번],0),"")</f>
        <v/>
      </c>
    </row>
    <row r="23">
      <c r="A23">
        <f>IF($H23="","",INDEX(상세표[사번],$H23)&amp;"")</f>
        <v/>
      </c>
      <c r="B23">
        <f>IF($H23="","",INDEX(상세표[성명],$H23)&amp;"")</f>
        <v/>
      </c>
      <c r="C23">
        <f>IF($H23="","",INDEX(상세표[부서],$H23)&amp;"")</f>
        <v/>
      </c>
      <c r="D23">
        <f>IF($H23="","",IF(IFERROR(INDEX(합계표[직위(요약)],MATCH(INDEX(상세표[사번키],$H23),합계표[사번키],0))&amp;IF(INDEX(합계표[직급 공존],MATCH(INDEX(상세표[사번키],$H23),합계표[사번키],0))="",""," ("&amp;INDEX(합계표[직급 공존],MATCH(INDEX(상세표[사번키],$H23),합계표[사번키],0))&amp;")"),"")="",INDEX(상세표[직위],$H23)&amp;"",IFERROR(INDEX(합계표[직위(요약)],MATCH(INDEX(상세표[사번키],$H23),합계표[사번키],0))&amp;IF(INDEX(합계표[직급 공존],MATCH(INDEX(상세표[사번키],$H23),합계표[사번키],0))="",""," ("&amp;INDEX(합계표[직급 공존],MATCH(INDEX(상세표[사번키],$H23),합계표[사번키],0))&amp;")"),"")))</f>
        <v/>
      </c>
      <c r="E23">
        <f>IF($H23="","",COUNTIFS(상세표[사번키],INDEX(상세표[사번키],$H23),상세표[기록월],대상월키))</f>
        <v/>
      </c>
      <c r="F23" s="20">
        <f>IF($H23="","",SUMIFS(상세표[기록 시간외],상세표[사번키],INDEX(상세표[사번키],$H23),상세표[기록월],대상월키))</f>
        <v/>
      </c>
      <c r="G23" s="20">
        <f>IF($H23="","",SUMIFS(합계표[시스템 합계],합계표[사번키],INDEX(상세표[사번키],$H23)))</f>
        <v/>
      </c>
      <c r="H23" s="4">
        <f>IFERROR(MATCH(18,상세표[발송인원순번],0),"")</f>
        <v/>
      </c>
      <c r="J23">
        <f>IF($U23="","",INDEX(상세표[사번],$U23)&amp;"")</f>
        <v/>
      </c>
      <c r="K23">
        <f>IF($U23="","",INDEX(상세표[성명],$U23)&amp;"")</f>
        <v/>
      </c>
      <c r="L23">
        <f>IF($U23="","",INDEX(상세표[직위],$U23)&amp;"")</f>
        <v/>
      </c>
      <c r="M23">
        <f>IF($U23="","",IF(ISNUMBER(INDEX(상세표[근무일자],$U23)),TEXT(INDEX(상세표[근무일자],$U23),"yyyy-mm-dd"),INDEX(상세표[근무일자],$U23)&amp;""))</f>
        <v/>
      </c>
      <c r="N23">
        <f>IF($U23="","",IF(ISNUMBER(INDEX(상세표[시작],$U23)),TEXT(INDEX(상세표[시작],$U23),"yyyy-mm-dd hh:mm"),INDEX(상세표[시작],$U23)&amp;""))</f>
        <v/>
      </c>
      <c r="O23">
        <f>IF($U23="","",IF(ISNUMBER(INDEX(상세표[종료],$U23)),TEXT(INDEX(상세표[종료],$U23),"yyyy-mm-dd hh:mm"),INDEX(상세표[종료],$U23)&amp;""))</f>
        <v/>
      </c>
      <c r="P23" s="20">
        <f>IF($U23="","",INDEX(상세표[06~07시],$U23))</f>
        <v/>
      </c>
      <c r="Q23" s="20">
        <f>IF($U23="","",INDEX(상세표[07~18시],$U23))</f>
        <v/>
      </c>
      <c r="R23" s="20">
        <f>IF($U23="","",INDEX(상세표[18~22시],$U23))</f>
        <v/>
      </c>
      <c r="S23" s="20">
        <f>IF($U23="","",INDEX(상세표[22~06시],$U23))</f>
        <v/>
      </c>
      <c r="T23" s="20">
        <f>IF($U23="","",INDEX(상세표[기록 시간외],$U23))</f>
        <v/>
      </c>
      <c r="U23" s="4">
        <f>IFERROR(MATCH(18,상세표[발송순번],0),"")</f>
        <v/>
      </c>
    </row>
    <row r="24">
      <c r="A24">
        <f>IF($H24="","",INDEX(상세표[사번],$H24)&amp;"")</f>
        <v/>
      </c>
      <c r="B24">
        <f>IF($H24="","",INDEX(상세표[성명],$H24)&amp;"")</f>
        <v/>
      </c>
      <c r="C24">
        <f>IF($H24="","",INDEX(상세표[부서],$H24)&amp;"")</f>
        <v/>
      </c>
      <c r="D24">
        <f>IF($H24="","",IF(IFERROR(INDEX(합계표[직위(요약)],MATCH(INDEX(상세표[사번키],$H24),합계표[사번키],0))&amp;IF(INDEX(합계표[직급 공존],MATCH(INDEX(상세표[사번키],$H24),합계표[사번키],0))="",""," ("&amp;INDEX(합계표[직급 공존],MATCH(INDEX(상세표[사번키],$H24),합계표[사번키],0))&amp;")"),"")="",INDEX(상세표[직위],$H24)&amp;"",IFERROR(INDEX(합계표[직위(요약)],MATCH(INDEX(상세표[사번키],$H24),합계표[사번키],0))&amp;IF(INDEX(합계표[직급 공존],MATCH(INDEX(상세표[사번키],$H24),합계표[사번키],0))="",""," ("&amp;INDEX(합계표[직급 공존],MATCH(INDEX(상세표[사번키],$H24),합계표[사번키],0))&amp;")"),"")))</f>
        <v/>
      </c>
      <c r="E24">
        <f>IF($H24="","",COUNTIFS(상세표[사번키],INDEX(상세표[사번키],$H24),상세표[기록월],대상월키))</f>
        <v/>
      </c>
      <c r="F24" s="20">
        <f>IF($H24="","",SUMIFS(상세표[기록 시간외],상세표[사번키],INDEX(상세표[사번키],$H24),상세표[기록월],대상월키))</f>
        <v/>
      </c>
      <c r="G24" s="20">
        <f>IF($H24="","",SUMIFS(합계표[시스템 합계],합계표[사번키],INDEX(상세표[사번키],$H24)))</f>
        <v/>
      </c>
      <c r="H24" s="4">
        <f>IFERROR(MATCH(19,상세표[발송인원순번],0),"")</f>
        <v/>
      </c>
      <c r="J24">
        <f>IF($U24="","",INDEX(상세표[사번],$U24)&amp;"")</f>
        <v/>
      </c>
      <c r="K24">
        <f>IF($U24="","",INDEX(상세표[성명],$U24)&amp;"")</f>
        <v/>
      </c>
      <c r="L24">
        <f>IF($U24="","",INDEX(상세표[직위],$U24)&amp;"")</f>
        <v/>
      </c>
      <c r="M24">
        <f>IF($U24="","",IF(ISNUMBER(INDEX(상세표[근무일자],$U24)),TEXT(INDEX(상세표[근무일자],$U24),"yyyy-mm-dd"),INDEX(상세표[근무일자],$U24)&amp;""))</f>
        <v/>
      </c>
      <c r="N24">
        <f>IF($U24="","",IF(ISNUMBER(INDEX(상세표[시작],$U24)),TEXT(INDEX(상세표[시작],$U24),"yyyy-mm-dd hh:mm"),INDEX(상세표[시작],$U24)&amp;""))</f>
        <v/>
      </c>
      <c r="O24">
        <f>IF($U24="","",IF(ISNUMBER(INDEX(상세표[종료],$U24)),TEXT(INDEX(상세표[종료],$U24),"yyyy-mm-dd hh:mm"),INDEX(상세표[종료],$U24)&amp;""))</f>
        <v/>
      </c>
      <c r="P24" s="20">
        <f>IF($U24="","",INDEX(상세표[06~07시],$U24))</f>
        <v/>
      </c>
      <c r="Q24" s="20">
        <f>IF($U24="","",INDEX(상세표[07~18시],$U24))</f>
        <v/>
      </c>
      <c r="R24" s="20">
        <f>IF($U24="","",INDEX(상세표[18~22시],$U24))</f>
        <v/>
      </c>
      <c r="S24" s="20">
        <f>IF($U24="","",INDEX(상세표[22~06시],$U24))</f>
        <v/>
      </c>
      <c r="T24" s="20">
        <f>IF($U24="","",INDEX(상세표[기록 시간외],$U24))</f>
        <v/>
      </c>
      <c r="U24" s="4">
        <f>IFERROR(MATCH(19,상세표[발송순번],0),"")</f>
        <v/>
      </c>
    </row>
    <row r="25">
      <c r="A25">
        <f>IF($H25="","",INDEX(상세표[사번],$H25)&amp;"")</f>
        <v/>
      </c>
      <c r="B25">
        <f>IF($H25="","",INDEX(상세표[성명],$H25)&amp;"")</f>
        <v/>
      </c>
      <c r="C25">
        <f>IF($H25="","",INDEX(상세표[부서],$H25)&amp;"")</f>
        <v/>
      </c>
      <c r="D25">
        <f>IF($H25="","",IF(IFERROR(INDEX(합계표[직위(요약)],MATCH(INDEX(상세표[사번키],$H25),합계표[사번키],0))&amp;IF(INDEX(합계표[직급 공존],MATCH(INDEX(상세표[사번키],$H25),합계표[사번키],0))="",""," ("&amp;INDEX(합계표[직급 공존],MATCH(INDEX(상세표[사번키],$H25),합계표[사번키],0))&amp;")"),"")="",INDEX(상세표[직위],$H25)&amp;"",IFERROR(INDEX(합계표[직위(요약)],MATCH(INDEX(상세표[사번키],$H25),합계표[사번키],0))&amp;IF(INDEX(합계표[직급 공존],MATCH(INDEX(상세표[사번키],$H25),합계표[사번키],0))="",""," ("&amp;INDEX(합계표[직급 공존],MATCH(INDEX(상세표[사번키],$H25),합계표[사번키],0))&amp;")"),"")))</f>
        <v/>
      </c>
      <c r="E25">
        <f>IF($H25="","",COUNTIFS(상세표[사번키],INDEX(상세표[사번키],$H25),상세표[기록월],대상월키))</f>
        <v/>
      </c>
      <c r="F25" s="20">
        <f>IF($H25="","",SUMIFS(상세표[기록 시간외],상세표[사번키],INDEX(상세표[사번키],$H25),상세표[기록월],대상월키))</f>
        <v/>
      </c>
      <c r="G25" s="20">
        <f>IF($H25="","",SUMIFS(합계표[시스템 합계],합계표[사번키],INDEX(상세표[사번키],$H25)))</f>
        <v/>
      </c>
      <c r="H25" s="4">
        <f>IFERROR(MATCH(20,상세표[발송인원순번],0),"")</f>
        <v/>
      </c>
      <c r="J25">
        <f>IF($U25="","",INDEX(상세표[사번],$U25)&amp;"")</f>
        <v/>
      </c>
      <c r="K25">
        <f>IF($U25="","",INDEX(상세표[성명],$U25)&amp;"")</f>
        <v/>
      </c>
      <c r="L25">
        <f>IF($U25="","",INDEX(상세표[직위],$U25)&amp;"")</f>
        <v/>
      </c>
      <c r="M25">
        <f>IF($U25="","",IF(ISNUMBER(INDEX(상세표[근무일자],$U25)),TEXT(INDEX(상세표[근무일자],$U25),"yyyy-mm-dd"),INDEX(상세표[근무일자],$U25)&amp;""))</f>
        <v/>
      </c>
      <c r="N25">
        <f>IF($U25="","",IF(ISNUMBER(INDEX(상세표[시작],$U25)),TEXT(INDEX(상세표[시작],$U25),"yyyy-mm-dd hh:mm"),INDEX(상세표[시작],$U25)&amp;""))</f>
        <v/>
      </c>
      <c r="O25">
        <f>IF($U25="","",IF(ISNUMBER(INDEX(상세표[종료],$U25)),TEXT(INDEX(상세표[종료],$U25),"yyyy-mm-dd hh:mm"),INDEX(상세표[종료],$U25)&amp;""))</f>
        <v/>
      </c>
      <c r="P25" s="20">
        <f>IF($U25="","",INDEX(상세표[06~07시],$U25))</f>
        <v/>
      </c>
      <c r="Q25" s="20">
        <f>IF($U25="","",INDEX(상세표[07~18시],$U25))</f>
        <v/>
      </c>
      <c r="R25" s="20">
        <f>IF($U25="","",INDEX(상세표[18~22시],$U25))</f>
        <v/>
      </c>
      <c r="S25" s="20">
        <f>IF($U25="","",INDEX(상세표[22~06시],$U25))</f>
        <v/>
      </c>
      <c r="T25" s="20">
        <f>IF($U25="","",INDEX(상세표[기록 시간외],$U25))</f>
        <v/>
      </c>
      <c r="U25" s="4">
        <f>IFERROR(MATCH(20,상세표[발송순번],0),"")</f>
        <v/>
      </c>
    </row>
    <row r="26">
      <c r="A26">
        <f>IF($H26="","",INDEX(상세표[사번],$H26)&amp;"")</f>
        <v/>
      </c>
      <c r="B26">
        <f>IF($H26="","",INDEX(상세표[성명],$H26)&amp;"")</f>
        <v/>
      </c>
      <c r="C26">
        <f>IF($H26="","",INDEX(상세표[부서],$H26)&amp;"")</f>
        <v/>
      </c>
      <c r="D26">
        <f>IF($H26="","",IF(IFERROR(INDEX(합계표[직위(요약)],MATCH(INDEX(상세표[사번키],$H26),합계표[사번키],0))&amp;IF(INDEX(합계표[직급 공존],MATCH(INDEX(상세표[사번키],$H26),합계표[사번키],0))="",""," ("&amp;INDEX(합계표[직급 공존],MATCH(INDEX(상세표[사번키],$H26),합계표[사번키],0))&amp;")"),"")="",INDEX(상세표[직위],$H26)&amp;"",IFERROR(INDEX(합계표[직위(요약)],MATCH(INDEX(상세표[사번키],$H26),합계표[사번키],0))&amp;IF(INDEX(합계표[직급 공존],MATCH(INDEX(상세표[사번키],$H26),합계표[사번키],0))="",""," ("&amp;INDEX(합계표[직급 공존],MATCH(INDEX(상세표[사번키],$H26),합계표[사번키],0))&amp;")"),"")))</f>
        <v/>
      </c>
      <c r="E26">
        <f>IF($H26="","",COUNTIFS(상세표[사번키],INDEX(상세표[사번키],$H26),상세표[기록월],대상월키))</f>
        <v/>
      </c>
      <c r="F26" s="20">
        <f>IF($H26="","",SUMIFS(상세표[기록 시간외],상세표[사번키],INDEX(상세표[사번키],$H26),상세표[기록월],대상월키))</f>
        <v/>
      </c>
      <c r="G26" s="20">
        <f>IF($H26="","",SUMIFS(합계표[시스템 합계],합계표[사번키],INDEX(상세표[사번키],$H26)))</f>
        <v/>
      </c>
      <c r="H26" s="4">
        <f>IFERROR(MATCH(21,상세표[발송인원순번],0),"")</f>
        <v/>
      </c>
      <c r="J26">
        <f>IF($U26="","",INDEX(상세표[사번],$U26)&amp;"")</f>
        <v/>
      </c>
      <c r="K26">
        <f>IF($U26="","",INDEX(상세표[성명],$U26)&amp;"")</f>
        <v/>
      </c>
      <c r="L26">
        <f>IF($U26="","",INDEX(상세표[직위],$U26)&amp;"")</f>
        <v/>
      </c>
      <c r="M26">
        <f>IF($U26="","",IF(ISNUMBER(INDEX(상세표[근무일자],$U26)),TEXT(INDEX(상세표[근무일자],$U26),"yyyy-mm-dd"),INDEX(상세표[근무일자],$U26)&amp;""))</f>
        <v/>
      </c>
      <c r="N26">
        <f>IF($U26="","",IF(ISNUMBER(INDEX(상세표[시작],$U26)),TEXT(INDEX(상세표[시작],$U26),"yyyy-mm-dd hh:mm"),INDEX(상세표[시작],$U26)&amp;""))</f>
        <v/>
      </c>
      <c r="O26">
        <f>IF($U26="","",IF(ISNUMBER(INDEX(상세표[종료],$U26)),TEXT(INDEX(상세표[종료],$U26),"yyyy-mm-dd hh:mm"),INDEX(상세표[종료],$U26)&amp;""))</f>
        <v/>
      </c>
      <c r="P26" s="20">
        <f>IF($U26="","",INDEX(상세표[06~07시],$U26))</f>
        <v/>
      </c>
      <c r="Q26" s="20">
        <f>IF($U26="","",INDEX(상세표[07~18시],$U26))</f>
        <v/>
      </c>
      <c r="R26" s="20">
        <f>IF($U26="","",INDEX(상세표[18~22시],$U26))</f>
        <v/>
      </c>
      <c r="S26" s="20">
        <f>IF($U26="","",INDEX(상세표[22~06시],$U26))</f>
        <v/>
      </c>
      <c r="T26" s="20">
        <f>IF($U26="","",INDEX(상세표[기록 시간외],$U26))</f>
        <v/>
      </c>
      <c r="U26" s="4">
        <f>IFERROR(MATCH(21,상세표[발송순번],0),"")</f>
        <v/>
      </c>
    </row>
    <row r="27">
      <c r="A27">
        <f>IF($H27="","",INDEX(상세표[사번],$H27)&amp;"")</f>
        <v/>
      </c>
      <c r="B27">
        <f>IF($H27="","",INDEX(상세표[성명],$H27)&amp;"")</f>
        <v/>
      </c>
      <c r="C27">
        <f>IF($H27="","",INDEX(상세표[부서],$H27)&amp;"")</f>
        <v/>
      </c>
      <c r="D27">
        <f>IF($H27="","",IF(IFERROR(INDEX(합계표[직위(요약)],MATCH(INDEX(상세표[사번키],$H27),합계표[사번키],0))&amp;IF(INDEX(합계표[직급 공존],MATCH(INDEX(상세표[사번키],$H27),합계표[사번키],0))="",""," ("&amp;INDEX(합계표[직급 공존],MATCH(INDEX(상세표[사번키],$H27),합계표[사번키],0))&amp;")"),"")="",INDEX(상세표[직위],$H27)&amp;"",IFERROR(INDEX(합계표[직위(요약)],MATCH(INDEX(상세표[사번키],$H27),합계표[사번키],0))&amp;IF(INDEX(합계표[직급 공존],MATCH(INDEX(상세표[사번키],$H27),합계표[사번키],0))="",""," ("&amp;INDEX(합계표[직급 공존],MATCH(INDEX(상세표[사번키],$H27),합계표[사번키],0))&amp;")"),"")))</f>
        <v/>
      </c>
      <c r="E27">
        <f>IF($H27="","",COUNTIFS(상세표[사번키],INDEX(상세표[사번키],$H27),상세표[기록월],대상월키))</f>
        <v/>
      </c>
      <c r="F27" s="20">
        <f>IF($H27="","",SUMIFS(상세표[기록 시간외],상세표[사번키],INDEX(상세표[사번키],$H27),상세표[기록월],대상월키))</f>
        <v/>
      </c>
      <c r="G27" s="20">
        <f>IF($H27="","",SUMIFS(합계표[시스템 합계],합계표[사번키],INDEX(상세표[사번키],$H27)))</f>
        <v/>
      </c>
      <c r="H27" s="4">
        <f>IFERROR(MATCH(22,상세표[발송인원순번],0),"")</f>
        <v/>
      </c>
      <c r="J27">
        <f>IF($U27="","",INDEX(상세표[사번],$U27)&amp;"")</f>
        <v/>
      </c>
      <c r="K27">
        <f>IF($U27="","",INDEX(상세표[성명],$U27)&amp;"")</f>
        <v/>
      </c>
      <c r="L27">
        <f>IF($U27="","",INDEX(상세표[직위],$U27)&amp;"")</f>
        <v/>
      </c>
      <c r="M27">
        <f>IF($U27="","",IF(ISNUMBER(INDEX(상세표[근무일자],$U27)),TEXT(INDEX(상세표[근무일자],$U27),"yyyy-mm-dd"),INDEX(상세표[근무일자],$U27)&amp;""))</f>
        <v/>
      </c>
      <c r="N27">
        <f>IF($U27="","",IF(ISNUMBER(INDEX(상세표[시작],$U27)),TEXT(INDEX(상세표[시작],$U27),"yyyy-mm-dd hh:mm"),INDEX(상세표[시작],$U27)&amp;""))</f>
        <v/>
      </c>
      <c r="O27">
        <f>IF($U27="","",IF(ISNUMBER(INDEX(상세표[종료],$U27)),TEXT(INDEX(상세표[종료],$U27),"yyyy-mm-dd hh:mm"),INDEX(상세표[종료],$U27)&amp;""))</f>
        <v/>
      </c>
      <c r="P27" s="20">
        <f>IF($U27="","",INDEX(상세표[06~07시],$U27))</f>
        <v/>
      </c>
      <c r="Q27" s="20">
        <f>IF($U27="","",INDEX(상세표[07~18시],$U27))</f>
        <v/>
      </c>
      <c r="R27" s="20">
        <f>IF($U27="","",INDEX(상세표[18~22시],$U27))</f>
        <v/>
      </c>
      <c r="S27" s="20">
        <f>IF($U27="","",INDEX(상세표[22~06시],$U27))</f>
        <v/>
      </c>
      <c r="T27" s="20">
        <f>IF($U27="","",INDEX(상세표[기록 시간외],$U27))</f>
        <v/>
      </c>
      <c r="U27" s="4">
        <f>IFERROR(MATCH(22,상세표[발송순번],0),"")</f>
        <v/>
      </c>
    </row>
    <row r="28">
      <c r="A28">
        <f>IF($H28="","",INDEX(상세표[사번],$H28)&amp;"")</f>
        <v/>
      </c>
      <c r="B28">
        <f>IF($H28="","",INDEX(상세표[성명],$H28)&amp;"")</f>
        <v/>
      </c>
      <c r="C28">
        <f>IF($H28="","",INDEX(상세표[부서],$H28)&amp;"")</f>
        <v/>
      </c>
      <c r="D28">
        <f>IF($H28="","",IF(IFERROR(INDEX(합계표[직위(요약)],MATCH(INDEX(상세표[사번키],$H28),합계표[사번키],0))&amp;IF(INDEX(합계표[직급 공존],MATCH(INDEX(상세표[사번키],$H28),합계표[사번키],0))="",""," ("&amp;INDEX(합계표[직급 공존],MATCH(INDEX(상세표[사번키],$H28),합계표[사번키],0))&amp;")"),"")="",INDEX(상세표[직위],$H28)&amp;"",IFERROR(INDEX(합계표[직위(요약)],MATCH(INDEX(상세표[사번키],$H28),합계표[사번키],0))&amp;IF(INDEX(합계표[직급 공존],MATCH(INDEX(상세표[사번키],$H28),합계표[사번키],0))="",""," ("&amp;INDEX(합계표[직급 공존],MATCH(INDEX(상세표[사번키],$H28),합계표[사번키],0))&amp;")"),"")))</f>
        <v/>
      </c>
      <c r="E28">
        <f>IF($H28="","",COUNTIFS(상세표[사번키],INDEX(상세표[사번키],$H28),상세표[기록월],대상월키))</f>
        <v/>
      </c>
      <c r="F28" s="20">
        <f>IF($H28="","",SUMIFS(상세표[기록 시간외],상세표[사번키],INDEX(상세표[사번키],$H28),상세표[기록월],대상월키))</f>
        <v/>
      </c>
      <c r="G28" s="20">
        <f>IF($H28="","",SUMIFS(합계표[시스템 합계],합계표[사번키],INDEX(상세표[사번키],$H28)))</f>
        <v/>
      </c>
      <c r="H28" s="4">
        <f>IFERROR(MATCH(23,상세표[발송인원순번],0),"")</f>
        <v/>
      </c>
      <c r="J28">
        <f>IF($U28="","",INDEX(상세표[사번],$U28)&amp;"")</f>
        <v/>
      </c>
      <c r="K28">
        <f>IF($U28="","",INDEX(상세표[성명],$U28)&amp;"")</f>
        <v/>
      </c>
      <c r="L28">
        <f>IF($U28="","",INDEX(상세표[직위],$U28)&amp;"")</f>
        <v/>
      </c>
      <c r="M28">
        <f>IF($U28="","",IF(ISNUMBER(INDEX(상세표[근무일자],$U28)),TEXT(INDEX(상세표[근무일자],$U28),"yyyy-mm-dd"),INDEX(상세표[근무일자],$U28)&amp;""))</f>
        <v/>
      </c>
      <c r="N28">
        <f>IF($U28="","",IF(ISNUMBER(INDEX(상세표[시작],$U28)),TEXT(INDEX(상세표[시작],$U28),"yyyy-mm-dd hh:mm"),INDEX(상세표[시작],$U28)&amp;""))</f>
        <v/>
      </c>
      <c r="O28">
        <f>IF($U28="","",IF(ISNUMBER(INDEX(상세표[종료],$U28)),TEXT(INDEX(상세표[종료],$U28),"yyyy-mm-dd hh:mm"),INDEX(상세표[종료],$U28)&amp;""))</f>
        <v/>
      </c>
      <c r="P28" s="20">
        <f>IF($U28="","",INDEX(상세표[06~07시],$U28))</f>
        <v/>
      </c>
      <c r="Q28" s="20">
        <f>IF($U28="","",INDEX(상세표[07~18시],$U28))</f>
        <v/>
      </c>
      <c r="R28" s="20">
        <f>IF($U28="","",INDEX(상세표[18~22시],$U28))</f>
        <v/>
      </c>
      <c r="S28" s="20">
        <f>IF($U28="","",INDEX(상세표[22~06시],$U28))</f>
        <v/>
      </c>
      <c r="T28" s="20">
        <f>IF($U28="","",INDEX(상세표[기록 시간외],$U28))</f>
        <v/>
      </c>
      <c r="U28" s="4">
        <f>IFERROR(MATCH(23,상세표[발송순번],0),"")</f>
        <v/>
      </c>
    </row>
    <row r="29">
      <c r="A29">
        <f>IF($H29="","",INDEX(상세표[사번],$H29)&amp;"")</f>
        <v/>
      </c>
      <c r="B29">
        <f>IF($H29="","",INDEX(상세표[성명],$H29)&amp;"")</f>
        <v/>
      </c>
      <c r="C29">
        <f>IF($H29="","",INDEX(상세표[부서],$H29)&amp;"")</f>
        <v/>
      </c>
      <c r="D29">
        <f>IF($H29="","",IF(IFERROR(INDEX(합계표[직위(요약)],MATCH(INDEX(상세표[사번키],$H29),합계표[사번키],0))&amp;IF(INDEX(합계표[직급 공존],MATCH(INDEX(상세표[사번키],$H29),합계표[사번키],0))="",""," ("&amp;INDEX(합계표[직급 공존],MATCH(INDEX(상세표[사번키],$H29),합계표[사번키],0))&amp;")"),"")="",INDEX(상세표[직위],$H29)&amp;"",IFERROR(INDEX(합계표[직위(요약)],MATCH(INDEX(상세표[사번키],$H29),합계표[사번키],0))&amp;IF(INDEX(합계표[직급 공존],MATCH(INDEX(상세표[사번키],$H29),합계표[사번키],0))="",""," ("&amp;INDEX(합계표[직급 공존],MATCH(INDEX(상세표[사번키],$H29),합계표[사번키],0))&amp;")"),"")))</f>
        <v/>
      </c>
      <c r="E29">
        <f>IF($H29="","",COUNTIFS(상세표[사번키],INDEX(상세표[사번키],$H29),상세표[기록월],대상월키))</f>
        <v/>
      </c>
      <c r="F29" s="20">
        <f>IF($H29="","",SUMIFS(상세표[기록 시간외],상세표[사번키],INDEX(상세표[사번키],$H29),상세표[기록월],대상월키))</f>
        <v/>
      </c>
      <c r="G29" s="20">
        <f>IF($H29="","",SUMIFS(합계표[시스템 합계],합계표[사번키],INDEX(상세표[사번키],$H29)))</f>
        <v/>
      </c>
      <c r="H29" s="4">
        <f>IFERROR(MATCH(24,상세표[발송인원순번],0),"")</f>
        <v/>
      </c>
      <c r="J29">
        <f>IF($U29="","",INDEX(상세표[사번],$U29)&amp;"")</f>
        <v/>
      </c>
      <c r="K29">
        <f>IF($U29="","",INDEX(상세표[성명],$U29)&amp;"")</f>
        <v/>
      </c>
      <c r="L29">
        <f>IF($U29="","",INDEX(상세표[직위],$U29)&amp;"")</f>
        <v/>
      </c>
      <c r="M29">
        <f>IF($U29="","",IF(ISNUMBER(INDEX(상세표[근무일자],$U29)),TEXT(INDEX(상세표[근무일자],$U29),"yyyy-mm-dd"),INDEX(상세표[근무일자],$U29)&amp;""))</f>
        <v/>
      </c>
      <c r="N29">
        <f>IF($U29="","",IF(ISNUMBER(INDEX(상세표[시작],$U29)),TEXT(INDEX(상세표[시작],$U29),"yyyy-mm-dd hh:mm"),INDEX(상세표[시작],$U29)&amp;""))</f>
        <v/>
      </c>
      <c r="O29">
        <f>IF($U29="","",IF(ISNUMBER(INDEX(상세표[종료],$U29)),TEXT(INDEX(상세표[종료],$U29),"yyyy-mm-dd hh:mm"),INDEX(상세표[종료],$U29)&amp;""))</f>
        <v/>
      </c>
      <c r="P29" s="20">
        <f>IF($U29="","",INDEX(상세표[06~07시],$U29))</f>
        <v/>
      </c>
      <c r="Q29" s="20">
        <f>IF($U29="","",INDEX(상세표[07~18시],$U29))</f>
        <v/>
      </c>
      <c r="R29" s="20">
        <f>IF($U29="","",INDEX(상세표[18~22시],$U29))</f>
        <v/>
      </c>
      <c r="S29" s="20">
        <f>IF($U29="","",INDEX(상세표[22~06시],$U29))</f>
        <v/>
      </c>
      <c r="T29" s="20">
        <f>IF($U29="","",INDEX(상세표[기록 시간외],$U29))</f>
        <v/>
      </c>
      <c r="U29" s="4">
        <f>IFERROR(MATCH(24,상세표[발송순번],0),"")</f>
        <v/>
      </c>
    </row>
    <row r="30">
      <c r="A30">
        <f>IF($H30="","",INDEX(상세표[사번],$H30)&amp;"")</f>
        <v/>
      </c>
      <c r="B30">
        <f>IF($H30="","",INDEX(상세표[성명],$H30)&amp;"")</f>
        <v/>
      </c>
      <c r="C30">
        <f>IF($H30="","",INDEX(상세표[부서],$H30)&amp;"")</f>
        <v/>
      </c>
      <c r="D30">
        <f>IF($H30="","",IF(IFERROR(INDEX(합계표[직위(요약)],MATCH(INDEX(상세표[사번키],$H30),합계표[사번키],0))&amp;IF(INDEX(합계표[직급 공존],MATCH(INDEX(상세표[사번키],$H30),합계표[사번키],0))="",""," ("&amp;INDEX(합계표[직급 공존],MATCH(INDEX(상세표[사번키],$H30),합계표[사번키],0))&amp;")"),"")="",INDEX(상세표[직위],$H30)&amp;"",IFERROR(INDEX(합계표[직위(요약)],MATCH(INDEX(상세표[사번키],$H30),합계표[사번키],0))&amp;IF(INDEX(합계표[직급 공존],MATCH(INDEX(상세표[사번키],$H30),합계표[사번키],0))="",""," ("&amp;INDEX(합계표[직급 공존],MATCH(INDEX(상세표[사번키],$H30),합계표[사번키],0))&amp;")"),"")))</f>
        <v/>
      </c>
      <c r="E30">
        <f>IF($H30="","",COUNTIFS(상세표[사번키],INDEX(상세표[사번키],$H30),상세표[기록월],대상월키))</f>
        <v/>
      </c>
      <c r="F30" s="20">
        <f>IF($H30="","",SUMIFS(상세표[기록 시간외],상세표[사번키],INDEX(상세표[사번키],$H30),상세표[기록월],대상월키))</f>
        <v/>
      </c>
      <c r="G30" s="20">
        <f>IF($H30="","",SUMIFS(합계표[시스템 합계],합계표[사번키],INDEX(상세표[사번키],$H30)))</f>
        <v/>
      </c>
      <c r="H30" s="4">
        <f>IFERROR(MATCH(25,상세표[발송인원순번],0),"")</f>
        <v/>
      </c>
      <c r="J30">
        <f>IF($U30="","",INDEX(상세표[사번],$U30)&amp;"")</f>
        <v/>
      </c>
      <c r="K30">
        <f>IF($U30="","",INDEX(상세표[성명],$U30)&amp;"")</f>
        <v/>
      </c>
      <c r="L30">
        <f>IF($U30="","",INDEX(상세표[직위],$U30)&amp;"")</f>
        <v/>
      </c>
      <c r="M30">
        <f>IF($U30="","",IF(ISNUMBER(INDEX(상세표[근무일자],$U30)),TEXT(INDEX(상세표[근무일자],$U30),"yyyy-mm-dd"),INDEX(상세표[근무일자],$U30)&amp;""))</f>
        <v/>
      </c>
      <c r="N30">
        <f>IF($U30="","",IF(ISNUMBER(INDEX(상세표[시작],$U30)),TEXT(INDEX(상세표[시작],$U30),"yyyy-mm-dd hh:mm"),INDEX(상세표[시작],$U30)&amp;""))</f>
        <v/>
      </c>
      <c r="O30">
        <f>IF($U30="","",IF(ISNUMBER(INDEX(상세표[종료],$U30)),TEXT(INDEX(상세표[종료],$U30),"yyyy-mm-dd hh:mm"),INDEX(상세표[종료],$U30)&amp;""))</f>
        <v/>
      </c>
      <c r="P30" s="20">
        <f>IF($U30="","",INDEX(상세표[06~07시],$U30))</f>
        <v/>
      </c>
      <c r="Q30" s="20">
        <f>IF($U30="","",INDEX(상세표[07~18시],$U30))</f>
        <v/>
      </c>
      <c r="R30" s="20">
        <f>IF($U30="","",INDEX(상세표[18~22시],$U30))</f>
        <v/>
      </c>
      <c r="S30" s="20">
        <f>IF($U30="","",INDEX(상세표[22~06시],$U30))</f>
        <v/>
      </c>
      <c r="T30" s="20">
        <f>IF($U30="","",INDEX(상세표[기록 시간외],$U30))</f>
        <v/>
      </c>
      <c r="U30" s="4">
        <f>IFERROR(MATCH(25,상세표[발송순번],0),"")</f>
        <v/>
      </c>
    </row>
    <row r="31">
      <c r="A31">
        <f>IF($H31="","",INDEX(상세표[사번],$H31)&amp;"")</f>
        <v/>
      </c>
      <c r="B31">
        <f>IF($H31="","",INDEX(상세표[성명],$H31)&amp;"")</f>
        <v/>
      </c>
      <c r="C31">
        <f>IF($H31="","",INDEX(상세표[부서],$H31)&amp;"")</f>
        <v/>
      </c>
      <c r="D31">
        <f>IF($H31="","",IF(IFERROR(INDEX(합계표[직위(요약)],MATCH(INDEX(상세표[사번키],$H31),합계표[사번키],0))&amp;IF(INDEX(합계표[직급 공존],MATCH(INDEX(상세표[사번키],$H31),합계표[사번키],0))="",""," ("&amp;INDEX(합계표[직급 공존],MATCH(INDEX(상세표[사번키],$H31),합계표[사번키],0))&amp;")"),"")="",INDEX(상세표[직위],$H31)&amp;"",IFERROR(INDEX(합계표[직위(요약)],MATCH(INDEX(상세표[사번키],$H31),합계표[사번키],0))&amp;IF(INDEX(합계표[직급 공존],MATCH(INDEX(상세표[사번키],$H31),합계표[사번키],0))="",""," ("&amp;INDEX(합계표[직급 공존],MATCH(INDEX(상세표[사번키],$H31),합계표[사번키],0))&amp;")"),"")))</f>
        <v/>
      </c>
      <c r="E31">
        <f>IF($H31="","",COUNTIFS(상세표[사번키],INDEX(상세표[사번키],$H31),상세표[기록월],대상월키))</f>
        <v/>
      </c>
      <c r="F31" s="20">
        <f>IF($H31="","",SUMIFS(상세표[기록 시간외],상세표[사번키],INDEX(상세표[사번키],$H31),상세표[기록월],대상월키))</f>
        <v/>
      </c>
      <c r="G31" s="20">
        <f>IF($H31="","",SUMIFS(합계표[시스템 합계],합계표[사번키],INDEX(상세표[사번키],$H31)))</f>
        <v/>
      </c>
      <c r="H31" s="4">
        <f>IFERROR(MATCH(26,상세표[발송인원순번],0),"")</f>
        <v/>
      </c>
      <c r="J31">
        <f>IF($U31="","",INDEX(상세표[사번],$U31)&amp;"")</f>
        <v/>
      </c>
      <c r="K31">
        <f>IF($U31="","",INDEX(상세표[성명],$U31)&amp;"")</f>
        <v/>
      </c>
      <c r="L31">
        <f>IF($U31="","",INDEX(상세표[직위],$U31)&amp;"")</f>
        <v/>
      </c>
      <c r="M31">
        <f>IF($U31="","",IF(ISNUMBER(INDEX(상세표[근무일자],$U31)),TEXT(INDEX(상세표[근무일자],$U31),"yyyy-mm-dd"),INDEX(상세표[근무일자],$U31)&amp;""))</f>
        <v/>
      </c>
      <c r="N31">
        <f>IF($U31="","",IF(ISNUMBER(INDEX(상세표[시작],$U31)),TEXT(INDEX(상세표[시작],$U31),"yyyy-mm-dd hh:mm"),INDEX(상세표[시작],$U31)&amp;""))</f>
        <v/>
      </c>
      <c r="O31">
        <f>IF($U31="","",IF(ISNUMBER(INDEX(상세표[종료],$U31)),TEXT(INDEX(상세표[종료],$U31),"yyyy-mm-dd hh:mm"),INDEX(상세표[종료],$U31)&amp;""))</f>
        <v/>
      </c>
      <c r="P31" s="20">
        <f>IF($U31="","",INDEX(상세표[06~07시],$U31))</f>
        <v/>
      </c>
      <c r="Q31" s="20">
        <f>IF($U31="","",INDEX(상세표[07~18시],$U31))</f>
        <v/>
      </c>
      <c r="R31" s="20">
        <f>IF($U31="","",INDEX(상세표[18~22시],$U31))</f>
        <v/>
      </c>
      <c r="S31" s="20">
        <f>IF($U31="","",INDEX(상세표[22~06시],$U31))</f>
        <v/>
      </c>
      <c r="T31" s="20">
        <f>IF($U31="","",INDEX(상세표[기록 시간외],$U31))</f>
        <v/>
      </c>
      <c r="U31" s="4">
        <f>IFERROR(MATCH(26,상세표[발송순번],0),"")</f>
        <v/>
      </c>
    </row>
    <row r="32">
      <c r="A32">
        <f>IF($H32="","",INDEX(상세표[사번],$H32)&amp;"")</f>
        <v/>
      </c>
      <c r="B32">
        <f>IF($H32="","",INDEX(상세표[성명],$H32)&amp;"")</f>
        <v/>
      </c>
      <c r="C32">
        <f>IF($H32="","",INDEX(상세표[부서],$H32)&amp;"")</f>
        <v/>
      </c>
      <c r="D32">
        <f>IF($H32="","",IF(IFERROR(INDEX(합계표[직위(요약)],MATCH(INDEX(상세표[사번키],$H32),합계표[사번키],0))&amp;IF(INDEX(합계표[직급 공존],MATCH(INDEX(상세표[사번키],$H32),합계표[사번키],0))="",""," ("&amp;INDEX(합계표[직급 공존],MATCH(INDEX(상세표[사번키],$H32),합계표[사번키],0))&amp;")"),"")="",INDEX(상세표[직위],$H32)&amp;"",IFERROR(INDEX(합계표[직위(요약)],MATCH(INDEX(상세표[사번키],$H32),합계표[사번키],0))&amp;IF(INDEX(합계표[직급 공존],MATCH(INDEX(상세표[사번키],$H32),합계표[사번키],0))="",""," ("&amp;INDEX(합계표[직급 공존],MATCH(INDEX(상세표[사번키],$H32),합계표[사번키],0))&amp;")"),"")))</f>
        <v/>
      </c>
      <c r="E32">
        <f>IF($H32="","",COUNTIFS(상세표[사번키],INDEX(상세표[사번키],$H32),상세표[기록월],대상월키))</f>
        <v/>
      </c>
      <c r="F32" s="20">
        <f>IF($H32="","",SUMIFS(상세표[기록 시간외],상세표[사번키],INDEX(상세표[사번키],$H32),상세표[기록월],대상월키))</f>
        <v/>
      </c>
      <c r="G32" s="20">
        <f>IF($H32="","",SUMIFS(합계표[시스템 합계],합계표[사번키],INDEX(상세표[사번키],$H32)))</f>
        <v/>
      </c>
      <c r="H32" s="4">
        <f>IFERROR(MATCH(27,상세표[발송인원순번],0),"")</f>
        <v/>
      </c>
      <c r="J32">
        <f>IF($U32="","",INDEX(상세표[사번],$U32)&amp;"")</f>
        <v/>
      </c>
      <c r="K32">
        <f>IF($U32="","",INDEX(상세표[성명],$U32)&amp;"")</f>
        <v/>
      </c>
      <c r="L32">
        <f>IF($U32="","",INDEX(상세표[직위],$U32)&amp;"")</f>
        <v/>
      </c>
      <c r="M32">
        <f>IF($U32="","",IF(ISNUMBER(INDEX(상세표[근무일자],$U32)),TEXT(INDEX(상세표[근무일자],$U32),"yyyy-mm-dd"),INDEX(상세표[근무일자],$U32)&amp;""))</f>
        <v/>
      </c>
      <c r="N32">
        <f>IF($U32="","",IF(ISNUMBER(INDEX(상세표[시작],$U32)),TEXT(INDEX(상세표[시작],$U32),"yyyy-mm-dd hh:mm"),INDEX(상세표[시작],$U32)&amp;""))</f>
        <v/>
      </c>
      <c r="O32">
        <f>IF($U32="","",IF(ISNUMBER(INDEX(상세표[종료],$U32)),TEXT(INDEX(상세표[종료],$U32),"yyyy-mm-dd hh:mm"),INDEX(상세표[종료],$U32)&amp;""))</f>
        <v/>
      </c>
      <c r="P32" s="20">
        <f>IF($U32="","",INDEX(상세표[06~07시],$U32))</f>
        <v/>
      </c>
      <c r="Q32" s="20">
        <f>IF($U32="","",INDEX(상세표[07~18시],$U32))</f>
        <v/>
      </c>
      <c r="R32" s="20">
        <f>IF($U32="","",INDEX(상세표[18~22시],$U32))</f>
        <v/>
      </c>
      <c r="S32" s="20">
        <f>IF($U32="","",INDEX(상세표[22~06시],$U32))</f>
        <v/>
      </c>
      <c r="T32" s="20">
        <f>IF($U32="","",INDEX(상세표[기록 시간외],$U32))</f>
        <v/>
      </c>
      <c r="U32" s="4">
        <f>IFERROR(MATCH(27,상세표[발송순번],0),"")</f>
        <v/>
      </c>
    </row>
    <row r="33">
      <c r="A33">
        <f>IF($H33="","",INDEX(상세표[사번],$H33)&amp;"")</f>
        <v/>
      </c>
      <c r="B33">
        <f>IF($H33="","",INDEX(상세표[성명],$H33)&amp;"")</f>
        <v/>
      </c>
      <c r="C33">
        <f>IF($H33="","",INDEX(상세표[부서],$H33)&amp;"")</f>
        <v/>
      </c>
      <c r="D33">
        <f>IF($H33="","",IF(IFERROR(INDEX(합계표[직위(요약)],MATCH(INDEX(상세표[사번키],$H33),합계표[사번키],0))&amp;IF(INDEX(합계표[직급 공존],MATCH(INDEX(상세표[사번키],$H33),합계표[사번키],0))="",""," ("&amp;INDEX(합계표[직급 공존],MATCH(INDEX(상세표[사번키],$H33),합계표[사번키],0))&amp;")"),"")="",INDEX(상세표[직위],$H33)&amp;"",IFERROR(INDEX(합계표[직위(요약)],MATCH(INDEX(상세표[사번키],$H33),합계표[사번키],0))&amp;IF(INDEX(합계표[직급 공존],MATCH(INDEX(상세표[사번키],$H33),합계표[사번키],0))="",""," ("&amp;INDEX(합계표[직급 공존],MATCH(INDEX(상세표[사번키],$H33),합계표[사번키],0))&amp;")"),"")))</f>
        <v/>
      </c>
      <c r="E33">
        <f>IF($H33="","",COUNTIFS(상세표[사번키],INDEX(상세표[사번키],$H33),상세표[기록월],대상월키))</f>
        <v/>
      </c>
      <c r="F33" s="20">
        <f>IF($H33="","",SUMIFS(상세표[기록 시간외],상세표[사번키],INDEX(상세표[사번키],$H33),상세표[기록월],대상월키))</f>
        <v/>
      </c>
      <c r="G33" s="20">
        <f>IF($H33="","",SUMIFS(합계표[시스템 합계],합계표[사번키],INDEX(상세표[사번키],$H33)))</f>
        <v/>
      </c>
      <c r="H33" s="4">
        <f>IFERROR(MATCH(28,상세표[발송인원순번],0),"")</f>
        <v/>
      </c>
      <c r="J33">
        <f>IF($U33="","",INDEX(상세표[사번],$U33)&amp;"")</f>
        <v/>
      </c>
      <c r="K33">
        <f>IF($U33="","",INDEX(상세표[성명],$U33)&amp;"")</f>
        <v/>
      </c>
      <c r="L33">
        <f>IF($U33="","",INDEX(상세표[직위],$U33)&amp;"")</f>
        <v/>
      </c>
      <c r="M33">
        <f>IF($U33="","",IF(ISNUMBER(INDEX(상세표[근무일자],$U33)),TEXT(INDEX(상세표[근무일자],$U33),"yyyy-mm-dd"),INDEX(상세표[근무일자],$U33)&amp;""))</f>
        <v/>
      </c>
      <c r="N33">
        <f>IF($U33="","",IF(ISNUMBER(INDEX(상세표[시작],$U33)),TEXT(INDEX(상세표[시작],$U33),"yyyy-mm-dd hh:mm"),INDEX(상세표[시작],$U33)&amp;""))</f>
        <v/>
      </c>
      <c r="O33">
        <f>IF($U33="","",IF(ISNUMBER(INDEX(상세표[종료],$U33)),TEXT(INDEX(상세표[종료],$U33),"yyyy-mm-dd hh:mm"),INDEX(상세표[종료],$U33)&amp;""))</f>
        <v/>
      </c>
      <c r="P33" s="20">
        <f>IF($U33="","",INDEX(상세표[06~07시],$U33))</f>
        <v/>
      </c>
      <c r="Q33" s="20">
        <f>IF($U33="","",INDEX(상세표[07~18시],$U33))</f>
        <v/>
      </c>
      <c r="R33" s="20">
        <f>IF($U33="","",INDEX(상세표[18~22시],$U33))</f>
        <v/>
      </c>
      <c r="S33" s="20">
        <f>IF($U33="","",INDEX(상세표[22~06시],$U33))</f>
        <v/>
      </c>
      <c r="T33" s="20">
        <f>IF($U33="","",INDEX(상세표[기록 시간외],$U33))</f>
        <v/>
      </c>
      <c r="U33" s="4">
        <f>IFERROR(MATCH(28,상세표[발송순번],0),"")</f>
        <v/>
      </c>
    </row>
    <row r="34">
      <c r="A34">
        <f>IF($H34="","",INDEX(상세표[사번],$H34)&amp;"")</f>
        <v/>
      </c>
      <c r="B34">
        <f>IF($H34="","",INDEX(상세표[성명],$H34)&amp;"")</f>
        <v/>
      </c>
      <c r="C34">
        <f>IF($H34="","",INDEX(상세표[부서],$H34)&amp;"")</f>
        <v/>
      </c>
      <c r="D34">
        <f>IF($H34="","",IF(IFERROR(INDEX(합계표[직위(요약)],MATCH(INDEX(상세표[사번키],$H34),합계표[사번키],0))&amp;IF(INDEX(합계표[직급 공존],MATCH(INDEX(상세표[사번키],$H34),합계표[사번키],0))="",""," ("&amp;INDEX(합계표[직급 공존],MATCH(INDEX(상세표[사번키],$H34),합계표[사번키],0))&amp;")"),"")="",INDEX(상세표[직위],$H34)&amp;"",IFERROR(INDEX(합계표[직위(요약)],MATCH(INDEX(상세표[사번키],$H34),합계표[사번키],0))&amp;IF(INDEX(합계표[직급 공존],MATCH(INDEX(상세표[사번키],$H34),합계표[사번키],0))="",""," ("&amp;INDEX(합계표[직급 공존],MATCH(INDEX(상세표[사번키],$H34),합계표[사번키],0))&amp;")"),"")))</f>
        <v/>
      </c>
      <c r="E34">
        <f>IF($H34="","",COUNTIFS(상세표[사번키],INDEX(상세표[사번키],$H34),상세표[기록월],대상월키))</f>
        <v/>
      </c>
      <c r="F34" s="20">
        <f>IF($H34="","",SUMIFS(상세표[기록 시간외],상세표[사번키],INDEX(상세표[사번키],$H34),상세표[기록월],대상월키))</f>
        <v/>
      </c>
      <c r="G34" s="20">
        <f>IF($H34="","",SUMIFS(합계표[시스템 합계],합계표[사번키],INDEX(상세표[사번키],$H34)))</f>
        <v/>
      </c>
      <c r="H34" s="4">
        <f>IFERROR(MATCH(29,상세표[발송인원순번],0),"")</f>
        <v/>
      </c>
      <c r="J34">
        <f>IF($U34="","",INDEX(상세표[사번],$U34)&amp;"")</f>
        <v/>
      </c>
      <c r="K34">
        <f>IF($U34="","",INDEX(상세표[성명],$U34)&amp;"")</f>
        <v/>
      </c>
      <c r="L34">
        <f>IF($U34="","",INDEX(상세표[직위],$U34)&amp;"")</f>
        <v/>
      </c>
      <c r="M34">
        <f>IF($U34="","",IF(ISNUMBER(INDEX(상세표[근무일자],$U34)),TEXT(INDEX(상세표[근무일자],$U34),"yyyy-mm-dd"),INDEX(상세표[근무일자],$U34)&amp;""))</f>
        <v/>
      </c>
      <c r="N34">
        <f>IF($U34="","",IF(ISNUMBER(INDEX(상세표[시작],$U34)),TEXT(INDEX(상세표[시작],$U34),"yyyy-mm-dd hh:mm"),INDEX(상세표[시작],$U34)&amp;""))</f>
        <v/>
      </c>
      <c r="O34">
        <f>IF($U34="","",IF(ISNUMBER(INDEX(상세표[종료],$U34)),TEXT(INDEX(상세표[종료],$U34),"yyyy-mm-dd hh:mm"),INDEX(상세표[종료],$U34)&amp;""))</f>
        <v/>
      </c>
      <c r="P34" s="20">
        <f>IF($U34="","",INDEX(상세표[06~07시],$U34))</f>
        <v/>
      </c>
      <c r="Q34" s="20">
        <f>IF($U34="","",INDEX(상세표[07~18시],$U34))</f>
        <v/>
      </c>
      <c r="R34" s="20">
        <f>IF($U34="","",INDEX(상세표[18~22시],$U34))</f>
        <v/>
      </c>
      <c r="S34" s="20">
        <f>IF($U34="","",INDEX(상세표[22~06시],$U34))</f>
        <v/>
      </c>
      <c r="T34" s="20">
        <f>IF($U34="","",INDEX(상세표[기록 시간외],$U34))</f>
        <v/>
      </c>
      <c r="U34" s="4">
        <f>IFERROR(MATCH(29,상세표[발송순번],0),"")</f>
        <v/>
      </c>
    </row>
    <row r="35">
      <c r="A35">
        <f>IF($H35="","",INDEX(상세표[사번],$H35)&amp;"")</f>
        <v/>
      </c>
      <c r="B35">
        <f>IF($H35="","",INDEX(상세표[성명],$H35)&amp;"")</f>
        <v/>
      </c>
      <c r="C35">
        <f>IF($H35="","",INDEX(상세표[부서],$H35)&amp;"")</f>
        <v/>
      </c>
      <c r="D35">
        <f>IF($H35="","",IF(IFERROR(INDEX(합계표[직위(요약)],MATCH(INDEX(상세표[사번키],$H35),합계표[사번키],0))&amp;IF(INDEX(합계표[직급 공존],MATCH(INDEX(상세표[사번키],$H35),합계표[사번키],0))="",""," ("&amp;INDEX(합계표[직급 공존],MATCH(INDEX(상세표[사번키],$H35),합계표[사번키],0))&amp;")"),"")="",INDEX(상세표[직위],$H35)&amp;"",IFERROR(INDEX(합계표[직위(요약)],MATCH(INDEX(상세표[사번키],$H35),합계표[사번키],0))&amp;IF(INDEX(합계표[직급 공존],MATCH(INDEX(상세표[사번키],$H35),합계표[사번키],0))="",""," ("&amp;INDEX(합계표[직급 공존],MATCH(INDEX(상세표[사번키],$H35),합계표[사번키],0))&amp;")"),"")))</f>
        <v/>
      </c>
      <c r="E35">
        <f>IF($H35="","",COUNTIFS(상세표[사번키],INDEX(상세표[사번키],$H35),상세표[기록월],대상월키))</f>
        <v/>
      </c>
      <c r="F35" s="20">
        <f>IF($H35="","",SUMIFS(상세표[기록 시간외],상세표[사번키],INDEX(상세표[사번키],$H35),상세표[기록월],대상월키))</f>
        <v/>
      </c>
      <c r="G35" s="20">
        <f>IF($H35="","",SUMIFS(합계표[시스템 합계],합계표[사번키],INDEX(상세표[사번키],$H35)))</f>
        <v/>
      </c>
      <c r="H35" s="4">
        <f>IFERROR(MATCH(30,상세표[발송인원순번],0),"")</f>
        <v/>
      </c>
      <c r="J35">
        <f>IF($U35="","",INDEX(상세표[사번],$U35)&amp;"")</f>
        <v/>
      </c>
      <c r="K35">
        <f>IF($U35="","",INDEX(상세표[성명],$U35)&amp;"")</f>
        <v/>
      </c>
      <c r="L35">
        <f>IF($U35="","",INDEX(상세표[직위],$U35)&amp;"")</f>
        <v/>
      </c>
      <c r="M35">
        <f>IF($U35="","",IF(ISNUMBER(INDEX(상세표[근무일자],$U35)),TEXT(INDEX(상세표[근무일자],$U35),"yyyy-mm-dd"),INDEX(상세표[근무일자],$U35)&amp;""))</f>
        <v/>
      </c>
      <c r="N35">
        <f>IF($U35="","",IF(ISNUMBER(INDEX(상세표[시작],$U35)),TEXT(INDEX(상세표[시작],$U35),"yyyy-mm-dd hh:mm"),INDEX(상세표[시작],$U35)&amp;""))</f>
        <v/>
      </c>
      <c r="O35">
        <f>IF($U35="","",IF(ISNUMBER(INDEX(상세표[종료],$U35)),TEXT(INDEX(상세표[종료],$U35),"yyyy-mm-dd hh:mm"),INDEX(상세표[종료],$U35)&amp;""))</f>
        <v/>
      </c>
      <c r="P35" s="20">
        <f>IF($U35="","",INDEX(상세표[06~07시],$U35))</f>
        <v/>
      </c>
      <c r="Q35" s="20">
        <f>IF($U35="","",INDEX(상세표[07~18시],$U35))</f>
        <v/>
      </c>
      <c r="R35" s="20">
        <f>IF($U35="","",INDEX(상세표[18~22시],$U35))</f>
        <v/>
      </c>
      <c r="S35" s="20">
        <f>IF($U35="","",INDEX(상세표[22~06시],$U35))</f>
        <v/>
      </c>
      <c r="T35" s="20">
        <f>IF($U35="","",INDEX(상세표[기록 시간외],$U35))</f>
        <v/>
      </c>
      <c r="U35" s="4">
        <f>IFERROR(MATCH(30,상세표[발송순번],0),"")</f>
        <v/>
      </c>
    </row>
    <row r="36">
      <c r="A36">
        <f>IF($H36="","",INDEX(상세표[사번],$H36)&amp;"")</f>
        <v/>
      </c>
      <c r="B36">
        <f>IF($H36="","",INDEX(상세표[성명],$H36)&amp;"")</f>
        <v/>
      </c>
      <c r="C36">
        <f>IF($H36="","",INDEX(상세표[부서],$H36)&amp;"")</f>
        <v/>
      </c>
      <c r="D36">
        <f>IF($H36="","",IF(IFERROR(INDEX(합계표[직위(요약)],MATCH(INDEX(상세표[사번키],$H36),합계표[사번키],0))&amp;IF(INDEX(합계표[직급 공존],MATCH(INDEX(상세표[사번키],$H36),합계표[사번키],0))="",""," ("&amp;INDEX(합계표[직급 공존],MATCH(INDEX(상세표[사번키],$H36),합계표[사번키],0))&amp;")"),"")="",INDEX(상세표[직위],$H36)&amp;"",IFERROR(INDEX(합계표[직위(요약)],MATCH(INDEX(상세표[사번키],$H36),합계표[사번키],0))&amp;IF(INDEX(합계표[직급 공존],MATCH(INDEX(상세표[사번키],$H36),합계표[사번키],0))="",""," ("&amp;INDEX(합계표[직급 공존],MATCH(INDEX(상세표[사번키],$H36),합계표[사번키],0))&amp;")"),"")))</f>
        <v/>
      </c>
      <c r="E36">
        <f>IF($H36="","",COUNTIFS(상세표[사번키],INDEX(상세표[사번키],$H36),상세표[기록월],대상월키))</f>
        <v/>
      </c>
      <c r="F36" s="20">
        <f>IF($H36="","",SUMIFS(상세표[기록 시간외],상세표[사번키],INDEX(상세표[사번키],$H36),상세표[기록월],대상월키))</f>
        <v/>
      </c>
      <c r="G36" s="20">
        <f>IF($H36="","",SUMIFS(합계표[시스템 합계],합계표[사번키],INDEX(상세표[사번키],$H36)))</f>
        <v/>
      </c>
      <c r="H36" s="4">
        <f>IFERROR(MATCH(31,상세표[발송인원순번],0),"")</f>
        <v/>
      </c>
      <c r="J36">
        <f>IF($U36="","",INDEX(상세표[사번],$U36)&amp;"")</f>
        <v/>
      </c>
      <c r="K36">
        <f>IF($U36="","",INDEX(상세표[성명],$U36)&amp;"")</f>
        <v/>
      </c>
      <c r="L36">
        <f>IF($U36="","",INDEX(상세표[직위],$U36)&amp;"")</f>
        <v/>
      </c>
      <c r="M36">
        <f>IF($U36="","",IF(ISNUMBER(INDEX(상세표[근무일자],$U36)),TEXT(INDEX(상세표[근무일자],$U36),"yyyy-mm-dd"),INDEX(상세표[근무일자],$U36)&amp;""))</f>
        <v/>
      </c>
      <c r="N36">
        <f>IF($U36="","",IF(ISNUMBER(INDEX(상세표[시작],$U36)),TEXT(INDEX(상세표[시작],$U36),"yyyy-mm-dd hh:mm"),INDEX(상세표[시작],$U36)&amp;""))</f>
        <v/>
      </c>
      <c r="O36">
        <f>IF($U36="","",IF(ISNUMBER(INDEX(상세표[종료],$U36)),TEXT(INDEX(상세표[종료],$U36),"yyyy-mm-dd hh:mm"),INDEX(상세표[종료],$U36)&amp;""))</f>
        <v/>
      </c>
      <c r="P36" s="20">
        <f>IF($U36="","",INDEX(상세표[06~07시],$U36))</f>
        <v/>
      </c>
      <c r="Q36" s="20">
        <f>IF($U36="","",INDEX(상세표[07~18시],$U36))</f>
        <v/>
      </c>
      <c r="R36" s="20">
        <f>IF($U36="","",INDEX(상세표[18~22시],$U36))</f>
        <v/>
      </c>
      <c r="S36" s="20">
        <f>IF($U36="","",INDEX(상세표[22~06시],$U36))</f>
        <v/>
      </c>
      <c r="T36" s="20">
        <f>IF($U36="","",INDEX(상세표[기록 시간외],$U36))</f>
        <v/>
      </c>
      <c r="U36" s="4">
        <f>IFERROR(MATCH(31,상세표[발송순번],0),"")</f>
        <v/>
      </c>
    </row>
    <row r="37">
      <c r="A37">
        <f>IF($H37="","",INDEX(상세표[사번],$H37)&amp;"")</f>
        <v/>
      </c>
      <c r="B37">
        <f>IF($H37="","",INDEX(상세표[성명],$H37)&amp;"")</f>
        <v/>
      </c>
      <c r="C37">
        <f>IF($H37="","",INDEX(상세표[부서],$H37)&amp;"")</f>
        <v/>
      </c>
      <c r="D37">
        <f>IF($H37="","",IF(IFERROR(INDEX(합계표[직위(요약)],MATCH(INDEX(상세표[사번키],$H37),합계표[사번키],0))&amp;IF(INDEX(합계표[직급 공존],MATCH(INDEX(상세표[사번키],$H37),합계표[사번키],0))="",""," ("&amp;INDEX(합계표[직급 공존],MATCH(INDEX(상세표[사번키],$H37),합계표[사번키],0))&amp;")"),"")="",INDEX(상세표[직위],$H37)&amp;"",IFERROR(INDEX(합계표[직위(요약)],MATCH(INDEX(상세표[사번키],$H37),합계표[사번키],0))&amp;IF(INDEX(합계표[직급 공존],MATCH(INDEX(상세표[사번키],$H37),합계표[사번키],0))="",""," ("&amp;INDEX(합계표[직급 공존],MATCH(INDEX(상세표[사번키],$H37),합계표[사번키],0))&amp;")"),"")))</f>
        <v/>
      </c>
      <c r="E37">
        <f>IF($H37="","",COUNTIFS(상세표[사번키],INDEX(상세표[사번키],$H37),상세표[기록월],대상월키))</f>
        <v/>
      </c>
      <c r="F37" s="20">
        <f>IF($H37="","",SUMIFS(상세표[기록 시간외],상세표[사번키],INDEX(상세표[사번키],$H37),상세표[기록월],대상월키))</f>
        <v/>
      </c>
      <c r="G37" s="20">
        <f>IF($H37="","",SUMIFS(합계표[시스템 합계],합계표[사번키],INDEX(상세표[사번키],$H37)))</f>
        <v/>
      </c>
      <c r="H37" s="4">
        <f>IFERROR(MATCH(32,상세표[발송인원순번],0),"")</f>
        <v/>
      </c>
      <c r="J37">
        <f>IF($U37="","",INDEX(상세표[사번],$U37)&amp;"")</f>
        <v/>
      </c>
      <c r="K37">
        <f>IF($U37="","",INDEX(상세표[성명],$U37)&amp;"")</f>
        <v/>
      </c>
      <c r="L37">
        <f>IF($U37="","",INDEX(상세표[직위],$U37)&amp;"")</f>
        <v/>
      </c>
      <c r="M37">
        <f>IF($U37="","",IF(ISNUMBER(INDEX(상세표[근무일자],$U37)),TEXT(INDEX(상세표[근무일자],$U37),"yyyy-mm-dd"),INDEX(상세표[근무일자],$U37)&amp;""))</f>
        <v/>
      </c>
      <c r="N37">
        <f>IF($U37="","",IF(ISNUMBER(INDEX(상세표[시작],$U37)),TEXT(INDEX(상세표[시작],$U37),"yyyy-mm-dd hh:mm"),INDEX(상세표[시작],$U37)&amp;""))</f>
        <v/>
      </c>
      <c r="O37">
        <f>IF($U37="","",IF(ISNUMBER(INDEX(상세표[종료],$U37)),TEXT(INDEX(상세표[종료],$U37),"yyyy-mm-dd hh:mm"),INDEX(상세표[종료],$U37)&amp;""))</f>
        <v/>
      </c>
      <c r="P37" s="20">
        <f>IF($U37="","",INDEX(상세표[06~07시],$U37))</f>
        <v/>
      </c>
      <c r="Q37" s="20">
        <f>IF($U37="","",INDEX(상세표[07~18시],$U37))</f>
        <v/>
      </c>
      <c r="R37" s="20">
        <f>IF($U37="","",INDEX(상세표[18~22시],$U37))</f>
        <v/>
      </c>
      <c r="S37" s="20">
        <f>IF($U37="","",INDEX(상세표[22~06시],$U37))</f>
        <v/>
      </c>
      <c r="T37" s="20">
        <f>IF($U37="","",INDEX(상세표[기록 시간외],$U37))</f>
        <v/>
      </c>
      <c r="U37" s="4">
        <f>IFERROR(MATCH(32,상세표[발송순번],0),"")</f>
        <v/>
      </c>
    </row>
    <row r="38">
      <c r="A38">
        <f>IF($H38="","",INDEX(상세표[사번],$H38)&amp;"")</f>
        <v/>
      </c>
      <c r="B38">
        <f>IF($H38="","",INDEX(상세표[성명],$H38)&amp;"")</f>
        <v/>
      </c>
      <c r="C38">
        <f>IF($H38="","",INDEX(상세표[부서],$H38)&amp;"")</f>
        <v/>
      </c>
      <c r="D38">
        <f>IF($H38="","",IF(IFERROR(INDEX(합계표[직위(요약)],MATCH(INDEX(상세표[사번키],$H38),합계표[사번키],0))&amp;IF(INDEX(합계표[직급 공존],MATCH(INDEX(상세표[사번키],$H38),합계표[사번키],0))="",""," ("&amp;INDEX(합계표[직급 공존],MATCH(INDEX(상세표[사번키],$H38),합계표[사번키],0))&amp;")"),"")="",INDEX(상세표[직위],$H38)&amp;"",IFERROR(INDEX(합계표[직위(요약)],MATCH(INDEX(상세표[사번키],$H38),합계표[사번키],0))&amp;IF(INDEX(합계표[직급 공존],MATCH(INDEX(상세표[사번키],$H38),합계표[사번키],0))="",""," ("&amp;INDEX(합계표[직급 공존],MATCH(INDEX(상세표[사번키],$H38),합계표[사번키],0))&amp;")"),"")))</f>
        <v/>
      </c>
      <c r="E38">
        <f>IF($H38="","",COUNTIFS(상세표[사번키],INDEX(상세표[사번키],$H38),상세표[기록월],대상월키))</f>
        <v/>
      </c>
      <c r="F38" s="20">
        <f>IF($H38="","",SUMIFS(상세표[기록 시간외],상세표[사번키],INDEX(상세표[사번키],$H38),상세표[기록월],대상월키))</f>
        <v/>
      </c>
      <c r="G38" s="20">
        <f>IF($H38="","",SUMIFS(합계표[시스템 합계],합계표[사번키],INDEX(상세표[사번키],$H38)))</f>
        <v/>
      </c>
      <c r="H38" s="4">
        <f>IFERROR(MATCH(33,상세표[발송인원순번],0),"")</f>
        <v/>
      </c>
      <c r="J38">
        <f>IF($U38="","",INDEX(상세표[사번],$U38)&amp;"")</f>
        <v/>
      </c>
      <c r="K38">
        <f>IF($U38="","",INDEX(상세표[성명],$U38)&amp;"")</f>
        <v/>
      </c>
      <c r="L38">
        <f>IF($U38="","",INDEX(상세표[직위],$U38)&amp;"")</f>
        <v/>
      </c>
      <c r="M38">
        <f>IF($U38="","",IF(ISNUMBER(INDEX(상세표[근무일자],$U38)),TEXT(INDEX(상세표[근무일자],$U38),"yyyy-mm-dd"),INDEX(상세표[근무일자],$U38)&amp;""))</f>
        <v/>
      </c>
      <c r="N38">
        <f>IF($U38="","",IF(ISNUMBER(INDEX(상세표[시작],$U38)),TEXT(INDEX(상세표[시작],$U38),"yyyy-mm-dd hh:mm"),INDEX(상세표[시작],$U38)&amp;""))</f>
        <v/>
      </c>
      <c r="O38">
        <f>IF($U38="","",IF(ISNUMBER(INDEX(상세표[종료],$U38)),TEXT(INDEX(상세표[종료],$U38),"yyyy-mm-dd hh:mm"),INDEX(상세표[종료],$U38)&amp;""))</f>
        <v/>
      </c>
      <c r="P38" s="20">
        <f>IF($U38="","",INDEX(상세표[06~07시],$U38))</f>
        <v/>
      </c>
      <c r="Q38" s="20">
        <f>IF($U38="","",INDEX(상세표[07~18시],$U38))</f>
        <v/>
      </c>
      <c r="R38" s="20">
        <f>IF($U38="","",INDEX(상세표[18~22시],$U38))</f>
        <v/>
      </c>
      <c r="S38" s="20">
        <f>IF($U38="","",INDEX(상세표[22~06시],$U38))</f>
        <v/>
      </c>
      <c r="T38" s="20">
        <f>IF($U38="","",INDEX(상세표[기록 시간외],$U38))</f>
        <v/>
      </c>
      <c r="U38" s="4">
        <f>IFERROR(MATCH(33,상세표[발송순번],0),"")</f>
        <v/>
      </c>
    </row>
    <row r="39">
      <c r="A39">
        <f>IF($H39="","",INDEX(상세표[사번],$H39)&amp;"")</f>
        <v/>
      </c>
      <c r="B39">
        <f>IF($H39="","",INDEX(상세표[성명],$H39)&amp;"")</f>
        <v/>
      </c>
      <c r="C39">
        <f>IF($H39="","",INDEX(상세표[부서],$H39)&amp;"")</f>
        <v/>
      </c>
      <c r="D39">
        <f>IF($H39="","",IF(IFERROR(INDEX(합계표[직위(요약)],MATCH(INDEX(상세표[사번키],$H39),합계표[사번키],0))&amp;IF(INDEX(합계표[직급 공존],MATCH(INDEX(상세표[사번키],$H39),합계표[사번키],0))="",""," ("&amp;INDEX(합계표[직급 공존],MATCH(INDEX(상세표[사번키],$H39),합계표[사번키],0))&amp;")"),"")="",INDEX(상세표[직위],$H39)&amp;"",IFERROR(INDEX(합계표[직위(요약)],MATCH(INDEX(상세표[사번키],$H39),합계표[사번키],0))&amp;IF(INDEX(합계표[직급 공존],MATCH(INDEX(상세표[사번키],$H39),합계표[사번키],0))="",""," ("&amp;INDEX(합계표[직급 공존],MATCH(INDEX(상세표[사번키],$H39),합계표[사번키],0))&amp;")"),"")))</f>
        <v/>
      </c>
      <c r="E39">
        <f>IF($H39="","",COUNTIFS(상세표[사번키],INDEX(상세표[사번키],$H39),상세표[기록월],대상월키))</f>
        <v/>
      </c>
      <c r="F39" s="20">
        <f>IF($H39="","",SUMIFS(상세표[기록 시간외],상세표[사번키],INDEX(상세표[사번키],$H39),상세표[기록월],대상월키))</f>
        <v/>
      </c>
      <c r="G39" s="20">
        <f>IF($H39="","",SUMIFS(합계표[시스템 합계],합계표[사번키],INDEX(상세표[사번키],$H39)))</f>
        <v/>
      </c>
      <c r="H39" s="4">
        <f>IFERROR(MATCH(34,상세표[발송인원순번],0),"")</f>
        <v/>
      </c>
      <c r="J39">
        <f>IF($U39="","",INDEX(상세표[사번],$U39)&amp;"")</f>
        <v/>
      </c>
      <c r="K39">
        <f>IF($U39="","",INDEX(상세표[성명],$U39)&amp;"")</f>
        <v/>
      </c>
      <c r="L39">
        <f>IF($U39="","",INDEX(상세표[직위],$U39)&amp;"")</f>
        <v/>
      </c>
      <c r="M39">
        <f>IF($U39="","",IF(ISNUMBER(INDEX(상세표[근무일자],$U39)),TEXT(INDEX(상세표[근무일자],$U39),"yyyy-mm-dd"),INDEX(상세표[근무일자],$U39)&amp;""))</f>
        <v/>
      </c>
      <c r="N39">
        <f>IF($U39="","",IF(ISNUMBER(INDEX(상세표[시작],$U39)),TEXT(INDEX(상세표[시작],$U39),"yyyy-mm-dd hh:mm"),INDEX(상세표[시작],$U39)&amp;""))</f>
        <v/>
      </c>
      <c r="O39">
        <f>IF($U39="","",IF(ISNUMBER(INDEX(상세표[종료],$U39)),TEXT(INDEX(상세표[종료],$U39),"yyyy-mm-dd hh:mm"),INDEX(상세표[종료],$U39)&amp;""))</f>
        <v/>
      </c>
      <c r="P39" s="20">
        <f>IF($U39="","",INDEX(상세표[06~07시],$U39))</f>
        <v/>
      </c>
      <c r="Q39" s="20">
        <f>IF($U39="","",INDEX(상세표[07~18시],$U39))</f>
        <v/>
      </c>
      <c r="R39" s="20">
        <f>IF($U39="","",INDEX(상세표[18~22시],$U39))</f>
        <v/>
      </c>
      <c r="S39" s="20">
        <f>IF($U39="","",INDEX(상세표[22~06시],$U39))</f>
        <v/>
      </c>
      <c r="T39" s="20">
        <f>IF($U39="","",INDEX(상세표[기록 시간외],$U39))</f>
        <v/>
      </c>
      <c r="U39" s="4">
        <f>IFERROR(MATCH(34,상세표[발송순번],0),"")</f>
        <v/>
      </c>
    </row>
    <row r="40">
      <c r="A40">
        <f>IF($H40="","",INDEX(상세표[사번],$H40)&amp;"")</f>
        <v/>
      </c>
      <c r="B40">
        <f>IF($H40="","",INDEX(상세표[성명],$H40)&amp;"")</f>
        <v/>
      </c>
      <c r="C40">
        <f>IF($H40="","",INDEX(상세표[부서],$H40)&amp;"")</f>
        <v/>
      </c>
      <c r="D40">
        <f>IF($H40="","",IF(IFERROR(INDEX(합계표[직위(요약)],MATCH(INDEX(상세표[사번키],$H40),합계표[사번키],0))&amp;IF(INDEX(합계표[직급 공존],MATCH(INDEX(상세표[사번키],$H40),합계표[사번키],0))="",""," ("&amp;INDEX(합계표[직급 공존],MATCH(INDEX(상세표[사번키],$H40),합계표[사번키],0))&amp;")"),"")="",INDEX(상세표[직위],$H40)&amp;"",IFERROR(INDEX(합계표[직위(요약)],MATCH(INDEX(상세표[사번키],$H40),합계표[사번키],0))&amp;IF(INDEX(합계표[직급 공존],MATCH(INDEX(상세표[사번키],$H40),합계표[사번키],0))="",""," ("&amp;INDEX(합계표[직급 공존],MATCH(INDEX(상세표[사번키],$H40),합계표[사번키],0))&amp;")"),"")))</f>
        <v/>
      </c>
      <c r="E40">
        <f>IF($H40="","",COUNTIFS(상세표[사번키],INDEX(상세표[사번키],$H40),상세표[기록월],대상월키))</f>
        <v/>
      </c>
      <c r="F40" s="20">
        <f>IF($H40="","",SUMIFS(상세표[기록 시간외],상세표[사번키],INDEX(상세표[사번키],$H40),상세표[기록월],대상월키))</f>
        <v/>
      </c>
      <c r="G40" s="20">
        <f>IF($H40="","",SUMIFS(합계표[시스템 합계],합계표[사번키],INDEX(상세표[사번키],$H40)))</f>
        <v/>
      </c>
      <c r="H40" s="4">
        <f>IFERROR(MATCH(35,상세표[발송인원순번],0),"")</f>
        <v/>
      </c>
      <c r="J40">
        <f>IF($U40="","",INDEX(상세표[사번],$U40)&amp;"")</f>
        <v/>
      </c>
      <c r="K40">
        <f>IF($U40="","",INDEX(상세표[성명],$U40)&amp;"")</f>
        <v/>
      </c>
      <c r="L40">
        <f>IF($U40="","",INDEX(상세표[직위],$U40)&amp;"")</f>
        <v/>
      </c>
      <c r="M40">
        <f>IF($U40="","",IF(ISNUMBER(INDEX(상세표[근무일자],$U40)),TEXT(INDEX(상세표[근무일자],$U40),"yyyy-mm-dd"),INDEX(상세표[근무일자],$U40)&amp;""))</f>
        <v/>
      </c>
      <c r="N40">
        <f>IF($U40="","",IF(ISNUMBER(INDEX(상세표[시작],$U40)),TEXT(INDEX(상세표[시작],$U40),"yyyy-mm-dd hh:mm"),INDEX(상세표[시작],$U40)&amp;""))</f>
        <v/>
      </c>
      <c r="O40">
        <f>IF($U40="","",IF(ISNUMBER(INDEX(상세표[종료],$U40)),TEXT(INDEX(상세표[종료],$U40),"yyyy-mm-dd hh:mm"),INDEX(상세표[종료],$U40)&amp;""))</f>
        <v/>
      </c>
      <c r="P40" s="20">
        <f>IF($U40="","",INDEX(상세표[06~07시],$U40))</f>
        <v/>
      </c>
      <c r="Q40" s="20">
        <f>IF($U40="","",INDEX(상세표[07~18시],$U40))</f>
        <v/>
      </c>
      <c r="R40" s="20">
        <f>IF($U40="","",INDEX(상세표[18~22시],$U40))</f>
        <v/>
      </c>
      <c r="S40" s="20">
        <f>IF($U40="","",INDEX(상세표[22~06시],$U40))</f>
        <v/>
      </c>
      <c r="T40" s="20">
        <f>IF($U40="","",INDEX(상세표[기록 시간외],$U40))</f>
        <v/>
      </c>
      <c r="U40" s="4">
        <f>IFERROR(MATCH(35,상세표[발송순번],0),"")</f>
        <v/>
      </c>
    </row>
    <row r="41">
      <c r="A41">
        <f>IF($H41="","",INDEX(상세표[사번],$H41)&amp;"")</f>
        <v/>
      </c>
      <c r="B41">
        <f>IF($H41="","",INDEX(상세표[성명],$H41)&amp;"")</f>
        <v/>
      </c>
      <c r="C41">
        <f>IF($H41="","",INDEX(상세표[부서],$H41)&amp;"")</f>
        <v/>
      </c>
      <c r="D41">
        <f>IF($H41="","",IF(IFERROR(INDEX(합계표[직위(요약)],MATCH(INDEX(상세표[사번키],$H41),합계표[사번키],0))&amp;IF(INDEX(합계표[직급 공존],MATCH(INDEX(상세표[사번키],$H41),합계표[사번키],0))="",""," ("&amp;INDEX(합계표[직급 공존],MATCH(INDEX(상세표[사번키],$H41),합계표[사번키],0))&amp;")"),"")="",INDEX(상세표[직위],$H41)&amp;"",IFERROR(INDEX(합계표[직위(요약)],MATCH(INDEX(상세표[사번키],$H41),합계표[사번키],0))&amp;IF(INDEX(합계표[직급 공존],MATCH(INDEX(상세표[사번키],$H41),합계표[사번키],0))="",""," ("&amp;INDEX(합계표[직급 공존],MATCH(INDEX(상세표[사번키],$H41),합계표[사번키],0))&amp;")"),"")))</f>
        <v/>
      </c>
      <c r="E41">
        <f>IF($H41="","",COUNTIFS(상세표[사번키],INDEX(상세표[사번키],$H41),상세표[기록월],대상월키))</f>
        <v/>
      </c>
      <c r="F41" s="20">
        <f>IF($H41="","",SUMIFS(상세표[기록 시간외],상세표[사번키],INDEX(상세표[사번키],$H41),상세표[기록월],대상월키))</f>
        <v/>
      </c>
      <c r="G41" s="20">
        <f>IF($H41="","",SUMIFS(합계표[시스템 합계],합계표[사번키],INDEX(상세표[사번키],$H41)))</f>
        <v/>
      </c>
      <c r="H41" s="4">
        <f>IFERROR(MATCH(36,상세표[발송인원순번],0),"")</f>
        <v/>
      </c>
      <c r="J41">
        <f>IF($U41="","",INDEX(상세표[사번],$U41)&amp;"")</f>
        <v/>
      </c>
      <c r="K41">
        <f>IF($U41="","",INDEX(상세표[성명],$U41)&amp;"")</f>
        <v/>
      </c>
      <c r="L41">
        <f>IF($U41="","",INDEX(상세표[직위],$U41)&amp;"")</f>
        <v/>
      </c>
      <c r="M41">
        <f>IF($U41="","",IF(ISNUMBER(INDEX(상세표[근무일자],$U41)),TEXT(INDEX(상세표[근무일자],$U41),"yyyy-mm-dd"),INDEX(상세표[근무일자],$U41)&amp;""))</f>
        <v/>
      </c>
      <c r="N41">
        <f>IF($U41="","",IF(ISNUMBER(INDEX(상세표[시작],$U41)),TEXT(INDEX(상세표[시작],$U41),"yyyy-mm-dd hh:mm"),INDEX(상세표[시작],$U41)&amp;""))</f>
        <v/>
      </c>
      <c r="O41">
        <f>IF($U41="","",IF(ISNUMBER(INDEX(상세표[종료],$U41)),TEXT(INDEX(상세표[종료],$U41),"yyyy-mm-dd hh:mm"),INDEX(상세표[종료],$U41)&amp;""))</f>
        <v/>
      </c>
      <c r="P41" s="20">
        <f>IF($U41="","",INDEX(상세표[06~07시],$U41))</f>
        <v/>
      </c>
      <c r="Q41" s="20">
        <f>IF($U41="","",INDEX(상세표[07~18시],$U41))</f>
        <v/>
      </c>
      <c r="R41" s="20">
        <f>IF($U41="","",INDEX(상세표[18~22시],$U41))</f>
        <v/>
      </c>
      <c r="S41" s="20">
        <f>IF($U41="","",INDEX(상세표[22~06시],$U41))</f>
        <v/>
      </c>
      <c r="T41" s="20">
        <f>IF($U41="","",INDEX(상세표[기록 시간외],$U41))</f>
        <v/>
      </c>
      <c r="U41" s="4">
        <f>IFERROR(MATCH(36,상세표[발송순번],0),"")</f>
        <v/>
      </c>
    </row>
    <row r="42">
      <c r="A42">
        <f>IF($H42="","",INDEX(상세표[사번],$H42)&amp;"")</f>
        <v/>
      </c>
      <c r="B42">
        <f>IF($H42="","",INDEX(상세표[성명],$H42)&amp;"")</f>
        <v/>
      </c>
      <c r="C42">
        <f>IF($H42="","",INDEX(상세표[부서],$H42)&amp;"")</f>
        <v/>
      </c>
      <c r="D42">
        <f>IF($H42="","",IF(IFERROR(INDEX(합계표[직위(요약)],MATCH(INDEX(상세표[사번키],$H42),합계표[사번키],0))&amp;IF(INDEX(합계표[직급 공존],MATCH(INDEX(상세표[사번키],$H42),합계표[사번키],0))="",""," ("&amp;INDEX(합계표[직급 공존],MATCH(INDEX(상세표[사번키],$H42),합계표[사번키],0))&amp;")"),"")="",INDEX(상세표[직위],$H42)&amp;"",IFERROR(INDEX(합계표[직위(요약)],MATCH(INDEX(상세표[사번키],$H42),합계표[사번키],0))&amp;IF(INDEX(합계표[직급 공존],MATCH(INDEX(상세표[사번키],$H42),합계표[사번키],0))="",""," ("&amp;INDEX(합계표[직급 공존],MATCH(INDEX(상세표[사번키],$H42),합계표[사번키],0))&amp;")"),"")))</f>
        <v/>
      </c>
      <c r="E42">
        <f>IF($H42="","",COUNTIFS(상세표[사번키],INDEX(상세표[사번키],$H42),상세표[기록월],대상월키))</f>
        <v/>
      </c>
      <c r="F42" s="20">
        <f>IF($H42="","",SUMIFS(상세표[기록 시간외],상세표[사번키],INDEX(상세표[사번키],$H42),상세표[기록월],대상월키))</f>
        <v/>
      </c>
      <c r="G42" s="20">
        <f>IF($H42="","",SUMIFS(합계표[시스템 합계],합계표[사번키],INDEX(상세표[사번키],$H42)))</f>
        <v/>
      </c>
      <c r="H42" s="4">
        <f>IFERROR(MATCH(37,상세표[발송인원순번],0),"")</f>
        <v/>
      </c>
      <c r="J42">
        <f>IF($U42="","",INDEX(상세표[사번],$U42)&amp;"")</f>
        <v/>
      </c>
      <c r="K42">
        <f>IF($U42="","",INDEX(상세표[성명],$U42)&amp;"")</f>
        <v/>
      </c>
      <c r="L42">
        <f>IF($U42="","",INDEX(상세표[직위],$U42)&amp;"")</f>
        <v/>
      </c>
      <c r="M42">
        <f>IF($U42="","",IF(ISNUMBER(INDEX(상세표[근무일자],$U42)),TEXT(INDEX(상세표[근무일자],$U42),"yyyy-mm-dd"),INDEX(상세표[근무일자],$U42)&amp;""))</f>
        <v/>
      </c>
      <c r="N42">
        <f>IF($U42="","",IF(ISNUMBER(INDEX(상세표[시작],$U42)),TEXT(INDEX(상세표[시작],$U42),"yyyy-mm-dd hh:mm"),INDEX(상세표[시작],$U42)&amp;""))</f>
        <v/>
      </c>
      <c r="O42">
        <f>IF($U42="","",IF(ISNUMBER(INDEX(상세표[종료],$U42)),TEXT(INDEX(상세표[종료],$U42),"yyyy-mm-dd hh:mm"),INDEX(상세표[종료],$U42)&amp;""))</f>
        <v/>
      </c>
      <c r="P42" s="20">
        <f>IF($U42="","",INDEX(상세표[06~07시],$U42))</f>
        <v/>
      </c>
      <c r="Q42" s="20">
        <f>IF($U42="","",INDEX(상세표[07~18시],$U42))</f>
        <v/>
      </c>
      <c r="R42" s="20">
        <f>IF($U42="","",INDEX(상세표[18~22시],$U42))</f>
        <v/>
      </c>
      <c r="S42" s="20">
        <f>IF($U42="","",INDEX(상세표[22~06시],$U42))</f>
        <v/>
      </c>
      <c r="T42" s="20">
        <f>IF($U42="","",INDEX(상세표[기록 시간외],$U42))</f>
        <v/>
      </c>
      <c r="U42" s="4">
        <f>IFERROR(MATCH(37,상세표[발송순번],0),"")</f>
        <v/>
      </c>
    </row>
    <row r="43">
      <c r="A43">
        <f>IF($H43="","",INDEX(상세표[사번],$H43)&amp;"")</f>
        <v/>
      </c>
      <c r="B43">
        <f>IF($H43="","",INDEX(상세표[성명],$H43)&amp;"")</f>
        <v/>
      </c>
      <c r="C43">
        <f>IF($H43="","",INDEX(상세표[부서],$H43)&amp;"")</f>
        <v/>
      </c>
      <c r="D43">
        <f>IF($H43="","",IF(IFERROR(INDEX(합계표[직위(요약)],MATCH(INDEX(상세표[사번키],$H43),합계표[사번키],0))&amp;IF(INDEX(합계표[직급 공존],MATCH(INDEX(상세표[사번키],$H43),합계표[사번키],0))="",""," ("&amp;INDEX(합계표[직급 공존],MATCH(INDEX(상세표[사번키],$H43),합계표[사번키],0))&amp;")"),"")="",INDEX(상세표[직위],$H43)&amp;"",IFERROR(INDEX(합계표[직위(요약)],MATCH(INDEX(상세표[사번키],$H43),합계표[사번키],0))&amp;IF(INDEX(합계표[직급 공존],MATCH(INDEX(상세표[사번키],$H43),합계표[사번키],0))="",""," ("&amp;INDEX(합계표[직급 공존],MATCH(INDEX(상세표[사번키],$H43),합계표[사번키],0))&amp;")"),"")))</f>
        <v/>
      </c>
      <c r="E43">
        <f>IF($H43="","",COUNTIFS(상세표[사번키],INDEX(상세표[사번키],$H43),상세표[기록월],대상월키))</f>
        <v/>
      </c>
      <c r="F43" s="20">
        <f>IF($H43="","",SUMIFS(상세표[기록 시간외],상세표[사번키],INDEX(상세표[사번키],$H43),상세표[기록월],대상월키))</f>
        <v/>
      </c>
      <c r="G43" s="20">
        <f>IF($H43="","",SUMIFS(합계표[시스템 합계],합계표[사번키],INDEX(상세표[사번키],$H43)))</f>
        <v/>
      </c>
      <c r="H43" s="4">
        <f>IFERROR(MATCH(38,상세표[발송인원순번],0),"")</f>
        <v/>
      </c>
      <c r="J43">
        <f>IF($U43="","",INDEX(상세표[사번],$U43)&amp;"")</f>
        <v/>
      </c>
      <c r="K43">
        <f>IF($U43="","",INDEX(상세표[성명],$U43)&amp;"")</f>
        <v/>
      </c>
      <c r="L43">
        <f>IF($U43="","",INDEX(상세표[직위],$U43)&amp;"")</f>
        <v/>
      </c>
      <c r="M43">
        <f>IF($U43="","",IF(ISNUMBER(INDEX(상세표[근무일자],$U43)),TEXT(INDEX(상세표[근무일자],$U43),"yyyy-mm-dd"),INDEX(상세표[근무일자],$U43)&amp;""))</f>
        <v/>
      </c>
      <c r="N43">
        <f>IF($U43="","",IF(ISNUMBER(INDEX(상세표[시작],$U43)),TEXT(INDEX(상세표[시작],$U43),"yyyy-mm-dd hh:mm"),INDEX(상세표[시작],$U43)&amp;""))</f>
        <v/>
      </c>
      <c r="O43">
        <f>IF($U43="","",IF(ISNUMBER(INDEX(상세표[종료],$U43)),TEXT(INDEX(상세표[종료],$U43),"yyyy-mm-dd hh:mm"),INDEX(상세표[종료],$U43)&amp;""))</f>
        <v/>
      </c>
      <c r="P43" s="20">
        <f>IF($U43="","",INDEX(상세표[06~07시],$U43))</f>
        <v/>
      </c>
      <c r="Q43" s="20">
        <f>IF($U43="","",INDEX(상세표[07~18시],$U43))</f>
        <v/>
      </c>
      <c r="R43" s="20">
        <f>IF($U43="","",INDEX(상세표[18~22시],$U43))</f>
        <v/>
      </c>
      <c r="S43" s="20">
        <f>IF($U43="","",INDEX(상세표[22~06시],$U43))</f>
        <v/>
      </c>
      <c r="T43" s="20">
        <f>IF($U43="","",INDEX(상세표[기록 시간외],$U43))</f>
        <v/>
      </c>
      <c r="U43" s="4">
        <f>IFERROR(MATCH(38,상세표[발송순번],0),"")</f>
        <v/>
      </c>
    </row>
    <row r="44">
      <c r="A44">
        <f>IF($H44="","",INDEX(상세표[사번],$H44)&amp;"")</f>
        <v/>
      </c>
      <c r="B44">
        <f>IF($H44="","",INDEX(상세표[성명],$H44)&amp;"")</f>
        <v/>
      </c>
      <c r="C44">
        <f>IF($H44="","",INDEX(상세표[부서],$H44)&amp;"")</f>
        <v/>
      </c>
      <c r="D44">
        <f>IF($H44="","",IF(IFERROR(INDEX(합계표[직위(요약)],MATCH(INDEX(상세표[사번키],$H44),합계표[사번키],0))&amp;IF(INDEX(합계표[직급 공존],MATCH(INDEX(상세표[사번키],$H44),합계표[사번키],0))="",""," ("&amp;INDEX(합계표[직급 공존],MATCH(INDEX(상세표[사번키],$H44),합계표[사번키],0))&amp;")"),"")="",INDEX(상세표[직위],$H44)&amp;"",IFERROR(INDEX(합계표[직위(요약)],MATCH(INDEX(상세표[사번키],$H44),합계표[사번키],0))&amp;IF(INDEX(합계표[직급 공존],MATCH(INDEX(상세표[사번키],$H44),합계표[사번키],0))="",""," ("&amp;INDEX(합계표[직급 공존],MATCH(INDEX(상세표[사번키],$H44),합계표[사번키],0))&amp;")"),"")))</f>
        <v/>
      </c>
      <c r="E44">
        <f>IF($H44="","",COUNTIFS(상세표[사번키],INDEX(상세표[사번키],$H44),상세표[기록월],대상월키))</f>
        <v/>
      </c>
      <c r="F44" s="20">
        <f>IF($H44="","",SUMIFS(상세표[기록 시간외],상세표[사번키],INDEX(상세표[사번키],$H44),상세표[기록월],대상월키))</f>
        <v/>
      </c>
      <c r="G44" s="20">
        <f>IF($H44="","",SUMIFS(합계표[시스템 합계],합계표[사번키],INDEX(상세표[사번키],$H44)))</f>
        <v/>
      </c>
      <c r="H44" s="4">
        <f>IFERROR(MATCH(39,상세표[발송인원순번],0),"")</f>
        <v/>
      </c>
      <c r="J44">
        <f>IF($U44="","",INDEX(상세표[사번],$U44)&amp;"")</f>
        <v/>
      </c>
      <c r="K44">
        <f>IF($U44="","",INDEX(상세표[성명],$U44)&amp;"")</f>
        <v/>
      </c>
      <c r="L44">
        <f>IF($U44="","",INDEX(상세표[직위],$U44)&amp;"")</f>
        <v/>
      </c>
      <c r="M44">
        <f>IF($U44="","",IF(ISNUMBER(INDEX(상세표[근무일자],$U44)),TEXT(INDEX(상세표[근무일자],$U44),"yyyy-mm-dd"),INDEX(상세표[근무일자],$U44)&amp;""))</f>
        <v/>
      </c>
      <c r="N44">
        <f>IF($U44="","",IF(ISNUMBER(INDEX(상세표[시작],$U44)),TEXT(INDEX(상세표[시작],$U44),"yyyy-mm-dd hh:mm"),INDEX(상세표[시작],$U44)&amp;""))</f>
        <v/>
      </c>
      <c r="O44">
        <f>IF($U44="","",IF(ISNUMBER(INDEX(상세표[종료],$U44)),TEXT(INDEX(상세표[종료],$U44),"yyyy-mm-dd hh:mm"),INDEX(상세표[종료],$U44)&amp;""))</f>
        <v/>
      </c>
      <c r="P44" s="20">
        <f>IF($U44="","",INDEX(상세표[06~07시],$U44))</f>
        <v/>
      </c>
      <c r="Q44" s="20">
        <f>IF($U44="","",INDEX(상세표[07~18시],$U44))</f>
        <v/>
      </c>
      <c r="R44" s="20">
        <f>IF($U44="","",INDEX(상세표[18~22시],$U44))</f>
        <v/>
      </c>
      <c r="S44" s="20">
        <f>IF($U44="","",INDEX(상세표[22~06시],$U44))</f>
        <v/>
      </c>
      <c r="T44" s="20">
        <f>IF($U44="","",INDEX(상세표[기록 시간외],$U44))</f>
        <v/>
      </c>
      <c r="U44" s="4">
        <f>IFERROR(MATCH(39,상세표[발송순번],0),"")</f>
        <v/>
      </c>
    </row>
    <row r="45">
      <c r="A45">
        <f>IF($H45="","",INDEX(상세표[사번],$H45)&amp;"")</f>
        <v/>
      </c>
      <c r="B45">
        <f>IF($H45="","",INDEX(상세표[성명],$H45)&amp;"")</f>
        <v/>
      </c>
      <c r="C45">
        <f>IF($H45="","",INDEX(상세표[부서],$H45)&amp;"")</f>
        <v/>
      </c>
      <c r="D45">
        <f>IF($H45="","",IF(IFERROR(INDEX(합계표[직위(요약)],MATCH(INDEX(상세표[사번키],$H45),합계표[사번키],0))&amp;IF(INDEX(합계표[직급 공존],MATCH(INDEX(상세표[사번키],$H45),합계표[사번키],0))="",""," ("&amp;INDEX(합계표[직급 공존],MATCH(INDEX(상세표[사번키],$H45),합계표[사번키],0))&amp;")"),"")="",INDEX(상세표[직위],$H45)&amp;"",IFERROR(INDEX(합계표[직위(요약)],MATCH(INDEX(상세표[사번키],$H45),합계표[사번키],0))&amp;IF(INDEX(합계표[직급 공존],MATCH(INDEX(상세표[사번키],$H45),합계표[사번키],0))="",""," ("&amp;INDEX(합계표[직급 공존],MATCH(INDEX(상세표[사번키],$H45),합계표[사번키],0))&amp;")"),"")))</f>
        <v/>
      </c>
      <c r="E45">
        <f>IF($H45="","",COUNTIFS(상세표[사번키],INDEX(상세표[사번키],$H45),상세표[기록월],대상월키))</f>
        <v/>
      </c>
      <c r="F45" s="20">
        <f>IF($H45="","",SUMIFS(상세표[기록 시간외],상세표[사번키],INDEX(상세표[사번키],$H45),상세표[기록월],대상월키))</f>
        <v/>
      </c>
      <c r="G45" s="20">
        <f>IF($H45="","",SUMIFS(합계표[시스템 합계],합계표[사번키],INDEX(상세표[사번키],$H45)))</f>
        <v/>
      </c>
      <c r="H45" s="4">
        <f>IFERROR(MATCH(40,상세표[발송인원순번],0),"")</f>
        <v/>
      </c>
      <c r="J45">
        <f>IF($U45="","",INDEX(상세표[사번],$U45)&amp;"")</f>
        <v/>
      </c>
      <c r="K45">
        <f>IF($U45="","",INDEX(상세표[성명],$U45)&amp;"")</f>
        <v/>
      </c>
      <c r="L45">
        <f>IF($U45="","",INDEX(상세표[직위],$U45)&amp;"")</f>
        <v/>
      </c>
      <c r="M45">
        <f>IF($U45="","",IF(ISNUMBER(INDEX(상세표[근무일자],$U45)),TEXT(INDEX(상세표[근무일자],$U45),"yyyy-mm-dd"),INDEX(상세표[근무일자],$U45)&amp;""))</f>
        <v/>
      </c>
      <c r="N45">
        <f>IF($U45="","",IF(ISNUMBER(INDEX(상세표[시작],$U45)),TEXT(INDEX(상세표[시작],$U45),"yyyy-mm-dd hh:mm"),INDEX(상세표[시작],$U45)&amp;""))</f>
        <v/>
      </c>
      <c r="O45">
        <f>IF($U45="","",IF(ISNUMBER(INDEX(상세표[종료],$U45)),TEXT(INDEX(상세표[종료],$U45),"yyyy-mm-dd hh:mm"),INDEX(상세표[종료],$U45)&amp;""))</f>
        <v/>
      </c>
      <c r="P45" s="20">
        <f>IF($U45="","",INDEX(상세표[06~07시],$U45))</f>
        <v/>
      </c>
      <c r="Q45" s="20">
        <f>IF($U45="","",INDEX(상세표[07~18시],$U45))</f>
        <v/>
      </c>
      <c r="R45" s="20">
        <f>IF($U45="","",INDEX(상세표[18~22시],$U45))</f>
        <v/>
      </c>
      <c r="S45" s="20">
        <f>IF($U45="","",INDEX(상세표[22~06시],$U45))</f>
        <v/>
      </c>
      <c r="T45" s="20">
        <f>IF($U45="","",INDEX(상세표[기록 시간외],$U45))</f>
        <v/>
      </c>
      <c r="U45" s="4">
        <f>IFERROR(MATCH(40,상세표[발송순번],0),"")</f>
        <v/>
      </c>
    </row>
    <row r="46">
      <c r="A46">
        <f>IF($H46="","",INDEX(상세표[사번],$H46)&amp;"")</f>
        <v/>
      </c>
      <c r="B46">
        <f>IF($H46="","",INDEX(상세표[성명],$H46)&amp;"")</f>
        <v/>
      </c>
      <c r="C46">
        <f>IF($H46="","",INDEX(상세표[부서],$H46)&amp;"")</f>
        <v/>
      </c>
      <c r="D46">
        <f>IF($H46="","",IF(IFERROR(INDEX(합계표[직위(요약)],MATCH(INDEX(상세표[사번키],$H46),합계표[사번키],0))&amp;IF(INDEX(합계표[직급 공존],MATCH(INDEX(상세표[사번키],$H46),합계표[사번키],0))="",""," ("&amp;INDEX(합계표[직급 공존],MATCH(INDEX(상세표[사번키],$H46),합계표[사번키],0))&amp;")"),"")="",INDEX(상세표[직위],$H46)&amp;"",IFERROR(INDEX(합계표[직위(요약)],MATCH(INDEX(상세표[사번키],$H46),합계표[사번키],0))&amp;IF(INDEX(합계표[직급 공존],MATCH(INDEX(상세표[사번키],$H46),합계표[사번키],0))="",""," ("&amp;INDEX(합계표[직급 공존],MATCH(INDEX(상세표[사번키],$H46),합계표[사번키],0))&amp;")"),"")))</f>
        <v/>
      </c>
      <c r="E46">
        <f>IF($H46="","",COUNTIFS(상세표[사번키],INDEX(상세표[사번키],$H46),상세표[기록월],대상월키))</f>
        <v/>
      </c>
      <c r="F46" s="20">
        <f>IF($H46="","",SUMIFS(상세표[기록 시간외],상세표[사번키],INDEX(상세표[사번키],$H46),상세표[기록월],대상월키))</f>
        <v/>
      </c>
      <c r="G46" s="20">
        <f>IF($H46="","",SUMIFS(합계표[시스템 합계],합계표[사번키],INDEX(상세표[사번키],$H46)))</f>
        <v/>
      </c>
      <c r="H46" s="4">
        <f>IFERROR(MATCH(41,상세표[발송인원순번],0),"")</f>
        <v/>
      </c>
      <c r="J46">
        <f>IF($U46="","",INDEX(상세표[사번],$U46)&amp;"")</f>
        <v/>
      </c>
      <c r="K46">
        <f>IF($U46="","",INDEX(상세표[성명],$U46)&amp;"")</f>
        <v/>
      </c>
      <c r="L46">
        <f>IF($U46="","",INDEX(상세표[직위],$U46)&amp;"")</f>
        <v/>
      </c>
      <c r="M46">
        <f>IF($U46="","",IF(ISNUMBER(INDEX(상세표[근무일자],$U46)),TEXT(INDEX(상세표[근무일자],$U46),"yyyy-mm-dd"),INDEX(상세표[근무일자],$U46)&amp;""))</f>
        <v/>
      </c>
      <c r="N46">
        <f>IF($U46="","",IF(ISNUMBER(INDEX(상세표[시작],$U46)),TEXT(INDEX(상세표[시작],$U46),"yyyy-mm-dd hh:mm"),INDEX(상세표[시작],$U46)&amp;""))</f>
        <v/>
      </c>
      <c r="O46">
        <f>IF($U46="","",IF(ISNUMBER(INDEX(상세표[종료],$U46)),TEXT(INDEX(상세표[종료],$U46),"yyyy-mm-dd hh:mm"),INDEX(상세표[종료],$U46)&amp;""))</f>
        <v/>
      </c>
      <c r="P46" s="20">
        <f>IF($U46="","",INDEX(상세표[06~07시],$U46))</f>
        <v/>
      </c>
      <c r="Q46" s="20">
        <f>IF($U46="","",INDEX(상세표[07~18시],$U46))</f>
        <v/>
      </c>
      <c r="R46" s="20">
        <f>IF($U46="","",INDEX(상세표[18~22시],$U46))</f>
        <v/>
      </c>
      <c r="S46" s="20">
        <f>IF($U46="","",INDEX(상세표[22~06시],$U46))</f>
        <v/>
      </c>
      <c r="T46" s="20">
        <f>IF($U46="","",INDEX(상세표[기록 시간외],$U46))</f>
        <v/>
      </c>
      <c r="U46" s="4">
        <f>IFERROR(MATCH(41,상세표[발송순번],0),"")</f>
        <v/>
      </c>
    </row>
    <row r="47">
      <c r="A47">
        <f>IF($H47="","",INDEX(상세표[사번],$H47)&amp;"")</f>
        <v/>
      </c>
      <c r="B47">
        <f>IF($H47="","",INDEX(상세표[성명],$H47)&amp;"")</f>
        <v/>
      </c>
      <c r="C47">
        <f>IF($H47="","",INDEX(상세표[부서],$H47)&amp;"")</f>
        <v/>
      </c>
      <c r="D47">
        <f>IF($H47="","",IF(IFERROR(INDEX(합계표[직위(요약)],MATCH(INDEX(상세표[사번키],$H47),합계표[사번키],0))&amp;IF(INDEX(합계표[직급 공존],MATCH(INDEX(상세표[사번키],$H47),합계표[사번키],0))="",""," ("&amp;INDEX(합계표[직급 공존],MATCH(INDEX(상세표[사번키],$H47),합계표[사번키],0))&amp;")"),"")="",INDEX(상세표[직위],$H47)&amp;"",IFERROR(INDEX(합계표[직위(요약)],MATCH(INDEX(상세표[사번키],$H47),합계표[사번키],0))&amp;IF(INDEX(합계표[직급 공존],MATCH(INDEX(상세표[사번키],$H47),합계표[사번키],0))="",""," ("&amp;INDEX(합계표[직급 공존],MATCH(INDEX(상세표[사번키],$H47),합계표[사번키],0))&amp;")"),"")))</f>
        <v/>
      </c>
      <c r="E47">
        <f>IF($H47="","",COUNTIFS(상세표[사번키],INDEX(상세표[사번키],$H47),상세표[기록월],대상월키))</f>
        <v/>
      </c>
      <c r="F47" s="20">
        <f>IF($H47="","",SUMIFS(상세표[기록 시간외],상세표[사번키],INDEX(상세표[사번키],$H47),상세표[기록월],대상월키))</f>
        <v/>
      </c>
      <c r="G47" s="20">
        <f>IF($H47="","",SUMIFS(합계표[시스템 합계],합계표[사번키],INDEX(상세표[사번키],$H47)))</f>
        <v/>
      </c>
      <c r="H47" s="4">
        <f>IFERROR(MATCH(42,상세표[발송인원순번],0),"")</f>
        <v/>
      </c>
      <c r="J47">
        <f>IF($U47="","",INDEX(상세표[사번],$U47)&amp;"")</f>
        <v/>
      </c>
      <c r="K47">
        <f>IF($U47="","",INDEX(상세표[성명],$U47)&amp;"")</f>
        <v/>
      </c>
      <c r="L47">
        <f>IF($U47="","",INDEX(상세표[직위],$U47)&amp;"")</f>
        <v/>
      </c>
      <c r="M47">
        <f>IF($U47="","",IF(ISNUMBER(INDEX(상세표[근무일자],$U47)),TEXT(INDEX(상세표[근무일자],$U47),"yyyy-mm-dd"),INDEX(상세표[근무일자],$U47)&amp;""))</f>
        <v/>
      </c>
      <c r="N47">
        <f>IF($U47="","",IF(ISNUMBER(INDEX(상세표[시작],$U47)),TEXT(INDEX(상세표[시작],$U47),"yyyy-mm-dd hh:mm"),INDEX(상세표[시작],$U47)&amp;""))</f>
        <v/>
      </c>
      <c r="O47">
        <f>IF($U47="","",IF(ISNUMBER(INDEX(상세표[종료],$U47)),TEXT(INDEX(상세표[종료],$U47),"yyyy-mm-dd hh:mm"),INDEX(상세표[종료],$U47)&amp;""))</f>
        <v/>
      </c>
      <c r="P47" s="20">
        <f>IF($U47="","",INDEX(상세표[06~07시],$U47))</f>
        <v/>
      </c>
      <c r="Q47" s="20">
        <f>IF($U47="","",INDEX(상세표[07~18시],$U47))</f>
        <v/>
      </c>
      <c r="R47" s="20">
        <f>IF($U47="","",INDEX(상세표[18~22시],$U47))</f>
        <v/>
      </c>
      <c r="S47" s="20">
        <f>IF($U47="","",INDEX(상세표[22~06시],$U47))</f>
        <v/>
      </c>
      <c r="T47" s="20">
        <f>IF($U47="","",INDEX(상세표[기록 시간외],$U47))</f>
        <v/>
      </c>
      <c r="U47" s="4">
        <f>IFERROR(MATCH(42,상세표[발송순번],0),"")</f>
        <v/>
      </c>
    </row>
    <row r="48">
      <c r="A48">
        <f>IF($H48="","",INDEX(상세표[사번],$H48)&amp;"")</f>
        <v/>
      </c>
      <c r="B48">
        <f>IF($H48="","",INDEX(상세표[성명],$H48)&amp;"")</f>
        <v/>
      </c>
      <c r="C48">
        <f>IF($H48="","",INDEX(상세표[부서],$H48)&amp;"")</f>
        <v/>
      </c>
      <c r="D48">
        <f>IF($H48="","",IF(IFERROR(INDEX(합계표[직위(요약)],MATCH(INDEX(상세표[사번키],$H48),합계표[사번키],0))&amp;IF(INDEX(합계표[직급 공존],MATCH(INDEX(상세표[사번키],$H48),합계표[사번키],0))="",""," ("&amp;INDEX(합계표[직급 공존],MATCH(INDEX(상세표[사번키],$H48),합계표[사번키],0))&amp;")"),"")="",INDEX(상세표[직위],$H48)&amp;"",IFERROR(INDEX(합계표[직위(요약)],MATCH(INDEX(상세표[사번키],$H48),합계표[사번키],0))&amp;IF(INDEX(합계표[직급 공존],MATCH(INDEX(상세표[사번키],$H48),합계표[사번키],0))="",""," ("&amp;INDEX(합계표[직급 공존],MATCH(INDEX(상세표[사번키],$H48),합계표[사번키],0))&amp;")"),"")))</f>
        <v/>
      </c>
      <c r="E48">
        <f>IF($H48="","",COUNTIFS(상세표[사번키],INDEX(상세표[사번키],$H48),상세표[기록월],대상월키))</f>
        <v/>
      </c>
      <c r="F48" s="20">
        <f>IF($H48="","",SUMIFS(상세표[기록 시간외],상세표[사번키],INDEX(상세표[사번키],$H48),상세표[기록월],대상월키))</f>
        <v/>
      </c>
      <c r="G48" s="20">
        <f>IF($H48="","",SUMIFS(합계표[시스템 합계],합계표[사번키],INDEX(상세표[사번키],$H48)))</f>
        <v/>
      </c>
      <c r="H48" s="4">
        <f>IFERROR(MATCH(43,상세표[발송인원순번],0),"")</f>
        <v/>
      </c>
      <c r="J48">
        <f>IF($U48="","",INDEX(상세표[사번],$U48)&amp;"")</f>
        <v/>
      </c>
      <c r="K48">
        <f>IF($U48="","",INDEX(상세표[성명],$U48)&amp;"")</f>
        <v/>
      </c>
      <c r="L48">
        <f>IF($U48="","",INDEX(상세표[직위],$U48)&amp;"")</f>
        <v/>
      </c>
      <c r="M48">
        <f>IF($U48="","",IF(ISNUMBER(INDEX(상세표[근무일자],$U48)),TEXT(INDEX(상세표[근무일자],$U48),"yyyy-mm-dd"),INDEX(상세표[근무일자],$U48)&amp;""))</f>
        <v/>
      </c>
      <c r="N48">
        <f>IF($U48="","",IF(ISNUMBER(INDEX(상세표[시작],$U48)),TEXT(INDEX(상세표[시작],$U48),"yyyy-mm-dd hh:mm"),INDEX(상세표[시작],$U48)&amp;""))</f>
        <v/>
      </c>
      <c r="O48">
        <f>IF($U48="","",IF(ISNUMBER(INDEX(상세표[종료],$U48)),TEXT(INDEX(상세표[종료],$U48),"yyyy-mm-dd hh:mm"),INDEX(상세표[종료],$U48)&amp;""))</f>
        <v/>
      </c>
      <c r="P48" s="20">
        <f>IF($U48="","",INDEX(상세표[06~07시],$U48))</f>
        <v/>
      </c>
      <c r="Q48" s="20">
        <f>IF($U48="","",INDEX(상세표[07~18시],$U48))</f>
        <v/>
      </c>
      <c r="R48" s="20">
        <f>IF($U48="","",INDEX(상세표[18~22시],$U48))</f>
        <v/>
      </c>
      <c r="S48" s="20">
        <f>IF($U48="","",INDEX(상세표[22~06시],$U48))</f>
        <v/>
      </c>
      <c r="T48" s="20">
        <f>IF($U48="","",INDEX(상세표[기록 시간외],$U48))</f>
        <v/>
      </c>
      <c r="U48" s="4">
        <f>IFERROR(MATCH(43,상세표[발송순번],0),"")</f>
        <v/>
      </c>
    </row>
    <row r="49">
      <c r="A49">
        <f>IF($H49="","",INDEX(상세표[사번],$H49)&amp;"")</f>
        <v/>
      </c>
      <c r="B49">
        <f>IF($H49="","",INDEX(상세표[성명],$H49)&amp;"")</f>
        <v/>
      </c>
      <c r="C49">
        <f>IF($H49="","",INDEX(상세표[부서],$H49)&amp;"")</f>
        <v/>
      </c>
      <c r="D49">
        <f>IF($H49="","",IF(IFERROR(INDEX(합계표[직위(요약)],MATCH(INDEX(상세표[사번키],$H49),합계표[사번키],0))&amp;IF(INDEX(합계표[직급 공존],MATCH(INDEX(상세표[사번키],$H49),합계표[사번키],0))="",""," ("&amp;INDEX(합계표[직급 공존],MATCH(INDEX(상세표[사번키],$H49),합계표[사번키],0))&amp;")"),"")="",INDEX(상세표[직위],$H49)&amp;"",IFERROR(INDEX(합계표[직위(요약)],MATCH(INDEX(상세표[사번키],$H49),합계표[사번키],0))&amp;IF(INDEX(합계표[직급 공존],MATCH(INDEX(상세표[사번키],$H49),합계표[사번키],0))="",""," ("&amp;INDEX(합계표[직급 공존],MATCH(INDEX(상세표[사번키],$H49),합계표[사번키],0))&amp;")"),"")))</f>
        <v/>
      </c>
      <c r="E49">
        <f>IF($H49="","",COUNTIFS(상세표[사번키],INDEX(상세표[사번키],$H49),상세표[기록월],대상월키))</f>
        <v/>
      </c>
      <c r="F49" s="20">
        <f>IF($H49="","",SUMIFS(상세표[기록 시간외],상세표[사번키],INDEX(상세표[사번키],$H49),상세표[기록월],대상월키))</f>
        <v/>
      </c>
      <c r="G49" s="20">
        <f>IF($H49="","",SUMIFS(합계표[시스템 합계],합계표[사번키],INDEX(상세표[사번키],$H49)))</f>
        <v/>
      </c>
      <c r="H49" s="4">
        <f>IFERROR(MATCH(44,상세표[발송인원순번],0),"")</f>
        <v/>
      </c>
      <c r="J49">
        <f>IF($U49="","",INDEX(상세표[사번],$U49)&amp;"")</f>
        <v/>
      </c>
      <c r="K49">
        <f>IF($U49="","",INDEX(상세표[성명],$U49)&amp;"")</f>
        <v/>
      </c>
      <c r="L49">
        <f>IF($U49="","",INDEX(상세표[직위],$U49)&amp;"")</f>
        <v/>
      </c>
      <c r="M49">
        <f>IF($U49="","",IF(ISNUMBER(INDEX(상세표[근무일자],$U49)),TEXT(INDEX(상세표[근무일자],$U49),"yyyy-mm-dd"),INDEX(상세표[근무일자],$U49)&amp;""))</f>
        <v/>
      </c>
      <c r="N49">
        <f>IF($U49="","",IF(ISNUMBER(INDEX(상세표[시작],$U49)),TEXT(INDEX(상세표[시작],$U49),"yyyy-mm-dd hh:mm"),INDEX(상세표[시작],$U49)&amp;""))</f>
        <v/>
      </c>
      <c r="O49">
        <f>IF($U49="","",IF(ISNUMBER(INDEX(상세표[종료],$U49)),TEXT(INDEX(상세표[종료],$U49),"yyyy-mm-dd hh:mm"),INDEX(상세표[종료],$U49)&amp;""))</f>
        <v/>
      </c>
      <c r="P49" s="20">
        <f>IF($U49="","",INDEX(상세표[06~07시],$U49))</f>
        <v/>
      </c>
      <c r="Q49" s="20">
        <f>IF($U49="","",INDEX(상세표[07~18시],$U49))</f>
        <v/>
      </c>
      <c r="R49" s="20">
        <f>IF($U49="","",INDEX(상세표[18~22시],$U49))</f>
        <v/>
      </c>
      <c r="S49" s="20">
        <f>IF($U49="","",INDEX(상세표[22~06시],$U49))</f>
        <v/>
      </c>
      <c r="T49" s="20">
        <f>IF($U49="","",INDEX(상세표[기록 시간외],$U49))</f>
        <v/>
      </c>
      <c r="U49" s="4">
        <f>IFERROR(MATCH(44,상세표[발송순번],0),"")</f>
        <v/>
      </c>
    </row>
    <row r="50">
      <c r="A50">
        <f>IF($H50="","",INDEX(상세표[사번],$H50)&amp;"")</f>
        <v/>
      </c>
      <c r="B50">
        <f>IF($H50="","",INDEX(상세표[성명],$H50)&amp;"")</f>
        <v/>
      </c>
      <c r="C50">
        <f>IF($H50="","",INDEX(상세표[부서],$H50)&amp;"")</f>
        <v/>
      </c>
      <c r="D50">
        <f>IF($H50="","",IF(IFERROR(INDEX(합계표[직위(요약)],MATCH(INDEX(상세표[사번키],$H50),합계표[사번키],0))&amp;IF(INDEX(합계표[직급 공존],MATCH(INDEX(상세표[사번키],$H50),합계표[사번키],0))="",""," ("&amp;INDEX(합계표[직급 공존],MATCH(INDEX(상세표[사번키],$H50),합계표[사번키],0))&amp;")"),"")="",INDEX(상세표[직위],$H50)&amp;"",IFERROR(INDEX(합계표[직위(요약)],MATCH(INDEX(상세표[사번키],$H50),합계표[사번키],0))&amp;IF(INDEX(합계표[직급 공존],MATCH(INDEX(상세표[사번키],$H50),합계표[사번키],0))="",""," ("&amp;INDEX(합계표[직급 공존],MATCH(INDEX(상세표[사번키],$H50),합계표[사번키],0))&amp;")"),"")))</f>
        <v/>
      </c>
      <c r="E50">
        <f>IF($H50="","",COUNTIFS(상세표[사번키],INDEX(상세표[사번키],$H50),상세표[기록월],대상월키))</f>
        <v/>
      </c>
      <c r="F50" s="20">
        <f>IF($H50="","",SUMIFS(상세표[기록 시간외],상세표[사번키],INDEX(상세표[사번키],$H50),상세표[기록월],대상월키))</f>
        <v/>
      </c>
      <c r="G50" s="20">
        <f>IF($H50="","",SUMIFS(합계표[시스템 합계],합계표[사번키],INDEX(상세표[사번키],$H50)))</f>
        <v/>
      </c>
      <c r="H50" s="4">
        <f>IFERROR(MATCH(45,상세표[발송인원순번],0),"")</f>
        <v/>
      </c>
      <c r="J50">
        <f>IF($U50="","",INDEX(상세표[사번],$U50)&amp;"")</f>
        <v/>
      </c>
      <c r="K50">
        <f>IF($U50="","",INDEX(상세표[성명],$U50)&amp;"")</f>
        <v/>
      </c>
      <c r="L50">
        <f>IF($U50="","",INDEX(상세표[직위],$U50)&amp;"")</f>
        <v/>
      </c>
      <c r="M50">
        <f>IF($U50="","",IF(ISNUMBER(INDEX(상세표[근무일자],$U50)),TEXT(INDEX(상세표[근무일자],$U50),"yyyy-mm-dd"),INDEX(상세표[근무일자],$U50)&amp;""))</f>
        <v/>
      </c>
      <c r="N50">
        <f>IF($U50="","",IF(ISNUMBER(INDEX(상세표[시작],$U50)),TEXT(INDEX(상세표[시작],$U50),"yyyy-mm-dd hh:mm"),INDEX(상세표[시작],$U50)&amp;""))</f>
        <v/>
      </c>
      <c r="O50">
        <f>IF($U50="","",IF(ISNUMBER(INDEX(상세표[종료],$U50)),TEXT(INDEX(상세표[종료],$U50),"yyyy-mm-dd hh:mm"),INDEX(상세표[종료],$U50)&amp;""))</f>
        <v/>
      </c>
      <c r="P50" s="20">
        <f>IF($U50="","",INDEX(상세표[06~07시],$U50))</f>
        <v/>
      </c>
      <c r="Q50" s="20">
        <f>IF($U50="","",INDEX(상세표[07~18시],$U50))</f>
        <v/>
      </c>
      <c r="R50" s="20">
        <f>IF($U50="","",INDEX(상세표[18~22시],$U50))</f>
        <v/>
      </c>
      <c r="S50" s="20">
        <f>IF($U50="","",INDEX(상세표[22~06시],$U50))</f>
        <v/>
      </c>
      <c r="T50" s="20">
        <f>IF($U50="","",INDEX(상세표[기록 시간외],$U50))</f>
        <v/>
      </c>
      <c r="U50" s="4">
        <f>IFERROR(MATCH(45,상세표[발송순번],0),"")</f>
        <v/>
      </c>
    </row>
    <row r="51">
      <c r="A51">
        <f>IF($H51="","",INDEX(상세표[사번],$H51)&amp;"")</f>
        <v/>
      </c>
      <c r="B51">
        <f>IF($H51="","",INDEX(상세표[성명],$H51)&amp;"")</f>
        <v/>
      </c>
      <c r="C51">
        <f>IF($H51="","",INDEX(상세표[부서],$H51)&amp;"")</f>
        <v/>
      </c>
      <c r="D51">
        <f>IF($H51="","",IF(IFERROR(INDEX(합계표[직위(요약)],MATCH(INDEX(상세표[사번키],$H51),합계표[사번키],0))&amp;IF(INDEX(합계표[직급 공존],MATCH(INDEX(상세표[사번키],$H51),합계표[사번키],0))="",""," ("&amp;INDEX(합계표[직급 공존],MATCH(INDEX(상세표[사번키],$H51),합계표[사번키],0))&amp;")"),"")="",INDEX(상세표[직위],$H51)&amp;"",IFERROR(INDEX(합계표[직위(요약)],MATCH(INDEX(상세표[사번키],$H51),합계표[사번키],0))&amp;IF(INDEX(합계표[직급 공존],MATCH(INDEX(상세표[사번키],$H51),합계표[사번키],0))="",""," ("&amp;INDEX(합계표[직급 공존],MATCH(INDEX(상세표[사번키],$H51),합계표[사번키],0))&amp;")"),"")))</f>
        <v/>
      </c>
      <c r="E51">
        <f>IF($H51="","",COUNTIFS(상세표[사번키],INDEX(상세표[사번키],$H51),상세표[기록월],대상월키))</f>
        <v/>
      </c>
      <c r="F51" s="20">
        <f>IF($H51="","",SUMIFS(상세표[기록 시간외],상세표[사번키],INDEX(상세표[사번키],$H51),상세표[기록월],대상월키))</f>
        <v/>
      </c>
      <c r="G51" s="20">
        <f>IF($H51="","",SUMIFS(합계표[시스템 합계],합계표[사번키],INDEX(상세표[사번키],$H51)))</f>
        <v/>
      </c>
      <c r="H51" s="4">
        <f>IFERROR(MATCH(46,상세표[발송인원순번],0),"")</f>
        <v/>
      </c>
      <c r="J51">
        <f>IF($U51="","",INDEX(상세표[사번],$U51)&amp;"")</f>
        <v/>
      </c>
      <c r="K51">
        <f>IF($U51="","",INDEX(상세표[성명],$U51)&amp;"")</f>
        <v/>
      </c>
      <c r="L51">
        <f>IF($U51="","",INDEX(상세표[직위],$U51)&amp;"")</f>
        <v/>
      </c>
      <c r="M51">
        <f>IF($U51="","",IF(ISNUMBER(INDEX(상세표[근무일자],$U51)),TEXT(INDEX(상세표[근무일자],$U51),"yyyy-mm-dd"),INDEX(상세표[근무일자],$U51)&amp;""))</f>
        <v/>
      </c>
      <c r="N51">
        <f>IF($U51="","",IF(ISNUMBER(INDEX(상세표[시작],$U51)),TEXT(INDEX(상세표[시작],$U51),"yyyy-mm-dd hh:mm"),INDEX(상세표[시작],$U51)&amp;""))</f>
        <v/>
      </c>
      <c r="O51">
        <f>IF($U51="","",IF(ISNUMBER(INDEX(상세표[종료],$U51)),TEXT(INDEX(상세표[종료],$U51),"yyyy-mm-dd hh:mm"),INDEX(상세표[종료],$U51)&amp;""))</f>
        <v/>
      </c>
      <c r="P51" s="20">
        <f>IF($U51="","",INDEX(상세표[06~07시],$U51))</f>
        <v/>
      </c>
      <c r="Q51" s="20">
        <f>IF($U51="","",INDEX(상세표[07~18시],$U51))</f>
        <v/>
      </c>
      <c r="R51" s="20">
        <f>IF($U51="","",INDEX(상세표[18~22시],$U51))</f>
        <v/>
      </c>
      <c r="S51" s="20">
        <f>IF($U51="","",INDEX(상세표[22~06시],$U51))</f>
        <v/>
      </c>
      <c r="T51" s="20">
        <f>IF($U51="","",INDEX(상세표[기록 시간외],$U51))</f>
        <v/>
      </c>
      <c r="U51" s="4">
        <f>IFERROR(MATCH(46,상세표[발송순번],0),"")</f>
        <v/>
      </c>
    </row>
    <row r="52">
      <c r="A52">
        <f>IF($H52="","",INDEX(상세표[사번],$H52)&amp;"")</f>
        <v/>
      </c>
      <c r="B52">
        <f>IF($H52="","",INDEX(상세표[성명],$H52)&amp;"")</f>
        <v/>
      </c>
      <c r="C52">
        <f>IF($H52="","",INDEX(상세표[부서],$H52)&amp;"")</f>
        <v/>
      </c>
      <c r="D52">
        <f>IF($H52="","",IF(IFERROR(INDEX(합계표[직위(요약)],MATCH(INDEX(상세표[사번키],$H52),합계표[사번키],0))&amp;IF(INDEX(합계표[직급 공존],MATCH(INDEX(상세표[사번키],$H52),합계표[사번키],0))="",""," ("&amp;INDEX(합계표[직급 공존],MATCH(INDEX(상세표[사번키],$H52),합계표[사번키],0))&amp;")"),"")="",INDEX(상세표[직위],$H52)&amp;"",IFERROR(INDEX(합계표[직위(요약)],MATCH(INDEX(상세표[사번키],$H52),합계표[사번키],0))&amp;IF(INDEX(합계표[직급 공존],MATCH(INDEX(상세표[사번키],$H52),합계표[사번키],0))="",""," ("&amp;INDEX(합계표[직급 공존],MATCH(INDEX(상세표[사번키],$H52),합계표[사번키],0))&amp;")"),"")))</f>
        <v/>
      </c>
      <c r="E52">
        <f>IF($H52="","",COUNTIFS(상세표[사번키],INDEX(상세표[사번키],$H52),상세표[기록월],대상월키))</f>
        <v/>
      </c>
      <c r="F52" s="20">
        <f>IF($H52="","",SUMIFS(상세표[기록 시간외],상세표[사번키],INDEX(상세표[사번키],$H52),상세표[기록월],대상월키))</f>
        <v/>
      </c>
      <c r="G52" s="20">
        <f>IF($H52="","",SUMIFS(합계표[시스템 합계],합계표[사번키],INDEX(상세표[사번키],$H52)))</f>
        <v/>
      </c>
      <c r="H52" s="4">
        <f>IFERROR(MATCH(47,상세표[발송인원순번],0),"")</f>
        <v/>
      </c>
      <c r="J52">
        <f>IF($U52="","",INDEX(상세표[사번],$U52)&amp;"")</f>
        <v/>
      </c>
      <c r="K52">
        <f>IF($U52="","",INDEX(상세표[성명],$U52)&amp;"")</f>
        <v/>
      </c>
      <c r="L52">
        <f>IF($U52="","",INDEX(상세표[직위],$U52)&amp;"")</f>
        <v/>
      </c>
      <c r="M52">
        <f>IF($U52="","",IF(ISNUMBER(INDEX(상세표[근무일자],$U52)),TEXT(INDEX(상세표[근무일자],$U52),"yyyy-mm-dd"),INDEX(상세표[근무일자],$U52)&amp;""))</f>
        <v/>
      </c>
      <c r="N52">
        <f>IF($U52="","",IF(ISNUMBER(INDEX(상세표[시작],$U52)),TEXT(INDEX(상세표[시작],$U52),"yyyy-mm-dd hh:mm"),INDEX(상세표[시작],$U52)&amp;""))</f>
        <v/>
      </c>
      <c r="O52">
        <f>IF($U52="","",IF(ISNUMBER(INDEX(상세표[종료],$U52)),TEXT(INDEX(상세표[종료],$U52),"yyyy-mm-dd hh:mm"),INDEX(상세표[종료],$U52)&amp;""))</f>
        <v/>
      </c>
      <c r="P52" s="20">
        <f>IF($U52="","",INDEX(상세표[06~07시],$U52))</f>
        <v/>
      </c>
      <c r="Q52" s="20">
        <f>IF($U52="","",INDEX(상세표[07~18시],$U52))</f>
        <v/>
      </c>
      <c r="R52" s="20">
        <f>IF($U52="","",INDEX(상세표[18~22시],$U52))</f>
        <v/>
      </c>
      <c r="S52" s="20">
        <f>IF($U52="","",INDEX(상세표[22~06시],$U52))</f>
        <v/>
      </c>
      <c r="T52" s="20">
        <f>IF($U52="","",INDEX(상세표[기록 시간외],$U52))</f>
        <v/>
      </c>
      <c r="U52" s="4">
        <f>IFERROR(MATCH(47,상세표[발송순번],0),"")</f>
        <v/>
      </c>
    </row>
    <row r="53">
      <c r="A53">
        <f>IF($H53="","",INDEX(상세표[사번],$H53)&amp;"")</f>
        <v/>
      </c>
      <c r="B53">
        <f>IF($H53="","",INDEX(상세표[성명],$H53)&amp;"")</f>
        <v/>
      </c>
      <c r="C53">
        <f>IF($H53="","",INDEX(상세표[부서],$H53)&amp;"")</f>
        <v/>
      </c>
      <c r="D53">
        <f>IF($H53="","",IF(IFERROR(INDEX(합계표[직위(요약)],MATCH(INDEX(상세표[사번키],$H53),합계표[사번키],0))&amp;IF(INDEX(합계표[직급 공존],MATCH(INDEX(상세표[사번키],$H53),합계표[사번키],0))="",""," ("&amp;INDEX(합계표[직급 공존],MATCH(INDEX(상세표[사번키],$H53),합계표[사번키],0))&amp;")"),"")="",INDEX(상세표[직위],$H53)&amp;"",IFERROR(INDEX(합계표[직위(요약)],MATCH(INDEX(상세표[사번키],$H53),합계표[사번키],0))&amp;IF(INDEX(합계표[직급 공존],MATCH(INDEX(상세표[사번키],$H53),합계표[사번키],0))="",""," ("&amp;INDEX(합계표[직급 공존],MATCH(INDEX(상세표[사번키],$H53),합계표[사번키],0))&amp;")"),"")))</f>
        <v/>
      </c>
      <c r="E53">
        <f>IF($H53="","",COUNTIFS(상세표[사번키],INDEX(상세표[사번키],$H53),상세표[기록월],대상월키))</f>
        <v/>
      </c>
      <c r="F53" s="20">
        <f>IF($H53="","",SUMIFS(상세표[기록 시간외],상세표[사번키],INDEX(상세표[사번키],$H53),상세표[기록월],대상월키))</f>
        <v/>
      </c>
      <c r="G53" s="20">
        <f>IF($H53="","",SUMIFS(합계표[시스템 합계],합계표[사번키],INDEX(상세표[사번키],$H53)))</f>
        <v/>
      </c>
      <c r="H53" s="4">
        <f>IFERROR(MATCH(48,상세표[발송인원순번],0),"")</f>
        <v/>
      </c>
      <c r="J53">
        <f>IF($U53="","",INDEX(상세표[사번],$U53)&amp;"")</f>
        <v/>
      </c>
      <c r="K53">
        <f>IF($U53="","",INDEX(상세표[성명],$U53)&amp;"")</f>
        <v/>
      </c>
      <c r="L53">
        <f>IF($U53="","",INDEX(상세표[직위],$U53)&amp;"")</f>
        <v/>
      </c>
      <c r="M53">
        <f>IF($U53="","",IF(ISNUMBER(INDEX(상세표[근무일자],$U53)),TEXT(INDEX(상세표[근무일자],$U53),"yyyy-mm-dd"),INDEX(상세표[근무일자],$U53)&amp;""))</f>
        <v/>
      </c>
      <c r="N53">
        <f>IF($U53="","",IF(ISNUMBER(INDEX(상세표[시작],$U53)),TEXT(INDEX(상세표[시작],$U53),"yyyy-mm-dd hh:mm"),INDEX(상세표[시작],$U53)&amp;""))</f>
        <v/>
      </c>
      <c r="O53">
        <f>IF($U53="","",IF(ISNUMBER(INDEX(상세표[종료],$U53)),TEXT(INDEX(상세표[종료],$U53),"yyyy-mm-dd hh:mm"),INDEX(상세표[종료],$U53)&amp;""))</f>
        <v/>
      </c>
      <c r="P53" s="20">
        <f>IF($U53="","",INDEX(상세표[06~07시],$U53))</f>
        <v/>
      </c>
      <c r="Q53" s="20">
        <f>IF($U53="","",INDEX(상세표[07~18시],$U53))</f>
        <v/>
      </c>
      <c r="R53" s="20">
        <f>IF($U53="","",INDEX(상세표[18~22시],$U53))</f>
        <v/>
      </c>
      <c r="S53" s="20">
        <f>IF($U53="","",INDEX(상세표[22~06시],$U53))</f>
        <v/>
      </c>
      <c r="T53" s="20">
        <f>IF($U53="","",INDEX(상세표[기록 시간외],$U53))</f>
        <v/>
      </c>
      <c r="U53" s="4">
        <f>IFERROR(MATCH(48,상세표[발송순번],0),"")</f>
        <v/>
      </c>
    </row>
    <row r="54">
      <c r="A54">
        <f>IF($H54="","",INDEX(상세표[사번],$H54)&amp;"")</f>
        <v/>
      </c>
      <c r="B54">
        <f>IF($H54="","",INDEX(상세표[성명],$H54)&amp;"")</f>
        <v/>
      </c>
      <c r="C54">
        <f>IF($H54="","",INDEX(상세표[부서],$H54)&amp;"")</f>
        <v/>
      </c>
      <c r="D54">
        <f>IF($H54="","",IF(IFERROR(INDEX(합계표[직위(요약)],MATCH(INDEX(상세표[사번키],$H54),합계표[사번키],0))&amp;IF(INDEX(합계표[직급 공존],MATCH(INDEX(상세표[사번키],$H54),합계표[사번키],0))="",""," ("&amp;INDEX(합계표[직급 공존],MATCH(INDEX(상세표[사번키],$H54),합계표[사번키],0))&amp;")"),"")="",INDEX(상세표[직위],$H54)&amp;"",IFERROR(INDEX(합계표[직위(요약)],MATCH(INDEX(상세표[사번키],$H54),합계표[사번키],0))&amp;IF(INDEX(합계표[직급 공존],MATCH(INDEX(상세표[사번키],$H54),합계표[사번키],0))="",""," ("&amp;INDEX(합계표[직급 공존],MATCH(INDEX(상세표[사번키],$H54),합계표[사번키],0))&amp;")"),"")))</f>
        <v/>
      </c>
      <c r="E54">
        <f>IF($H54="","",COUNTIFS(상세표[사번키],INDEX(상세표[사번키],$H54),상세표[기록월],대상월키))</f>
        <v/>
      </c>
      <c r="F54" s="20">
        <f>IF($H54="","",SUMIFS(상세표[기록 시간외],상세표[사번키],INDEX(상세표[사번키],$H54),상세표[기록월],대상월키))</f>
        <v/>
      </c>
      <c r="G54" s="20">
        <f>IF($H54="","",SUMIFS(합계표[시스템 합계],합계표[사번키],INDEX(상세표[사번키],$H54)))</f>
        <v/>
      </c>
      <c r="H54" s="4">
        <f>IFERROR(MATCH(49,상세표[발송인원순번],0),"")</f>
        <v/>
      </c>
      <c r="J54">
        <f>IF($U54="","",INDEX(상세표[사번],$U54)&amp;"")</f>
        <v/>
      </c>
      <c r="K54">
        <f>IF($U54="","",INDEX(상세표[성명],$U54)&amp;"")</f>
        <v/>
      </c>
      <c r="L54">
        <f>IF($U54="","",INDEX(상세표[직위],$U54)&amp;"")</f>
        <v/>
      </c>
      <c r="M54">
        <f>IF($U54="","",IF(ISNUMBER(INDEX(상세표[근무일자],$U54)),TEXT(INDEX(상세표[근무일자],$U54),"yyyy-mm-dd"),INDEX(상세표[근무일자],$U54)&amp;""))</f>
        <v/>
      </c>
      <c r="N54">
        <f>IF($U54="","",IF(ISNUMBER(INDEX(상세표[시작],$U54)),TEXT(INDEX(상세표[시작],$U54),"yyyy-mm-dd hh:mm"),INDEX(상세표[시작],$U54)&amp;""))</f>
        <v/>
      </c>
      <c r="O54">
        <f>IF($U54="","",IF(ISNUMBER(INDEX(상세표[종료],$U54)),TEXT(INDEX(상세표[종료],$U54),"yyyy-mm-dd hh:mm"),INDEX(상세표[종료],$U54)&amp;""))</f>
        <v/>
      </c>
      <c r="P54" s="20">
        <f>IF($U54="","",INDEX(상세표[06~07시],$U54))</f>
        <v/>
      </c>
      <c r="Q54" s="20">
        <f>IF($U54="","",INDEX(상세표[07~18시],$U54))</f>
        <v/>
      </c>
      <c r="R54" s="20">
        <f>IF($U54="","",INDEX(상세표[18~22시],$U54))</f>
        <v/>
      </c>
      <c r="S54" s="20">
        <f>IF($U54="","",INDEX(상세표[22~06시],$U54))</f>
        <v/>
      </c>
      <c r="T54" s="20">
        <f>IF($U54="","",INDEX(상세표[기록 시간외],$U54))</f>
        <v/>
      </c>
      <c r="U54" s="4">
        <f>IFERROR(MATCH(49,상세표[발송순번],0),"")</f>
        <v/>
      </c>
    </row>
    <row r="55">
      <c r="A55">
        <f>IF($H55="","",INDEX(상세표[사번],$H55)&amp;"")</f>
        <v/>
      </c>
      <c r="B55">
        <f>IF($H55="","",INDEX(상세표[성명],$H55)&amp;"")</f>
        <v/>
      </c>
      <c r="C55">
        <f>IF($H55="","",INDEX(상세표[부서],$H55)&amp;"")</f>
        <v/>
      </c>
      <c r="D55">
        <f>IF($H55="","",IF(IFERROR(INDEX(합계표[직위(요약)],MATCH(INDEX(상세표[사번키],$H55),합계표[사번키],0))&amp;IF(INDEX(합계표[직급 공존],MATCH(INDEX(상세표[사번키],$H55),합계표[사번키],0))="",""," ("&amp;INDEX(합계표[직급 공존],MATCH(INDEX(상세표[사번키],$H55),합계표[사번키],0))&amp;")"),"")="",INDEX(상세표[직위],$H55)&amp;"",IFERROR(INDEX(합계표[직위(요약)],MATCH(INDEX(상세표[사번키],$H55),합계표[사번키],0))&amp;IF(INDEX(합계표[직급 공존],MATCH(INDEX(상세표[사번키],$H55),합계표[사번키],0))="",""," ("&amp;INDEX(합계표[직급 공존],MATCH(INDEX(상세표[사번키],$H55),합계표[사번키],0))&amp;")"),"")))</f>
        <v/>
      </c>
      <c r="E55">
        <f>IF($H55="","",COUNTIFS(상세표[사번키],INDEX(상세표[사번키],$H55),상세표[기록월],대상월키))</f>
        <v/>
      </c>
      <c r="F55" s="20">
        <f>IF($H55="","",SUMIFS(상세표[기록 시간외],상세표[사번키],INDEX(상세표[사번키],$H55),상세표[기록월],대상월키))</f>
        <v/>
      </c>
      <c r="G55" s="20">
        <f>IF($H55="","",SUMIFS(합계표[시스템 합계],합계표[사번키],INDEX(상세표[사번키],$H55)))</f>
        <v/>
      </c>
      <c r="H55" s="4">
        <f>IFERROR(MATCH(50,상세표[발송인원순번],0),"")</f>
        <v/>
      </c>
      <c r="J55">
        <f>IF($U55="","",INDEX(상세표[사번],$U55)&amp;"")</f>
        <v/>
      </c>
      <c r="K55">
        <f>IF($U55="","",INDEX(상세표[성명],$U55)&amp;"")</f>
        <v/>
      </c>
      <c r="L55">
        <f>IF($U55="","",INDEX(상세표[직위],$U55)&amp;"")</f>
        <v/>
      </c>
      <c r="M55">
        <f>IF($U55="","",IF(ISNUMBER(INDEX(상세표[근무일자],$U55)),TEXT(INDEX(상세표[근무일자],$U55),"yyyy-mm-dd"),INDEX(상세표[근무일자],$U55)&amp;""))</f>
        <v/>
      </c>
      <c r="N55">
        <f>IF($U55="","",IF(ISNUMBER(INDEX(상세표[시작],$U55)),TEXT(INDEX(상세표[시작],$U55),"yyyy-mm-dd hh:mm"),INDEX(상세표[시작],$U55)&amp;""))</f>
        <v/>
      </c>
      <c r="O55">
        <f>IF($U55="","",IF(ISNUMBER(INDEX(상세표[종료],$U55)),TEXT(INDEX(상세표[종료],$U55),"yyyy-mm-dd hh:mm"),INDEX(상세표[종료],$U55)&amp;""))</f>
        <v/>
      </c>
      <c r="P55" s="20">
        <f>IF($U55="","",INDEX(상세표[06~07시],$U55))</f>
        <v/>
      </c>
      <c r="Q55" s="20">
        <f>IF($U55="","",INDEX(상세표[07~18시],$U55))</f>
        <v/>
      </c>
      <c r="R55" s="20">
        <f>IF($U55="","",INDEX(상세표[18~22시],$U55))</f>
        <v/>
      </c>
      <c r="S55" s="20">
        <f>IF($U55="","",INDEX(상세표[22~06시],$U55))</f>
        <v/>
      </c>
      <c r="T55" s="20">
        <f>IF($U55="","",INDEX(상세표[기록 시간외],$U55))</f>
        <v/>
      </c>
      <c r="U55" s="4">
        <f>IFERROR(MATCH(50,상세표[발송순번],0),"")</f>
        <v/>
      </c>
    </row>
    <row r="56">
      <c r="A56">
        <f>IF($H56="","",INDEX(상세표[사번],$H56)&amp;"")</f>
        <v/>
      </c>
      <c r="B56">
        <f>IF($H56="","",INDEX(상세표[성명],$H56)&amp;"")</f>
        <v/>
      </c>
      <c r="C56">
        <f>IF($H56="","",INDEX(상세표[부서],$H56)&amp;"")</f>
        <v/>
      </c>
      <c r="D56">
        <f>IF($H56="","",IF(IFERROR(INDEX(합계표[직위(요약)],MATCH(INDEX(상세표[사번키],$H56),합계표[사번키],0))&amp;IF(INDEX(합계표[직급 공존],MATCH(INDEX(상세표[사번키],$H56),합계표[사번키],0))="",""," ("&amp;INDEX(합계표[직급 공존],MATCH(INDEX(상세표[사번키],$H56),합계표[사번키],0))&amp;")"),"")="",INDEX(상세표[직위],$H56)&amp;"",IFERROR(INDEX(합계표[직위(요약)],MATCH(INDEX(상세표[사번키],$H56),합계표[사번키],0))&amp;IF(INDEX(합계표[직급 공존],MATCH(INDEX(상세표[사번키],$H56),합계표[사번키],0))="",""," ("&amp;INDEX(합계표[직급 공존],MATCH(INDEX(상세표[사번키],$H56),합계표[사번키],0))&amp;")"),"")))</f>
        <v/>
      </c>
      <c r="E56">
        <f>IF($H56="","",COUNTIFS(상세표[사번키],INDEX(상세표[사번키],$H56),상세표[기록월],대상월키))</f>
        <v/>
      </c>
      <c r="F56" s="20">
        <f>IF($H56="","",SUMIFS(상세표[기록 시간외],상세표[사번키],INDEX(상세표[사번키],$H56),상세표[기록월],대상월키))</f>
        <v/>
      </c>
      <c r="G56" s="20">
        <f>IF($H56="","",SUMIFS(합계표[시스템 합계],합계표[사번키],INDEX(상세표[사번키],$H56)))</f>
        <v/>
      </c>
      <c r="H56" s="4">
        <f>IFERROR(MATCH(51,상세표[발송인원순번],0),"")</f>
        <v/>
      </c>
      <c r="J56">
        <f>IF($U56="","",INDEX(상세표[사번],$U56)&amp;"")</f>
        <v/>
      </c>
      <c r="K56">
        <f>IF($U56="","",INDEX(상세표[성명],$U56)&amp;"")</f>
        <v/>
      </c>
      <c r="L56">
        <f>IF($U56="","",INDEX(상세표[직위],$U56)&amp;"")</f>
        <v/>
      </c>
      <c r="M56">
        <f>IF($U56="","",IF(ISNUMBER(INDEX(상세표[근무일자],$U56)),TEXT(INDEX(상세표[근무일자],$U56),"yyyy-mm-dd"),INDEX(상세표[근무일자],$U56)&amp;""))</f>
        <v/>
      </c>
      <c r="N56">
        <f>IF($U56="","",IF(ISNUMBER(INDEX(상세표[시작],$U56)),TEXT(INDEX(상세표[시작],$U56),"yyyy-mm-dd hh:mm"),INDEX(상세표[시작],$U56)&amp;""))</f>
        <v/>
      </c>
      <c r="O56">
        <f>IF($U56="","",IF(ISNUMBER(INDEX(상세표[종료],$U56)),TEXT(INDEX(상세표[종료],$U56),"yyyy-mm-dd hh:mm"),INDEX(상세표[종료],$U56)&amp;""))</f>
        <v/>
      </c>
      <c r="P56" s="20">
        <f>IF($U56="","",INDEX(상세표[06~07시],$U56))</f>
        <v/>
      </c>
      <c r="Q56" s="20">
        <f>IF($U56="","",INDEX(상세표[07~18시],$U56))</f>
        <v/>
      </c>
      <c r="R56" s="20">
        <f>IF($U56="","",INDEX(상세표[18~22시],$U56))</f>
        <v/>
      </c>
      <c r="S56" s="20">
        <f>IF($U56="","",INDEX(상세표[22~06시],$U56))</f>
        <v/>
      </c>
      <c r="T56" s="20">
        <f>IF($U56="","",INDEX(상세표[기록 시간외],$U56))</f>
        <v/>
      </c>
      <c r="U56" s="4">
        <f>IFERROR(MATCH(51,상세표[발송순번],0),"")</f>
        <v/>
      </c>
    </row>
    <row r="57">
      <c r="A57">
        <f>IF($H57="","",INDEX(상세표[사번],$H57)&amp;"")</f>
        <v/>
      </c>
      <c r="B57">
        <f>IF($H57="","",INDEX(상세표[성명],$H57)&amp;"")</f>
        <v/>
      </c>
      <c r="C57">
        <f>IF($H57="","",INDEX(상세표[부서],$H57)&amp;"")</f>
        <v/>
      </c>
      <c r="D57">
        <f>IF($H57="","",IF(IFERROR(INDEX(합계표[직위(요약)],MATCH(INDEX(상세표[사번키],$H57),합계표[사번키],0))&amp;IF(INDEX(합계표[직급 공존],MATCH(INDEX(상세표[사번키],$H57),합계표[사번키],0))="",""," ("&amp;INDEX(합계표[직급 공존],MATCH(INDEX(상세표[사번키],$H57),합계표[사번키],0))&amp;")"),"")="",INDEX(상세표[직위],$H57)&amp;"",IFERROR(INDEX(합계표[직위(요약)],MATCH(INDEX(상세표[사번키],$H57),합계표[사번키],0))&amp;IF(INDEX(합계표[직급 공존],MATCH(INDEX(상세표[사번키],$H57),합계표[사번키],0))="",""," ("&amp;INDEX(합계표[직급 공존],MATCH(INDEX(상세표[사번키],$H57),합계표[사번키],0))&amp;")"),"")))</f>
        <v/>
      </c>
      <c r="E57">
        <f>IF($H57="","",COUNTIFS(상세표[사번키],INDEX(상세표[사번키],$H57),상세표[기록월],대상월키))</f>
        <v/>
      </c>
      <c r="F57" s="20">
        <f>IF($H57="","",SUMIFS(상세표[기록 시간외],상세표[사번키],INDEX(상세표[사번키],$H57),상세표[기록월],대상월키))</f>
        <v/>
      </c>
      <c r="G57" s="20">
        <f>IF($H57="","",SUMIFS(합계표[시스템 합계],합계표[사번키],INDEX(상세표[사번키],$H57)))</f>
        <v/>
      </c>
      <c r="H57" s="4">
        <f>IFERROR(MATCH(52,상세표[발송인원순번],0),"")</f>
        <v/>
      </c>
      <c r="J57">
        <f>IF($U57="","",INDEX(상세표[사번],$U57)&amp;"")</f>
        <v/>
      </c>
      <c r="K57">
        <f>IF($U57="","",INDEX(상세표[성명],$U57)&amp;"")</f>
        <v/>
      </c>
      <c r="L57">
        <f>IF($U57="","",INDEX(상세표[직위],$U57)&amp;"")</f>
        <v/>
      </c>
      <c r="M57">
        <f>IF($U57="","",IF(ISNUMBER(INDEX(상세표[근무일자],$U57)),TEXT(INDEX(상세표[근무일자],$U57),"yyyy-mm-dd"),INDEX(상세표[근무일자],$U57)&amp;""))</f>
        <v/>
      </c>
      <c r="N57">
        <f>IF($U57="","",IF(ISNUMBER(INDEX(상세표[시작],$U57)),TEXT(INDEX(상세표[시작],$U57),"yyyy-mm-dd hh:mm"),INDEX(상세표[시작],$U57)&amp;""))</f>
        <v/>
      </c>
      <c r="O57">
        <f>IF($U57="","",IF(ISNUMBER(INDEX(상세표[종료],$U57)),TEXT(INDEX(상세표[종료],$U57),"yyyy-mm-dd hh:mm"),INDEX(상세표[종료],$U57)&amp;""))</f>
        <v/>
      </c>
      <c r="P57" s="20">
        <f>IF($U57="","",INDEX(상세표[06~07시],$U57))</f>
        <v/>
      </c>
      <c r="Q57" s="20">
        <f>IF($U57="","",INDEX(상세표[07~18시],$U57))</f>
        <v/>
      </c>
      <c r="R57" s="20">
        <f>IF($U57="","",INDEX(상세표[18~22시],$U57))</f>
        <v/>
      </c>
      <c r="S57" s="20">
        <f>IF($U57="","",INDEX(상세표[22~06시],$U57))</f>
        <v/>
      </c>
      <c r="T57" s="20">
        <f>IF($U57="","",INDEX(상세표[기록 시간외],$U57))</f>
        <v/>
      </c>
      <c r="U57" s="4">
        <f>IFERROR(MATCH(52,상세표[발송순번],0),"")</f>
        <v/>
      </c>
    </row>
    <row r="58">
      <c r="A58">
        <f>IF($H58="","",INDEX(상세표[사번],$H58)&amp;"")</f>
        <v/>
      </c>
      <c r="B58">
        <f>IF($H58="","",INDEX(상세표[성명],$H58)&amp;"")</f>
        <v/>
      </c>
      <c r="C58">
        <f>IF($H58="","",INDEX(상세표[부서],$H58)&amp;"")</f>
        <v/>
      </c>
      <c r="D58">
        <f>IF($H58="","",IF(IFERROR(INDEX(합계표[직위(요약)],MATCH(INDEX(상세표[사번키],$H58),합계표[사번키],0))&amp;IF(INDEX(합계표[직급 공존],MATCH(INDEX(상세표[사번키],$H58),합계표[사번키],0))="",""," ("&amp;INDEX(합계표[직급 공존],MATCH(INDEX(상세표[사번키],$H58),합계표[사번키],0))&amp;")"),"")="",INDEX(상세표[직위],$H58)&amp;"",IFERROR(INDEX(합계표[직위(요약)],MATCH(INDEX(상세표[사번키],$H58),합계표[사번키],0))&amp;IF(INDEX(합계표[직급 공존],MATCH(INDEX(상세표[사번키],$H58),합계표[사번키],0))="",""," ("&amp;INDEX(합계표[직급 공존],MATCH(INDEX(상세표[사번키],$H58),합계표[사번키],0))&amp;")"),"")))</f>
        <v/>
      </c>
      <c r="E58">
        <f>IF($H58="","",COUNTIFS(상세표[사번키],INDEX(상세표[사번키],$H58),상세표[기록월],대상월키))</f>
        <v/>
      </c>
      <c r="F58" s="20">
        <f>IF($H58="","",SUMIFS(상세표[기록 시간외],상세표[사번키],INDEX(상세표[사번키],$H58),상세표[기록월],대상월키))</f>
        <v/>
      </c>
      <c r="G58" s="20">
        <f>IF($H58="","",SUMIFS(합계표[시스템 합계],합계표[사번키],INDEX(상세표[사번키],$H58)))</f>
        <v/>
      </c>
      <c r="H58" s="4">
        <f>IFERROR(MATCH(53,상세표[발송인원순번],0),"")</f>
        <v/>
      </c>
      <c r="J58">
        <f>IF($U58="","",INDEX(상세표[사번],$U58)&amp;"")</f>
        <v/>
      </c>
      <c r="K58">
        <f>IF($U58="","",INDEX(상세표[성명],$U58)&amp;"")</f>
        <v/>
      </c>
      <c r="L58">
        <f>IF($U58="","",INDEX(상세표[직위],$U58)&amp;"")</f>
        <v/>
      </c>
      <c r="M58">
        <f>IF($U58="","",IF(ISNUMBER(INDEX(상세표[근무일자],$U58)),TEXT(INDEX(상세표[근무일자],$U58),"yyyy-mm-dd"),INDEX(상세표[근무일자],$U58)&amp;""))</f>
        <v/>
      </c>
      <c r="N58">
        <f>IF($U58="","",IF(ISNUMBER(INDEX(상세표[시작],$U58)),TEXT(INDEX(상세표[시작],$U58),"yyyy-mm-dd hh:mm"),INDEX(상세표[시작],$U58)&amp;""))</f>
        <v/>
      </c>
      <c r="O58">
        <f>IF($U58="","",IF(ISNUMBER(INDEX(상세표[종료],$U58)),TEXT(INDEX(상세표[종료],$U58),"yyyy-mm-dd hh:mm"),INDEX(상세표[종료],$U58)&amp;""))</f>
        <v/>
      </c>
      <c r="P58" s="20">
        <f>IF($U58="","",INDEX(상세표[06~07시],$U58))</f>
        <v/>
      </c>
      <c r="Q58" s="20">
        <f>IF($U58="","",INDEX(상세표[07~18시],$U58))</f>
        <v/>
      </c>
      <c r="R58" s="20">
        <f>IF($U58="","",INDEX(상세표[18~22시],$U58))</f>
        <v/>
      </c>
      <c r="S58" s="20">
        <f>IF($U58="","",INDEX(상세표[22~06시],$U58))</f>
        <v/>
      </c>
      <c r="T58" s="20">
        <f>IF($U58="","",INDEX(상세표[기록 시간외],$U58))</f>
        <v/>
      </c>
      <c r="U58" s="4">
        <f>IFERROR(MATCH(53,상세표[발송순번],0),"")</f>
        <v/>
      </c>
    </row>
    <row r="59">
      <c r="A59">
        <f>IF($H59="","",INDEX(상세표[사번],$H59)&amp;"")</f>
        <v/>
      </c>
      <c r="B59">
        <f>IF($H59="","",INDEX(상세표[성명],$H59)&amp;"")</f>
        <v/>
      </c>
      <c r="C59">
        <f>IF($H59="","",INDEX(상세표[부서],$H59)&amp;"")</f>
        <v/>
      </c>
      <c r="D59">
        <f>IF($H59="","",IF(IFERROR(INDEX(합계표[직위(요약)],MATCH(INDEX(상세표[사번키],$H59),합계표[사번키],0))&amp;IF(INDEX(합계표[직급 공존],MATCH(INDEX(상세표[사번키],$H59),합계표[사번키],0))="",""," ("&amp;INDEX(합계표[직급 공존],MATCH(INDEX(상세표[사번키],$H59),합계표[사번키],0))&amp;")"),"")="",INDEX(상세표[직위],$H59)&amp;"",IFERROR(INDEX(합계표[직위(요약)],MATCH(INDEX(상세표[사번키],$H59),합계표[사번키],0))&amp;IF(INDEX(합계표[직급 공존],MATCH(INDEX(상세표[사번키],$H59),합계표[사번키],0))="",""," ("&amp;INDEX(합계표[직급 공존],MATCH(INDEX(상세표[사번키],$H59),합계표[사번키],0))&amp;")"),"")))</f>
        <v/>
      </c>
      <c r="E59">
        <f>IF($H59="","",COUNTIFS(상세표[사번키],INDEX(상세표[사번키],$H59),상세표[기록월],대상월키))</f>
        <v/>
      </c>
      <c r="F59" s="20">
        <f>IF($H59="","",SUMIFS(상세표[기록 시간외],상세표[사번키],INDEX(상세표[사번키],$H59),상세표[기록월],대상월키))</f>
        <v/>
      </c>
      <c r="G59" s="20">
        <f>IF($H59="","",SUMIFS(합계표[시스템 합계],합계표[사번키],INDEX(상세표[사번키],$H59)))</f>
        <v/>
      </c>
      <c r="H59" s="4">
        <f>IFERROR(MATCH(54,상세표[발송인원순번],0),"")</f>
        <v/>
      </c>
      <c r="J59">
        <f>IF($U59="","",INDEX(상세표[사번],$U59)&amp;"")</f>
        <v/>
      </c>
      <c r="K59">
        <f>IF($U59="","",INDEX(상세표[성명],$U59)&amp;"")</f>
        <v/>
      </c>
      <c r="L59">
        <f>IF($U59="","",INDEX(상세표[직위],$U59)&amp;"")</f>
        <v/>
      </c>
      <c r="M59">
        <f>IF($U59="","",IF(ISNUMBER(INDEX(상세표[근무일자],$U59)),TEXT(INDEX(상세표[근무일자],$U59),"yyyy-mm-dd"),INDEX(상세표[근무일자],$U59)&amp;""))</f>
        <v/>
      </c>
      <c r="N59">
        <f>IF($U59="","",IF(ISNUMBER(INDEX(상세표[시작],$U59)),TEXT(INDEX(상세표[시작],$U59),"yyyy-mm-dd hh:mm"),INDEX(상세표[시작],$U59)&amp;""))</f>
        <v/>
      </c>
      <c r="O59">
        <f>IF($U59="","",IF(ISNUMBER(INDEX(상세표[종료],$U59)),TEXT(INDEX(상세표[종료],$U59),"yyyy-mm-dd hh:mm"),INDEX(상세표[종료],$U59)&amp;""))</f>
        <v/>
      </c>
      <c r="P59" s="20">
        <f>IF($U59="","",INDEX(상세표[06~07시],$U59))</f>
        <v/>
      </c>
      <c r="Q59" s="20">
        <f>IF($U59="","",INDEX(상세표[07~18시],$U59))</f>
        <v/>
      </c>
      <c r="R59" s="20">
        <f>IF($U59="","",INDEX(상세표[18~22시],$U59))</f>
        <v/>
      </c>
      <c r="S59" s="20">
        <f>IF($U59="","",INDEX(상세표[22~06시],$U59))</f>
        <v/>
      </c>
      <c r="T59" s="20">
        <f>IF($U59="","",INDEX(상세표[기록 시간외],$U59))</f>
        <v/>
      </c>
      <c r="U59" s="4">
        <f>IFERROR(MATCH(54,상세표[발송순번],0),"")</f>
        <v/>
      </c>
    </row>
    <row r="60">
      <c r="A60">
        <f>IF($H60="","",INDEX(상세표[사번],$H60)&amp;"")</f>
        <v/>
      </c>
      <c r="B60">
        <f>IF($H60="","",INDEX(상세표[성명],$H60)&amp;"")</f>
        <v/>
      </c>
      <c r="C60">
        <f>IF($H60="","",INDEX(상세표[부서],$H60)&amp;"")</f>
        <v/>
      </c>
      <c r="D60">
        <f>IF($H60="","",IF(IFERROR(INDEX(합계표[직위(요약)],MATCH(INDEX(상세표[사번키],$H60),합계표[사번키],0))&amp;IF(INDEX(합계표[직급 공존],MATCH(INDEX(상세표[사번키],$H60),합계표[사번키],0))="",""," ("&amp;INDEX(합계표[직급 공존],MATCH(INDEX(상세표[사번키],$H60),합계표[사번키],0))&amp;")"),"")="",INDEX(상세표[직위],$H60)&amp;"",IFERROR(INDEX(합계표[직위(요약)],MATCH(INDEX(상세표[사번키],$H60),합계표[사번키],0))&amp;IF(INDEX(합계표[직급 공존],MATCH(INDEX(상세표[사번키],$H60),합계표[사번키],0))="",""," ("&amp;INDEX(합계표[직급 공존],MATCH(INDEX(상세표[사번키],$H60),합계표[사번키],0))&amp;")"),"")))</f>
        <v/>
      </c>
      <c r="E60">
        <f>IF($H60="","",COUNTIFS(상세표[사번키],INDEX(상세표[사번키],$H60),상세표[기록월],대상월키))</f>
        <v/>
      </c>
      <c r="F60" s="20">
        <f>IF($H60="","",SUMIFS(상세표[기록 시간외],상세표[사번키],INDEX(상세표[사번키],$H60),상세표[기록월],대상월키))</f>
        <v/>
      </c>
      <c r="G60" s="20">
        <f>IF($H60="","",SUMIFS(합계표[시스템 합계],합계표[사번키],INDEX(상세표[사번키],$H60)))</f>
        <v/>
      </c>
      <c r="H60" s="4">
        <f>IFERROR(MATCH(55,상세표[발송인원순번],0),"")</f>
        <v/>
      </c>
      <c r="J60">
        <f>IF($U60="","",INDEX(상세표[사번],$U60)&amp;"")</f>
        <v/>
      </c>
      <c r="K60">
        <f>IF($U60="","",INDEX(상세표[성명],$U60)&amp;"")</f>
        <v/>
      </c>
      <c r="L60">
        <f>IF($U60="","",INDEX(상세표[직위],$U60)&amp;"")</f>
        <v/>
      </c>
      <c r="M60">
        <f>IF($U60="","",IF(ISNUMBER(INDEX(상세표[근무일자],$U60)),TEXT(INDEX(상세표[근무일자],$U60),"yyyy-mm-dd"),INDEX(상세표[근무일자],$U60)&amp;""))</f>
        <v/>
      </c>
      <c r="N60">
        <f>IF($U60="","",IF(ISNUMBER(INDEX(상세표[시작],$U60)),TEXT(INDEX(상세표[시작],$U60),"yyyy-mm-dd hh:mm"),INDEX(상세표[시작],$U60)&amp;""))</f>
        <v/>
      </c>
      <c r="O60">
        <f>IF($U60="","",IF(ISNUMBER(INDEX(상세표[종료],$U60)),TEXT(INDEX(상세표[종료],$U60),"yyyy-mm-dd hh:mm"),INDEX(상세표[종료],$U60)&amp;""))</f>
        <v/>
      </c>
      <c r="P60" s="20">
        <f>IF($U60="","",INDEX(상세표[06~07시],$U60))</f>
        <v/>
      </c>
      <c r="Q60" s="20">
        <f>IF($U60="","",INDEX(상세표[07~18시],$U60))</f>
        <v/>
      </c>
      <c r="R60" s="20">
        <f>IF($U60="","",INDEX(상세표[18~22시],$U60))</f>
        <v/>
      </c>
      <c r="S60" s="20">
        <f>IF($U60="","",INDEX(상세표[22~06시],$U60))</f>
        <v/>
      </c>
      <c r="T60" s="20">
        <f>IF($U60="","",INDEX(상세표[기록 시간외],$U60))</f>
        <v/>
      </c>
      <c r="U60" s="4">
        <f>IFERROR(MATCH(55,상세표[발송순번],0),"")</f>
        <v/>
      </c>
    </row>
    <row r="61">
      <c r="A61">
        <f>IF($H61="","",INDEX(상세표[사번],$H61)&amp;"")</f>
        <v/>
      </c>
      <c r="B61">
        <f>IF($H61="","",INDEX(상세표[성명],$H61)&amp;"")</f>
        <v/>
      </c>
      <c r="C61">
        <f>IF($H61="","",INDEX(상세표[부서],$H61)&amp;"")</f>
        <v/>
      </c>
      <c r="D61">
        <f>IF($H61="","",IF(IFERROR(INDEX(합계표[직위(요약)],MATCH(INDEX(상세표[사번키],$H61),합계표[사번키],0))&amp;IF(INDEX(합계표[직급 공존],MATCH(INDEX(상세표[사번키],$H61),합계표[사번키],0))="",""," ("&amp;INDEX(합계표[직급 공존],MATCH(INDEX(상세표[사번키],$H61),합계표[사번키],0))&amp;")"),"")="",INDEX(상세표[직위],$H61)&amp;"",IFERROR(INDEX(합계표[직위(요약)],MATCH(INDEX(상세표[사번키],$H61),합계표[사번키],0))&amp;IF(INDEX(합계표[직급 공존],MATCH(INDEX(상세표[사번키],$H61),합계표[사번키],0))="",""," ("&amp;INDEX(합계표[직급 공존],MATCH(INDEX(상세표[사번키],$H61),합계표[사번키],0))&amp;")"),"")))</f>
        <v/>
      </c>
      <c r="E61">
        <f>IF($H61="","",COUNTIFS(상세표[사번키],INDEX(상세표[사번키],$H61),상세표[기록월],대상월키))</f>
        <v/>
      </c>
      <c r="F61" s="20">
        <f>IF($H61="","",SUMIFS(상세표[기록 시간외],상세표[사번키],INDEX(상세표[사번키],$H61),상세표[기록월],대상월키))</f>
        <v/>
      </c>
      <c r="G61" s="20">
        <f>IF($H61="","",SUMIFS(합계표[시스템 합계],합계표[사번키],INDEX(상세표[사번키],$H61)))</f>
        <v/>
      </c>
      <c r="H61" s="4">
        <f>IFERROR(MATCH(56,상세표[발송인원순번],0),"")</f>
        <v/>
      </c>
      <c r="J61">
        <f>IF($U61="","",INDEX(상세표[사번],$U61)&amp;"")</f>
        <v/>
      </c>
      <c r="K61">
        <f>IF($U61="","",INDEX(상세표[성명],$U61)&amp;"")</f>
        <v/>
      </c>
      <c r="L61">
        <f>IF($U61="","",INDEX(상세표[직위],$U61)&amp;"")</f>
        <v/>
      </c>
      <c r="M61">
        <f>IF($U61="","",IF(ISNUMBER(INDEX(상세표[근무일자],$U61)),TEXT(INDEX(상세표[근무일자],$U61),"yyyy-mm-dd"),INDEX(상세표[근무일자],$U61)&amp;""))</f>
        <v/>
      </c>
      <c r="N61">
        <f>IF($U61="","",IF(ISNUMBER(INDEX(상세표[시작],$U61)),TEXT(INDEX(상세표[시작],$U61),"yyyy-mm-dd hh:mm"),INDEX(상세표[시작],$U61)&amp;""))</f>
        <v/>
      </c>
      <c r="O61">
        <f>IF($U61="","",IF(ISNUMBER(INDEX(상세표[종료],$U61)),TEXT(INDEX(상세표[종료],$U61),"yyyy-mm-dd hh:mm"),INDEX(상세표[종료],$U61)&amp;""))</f>
        <v/>
      </c>
      <c r="P61" s="20">
        <f>IF($U61="","",INDEX(상세표[06~07시],$U61))</f>
        <v/>
      </c>
      <c r="Q61" s="20">
        <f>IF($U61="","",INDEX(상세표[07~18시],$U61))</f>
        <v/>
      </c>
      <c r="R61" s="20">
        <f>IF($U61="","",INDEX(상세표[18~22시],$U61))</f>
        <v/>
      </c>
      <c r="S61" s="20">
        <f>IF($U61="","",INDEX(상세표[22~06시],$U61))</f>
        <v/>
      </c>
      <c r="T61" s="20">
        <f>IF($U61="","",INDEX(상세표[기록 시간외],$U61))</f>
        <v/>
      </c>
      <c r="U61" s="4">
        <f>IFERROR(MATCH(56,상세표[발송순번],0),"")</f>
        <v/>
      </c>
    </row>
    <row r="62">
      <c r="A62">
        <f>IF($H62="","",INDEX(상세표[사번],$H62)&amp;"")</f>
        <v/>
      </c>
      <c r="B62">
        <f>IF($H62="","",INDEX(상세표[성명],$H62)&amp;"")</f>
        <v/>
      </c>
      <c r="C62">
        <f>IF($H62="","",INDEX(상세표[부서],$H62)&amp;"")</f>
        <v/>
      </c>
      <c r="D62">
        <f>IF($H62="","",IF(IFERROR(INDEX(합계표[직위(요약)],MATCH(INDEX(상세표[사번키],$H62),합계표[사번키],0))&amp;IF(INDEX(합계표[직급 공존],MATCH(INDEX(상세표[사번키],$H62),합계표[사번키],0))="",""," ("&amp;INDEX(합계표[직급 공존],MATCH(INDEX(상세표[사번키],$H62),합계표[사번키],0))&amp;")"),"")="",INDEX(상세표[직위],$H62)&amp;"",IFERROR(INDEX(합계표[직위(요약)],MATCH(INDEX(상세표[사번키],$H62),합계표[사번키],0))&amp;IF(INDEX(합계표[직급 공존],MATCH(INDEX(상세표[사번키],$H62),합계표[사번키],0))="",""," ("&amp;INDEX(합계표[직급 공존],MATCH(INDEX(상세표[사번키],$H62),합계표[사번키],0))&amp;")"),"")))</f>
        <v/>
      </c>
      <c r="E62">
        <f>IF($H62="","",COUNTIFS(상세표[사번키],INDEX(상세표[사번키],$H62),상세표[기록월],대상월키))</f>
        <v/>
      </c>
      <c r="F62" s="20">
        <f>IF($H62="","",SUMIFS(상세표[기록 시간외],상세표[사번키],INDEX(상세표[사번키],$H62),상세표[기록월],대상월키))</f>
        <v/>
      </c>
      <c r="G62" s="20">
        <f>IF($H62="","",SUMIFS(합계표[시스템 합계],합계표[사번키],INDEX(상세표[사번키],$H62)))</f>
        <v/>
      </c>
      <c r="H62" s="4">
        <f>IFERROR(MATCH(57,상세표[발송인원순번],0),"")</f>
        <v/>
      </c>
      <c r="J62">
        <f>IF($U62="","",INDEX(상세표[사번],$U62)&amp;"")</f>
        <v/>
      </c>
      <c r="K62">
        <f>IF($U62="","",INDEX(상세표[성명],$U62)&amp;"")</f>
        <v/>
      </c>
      <c r="L62">
        <f>IF($U62="","",INDEX(상세표[직위],$U62)&amp;"")</f>
        <v/>
      </c>
      <c r="M62">
        <f>IF($U62="","",IF(ISNUMBER(INDEX(상세표[근무일자],$U62)),TEXT(INDEX(상세표[근무일자],$U62),"yyyy-mm-dd"),INDEX(상세표[근무일자],$U62)&amp;""))</f>
        <v/>
      </c>
      <c r="N62">
        <f>IF($U62="","",IF(ISNUMBER(INDEX(상세표[시작],$U62)),TEXT(INDEX(상세표[시작],$U62),"yyyy-mm-dd hh:mm"),INDEX(상세표[시작],$U62)&amp;""))</f>
        <v/>
      </c>
      <c r="O62">
        <f>IF($U62="","",IF(ISNUMBER(INDEX(상세표[종료],$U62)),TEXT(INDEX(상세표[종료],$U62),"yyyy-mm-dd hh:mm"),INDEX(상세표[종료],$U62)&amp;""))</f>
        <v/>
      </c>
      <c r="P62" s="20">
        <f>IF($U62="","",INDEX(상세표[06~07시],$U62))</f>
        <v/>
      </c>
      <c r="Q62" s="20">
        <f>IF($U62="","",INDEX(상세표[07~18시],$U62))</f>
        <v/>
      </c>
      <c r="R62" s="20">
        <f>IF($U62="","",INDEX(상세표[18~22시],$U62))</f>
        <v/>
      </c>
      <c r="S62" s="20">
        <f>IF($U62="","",INDEX(상세표[22~06시],$U62))</f>
        <v/>
      </c>
      <c r="T62" s="20">
        <f>IF($U62="","",INDEX(상세표[기록 시간외],$U62))</f>
        <v/>
      </c>
      <c r="U62" s="4">
        <f>IFERROR(MATCH(57,상세표[발송순번],0),"")</f>
        <v/>
      </c>
    </row>
    <row r="63">
      <c r="A63">
        <f>IF($H63="","",INDEX(상세표[사번],$H63)&amp;"")</f>
        <v/>
      </c>
      <c r="B63">
        <f>IF($H63="","",INDEX(상세표[성명],$H63)&amp;"")</f>
        <v/>
      </c>
      <c r="C63">
        <f>IF($H63="","",INDEX(상세표[부서],$H63)&amp;"")</f>
        <v/>
      </c>
      <c r="D63">
        <f>IF($H63="","",IF(IFERROR(INDEX(합계표[직위(요약)],MATCH(INDEX(상세표[사번키],$H63),합계표[사번키],0))&amp;IF(INDEX(합계표[직급 공존],MATCH(INDEX(상세표[사번키],$H63),합계표[사번키],0))="",""," ("&amp;INDEX(합계표[직급 공존],MATCH(INDEX(상세표[사번키],$H63),합계표[사번키],0))&amp;")"),"")="",INDEX(상세표[직위],$H63)&amp;"",IFERROR(INDEX(합계표[직위(요약)],MATCH(INDEX(상세표[사번키],$H63),합계표[사번키],0))&amp;IF(INDEX(합계표[직급 공존],MATCH(INDEX(상세표[사번키],$H63),합계표[사번키],0))="",""," ("&amp;INDEX(합계표[직급 공존],MATCH(INDEX(상세표[사번키],$H63),합계표[사번키],0))&amp;")"),"")))</f>
        <v/>
      </c>
      <c r="E63">
        <f>IF($H63="","",COUNTIFS(상세표[사번키],INDEX(상세표[사번키],$H63),상세표[기록월],대상월키))</f>
        <v/>
      </c>
      <c r="F63" s="20">
        <f>IF($H63="","",SUMIFS(상세표[기록 시간외],상세표[사번키],INDEX(상세표[사번키],$H63),상세표[기록월],대상월키))</f>
        <v/>
      </c>
      <c r="G63" s="20">
        <f>IF($H63="","",SUMIFS(합계표[시스템 합계],합계표[사번키],INDEX(상세표[사번키],$H63)))</f>
        <v/>
      </c>
      <c r="H63" s="4">
        <f>IFERROR(MATCH(58,상세표[발송인원순번],0),"")</f>
        <v/>
      </c>
      <c r="J63">
        <f>IF($U63="","",INDEX(상세표[사번],$U63)&amp;"")</f>
        <v/>
      </c>
      <c r="K63">
        <f>IF($U63="","",INDEX(상세표[성명],$U63)&amp;"")</f>
        <v/>
      </c>
      <c r="L63">
        <f>IF($U63="","",INDEX(상세표[직위],$U63)&amp;"")</f>
        <v/>
      </c>
      <c r="M63">
        <f>IF($U63="","",IF(ISNUMBER(INDEX(상세표[근무일자],$U63)),TEXT(INDEX(상세표[근무일자],$U63),"yyyy-mm-dd"),INDEX(상세표[근무일자],$U63)&amp;""))</f>
        <v/>
      </c>
      <c r="N63">
        <f>IF($U63="","",IF(ISNUMBER(INDEX(상세표[시작],$U63)),TEXT(INDEX(상세표[시작],$U63),"yyyy-mm-dd hh:mm"),INDEX(상세표[시작],$U63)&amp;""))</f>
        <v/>
      </c>
      <c r="O63">
        <f>IF($U63="","",IF(ISNUMBER(INDEX(상세표[종료],$U63)),TEXT(INDEX(상세표[종료],$U63),"yyyy-mm-dd hh:mm"),INDEX(상세표[종료],$U63)&amp;""))</f>
        <v/>
      </c>
      <c r="P63" s="20">
        <f>IF($U63="","",INDEX(상세표[06~07시],$U63))</f>
        <v/>
      </c>
      <c r="Q63" s="20">
        <f>IF($U63="","",INDEX(상세표[07~18시],$U63))</f>
        <v/>
      </c>
      <c r="R63" s="20">
        <f>IF($U63="","",INDEX(상세표[18~22시],$U63))</f>
        <v/>
      </c>
      <c r="S63" s="20">
        <f>IF($U63="","",INDEX(상세표[22~06시],$U63))</f>
        <v/>
      </c>
      <c r="T63" s="20">
        <f>IF($U63="","",INDEX(상세표[기록 시간외],$U63))</f>
        <v/>
      </c>
      <c r="U63" s="4">
        <f>IFERROR(MATCH(58,상세표[발송순번],0),"")</f>
        <v/>
      </c>
    </row>
    <row r="64">
      <c r="A64">
        <f>IF($H64="","",INDEX(상세표[사번],$H64)&amp;"")</f>
        <v/>
      </c>
      <c r="B64">
        <f>IF($H64="","",INDEX(상세표[성명],$H64)&amp;"")</f>
        <v/>
      </c>
      <c r="C64">
        <f>IF($H64="","",INDEX(상세표[부서],$H64)&amp;"")</f>
        <v/>
      </c>
      <c r="D64">
        <f>IF($H64="","",IF(IFERROR(INDEX(합계표[직위(요약)],MATCH(INDEX(상세표[사번키],$H64),합계표[사번키],0))&amp;IF(INDEX(합계표[직급 공존],MATCH(INDEX(상세표[사번키],$H64),합계표[사번키],0))="",""," ("&amp;INDEX(합계표[직급 공존],MATCH(INDEX(상세표[사번키],$H64),합계표[사번키],0))&amp;")"),"")="",INDEX(상세표[직위],$H64)&amp;"",IFERROR(INDEX(합계표[직위(요약)],MATCH(INDEX(상세표[사번키],$H64),합계표[사번키],0))&amp;IF(INDEX(합계표[직급 공존],MATCH(INDEX(상세표[사번키],$H64),합계표[사번키],0))="",""," ("&amp;INDEX(합계표[직급 공존],MATCH(INDEX(상세표[사번키],$H64),합계표[사번키],0))&amp;")"),"")))</f>
        <v/>
      </c>
      <c r="E64">
        <f>IF($H64="","",COUNTIFS(상세표[사번키],INDEX(상세표[사번키],$H64),상세표[기록월],대상월키))</f>
        <v/>
      </c>
      <c r="F64" s="20">
        <f>IF($H64="","",SUMIFS(상세표[기록 시간외],상세표[사번키],INDEX(상세표[사번키],$H64),상세표[기록월],대상월키))</f>
        <v/>
      </c>
      <c r="G64" s="20">
        <f>IF($H64="","",SUMIFS(합계표[시스템 합계],합계표[사번키],INDEX(상세표[사번키],$H64)))</f>
        <v/>
      </c>
      <c r="H64" s="4">
        <f>IFERROR(MATCH(59,상세표[발송인원순번],0),"")</f>
        <v/>
      </c>
      <c r="J64">
        <f>IF($U64="","",INDEX(상세표[사번],$U64)&amp;"")</f>
        <v/>
      </c>
      <c r="K64">
        <f>IF($U64="","",INDEX(상세표[성명],$U64)&amp;"")</f>
        <v/>
      </c>
      <c r="L64">
        <f>IF($U64="","",INDEX(상세표[직위],$U64)&amp;"")</f>
        <v/>
      </c>
      <c r="M64">
        <f>IF($U64="","",IF(ISNUMBER(INDEX(상세표[근무일자],$U64)),TEXT(INDEX(상세표[근무일자],$U64),"yyyy-mm-dd"),INDEX(상세표[근무일자],$U64)&amp;""))</f>
        <v/>
      </c>
      <c r="N64">
        <f>IF($U64="","",IF(ISNUMBER(INDEX(상세표[시작],$U64)),TEXT(INDEX(상세표[시작],$U64),"yyyy-mm-dd hh:mm"),INDEX(상세표[시작],$U64)&amp;""))</f>
        <v/>
      </c>
      <c r="O64">
        <f>IF($U64="","",IF(ISNUMBER(INDEX(상세표[종료],$U64)),TEXT(INDEX(상세표[종료],$U64),"yyyy-mm-dd hh:mm"),INDEX(상세표[종료],$U64)&amp;""))</f>
        <v/>
      </c>
      <c r="P64" s="20">
        <f>IF($U64="","",INDEX(상세표[06~07시],$U64))</f>
        <v/>
      </c>
      <c r="Q64" s="20">
        <f>IF($U64="","",INDEX(상세표[07~18시],$U64))</f>
        <v/>
      </c>
      <c r="R64" s="20">
        <f>IF($U64="","",INDEX(상세표[18~22시],$U64))</f>
        <v/>
      </c>
      <c r="S64" s="20">
        <f>IF($U64="","",INDEX(상세표[22~06시],$U64))</f>
        <v/>
      </c>
      <c r="T64" s="20">
        <f>IF($U64="","",INDEX(상세표[기록 시간외],$U64))</f>
        <v/>
      </c>
      <c r="U64" s="4">
        <f>IFERROR(MATCH(59,상세표[발송순번],0),"")</f>
        <v/>
      </c>
    </row>
    <row r="65">
      <c r="A65">
        <f>IF($H65="","",INDEX(상세표[사번],$H65)&amp;"")</f>
        <v/>
      </c>
      <c r="B65">
        <f>IF($H65="","",INDEX(상세표[성명],$H65)&amp;"")</f>
        <v/>
      </c>
      <c r="C65">
        <f>IF($H65="","",INDEX(상세표[부서],$H65)&amp;"")</f>
        <v/>
      </c>
      <c r="D65">
        <f>IF($H65="","",IF(IFERROR(INDEX(합계표[직위(요약)],MATCH(INDEX(상세표[사번키],$H65),합계표[사번키],0))&amp;IF(INDEX(합계표[직급 공존],MATCH(INDEX(상세표[사번키],$H65),합계표[사번키],0))="",""," ("&amp;INDEX(합계표[직급 공존],MATCH(INDEX(상세표[사번키],$H65),합계표[사번키],0))&amp;")"),"")="",INDEX(상세표[직위],$H65)&amp;"",IFERROR(INDEX(합계표[직위(요약)],MATCH(INDEX(상세표[사번키],$H65),합계표[사번키],0))&amp;IF(INDEX(합계표[직급 공존],MATCH(INDEX(상세표[사번키],$H65),합계표[사번키],0))="",""," ("&amp;INDEX(합계표[직급 공존],MATCH(INDEX(상세표[사번키],$H65),합계표[사번키],0))&amp;")"),"")))</f>
        <v/>
      </c>
      <c r="E65">
        <f>IF($H65="","",COUNTIFS(상세표[사번키],INDEX(상세표[사번키],$H65),상세표[기록월],대상월키))</f>
        <v/>
      </c>
      <c r="F65" s="20">
        <f>IF($H65="","",SUMIFS(상세표[기록 시간외],상세표[사번키],INDEX(상세표[사번키],$H65),상세표[기록월],대상월키))</f>
        <v/>
      </c>
      <c r="G65" s="20">
        <f>IF($H65="","",SUMIFS(합계표[시스템 합계],합계표[사번키],INDEX(상세표[사번키],$H65)))</f>
        <v/>
      </c>
      <c r="H65" s="4">
        <f>IFERROR(MATCH(60,상세표[발송인원순번],0),"")</f>
        <v/>
      </c>
      <c r="J65">
        <f>IF($U65="","",INDEX(상세표[사번],$U65)&amp;"")</f>
        <v/>
      </c>
      <c r="K65">
        <f>IF($U65="","",INDEX(상세표[성명],$U65)&amp;"")</f>
        <v/>
      </c>
      <c r="L65">
        <f>IF($U65="","",INDEX(상세표[직위],$U65)&amp;"")</f>
        <v/>
      </c>
      <c r="M65">
        <f>IF($U65="","",IF(ISNUMBER(INDEX(상세표[근무일자],$U65)),TEXT(INDEX(상세표[근무일자],$U65),"yyyy-mm-dd"),INDEX(상세표[근무일자],$U65)&amp;""))</f>
        <v/>
      </c>
      <c r="N65">
        <f>IF($U65="","",IF(ISNUMBER(INDEX(상세표[시작],$U65)),TEXT(INDEX(상세표[시작],$U65),"yyyy-mm-dd hh:mm"),INDEX(상세표[시작],$U65)&amp;""))</f>
        <v/>
      </c>
      <c r="O65">
        <f>IF($U65="","",IF(ISNUMBER(INDEX(상세표[종료],$U65)),TEXT(INDEX(상세표[종료],$U65),"yyyy-mm-dd hh:mm"),INDEX(상세표[종료],$U65)&amp;""))</f>
        <v/>
      </c>
      <c r="P65" s="20">
        <f>IF($U65="","",INDEX(상세표[06~07시],$U65))</f>
        <v/>
      </c>
      <c r="Q65" s="20">
        <f>IF($U65="","",INDEX(상세표[07~18시],$U65))</f>
        <v/>
      </c>
      <c r="R65" s="20">
        <f>IF($U65="","",INDEX(상세표[18~22시],$U65))</f>
        <v/>
      </c>
      <c r="S65" s="20">
        <f>IF($U65="","",INDEX(상세표[22~06시],$U65))</f>
        <v/>
      </c>
      <c r="T65" s="20">
        <f>IF($U65="","",INDEX(상세표[기록 시간외],$U65))</f>
        <v/>
      </c>
      <c r="U65" s="4">
        <f>IFERROR(MATCH(60,상세표[발송순번],0),"")</f>
        <v/>
      </c>
    </row>
    <row r="66">
      <c r="A66">
        <f>IF($H66="","",INDEX(상세표[사번],$H66)&amp;"")</f>
        <v/>
      </c>
      <c r="B66">
        <f>IF($H66="","",INDEX(상세표[성명],$H66)&amp;"")</f>
        <v/>
      </c>
      <c r="C66">
        <f>IF($H66="","",INDEX(상세표[부서],$H66)&amp;"")</f>
        <v/>
      </c>
      <c r="D66">
        <f>IF($H66="","",IF(IFERROR(INDEX(합계표[직위(요약)],MATCH(INDEX(상세표[사번키],$H66),합계표[사번키],0))&amp;IF(INDEX(합계표[직급 공존],MATCH(INDEX(상세표[사번키],$H66),합계표[사번키],0))="",""," ("&amp;INDEX(합계표[직급 공존],MATCH(INDEX(상세표[사번키],$H66),합계표[사번키],0))&amp;")"),"")="",INDEX(상세표[직위],$H66)&amp;"",IFERROR(INDEX(합계표[직위(요약)],MATCH(INDEX(상세표[사번키],$H66),합계표[사번키],0))&amp;IF(INDEX(합계표[직급 공존],MATCH(INDEX(상세표[사번키],$H66),합계표[사번키],0))="",""," ("&amp;INDEX(합계표[직급 공존],MATCH(INDEX(상세표[사번키],$H66),합계표[사번키],0))&amp;")"),"")))</f>
        <v/>
      </c>
      <c r="E66">
        <f>IF($H66="","",COUNTIFS(상세표[사번키],INDEX(상세표[사번키],$H66),상세표[기록월],대상월키))</f>
        <v/>
      </c>
      <c r="F66" s="20">
        <f>IF($H66="","",SUMIFS(상세표[기록 시간외],상세표[사번키],INDEX(상세표[사번키],$H66),상세표[기록월],대상월키))</f>
        <v/>
      </c>
      <c r="G66" s="20">
        <f>IF($H66="","",SUMIFS(합계표[시스템 합계],합계표[사번키],INDEX(상세표[사번키],$H66)))</f>
        <v/>
      </c>
      <c r="H66" s="4">
        <f>IFERROR(MATCH(61,상세표[발송인원순번],0),"")</f>
        <v/>
      </c>
      <c r="J66">
        <f>IF($U66="","",INDEX(상세표[사번],$U66)&amp;"")</f>
        <v/>
      </c>
      <c r="K66">
        <f>IF($U66="","",INDEX(상세표[성명],$U66)&amp;"")</f>
        <v/>
      </c>
      <c r="L66">
        <f>IF($U66="","",INDEX(상세표[직위],$U66)&amp;"")</f>
        <v/>
      </c>
      <c r="M66">
        <f>IF($U66="","",IF(ISNUMBER(INDEX(상세표[근무일자],$U66)),TEXT(INDEX(상세표[근무일자],$U66),"yyyy-mm-dd"),INDEX(상세표[근무일자],$U66)&amp;""))</f>
        <v/>
      </c>
      <c r="N66">
        <f>IF($U66="","",IF(ISNUMBER(INDEX(상세표[시작],$U66)),TEXT(INDEX(상세표[시작],$U66),"yyyy-mm-dd hh:mm"),INDEX(상세표[시작],$U66)&amp;""))</f>
        <v/>
      </c>
      <c r="O66">
        <f>IF($U66="","",IF(ISNUMBER(INDEX(상세표[종료],$U66)),TEXT(INDEX(상세표[종료],$U66),"yyyy-mm-dd hh:mm"),INDEX(상세표[종료],$U66)&amp;""))</f>
        <v/>
      </c>
      <c r="P66" s="20">
        <f>IF($U66="","",INDEX(상세표[06~07시],$U66))</f>
        <v/>
      </c>
      <c r="Q66" s="20">
        <f>IF($U66="","",INDEX(상세표[07~18시],$U66))</f>
        <v/>
      </c>
      <c r="R66" s="20">
        <f>IF($U66="","",INDEX(상세표[18~22시],$U66))</f>
        <v/>
      </c>
      <c r="S66" s="20">
        <f>IF($U66="","",INDEX(상세표[22~06시],$U66))</f>
        <v/>
      </c>
      <c r="T66" s="20">
        <f>IF($U66="","",INDEX(상세표[기록 시간외],$U66))</f>
        <v/>
      </c>
      <c r="U66" s="4">
        <f>IFERROR(MATCH(61,상세표[발송순번],0),"")</f>
        <v/>
      </c>
    </row>
    <row r="67">
      <c r="A67">
        <f>IF($H67="","",INDEX(상세표[사번],$H67)&amp;"")</f>
        <v/>
      </c>
      <c r="B67">
        <f>IF($H67="","",INDEX(상세표[성명],$H67)&amp;"")</f>
        <v/>
      </c>
      <c r="C67">
        <f>IF($H67="","",INDEX(상세표[부서],$H67)&amp;"")</f>
        <v/>
      </c>
      <c r="D67">
        <f>IF($H67="","",IF(IFERROR(INDEX(합계표[직위(요약)],MATCH(INDEX(상세표[사번키],$H67),합계표[사번키],0))&amp;IF(INDEX(합계표[직급 공존],MATCH(INDEX(상세표[사번키],$H67),합계표[사번키],0))="",""," ("&amp;INDEX(합계표[직급 공존],MATCH(INDEX(상세표[사번키],$H67),합계표[사번키],0))&amp;")"),"")="",INDEX(상세표[직위],$H67)&amp;"",IFERROR(INDEX(합계표[직위(요약)],MATCH(INDEX(상세표[사번키],$H67),합계표[사번키],0))&amp;IF(INDEX(합계표[직급 공존],MATCH(INDEX(상세표[사번키],$H67),합계표[사번키],0))="",""," ("&amp;INDEX(합계표[직급 공존],MATCH(INDEX(상세표[사번키],$H67),합계표[사번키],0))&amp;")"),"")))</f>
        <v/>
      </c>
      <c r="E67">
        <f>IF($H67="","",COUNTIFS(상세표[사번키],INDEX(상세표[사번키],$H67),상세표[기록월],대상월키))</f>
        <v/>
      </c>
      <c r="F67" s="20">
        <f>IF($H67="","",SUMIFS(상세표[기록 시간외],상세표[사번키],INDEX(상세표[사번키],$H67),상세표[기록월],대상월키))</f>
        <v/>
      </c>
      <c r="G67" s="20">
        <f>IF($H67="","",SUMIFS(합계표[시스템 합계],합계표[사번키],INDEX(상세표[사번키],$H67)))</f>
        <v/>
      </c>
      <c r="H67" s="4">
        <f>IFERROR(MATCH(62,상세표[발송인원순번],0),"")</f>
        <v/>
      </c>
      <c r="J67">
        <f>IF($U67="","",INDEX(상세표[사번],$U67)&amp;"")</f>
        <v/>
      </c>
      <c r="K67">
        <f>IF($U67="","",INDEX(상세표[성명],$U67)&amp;"")</f>
        <v/>
      </c>
      <c r="L67">
        <f>IF($U67="","",INDEX(상세표[직위],$U67)&amp;"")</f>
        <v/>
      </c>
      <c r="M67">
        <f>IF($U67="","",IF(ISNUMBER(INDEX(상세표[근무일자],$U67)),TEXT(INDEX(상세표[근무일자],$U67),"yyyy-mm-dd"),INDEX(상세표[근무일자],$U67)&amp;""))</f>
        <v/>
      </c>
      <c r="N67">
        <f>IF($U67="","",IF(ISNUMBER(INDEX(상세표[시작],$U67)),TEXT(INDEX(상세표[시작],$U67),"yyyy-mm-dd hh:mm"),INDEX(상세표[시작],$U67)&amp;""))</f>
        <v/>
      </c>
      <c r="O67">
        <f>IF($U67="","",IF(ISNUMBER(INDEX(상세표[종료],$U67)),TEXT(INDEX(상세표[종료],$U67),"yyyy-mm-dd hh:mm"),INDEX(상세표[종료],$U67)&amp;""))</f>
        <v/>
      </c>
      <c r="P67" s="20">
        <f>IF($U67="","",INDEX(상세표[06~07시],$U67))</f>
        <v/>
      </c>
      <c r="Q67" s="20">
        <f>IF($U67="","",INDEX(상세표[07~18시],$U67))</f>
        <v/>
      </c>
      <c r="R67" s="20">
        <f>IF($U67="","",INDEX(상세표[18~22시],$U67))</f>
        <v/>
      </c>
      <c r="S67" s="20">
        <f>IF($U67="","",INDEX(상세표[22~06시],$U67))</f>
        <v/>
      </c>
      <c r="T67" s="20">
        <f>IF($U67="","",INDEX(상세표[기록 시간외],$U67))</f>
        <v/>
      </c>
      <c r="U67" s="4">
        <f>IFERROR(MATCH(62,상세표[발송순번],0),"")</f>
        <v/>
      </c>
    </row>
    <row r="68">
      <c r="A68">
        <f>IF($H68="","",INDEX(상세표[사번],$H68)&amp;"")</f>
        <v/>
      </c>
      <c r="B68">
        <f>IF($H68="","",INDEX(상세표[성명],$H68)&amp;"")</f>
        <v/>
      </c>
      <c r="C68">
        <f>IF($H68="","",INDEX(상세표[부서],$H68)&amp;"")</f>
        <v/>
      </c>
      <c r="D68">
        <f>IF($H68="","",IF(IFERROR(INDEX(합계표[직위(요약)],MATCH(INDEX(상세표[사번키],$H68),합계표[사번키],0))&amp;IF(INDEX(합계표[직급 공존],MATCH(INDEX(상세표[사번키],$H68),합계표[사번키],0))="",""," ("&amp;INDEX(합계표[직급 공존],MATCH(INDEX(상세표[사번키],$H68),합계표[사번키],0))&amp;")"),"")="",INDEX(상세표[직위],$H68)&amp;"",IFERROR(INDEX(합계표[직위(요약)],MATCH(INDEX(상세표[사번키],$H68),합계표[사번키],0))&amp;IF(INDEX(합계표[직급 공존],MATCH(INDEX(상세표[사번키],$H68),합계표[사번키],0))="",""," ("&amp;INDEX(합계표[직급 공존],MATCH(INDEX(상세표[사번키],$H68),합계표[사번키],0))&amp;")"),"")))</f>
        <v/>
      </c>
      <c r="E68">
        <f>IF($H68="","",COUNTIFS(상세표[사번키],INDEX(상세표[사번키],$H68),상세표[기록월],대상월키))</f>
        <v/>
      </c>
      <c r="F68" s="20">
        <f>IF($H68="","",SUMIFS(상세표[기록 시간외],상세표[사번키],INDEX(상세표[사번키],$H68),상세표[기록월],대상월키))</f>
        <v/>
      </c>
      <c r="G68" s="20">
        <f>IF($H68="","",SUMIFS(합계표[시스템 합계],합계표[사번키],INDEX(상세표[사번키],$H68)))</f>
        <v/>
      </c>
      <c r="H68" s="4">
        <f>IFERROR(MATCH(63,상세표[발송인원순번],0),"")</f>
        <v/>
      </c>
      <c r="J68">
        <f>IF($U68="","",INDEX(상세표[사번],$U68)&amp;"")</f>
        <v/>
      </c>
      <c r="K68">
        <f>IF($U68="","",INDEX(상세표[성명],$U68)&amp;"")</f>
        <v/>
      </c>
      <c r="L68">
        <f>IF($U68="","",INDEX(상세표[직위],$U68)&amp;"")</f>
        <v/>
      </c>
      <c r="M68">
        <f>IF($U68="","",IF(ISNUMBER(INDEX(상세표[근무일자],$U68)),TEXT(INDEX(상세표[근무일자],$U68),"yyyy-mm-dd"),INDEX(상세표[근무일자],$U68)&amp;""))</f>
        <v/>
      </c>
      <c r="N68">
        <f>IF($U68="","",IF(ISNUMBER(INDEX(상세표[시작],$U68)),TEXT(INDEX(상세표[시작],$U68),"yyyy-mm-dd hh:mm"),INDEX(상세표[시작],$U68)&amp;""))</f>
        <v/>
      </c>
      <c r="O68">
        <f>IF($U68="","",IF(ISNUMBER(INDEX(상세표[종료],$U68)),TEXT(INDEX(상세표[종료],$U68),"yyyy-mm-dd hh:mm"),INDEX(상세표[종료],$U68)&amp;""))</f>
        <v/>
      </c>
      <c r="P68" s="20">
        <f>IF($U68="","",INDEX(상세표[06~07시],$U68))</f>
        <v/>
      </c>
      <c r="Q68" s="20">
        <f>IF($U68="","",INDEX(상세표[07~18시],$U68))</f>
        <v/>
      </c>
      <c r="R68" s="20">
        <f>IF($U68="","",INDEX(상세표[18~22시],$U68))</f>
        <v/>
      </c>
      <c r="S68" s="20">
        <f>IF($U68="","",INDEX(상세표[22~06시],$U68))</f>
        <v/>
      </c>
      <c r="T68" s="20">
        <f>IF($U68="","",INDEX(상세표[기록 시간외],$U68))</f>
        <v/>
      </c>
      <c r="U68" s="4">
        <f>IFERROR(MATCH(63,상세표[발송순번],0),"")</f>
        <v/>
      </c>
    </row>
    <row r="69">
      <c r="A69">
        <f>IF($H69="","",INDEX(상세표[사번],$H69)&amp;"")</f>
        <v/>
      </c>
      <c r="B69">
        <f>IF($H69="","",INDEX(상세표[성명],$H69)&amp;"")</f>
        <v/>
      </c>
      <c r="C69">
        <f>IF($H69="","",INDEX(상세표[부서],$H69)&amp;"")</f>
        <v/>
      </c>
      <c r="D69">
        <f>IF($H69="","",IF(IFERROR(INDEX(합계표[직위(요약)],MATCH(INDEX(상세표[사번키],$H69),합계표[사번키],0))&amp;IF(INDEX(합계표[직급 공존],MATCH(INDEX(상세표[사번키],$H69),합계표[사번키],0))="",""," ("&amp;INDEX(합계표[직급 공존],MATCH(INDEX(상세표[사번키],$H69),합계표[사번키],0))&amp;")"),"")="",INDEX(상세표[직위],$H69)&amp;"",IFERROR(INDEX(합계표[직위(요약)],MATCH(INDEX(상세표[사번키],$H69),합계표[사번키],0))&amp;IF(INDEX(합계표[직급 공존],MATCH(INDEX(상세표[사번키],$H69),합계표[사번키],0))="",""," ("&amp;INDEX(합계표[직급 공존],MATCH(INDEX(상세표[사번키],$H69),합계표[사번키],0))&amp;")"),"")))</f>
        <v/>
      </c>
      <c r="E69">
        <f>IF($H69="","",COUNTIFS(상세표[사번키],INDEX(상세표[사번키],$H69),상세표[기록월],대상월키))</f>
        <v/>
      </c>
      <c r="F69" s="20">
        <f>IF($H69="","",SUMIFS(상세표[기록 시간외],상세표[사번키],INDEX(상세표[사번키],$H69),상세표[기록월],대상월키))</f>
        <v/>
      </c>
      <c r="G69" s="20">
        <f>IF($H69="","",SUMIFS(합계표[시스템 합계],합계표[사번키],INDEX(상세표[사번키],$H69)))</f>
        <v/>
      </c>
      <c r="H69" s="4">
        <f>IFERROR(MATCH(64,상세표[발송인원순번],0),"")</f>
        <v/>
      </c>
      <c r="J69">
        <f>IF($U69="","",INDEX(상세표[사번],$U69)&amp;"")</f>
        <v/>
      </c>
      <c r="K69">
        <f>IF($U69="","",INDEX(상세표[성명],$U69)&amp;"")</f>
        <v/>
      </c>
      <c r="L69">
        <f>IF($U69="","",INDEX(상세표[직위],$U69)&amp;"")</f>
        <v/>
      </c>
      <c r="M69">
        <f>IF($U69="","",IF(ISNUMBER(INDEX(상세표[근무일자],$U69)),TEXT(INDEX(상세표[근무일자],$U69),"yyyy-mm-dd"),INDEX(상세표[근무일자],$U69)&amp;""))</f>
        <v/>
      </c>
      <c r="N69">
        <f>IF($U69="","",IF(ISNUMBER(INDEX(상세표[시작],$U69)),TEXT(INDEX(상세표[시작],$U69),"yyyy-mm-dd hh:mm"),INDEX(상세표[시작],$U69)&amp;""))</f>
        <v/>
      </c>
      <c r="O69">
        <f>IF($U69="","",IF(ISNUMBER(INDEX(상세표[종료],$U69)),TEXT(INDEX(상세표[종료],$U69),"yyyy-mm-dd hh:mm"),INDEX(상세표[종료],$U69)&amp;""))</f>
        <v/>
      </c>
      <c r="P69" s="20">
        <f>IF($U69="","",INDEX(상세표[06~07시],$U69))</f>
        <v/>
      </c>
      <c r="Q69" s="20">
        <f>IF($U69="","",INDEX(상세표[07~18시],$U69))</f>
        <v/>
      </c>
      <c r="R69" s="20">
        <f>IF($U69="","",INDEX(상세표[18~22시],$U69))</f>
        <v/>
      </c>
      <c r="S69" s="20">
        <f>IF($U69="","",INDEX(상세표[22~06시],$U69))</f>
        <v/>
      </c>
      <c r="T69" s="20">
        <f>IF($U69="","",INDEX(상세표[기록 시간외],$U69))</f>
        <v/>
      </c>
      <c r="U69" s="4">
        <f>IFERROR(MATCH(64,상세표[발송순번],0),"")</f>
        <v/>
      </c>
    </row>
    <row r="70">
      <c r="A70">
        <f>IF($H70="","",INDEX(상세표[사번],$H70)&amp;"")</f>
        <v/>
      </c>
      <c r="B70">
        <f>IF($H70="","",INDEX(상세표[성명],$H70)&amp;"")</f>
        <v/>
      </c>
      <c r="C70">
        <f>IF($H70="","",INDEX(상세표[부서],$H70)&amp;"")</f>
        <v/>
      </c>
      <c r="D70">
        <f>IF($H70="","",IF(IFERROR(INDEX(합계표[직위(요약)],MATCH(INDEX(상세표[사번키],$H70),합계표[사번키],0))&amp;IF(INDEX(합계표[직급 공존],MATCH(INDEX(상세표[사번키],$H70),합계표[사번키],0))="",""," ("&amp;INDEX(합계표[직급 공존],MATCH(INDEX(상세표[사번키],$H70),합계표[사번키],0))&amp;")"),"")="",INDEX(상세표[직위],$H70)&amp;"",IFERROR(INDEX(합계표[직위(요약)],MATCH(INDEX(상세표[사번키],$H70),합계표[사번키],0))&amp;IF(INDEX(합계표[직급 공존],MATCH(INDEX(상세표[사번키],$H70),합계표[사번키],0))="",""," ("&amp;INDEX(합계표[직급 공존],MATCH(INDEX(상세표[사번키],$H70),합계표[사번키],0))&amp;")"),"")))</f>
        <v/>
      </c>
      <c r="E70">
        <f>IF($H70="","",COUNTIFS(상세표[사번키],INDEX(상세표[사번키],$H70),상세표[기록월],대상월키))</f>
        <v/>
      </c>
      <c r="F70" s="20">
        <f>IF($H70="","",SUMIFS(상세표[기록 시간외],상세표[사번키],INDEX(상세표[사번키],$H70),상세표[기록월],대상월키))</f>
        <v/>
      </c>
      <c r="G70" s="20">
        <f>IF($H70="","",SUMIFS(합계표[시스템 합계],합계표[사번키],INDEX(상세표[사번키],$H70)))</f>
        <v/>
      </c>
      <c r="H70" s="4">
        <f>IFERROR(MATCH(65,상세표[발송인원순번],0),"")</f>
        <v/>
      </c>
      <c r="J70">
        <f>IF($U70="","",INDEX(상세표[사번],$U70)&amp;"")</f>
        <v/>
      </c>
      <c r="K70">
        <f>IF($U70="","",INDEX(상세표[성명],$U70)&amp;"")</f>
        <v/>
      </c>
      <c r="L70">
        <f>IF($U70="","",INDEX(상세표[직위],$U70)&amp;"")</f>
        <v/>
      </c>
      <c r="M70">
        <f>IF($U70="","",IF(ISNUMBER(INDEX(상세표[근무일자],$U70)),TEXT(INDEX(상세표[근무일자],$U70),"yyyy-mm-dd"),INDEX(상세표[근무일자],$U70)&amp;""))</f>
        <v/>
      </c>
      <c r="N70">
        <f>IF($U70="","",IF(ISNUMBER(INDEX(상세표[시작],$U70)),TEXT(INDEX(상세표[시작],$U70),"yyyy-mm-dd hh:mm"),INDEX(상세표[시작],$U70)&amp;""))</f>
        <v/>
      </c>
      <c r="O70">
        <f>IF($U70="","",IF(ISNUMBER(INDEX(상세표[종료],$U70)),TEXT(INDEX(상세표[종료],$U70),"yyyy-mm-dd hh:mm"),INDEX(상세표[종료],$U70)&amp;""))</f>
        <v/>
      </c>
      <c r="P70" s="20">
        <f>IF($U70="","",INDEX(상세표[06~07시],$U70))</f>
        <v/>
      </c>
      <c r="Q70" s="20">
        <f>IF($U70="","",INDEX(상세표[07~18시],$U70))</f>
        <v/>
      </c>
      <c r="R70" s="20">
        <f>IF($U70="","",INDEX(상세표[18~22시],$U70))</f>
        <v/>
      </c>
      <c r="S70" s="20">
        <f>IF($U70="","",INDEX(상세표[22~06시],$U70))</f>
        <v/>
      </c>
      <c r="T70" s="20">
        <f>IF($U70="","",INDEX(상세표[기록 시간외],$U70))</f>
        <v/>
      </c>
      <c r="U70" s="4">
        <f>IFERROR(MATCH(65,상세표[발송순번],0),"")</f>
        <v/>
      </c>
    </row>
    <row r="71">
      <c r="A71">
        <f>IF($H71="","",INDEX(상세표[사번],$H71)&amp;"")</f>
        <v/>
      </c>
      <c r="B71">
        <f>IF($H71="","",INDEX(상세표[성명],$H71)&amp;"")</f>
        <v/>
      </c>
      <c r="C71">
        <f>IF($H71="","",INDEX(상세표[부서],$H71)&amp;"")</f>
        <v/>
      </c>
      <c r="D71">
        <f>IF($H71="","",IF(IFERROR(INDEX(합계표[직위(요약)],MATCH(INDEX(상세표[사번키],$H71),합계표[사번키],0))&amp;IF(INDEX(합계표[직급 공존],MATCH(INDEX(상세표[사번키],$H71),합계표[사번키],0))="",""," ("&amp;INDEX(합계표[직급 공존],MATCH(INDEX(상세표[사번키],$H71),합계표[사번키],0))&amp;")"),"")="",INDEX(상세표[직위],$H71)&amp;"",IFERROR(INDEX(합계표[직위(요약)],MATCH(INDEX(상세표[사번키],$H71),합계표[사번키],0))&amp;IF(INDEX(합계표[직급 공존],MATCH(INDEX(상세표[사번키],$H71),합계표[사번키],0))="",""," ("&amp;INDEX(합계표[직급 공존],MATCH(INDEX(상세표[사번키],$H71),합계표[사번키],0))&amp;")"),"")))</f>
        <v/>
      </c>
      <c r="E71">
        <f>IF($H71="","",COUNTIFS(상세표[사번키],INDEX(상세표[사번키],$H71),상세표[기록월],대상월키))</f>
        <v/>
      </c>
      <c r="F71" s="20">
        <f>IF($H71="","",SUMIFS(상세표[기록 시간외],상세표[사번키],INDEX(상세표[사번키],$H71),상세표[기록월],대상월키))</f>
        <v/>
      </c>
      <c r="G71" s="20">
        <f>IF($H71="","",SUMIFS(합계표[시스템 합계],합계표[사번키],INDEX(상세표[사번키],$H71)))</f>
        <v/>
      </c>
      <c r="H71" s="4">
        <f>IFERROR(MATCH(66,상세표[발송인원순번],0),"")</f>
        <v/>
      </c>
      <c r="J71">
        <f>IF($U71="","",INDEX(상세표[사번],$U71)&amp;"")</f>
        <v/>
      </c>
      <c r="K71">
        <f>IF($U71="","",INDEX(상세표[성명],$U71)&amp;"")</f>
        <v/>
      </c>
      <c r="L71">
        <f>IF($U71="","",INDEX(상세표[직위],$U71)&amp;"")</f>
        <v/>
      </c>
      <c r="M71">
        <f>IF($U71="","",IF(ISNUMBER(INDEX(상세표[근무일자],$U71)),TEXT(INDEX(상세표[근무일자],$U71),"yyyy-mm-dd"),INDEX(상세표[근무일자],$U71)&amp;""))</f>
        <v/>
      </c>
      <c r="N71">
        <f>IF($U71="","",IF(ISNUMBER(INDEX(상세표[시작],$U71)),TEXT(INDEX(상세표[시작],$U71),"yyyy-mm-dd hh:mm"),INDEX(상세표[시작],$U71)&amp;""))</f>
        <v/>
      </c>
      <c r="O71">
        <f>IF($U71="","",IF(ISNUMBER(INDEX(상세표[종료],$U71)),TEXT(INDEX(상세표[종료],$U71),"yyyy-mm-dd hh:mm"),INDEX(상세표[종료],$U71)&amp;""))</f>
        <v/>
      </c>
      <c r="P71" s="20">
        <f>IF($U71="","",INDEX(상세표[06~07시],$U71))</f>
        <v/>
      </c>
      <c r="Q71" s="20">
        <f>IF($U71="","",INDEX(상세표[07~18시],$U71))</f>
        <v/>
      </c>
      <c r="R71" s="20">
        <f>IF($U71="","",INDEX(상세표[18~22시],$U71))</f>
        <v/>
      </c>
      <c r="S71" s="20">
        <f>IF($U71="","",INDEX(상세표[22~06시],$U71))</f>
        <v/>
      </c>
      <c r="T71" s="20">
        <f>IF($U71="","",INDEX(상세표[기록 시간외],$U71))</f>
        <v/>
      </c>
      <c r="U71" s="4">
        <f>IFERROR(MATCH(66,상세표[발송순번],0),"")</f>
        <v/>
      </c>
    </row>
    <row r="72">
      <c r="A72">
        <f>IF($H72="","",INDEX(상세표[사번],$H72)&amp;"")</f>
        <v/>
      </c>
      <c r="B72">
        <f>IF($H72="","",INDEX(상세표[성명],$H72)&amp;"")</f>
        <v/>
      </c>
      <c r="C72">
        <f>IF($H72="","",INDEX(상세표[부서],$H72)&amp;"")</f>
        <v/>
      </c>
      <c r="D72">
        <f>IF($H72="","",IF(IFERROR(INDEX(합계표[직위(요약)],MATCH(INDEX(상세표[사번키],$H72),합계표[사번키],0))&amp;IF(INDEX(합계표[직급 공존],MATCH(INDEX(상세표[사번키],$H72),합계표[사번키],0))="",""," ("&amp;INDEX(합계표[직급 공존],MATCH(INDEX(상세표[사번키],$H72),합계표[사번키],0))&amp;")"),"")="",INDEX(상세표[직위],$H72)&amp;"",IFERROR(INDEX(합계표[직위(요약)],MATCH(INDEX(상세표[사번키],$H72),합계표[사번키],0))&amp;IF(INDEX(합계표[직급 공존],MATCH(INDEX(상세표[사번키],$H72),합계표[사번키],0))="",""," ("&amp;INDEX(합계표[직급 공존],MATCH(INDEX(상세표[사번키],$H72),합계표[사번키],0))&amp;")"),"")))</f>
        <v/>
      </c>
      <c r="E72">
        <f>IF($H72="","",COUNTIFS(상세표[사번키],INDEX(상세표[사번키],$H72),상세표[기록월],대상월키))</f>
        <v/>
      </c>
      <c r="F72" s="20">
        <f>IF($H72="","",SUMIFS(상세표[기록 시간외],상세표[사번키],INDEX(상세표[사번키],$H72),상세표[기록월],대상월키))</f>
        <v/>
      </c>
      <c r="G72" s="20">
        <f>IF($H72="","",SUMIFS(합계표[시스템 합계],합계표[사번키],INDEX(상세표[사번키],$H72)))</f>
        <v/>
      </c>
      <c r="H72" s="4">
        <f>IFERROR(MATCH(67,상세표[발송인원순번],0),"")</f>
        <v/>
      </c>
      <c r="J72">
        <f>IF($U72="","",INDEX(상세표[사번],$U72)&amp;"")</f>
        <v/>
      </c>
      <c r="K72">
        <f>IF($U72="","",INDEX(상세표[성명],$U72)&amp;"")</f>
        <v/>
      </c>
      <c r="L72">
        <f>IF($U72="","",INDEX(상세표[직위],$U72)&amp;"")</f>
        <v/>
      </c>
      <c r="M72">
        <f>IF($U72="","",IF(ISNUMBER(INDEX(상세표[근무일자],$U72)),TEXT(INDEX(상세표[근무일자],$U72),"yyyy-mm-dd"),INDEX(상세표[근무일자],$U72)&amp;""))</f>
        <v/>
      </c>
      <c r="N72">
        <f>IF($U72="","",IF(ISNUMBER(INDEX(상세표[시작],$U72)),TEXT(INDEX(상세표[시작],$U72),"yyyy-mm-dd hh:mm"),INDEX(상세표[시작],$U72)&amp;""))</f>
        <v/>
      </c>
      <c r="O72">
        <f>IF($U72="","",IF(ISNUMBER(INDEX(상세표[종료],$U72)),TEXT(INDEX(상세표[종료],$U72),"yyyy-mm-dd hh:mm"),INDEX(상세표[종료],$U72)&amp;""))</f>
        <v/>
      </c>
      <c r="P72" s="20">
        <f>IF($U72="","",INDEX(상세표[06~07시],$U72))</f>
        <v/>
      </c>
      <c r="Q72" s="20">
        <f>IF($U72="","",INDEX(상세표[07~18시],$U72))</f>
        <v/>
      </c>
      <c r="R72" s="20">
        <f>IF($U72="","",INDEX(상세표[18~22시],$U72))</f>
        <v/>
      </c>
      <c r="S72" s="20">
        <f>IF($U72="","",INDEX(상세표[22~06시],$U72))</f>
        <v/>
      </c>
      <c r="T72" s="20">
        <f>IF($U72="","",INDEX(상세표[기록 시간외],$U72))</f>
        <v/>
      </c>
      <c r="U72" s="4">
        <f>IFERROR(MATCH(67,상세표[발송순번],0),"")</f>
        <v/>
      </c>
    </row>
    <row r="73">
      <c r="A73">
        <f>IF($H73="","",INDEX(상세표[사번],$H73)&amp;"")</f>
        <v/>
      </c>
      <c r="B73">
        <f>IF($H73="","",INDEX(상세표[성명],$H73)&amp;"")</f>
        <v/>
      </c>
      <c r="C73">
        <f>IF($H73="","",INDEX(상세표[부서],$H73)&amp;"")</f>
        <v/>
      </c>
      <c r="D73">
        <f>IF($H73="","",IF(IFERROR(INDEX(합계표[직위(요약)],MATCH(INDEX(상세표[사번키],$H73),합계표[사번키],0))&amp;IF(INDEX(합계표[직급 공존],MATCH(INDEX(상세표[사번키],$H73),합계표[사번키],0))="",""," ("&amp;INDEX(합계표[직급 공존],MATCH(INDEX(상세표[사번키],$H73),합계표[사번키],0))&amp;")"),"")="",INDEX(상세표[직위],$H73)&amp;"",IFERROR(INDEX(합계표[직위(요약)],MATCH(INDEX(상세표[사번키],$H73),합계표[사번키],0))&amp;IF(INDEX(합계표[직급 공존],MATCH(INDEX(상세표[사번키],$H73),합계표[사번키],0))="",""," ("&amp;INDEX(합계표[직급 공존],MATCH(INDEX(상세표[사번키],$H73),합계표[사번키],0))&amp;")"),"")))</f>
        <v/>
      </c>
      <c r="E73">
        <f>IF($H73="","",COUNTIFS(상세표[사번키],INDEX(상세표[사번키],$H73),상세표[기록월],대상월키))</f>
        <v/>
      </c>
      <c r="F73" s="20">
        <f>IF($H73="","",SUMIFS(상세표[기록 시간외],상세표[사번키],INDEX(상세표[사번키],$H73),상세표[기록월],대상월키))</f>
        <v/>
      </c>
      <c r="G73" s="20">
        <f>IF($H73="","",SUMIFS(합계표[시스템 합계],합계표[사번키],INDEX(상세표[사번키],$H73)))</f>
        <v/>
      </c>
      <c r="H73" s="4">
        <f>IFERROR(MATCH(68,상세표[발송인원순번],0),"")</f>
        <v/>
      </c>
      <c r="J73">
        <f>IF($U73="","",INDEX(상세표[사번],$U73)&amp;"")</f>
        <v/>
      </c>
      <c r="K73">
        <f>IF($U73="","",INDEX(상세표[성명],$U73)&amp;"")</f>
        <v/>
      </c>
      <c r="L73">
        <f>IF($U73="","",INDEX(상세표[직위],$U73)&amp;"")</f>
        <v/>
      </c>
      <c r="M73">
        <f>IF($U73="","",IF(ISNUMBER(INDEX(상세표[근무일자],$U73)),TEXT(INDEX(상세표[근무일자],$U73),"yyyy-mm-dd"),INDEX(상세표[근무일자],$U73)&amp;""))</f>
        <v/>
      </c>
      <c r="N73">
        <f>IF($U73="","",IF(ISNUMBER(INDEX(상세표[시작],$U73)),TEXT(INDEX(상세표[시작],$U73),"yyyy-mm-dd hh:mm"),INDEX(상세표[시작],$U73)&amp;""))</f>
        <v/>
      </c>
      <c r="O73">
        <f>IF($U73="","",IF(ISNUMBER(INDEX(상세표[종료],$U73)),TEXT(INDEX(상세표[종료],$U73),"yyyy-mm-dd hh:mm"),INDEX(상세표[종료],$U73)&amp;""))</f>
        <v/>
      </c>
      <c r="P73" s="20">
        <f>IF($U73="","",INDEX(상세표[06~07시],$U73))</f>
        <v/>
      </c>
      <c r="Q73" s="20">
        <f>IF($U73="","",INDEX(상세표[07~18시],$U73))</f>
        <v/>
      </c>
      <c r="R73" s="20">
        <f>IF($U73="","",INDEX(상세표[18~22시],$U73))</f>
        <v/>
      </c>
      <c r="S73" s="20">
        <f>IF($U73="","",INDEX(상세표[22~06시],$U73))</f>
        <v/>
      </c>
      <c r="T73" s="20">
        <f>IF($U73="","",INDEX(상세표[기록 시간외],$U73))</f>
        <v/>
      </c>
      <c r="U73" s="4">
        <f>IFERROR(MATCH(68,상세표[발송순번],0),"")</f>
        <v/>
      </c>
    </row>
    <row r="74">
      <c r="A74">
        <f>IF($H74="","",INDEX(상세표[사번],$H74)&amp;"")</f>
        <v/>
      </c>
      <c r="B74">
        <f>IF($H74="","",INDEX(상세표[성명],$H74)&amp;"")</f>
        <v/>
      </c>
      <c r="C74">
        <f>IF($H74="","",INDEX(상세표[부서],$H74)&amp;"")</f>
        <v/>
      </c>
      <c r="D74">
        <f>IF($H74="","",IF(IFERROR(INDEX(합계표[직위(요약)],MATCH(INDEX(상세표[사번키],$H74),합계표[사번키],0))&amp;IF(INDEX(합계표[직급 공존],MATCH(INDEX(상세표[사번키],$H74),합계표[사번키],0))="",""," ("&amp;INDEX(합계표[직급 공존],MATCH(INDEX(상세표[사번키],$H74),합계표[사번키],0))&amp;")"),"")="",INDEX(상세표[직위],$H74)&amp;"",IFERROR(INDEX(합계표[직위(요약)],MATCH(INDEX(상세표[사번키],$H74),합계표[사번키],0))&amp;IF(INDEX(합계표[직급 공존],MATCH(INDEX(상세표[사번키],$H74),합계표[사번키],0))="",""," ("&amp;INDEX(합계표[직급 공존],MATCH(INDEX(상세표[사번키],$H74),합계표[사번키],0))&amp;")"),"")))</f>
        <v/>
      </c>
      <c r="E74">
        <f>IF($H74="","",COUNTIFS(상세표[사번키],INDEX(상세표[사번키],$H74),상세표[기록월],대상월키))</f>
        <v/>
      </c>
      <c r="F74" s="20">
        <f>IF($H74="","",SUMIFS(상세표[기록 시간외],상세표[사번키],INDEX(상세표[사번키],$H74),상세표[기록월],대상월키))</f>
        <v/>
      </c>
      <c r="G74" s="20">
        <f>IF($H74="","",SUMIFS(합계표[시스템 합계],합계표[사번키],INDEX(상세표[사번키],$H74)))</f>
        <v/>
      </c>
      <c r="H74" s="4">
        <f>IFERROR(MATCH(69,상세표[발송인원순번],0),"")</f>
        <v/>
      </c>
      <c r="J74">
        <f>IF($U74="","",INDEX(상세표[사번],$U74)&amp;"")</f>
        <v/>
      </c>
      <c r="K74">
        <f>IF($U74="","",INDEX(상세표[성명],$U74)&amp;"")</f>
        <v/>
      </c>
      <c r="L74">
        <f>IF($U74="","",INDEX(상세표[직위],$U74)&amp;"")</f>
        <v/>
      </c>
      <c r="M74">
        <f>IF($U74="","",IF(ISNUMBER(INDEX(상세표[근무일자],$U74)),TEXT(INDEX(상세표[근무일자],$U74),"yyyy-mm-dd"),INDEX(상세표[근무일자],$U74)&amp;""))</f>
        <v/>
      </c>
      <c r="N74">
        <f>IF($U74="","",IF(ISNUMBER(INDEX(상세표[시작],$U74)),TEXT(INDEX(상세표[시작],$U74),"yyyy-mm-dd hh:mm"),INDEX(상세표[시작],$U74)&amp;""))</f>
        <v/>
      </c>
      <c r="O74">
        <f>IF($U74="","",IF(ISNUMBER(INDEX(상세표[종료],$U74)),TEXT(INDEX(상세표[종료],$U74),"yyyy-mm-dd hh:mm"),INDEX(상세표[종료],$U74)&amp;""))</f>
        <v/>
      </c>
      <c r="P74" s="20">
        <f>IF($U74="","",INDEX(상세표[06~07시],$U74))</f>
        <v/>
      </c>
      <c r="Q74" s="20">
        <f>IF($U74="","",INDEX(상세표[07~18시],$U74))</f>
        <v/>
      </c>
      <c r="R74" s="20">
        <f>IF($U74="","",INDEX(상세표[18~22시],$U74))</f>
        <v/>
      </c>
      <c r="S74" s="20">
        <f>IF($U74="","",INDEX(상세표[22~06시],$U74))</f>
        <v/>
      </c>
      <c r="T74" s="20">
        <f>IF($U74="","",INDEX(상세표[기록 시간외],$U74))</f>
        <v/>
      </c>
      <c r="U74" s="4">
        <f>IFERROR(MATCH(69,상세표[발송순번],0),"")</f>
        <v/>
      </c>
    </row>
    <row r="75">
      <c r="A75">
        <f>IF($H75="","",INDEX(상세표[사번],$H75)&amp;"")</f>
        <v/>
      </c>
      <c r="B75">
        <f>IF($H75="","",INDEX(상세표[성명],$H75)&amp;"")</f>
        <v/>
      </c>
      <c r="C75">
        <f>IF($H75="","",INDEX(상세표[부서],$H75)&amp;"")</f>
        <v/>
      </c>
      <c r="D75">
        <f>IF($H75="","",IF(IFERROR(INDEX(합계표[직위(요약)],MATCH(INDEX(상세표[사번키],$H75),합계표[사번키],0))&amp;IF(INDEX(합계표[직급 공존],MATCH(INDEX(상세표[사번키],$H75),합계표[사번키],0))="",""," ("&amp;INDEX(합계표[직급 공존],MATCH(INDEX(상세표[사번키],$H75),합계표[사번키],0))&amp;")"),"")="",INDEX(상세표[직위],$H75)&amp;"",IFERROR(INDEX(합계표[직위(요약)],MATCH(INDEX(상세표[사번키],$H75),합계표[사번키],0))&amp;IF(INDEX(합계표[직급 공존],MATCH(INDEX(상세표[사번키],$H75),합계표[사번키],0))="",""," ("&amp;INDEX(합계표[직급 공존],MATCH(INDEX(상세표[사번키],$H75),합계표[사번키],0))&amp;")"),"")))</f>
        <v/>
      </c>
      <c r="E75">
        <f>IF($H75="","",COUNTIFS(상세표[사번키],INDEX(상세표[사번키],$H75),상세표[기록월],대상월키))</f>
        <v/>
      </c>
      <c r="F75" s="20">
        <f>IF($H75="","",SUMIFS(상세표[기록 시간외],상세표[사번키],INDEX(상세표[사번키],$H75),상세표[기록월],대상월키))</f>
        <v/>
      </c>
      <c r="G75" s="20">
        <f>IF($H75="","",SUMIFS(합계표[시스템 합계],합계표[사번키],INDEX(상세표[사번키],$H75)))</f>
        <v/>
      </c>
      <c r="H75" s="4">
        <f>IFERROR(MATCH(70,상세표[발송인원순번],0),"")</f>
        <v/>
      </c>
      <c r="J75">
        <f>IF($U75="","",INDEX(상세표[사번],$U75)&amp;"")</f>
        <v/>
      </c>
      <c r="K75">
        <f>IF($U75="","",INDEX(상세표[성명],$U75)&amp;"")</f>
        <v/>
      </c>
      <c r="L75">
        <f>IF($U75="","",INDEX(상세표[직위],$U75)&amp;"")</f>
        <v/>
      </c>
      <c r="M75">
        <f>IF($U75="","",IF(ISNUMBER(INDEX(상세표[근무일자],$U75)),TEXT(INDEX(상세표[근무일자],$U75),"yyyy-mm-dd"),INDEX(상세표[근무일자],$U75)&amp;""))</f>
        <v/>
      </c>
      <c r="N75">
        <f>IF($U75="","",IF(ISNUMBER(INDEX(상세표[시작],$U75)),TEXT(INDEX(상세표[시작],$U75),"yyyy-mm-dd hh:mm"),INDEX(상세표[시작],$U75)&amp;""))</f>
        <v/>
      </c>
      <c r="O75">
        <f>IF($U75="","",IF(ISNUMBER(INDEX(상세표[종료],$U75)),TEXT(INDEX(상세표[종료],$U75),"yyyy-mm-dd hh:mm"),INDEX(상세표[종료],$U75)&amp;""))</f>
        <v/>
      </c>
      <c r="P75" s="20">
        <f>IF($U75="","",INDEX(상세표[06~07시],$U75))</f>
        <v/>
      </c>
      <c r="Q75" s="20">
        <f>IF($U75="","",INDEX(상세표[07~18시],$U75))</f>
        <v/>
      </c>
      <c r="R75" s="20">
        <f>IF($U75="","",INDEX(상세표[18~22시],$U75))</f>
        <v/>
      </c>
      <c r="S75" s="20">
        <f>IF($U75="","",INDEX(상세표[22~06시],$U75))</f>
        <v/>
      </c>
      <c r="T75" s="20">
        <f>IF($U75="","",INDEX(상세표[기록 시간외],$U75))</f>
        <v/>
      </c>
      <c r="U75" s="4">
        <f>IFERROR(MATCH(70,상세표[발송순번],0),"")</f>
        <v/>
      </c>
    </row>
    <row r="76">
      <c r="A76">
        <f>IF($H76="","",INDEX(상세표[사번],$H76)&amp;"")</f>
        <v/>
      </c>
      <c r="B76">
        <f>IF($H76="","",INDEX(상세표[성명],$H76)&amp;"")</f>
        <v/>
      </c>
      <c r="C76">
        <f>IF($H76="","",INDEX(상세표[부서],$H76)&amp;"")</f>
        <v/>
      </c>
      <c r="D76">
        <f>IF($H76="","",IF(IFERROR(INDEX(합계표[직위(요약)],MATCH(INDEX(상세표[사번키],$H76),합계표[사번키],0))&amp;IF(INDEX(합계표[직급 공존],MATCH(INDEX(상세표[사번키],$H76),합계표[사번키],0))="",""," ("&amp;INDEX(합계표[직급 공존],MATCH(INDEX(상세표[사번키],$H76),합계표[사번키],0))&amp;")"),"")="",INDEX(상세표[직위],$H76)&amp;"",IFERROR(INDEX(합계표[직위(요약)],MATCH(INDEX(상세표[사번키],$H76),합계표[사번키],0))&amp;IF(INDEX(합계표[직급 공존],MATCH(INDEX(상세표[사번키],$H76),합계표[사번키],0))="",""," ("&amp;INDEX(합계표[직급 공존],MATCH(INDEX(상세표[사번키],$H76),합계표[사번키],0))&amp;")"),"")))</f>
        <v/>
      </c>
      <c r="E76">
        <f>IF($H76="","",COUNTIFS(상세표[사번키],INDEX(상세표[사번키],$H76),상세표[기록월],대상월키))</f>
        <v/>
      </c>
      <c r="F76" s="20">
        <f>IF($H76="","",SUMIFS(상세표[기록 시간외],상세표[사번키],INDEX(상세표[사번키],$H76),상세표[기록월],대상월키))</f>
        <v/>
      </c>
      <c r="G76" s="20">
        <f>IF($H76="","",SUMIFS(합계표[시스템 합계],합계표[사번키],INDEX(상세표[사번키],$H76)))</f>
        <v/>
      </c>
      <c r="H76" s="4">
        <f>IFERROR(MATCH(71,상세표[발송인원순번],0),"")</f>
        <v/>
      </c>
      <c r="J76">
        <f>IF($U76="","",INDEX(상세표[사번],$U76)&amp;"")</f>
        <v/>
      </c>
      <c r="K76">
        <f>IF($U76="","",INDEX(상세표[성명],$U76)&amp;"")</f>
        <v/>
      </c>
      <c r="L76">
        <f>IF($U76="","",INDEX(상세표[직위],$U76)&amp;"")</f>
        <v/>
      </c>
      <c r="M76">
        <f>IF($U76="","",IF(ISNUMBER(INDEX(상세표[근무일자],$U76)),TEXT(INDEX(상세표[근무일자],$U76),"yyyy-mm-dd"),INDEX(상세표[근무일자],$U76)&amp;""))</f>
        <v/>
      </c>
      <c r="N76">
        <f>IF($U76="","",IF(ISNUMBER(INDEX(상세표[시작],$U76)),TEXT(INDEX(상세표[시작],$U76),"yyyy-mm-dd hh:mm"),INDEX(상세표[시작],$U76)&amp;""))</f>
        <v/>
      </c>
      <c r="O76">
        <f>IF($U76="","",IF(ISNUMBER(INDEX(상세표[종료],$U76)),TEXT(INDEX(상세표[종료],$U76),"yyyy-mm-dd hh:mm"),INDEX(상세표[종료],$U76)&amp;""))</f>
        <v/>
      </c>
      <c r="P76" s="20">
        <f>IF($U76="","",INDEX(상세표[06~07시],$U76))</f>
        <v/>
      </c>
      <c r="Q76" s="20">
        <f>IF($U76="","",INDEX(상세표[07~18시],$U76))</f>
        <v/>
      </c>
      <c r="R76" s="20">
        <f>IF($U76="","",INDEX(상세표[18~22시],$U76))</f>
        <v/>
      </c>
      <c r="S76" s="20">
        <f>IF($U76="","",INDEX(상세표[22~06시],$U76))</f>
        <v/>
      </c>
      <c r="T76" s="20">
        <f>IF($U76="","",INDEX(상세표[기록 시간외],$U76))</f>
        <v/>
      </c>
      <c r="U76" s="4">
        <f>IFERROR(MATCH(71,상세표[발송순번],0),"")</f>
        <v/>
      </c>
    </row>
    <row r="77">
      <c r="A77">
        <f>IF($H77="","",INDEX(상세표[사번],$H77)&amp;"")</f>
        <v/>
      </c>
      <c r="B77">
        <f>IF($H77="","",INDEX(상세표[성명],$H77)&amp;"")</f>
        <v/>
      </c>
      <c r="C77">
        <f>IF($H77="","",INDEX(상세표[부서],$H77)&amp;"")</f>
        <v/>
      </c>
      <c r="D77">
        <f>IF($H77="","",IF(IFERROR(INDEX(합계표[직위(요약)],MATCH(INDEX(상세표[사번키],$H77),합계표[사번키],0))&amp;IF(INDEX(합계표[직급 공존],MATCH(INDEX(상세표[사번키],$H77),합계표[사번키],0))="",""," ("&amp;INDEX(합계표[직급 공존],MATCH(INDEX(상세표[사번키],$H77),합계표[사번키],0))&amp;")"),"")="",INDEX(상세표[직위],$H77)&amp;"",IFERROR(INDEX(합계표[직위(요약)],MATCH(INDEX(상세표[사번키],$H77),합계표[사번키],0))&amp;IF(INDEX(합계표[직급 공존],MATCH(INDEX(상세표[사번키],$H77),합계표[사번키],0))="",""," ("&amp;INDEX(합계표[직급 공존],MATCH(INDEX(상세표[사번키],$H77),합계표[사번키],0))&amp;")"),"")))</f>
        <v/>
      </c>
      <c r="E77">
        <f>IF($H77="","",COUNTIFS(상세표[사번키],INDEX(상세표[사번키],$H77),상세표[기록월],대상월키))</f>
        <v/>
      </c>
      <c r="F77" s="20">
        <f>IF($H77="","",SUMIFS(상세표[기록 시간외],상세표[사번키],INDEX(상세표[사번키],$H77),상세표[기록월],대상월키))</f>
        <v/>
      </c>
      <c r="G77" s="20">
        <f>IF($H77="","",SUMIFS(합계표[시스템 합계],합계표[사번키],INDEX(상세표[사번키],$H77)))</f>
        <v/>
      </c>
      <c r="H77" s="4">
        <f>IFERROR(MATCH(72,상세표[발송인원순번],0),"")</f>
        <v/>
      </c>
      <c r="J77">
        <f>IF($U77="","",INDEX(상세표[사번],$U77)&amp;"")</f>
        <v/>
      </c>
      <c r="K77">
        <f>IF($U77="","",INDEX(상세표[성명],$U77)&amp;"")</f>
        <v/>
      </c>
      <c r="L77">
        <f>IF($U77="","",INDEX(상세표[직위],$U77)&amp;"")</f>
        <v/>
      </c>
      <c r="M77">
        <f>IF($U77="","",IF(ISNUMBER(INDEX(상세표[근무일자],$U77)),TEXT(INDEX(상세표[근무일자],$U77),"yyyy-mm-dd"),INDEX(상세표[근무일자],$U77)&amp;""))</f>
        <v/>
      </c>
      <c r="N77">
        <f>IF($U77="","",IF(ISNUMBER(INDEX(상세표[시작],$U77)),TEXT(INDEX(상세표[시작],$U77),"yyyy-mm-dd hh:mm"),INDEX(상세표[시작],$U77)&amp;""))</f>
        <v/>
      </c>
      <c r="O77">
        <f>IF($U77="","",IF(ISNUMBER(INDEX(상세표[종료],$U77)),TEXT(INDEX(상세표[종료],$U77),"yyyy-mm-dd hh:mm"),INDEX(상세표[종료],$U77)&amp;""))</f>
        <v/>
      </c>
      <c r="P77" s="20">
        <f>IF($U77="","",INDEX(상세표[06~07시],$U77))</f>
        <v/>
      </c>
      <c r="Q77" s="20">
        <f>IF($U77="","",INDEX(상세표[07~18시],$U77))</f>
        <v/>
      </c>
      <c r="R77" s="20">
        <f>IF($U77="","",INDEX(상세표[18~22시],$U77))</f>
        <v/>
      </c>
      <c r="S77" s="20">
        <f>IF($U77="","",INDEX(상세표[22~06시],$U77))</f>
        <v/>
      </c>
      <c r="T77" s="20">
        <f>IF($U77="","",INDEX(상세표[기록 시간외],$U77))</f>
        <v/>
      </c>
      <c r="U77" s="4">
        <f>IFERROR(MATCH(72,상세표[발송순번],0),"")</f>
        <v/>
      </c>
    </row>
    <row r="78">
      <c r="A78">
        <f>IF($H78="","",INDEX(상세표[사번],$H78)&amp;"")</f>
        <v/>
      </c>
      <c r="B78">
        <f>IF($H78="","",INDEX(상세표[성명],$H78)&amp;"")</f>
        <v/>
      </c>
      <c r="C78">
        <f>IF($H78="","",INDEX(상세표[부서],$H78)&amp;"")</f>
        <v/>
      </c>
      <c r="D78">
        <f>IF($H78="","",IF(IFERROR(INDEX(합계표[직위(요약)],MATCH(INDEX(상세표[사번키],$H78),합계표[사번키],0))&amp;IF(INDEX(합계표[직급 공존],MATCH(INDEX(상세표[사번키],$H78),합계표[사번키],0))="",""," ("&amp;INDEX(합계표[직급 공존],MATCH(INDEX(상세표[사번키],$H78),합계표[사번키],0))&amp;")"),"")="",INDEX(상세표[직위],$H78)&amp;"",IFERROR(INDEX(합계표[직위(요약)],MATCH(INDEX(상세표[사번키],$H78),합계표[사번키],0))&amp;IF(INDEX(합계표[직급 공존],MATCH(INDEX(상세표[사번키],$H78),합계표[사번키],0))="",""," ("&amp;INDEX(합계표[직급 공존],MATCH(INDEX(상세표[사번키],$H78),합계표[사번키],0))&amp;")"),"")))</f>
        <v/>
      </c>
      <c r="E78">
        <f>IF($H78="","",COUNTIFS(상세표[사번키],INDEX(상세표[사번키],$H78),상세표[기록월],대상월키))</f>
        <v/>
      </c>
      <c r="F78" s="20">
        <f>IF($H78="","",SUMIFS(상세표[기록 시간외],상세표[사번키],INDEX(상세표[사번키],$H78),상세표[기록월],대상월키))</f>
        <v/>
      </c>
      <c r="G78" s="20">
        <f>IF($H78="","",SUMIFS(합계표[시스템 합계],합계표[사번키],INDEX(상세표[사번키],$H78)))</f>
        <v/>
      </c>
      <c r="H78" s="4">
        <f>IFERROR(MATCH(73,상세표[발송인원순번],0),"")</f>
        <v/>
      </c>
      <c r="J78">
        <f>IF($U78="","",INDEX(상세표[사번],$U78)&amp;"")</f>
        <v/>
      </c>
      <c r="K78">
        <f>IF($U78="","",INDEX(상세표[성명],$U78)&amp;"")</f>
        <v/>
      </c>
      <c r="L78">
        <f>IF($U78="","",INDEX(상세표[직위],$U78)&amp;"")</f>
        <v/>
      </c>
      <c r="M78">
        <f>IF($U78="","",IF(ISNUMBER(INDEX(상세표[근무일자],$U78)),TEXT(INDEX(상세표[근무일자],$U78),"yyyy-mm-dd"),INDEX(상세표[근무일자],$U78)&amp;""))</f>
        <v/>
      </c>
      <c r="N78">
        <f>IF($U78="","",IF(ISNUMBER(INDEX(상세표[시작],$U78)),TEXT(INDEX(상세표[시작],$U78),"yyyy-mm-dd hh:mm"),INDEX(상세표[시작],$U78)&amp;""))</f>
        <v/>
      </c>
      <c r="O78">
        <f>IF($U78="","",IF(ISNUMBER(INDEX(상세표[종료],$U78)),TEXT(INDEX(상세표[종료],$U78),"yyyy-mm-dd hh:mm"),INDEX(상세표[종료],$U78)&amp;""))</f>
        <v/>
      </c>
      <c r="P78" s="20">
        <f>IF($U78="","",INDEX(상세표[06~07시],$U78))</f>
        <v/>
      </c>
      <c r="Q78" s="20">
        <f>IF($U78="","",INDEX(상세표[07~18시],$U78))</f>
        <v/>
      </c>
      <c r="R78" s="20">
        <f>IF($U78="","",INDEX(상세표[18~22시],$U78))</f>
        <v/>
      </c>
      <c r="S78" s="20">
        <f>IF($U78="","",INDEX(상세표[22~06시],$U78))</f>
        <v/>
      </c>
      <c r="T78" s="20">
        <f>IF($U78="","",INDEX(상세표[기록 시간외],$U78))</f>
        <v/>
      </c>
      <c r="U78" s="4">
        <f>IFERROR(MATCH(73,상세표[발송순번],0),"")</f>
        <v/>
      </c>
    </row>
    <row r="79">
      <c r="A79">
        <f>IF($H79="","",INDEX(상세표[사번],$H79)&amp;"")</f>
        <v/>
      </c>
      <c r="B79">
        <f>IF($H79="","",INDEX(상세표[성명],$H79)&amp;"")</f>
        <v/>
      </c>
      <c r="C79">
        <f>IF($H79="","",INDEX(상세표[부서],$H79)&amp;"")</f>
        <v/>
      </c>
      <c r="D79">
        <f>IF($H79="","",IF(IFERROR(INDEX(합계표[직위(요약)],MATCH(INDEX(상세표[사번키],$H79),합계표[사번키],0))&amp;IF(INDEX(합계표[직급 공존],MATCH(INDEX(상세표[사번키],$H79),합계표[사번키],0))="",""," ("&amp;INDEX(합계표[직급 공존],MATCH(INDEX(상세표[사번키],$H79),합계표[사번키],0))&amp;")"),"")="",INDEX(상세표[직위],$H79)&amp;"",IFERROR(INDEX(합계표[직위(요약)],MATCH(INDEX(상세표[사번키],$H79),합계표[사번키],0))&amp;IF(INDEX(합계표[직급 공존],MATCH(INDEX(상세표[사번키],$H79),합계표[사번키],0))="",""," ("&amp;INDEX(합계표[직급 공존],MATCH(INDEX(상세표[사번키],$H79),합계표[사번키],0))&amp;")"),"")))</f>
        <v/>
      </c>
      <c r="E79">
        <f>IF($H79="","",COUNTIFS(상세표[사번키],INDEX(상세표[사번키],$H79),상세표[기록월],대상월키))</f>
        <v/>
      </c>
      <c r="F79" s="20">
        <f>IF($H79="","",SUMIFS(상세표[기록 시간외],상세표[사번키],INDEX(상세표[사번키],$H79),상세표[기록월],대상월키))</f>
        <v/>
      </c>
      <c r="G79" s="20">
        <f>IF($H79="","",SUMIFS(합계표[시스템 합계],합계표[사번키],INDEX(상세표[사번키],$H79)))</f>
        <v/>
      </c>
      <c r="H79" s="4">
        <f>IFERROR(MATCH(74,상세표[발송인원순번],0),"")</f>
        <v/>
      </c>
      <c r="J79">
        <f>IF($U79="","",INDEX(상세표[사번],$U79)&amp;"")</f>
        <v/>
      </c>
      <c r="K79">
        <f>IF($U79="","",INDEX(상세표[성명],$U79)&amp;"")</f>
        <v/>
      </c>
      <c r="L79">
        <f>IF($U79="","",INDEX(상세표[직위],$U79)&amp;"")</f>
        <v/>
      </c>
      <c r="M79">
        <f>IF($U79="","",IF(ISNUMBER(INDEX(상세표[근무일자],$U79)),TEXT(INDEX(상세표[근무일자],$U79),"yyyy-mm-dd"),INDEX(상세표[근무일자],$U79)&amp;""))</f>
        <v/>
      </c>
      <c r="N79">
        <f>IF($U79="","",IF(ISNUMBER(INDEX(상세표[시작],$U79)),TEXT(INDEX(상세표[시작],$U79),"yyyy-mm-dd hh:mm"),INDEX(상세표[시작],$U79)&amp;""))</f>
        <v/>
      </c>
      <c r="O79">
        <f>IF($U79="","",IF(ISNUMBER(INDEX(상세표[종료],$U79)),TEXT(INDEX(상세표[종료],$U79),"yyyy-mm-dd hh:mm"),INDEX(상세표[종료],$U79)&amp;""))</f>
        <v/>
      </c>
      <c r="P79" s="20">
        <f>IF($U79="","",INDEX(상세표[06~07시],$U79))</f>
        <v/>
      </c>
      <c r="Q79" s="20">
        <f>IF($U79="","",INDEX(상세표[07~18시],$U79))</f>
        <v/>
      </c>
      <c r="R79" s="20">
        <f>IF($U79="","",INDEX(상세표[18~22시],$U79))</f>
        <v/>
      </c>
      <c r="S79" s="20">
        <f>IF($U79="","",INDEX(상세표[22~06시],$U79))</f>
        <v/>
      </c>
      <c r="T79" s="20">
        <f>IF($U79="","",INDEX(상세표[기록 시간외],$U79))</f>
        <v/>
      </c>
      <c r="U79" s="4">
        <f>IFERROR(MATCH(74,상세표[발송순번],0),"")</f>
        <v/>
      </c>
    </row>
    <row r="80">
      <c r="A80">
        <f>IF($H80="","",INDEX(상세표[사번],$H80)&amp;"")</f>
        <v/>
      </c>
      <c r="B80">
        <f>IF($H80="","",INDEX(상세표[성명],$H80)&amp;"")</f>
        <v/>
      </c>
      <c r="C80">
        <f>IF($H80="","",INDEX(상세표[부서],$H80)&amp;"")</f>
        <v/>
      </c>
      <c r="D80">
        <f>IF($H80="","",IF(IFERROR(INDEX(합계표[직위(요약)],MATCH(INDEX(상세표[사번키],$H80),합계표[사번키],0))&amp;IF(INDEX(합계표[직급 공존],MATCH(INDEX(상세표[사번키],$H80),합계표[사번키],0))="",""," ("&amp;INDEX(합계표[직급 공존],MATCH(INDEX(상세표[사번키],$H80),합계표[사번키],0))&amp;")"),"")="",INDEX(상세표[직위],$H80)&amp;"",IFERROR(INDEX(합계표[직위(요약)],MATCH(INDEX(상세표[사번키],$H80),합계표[사번키],0))&amp;IF(INDEX(합계표[직급 공존],MATCH(INDEX(상세표[사번키],$H80),합계표[사번키],0))="",""," ("&amp;INDEX(합계표[직급 공존],MATCH(INDEX(상세표[사번키],$H80),합계표[사번키],0))&amp;")"),"")))</f>
        <v/>
      </c>
      <c r="E80">
        <f>IF($H80="","",COUNTIFS(상세표[사번키],INDEX(상세표[사번키],$H80),상세표[기록월],대상월키))</f>
        <v/>
      </c>
      <c r="F80" s="20">
        <f>IF($H80="","",SUMIFS(상세표[기록 시간외],상세표[사번키],INDEX(상세표[사번키],$H80),상세표[기록월],대상월키))</f>
        <v/>
      </c>
      <c r="G80" s="20">
        <f>IF($H80="","",SUMIFS(합계표[시스템 합계],합계표[사번키],INDEX(상세표[사번키],$H80)))</f>
        <v/>
      </c>
      <c r="H80" s="4">
        <f>IFERROR(MATCH(75,상세표[발송인원순번],0),"")</f>
        <v/>
      </c>
      <c r="J80">
        <f>IF($U80="","",INDEX(상세표[사번],$U80)&amp;"")</f>
        <v/>
      </c>
      <c r="K80">
        <f>IF($U80="","",INDEX(상세표[성명],$U80)&amp;"")</f>
        <v/>
      </c>
      <c r="L80">
        <f>IF($U80="","",INDEX(상세표[직위],$U80)&amp;"")</f>
        <v/>
      </c>
      <c r="M80">
        <f>IF($U80="","",IF(ISNUMBER(INDEX(상세표[근무일자],$U80)),TEXT(INDEX(상세표[근무일자],$U80),"yyyy-mm-dd"),INDEX(상세표[근무일자],$U80)&amp;""))</f>
        <v/>
      </c>
      <c r="N80">
        <f>IF($U80="","",IF(ISNUMBER(INDEX(상세표[시작],$U80)),TEXT(INDEX(상세표[시작],$U80),"yyyy-mm-dd hh:mm"),INDEX(상세표[시작],$U80)&amp;""))</f>
        <v/>
      </c>
      <c r="O80">
        <f>IF($U80="","",IF(ISNUMBER(INDEX(상세표[종료],$U80)),TEXT(INDEX(상세표[종료],$U80),"yyyy-mm-dd hh:mm"),INDEX(상세표[종료],$U80)&amp;""))</f>
        <v/>
      </c>
      <c r="P80" s="20">
        <f>IF($U80="","",INDEX(상세표[06~07시],$U80))</f>
        <v/>
      </c>
      <c r="Q80" s="20">
        <f>IF($U80="","",INDEX(상세표[07~18시],$U80))</f>
        <v/>
      </c>
      <c r="R80" s="20">
        <f>IF($U80="","",INDEX(상세표[18~22시],$U80))</f>
        <v/>
      </c>
      <c r="S80" s="20">
        <f>IF($U80="","",INDEX(상세표[22~06시],$U80))</f>
        <v/>
      </c>
      <c r="T80" s="20">
        <f>IF($U80="","",INDEX(상세표[기록 시간외],$U80))</f>
        <v/>
      </c>
      <c r="U80" s="4">
        <f>IFERROR(MATCH(75,상세표[발송순번],0),"")</f>
        <v/>
      </c>
    </row>
    <row r="81">
      <c r="A81">
        <f>IF($H81="","",INDEX(상세표[사번],$H81)&amp;"")</f>
        <v/>
      </c>
      <c r="B81">
        <f>IF($H81="","",INDEX(상세표[성명],$H81)&amp;"")</f>
        <v/>
      </c>
      <c r="C81">
        <f>IF($H81="","",INDEX(상세표[부서],$H81)&amp;"")</f>
        <v/>
      </c>
      <c r="D81">
        <f>IF($H81="","",IF(IFERROR(INDEX(합계표[직위(요약)],MATCH(INDEX(상세표[사번키],$H81),합계표[사번키],0))&amp;IF(INDEX(합계표[직급 공존],MATCH(INDEX(상세표[사번키],$H81),합계표[사번키],0))="",""," ("&amp;INDEX(합계표[직급 공존],MATCH(INDEX(상세표[사번키],$H81),합계표[사번키],0))&amp;")"),"")="",INDEX(상세표[직위],$H81)&amp;"",IFERROR(INDEX(합계표[직위(요약)],MATCH(INDEX(상세표[사번키],$H81),합계표[사번키],0))&amp;IF(INDEX(합계표[직급 공존],MATCH(INDEX(상세표[사번키],$H81),합계표[사번키],0))="",""," ("&amp;INDEX(합계표[직급 공존],MATCH(INDEX(상세표[사번키],$H81),합계표[사번키],0))&amp;")"),"")))</f>
        <v/>
      </c>
      <c r="E81">
        <f>IF($H81="","",COUNTIFS(상세표[사번키],INDEX(상세표[사번키],$H81),상세표[기록월],대상월키))</f>
        <v/>
      </c>
      <c r="F81" s="20">
        <f>IF($H81="","",SUMIFS(상세표[기록 시간외],상세표[사번키],INDEX(상세표[사번키],$H81),상세표[기록월],대상월키))</f>
        <v/>
      </c>
      <c r="G81" s="20">
        <f>IF($H81="","",SUMIFS(합계표[시스템 합계],합계표[사번키],INDEX(상세표[사번키],$H81)))</f>
        <v/>
      </c>
      <c r="H81" s="4">
        <f>IFERROR(MATCH(76,상세표[발송인원순번],0),"")</f>
        <v/>
      </c>
      <c r="J81">
        <f>IF($U81="","",INDEX(상세표[사번],$U81)&amp;"")</f>
        <v/>
      </c>
      <c r="K81">
        <f>IF($U81="","",INDEX(상세표[성명],$U81)&amp;"")</f>
        <v/>
      </c>
      <c r="L81">
        <f>IF($U81="","",INDEX(상세표[직위],$U81)&amp;"")</f>
        <v/>
      </c>
      <c r="M81">
        <f>IF($U81="","",IF(ISNUMBER(INDEX(상세표[근무일자],$U81)),TEXT(INDEX(상세표[근무일자],$U81),"yyyy-mm-dd"),INDEX(상세표[근무일자],$U81)&amp;""))</f>
        <v/>
      </c>
      <c r="N81">
        <f>IF($U81="","",IF(ISNUMBER(INDEX(상세표[시작],$U81)),TEXT(INDEX(상세표[시작],$U81),"yyyy-mm-dd hh:mm"),INDEX(상세표[시작],$U81)&amp;""))</f>
        <v/>
      </c>
      <c r="O81">
        <f>IF($U81="","",IF(ISNUMBER(INDEX(상세표[종료],$U81)),TEXT(INDEX(상세표[종료],$U81),"yyyy-mm-dd hh:mm"),INDEX(상세표[종료],$U81)&amp;""))</f>
        <v/>
      </c>
      <c r="P81" s="20">
        <f>IF($U81="","",INDEX(상세표[06~07시],$U81))</f>
        <v/>
      </c>
      <c r="Q81" s="20">
        <f>IF($U81="","",INDEX(상세표[07~18시],$U81))</f>
        <v/>
      </c>
      <c r="R81" s="20">
        <f>IF($U81="","",INDEX(상세표[18~22시],$U81))</f>
        <v/>
      </c>
      <c r="S81" s="20">
        <f>IF($U81="","",INDEX(상세표[22~06시],$U81))</f>
        <v/>
      </c>
      <c r="T81" s="20">
        <f>IF($U81="","",INDEX(상세표[기록 시간외],$U81))</f>
        <v/>
      </c>
      <c r="U81" s="4">
        <f>IFERROR(MATCH(76,상세표[발송순번],0),"")</f>
        <v/>
      </c>
    </row>
    <row r="82">
      <c r="A82">
        <f>IF($H82="","",INDEX(상세표[사번],$H82)&amp;"")</f>
        <v/>
      </c>
      <c r="B82">
        <f>IF($H82="","",INDEX(상세표[성명],$H82)&amp;"")</f>
        <v/>
      </c>
      <c r="C82">
        <f>IF($H82="","",INDEX(상세표[부서],$H82)&amp;"")</f>
        <v/>
      </c>
      <c r="D82">
        <f>IF($H82="","",IF(IFERROR(INDEX(합계표[직위(요약)],MATCH(INDEX(상세표[사번키],$H82),합계표[사번키],0))&amp;IF(INDEX(합계표[직급 공존],MATCH(INDEX(상세표[사번키],$H82),합계표[사번키],0))="",""," ("&amp;INDEX(합계표[직급 공존],MATCH(INDEX(상세표[사번키],$H82),합계표[사번키],0))&amp;")"),"")="",INDEX(상세표[직위],$H82)&amp;"",IFERROR(INDEX(합계표[직위(요약)],MATCH(INDEX(상세표[사번키],$H82),합계표[사번키],0))&amp;IF(INDEX(합계표[직급 공존],MATCH(INDEX(상세표[사번키],$H82),합계표[사번키],0))="",""," ("&amp;INDEX(합계표[직급 공존],MATCH(INDEX(상세표[사번키],$H82),합계표[사번키],0))&amp;")"),"")))</f>
        <v/>
      </c>
      <c r="E82">
        <f>IF($H82="","",COUNTIFS(상세표[사번키],INDEX(상세표[사번키],$H82),상세표[기록월],대상월키))</f>
        <v/>
      </c>
      <c r="F82" s="20">
        <f>IF($H82="","",SUMIFS(상세표[기록 시간외],상세표[사번키],INDEX(상세표[사번키],$H82),상세표[기록월],대상월키))</f>
        <v/>
      </c>
      <c r="G82" s="20">
        <f>IF($H82="","",SUMIFS(합계표[시스템 합계],합계표[사번키],INDEX(상세표[사번키],$H82)))</f>
        <v/>
      </c>
      <c r="H82" s="4">
        <f>IFERROR(MATCH(77,상세표[발송인원순번],0),"")</f>
        <v/>
      </c>
      <c r="J82">
        <f>IF($U82="","",INDEX(상세표[사번],$U82)&amp;"")</f>
        <v/>
      </c>
      <c r="K82">
        <f>IF($U82="","",INDEX(상세표[성명],$U82)&amp;"")</f>
        <v/>
      </c>
      <c r="L82">
        <f>IF($U82="","",INDEX(상세표[직위],$U82)&amp;"")</f>
        <v/>
      </c>
      <c r="M82">
        <f>IF($U82="","",IF(ISNUMBER(INDEX(상세표[근무일자],$U82)),TEXT(INDEX(상세표[근무일자],$U82),"yyyy-mm-dd"),INDEX(상세표[근무일자],$U82)&amp;""))</f>
        <v/>
      </c>
      <c r="N82">
        <f>IF($U82="","",IF(ISNUMBER(INDEX(상세표[시작],$U82)),TEXT(INDEX(상세표[시작],$U82),"yyyy-mm-dd hh:mm"),INDEX(상세표[시작],$U82)&amp;""))</f>
        <v/>
      </c>
      <c r="O82">
        <f>IF($U82="","",IF(ISNUMBER(INDEX(상세표[종료],$U82)),TEXT(INDEX(상세표[종료],$U82),"yyyy-mm-dd hh:mm"),INDEX(상세표[종료],$U82)&amp;""))</f>
        <v/>
      </c>
      <c r="P82" s="20">
        <f>IF($U82="","",INDEX(상세표[06~07시],$U82))</f>
        <v/>
      </c>
      <c r="Q82" s="20">
        <f>IF($U82="","",INDEX(상세표[07~18시],$U82))</f>
        <v/>
      </c>
      <c r="R82" s="20">
        <f>IF($U82="","",INDEX(상세표[18~22시],$U82))</f>
        <v/>
      </c>
      <c r="S82" s="20">
        <f>IF($U82="","",INDEX(상세표[22~06시],$U82))</f>
        <v/>
      </c>
      <c r="T82" s="20">
        <f>IF($U82="","",INDEX(상세표[기록 시간외],$U82))</f>
        <v/>
      </c>
      <c r="U82" s="4">
        <f>IFERROR(MATCH(77,상세표[발송순번],0),"")</f>
        <v/>
      </c>
    </row>
    <row r="83">
      <c r="A83">
        <f>IF($H83="","",INDEX(상세표[사번],$H83)&amp;"")</f>
        <v/>
      </c>
      <c r="B83">
        <f>IF($H83="","",INDEX(상세표[성명],$H83)&amp;"")</f>
        <v/>
      </c>
      <c r="C83">
        <f>IF($H83="","",INDEX(상세표[부서],$H83)&amp;"")</f>
        <v/>
      </c>
      <c r="D83">
        <f>IF($H83="","",IF(IFERROR(INDEX(합계표[직위(요약)],MATCH(INDEX(상세표[사번키],$H83),합계표[사번키],0))&amp;IF(INDEX(합계표[직급 공존],MATCH(INDEX(상세표[사번키],$H83),합계표[사번키],0))="",""," ("&amp;INDEX(합계표[직급 공존],MATCH(INDEX(상세표[사번키],$H83),합계표[사번키],0))&amp;")"),"")="",INDEX(상세표[직위],$H83)&amp;"",IFERROR(INDEX(합계표[직위(요약)],MATCH(INDEX(상세표[사번키],$H83),합계표[사번키],0))&amp;IF(INDEX(합계표[직급 공존],MATCH(INDEX(상세표[사번키],$H83),합계표[사번키],0))="",""," ("&amp;INDEX(합계표[직급 공존],MATCH(INDEX(상세표[사번키],$H83),합계표[사번키],0))&amp;")"),"")))</f>
        <v/>
      </c>
      <c r="E83">
        <f>IF($H83="","",COUNTIFS(상세표[사번키],INDEX(상세표[사번키],$H83),상세표[기록월],대상월키))</f>
        <v/>
      </c>
      <c r="F83" s="20">
        <f>IF($H83="","",SUMIFS(상세표[기록 시간외],상세표[사번키],INDEX(상세표[사번키],$H83),상세표[기록월],대상월키))</f>
        <v/>
      </c>
      <c r="G83" s="20">
        <f>IF($H83="","",SUMIFS(합계표[시스템 합계],합계표[사번키],INDEX(상세표[사번키],$H83)))</f>
        <v/>
      </c>
      <c r="H83" s="4">
        <f>IFERROR(MATCH(78,상세표[발송인원순번],0),"")</f>
        <v/>
      </c>
      <c r="J83">
        <f>IF($U83="","",INDEX(상세표[사번],$U83)&amp;"")</f>
        <v/>
      </c>
      <c r="K83">
        <f>IF($U83="","",INDEX(상세표[성명],$U83)&amp;"")</f>
        <v/>
      </c>
      <c r="L83">
        <f>IF($U83="","",INDEX(상세표[직위],$U83)&amp;"")</f>
        <v/>
      </c>
      <c r="M83">
        <f>IF($U83="","",IF(ISNUMBER(INDEX(상세표[근무일자],$U83)),TEXT(INDEX(상세표[근무일자],$U83),"yyyy-mm-dd"),INDEX(상세표[근무일자],$U83)&amp;""))</f>
        <v/>
      </c>
      <c r="N83">
        <f>IF($U83="","",IF(ISNUMBER(INDEX(상세표[시작],$U83)),TEXT(INDEX(상세표[시작],$U83),"yyyy-mm-dd hh:mm"),INDEX(상세표[시작],$U83)&amp;""))</f>
        <v/>
      </c>
      <c r="O83">
        <f>IF($U83="","",IF(ISNUMBER(INDEX(상세표[종료],$U83)),TEXT(INDEX(상세표[종료],$U83),"yyyy-mm-dd hh:mm"),INDEX(상세표[종료],$U83)&amp;""))</f>
        <v/>
      </c>
      <c r="P83" s="20">
        <f>IF($U83="","",INDEX(상세표[06~07시],$U83))</f>
        <v/>
      </c>
      <c r="Q83" s="20">
        <f>IF($U83="","",INDEX(상세표[07~18시],$U83))</f>
        <v/>
      </c>
      <c r="R83" s="20">
        <f>IF($U83="","",INDEX(상세표[18~22시],$U83))</f>
        <v/>
      </c>
      <c r="S83" s="20">
        <f>IF($U83="","",INDEX(상세표[22~06시],$U83))</f>
        <v/>
      </c>
      <c r="T83" s="20">
        <f>IF($U83="","",INDEX(상세표[기록 시간외],$U83))</f>
        <v/>
      </c>
      <c r="U83" s="4">
        <f>IFERROR(MATCH(78,상세표[발송순번],0),"")</f>
        <v/>
      </c>
    </row>
    <row r="84">
      <c r="A84">
        <f>IF($H84="","",INDEX(상세표[사번],$H84)&amp;"")</f>
        <v/>
      </c>
      <c r="B84">
        <f>IF($H84="","",INDEX(상세표[성명],$H84)&amp;"")</f>
        <v/>
      </c>
      <c r="C84">
        <f>IF($H84="","",INDEX(상세표[부서],$H84)&amp;"")</f>
        <v/>
      </c>
      <c r="D84">
        <f>IF($H84="","",IF(IFERROR(INDEX(합계표[직위(요약)],MATCH(INDEX(상세표[사번키],$H84),합계표[사번키],0))&amp;IF(INDEX(합계표[직급 공존],MATCH(INDEX(상세표[사번키],$H84),합계표[사번키],0))="",""," ("&amp;INDEX(합계표[직급 공존],MATCH(INDEX(상세표[사번키],$H84),합계표[사번키],0))&amp;")"),"")="",INDEX(상세표[직위],$H84)&amp;"",IFERROR(INDEX(합계표[직위(요약)],MATCH(INDEX(상세표[사번키],$H84),합계표[사번키],0))&amp;IF(INDEX(합계표[직급 공존],MATCH(INDEX(상세표[사번키],$H84),합계표[사번키],0))="",""," ("&amp;INDEX(합계표[직급 공존],MATCH(INDEX(상세표[사번키],$H84),합계표[사번키],0))&amp;")"),"")))</f>
        <v/>
      </c>
      <c r="E84">
        <f>IF($H84="","",COUNTIFS(상세표[사번키],INDEX(상세표[사번키],$H84),상세표[기록월],대상월키))</f>
        <v/>
      </c>
      <c r="F84" s="20">
        <f>IF($H84="","",SUMIFS(상세표[기록 시간외],상세표[사번키],INDEX(상세표[사번키],$H84),상세표[기록월],대상월키))</f>
        <v/>
      </c>
      <c r="G84" s="20">
        <f>IF($H84="","",SUMIFS(합계표[시스템 합계],합계표[사번키],INDEX(상세표[사번키],$H84)))</f>
        <v/>
      </c>
      <c r="H84" s="4">
        <f>IFERROR(MATCH(79,상세표[발송인원순번],0),"")</f>
        <v/>
      </c>
      <c r="J84">
        <f>IF($U84="","",INDEX(상세표[사번],$U84)&amp;"")</f>
        <v/>
      </c>
      <c r="K84">
        <f>IF($U84="","",INDEX(상세표[성명],$U84)&amp;"")</f>
        <v/>
      </c>
      <c r="L84">
        <f>IF($U84="","",INDEX(상세표[직위],$U84)&amp;"")</f>
        <v/>
      </c>
      <c r="M84">
        <f>IF($U84="","",IF(ISNUMBER(INDEX(상세표[근무일자],$U84)),TEXT(INDEX(상세표[근무일자],$U84),"yyyy-mm-dd"),INDEX(상세표[근무일자],$U84)&amp;""))</f>
        <v/>
      </c>
      <c r="N84">
        <f>IF($U84="","",IF(ISNUMBER(INDEX(상세표[시작],$U84)),TEXT(INDEX(상세표[시작],$U84),"yyyy-mm-dd hh:mm"),INDEX(상세표[시작],$U84)&amp;""))</f>
        <v/>
      </c>
      <c r="O84">
        <f>IF($U84="","",IF(ISNUMBER(INDEX(상세표[종료],$U84)),TEXT(INDEX(상세표[종료],$U84),"yyyy-mm-dd hh:mm"),INDEX(상세표[종료],$U84)&amp;""))</f>
        <v/>
      </c>
      <c r="P84" s="20">
        <f>IF($U84="","",INDEX(상세표[06~07시],$U84))</f>
        <v/>
      </c>
      <c r="Q84" s="20">
        <f>IF($U84="","",INDEX(상세표[07~18시],$U84))</f>
        <v/>
      </c>
      <c r="R84" s="20">
        <f>IF($U84="","",INDEX(상세표[18~22시],$U84))</f>
        <v/>
      </c>
      <c r="S84" s="20">
        <f>IF($U84="","",INDEX(상세표[22~06시],$U84))</f>
        <v/>
      </c>
      <c r="T84" s="20">
        <f>IF($U84="","",INDEX(상세표[기록 시간외],$U84))</f>
        <v/>
      </c>
      <c r="U84" s="4">
        <f>IFERROR(MATCH(79,상세표[발송순번],0),"")</f>
        <v/>
      </c>
    </row>
    <row r="85">
      <c r="A85">
        <f>IF($H85="","",INDEX(상세표[사번],$H85)&amp;"")</f>
        <v/>
      </c>
      <c r="B85">
        <f>IF($H85="","",INDEX(상세표[성명],$H85)&amp;"")</f>
        <v/>
      </c>
      <c r="C85">
        <f>IF($H85="","",INDEX(상세표[부서],$H85)&amp;"")</f>
        <v/>
      </c>
      <c r="D85">
        <f>IF($H85="","",IF(IFERROR(INDEX(합계표[직위(요약)],MATCH(INDEX(상세표[사번키],$H85),합계표[사번키],0))&amp;IF(INDEX(합계표[직급 공존],MATCH(INDEX(상세표[사번키],$H85),합계표[사번키],0))="",""," ("&amp;INDEX(합계표[직급 공존],MATCH(INDEX(상세표[사번키],$H85),합계표[사번키],0))&amp;")"),"")="",INDEX(상세표[직위],$H85)&amp;"",IFERROR(INDEX(합계표[직위(요약)],MATCH(INDEX(상세표[사번키],$H85),합계표[사번키],0))&amp;IF(INDEX(합계표[직급 공존],MATCH(INDEX(상세표[사번키],$H85),합계표[사번키],0))="",""," ("&amp;INDEX(합계표[직급 공존],MATCH(INDEX(상세표[사번키],$H85),합계표[사번키],0))&amp;")"),"")))</f>
        <v/>
      </c>
      <c r="E85">
        <f>IF($H85="","",COUNTIFS(상세표[사번키],INDEX(상세표[사번키],$H85),상세표[기록월],대상월키))</f>
        <v/>
      </c>
      <c r="F85" s="20">
        <f>IF($H85="","",SUMIFS(상세표[기록 시간외],상세표[사번키],INDEX(상세표[사번키],$H85),상세표[기록월],대상월키))</f>
        <v/>
      </c>
      <c r="G85" s="20">
        <f>IF($H85="","",SUMIFS(합계표[시스템 합계],합계표[사번키],INDEX(상세표[사번키],$H85)))</f>
        <v/>
      </c>
      <c r="H85" s="4">
        <f>IFERROR(MATCH(80,상세표[발송인원순번],0),"")</f>
        <v/>
      </c>
      <c r="J85">
        <f>IF($U85="","",INDEX(상세표[사번],$U85)&amp;"")</f>
        <v/>
      </c>
      <c r="K85">
        <f>IF($U85="","",INDEX(상세표[성명],$U85)&amp;"")</f>
        <v/>
      </c>
      <c r="L85">
        <f>IF($U85="","",INDEX(상세표[직위],$U85)&amp;"")</f>
        <v/>
      </c>
      <c r="M85">
        <f>IF($U85="","",IF(ISNUMBER(INDEX(상세표[근무일자],$U85)),TEXT(INDEX(상세표[근무일자],$U85),"yyyy-mm-dd"),INDEX(상세표[근무일자],$U85)&amp;""))</f>
        <v/>
      </c>
      <c r="N85">
        <f>IF($U85="","",IF(ISNUMBER(INDEX(상세표[시작],$U85)),TEXT(INDEX(상세표[시작],$U85),"yyyy-mm-dd hh:mm"),INDEX(상세표[시작],$U85)&amp;""))</f>
        <v/>
      </c>
      <c r="O85">
        <f>IF($U85="","",IF(ISNUMBER(INDEX(상세표[종료],$U85)),TEXT(INDEX(상세표[종료],$U85),"yyyy-mm-dd hh:mm"),INDEX(상세표[종료],$U85)&amp;""))</f>
        <v/>
      </c>
      <c r="P85" s="20">
        <f>IF($U85="","",INDEX(상세표[06~07시],$U85))</f>
        <v/>
      </c>
      <c r="Q85" s="20">
        <f>IF($U85="","",INDEX(상세표[07~18시],$U85))</f>
        <v/>
      </c>
      <c r="R85" s="20">
        <f>IF($U85="","",INDEX(상세표[18~22시],$U85))</f>
        <v/>
      </c>
      <c r="S85" s="20">
        <f>IF($U85="","",INDEX(상세표[22~06시],$U85))</f>
        <v/>
      </c>
      <c r="T85" s="20">
        <f>IF($U85="","",INDEX(상세표[기록 시간외],$U85))</f>
        <v/>
      </c>
      <c r="U85" s="4">
        <f>IFERROR(MATCH(80,상세표[발송순번],0),"")</f>
        <v/>
      </c>
    </row>
    <row r="86">
      <c r="A86">
        <f>IF($H86="","",INDEX(상세표[사번],$H86)&amp;"")</f>
        <v/>
      </c>
      <c r="B86">
        <f>IF($H86="","",INDEX(상세표[성명],$H86)&amp;"")</f>
        <v/>
      </c>
      <c r="C86">
        <f>IF($H86="","",INDEX(상세표[부서],$H86)&amp;"")</f>
        <v/>
      </c>
      <c r="D86">
        <f>IF($H86="","",IF(IFERROR(INDEX(합계표[직위(요약)],MATCH(INDEX(상세표[사번키],$H86),합계표[사번키],0))&amp;IF(INDEX(합계표[직급 공존],MATCH(INDEX(상세표[사번키],$H86),합계표[사번키],0))="",""," ("&amp;INDEX(합계표[직급 공존],MATCH(INDEX(상세표[사번키],$H86),합계표[사번키],0))&amp;")"),"")="",INDEX(상세표[직위],$H86)&amp;"",IFERROR(INDEX(합계표[직위(요약)],MATCH(INDEX(상세표[사번키],$H86),합계표[사번키],0))&amp;IF(INDEX(합계표[직급 공존],MATCH(INDEX(상세표[사번키],$H86),합계표[사번키],0))="",""," ("&amp;INDEX(합계표[직급 공존],MATCH(INDEX(상세표[사번키],$H86),합계표[사번키],0))&amp;")"),"")))</f>
        <v/>
      </c>
      <c r="E86">
        <f>IF($H86="","",COUNTIFS(상세표[사번키],INDEX(상세표[사번키],$H86),상세표[기록월],대상월키))</f>
        <v/>
      </c>
      <c r="F86" s="20">
        <f>IF($H86="","",SUMIFS(상세표[기록 시간외],상세표[사번키],INDEX(상세표[사번키],$H86),상세표[기록월],대상월키))</f>
        <v/>
      </c>
      <c r="G86" s="20">
        <f>IF($H86="","",SUMIFS(합계표[시스템 합계],합계표[사번키],INDEX(상세표[사번키],$H86)))</f>
        <v/>
      </c>
      <c r="H86" s="4">
        <f>IFERROR(MATCH(81,상세표[발송인원순번],0),"")</f>
        <v/>
      </c>
      <c r="J86">
        <f>IF($U86="","",INDEX(상세표[사번],$U86)&amp;"")</f>
        <v/>
      </c>
      <c r="K86">
        <f>IF($U86="","",INDEX(상세표[성명],$U86)&amp;"")</f>
        <v/>
      </c>
      <c r="L86">
        <f>IF($U86="","",INDEX(상세표[직위],$U86)&amp;"")</f>
        <v/>
      </c>
      <c r="M86">
        <f>IF($U86="","",IF(ISNUMBER(INDEX(상세표[근무일자],$U86)),TEXT(INDEX(상세표[근무일자],$U86),"yyyy-mm-dd"),INDEX(상세표[근무일자],$U86)&amp;""))</f>
        <v/>
      </c>
      <c r="N86">
        <f>IF($U86="","",IF(ISNUMBER(INDEX(상세표[시작],$U86)),TEXT(INDEX(상세표[시작],$U86),"yyyy-mm-dd hh:mm"),INDEX(상세표[시작],$U86)&amp;""))</f>
        <v/>
      </c>
      <c r="O86">
        <f>IF($U86="","",IF(ISNUMBER(INDEX(상세표[종료],$U86)),TEXT(INDEX(상세표[종료],$U86),"yyyy-mm-dd hh:mm"),INDEX(상세표[종료],$U86)&amp;""))</f>
        <v/>
      </c>
      <c r="P86" s="20">
        <f>IF($U86="","",INDEX(상세표[06~07시],$U86))</f>
        <v/>
      </c>
      <c r="Q86" s="20">
        <f>IF($U86="","",INDEX(상세표[07~18시],$U86))</f>
        <v/>
      </c>
      <c r="R86" s="20">
        <f>IF($U86="","",INDEX(상세표[18~22시],$U86))</f>
        <v/>
      </c>
      <c r="S86" s="20">
        <f>IF($U86="","",INDEX(상세표[22~06시],$U86))</f>
        <v/>
      </c>
      <c r="T86" s="20">
        <f>IF($U86="","",INDEX(상세표[기록 시간외],$U86))</f>
        <v/>
      </c>
      <c r="U86" s="4">
        <f>IFERROR(MATCH(81,상세표[발송순번],0),"")</f>
        <v/>
      </c>
    </row>
    <row r="87">
      <c r="A87">
        <f>IF($H87="","",INDEX(상세표[사번],$H87)&amp;"")</f>
        <v/>
      </c>
      <c r="B87">
        <f>IF($H87="","",INDEX(상세표[성명],$H87)&amp;"")</f>
        <v/>
      </c>
      <c r="C87">
        <f>IF($H87="","",INDEX(상세표[부서],$H87)&amp;"")</f>
        <v/>
      </c>
      <c r="D87">
        <f>IF($H87="","",IF(IFERROR(INDEX(합계표[직위(요약)],MATCH(INDEX(상세표[사번키],$H87),합계표[사번키],0))&amp;IF(INDEX(합계표[직급 공존],MATCH(INDEX(상세표[사번키],$H87),합계표[사번키],0))="",""," ("&amp;INDEX(합계표[직급 공존],MATCH(INDEX(상세표[사번키],$H87),합계표[사번키],0))&amp;")"),"")="",INDEX(상세표[직위],$H87)&amp;"",IFERROR(INDEX(합계표[직위(요약)],MATCH(INDEX(상세표[사번키],$H87),합계표[사번키],0))&amp;IF(INDEX(합계표[직급 공존],MATCH(INDEX(상세표[사번키],$H87),합계표[사번키],0))="",""," ("&amp;INDEX(합계표[직급 공존],MATCH(INDEX(상세표[사번키],$H87),합계표[사번키],0))&amp;")"),"")))</f>
        <v/>
      </c>
      <c r="E87">
        <f>IF($H87="","",COUNTIFS(상세표[사번키],INDEX(상세표[사번키],$H87),상세표[기록월],대상월키))</f>
        <v/>
      </c>
      <c r="F87" s="20">
        <f>IF($H87="","",SUMIFS(상세표[기록 시간외],상세표[사번키],INDEX(상세표[사번키],$H87),상세표[기록월],대상월키))</f>
        <v/>
      </c>
      <c r="G87" s="20">
        <f>IF($H87="","",SUMIFS(합계표[시스템 합계],합계표[사번키],INDEX(상세표[사번키],$H87)))</f>
        <v/>
      </c>
      <c r="H87" s="4">
        <f>IFERROR(MATCH(82,상세표[발송인원순번],0),"")</f>
        <v/>
      </c>
      <c r="J87">
        <f>IF($U87="","",INDEX(상세표[사번],$U87)&amp;"")</f>
        <v/>
      </c>
      <c r="K87">
        <f>IF($U87="","",INDEX(상세표[성명],$U87)&amp;"")</f>
        <v/>
      </c>
      <c r="L87">
        <f>IF($U87="","",INDEX(상세표[직위],$U87)&amp;"")</f>
        <v/>
      </c>
      <c r="M87">
        <f>IF($U87="","",IF(ISNUMBER(INDEX(상세표[근무일자],$U87)),TEXT(INDEX(상세표[근무일자],$U87),"yyyy-mm-dd"),INDEX(상세표[근무일자],$U87)&amp;""))</f>
        <v/>
      </c>
      <c r="N87">
        <f>IF($U87="","",IF(ISNUMBER(INDEX(상세표[시작],$U87)),TEXT(INDEX(상세표[시작],$U87),"yyyy-mm-dd hh:mm"),INDEX(상세표[시작],$U87)&amp;""))</f>
        <v/>
      </c>
      <c r="O87">
        <f>IF($U87="","",IF(ISNUMBER(INDEX(상세표[종료],$U87)),TEXT(INDEX(상세표[종료],$U87),"yyyy-mm-dd hh:mm"),INDEX(상세표[종료],$U87)&amp;""))</f>
        <v/>
      </c>
      <c r="P87" s="20">
        <f>IF($U87="","",INDEX(상세표[06~07시],$U87))</f>
        <v/>
      </c>
      <c r="Q87" s="20">
        <f>IF($U87="","",INDEX(상세표[07~18시],$U87))</f>
        <v/>
      </c>
      <c r="R87" s="20">
        <f>IF($U87="","",INDEX(상세표[18~22시],$U87))</f>
        <v/>
      </c>
      <c r="S87" s="20">
        <f>IF($U87="","",INDEX(상세표[22~06시],$U87))</f>
        <v/>
      </c>
      <c r="T87" s="20">
        <f>IF($U87="","",INDEX(상세표[기록 시간외],$U87))</f>
        <v/>
      </c>
      <c r="U87" s="4">
        <f>IFERROR(MATCH(82,상세표[발송순번],0),"")</f>
        <v/>
      </c>
    </row>
    <row r="88">
      <c r="A88">
        <f>IF($H88="","",INDEX(상세표[사번],$H88)&amp;"")</f>
        <v/>
      </c>
      <c r="B88">
        <f>IF($H88="","",INDEX(상세표[성명],$H88)&amp;"")</f>
        <v/>
      </c>
      <c r="C88">
        <f>IF($H88="","",INDEX(상세표[부서],$H88)&amp;"")</f>
        <v/>
      </c>
      <c r="D88">
        <f>IF($H88="","",IF(IFERROR(INDEX(합계표[직위(요약)],MATCH(INDEX(상세표[사번키],$H88),합계표[사번키],0))&amp;IF(INDEX(합계표[직급 공존],MATCH(INDEX(상세표[사번키],$H88),합계표[사번키],0))="",""," ("&amp;INDEX(합계표[직급 공존],MATCH(INDEX(상세표[사번키],$H88),합계표[사번키],0))&amp;")"),"")="",INDEX(상세표[직위],$H88)&amp;"",IFERROR(INDEX(합계표[직위(요약)],MATCH(INDEX(상세표[사번키],$H88),합계표[사번키],0))&amp;IF(INDEX(합계표[직급 공존],MATCH(INDEX(상세표[사번키],$H88),합계표[사번키],0))="",""," ("&amp;INDEX(합계표[직급 공존],MATCH(INDEX(상세표[사번키],$H88),합계표[사번키],0))&amp;")"),"")))</f>
        <v/>
      </c>
      <c r="E88">
        <f>IF($H88="","",COUNTIFS(상세표[사번키],INDEX(상세표[사번키],$H88),상세표[기록월],대상월키))</f>
        <v/>
      </c>
      <c r="F88" s="20">
        <f>IF($H88="","",SUMIFS(상세표[기록 시간외],상세표[사번키],INDEX(상세표[사번키],$H88),상세표[기록월],대상월키))</f>
        <v/>
      </c>
      <c r="G88" s="20">
        <f>IF($H88="","",SUMIFS(합계표[시스템 합계],합계표[사번키],INDEX(상세표[사번키],$H88)))</f>
        <v/>
      </c>
      <c r="H88" s="4">
        <f>IFERROR(MATCH(83,상세표[발송인원순번],0),"")</f>
        <v/>
      </c>
      <c r="J88">
        <f>IF($U88="","",INDEX(상세표[사번],$U88)&amp;"")</f>
        <v/>
      </c>
      <c r="K88">
        <f>IF($U88="","",INDEX(상세표[성명],$U88)&amp;"")</f>
        <v/>
      </c>
      <c r="L88">
        <f>IF($U88="","",INDEX(상세표[직위],$U88)&amp;"")</f>
        <v/>
      </c>
      <c r="M88">
        <f>IF($U88="","",IF(ISNUMBER(INDEX(상세표[근무일자],$U88)),TEXT(INDEX(상세표[근무일자],$U88),"yyyy-mm-dd"),INDEX(상세표[근무일자],$U88)&amp;""))</f>
        <v/>
      </c>
      <c r="N88">
        <f>IF($U88="","",IF(ISNUMBER(INDEX(상세표[시작],$U88)),TEXT(INDEX(상세표[시작],$U88),"yyyy-mm-dd hh:mm"),INDEX(상세표[시작],$U88)&amp;""))</f>
        <v/>
      </c>
      <c r="O88">
        <f>IF($U88="","",IF(ISNUMBER(INDEX(상세표[종료],$U88)),TEXT(INDEX(상세표[종료],$U88),"yyyy-mm-dd hh:mm"),INDEX(상세표[종료],$U88)&amp;""))</f>
        <v/>
      </c>
      <c r="P88" s="20">
        <f>IF($U88="","",INDEX(상세표[06~07시],$U88))</f>
        <v/>
      </c>
      <c r="Q88" s="20">
        <f>IF($U88="","",INDEX(상세표[07~18시],$U88))</f>
        <v/>
      </c>
      <c r="R88" s="20">
        <f>IF($U88="","",INDEX(상세표[18~22시],$U88))</f>
        <v/>
      </c>
      <c r="S88" s="20">
        <f>IF($U88="","",INDEX(상세표[22~06시],$U88))</f>
        <v/>
      </c>
      <c r="T88" s="20">
        <f>IF($U88="","",INDEX(상세표[기록 시간외],$U88))</f>
        <v/>
      </c>
      <c r="U88" s="4">
        <f>IFERROR(MATCH(83,상세표[발송순번],0),"")</f>
        <v/>
      </c>
    </row>
    <row r="89">
      <c r="A89">
        <f>IF($H89="","",INDEX(상세표[사번],$H89)&amp;"")</f>
        <v/>
      </c>
      <c r="B89">
        <f>IF($H89="","",INDEX(상세표[성명],$H89)&amp;"")</f>
        <v/>
      </c>
      <c r="C89">
        <f>IF($H89="","",INDEX(상세표[부서],$H89)&amp;"")</f>
        <v/>
      </c>
      <c r="D89">
        <f>IF($H89="","",IF(IFERROR(INDEX(합계표[직위(요약)],MATCH(INDEX(상세표[사번키],$H89),합계표[사번키],0))&amp;IF(INDEX(합계표[직급 공존],MATCH(INDEX(상세표[사번키],$H89),합계표[사번키],0))="",""," ("&amp;INDEX(합계표[직급 공존],MATCH(INDEX(상세표[사번키],$H89),합계표[사번키],0))&amp;")"),"")="",INDEX(상세표[직위],$H89)&amp;"",IFERROR(INDEX(합계표[직위(요약)],MATCH(INDEX(상세표[사번키],$H89),합계표[사번키],0))&amp;IF(INDEX(합계표[직급 공존],MATCH(INDEX(상세표[사번키],$H89),합계표[사번키],0))="",""," ("&amp;INDEX(합계표[직급 공존],MATCH(INDEX(상세표[사번키],$H89),합계표[사번키],0))&amp;")"),"")))</f>
        <v/>
      </c>
      <c r="E89">
        <f>IF($H89="","",COUNTIFS(상세표[사번키],INDEX(상세표[사번키],$H89),상세표[기록월],대상월키))</f>
        <v/>
      </c>
      <c r="F89" s="20">
        <f>IF($H89="","",SUMIFS(상세표[기록 시간외],상세표[사번키],INDEX(상세표[사번키],$H89),상세표[기록월],대상월키))</f>
        <v/>
      </c>
      <c r="G89" s="20">
        <f>IF($H89="","",SUMIFS(합계표[시스템 합계],합계표[사번키],INDEX(상세표[사번키],$H89)))</f>
        <v/>
      </c>
      <c r="H89" s="4">
        <f>IFERROR(MATCH(84,상세표[발송인원순번],0),"")</f>
        <v/>
      </c>
      <c r="J89">
        <f>IF($U89="","",INDEX(상세표[사번],$U89)&amp;"")</f>
        <v/>
      </c>
      <c r="K89">
        <f>IF($U89="","",INDEX(상세표[성명],$U89)&amp;"")</f>
        <v/>
      </c>
      <c r="L89">
        <f>IF($U89="","",INDEX(상세표[직위],$U89)&amp;"")</f>
        <v/>
      </c>
      <c r="M89">
        <f>IF($U89="","",IF(ISNUMBER(INDEX(상세표[근무일자],$U89)),TEXT(INDEX(상세표[근무일자],$U89),"yyyy-mm-dd"),INDEX(상세표[근무일자],$U89)&amp;""))</f>
        <v/>
      </c>
      <c r="N89">
        <f>IF($U89="","",IF(ISNUMBER(INDEX(상세표[시작],$U89)),TEXT(INDEX(상세표[시작],$U89),"yyyy-mm-dd hh:mm"),INDEX(상세표[시작],$U89)&amp;""))</f>
        <v/>
      </c>
      <c r="O89">
        <f>IF($U89="","",IF(ISNUMBER(INDEX(상세표[종료],$U89)),TEXT(INDEX(상세표[종료],$U89),"yyyy-mm-dd hh:mm"),INDEX(상세표[종료],$U89)&amp;""))</f>
        <v/>
      </c>
      <c r="P89" s="20">
        <f>IF($U89="","",INDEX(상세표[06~07시],$U89))</f>
        <v/>
      </c>
      <c r="Q89" s="20">
        <f>IF($U89="","",INDEX(상세표[07~18시],$U89))</f>
        <v/>
      </c>
      <c r="R89" s="20">
        <f>IF($U89="","",INDEX(상세표[18~22시],$U89))</f>
        <v/>
      </c>
      <c r="S89" s="20">
        <f>IF($U89="","",INDEX(상세표[22~06시],$U89))</f>
        <v/>
      </c>
      <c r="T89" s="20">
        <f>IF($U89="","",INDEX(상세표[기록 시간외],$U89))</f>
        <v/>
      </c>
      <c r="U89" s="4">
        <f>IFERROR(MATCH(84,상세표[발송순번],0),"")</f>
        <v/>
      </c>
    </row>
    <row r="90">
      <c r="A90">
        <f>IF($H90="","",INDEX(상세표[사번],$H90)&amp;"")</f>
        <v/>
      </c>
      <c r="B90">
        <f>IF($H90="","",INDEX(상세표[성명],$H90)&amp;"")</f>
        <v/>
      </c>
      <c r="C90">
        <f>IF($H90="","",INDEX(상세표[부서],$H90)&amp;"")</f>
        <v/>
      </c>
      <c r="D90">
        <f>IF($H90="","",IF(IFERROR(INDEX(합계표[직위(요약)],MATCH(INDEX(상세표[사번키],$H90),합계표[사번키],0))&amp;IF(INDEX(합계표[직급 공존],MATCH(INDEX(상세표[사번키],$H90),합계표[사번키],0))="",""," ("&amp;INDEX(합계표[직급 공존],MATCH(INDEX(상세표[사번키],$H90),합계표[사번키],0))&amp;")"),"")="",INDEX(상세표[직위],$H90)&amp;"",IFERROR(INDEX(합계표[직위(요약)],MATCH(INDEX(상세표[사번키],$H90),합계표[사번키],0))&amp;IF(INDEX(합계표[직급 공존],MATCH(INDEX(상세표[사번키],$H90),합계표[사번키],0))="",""," ("&amp;INDEX(합계표[직급 공존],MATCH(INDEX(상세표[사번키],$H90),합계표[사번키],0))&amp;")"),"")))</f>
        <v/>
      </c>
      <c r="E90">
        <f>IF($H90="","",COUNTIFS(상세표[사번키],INDEX(상세표[사번키],$H90),상세표[기록월],대상월키))</f>
        <v/>
      </c>
      <c r="F90" s="20">
        <f>IF($H90="","",SUMIFS(상세표[기록 시간외],상세표[사번키],INDEX(상세표[사번키],$H90),상세표[기록월],대상월키))</f>
        <v/>
      </c>
      <c r="G90" s="20">
        <f>IF($H90="","",SUMIFS(합계표[시스템 합계],합계표[사번키],INDEX(상세표[사번키],$H90)))</f>
        <v/>
      </c>
      <c r="H90" s="4">
        <f>IFERROR(MATCH(85,상세표[발송인원순번],0),"")</f>
        <v/>
      </c>
      <c r="J90">
        <f>IF($U90="","",INDEX(상세표[사번],$U90)&amp;"")</f>
        <v/>
      </c>
      <c r="K90">
        <f>IF($U90="","",INDEX(상세표[성명],$U90)&amp;"")</f>
        <v/>
      </c>
      <c r="L90">
        <f>IF($U90="","",INDEX(상세표[직위],$U90)&amp;"")</f>
        <v/>
      </c>
      <c r="M90">
        <f>IF($U90="","",IF(ISNUMBER(INDEX(상세표[근무일자],$U90)),TEXT(INDEX(상세표[근무일자],$U90),"yyyy-mm-dd"),INDEX(상세표[근무일자],$U90)&amp;""))</f>
        <v/>
      </c>
      <c r="N90">
        <f>IF($U90="","",IF(ISNUMBER(INDEX(상세표[시작],$U90)),TEXT(INDEX(상세표[시작],$U90),"yyyy-mm-dd hh:mm"),INDEX(상세표[시작],$U90)&amp;""))</f>
        <v/>
      </c>
      <c r="O90">
        <f>IF($U90="","",IF(ISNUMBER(INDEX(상세표[종료],$U90)),TEXT(INDEX(상세표[종료],$U90),"yyyy-mm-dd hh:mm"),INDEX(상세표[종료],$U90)&amp;""))</f>
        <v/>
      </c>
      <c r="P90" s="20">
        <f>IF($U90="","",INDEX(상세표[06~07시],$U90))</f>
        <v/>
      </c>
      <c r="Q90" s="20">
        <f>IF($U90="","",INDEX(상세표[07~18시],$U90))</f>
        <v/>
      </c>
      <c r="R90" s="20">
        <f>IF($U90="","",INDEX(상세표[18~22시],$U90))</f>
        <v/>
      </c>
      <c r="S90" s="20">
        <f>IF($U90="","",INDEX(상세표[22~06시],$U90))</f>
        <v/>
      </c>
      <c r="T90" s="20">
        <f>IF($U90="","",INDEX(상세표[기록 시간외],$U90))</f>
        <v/>
      </c>
      <c r="U90" s="4">
        <f>IFERROR(MATCH(85,상세표[발송순번],0),"")</f>
        <v/>
      </c>
    </row>
    <row r="91">
      <c r="A91">
        <f>IF($H91="","",INDEX(상세표[사번],$H91)&amp;"")</f>
        <v/>
      </c>
      <c r="B91">
        <f>IF($H91="","",INDEX(상세표[성명],$H91)&amp;"")</f>
        <v/>
      </c>
      <c r="C91">
        <f>IF($H91="","",INDEX(상세표[부서],$H91)&amp;"")</f>
        <v/>
      </c>
      <c r="D91">
        <f>IF($H91="","",IF(IFERROR(INDEX(합계표[직위(요약)],MATCH(INDEX(상세표[사번키],$H91),합계표[사번키],0))&amp;IF(INDEX(합계표[직급 공존],MATCH(INDEX(상세표[사번키],$H91),합계표[사번키],0))="",""," ("&amp;INDEX(합계표[직급 공존],MATCH(INDEX(상세표[사번키],$H91),합계표[사번키],0))&amp;")"),"")="",INDEX(상세표[직위],$H91)&amp;"",IFERROR(INDEX(합계표[직위(요약)],MATCH(INDEX(상세표[사번키],$H91),합계표[사번키],0))&amp;IF(INDEX(합계표[직급 공존],MATCH(INDEX(상세표[사번키],$H91),합계표[사번키],0))="",""," ("&amp;INDEX(합계표[직급 공존],MATCH(INDEX(상세표[사번키],$H91),합계표[사번키],0))&amp;")"),"")))</f>
        <v/>
      </c>
      <c r="E91">
        <f>IF($H91="","",COUNTIFS(상세표[사번키],INDEX(상세표[사번키],$H91),상세표[기록월],대상월키))</f>
        <v/>
      </c>
      <c r="F91" s="20">
        <f>IF($H91="","",SUMIFS(상세표[기록 시간외],상세표[사번키],INDEX(상세표[사번키],$H91),상세표[기록월],대상월키))</f>
        <v/>
      </c>
      <c r="G91" s="20">
        <f>IF($H91="","",SUMIFS(합계표[시스템 합계],합계표[사번키],INDEX(상세표[사번키],$H91)))</f>
        <v/>
      </c>
      <c r="H91" s="4">
        <f>IFERROR(MATCH(86,상세표[발송인원순번],0),"")</f>
        <v/>
      </c>
      <c r="J91">
        <f>IF($U91="","",INDEX(상세표[사번],$U91)&amp;"")</f>
        <v/>
      </c>
      <c r="K91">
        <f>IF($U91="","",INDEX(상세표[성명],$U91)&amp;"")</f>
        <v/>
      </c>
      <c r="L91">
        <f>IF($U91="","",INDEX(상세표[직위],$U91)&amp;"")</f>
        <v/>
      </c>
      <c r="M91">
        <f>IF($U91="","",IF(ISNUMBER(INDEX(상세표[근무일자],$U91)),TEXT(INDEX(상세표[근무일자],$U91),"yyyy-mm-dd"),INDEX(상세표[근무일자],$U91)&amp;""))</f>
        <v/>
      </c>
      <c r="N91">
        <f>IF($U91="","",IF(ISNUMBER(INDEX(상세표[시작],$U91)),TEXT(INDEX(상세표[시작],$U91),"yyyy-mm-dd hh:mm"),INDEX(상세표[시작],$U91)&amp;""))</f>
        <v/>
      </c>
      <c r="O91">
        <f>IF($U91="","",IF(ISNUMBER(INDEX(상세표[종료],$U91)),TEXT(INDEX(상세표[종료],$U91),"yyyy-mm-dd hh:mm"),INDEX(상세표[종료],$U91)&amp;""))</f>
        <v/>
      </c>
      <c r="P91" s="20">
        <f>IF($U91="","",INDEX(상세표[06~07시],$U91))</f>
        <v/>
      </c>
      <c r="Q91" s="20">
        <f>IF($U91="","",INDEX(상세표[07~18시],$U91))</f>
        <v/>
      </c>
      <c r="R91" s="20">
        <f>IF($U91="","",INDEX(상세표[18~22시],$U91))</f>
        <v/>
      </c>
      <c r="S91" s="20">
        <f>IF($U91="","",INDEX(상세표[22~06시],$U91))</f>
        <v/>
      </c>
      <c r="T91" s="20">
        <f>IF($U91="","",INDEX(상세표[기록 시간외],$U91))</f>
        <v/>
      </c>
      <c r="U91" s="4">
        <f>IFERROR(MATCH(86,상세표[발송순번],0),"")</f>
        <v/>
      </c>
    </row>
    <row r="92">
      <c r="A92">
        <f>IF($H92="","",INDEX(상세표[사번],$H92)&amp;"")</f>
        <v/>
      </c>
      <c r="B92">
        <f>IF($H92="","",INDEX(상세표[성명],$H92)&amp;"")</f>
        <v/>
      </c>
      <c r="C92">
        <f>IF($H92="","",INDEX(상세표[부서],$H92)&amp;"")</f>
        <v/>
      </c>
      <c r="D92">
        <f>IF($H92="","",IF(IFERROR(INDEX(합계표[직위(요약)],MATCH(INDEX(상세표[사번키],$H92),합계표[사번키],0))&amp;IF(INDEX(합계표[직급 공존],MATCH(INDEX(상세표[사번키],$H92),합계표[사번키],0))="",""," ("&amp;INDEX(합계표[직급 공존],MATCH(INDEX(상세표[사번키],$H92),합계표[사번키],0))&amp;")"),"")="",INDEX(상세표[직위],$H92)&amp;"",IFERROR(INDEX(합계표[직위(요약)],MATCH(INDEX(상세표[사번키],$H92),합계표[사번키],0))&amp;IF(INDEX(합계표[직급 공존],MATCH(INDEX(상세표[사번키],$H92),합계표[사번키],0))="",""," ("&amp;INDEX(합계표[직급 공존],MATCH(INDEX(상세표[사번키],$H92),합계표[사번키],0))&amp;")"),"")))</f>
        <v/>
      </c>
      <c r="E92">
        <f>IF($H92="","",COUNTIFS(상세표[사번키],INDEX(상세표[사번키],$H92),상세표[기록월],대상월키))</f>
        <v/>
      </c>
      <c r="F92" s="20">
        <f>IF($H92="","",SUMIFS(상세표[기록 시간외],상세표[사번키],INDEX(상세표[사번키],$H92),상세표[기록월],대상월키))</f>
        <v/>
      </c>
      <c r="G92" s="20">
        <f>IF($H92="","",SUMIFS(합계표[시스템 합계],합계표[사번키],INDEX(상세표[사번키],$H92)))</f>
        <v/>
      </c>
      <c r="H92" s="4">
        <f>IFERROR(MATCH(87,상세표[발송인원순번],0),"")</f>
        <v/>
      </c>
      <c r="J92">
        <f>IF($U92="","",INDEX(상세표[사번],$U92)&amp;"")</f>
        <v/>
      </c>
      <c r="K92">
        <f>IF($U92="","",INDEX(상세표[성명],$U92)&amp;"")</f>
        <v/>
      </c>
      <c r="L92">
        <f>IF($U92="","",INDEX(상세표[직위],$U92)&amp;"")</f>
        <v/>
      </c>
      <c r="M92">
        <f>IF($U92="","",IF(ISNUMBER(INDEX(상세표[근무일자],$U92)),TEXT(INDEX(상세표[근무일자],$U92),"yyyy-mm-dd"),INDEX(상세표[근무일자],$U92)&amp;""))</f>
        <v/>
      </c>
      <c r="N92">
        <f>IF($U92="","",IF(ISNUMBER(INDEX(상세표[시작],$U92)),TEXT(INDEX(상세표[시작],$U92),"yyyy-mm-dd hh:mm"),INDEX(상세표[시작],$U92)&amp;""))</f>
        <v/>
      </c>
      <c r="O92">
        <f>IF($U92="","",IF(ISNUMBER(INDEX(상세표[종료],$U92)),TEXT(INDEX(상세표[종료],$U92),"yyyy-mm-dd hh:mm"),INDEX(상세표[종료],$U92)&amp;""))</f>
        <v/>
      </c>
      <c r="P92" s="20">
        <f>IF($U92="","",INDEX(상세표[06~07시],$U92))</f>
        <v/>
      </c>
      <c r="Q92" s="20">
        <f>IF($U92="","",INDEX(상세표[07~18시],$U92))</f>
        <v/>
      </c>
      <c r="R92" s="20">
        <f>IF($U92="","",INDEX(상세표[18~22시],$U92))</f>
        <v/>
      </c>
      <c r="S92" s="20">
        <f>IF($U92="","",INDEX(상세표[22~06시],$U92))</f>
        <v/>
      </c>
      <c r="T92" s="20">
        <f>IF($U92="","",INDEX(상세표[기록 시간외],$U92))</f>
        <v/>
      </c>
      <c r="U92" s="4">
        <f>IFERROR(MATCH(87,상세표[발송순번],0),"")</f>
        <v/>
      </c>
    </row>
    <row r="93">
      <c r="A93">
        <f>IF($H93="","",INDEX(상세표[사번],$H93)&amp;"")</f>
        <v/>
      </c>
      <c r="B93">
        <f>IF($H93="","",INDEX(상세표[성명],$H93)&amp;"")</f>
        <v/>
      </c>
      <c r="C93">
        <f>IF($H93="","",INDEX(상세표[부서],$H93)&amp;"")</f>
        <v/>
      </c>
      <c r="D93">
        <f>IF($H93="","",IF(IFERROR(INDEX(합계표[직위(요약)],MATCH(INDEX(상세표[사번키],$H93),합계표[사번키],0))&amp;IF(INDEX(합계표[직급 공존],MATCH(INDEX(상세표[사번키],$H93),합계표[사번키],0))="",""," ("&amp;INDEX(합계표[직급 공존],MATCH(INDEX(상세표[사번키],$H93),합계표[사번키],0))&amp;")"),"")="",INDEX(상세표[직위],$H93)&amp;"",IFERROR(INDEX(합계표[직위(요약)],MATCH(INDEX(상세표[사번키],$H93),합계표[사번키],0))&amp;IF(INDEX(합계표[직급 공존],MATCH(INDEX(상세표[사번키],$H93),합계표[사번키],0))="",""," ("&amp;INDEX(합계표[직급 공존],MATCH(INDEX(상세표[사번키],$H93),합계표[사번키],0))&amp;")"),"")))</f>
        <v/>
      </c>
      <c r="E93">
        <f>IF($H93="","",COUNTIFS(상세표[사번키],INDEX(상세표[사번키],$H93),상세표[기록월],대상월키))</f>
        <v/>
      </c>
      <c r="F93" s="20">
        <f>IF($H93="","",SUMIFS(상세표[기록 시간외],상세표[사번키],INDEX(상세표[사번키],$H93),상세표[기록월],대상월키))</f>
        <v/>
      </c>
      <c r="G93" s="20">
        <f>IF($H93="","",SUMIFS(합계표[시스템 합계],합계표[사번키],INDEX(상세표[사번키],$H93)))</f>
        <v/>
      </c>
      <c r="H93" s="4">
        <f>IFERROR(MATCH(88,상세표[발송인원순번],0),"")</f>
        <v/>
      </c>
      <c r="J93">
        <f>IF($U93="","",INDEX(상세표[사번],$U93)&amp;"")</f>
        <v/>
      </c>
      <c r="K93">
        <f>IF($U93="","",INDEX(상세표[성명],$U93)&amp;"")</f>
        <v/>
      </c>
      <c r="L93">
        <f>IF($U93="","",INDEX(상세표[직위],$U93)&amp;"")</f>
        <v/>
      </c>
      <c r="M93">
        <f>IF($U93="","",IF(ISNUMBER(INDEX(상세표[근무일자],$U93)),TEXT(INDEX(상세표[근무일자],$U93),"yyyy-mm-dd"),INDEX(상세표[근무일자],$U93)&amp;""))</f>
        <v/>
      </c>
      <c r="N93">
        <f>IF($U93="","",IF(ISNUMBER(INDEX(상세표[시작],$U93)),TEXT(INDEX(상세표[시작],$U93),"yyyy-mm-dd hh:mm"),INDEX(상세표[시작],$U93)&amp;""))</f>
        <v/>
      </c>
      <c r="O93">
        <f>IF($U93="","",IF(ISNUMBER(INDEX(상세표[종료],$U93)),TEXT(INDEX(상세표[종료],$U93),"yyyy-mm-dd hh:mm"),INDEX(상세표[종료],$U93)&amp;""))</f>
        <v/>
      </c>
      <c r="P93" s="20">
        <f>IF($U93="","",INDEX(상세표[06~07시],$U93))</f>
        <v/>
      </c>
      <c r="Q93" s="20">
        <f>IF($U93="","",INDEX(상세표[07~18시],$U93))</f>
        <v/>
      </c>
      <c r="R93" s="20">
        <f>IF($U93="","",INDEX(상세표[18~22시],$U93))</f>
        <v/>
      </c>
      <c r="S93" s="20">
        <f>IF($U93="","",INDEX(상세표[22~06시],$U93))</f>
        <v/>
      </c>
      <c r="T93" s="20">
        <f>IF($U93="","",INDEX(상세표[기록 시간외],$U93))</f>
        <v/>
      </c>
      <c r="U93" s="4">
        <f>IFERROR(MATCH(88,상세표[발송순번],0),"")</f>
        <v/>
      </c>
    </row>
    <row r="94">
      <c r="A94">
        <f>IF($H94="","",INDEX(상세표[사번],$H94)&amp;"")</f>
        <v/>
      </c>
      <c r="B94">
        <f>IF($H94="","",INDEX(상세표[성명],$H94)&amp;"")</f>
        <v/>
      </c>
      <c r="C94">
        <f>IF($H94="","",INDEX(상세표[부서],$H94)&amp;"")</f>
        <v/>
      </c>
      <c r="D94">
        <f>IF($H94="","",IF(IFERROR(INDEX(합계표[직위(요약)],MATCH(INDEX(상세표[사번키],$H94),합계표[사번키],0))&amp;IF(INDEX(합계표[직급 공존],MATCH(INDEX(상세표[사번키],$H94),합계표[사번키],0))="",""," ("&amp;INDEX(합계표[직급 공존],MATCH(INDEX(상세표[사번키],$H94),합계표[사번키],0))&amp;")"),"")="",INDEX(상세표[직위],$H94)&amp;"",IFERROR(INDEX(합계표[직위(요약)],MATCH(INDEX(상세표[사번키],$H94),합계표[사번키],0))&amp;IF(INDEX(합계표[직급 공존],MATCH(INDEX(상세표[사번키],$H94),합계표[사번키],0))="",""," ("&amp;INDEX(합계표[직급 공존],MATCH(INDEX(상세표[사번키],$H94),합계표[사번키],0))&amp;")"),"")))</f>
        <v/>
      </c>
      <c r="E94">
        <f>IF($H94="","",COUNTIFS(상세표[사번키],INDEX(상세표[사번키],$H94),상세표[기록월],대상월키))</f>
        <v/>
      </c>
      <c r="F94" s="20">
        <f>IF($H94="","",SUMIFS(상세표[기록 시간외],상세표[사번키],INDEX(상세표[사번키],$H94),상세표[기록월],대상월키))</f>
        <v/>
      </c>
      <c r="G94" s="20">
        <f>IF($H94="","",SUMIFS(합계표[시스템 합계],합계표[사번키],INDEX(상세표[사번키],$H94)))</f>
        <v/>
      </c>
      <c r="H94" s="4">
        <f>IFERROR(MATCH(89,상세표[발송인원순번],0),"")</f>
        <v/>
      </c>
      <c r="J94">
        <f>IF($U94="","",INDEX(상세표[사번],$U94)&amp;"")</f>
        <v/>
      </c>
      <c r="K94">
        <f>IF($U94="","",INDEX(상세표[성명],$U94)&amp;"")</f>
        <v/>
      </c>
      <c r="L94">
        <f>IF($U94="","",INDEX(상세표[직위],$U94)&amp;"")</f>
        <v/>
      </c>
      <c r="M94">
        <f>IF($U94="","",IF(ISNUMBER(INDEX(상세표[근무일자],$U94)),TEXT(INDEX(상세표[근무일자],$U94),"yyyy-mm-dd"),INDEX(상세표[근무일자],$U94)&amp;""))</f>
        <v/>
      </c>
      <c r="N94">
        <f>IF($U94="","",IF(ISNUMBER(INDEX(상세표[시작],$U94)),TEXT(INDEX(상세표[시작],$U94),"yyyy-mm-dd hh:mm"),INDEX(상세표[시작],$U94)&amp;""))</f>
        <v/>
      </c>
      <c r="O94">
        <f>IF($U94="","",IF(ISNUMBER(INDEX(상세표[종료],$U94)),TEXT(INDEX(상세표[종료],$U94),"yyyy-mm-dd hh:mm"),INDEX(상세표[종료],$U94)&amp;""))</f>
        <v/>
      </c>
      <c r="P94" s="20">
        <f>IF($U94="","",INDEX(상세표[06~07시],$U94))</f>
        <v/>
      </c>
      <c r="Q94" s="20">
        <f>IF($U94="","",INDEX(상세표[07~18시],$U94))</f>
        <v/>
      </c>
      <c r="R94" s="20">
        <f>IF($U94="","",INDEX(상세표[18~22시],$U94))</f>
        <v/>
      </c>
      <c r="S94" s="20">
        <f>IF($U94="","",INDEX(상세표[22~06시],$U94))</f>
        <v/>
      </c>
      <c r="T94" s="20">
        <f>IF($U94="","",INDEX(상세표[기록 시간외],$U94))</f>
        <v/>
      </c>
      <c r="U94" s="4">
        <f>IFERROR(MATCH(89,상세표[발송순번],0),"")</f>
        <v/>
      </c>
    </row>
    <row r="95">
      <c r="A95">
        <f>IF($H95="","",INDEX(상세표[사번],$H95)&amp;"")</f>
        <v/>
      </c>
      <c r="B95">
        <f>IF($H95="","",INDEX(상세표[성명],$H95)&amp;"")</f>
        <v/>
      </c>
      <c r="C95">
        <f>IF($H95="","",INDEX(상세표[부서],$H95)&amp;"")</f>
        <v/>
      </c>
      <c r="D95">
        <f>IF($H95="","",IF(IFERROR(INDEX(합계표[직위(요약)],MATCH(INDEX(상세표[사번키],$H95),합계표[사번키],0))&amp;IF(INDEX(합계표[직급 공존],MATCH(INDEX(상세표[사번키],$H95),합계표[사번키],0))="",""," ("&amp;INDEX(합계표[직급 공존],MATCH(INDEX(상세표[사번키],$H95),합계표[사번키],0))&amp;")"),"")="",INDEX(상세표[직위],$H95)&amp;"",IFERROR(INDEX(합계표[직위(요약)],MATCH(INDEX(상세표[사번키],$H95),합계표[사번키],0))&amp;IF(INDEX(합계표[직급 공존],MATCH(INDEX(상세표[사번키],$H95),합계표[사번키],0))="",""," ("&amp;INDEX(합계표[직급 공존],MATCH(INDEX(상세표[사번키],$H95),합계표[사번키],0))&amp;")"),"")))</f>
        <v/>
      </c>
      <c r="E95">
        <f>IF($H95="","",COUNTIFS(상세표[사번키],INDEX(상세표[사번키],$H95),상세표[기록월],대상월키))</f>
        <v/>
      </c>
      <c r="F95" s="20">
        <f>IF($H95="","",SUMIFS(상세표[기록 시간외],상세표[사번키],INDEX(상세표[사번키],$H95),상세표[기록월],대상월키))</f>
        <v/>
      </c>
      <c r="G95" s="20">
        <f>IF($H95="","",SUMIFS(합계표[시스템 합계],합계표[사번키],INDEX(상세표[사번키],$H95)))</f>
        <v/>
      </c>
      <c r="H95" s="4">
        <f>IFERROR(MATCH(90,상세표[발송인원순번],0),"")</f>
        <v/>
      </c>
      <c r="J95">
        <f>IF($U95="","",INDEX(상세표[사번],$U95)&amp;"")</f>
        <v/>
      </c>
      <c r="K95">
        <f>IF($U95="","",INDEX(상세표[성명],$U95)&amp;"")</f>
        <v/>
      </c>
      <c r="L95">
        <f>IF($U95="","",INDEX(상세표[직위],$U95)&amp;"")</f>
        <v/>
      </c>
      <c r="M95">
        <f>IF($U95="","",IF(ISNUMBER(INDEX(상세표[근무일자],$U95)),TEXT(INDEX(상세표[근무일자],$U95),"yyyy-mm-dd"),INDEX(상세표[근무일자],$U95)&amp;""))</f>
        <v/>
      </c>
      <c r="N95">
        <f>IF($U95="","",IF(ISNUMBER(INDEX(상세표[시작],$U95)),TEXT(INDEX(상세표[시작],$U95),"yyyy-mm-dd hh:mm"),INDEX(상세표[시작],$U95)&amp;""))</f>
        <v/>
      </c>
      <c r="O95">
        <f>IF($U95="","",IF(ISNUMBER(INDEX(상세표[종료],$U95)),TEXT(INDEX(상세표[종료],$U95),"yyyy-mm-dd hh:mm"),INDEX(상세표[종료],$U95)&amp;""))</f>
        <v/>
      </c>
      <c r="P95" s="20">
        <f>IF($U95="","",INDEX(상세표[06~07시],$U95))</f>
        <v/>
      </c>
      <c r="Q95" s="20">
        <f>IF($U95="","",INDEX(상세표[07~18시],$U95))</f>
        <v/>
      </c>
      <c r="R95" s="20">
        <f>IF($U95="","",INDEX(상세표[18~22시],$U95))</f>
        <v/>
      </c>
      <c r="S95" s="20">
        <f>IF($U95="","",INDEX(상세표[22~06시],$U95))</f>
        <v/>
      </c>
      <c r="T95" s="20">
        <f>IF($U95="","",INDEX(상세표[기록 시간외],$U95))</f>
        <v/>
      </c>
      <c r="U95" s="4">
        <f>IFERROR(MATCH(90,상세표[발송순번],0),"")</f>
        <v/>
      </c>
    </row>
    <row r="96">
      <c r="A96">
        <f>IF($H96="","",INDEX(상세표[사번],$H96)&amp;"")</f>
        <v/>
      </c>
      <c r="B96">
        <f>IF($H96="","",INDEX(상세표[성명],$H96)&amp;"")</f>
        <v/>
      </c>
      <c r="C96">
        <f>IF($H96="","",INDEX(상세표[부서],$H96)&amp;"")</f>
        <v/>
      </c>
      <c r="D96">
        <f>IF($H96="","",IF(IFERROR(INDEX(합계표[직위(요약)],MATCH(INDEX(상세표[사번키],$H96),합계표[사번키],0))&amp;IF(INDEX(합계표[직급 공존],MATCH(INDEX(상세표[사번키],$H96),합계표[사번키],0))="",""," ("&amp;INDEX(합계표[직급 공존],MATCH(INDEX(상세표[사번키],$H96),합계표[사번키],0))&amp;")"),"")="",INDEX(상세표[직위],$H96)&amp;"",IFERROR(INDEX(합계표[직위(요약)],MATCH(INDEX(상세표[사번키],$H96),합계표[사번키],0))&amp;IF(INDEX(합계표[직급 공존],MATCH(INDEX(상세표[사번키],$H96),합계표[사번키],0))="",""," ("&amp;INDEX(합계표[직급 공존],MATCH(INDEX(상세표[사번키],$H96),합계표[사번키],0))&amp;")"),"")))</f>
        <v/>
      </c>
      <c r="E96">
        <f>IF($H96="","",COUNTIFS(상세표[사번키],INDEX(상세표[사번키],$H96),상세표[기록월],대상월키))</f>
        <v/>
      </c>
      <c r="F96" s="20">
        <f>IF($H96="","",SUMIFS(상세표[기록 시간외],상세표[사번키],INDEX(상세표[사번키],$H96),상세표[기록월],대상월키))</f>
        <v/>
      </c>
      <c r="G96" s="20">
        <f>IF($H96="","",SUMIFS(합계표[시스템 합계],합계표[사번키],INDEX(상세표[사번키],$H96)))</f>
        <v/>
      </c>
      <c r="H96" s="4">
        <f>IFERROR(MATCH(91,상세표[발송인원순번],0),"")</f>
        <v/>
      </c>
      <c r="J96">
        <f>IF($U96="","",INDEX(상세표[사번],$U96)&amp;"")</f>
        <v/>
      </c>
      <c r="K96">
        <f>IF($U96="","",INDEX(상세표[성명],$U96)&amp;"")</f>
        <v/>
      </c>
      <c r="L96">
        <f>IF($U96="","",INDEX(상세표[직위],$U96)&amp;"")</f>
        <v/>
      </c>
      <c r="M96">
        <f>IF($U96="","",IF(ISNUMBER(INDEX(상세표[근무일자],$U96)),TEXT(INDEX(상세표[근무일자],$U96),"yyyy-mm-dd"),INDEX(상세표[근무일자],$U96)&amp;""))</f>
        <v/>
      </c>
      <c r="N96">
        <f>IF($U96="","",IF(ISNUMBER(INDEX(상세표[시작],$U96)),TEXT(INDEX(상세표[시작],$U96),"yyyy-mm-dd hh:mm"),INDEX(상세표[시작],$U96)&amp;""))</f>
        <v/>
      </c>
      <c r="O96">
        <f>IF($U96="","",IF(ISNUMBER(INDEX(상세표[종료],$U96)),TEXT(INDEX(상세표[종료],$U96),"yyyy-mm-dd hh:mm"),INDEX(상세표[종료],$U96)&amp;""))</f>
        <v/>
      </c>
      <c r="P96" s="20">
        <f>IF($U96="","",INDEX(상세표[06~07시],$U96))</f>
        <v/>
      </c>
      <c r="Q96" s="20">
        <f>IF($U96="","",INDEX(상세표[07~18시],$U96))</f>
        <v/>
      </c>
      <c r="R96" s="20">
        <f>IF($U96="","",INDEX(상세표[18~22시],$U96))</f>
        <v/>
      </c>
      <c r="S96" s="20">
        <f>IF($U96="","",INDEX(상세표[22~06시],$U96))</f>
        <v/>
      </c>
      <c r="T96" s="20">
        <f>IF($U96="","",INDEX(상세표[기록 시간외],$U96))</f>
        <v/>
      </c>
      <c r="U96" s="4">
        <f>IFERROR(MATCH(91,상세표[발송순번],0),"")</f>
        <v/>
      </c>
    </row>
    <row r="97">
      <c r="A97">
        <f>IF($H97="","",INDEX(상세표[사번],$H97)&amp;"")</f>
        <v/>
      </c>
      <c r="B97">
        <f>IF($H97="","",INDEX(상세표[성명],$H97)&amp;"")</f>
        <v/>
      </c>
      <c r="C97">
        <f>IF($H97="","",INDEX(상세표[부서],$H97)&amp;"")</f>
        <v/>
      </c>
      <c r="D97">
        <f>IF($H97="","",IF(IFERROR(INDEX(합계표[직위(요약)],MATCH(INDEX(상세표[사번키],$H97),합계표[사번키],0))&amp;IF(INDEX(합계표[직급 공존],MATCH(INDEX(상세표[사번키],$H97),합계표[사번키],0))="",""," ("&amp;INDEX(합계표[직급 공존],MATCH(INDEX(상세표[사번키],$H97),합계표[사번키],0))&amp;")"),"")="",INDEX(상세표[직위],$H97)&amp;"",IFERROR(INDEX(합계표[직위(요약)],MATCH(INDEX(상세표[사번키],$H97),합계표[사번키],0))&amp;IF(INDEX(합계표[직급 공존],MATCH(INDEX(상세표[사번키],$H97),합계표[사번키],0))="",""," ("&amp;INDEX(합계표[직급 공존],MATCH(INDEX(상세표[사번키],$H97),합계표[사번키],0))&amp;")"),"")))</f>
        <v/>
      </c>
      <c r="E97">
        <f>IF($H97="","",COUNTIFS(상세표[사번키],INDEX(상세표[사번키],$H97),상세표[기록월],대상월키))</f>
        <v/>
      </c>
      <c r="F97" s="20">
        <f>IF($H97="","",SUMIFS(상세표[기록 시간외],상세표[사번키],INDEX(상세표[사번키],$H97),상세표[기록월],대상월키))</f>
        <v/>
      </c>
      <c r="G97" s="20">
        <f>IF($H97="","",SUMIFS(합계표[시스템 합계],합계표[사번키],INDEX(상세표[사번키],$H97)))</f>
        <v/>
      </c>
      <c r="H97" s="4">
        <f>IFERROR(MATCH(92,상세표[발송인원순번],0),"")</f>
        <v/>
      </c>
      <c r="J97">
        <f>IF($U97="","",INDEX(상세표[사번],$U97)&amp;"")</f>
        <v/>
      </c>
      <c r="K97">
        <f>IF($U97="","",INDEX(상세표[성명],$U97)&amp;"")</f>
        <v/>
      </c>
      <c r="L97">
        <f>IF($U97="","",INDEX(상세표[직위],$U97)&amp;"")</f>
        <v/>
      </c>
      <c r="M97">
        <f>IF($U97="","",IF(ISNUMBER(INDEX(상세표[근무일자],$U97)),TEXT(INDEX(상세표[근무일자],$U97),"yyyy-mm-dd"),INDEX(상세표[근무일자],$U97)&amp;""))</f>
        <v/>
      </c>
      <c r="N97">
        <f>IF($U97="","",IF(ISNUMBER(INDEX(상세표[시작],$U97)),TEXT(INDEX(상세표[시작],$U97),"yyyy-mm-dd hh:mm"),INDEX(상세표[시작],$U97)&amp;""))</f>
        <v/>
      </c>
      <c r="O97">
        <f>IF($U97="","",IF(ISNUMBER(INDEX(상세표[종료],$U97)),TEXT(INDEX(상세표[종료],$U97),"yyyy-mm-dd hh:mm"),INDEX(상세표[종료],$U97)&amp;""))</f>
        <v/>
      </c>
      <c r="P97" s="20">
        <f>IF($U97="","",INDEX(상세표[06~07시],$U97))</f>
        <v/>
      </c>
      <c r="Q97" s="20">
        <f>IF($U97="","",INDEX(상세표[07~18시],$U97))</f>
        <v/>
      </c>
      <c r="R97" s="20">
        <f>IF($U97="","",INDEX(상세표[18~22시],$U97))</f>
        <v/>
      </c>
      <c r="S97" s="20">
        <f>IF($U97="","",INDEX(상세표[22~06시],$U97))</f>
        <v/>
      </c>
      <c r="T97" s="20">
        <f>IF($U97="","",INDEX(상세표[기록 시간외],$U97))</f>
        <v/>
      </c>
      <c r="U97" s="4">
        <f>IFERROR(MATCH(92,상세표[발송순번],0),"")</f>
        <v/>
      </c>
    </row>
    <row r="98">
      <c r="A98">
        <f>IF($H98="","",INDEX(상세표[사번],$H98)&amp;"")</f>
        <v/>
      </c>
      <c r="B98">
        <f>IF($H98="","",INDEX(상세표[성명],$H98)&amp;"")</f>
        <v/>
      </c>
      <c r="C98">
        <f>IF($H98="","",INDEX(상세표[부서],$H98)&amp;"")</f>
        <v/>
      </c>
      <c r="D98">
        <f>IF($H98="","",IF(IFERROR(INDEX(합계표[직위(요약)],MATCH(INDEX(상세표[사번키],$H98),합계표[사번키],0))&amp;IF(INDEX(합계표[직급 공존],MATCH(INDEX(상세표[사번키],$H98),합계표[사번키],0))="",""," ("&amp;INDEX(합계표[직급 공존],MATCH(INDEX(상세표[사번키],$H98),합계표[사번키],0))&amp;")"),"")="",INDEX(상세표[직위],$H98)&amp;"",IFERROR(INDEX(합계표[직위(요약)],MATCH(INDEX(상세표[사번키],$H98),합계표[사번키],0))&amp;IF(INDEX(합계표[직급 공존],MATCH(INDEX(상세표[사번키],$H98),합계표[사번키],0))="",""," ("&amp;INDEX(합계표[직급 공존],MATCH(INDEX(상세표[사번키],$H98),합계표[사번키],0))&amp;")"),"")))</f>
        <v/>
      </c>
      <c r="E98">
        <f>IF($H98="","",COUNTIFS(상세표[사번키],INDEX(상세표[사번키],$H98),상세표[기록월],대상월키))</f>
        <v/>
      </c>
      <c r="F98" s="20">
        <f>IF($H98="","",SUMIFS(상세표[기록 시간외],상세표[사번키],INDEX(상세표[사번키],$H98),상세표[기록월],대상월키))</f>
        <v/>
      </c>
      <c r="G98" s="20">
        <f>IF($H98="","",SUMIFS(합계표[시스템 합계],합계표[사번키],INDEX(상세표[사번키],$H98)))</f>
        <v/>
      </c>
      <c r="H98" s="4">
        <f>IFERROR(MATCH(93,상세표[발송인원순번],0),"")</f>
        <v/>
      </c>
      <c r="J98">
        <f>IF($U98="","",INDEX(상세표[사번],$U98)&amp;"")</f>
        <v/>
      </c>
      <c r="K98">
        <f>IF($U98="","",INDEX(상세표[성명],$U98)&amp;"")</f>
        <v/>
      </c>
      <c r="L98">
        <f>IF($U98="","",INDEX(상세표[직위],$U98)&amp;"")</f>
        <v/>
      </c>
      <c r="M98">
        <f>IF($U98="","",IF(ISNUMBER(INDEX(상세표[근무일자],$U98)),TEXT(INDEX(상세표[근무일자],$U98),"yyyy-mm-dd"),INDEX(상세표[근무일자],$U98)&amp;""))</f>
        <v/>
      </c>
      <c r="N98">
        <f>IF($U98="","",IF(ISNUMBER(INDEX(상세표[시작],$U98)),TEXT(INDEX(상세표[시작],$U98),"yyyy-mm-dd hh:mm"),INDEX(상세표[시작],$U98)&amp;""))</f>
        <v/>
      </c>
      <c r="O98">
        <f>IF($U98="","",IF(ISNUMBER(INDEX(상세표[종료],$U98)),TEXT(INDEX(상세표[종료],$U98),"yyyy-mm-dd hh:mm"),INDEX(상세표[종료],$U98)&amp;""))</f>
        <v/>
      </c>
      <c r="P98" s="20">
        <f>IF($U98="","",INDEX(상세표[06~07시],$U98))</f>
        <v/>
      </c>
      <c r="Q98" s="20">
        <f>IF($U98="","",INDEX(상세표[07~18시],$U98))</f>
        <v/>
      </c>
      <c r="R98" s="20">
        <f>IF($U98="","",INDEX(상세표[18~22시],$U98))</f>
        <v/>
      </c>
      <c r="S98" s="20">
        <f>IF($U98="","",INDEX(상세표[22~06시],$U98))</f>
        <v/>
      </c>
      <c r="T98" s="20">
        <f>IF($U98="","",INDEX(상세표[기록 시간외],$U98))</f>
        <v/>
      </c>
      <c r="U98" s="4">
        <f>IFERROR(MATCH(93,상세표[발송순번],0),"")</f>
        <v/>
      </c>
    </row>
    <row r="99">
      <c r="A99">
        <f>IF($H99="","",INDEX(상세표[사번],$H99)&amp;"")</f>
        <v/>
      </c>
      <c r="B99">
        <f>IF($H99="","",INDEX(상세표[성명],$H99)&amp;"")</f>
        <v/>
      </c>
      <c r="C99">
        <f>IF($H99="","",INDEX(상세표[부서],$H99)&amp;"")</f>
        <v/>
      </c>
      <c r="D99">
        <f>IF($H99="","",IF(IFERROR(INDEX(합계표[직위(요약)],MATCH(INDEX(상세표[사번키],$H99),합계표[사번키],0))&amp;IF(INDEX(합계표[직급 공존],MATCH(INDEX(상세표[사번키],$H99),합계표[사번키],0))="",""," ("&amp;INDEX(합계표[직급 공존],MATCH(INDEX(상세표[사번키],$H99),합계표[사번키],0))&amp;")"),"")="",INDEX(상세표[직위],$H99)&amp;"",IFERROR(INDEX(합계표[직위(요약)],MATCH(INDEX(상세표[사번키],$H99),합계표[사번키],0))&amp;IF(INDEX(합계표[직급 공존],MATCH(INDEX(상세표[사번키],$H99),합계표[사번키],0))="",""," ("&amp;INDEX(합계표[직급 공존],MATCH(INDEX(상세표[사번키],$H99),합계표[사번키],0))&amp;")"),"")))</f>
        <v/>
      </c>
      <c r="E99">
        <f>IF($H99="","",COUNTIFS(상세표[사번키],INDEX(상세표[사번키],$H99),상세표[기록월],대상월키))</f>
        <v/>
      </c>
      <c r="F99" s="20">
        <f>IF($H99="","",SUMIFS(상세표[기록 시간외],상세표[사번키],INDEX(상세표[사번키],$H99),상세표[기록월],대상월키))</f>
        <v/>
      </c>
      <c r="G99" s="20">
        <f>IF($H99="","",SUMIFS(합계표[시스템 합계],합계표[사번키],INDEX(상세표[사번키],$H99)))</f>
        <v/>
      </c>
      <c r="H99" s="4">
        <f>IFERROR(MATCH(94,상세표[발송인원순번],0),"")</f>
        <v/>
      </c>
      <c r="J99">
        <f>IF($U99="","",INDEX(상세표[사번],$U99)&amp;"")</f>
        <v/>
      </c>
      <c r="K99">
        <f>IF($U99="","",INDEX(상세표[성명],$U99)&amp;"")</f>
        <v/>
      </c>
      <c r="L99">
        <f>IF($U99="","",INDEX(상세표[직위],$U99)&amp;"")</f>
        <v/>
      </c>
      <c r="M99">
        <f>IF($U99="","",IF(ISNUMBER(INDEX(상세표[근무일자],$U99)),TEXT(INDEX(상세표[근무일자],$U99),"yyyy-mm-dd"),INDEX(상세표[근무일자],$U99)&amp;""))</f>
        <v/>
      </c>
      <c r="N99">
        <f>IF($U99="","",IF(ISNUMBER(INDEX(상세표[시작],$U99)),TEXT(INDEX(상세표[시작],$U99),"yyyy-mm-dd hh:mm"),INDEX(상세표[시작],$U99)&amp;""))</f>
        <v/>
      </c>
      <c r="O99">
        <f>IF($U99="","",IF(ISNUMBER(INDEX(상세표[종료],$U99)),TEXT(INDEX(상세표[종료],$U99),"yyyy-mm-dd hh:mm"),INDEX(상세표[종료],$U99)&amp;""))</f>
        <v/>
      </c>
      <c r="P99" s="20">
        <f>IF($U99="","",INDEX(상세표[06~07시],$U99))</f>
        <v/>
      </c>
      <c r="Q99" s="20">
        <f>IF($U99="","",INDEX(상세표[07~18시],$U99))</f>
        <v/>
      </c>
      <c r="R99" s="20">
        <f>IF($U99="","",INDEX(상세표[18~22시],$U99))</f>
        <v/>
      </c>
      <c r="S99" s="20">
        <f>IF($U99="","",INDEX(상세표[22~06시],$U99))</f>
        <v/>
      </c>
      <c r="T99" s="20">
        <f>IF($U99="","",INDEX(상세표[기록 시간외],$U99))</f>
        <v/>
      </c>
      <c r="U99" s="4">
        <f>IFERROR(MATCH(94,상세표[발송순번],0),"")</f>
        <v/>
      </c>
    </row>
    <row r="100">
      <c r="A100">
        <f>IF($H100="","",INDEX(상세표[사번],$H100)&amp;"")</f>
        <v/>
      </c>
      <c r="B100">
        <f>IF($H100="","",INDEX(상세표[성명],$H100)&amp;"")</f>
        <v/>
      </c>
      <c r="C100">
        <f>IF($H100="","",INDEX(상세표[부서],$H100)&amp;"")</f>
        <v/>
      </c>
      <c r="D100">
        <f>IF($H100="","",IF(IFERROR(INDEX(합계표[직위(요약)],MATCH(INDEX(상세표[사번키],$H100),합계표[사번키],0))&amp;IF(INDEX(합계표[직급 공존],MATCH(INDEX(상세표[사번키],$H100),합계표[사번키],0))="",""," ("&amp;INDEX(합계표[직급 공존],MATCH(INDEX(상세표[사번키],$H100),합계표[사번키],0))&amp;")"),"")="",INDEX(상세표[직위],$H100)&amp;"",IFERROR(INDEX(합계표[직위(요약)],MATCH(INDEX(상세표[사번키],$H100),합계표[사번키],0))&amp;IF(INDEX(합계표[직급 공존],MATCH(INDEX(상세표[사번키],$H100),합계표[사번키],0))="",""," ("&amp;INDEX(합계표[직급 공존],MATCH(INDEX(상세표[사번키],$H100),합계표[사번키],0))&amp;")"),"")))</f>
        <v/>
      </c>
      <c r="E100">
        <f>IF($H100="","",COUNTIFS(상세표[사번키],INDEX(상세표[사번키],$H100),상세표[기록월],대상월키))</f>
        <v/>
      </c>
      <c r="F100" s="20">
        <f>IF($H100="","",SUMIFS(상세표[기록 시간외],상세표[사번키],INDEX(상세표[사번키],$H100),상세표[기록월],대상월키))</f>
        <v/>
      </c>
      <c r="G100" s="20">
        <f>IF($H100="","",SUMIFS(합계표[시스템 합계],합계표[사번키],INDEX(상세표[사번키],$H100)))</f>
        <v/>
      </c>
      <c r="H100" s="4">
        <f>IFERROR(MATCH(95,상세표[발송인원순번],0),"")</f>
        <v/>
      </c>
      <c r="J100">
        <f>IF($U100="","",INDEX(상세표[사번],$U100)&amp;"")</f>
        <v/>
      </c>
      <c r="K100">
        <f>IF($U100="","",INDEX(상세표[성명],$U100)&amp;"")</f>
        <v/>
      </c>
      <c r="L100">
        <f>IF($U100="","",INDEX(상세표[직위],$U100)&amp;"")</f>
        <v/>
      </c>
      <c r="M100">
        <f>IF($U100="","",IF(ISNUMBER(INDEX(상세표[근무일자],$U100)),TEXT(INDEX(상세표[근무일자],$U100),"yyyy-mm-dd"),INDEX(상세표[근무일자],$U100)&amp;""))</f>
        <v/>
      </c>
      <c r="N100">
        <f>IF($U100="","",IF(ISNUMBER(INDEX(상세표[시작],$U100)),TEXT(INDEX(상세표[시작],$U100),"yyyy-mm-dd hh:mm"),INDEX(상세표[시작],$U100)&amp;""))</f>
        <v/>
      </c>
      <c r="O100">
        <f>IF($U100="","",IF(ISNUMBER(INDEX(상세표[종료],$U100)),TEXT(INDEX(상세표[종료],$U100),"yyyy-mm-dd hh:mm"),INDEX(상세표[종료],$U100)&amp;""))</f>
        <v/>
      </c>
      <c r="P100" s="20">
        <f>IF($U100="","",INDEX(상세표[06~07시],$U100))</f>
        <v/>
      </c>
      <c r="Q100" s="20">
        <f>IF($U100="","",INDEX(상세표[07~18시],$U100))</f>
        <v/>
      </c>
      <c r="R100" s="20">
        <f>IF($U100="","",INDEX(상세표[18~22시],$U100))</f>
        <v/>
      </c>
      <c r="S100" s="20">
        <f>IF($U100="","",INDEX(상세표[22~06시],$U100))</f>
        <v/>
      </c>
      <c r="T100" s="20">
        <f>IF($U100="","",INDEX(상세표[기록 시간외],$U100))</f>
        <v/>
      </c>
      <c r="U100" s="4">
        <f>IFERROR(MATCH(95,상세표[발송순번],0),"")</f>
        <v/>
      </c>
    </row>
    <row r="101">
      <c r="A101">
        <f>IF($H101="","",INDEX(상세표[사번],$H101)&amp;"")</f>
        <v/>
      </c>
      <c r="B101">
        <f>IF($H101="","",INDEX(상세표[성명],$H101)&amp;"")</f>
        <v/>
      </c>
      <c r="C101">
        <f>IF($H101="","",INDEX(상세표[부서],$H101)&amp;"")</f>
        <v/>
      </c>
      <c r="D101">
        <f>IF($H101="","",IF(IFERROR(INDEX(합계표[직위(요약)],MATCH(INDEX(상세표[사번키],$H101),합계표[사번키],0))&amp;IF(INDEX(합계표[직급 공존],MATCH(INDEX(상세표[사번키],$H101),합계표[사번키],0))="",""," ("&amp;INDEX(합계표[직급 공존],MATCH(INDEX(상세표[사번키],$H101),합계표[사번키],0))&amp;")"),"")="",INDEX(상세표[직위],$H101)&amp;"",IFERROR(INDEX(합계표[직위(요약)],MATCH(INDEX(상세표[사번키],$H101),합계표[사번키],0))&amp;IF(INDEX(합계표[직급 공존],MATCH(INDEX(상세표[사번키],$H101),합계표[사번키],0))="",""," ("&amp;INDEX(합계표[직급 공존],MATCH(INDEX(상세표[사번키],$H101),합계표[사번키],0))&amp;")"),"")))</f>
        <v/>
      </c>
      <c r="E101">
        <f>IF($H101="","",COUNTIFS(상세표[사번키],INDEX(상세표[사번키],$H101),상세표[기록월],대상월키))</f>
        <v/>
      </c>
      <c r="F101" s="20">
        <f>IF($H101="","",SUMIFS(상세표[기록 시간외],상세표[사번키],INDEX(상세표[사번키],$H101),상세표[기록월],대상월키))</f>
        <v/>
      </c>
      <c r="G101" s="20">
        <f>IF($H101="","",SUMIFS(합계표[시스템 합계],합계표[사번키],INDEX(상세표[사번키],$H101)))</f>
        <v/>
      </c>
      <c r="H101" s="4">
        <f>IFERROR(MATCH(96,상세표[발송인원순번],0),"")</f>
        <v/>
      </c>
      <c r="J101">
        <f>IF($U101="","",INDEX(상세표[사번],$U101)&amp;"")</f>
        <v/>
      </c>
      <c r="K101">
        <f>IF($U101="","",INDEX(상세표[성명],$U101)&amp;"")</f>
        <v/>
      </c>
      <c r="L101">
        <f>IF($U101="","",INDEX(상세표[직위],$U101)&amp;"")</f>
        <v/>
      </c>
      <c r="M101">
        <f>IF($U101="","",IF(ISNUMBER(INDEX(상세표[근무일자],$U101)),TEXT(INDEX(상세표[근무일자],$U101),"yyyy-mm-dd"),INDEX(상세표[근무일자],$U101)&amp;""))</f>
        <v/>
      </c>
      <c r="N101">
        <f>IF($U101="","",IF(ISNUMBER(INDEX(상세표[시작],$U101)),TEXT(INDEX(상세표[시작],$U101),"yyyy-mm-dd hh:mm"),INDEX(상세표[시작],$U101)&amp;""))</f>
        <v/>
      </c>
      <c r="O101">
        <f>IF($U101="","",IF(ISNUMBER(INDEX(상세표[종료],$U101)),TEXT(INDEX(상세표[종료],$U101),"yyyy-mm-dd hh:mm"),INDEX(상세표[종료],$U101)&amp;""))</f>
        <v/>
      </c>
      <c r="P101" s="20">
        <f>IF($U101="","",INDEX(상세표[06~07시],$U101))</f>
        <v/>
      </c>
      <c r="Q101" s="20">
        <f>IF($U101="","",INDEX(상세표[07~18시],$U101))</f>
        <v/>
      </c>
      <c r="R101" s="20">
        <f>IF($U101="","",INDEX(상세표[18~22시],$U101))</f>
        <v/>
      </c>
      <c r="S101" s="20">
        <f>IF($U101="","",INDEX(상세표[22~06시],$U101))</f>
        <v/>
      </c>
      <c r="T101" s="20">
        <f>IF($U101="","",INDEX(상세표[기록 시간외],$U101))</f>
        <v/>
      </c>
      <c r="U101" s="4">
        <f>IFERROR(MATCH(96,상세표[발송순번],0),"")</f>
        <v/>
      </c>
    </row>
    <row r="102">
      <c r="A102">
        <f>IF($H102="","",INDEX(상세표[사번],$H102)&amp;"")</f>
        <v/>
      </c>
      <c r="B102">
        <f>IF($H102="","",INDEX(상세표[성명],$H102)&amp;"")</f>
        <v/>
      </c>
      <c r="C102">
        <f>IF($H102="","",INDEX(상세표[부서],$H102)&amp;"")</f>
        <v/>
      </c>
      <c r="D102">
        <f>IF($H102="","",IF(IFERROR(INDEX(합계표[직위(요약)],MATCH(INDEX(상세표[사번키],$H102),합계표[사번키],0))&amp;IF(INDEX(합계표[직급 공존],MATCH(INDEX(상세표[사번키],$H102),합계표[사번키],0))="",""," ("&amp;INDEX(합계표[직급 공존],MATCH(INDEX(상세표[사번키],$H102),합계표[사번키],0))&amp;")"),"")="",INDEX(상세표[직위],$H102)&amp;"",IFERROR(INDEX(합계표[직위(요약)],MATCH(INDEX(상세표[사번키],$H102),합계표[사번키],0))&amp;IF(INDEX(합계표[직급 공존],MATCH(INDEX(상세표[사번키],$H102),합계표[사번키],0))="",""," ("&amp;INDEX(합계표[직급 공존],MATCH(INDEX(상세표[사번키],$H102),합계표[사번키],0))&amp;")"),"")))</f>
        <v/>
      </c>
      <c r="E102">
        <f>IF($H102="","",COUNTIFS(상세표[사번키],INDEX(상세표[사번키],$H102),상세표[기록월],대상월키))</f>
        <v/>
      </c>
      <c r="F102" s="20">
        <f>IF($H102="","",SUMIFS(상세표[기록 시간외],상세표[사번키],INDEX(상세표[사번키],$H102),상세표[기록월],대상월키))</f>
        <v/>
      </c>
      <c r="G102" s="20">
        <f>IF($H102="","",SUMIFS(합계표[시스템 합계],합계표[사번키],INDEX(상세표[사번키],$H102)))</f>
        <v/>
      </c>
      <c r="H102" s="4">
        <f>IFERROR(MATCH(97,상세표[발송인원순번],0),"")</f>
        <v/>
      </c>
      <c r="J102">
        <f>IF($U102="","",INDEX(상세표[사번],$U102)&amp;"")</f>
        <v/>
      </c>
      <c r="K102">
        <f>IF($U102="","",INDEX(상세표[성명],$U102)&amp;"")</f>
        <v/>
      </c>
      <c r="L102">
        <f>IF($U102="","",INDEX(상세표[직위],$U102)&amp;"")</f>
        <v/>
      </c>
      <c r="M102">
        <f>IF($U102="","",IF(ISNUMBER(INDEX(상세표[근무일자],$U102)),TEXT(INDEX(상세표[근무일자],$U102),"yyyy-mm-dd"),INDEX(상세표[근무일자],$U102)&amp;""))</f>
        <v/>
      </c>
      <c r="N102">
        <f>IF($U102="","",IF(ISNUMBER(INDEX(상세표[시작],$U102)),TEXT(INDEX(상세표[시작],$U102),"yyyy-mm-dd hh:mm"),INDEX(상세표[시작],$U102)&amp;""))</f>
        <v/>
      </c>
      <c r="O102">
        <f>IF($U102="","",IF(ISNUMBER(INDEX(상세표[종료],$U102)),TEXT(INDEX(상세표[종료],$U102),"yyyy-mm-dd hh:mm"),INDEX(상세표[종료],$U102)&amp;""))</f>
        <v/>
      </c>
      <c r="P102" s="20">
        <f>IF($U102="","",INDEX(상세표[06~07시],$U102))</f>
        <v/>
      </c>
      <c r="Q102" s="20">
        <f>IF($U102="","",INDEX(상세표[07~18시],$U102))</f>
        <v/>
      </c>
      <c r="R102" s="20">
        <f>IF($U102="","",INDEX(상세표[18~22시],$U102))</f>
        <v/>
      </c>
      <c r="S102" s="20">
        <f>IF($U102="","",INDEX(상세표[22~06시],$U102))</f>
        <v/>
      </c>
      <c r="T102" s="20">
        <f>IF($U102="","",INDEX(상세표[기록 시간외],$U102))</f>
        <v/>
      </c>
      <c r="U102" s="4">
        <f>IFERROR(MATCH(97,상세표[발송순번],0),"")</f>
        <v/>
      </c>
    </row>
    <row r="103">
      <c r="A103">
        <f>IF($H103="","",INDEX(상세표[사번],$H103)&amp;"")</f>
        <v/>
      </c>
      <c r="B103">
        <f>IF($H103="","",INDEX(상세표[성명],$H103)&amp;"")</f>
        <v/>
      </c>
      <c r="C103">
        <f>IF($H103="","",INDEX(상세표[부서],$H103)&amp;"")</f>
        <v/>
      </c>
      <c r="D103">
        <f>IF($H103="","",IF(IFERROR(INDEX(합계표[직위(요약)],MATCH(INDEX(상세표[사번키],$H103),합계표[사번키],0))&amp;IF(INDEX(합계표[직급 공존],MATCH(INDEX(상세표[사번키],$H103),합계표[사번키],0))="",""," ("&amp;INDEX(합계표[직급 공존],MATCH(INDEX(상세표[사번키],$H103),합계표[사번키],0))&amp;")"),"")="",INDEX(상세표[직위],$H103)&amp;"",IFERROR(INDEX(합계표[직위(요약)],MATCH(INDEX(상세표[사번키],$H103),합계표[사번키],0))&amp;IF(INDEX(합계표[직급 공존],MATCH(INDEX(상세표[사번키],$H103),합계표[사번키],0))="",""," ("&amp;INDEX(합계표[직급 공존],MATCH(INDEX(상세표[사번키],$H103),합계표[사번키],0))&amp;")"),"")))</f>
        <v/>
      </c>
      <c r="E103">
        <f>IF($H103="","",COUNTIFS(상세표[사번키],INDEX(상세표[사번키],$H103),상세표[기록월],대상월키))</f>
        <v/>
      </c>
      <c r="F103" s="20">
        <f>IF($H103="","",SUMIFS(상세표[기록 시간외],상세표[사번키],INDEX(상세표[사번키],$H103),상세표[기록월],대상월키))</f>
        <v/>
      </c>
      <c r="G103" s="20">
        <f>IF($H103="","",SUMIFS(합계표[시스템 합계],합계표[사번키],INDEX(상세표[사번키],$H103)))</f>
        <v/>
      </c>
      <c r="H103" s="4">
        <f>IFERROR(MATCH(98,상세표[발송인원순번],0),"")</f>
        <v/>
      </c>
      <c r="J103">
        <f>IF($U103="","",INDEX(상세표[사번],$U103)&amp;"")</f>
        <v/>
      </c>
      <c r="K103">
        <f>IF($U103="","",INDEX(상세표[성명],$U103)&amp;"")</f>
        <v/>
      </c>
      <c r="L103">
        <f>IF($U103="","",INDEX(상세표[직위],$U103)&amp;"")</f>
        <v/>
      </c>
      <c r="M103">
        <f>IF($U103="","",IF(ISNUMBER(INDEX(상세표[근무일자],$U103)),TEXT(INDEX(상세표[근무일자],$U103),"yyyy-mm-dd"),INDEX(상세표[근무일자],$U103)&amp;""))</f>
        <v/>
      </c>
      <c r="N103">
        <f>IF($U103="","",IF(ISNUMBER(INDEX(상세표[시작],$U103)),TEXT(INDEX(상세표[시작],$U103),"yyyy-mm-dd hh:mm"),INDEX(상세표[시작],$U103)&amp;""))</f>
        <v/>
      </c>
      <c r="O103">
        <f>IF($U103="","",IF(ISNUMBER(INDEX(상세표[종료],$U103)),TEXT(INDEX(상세표[종료],$U103),"yyyy-mm-dd hh:mm"),INDEX(상세표[종료],$U103)&amp;""))</f>
        <v/>
      </c>
      <c r="P103" s="20">
        <f>IF($U103="","",INDEX(상세표[06~07시],$U103))</f>
        <v/>
      </c>
      <c r="Q103" s="20">
        <f>IF($U103="","",INDEX(상세표[07~18시],$U103))</f>
        <v/>
      </c>
      <c r="R103" s="20">
        <f>IF($U103="","",INDEX(상세표[18~22시],$U103))</f>
        <v/>
      </c>
      <c r="S103" s="20">
        <f>IF($U103="","",INDEX(상세표[22~06시],$U103))</f>
        <v/>
      </c>
      <c r="T103" s="20">
        <f>IF($U103="","",INDEX(상세표[기록 시간외],$U103))</f>
        <v/>
      </c>
      <c r="U103" s="4">
        <f>IFERROR(MATCH(98,상세표[발송순번],0),"")</f>
        <v/>
      </c>
    </row>
    <row r="104">
      <c r="A104">
        <f>IF($H104="","",INDEX(상세표[사번],$H104)&amp;"")</f>
        <v/>
      </c>
      <c r="B104">
        <f>IF($H104="","",INDEX(상세표[성명],$H104)&amp;"")</f>
        <v/>
      </c>
      <c r="C104">
        <f>IF($H104="","",INDEX(상세표[부서],$H104)&amp;"")</f>
        <v/>
      </c>
      <c r="D104">
        <f>IF($H104="","",IF(IFERROR(INDEX(합계표[직위(요약)],MATCH(INDEX(상세표[사번키],$H104),합계표[사번키],0))&amp;IF(INDEX(합계표[직급 공존],MATCH(INDEX(상세표[사번키],$H104),합계표[사번키],0))="",""," ("&amp;INDEX(합계표[직급 공존],MATCH(INDEX(상세표[사번키],$H104),합계표[사번키],0))&amp;")"),"")="",INDEX(상세표[직위],$H104)&amp;"",IFERROR(INDEX(합계표[직위(요약)],MATCH(INDEX(상세표[사번키],$H104),합계표[사번키],0))&amp;IF(INDEX(합계표[직급 공존],MATCH(INDEX(상세표[사번키],$H104),합계표[사번키],0))="",""," ("&amp;INDEX(합계표[직급 공존],MATCH(INDEX(상세표[사번키],$H104),합계표[사번키],0))&amp;")"),"")))</f>
        <v/>
      </c>
      <c r="E104">
        <f>IF($H104="","",COUNTIFS(상세표[사번키],INDEX(상세표[사번키],$H104),상세표[기록월],대상월키))</f>
        <v/>
      </c>
      <c r="F104" s="20">
        <f>IF($H104="","",SUMIFS(상세표[기록 시간외],상세표[사번키],INDEX(상세표[사번키],$H104),상세표[기록월],대상월키))</f>
        <v/>
      </c>
      <c r="G104" s="20">
        <f>IF($H104="","",SUMIFS(합계표[시스템 합계],합계표[사번키],INDEX(상세표[사번키],$H104)))</f>
        <v/>
      </c>
      <c r="H104" s="4">
        <f>IFERROR(MATCH(99,상세표[발송인원순번],0),"")</f>
        <v/>
      </c>
      <c r="J104">
        <f>IF($U104="","",INDEX(상세표[사번],$U104)&amp;"")</f>
        <v/>
      </c>
      <c r="K104">
        <f>IF($U104="","",INDEX(상세표[성명],$U104)&amp;"")</f>
        <v/>
      </c>
      <c r="L104">
        <f>IF($U104="","",INDEX(상세표[직위],$U104)&amp;"")</f>
        <v/>
      </c>
      <c r="M104">
        <f>IF($U104="","",IF(ISNUMBER(INDEX(상세표[근무일자],$U104)),TEXT(INDEX(상세표[근무일자],$U104),"yyyy-mm-dd"),INDEX(상세표[근무일자],$U104)&amp;""))</f>
        <v/>
      </c>
      <c r="N104">
        <f>IF($U104="","",IF(ISNUMBER(INDEX(상세표[시작],$U104)),TEXT(INDEX(상세표[시작],$U104),"yyyy-mm-dd hh:mm"),INDEX(상세표[시작],$U104)&amp;""))</f>
        <v/>
      </c>
      <c r="O104">
        <f>IF($U104="","",IF(ISNUMBER(INDEX(상세표[종료],$U104)),TEXT(INDEX(상세표[종료],$U104),"yyyy-mm-dd hh:mm"),INDEX(상세표[종료],$U104)&amp;""))</f>
        <v/>
      </c>
      <c r="P104" s="20">
        <f>IF($U104="","",INDEX(상세표[06~07시],$U104))</f>
        <v/>
      </c>
      <c r="Q104" s="20">
        <f>IF($U104="","",INDEX(상세표[07~18시],$U104))</f>
        <v/>
      </c>
      <c r="R104" s="20">
        <f>IF($U104="","",INDEX(상세표[18~22시],$U104))</f>
        <v/>
      </c>
      <c r="S104" s="20">
        <f>IF($U104="","",INDEX(상세표[22~06시],$U104))</f>
        <v/>
      </c>
      <c r="T104" s="20">
        <f>IF($U104="","",INDEX(상세표[기록 시간외],$U104))</f>
        <v/>
      </c>
      <c r="U104" s="4">
        <f>IFERROR(MATCH(99,상세표[발송순번],0),"")</f>
        <v/>
      </c>
    </row>
    <row r="105">
      <c r="A105">
        <f>IF($H105="","",INDEX(상세표[사번],$H105)&amp;"")</f>
        <v/>
      </c>
      <c r="B105">
        <f>IF($H105="","",INDEX(상세표[성명],$H105)&amp;"")</f>
        <v/>
      </c>
      <c r="C105">
        <f>IF($H105="","",INDEX(상세표[부서],$H105)&amp;"")</f>
        <v/>
      </c>
      <c r="D105">
        <f>IF($H105="","",IF(IFERROR(INDEX(합계표[직위(요약)],MATCH(INDEX(상세표[사번키],$H105),합계표[사번키],0))&amp;IF(INDEX(합계표[직급 공존],MATCH(INDEX(상세표[사번키],$H105),합계표[사번키],0))="",""," ("&amp;INDEX(합계표[직급 공존],MATCH(INDEX(상세표[사번키],$H105),합계표[사번키],0))&amp;")"),"")="",INDEX(상세표[직위],$H105)&amp;"",IFERROR(INDEX(합계표[직위(요약)],MATCH(INDEX(상세표[사번키],$H105),합계표[사번키],0))&amp;IF(INDEX(합계표[직급 공존],MATCH(INDEX(상세표[사번키],$H105),합계표[사번키],0))="",""," ("&amp;INDEX(합계표[직급 공존],MATCH(INDEX(상세표[사번키],$H105),합계표[사번키],0))&amp;")"),"")))</f>
        <v/>
      </c>
      <c r="E105">
        <f>IF($H105="","",COUNTIFS(상세표[사번키],INDEX(상세표[사번키],$H105),상세표[기록월],대상월키))</f>
        <v/>
      </c>
      <c r="F105" s="20">
        <f>IF($H105="","",SUMIFS(상세표[기록 시간외],상세표[사번키],INDEX(상세표[사번키],$H105),상세표[기록월],대상월키))</f>
        <v/>
      </c>
      <c r="G105" s="20">
        <f>IF($H105="","",SUMIFS(합계표[시스템 합계],합계표[사번키],INDEX(상세표[사번키],$H105)))</f>
        <v/>
      </c>
      <c r="H105" s="4">
        <f>IFERROR(MATCH(100,상세표[발송인원순번],0),"")</f>
        <v/>
      </c>
      <c r="J105">
        <f>IF($U105="","",INDEX(상세표[사번],$U105)&amp;"")</f>
        <v/>
      </c>
      <c r="K105">
        <f>IF($U105="","",INDEX(상세표[성명],$U105)&amp;"")</f>
        <v/>
      </c>
      <c r="L105">
        <f>IF($U105="","",INDEX(상세표[직위],$U105)&amp;"")</f>
        <v/>
      </c>
      <c r="M105">
        <f>IF($U105="","",IF(ISNUMBER(INDEX(상세표[근무일자],$U105)),TEXT(INDEX(상세표[근무일자],$U105),"yyyy-mm-dd"),INDEX(상세표[근무일자],$U105)&amp;""))</f>
        <v/>
      </c>
      <c r="N105">
        <f>IF($U105="","",IF(ISNUMBER(INDEX(상세표[시작],$U105)),TEXT(INDEX(상세표[시작],$U105),"yyyy-mm-dd hh:mm"),INDEX(상세표[시작],$U105)&amp;""))</f>
        <v/>
      </c>
      <c r="O105">
        <f>IF($U105="","",IF(ISNUMBER(INDEX(상세표[종료],$U105)),TEXT(INDEX(상세표[종료],$U105),"yyyy-mm-dd hh:mm"),INDEX(상세표[종료],$U105)&amp;""))</f>
        <v/>
      </c>
      <c r="P105" s="20">
        <f>IF($U105="","",INDEX(상세표[06~07시],$U105))</f>
        <v/>
      </c>
      <c r="Q105" s="20">
        <f>IF($U105="","",INDEX(상세표[07~18시],$U105))</f>
        <v/>
      </c>
      <c r="R105" s="20">
        <f>IF($U105="","",INDEX(상세표[18~22시],$U105))</f>
        <v/>
      </c>
      <c r="S105" s="20">
        <f>IF($U105="","",INDEX(상세표[22~06시],$U105))</f>
        <v/>
      </c>
      <c r="T105" s="20">
        <f>IF($U105="","",INDEX(상세표[기록 시간외],$U105))</f>
        <v/>
      </c>
      <c r="U105" s="4">
        <f>IFERROR(MATCH(100,상세표[발송순번],0),"")</f>
        <v/>
      </c>
    </row>
    <row r="106">
      <c r="A106">
        <f>IF($H106="","",INDEX(상세표[사번],$H106)&amp;"")</f>
        <v/>
      </c>
      <c r="B106">
        <f>IF($H106="","",INDEX(상세표[성명],$H106)&amp;"")</f>
        <v/>
      </c>
      <c r="C106">
        <f>IF($H106="","",INDEX(상세표[부서],$H106)&amp;"")</f>
        <v/>
      </c>
      <c r="D106">
        <f>IF($H106="","",IF(IFERROR(INDEX(합계표[직위(요약)],MATCH(INDEX(상세표[사번키],$H106),합계표[사번키],0))&amp;IF(INDEX(합계표[직급 공존],MATCH(INDEX(상세표[사번키],$H106),합계표[사번키],0))="",""," ("&amp;INDEX(합계표[직급 공존],MATCH(INDEX(상세표[사번키],$H106),합계표[사번키],0))&amp;")"),"")="",INDEX(상세표[직위],$H106)&amp;"",IFERROR(INDEX(합계표[직위(요약)],MATCH(INDEX(상세표[사번키],$H106),합계표[사번키],0))&amp;IF(INDEX(합계표[직급 공존],MATCH(INDEX(상세표[사번키],$H106),합계표[사번키],0))="",""," ("&amp;INDEX(합계표[직급 공존],MATCH(INDEX(상세표[사번키],$H106),합계표[사번키],0))&amp;")"),"")))</f>
        <v/>
      </c>
      <c r="E106">
        <f>IF($H106="","",COUNTIFS(상세표[사번키],INDEX(상세표[사번키],$H106),상세표[기록월],대상월키))</f>
        <v/>
      </c>
      <c r="F106" s="20">
        <f>IF($H106="","",SUMIFS(상세표[기록 시간외],상세표[사번키],INDEX(상세표[사번키],$H106),상세표[기록월],대상월키))</f>
        <v/>
      </c>
      <c r="G106" s="20">
        <f>IF($H106="","",SUMIFS(합계표[시스템 합계],합계표[사번키],INDEX(상세표[사번키],$H106)))</f>
        <v/>
      </c>
      <c r="H106" s="4">
        <f>IFERROR(MATCH(101,상세표[발송인원순번],0),"")</f>
        <v/>
      </c>
      <c r="J106">
        <f>IF($U106="","",INDEX(상세표[사번],$U106)&amp;"")</f>
        <v/>
      </c>
      <c r="K106">
        <f>IF($U106="","",INDEX(상세표[성명],$U106)&amp;"")</f>
        <v/>
      </c>
      <c r="L106">
        <f>IF($U106="","",INDEX(상세표[직위],$U106)&amp;"")</f>
        <v/>
      </c>
      <c r="M106">
        <f>IF($U106="","",IF(ISNUMBER(INDEX(상세표[근무일자],$U106)),TEXT(INDEX(상세표[근무일자],$U106),"yyyy-mm-dd"),INDEX(상세표[근무일자],$U106)&amp;""))</f>
        <v/>
      </c>
      <c r="N106">
        <f>IF($U106="","",IF(ISNUMBER(INDEX(상세표[시작],$U106)),TEXT(INDEX(상세표[시작],$U106),"yyyy-mm-dd hh:mm"),INDEX(상세표[시작],$U106)&amp;""))</f>
        <v/>
      </c>
      <c r="O106">
        <f>IF($U106="","",IF(ISNUMBER(INDEX(상세표[종료],$U106)),TEXT(INDEX(상세표[종료],$U106),"yyyy-mm-dd hh:mm"),INDEX(상세표[종료],$U106)&amp;""))</f>
        <v/>
      </c>
      <c r="P106" s="20">
        <f>IF($U106="","",INDEX(상세표[06~07시],$U106))</f>
        <v/>
      </c>
      <c r="Q106" s="20">
        <f>IF($U106="","",INDEX(상세표[07~18시],$U106))</f>
        <v/>
      </c>
      <c r="R106" s="20">
        <f>IF($U106="","",INDEX(상세표[18~22시],$U106))</f>
        <v/>
      </c>
      <c r="S106" s="20">
        <f>IF($U106="","",INDEX(상세표[22~06시],$U106))</f>
        <v/>
      </c>
      <c r="T106" s="20">
        <f>IF($U106="","",INDEX(상세표[기록 시간외],$U106))</f>
        <v/>
      </c>
      <c r="U106" s="4">
        <f>IFERROR(MATCH(101,상세표[발송순번],0),"")</f>
        <v/>
      </c>
    </row>
    <row r="107">
      <c r="A107">
        <f>IF($H107="","",INDEX(상세표[사번],$H107)&amp;"")</f>
        <v/>
      </c>
      <c r="B107">
        <f>IF($H107="","",INDEX(상세표[성명],$H107)&amp;"")</f>
        <v/>
      </c>
      <c r="C107">
        <f>IF($H107="","",INDEX(상세표[부서],$H107)&amp;"")</f>
        <v/>
      </c>
      <c r="D107">
        <f>IF($H107="","",IF(IFERROR(INDEX(합계표[직위(요약)],MATCH(INDEX(상세표[사번키],$H107),합계표[사번키],0))&amp;IF(INDEX(합계표[직급 공존],MATCH(INDEX(상세표[사번키],$H107),합계표[사번키],0))="",""," ("&amp;INDEX(합계표[직급 공존],MATCH(INDEX(상세표[사번키],$H107),합계표[사번키],0))&amp;")"),"")="",INDEX(상세표[직위],$H107)&amp;"",IFERROR(INDEX(합계표[직위(요약)],MATCH(INDEX(상세표[사번키],$H107),합계표[사번키],0))&amp;IF(INDEX(합계표[직급 공존],MATCH(INDEX(상세표[사번키],$H107),합계표[사번키],0))="",""," ("&amp;INDEX(합계표[직급 공존],MATCH(INDEX(상세표[사번키],$H107),합계표[사번키],0))&amp;")"),"")))</f>
        <v/>
      </c>
      <c r="E107">
        <f>IF($H107="","",COUNTIFS(상세표[사번키],INDEX(상세표[사번키],$H107),상세표[기록월],대상월키))</f>
        <v/>
      </c>
      <c r="F107" s="20">
        <f>IF($H107="","",SUMIFS(상세표[기록 시간외],상세표[사번키],INDEX(상세표[사번키],$H107),상세표[기록월],대상월키))</f>
        <v/>
      </c>
      <c r="G107" s="20">
        <f>IF($H107="","",SUMIFS(합계표[시스템 합계],합계표[사번키],INDEX(상세표[사번키],$H107)))</f>
        <v/>
      </c>
      <c r="H107" s="4">
        <f>IFERROR(MATCH(102,상세표[발송인원순번],0),"")</f>
        <v/>
      </c>
      <c r="J107">
        <f>IF($U107="","",INDEX(상세표[사번],$U107)&amp;"")</f>
        <v/>
      </c>
      <c r="K107">
        <f>IF($U107="","",INDEX(상세표[성명],$U107)&amp;"")</f>
        <v/>
      </c>
      <c r="L107">
        <f>IF($U107="","",INDEX(상세표[직위],$U107)&amp;"")</f>
        <v/>
      </c>
      <c r="M107">
        <f>IF($U107="","",IF(ISNUMBER(INDEX(상세표[근무일자],$U107)),TEXT(INDEX(상세표[근무일자],$U107),"yyyy-mm-dd"),INDEX(상세표[근무일자],$U107)&amp;""))</f>
        <v/>
      </c>
      <c r="N107">
        <f>IF($U107="","",IF(ISNUMBER(INDEX(상세표[시작],$U107)),TEXT(INDEX(상세표[시작],$U107),"yyyy-mm-dd hh:mm"),INDEX(상세표[시작],$U107)&amp;""))</f>
        <v/>
      </c>
      <c r="O107">
        <f>IF($U107="","",IF(ISNUMBER(INDEX(상세표[종료],$U107)),TEXT(INDEX(상세표[종료],$U107),"yyyy-mm-dd hh:mm"),INDEX(상세표[종료],$U107)&amp;""))</f>
        <v/>
      </c>
      <c r="P107" s="20">
        <f>IF($U107="","",INDEX(상세표[06~07시],$U107))</f>
        <v/>
      </c>
      <c r="Q107" s="20">
        <f>IF($U107="","",INDEX(상세표[07~18시],$U107))</f>
        <v/>
      </c>
      <c r="R107" s="20">
        <f>IF($U107="","",INDEX(상세표[18~22시],$U107))</f>
        <v/>
      </c>
      <c r="S107" s="20">
        <f>IF($U107="","",INDEX(상세표[22~06시],$U107))</f>
        <v/>
      </c>
      <c r="T107" s="20">
        <f>IF($U107="","",INDEX(상세표[기록 시간외],$U107))</f>
        <v/>
      </c>
      <c r="U107" s="4">
        <f>IFERROR(MATCH(102,상세표[발송순번],0),"")</f>
        <v/>
      </c>
    </row>
    <row r="108">
      <c r="A108">
        <f>IF($H108="","",INDEX(상세표[사번],$H108)&amp;"")</f>
        <v/>
      </c>
      <c r="B108">
        <f>IF($H108="","",INDEX(상세표[성명],$H108)&amp;"")</f>
        <v/>
      </c>
      <c r="C108">
        <f>IF($H108="","",INDEX(상세표[부서],$H108)&amp;"")</f>
        <v/>
      </c>
      <c r="D108">
        <f>IF($H108="","",IF(IFERROR(INDEX(합계표[직위(요약)],MATCH(INDEX(상세표[사번키],$H108),합계표[사번키],0))&amp;IF(INDEX(합계표[직급 공존],MATCH(INDEX(상세표[사번키],$H108),합계표[사번키],0))="",""," ("&amp;INDEX(합계표[직급 공존],MATCH(INDEX(상세표[사번키],$H108),합계표[사번키],0))&amp;")"),"")="",INDEX(상세표[직위],$H108)&amp;"",IFERROR(INDEX(합계표[직위(요약)],MATCH(INDEX(상세표[사번키],$H108),합계표[사번키],0))&amp;IF(INDEX(합계표[직급 공존],MATCH(INDEX(상세표[사번키],$H108),합계표[사번키],0))="",""," ("&amp;INDEX(합계표[직급 공존],MATCH(INDEX(상세표[사번키],$H108),합계표[사번키],0))&amp;")"),"")))</f>
        <v/>
      </c>
      <c r="E108">
        <f>IF($H108="","",COUNTIFS(상세표[사번키],INDEX(상세표[사번키],$H108),상세표[기록월],대상월키))</f>
        <v/>
      </c>
      <c r="F108" s="20">
        <f>IF($H108="","",SUMIFS(상세표[기록 시간외],상세표[사번키],INDEX(상세표[사번키],$H108),상세표[기록월],대상월키))</f>
        <v/>
      </c>
      <c r="G108" s="20">
        <f>IF($H108="","",SUMIFS(합계표[시스템 합계],합계표[사번키],INDEX(상세표[사번키],$H108)))</f>
        <v/>
      </c>
      <c r="H108" s="4">
        <f>IFERROR(MATCH(103,상세표[발송인원순번],0),"")</f>
        <v/>
      </c>
      <c r="J108">
        <f>IF($U108="","",INDEX(상세표[사번],$U108)&amp;"")</f>
        <v/>
      </c>
      <c r="K108">
        <f>IF($U108="","",INDEX(상세표[성명],$U108)&amp;"")</f>
        <v/>
      </c>
      <c r="L108">
        <f>IF($U108="","",INDEX(상세표[직위],$U108)&amp;"")</f>
        <v/>
      </c>
      <c r="M108">
        <f>IF($U108="","",IF(ISNUMBER(INDEX(상세표[근무일자],$U108)),TEXT(INDEX(상세표[근무일자],$U108),"yyyy-mm-dd"),INDEX(상세표[근무일자],$U108)&amp;""))</f>
        <v/>
      </c>
      <c r="N108">
        <f>IF($U108="","",IF(ISNUMBER(INDEX(상세표[시작],$U108)),TEXT(INDEX(상세표[시작],$U108),"yyyy-mm-dd hh:mm"),INDEX(상세표[시작],$U108)&amp;""))</f>
        <v/>
      </c>
      <c r="O108">
        <f>IF($U108="","",IF(ISNUMBER(INDEX(상세표[종료],$U108)),TEXT(INDEX(상세표[종료],$U108),"yyyy-mm-dd hh:mm"),INDEX(상세표[종료],$U108)&amp;""))</f>
        <v/>
      </c>
      <c r="P108" s="20">
        <f>IF($U108="","",INDEX(상세표[06~07시],$U108))</f>
        <v/>
      </c>
      <c r="Q108" s="20">
        <f>IF($U108="","",INDEX(상세표[07~18시],$U108))</f>
        <v/>
      </c>
      <c r="R108" s="20">
        <f>IF($U108="","",INDEX(상세표[18~22시],$U108))</f>
        <v/>
      </c>
      <c r="S108" s="20">
        <f>IF($U108="","",INDEX(상세표[22~06시],$U108))</f>
        <v/>
      </c>
      <c r="T108" s="20">
        <f>IF($U108="","",INDEX(상세표[기록 시간외],$U108))</f>
        <v/>
      </c>
      <c r="U108" s="4">
        <f>IFERROR(MATCH(103,상세표[발송순번],0),"")</f>
        <v/>
      </c>
    </row>
    <row r="109">
      <c r="A109">
        <f>IF($H109="","",INDEX(상세표[사번],$H109)&amp;"")</f>
        <v/>
      </c>
      <c r="B109">
        <f>IF($H109="","",INDEX(상세표[성명],$H109)&amp;"")</f>
        <v/>
      </c>
      <c r="C109">
        <f>IF($H109="","",INDEX(상세표[부서],$H109)&amp;"")</f>
        <v/>
      </c>
      <c r="D109">
        <f>IF($H109="","",IF(IFERROR(INDEX(합계표[직위(요약)],MATCH(INDEX(상세표[사번키],$H109),합계표[사번키],0))&amp;IF(INDEX(합계표[직급 공존],MATCH(INDEX(상세표[사번키],$H109),합계표[사번키],0))="",""," ("&amp;INDEX(합계표[직급 공존],MATCH(INDEX(상세표[사번키],$H109),합계표[사번키],0))&amp;")"),"")="",INDEX(상세표[직위],$H109)&amp;"",IFERROR(INDEX(합계표[직위(요약)],MATCH(INDEX(상세표[사번키],$H109),합계표[사번키],0))&amp;IF(INDEX(합계표[직급 공존],MATCH(INDEX(상세표[사번키],$H109),합계표[사번키],0))="",""," ("&amp;INDEX(합계표[직급 공존],MATCH(INDEX(상세표[사번키],$H109),합계표[사번키],0))&amp;")"),"")))</f>
        <v/>
      </c>
      <c r="E109">
        <f>IF($H109="","",COUNTIFS(상세표[사번키],INDEX(상세표[사번키],$H109),상세표[기록월],대상월키))</f>
        <v/>
      </c>
      <c r="F109" s="20">
        <f>IF($H109="","",SUMIFS(상세표[기록 시간외],상세표[사번키],INDEX(상세표[사번키],$H109),상세표[기록월],대상월키))</f>
        <v/>
      </c>
      <c r="G109" s="20">
        <f>IF($H109="","",SUMIFS(합계표[시스템 합계],합계표[사번키],INDEX(상세표[사번키],$H109)))</f>
        <v/>
      </c>
      <c r="H109" s="4">
        <f>IFERROR(MATCH(104,상세표[발송인원순번],0),"")</f>
        <v/>
      </c>
      <c r="J109">
        <f>IF($U109="","",INDEX(상세표[사번],$U109)&amp;"")</f>
        <v/>
      </c>
      <c r="K109">
        <f>IF($U109="","",INDEX(상세표[성명],$U109)&amp;"")</f>
        <v/>
      </c>
      <c r="L109">
        <f>IF($U109="","",INDEX(상세표[직위],$U109)&amp;"")</f>
        <v/>
      </c>
      <c r="M109">
        <f>IF($U109="","",IF(ISNUMBER(INDEX(상세표[근무일자],$U109)),TEXT(INDEX(상세표[근무일자],$U109),"yyyy-mm-dd"),INDEX(상세표[근무일자],$U109)&amp;""))</f>
        <v/>
      </c>
      <c r="N109">
        <f>IF($U109="","",IF(ISNUMBER(INDEX(상세표[시작],$U109)),TEXT(INDEX(상세표[시작],$U109),"yyyy-mm-dd hh:mm"),INDEX(상세표[시작],$U109)&amp;""))</f>
        <v/>
      </c>
      <c r="O109">
        <f>IF($U109="","",IF(ISNUMBER(INDEX(상세표[종료],$U109)),TEXT(INDEX(상세표[종료],$U109),"yyyy-mm-dd hh:mm"),INDEX(상세표[종료],$U109)&amp;""))</f>
        <v/>
      </c>
      <c r="P109" s="20">
        <f>IF($U109="","",INDEX(상세표[06~07시],$U109))</f>
        <v/>
      </c>
      <c r="Q109" s="20">
        <f>IF($U109="","",INDEX(상세표[07~18시],$U109))</f>
        <v/>
      </c>
      <c r="R109" s="20">
        <f>IF($U109="","",INDEX(상세표[18~22시],$U109))</f>
        <v/>
      </c>
      <c r="S109" s="20">
        <f>IF($U109="","",INDEX(상세표[22~06시],$U109))</f>
        <v/>
      </c>
      <c r="T109" s="20">
        <f>IF($U109="","",INDEX(상세표[기록 시간외],$U109))</f>
        <v/>
      </c>
      <c r="U109" s="4">
        <f>IFERROR(MATCH(104,상세표[발송순번],0),"")</f>
        <v/>
      </c>
    </row>
    <row r="110">
      <c r="A110">
        <f>IF($H110="","",INDEX(상세표[사번],$H110)&amp;"")</f>
        <v/>
      </c>
      <c r="B110">
        <f>IF($H110="","",INDEX(상세표[성명],$H110)&amp;"")</f>
        <v/>
      </c>
      <c r="C110">
        <f>IF($H110="","",INDEX(상세표[부서],$H110)&amp;"")</f>
        <v/>
      </c>
      <c r="D110">
        <f>IF($H110="","",IF(IFERROR(INDEX(합계표[직위(요약)],MATCH(INDEX(상세표[사번키],$H110),합계표[사번키],0))&amp;IF(INDEX(합계표[직급 공존],MATCH(INDEX(상세표[사번키],$H110),합계표[사번키],0))="",""," ("&amp;INDEX(합계표[직급 공존],MATCH(INDEX(상세표[사번키],$H110),합계표[사번키],0))&amp;")"),"")="",INDEX(상세표[직위],$H110)&amp;"",IFERROR(INDEX(합계표[직위(요약)],MATCH(INDEX(상세표[사번키],$H110),합계표[사번키],0))&amp;IF(INDEX(합계표[직급 공존],MATCH(INDEX(상세표[사번키],$H110),합계표[사번키],0))="",""," ("&amp;INDEX(합계표[직급 공존],MATCH(INDEX(상세표[사번키],$H110),합계표[사번키],0))&amp;")"),"")))</f>
        <v/>
      </c>
      <c r="E110">
        <f>IF($H110="","",COUNTIFS(상세표[사번키],INDEX(상세표[사번키],$H110),상세표[기록월],대상월키))</f>
        <v/>
      </c>
      <c r="F110" s="20">
        <f>IF($H110="","",SUMIFS(상세표[기록 시간외],상세표[사번키],INDEX(상세표[사번키],$H110),상세표[기록월],대상월키))</f>
        <v/>
      </c>
      <c r="G110" s="20">
        <f>IF($H110="","",SUMIFS(합계표[시스템 합계],합계표[사번키],INDEX(상세표[사번키],$H110)))</f>
        <v/>
      </c>
      <c r="H110" s="4">
        <f>IFERROR(MATCH(105,상세표[발송인원순번],0),"")</f>
        <v/>
      </c>
      <c r="J110">
        <f>IF($U110="","",INDEX(상세표[사번],$U110)&amp;"")</f>
        <v/>
      </c>
      <c r="K110">
        <f>IF($U110="","",INDEX(상세표[성명],$U110)&amp;"")</f>
        <v/>
      </c>
      <c r="L110">
        <f>IF($U110="","",INDEX(상세표[직위],$U110)&amp;"")</f>
        <v/>
      </c>
      <c r="M110">
        <f>IF($U110="","",IF(ISNUMBER(INDEX(상세표[근무일자],$U110)),TEXT(INDEX(상세표[근무일자],$U110),"yyyy-mm-dd"),INDEX(상세표[근무일자],$U110)&amp;""))</f>
        <v/>
      </c>
      <c r="N110">
        <f>IF($U110="","",IF(ISNUMBER(INDEX(상세표[시작],$U110)),TEXT(INDEX(상세표[시작],$U110),"yyyy-mm-dd hh:mm"),INDEX(상세표[시작],$U110)&amp;""))</f>
        <v/>
      </c>
      <c r="O110">
        <f>IF($U110="","",IF(ISNUMBER(INDEX(상세표[종료],$U110)),TEXT(INDEX(상세표[종료],$U110),"yyyy-mm-dd hh:mm"),INDEX(상세표[종료],$U110)&amp;""))</f>
        <v/>
      </c>
      <c r="P110" s="20">
        <f>IF($U110="","",INDEX(상세표[06~07시],$U110))</f>
        <v/>
      </c>
      <c r="Q110" s="20">
        <f>IF($U110="","",INDEX(상세표[07~18시],$U110))</f>
        <v/>
      </c>
      <c r="R110" s="20">
        <f>IF($U110="","",INDEX(상세표[18~22시],$U110))</f>
        <v/>
      </c>
      <c r="S110" s="20">
        <f>IF($U110="","",INDEX(상세표[22~06시],$U110))</f>
        <v/>
      </c>
      <c r="T110" s="20">
        <f>IF($U110="","",INDEX(상세표[기록 시간외],$U110))</f>
        <v/>
      </c>
      <c r="U110" s="4">
        <f>IFERROR(MATCH(105,상세표[발송순번],0),"")</f>
        <v/>
      </c>
    </row>
    <row r="111">
      <c r="A111">
        <f>IF($H111="","",INDEX(상세표[사번],$H111)&amp;"")</f>
        <v/>
      </c>
      <c r="B111">
        <f>IF($H111="","",INDEX(상세표[성명],$H111)&amp;"")</f>
        <v/>
      </c>
      <c r="C111">
        <f>IF($H111="","",INDEX(상세표[부서],$H111)&amp;"")</f>
        <v/>
      </c>
      <c r="D111">
        <f>IF($H111="","",IF(IFERROR(INDEX(합계표[직위(요약)],MATCH(INDEX(상세표[사번키],$H111),합계표[사번키],0))&amp;IF(INDEX(합계표[직급 공존],MATCH(INDEX(상세표[사번키],$H111),합계표[사번키],0))="",""," ("&amp;INDEX(합계표[직급 공존],MATCH(INDEX(상세표[사번키],$H111),합계표[사번키],0))&amp;")"),"")="",INDEX(상세표[직위],$H111)&amp;"",IFERROR(INDEX(합계표[직위(요약)],MATCH(INDEX(상세표[사번키],$H111),합계표[사번키],0))&amp;IF(INDEX(합계표[직급 공존],MATCH(INDEX(상세표[사번키],$H111),합계표[사번키],0))="",""," ("&amp;INDEX(합계표[직급 공존],MATCH(INDEX(상세표[사번키],$H111),합계표[사번키],0))&amp;")"),"")))</f>
        <v/>
      </c>
      <c r="E111">
        <f>IF($H111="","",COUNTIFS(상세표[사번키],INDEX(상세표[사번키],$H111),상세표[기록월],대상월키))</f>
        <v/>
      </c>
      <c r="F111" s="20">
        <f>IF($H111="","",SUMIFS(상세표[기록 시간외],상세표[사번키],INDEX(상세표[사번키],$H111),상세표[기록월],대상월키))</f>
        <v/>
      </c>
      <c r="G111" s="20">
        <f>IF($H111="","",SUMIFS(합계표[시스템 합계],합계표[사번키],INDEX(상세표[사번키],$H111)))</f>
        <v/>
      </c>
      <c r="H111" s="4">
        <f>IFERROR(MATCH(106,상세표[발송인원순번],0),"")</f>
        <v/>
      </c>
      <c r="J111">
        <f>IF($U111="","",INDEX(상세표[사번],$U111)&amp;"")</f>
        <v/>
      </c>
      <c r="K111">
        <f>IF($U111="","",INDEX(상세표[성명],$U111)&amp;"")</f>
        <v/>
      </c>
      <c r="L111">
        <f>IF($U111="","",INDEX(상세표[직위],$U111)&amp;"")</f>
        <v/>
      </c>
      <c r="M111">
        <f>IF($U111="","",IF(ISNUMBER(INDEX(상세표[근무일자],$U111)),TEXT(INDEX(상세표[근무일자],$U111),"yyyy-mm-dd"),INDEX(상세표[근무일자],$U111)&amp;""))</f>
        <v/>
      </c>
      <c r="N111">
        <f>IF($U111="","",IF(ISNUMBER(INDEX(상세표[시작],$U111)),TEXT(INDEX(상세표[시작],$U111),"yyyy-mm-dd hh:mm"),INDEX(상세표[시작],$U111)&amp;""))</f>
        <v/>
      </c>
      <c r="O111">
        <f>IF($U111="","",IF(ISNUMBER(INDEX(상세표[종료],$U111)),TEXT(INDEX(상세표[종료],$U111),"yyyy-mm-dd hh:mm"),INDEX(상세표[종료],$U111)&amp;""))</f>
        <v/>
      </c>
      <c r="P111" s="20">
        <f>IF($U111="","",INDEX(상세표[06~07시],$U111))</f>
        <v/>
      </c>
      <c r="Q111" s="20">
        <f>IF($U111="","",INDEX(상세표[07~18시],$U111))</f>
        <v/>
      </c>
      <c r="R111" s="20">
        <f>IF($U111="","",INDEX(상세표[18~22시],$U111))</f>
        <v/>
      </c>
      <c r="S111" s="20">
        <f>IF($U111="","",INDEX(상세표[22~06시],$U111))</f>
        <v/>
      </c>
      <c r="T111" s="20">
        <f>IF($U111="","",INDEX(상세표[기록 시간외],$U111))</f>
        <v/>
      </c>
      <c r="U111" s="4">
        <f>IFERROR(MATCH(106,상세표[발송순번],0),"")</f>
        <v/>
      </c>
    </row>
    <row r="112">
      <c r="A112">
        <f>IF($H112="","",INDEX(상세표[사번],$H112)&amp;"")</f>
        <v/>
      </c>
      <c r="B112">
        <f>IF($H112="","",INDEX(상세표[성명],$H112)&amp;"")</f>
        <v/>
      </c>
      <c r="C112">
        <f>IF($H112="","",INDEX(상세표[부서],$H112)&amp;"")</f>
        <v/>
      </c>
      <c r="D112">
        <f>IF($H112="","",IF(IFERROR(INDEX(합계표[직위(요약)],MATCH(INDEX(상세표[사번키],$H112),합계표[사번키],0))&amp;IF(INDEX(합계표[직급 공존],MATCH(INDEX(상세표[사번키],$H112),합계표[사번키],0))="",""," ("&amp;INDEX(합계표[직급 공존],MATCH(INDEX(상세표[사번키],$H112),합계표[사번키],0))&amp;")"),"")="",INDEX(상세표[직위],$H112)&amp;"",IFERROR(INDEX(합계표[직위(요약)],MATCH(INDEX(상세표[사번키],$H112),합계표[사번키],0))&amp;IF(INDEX(합계표[직급 공존],MATCH(INDEX(상세표[사번키],$H112),합계표[사번키],0))="",""," ("&amp;INDEX(합계표[직급 공존],MATCH(INDEX(상세표[사번키],$H112),합계표[사번키],0))&amp;")"),"")))</f>
        <v/>
      </c>
      <c r="E112">
        <f>IF($H112="","",COUNTIFS(상세표[사번키],INDEX(상세표[사번키],$H112),상세표[기록월],대상월키))</f>
        <v/>
      </c>
      <c r="F112" s="20">
        <f>IF($H112="","",SUMIFS(상세표[기록 시간외],상세표[사번키],INDEX(상세표[사번키],$H112),상세표[기록월],대상월키))</f>
        <v/>
      </c>
      <c r="G112" s="20">
        <f>IF($H112="","",SUMIFS(합계표[시스템 합계],합계표[사번키],INDEX(상세표[사번키],$H112)))</f>
        <v/>
      </c>
      <c r="H112" s="4">
        <f>IFERROR(MATCH(107,상세표[발송인원순번],0),"")</f>
        <v/>
      </c>
      <c r="J112">
        <f>IF($U112="","",INDEX(상세표[사번],$U112)&amp;"")</f>
        <v/>
      </c>
      <c r="K112">
        <f>IF($U112="","",INDEX(상세표[성명],$U112)&amp;"")</f>
        <v/>
      </c>
      <c r="L112">
        <f>IF($U112="","",INDEX(상세표[직위],$U112)&amp;"")</f>
        <v/>
      </c>
      <c r="M112">
        <f>IF($U112="","",IF(ISNUMBER(INDEX(상세표[근무일자],$U112)),TEXT(INDEX(상세표[근무일자],$U112),"yyyy-mm-dd"),INDEX(상세표[근무일자],$U112)&amp;""))</f>
        <v/>
      </c>
      <c r="N112">
        <f>IF($U112="","",IF(ISNUMBER(INDEX(상세표[시작],$U112)),TEXT(INDEX(상세표[시작],$U112),"yyyy-mm-dd hh:mm"),INDEX(상세표[시작],$U112)&amp;""))</f>
        <v/>
      </c>
      <c r="O112">
        <f>IF($U112="","",IF(ISNUMBER(INDEX(상세표[종료],$U112)),TEXT(INDEX(상세표[종료],$U112),"yyyy-mm-dd hh:mm"),INDEX(상세표[종료],$U112)&amp;""))</f>
        <v/>
      </c>
      <c r="P112" s="20">
        <f>IF($U112="","",INDEX(상세표[06~07시],$U112))</f>
        <v/>
      </c>
      <c r="Q112" s="20">
        <f>IF($U112="","",INDEX(상세표[07~18시],$U112))</f>
        <v/>
      </c>
      <c r="R112" s="20">
        <f>IF($U112="","",INDEX(상세표[18~22시],$U112))</f>
        <v/>
      </c>
      <c r="S112" s="20">
        <f>IF($U112="","",INDEX(상세표[22~06시],$U112))</f>
        <v/>
      </c>
      <c r="T112" s="20">
        <f>IF($U112="","",INDEX(상세표[기록 시간외],$U112))</f>
        <v/>
      </c>
      <c r="U112" s="4">
        <f>IFERROR(MATCH(107,상세표[발송순번],0),"")</f>
        <v/>
      </c>
    </row>
    <row r="113">
      <c r="A113">
        <f>IF($H113="","",INDEX(상세표[사번],$H113)&amp;"")</f>
        <v/>
      </c>
      <c r="B113">
        <f>IF($H113="","",INDEX(상세표[성명],$H113)&amp;"")</f>
        <v/>
      </c>
      <c r="C113">
        <f>IF($H113="","",INDEX(상세표[부서],$H113)&amp;"")</f>
        <v/>
      </c>
      <c r="D113">
        <f>IF($H113="","",IF(IFERROR(INDEX(합계표[직위(요약)],MATCH(INDEX(상세표[사번키],$H113),합계표[사번키],0))&amp;IF(INDEX(합계표[직급 공존],MATCH(INDEX(상세표[사번키],$H113),합계표[사번키],0))="",""," ("&amp;INDEX(합계표[직급 공존],MATCH(INDEX(상세표[사번키],$H113),합계표[사번키],0))&amp;")"),"")="",INDEX(상세표[직위],$H113)&amp;"",IFERROR(INDEX(합계표[직위(요약)],MATCH(INDEX(상세표[사번키],$H113),합계표[사번키],0))&amp;IF(INDEX(합계표[직급 공존],MATCH(INDEX(상세표[사번키],$H113),합계표[사번키],0))="",""," ("&amp;INDEX(합계표[직급 공존],MATCH(INDEX(상세표[사번키],$H113),합계표[사번키],0))&amp;")"),"")))</f>
        <v/>
      </c>
      <c r="E113">
        <f>IF($H113="","",COUNTIFS(상세표[사번키],INDEX(상세표[사번키],$H113),상세표[기록월],대상월키))</f>
        <v/>
      </c>
      <c r="F113" s="20">
        <f>IF($H113="","",SUMIFS(상세표[기록 시간외],상세표[사번키],INDEX(상세표[사번키],$H113),상세표[기록월],대상월키))</f>
        <v/>
      </c>
      <c r="G113" s="20">
        <f>IF($H113="","",SUMIFS(합계표[시스템 합계],합계표[사번키],INDEX(상세표[사번키],$H113)))</f>
        <v/>
      </c>
      <c r="H113" s="4">
        <f>IFERROR(MATCH(108,상세표[발송인원순번],0),"")</f>
        <v/>
      </c>
      <c r="J113">
        <f>IF($U113="","",INDEX(상세표[사번],$U113)&amp;"")</f>
        <v/>
      </c>
      <c r="K113">
        <f>IF($U113="","",INDEX(상세표[성명],$U113)&amp;"")</f>
        <v/>
      </c>
      <c r="L113">
        <f>IF($U113="","",INDEX(상세표[직위],$U113)&amp;"")</f>
        <v/>
      </c>
      <c r="M113">
        <f>IF($U113="","",IF(ISNUMBER(INDEX(상세표[근무일자],$U113)),TEXT(INDEX(상세표[근무일자],$U113),"yyyy-mm-dd"),INDEX(상세표[근무일자],$U113)&amp;""))</f>
        <v/>
      </c>
      <c r="N113">
        <f>IF($U113="","",IF(ISNUMBER(INDEX(상세표[시작],$U113)),TEXT(INDEX(상세표[시작],$U113),"yyyy-mm-dd hh:mm"),INDEX(상세표[시작],$U113)&amp;""))</f>
        <v/>
      </c>
      <c r="O113">
        <f>IF($U113="","",IF(ISNUMBER(INDEX(상세표[종료],$U113)),TEXT(INDEX(상세표[종료],$U113),"yyyy-mm-dd hh:mm"),INDEX(상세표[종료],$U113)&amp;""))</f>
        <v/>
      </c>
      <c r="P113" s="20">
        <f>IF($U113="","",INDEX(상세표[06~07시],$U113))</f>
        <v/>
      </c>
      <c r="Q113" s="20">
        <f>IF($U113="","",INDEX(상세표[07~18시],$U113))</f>
        <v/>
      </c>
      <c r="R113" s="20">
        <f>IF($U113="","",INDEX(상세표[18~22시],$U113))</f>
        <v/>
      </c>
      <c r="S113" s="20">
        <f>IF($U113="","",INDEX(상세표[22~06시],$U113))</f>
        <v/>
      </c>
      <c r="T113" s="20">
        <f>IF($U113="","",INDEX(상세표[기록 시간외],$U113))</f>
        <v/>
      </c>
      <c r="U113" s="4">
        <f>IFERROR(MATCH(108,상세표[발송순번],0),"")</f>
        <v/>
      </c>
    </row>
    <row r="114">
      <c r="A114">
        <f>IF($H114="","",INDEX(상세표[사번],$H114)&amp;"")</f>
        <v/>
      </c>
      <c r="B114">
        <f>IF($H114="","",INDEX(상세표[성명],$H114)&amp;"")</f>
        <v/>
      </c>
      <c r="C114">
        <f>IF($H114="","",INDEX(상세표[부서],$H114)&amp;"")</f>
        <v/>
      </c>
      <c r="D114">
        <f>IF($H114="","",IF(IFERROR(INDEX(합계표[직위(요약)],MATCH(INDEX(상세표[사번키],$H114),합계표[사번키],0))&amp;IF(INDEX(합계표[직급 공존],MATCH(INDEX(상세표[사번키],$H114),합계표[사번키],0))="",""," ("&amp;INDEX(합계표[직급 공존],MATCH(INDEX(상세표[사번키],$H114),합계표[사번키],0))&amp;")"),"")="",INDEX(상세표[직위],$H114)&amp;"",IFERROR(INDEX(합계표[직위(요약)],MATCH(INDEX(상세표[사번키],$H114),합계표[사번키],0))&amp;IF(INDEX(합계표[직급 공존],MATCH(INDEX(상세표[사번키],$H114),합계표[사번키],0))="",""," ("&amp;INDEX(합계표[직급 공존],MATCH(INDEX(상세표[사번키],$H114),합계표[사번키],0))&amp;")"),"")))</f>
        <v/>
      </c>
      <c r="E114">
        <f>IF($H114="","",COUNTIFS(상세표[사번키],INDEX(상세표[사번키],$H114),상세표[기록월],대상월키))</f>
        <v/>
      </c>
      <c r="F114" s="20">
        <f>IF($H114="","",SUMIFS(상세표[기록 시간외],상세표[사번키],INDEX(상세표[사번키],$H114),상세표[기록월],대상월키))</f>
        <v/>
      </c>
      <c r="G114" s="20">
        <f>IF($H114="","",SUMIFS(합계표[시스템 합계],합계표[사번키],INDEX(상세표[사번키],$H114)))</f>
        <v/>
      </c>
      <c r="H114" s="4">
        <f>IFERROR(MATCH(109,상세표[발송인원순번],0),"")</f>
        <v/>
      </c>
      <c r="J114">
        <f>IF($U114="","",INDEX(상세표[사번],$U114)&amp;"")</f>
        <v/>
      </c>
      <c r="K114">
        <f>IF($U114="","",INDEX(상세표[성명],$U114)&amp;"")</f>
        <v/>
      </c>
      <c r="L114">
        <f>IF($U114="","",INDEX(상세표[직위],$U114)&amp;"")</f>
        <v/>
      </c>
      <c r="M114">
        <f>IF($U114="","",IF(ISNUMBER(INDEX(상세표[근무일자],$U114)),TEXT(INDEX(상세표[근무일자],$U114),"yyyy-mm-dd"),INDEX(상세표[근무일자],$U114)&amp;""))</f>
        <v/>
      </c>
      <c r="N114">
        <f>IF($U114="","",IF(ISNUMBER(INDEX(상세표[시작],$U114)),TEXT(INDEX(상세표[시작],$U114),"yyyy-mm-dd hh:mm"),INDEX(상세표[시작],$U114)&amp;""))</f>
        <v/>
      </c>
      <c r="O114">
        <f>IF($U114="","",IF(ISNUMBER(INDEX(상세표[종료],$U114)),TEXT(INDEX(상세표[종료],$U114),"yyyy-mm-dd hh:mm"),INDEX(상세표[종료],$U114)&amp;""))</f>
        <v/>
      </c>
      <c r="P114" s="20">
        <f>IF($U114="","",INDEX(상세표[06~07시],$U114))</f>
        <v/>
      </c>
      <c r="Q114" s="20">
        <f>IF($U114="","",INDEX(상세표[07~18시],$U114))</f>
        <v/>
      </c>
      <c r="R114" s="20">
        <f>IF($U114="","",INDEX(상세표[18~22시],$U114))</f>
        <v/>
      </c>
      <c r="S114" s="20">
        <f>IF($U114="","",INDEX(상세표[22~06시],$U114))</f>
        <v/>
      </c>
      <c r="T114" s="20">
        <f>IF($U114="","",INDEX(상세표[기록 시간외],$U114))</f>
        <v/>
      </c>
      <c r="U114" s="4">
        <f>IFERROR(MATCH(109,상세표[발송순번],0),"")</f>
        <v/>
      </c>
    </row>
    <row r="115">
      <c r="A115">
        <f>IF($H115="","",INDEX(상세표[사번],$H115)&amp;"")</f>
        <v/>
      </c>
      <c r="B115">
        <f>IF($H115="","",INDEX(상세표[성명],$H115)&amp;"")</f>
        <v/>
      </c>
      <c r="C115">
        <f>IF($H115="","",INDEX(상세표[부서],$H115)&amp;"")</f>
        <v/>
      </c>
      <c r="D115">
        <f>IF($H115="","",IF(IFERROR(INDEX(합계표[직위(요약)],MATCH(INDEX(상세표[사번키],$H115),합계표[사번키],0))&amp;IF(INDEX(합계표[직급 공존],MATCH(INDEX(상세표[사번키],$H115),합계표[사번키],0))="",""," ("&amp;INDEX(합계표[직급 공존],MATCH(INDEX(상세표[사번키],$H115),합계표[사번키],0))&amp;")"),"")="",INDEX(상세표[직위],$H115)&amp;"",IFERROR(INDEX(합계표[직위(요약)],MATCH(INDEX(상세표[사번키],$H115),합계표[사번키],0))&amp;IF(INDEX(합계표[직급 공존],MATCH(INDEX(상세표[사번키],$H115),합계표[사번키],0))="",""," ("&amp;INDEX(합계표[직급 공존],MATCH(INDEX(상세표[사번키],$H115),합계표[사번키],0))&amp;")"),"")))</f>
        <v/>
      </c>
      <c r="E115">
        <f>IF($H115="","",COUNTIFS(상세표[사번키],INDEX(상세표[사번키],$H115),상세표[기록월],대상월키))</f>
        <v/>
      </c>
      <c r="F115" s="20">
        <f>IF($H115="","",SUMIFS(상세표[기록 시간외],상세표[사번키],INDEX(상세표[사번키],$H115),상세표[기록월],대상월키))</f>
        <v/>
      </c>
      <c r="G115" s="20">
        <f>IF($H115="","",SUMIFS(합계표[시스템 합계],합계표[사번키],INDEX(상세표[사번키],$H115)))</f>
        <v/>
      </c>
      <c r="H115" s="4">
        <f>IFERROR(MATCH(110,상세표[발송인원순번],0),"")</f>
        <v/>
      </c>
      <c r="J115">
        <f>IF($U115="","",INDEX(상세표[사번],$U115)&amp;"")</f>
        <v/>
      </c>
      <c r="K115">
        <f>IF($U115="","",INDEX(상세표[성명],$U115)&amp;"")</f>
        <v/>
      </c>
      <c r="L115">
        <f>IF($U115="","",INDEX(상세표[직위],$U115)&amp;"")</f>
        <v/>
      </c>
      <c r="M115">
        <f>IF($U115="","",IF(ISNUMBER(INDEX(상세표[근무일자],$U115)),TEXT(INDEX(상세표[근무일자],$U115),"yyyy-mm-dd"),INDEX(상세표[근무일자],$U115)&amp;""))</f>
        <v/>
      </c>
      <c r="N115">
        <f>IF($U115="","",IF(ISNUMBER(INDEX(상세표[시작],$U115)),TEXT(INDEX(상세표[시작],$U115),"yyyy-mm-dd hh:mm"),INDEX(상세표[시작],$U115)&amp;""))</f>
        <v/>
      </c>
      <c r="O115">
        <f>IF($U115="","",IF(ISNUMBER(INDEX(상세표[종료],$U115)),TEXT(INDEX(상세표[종료],$U115),"yyyy-mm-dd hh:mm"),INDEX(상세표[종료],$U115)&amp;""))</f>
        <v/>
      </c>
      <c r="P115" s="20">
        <f>IF($U115="","",INDEX(상세표[06~07시],$U115))</f>
        <v/>
      </c>
      <c r="Q115" s="20">
        <f>IF($U115="","",INDEX(상세표[07~18시],$U115))</f>
        <v/>
      </c>
      <c r="R115" s="20">
        <f>IF($U115="","",INDEX(상세표[18~22시],$U115))</f>
        <v/>
      </c>
      <c r="S115" s="20">
        <f>IF($U115="","",INDEX(상세표[22~06시],$U115))</f>
        <v/>
      </c>
      <c r="T115" s="20">
        <f>IF($U115="","",INDEX(상세표[기록 시간외],$U115))</f>
        <v/>
      </c>
      <c r="U115" s="4">
        <f>IFERROR(MATCH(110,상세표[발송순번],0),"")</f>
        <v/>
      </c>
    </row>
    <row r="116">
      <c r="A116">
        <f>IF($H116="","",INDEX(상세표[사번],$H116)&amp;"")</f>
        <v/>
      </c>
      <c r="B116">
        <f>IF($H116="","",INDEX(상세표[성명],$H116)&amp;"")</f>
        <v/>
      </c>
      <c r="C116">
        <f>IF($H116="","",INDEX(상세표[부서],$H116)&amp;"")</f>
        <v/>
      </c>
      <c r="D116">
        <f>IF($H116="","",IF(IFERROR(INDEX(합계표[직위(요약)],MATCH(INDEX(상세표[사번키],$H116),합계표[사번키],0))&amp;IF(INDEX(합계표[직급 공존],MATCH(INDEX(상세표[사번키],$H116),합계표[사번키],0))="",""," ("&amp;INDEX(합계표[직급 공존],MATCH(INDEX(상세표[사번키],$H116),합계표[사번키],0))&amp;")"),"")="",INDEX(상세표[직위],$H116)&amp;"",IFERROR(INDEX(합계표[직위(요약)],MATCH(INDEX(상세표[사번키],$H116),합계표[사번키],0))&amp;IF(INDEX(합계표[직급 공존],MATCH(INDEX(상세표[사번키],$H116),합계표[사번키],0))="",""," ("&amp;INDEX(합계표[직급 공존],MATCH(INDEX(상세표[사번키],$H116),합계표[사번키],0))&amp;")"),"")))</f>
        <v/>
      </c>
      <c r="E116">
        <f>IF($H116="","",COUNTIFS(상세표[사번키],INDEX(상세표[사번키],$H116),상세표[기록월],대상월키))</f>
        <v/>
      </c>
      <c r="F116" s="20">
        <f>IF($H116="","",SUMIFS(상세표[기록 시간외],상세표[사번키],INDEX(상세표[사번키],$H116),상세표[기록월],대상월키))</f>
        <v/>
      </c>
      <c r="G116" s="20">
        <f>IF($H116="","",SUMIFS(합계표[시스템 합계],합계표[사번키],INDEX(상세표[사번키],$H116)))</f>
        <v/>
      </c>
      <c r="H116" s="4">
        <f>IFERROR(MATCH(111,상세표[발송인원순번],0),"")</f>
        <v/>
      </c>
      <c r="J116">
        <f>IF($U116="","",INDEX(상세표[사번],$U116)&amp;"")</f>
        <v/>
      </c>
      <c r="K116">
        <f>IF($U116="","",INDEX(상세표[성명],$U116)&amp;"")</f>
        <v/>
      </c>
      <c r="L116">
        <f>IF($U116="","",INDEX(상세표[직위],$U116)&amp;"")</f>
        <v/>
      </c>
      <c r="M116">
        <f>IF($U116="","",IF(ISNUMBER(INDEX(상세표[근무일자],$U116)),TEXT(INDEX(상세표[근무일자],$U116),"yyyy-mm-dd"),INDEX(상세표[근무일자],$U116)&amp;""))</f>
        <v/>
      </c>
      <c r="N116">
        <f>IF($U116="","",IF(ISNUMBER(INDEX(상세표[시작],$U116)),TEXT(INDEX(상세표[시작],$U116),"yyyy-mm-dd hh:mm"),INDEX(상세표[시작],$U116)&amp;""))</f>
        <v/>
      </c>
      <c r="O116">
        <f>IF($U116="","",IF(ISNUMBER(INDEX(상세표[종료],$U116)),TEXT(INDEX(상세표[종료],$U116),"yyyy-mm-dd hh:mm"),INDEX(상세표[종료],$U116)&amp;""))</f>
        <v/>
      </c>
      <c r="P116" s="20">
        <f>IF($U116="","",INDEX(상세표[06~07시],$U116))</f>
        <v/>
      </c>
      <c r="Q116" s="20">
        <f>IF($U116="","",INDEX(상세표[07~18시],$U116))</f>
        <v/>
      </c>
      <c r="R116" s="20">
        <f>IF($U116="","",INDEX(상세표[18~22시],$U116))</f>
        <v/>
      </c>
      <c r="S116" s="20">
        <f>IF($U116="","",INDEX(상세표[22~06시],$U116))</f>
        <v/>
      </c>
      <c r="T116" s="20">
        <f>IF($U116="","",INDEX(상세표[기록 시간외],$U116))</f>
        <v/>
      </c>
      <c r="U116" s="4">
        <f>IFERROR(MATCH(111,상세표[발송순번],0),"")</f>
        <v/>
      </c>
    </row>
    <row r="117">
      <c r="A117">
        <f>IF($H117="","",INDEX(상세표[사번],$H117)&amp;"")</f>
        <v/>
      </c>
      <c r="B117">
        <f>IF($H117="","",INDEX(상세표[성명],$H117)&amp;"")</f>
        <v/>
      </c>
      <c r="C117">
        <f>IF($H117="","",INDEX(상세표[부서],$H117)&amp;"")</f>
        <v/>
      </c>
      <c r="D117">
        <f>IF($H117="","",IF(IFERROR(INDEX(합계표[직위(요약)],MATCH(INDEX(상세표[사번키],$H117),합계표[사번키],0))&amp;IF(INDEX(합계표[직급 공존],MATCH(INDEX(상세표[사번키],$H117),합계표[사번키],0))="",""," ("&amp;INDEX(합계표[직급 공존],MATCH(INDEX(상세표[사번키],$H117),합계표[사번키],0))&amp;")"),"")="",INDEX(상세표[직위],$H117)&amp;"",IFERROR(INDEX(합계표[직위(요약)],MATCH(INDEX(상세표[사번키],$H117),합계표[사번키],0))&amp;IF(INDEX(합계표[직급 공존],MATCH(INDEX(상세표[사번키],$H117),합계표[사번키],0))="",""," ("&amp;INDEX(합계표[직급 공존],MATCH(INDEX(상세표[사번키],$H117),합계표[사번키],0))&amp;")"),"")))</f>
        <v/>
      </c>
      <c r="E117">
        <f>IF($H117="","",COUNTIFS(상세표[사번키],INDEX(상세표[사번키],$H117),상세표[기록월],대상월키))</f>
        <v/>
      </c>
      <c r="F117" s="20">
        <f>IF($H117="","",SUMIFS(상세표[기록 시간외],상세표[사번키],INDEX(상세표[사번키],$H117),상세표[기록월],대상월키))</f>
        <v/>
      </c>
      <c r="G117" s="20">
        <f>IF($H117="","",SUMIFS(합계표[시스템 합계],합계표[사번키],INDEX(상세표[사번키],$H117)))</f>
        <v/>
      </c>
      <c r="H117" s="4">
        <f>IFERROR(MATCH(112,상세표[발송인원순번],0),"")</f>
        <v/>
      </c>
      <c r="J117">
        <f>IF($U117="","",INDEX(상세표[사번],$U117)&amp;"")</f>
        <v/>
      </c>
      <c r="K117">
        <f>IF($U117="","",INDEX(상세표[성명],$U117)&amp;"")</f>
        <v/>
      </c>
      <c r="L117">
        <f>IF($U117="","",INDEX(상세표[직위],$U117)&amp;"")</f>
        <v/>
      </c>
      <c r="M117">
        <f>IF($U117="","",IF(ISNUMBER(INDEX(상세표[근무일자],$U117)),TEXT(INDEX(상세표[근무일자],$U117),"yyyy-mm-dd"),INDEX(상세표[근무일자],$U117)&amp;""))</f>
        <v/>
      </c>
      <c r="N117">
        <f>IF($U117="","",IF(ISNUMBER(INDEX(상세표[시작],$U117)),TEXT(INDEX(상세표[시작],$U117),"yyyy-mm-dd hh:mm"),INDEX(상세표[시작],$U117)&amp;""))</f>
        <v/>
      </c>
      <c r="O117">
        <f>IF($U117="","",IF(ISNUMBER(INDEX(상세표[종료],$U117)),TEXT(INDEX(상세표[종료],$U117),"yyyy-mm-dd hh:mm"),INDEX(상세표[종료],$U117)&amp;""))</f>
        <v/>
      </c>
      <c r="P117" s="20">
        <f>IF($U117="","",INDEX(상세표[06~07시],$U117))</f>
        <v/>
      </c>
      <c r="Q117" s="20">
        <f>IF($U117="","",INDEX(상세표[07~18시],$U117))</f>
        <v/>
      </c>
      <c r="R117" s="20">
        <f>IF($U117="","",INDEX(상세표[18~22시],$U117))</f>
        <v/>
      </c>
      <c r="S117" s="20">
        <f>IF($U117="","",INDEX(상세표[22~06시],$U117))</f>
        <v/>
      </c>
      <c r="T117" s="20">
        <f>IF($U117="","",INDEX(상세표[기록 시간외],$U117))</f>
        <v/>
      </c>
      <c r="U117" s="4">
        <f>IFERROR(MATCH(112,상세표[발송순번],0),"")</f>
        <v/>
      </c>
    </row>
    <row r="118">
      <c r="A118">
        <f>IF($H118="","",INDEX(상세표[사번],$H118)&amp;"")</f>
        <v/>
      </c>
      <c r="B118">
        <f>IF($H118="","",INDEX(상세표[성명],$H118)&amp;"")</f>
        <v/>
      </c>
      <c r="C118">
        <f>IF($H118="","",INDEX(상세표[부서],$H118)&amp;"")</f>
        <v/>
      </c>
      <c r="D118">
        <f>IF($H118="","",IF(IFERROR(INDEX(합계표[직위(요약)],MATCH(INDEX(상세표[사번키],$H118),합계표[사번키],0))&amp;IF(INDEX(합계표[직급 공존],MATCH(INDEX(상세표[사번키],$H118),합계표[사번키],0))="",""," ("&amp;INDEX(합계표[직급 공존],MATCH(INDEX(상세표[사번키],$H118),합계표[사번키],0))&amp;")"),"")="",INDEX(상세표[직위],$H118)&amp;"",IFERROR(INDEX(합계표[직위(요약)],MATCH(INDEX(상세표[사번키],$H118),합계표[사번키],0))&amp;IF(INDEX(합계표[직급 공존],MATCH(INDEX(상세표[사번키],$H118),합계표[사번키],0))="",""," ("&amp;INDEX(합계표[직급 공존],MATCH(INDEX(상세표[사번키],$H118),합계표[사번키],0))&amp;")"),"")))</f>
        <v/>
      </c>
      <c r="E118">
        <f>IF($H118="","",COUNTIFS(상세표[사번키],INDEX(상세표[사번키],$H118),상세표[기록월],대상월키))</f>
        <v/>
      </c>
      <c r="F118" s="20">
        <f>IF($H118="","",SUMIFS(상세표[기록 시간외],상세표[사번키],INDEX(상세표[사번키],$H118),상세표[기록월],대상월키))</f>
        <v/>
      </c>
      <c r="G118" s="20">
        <f>IF($H118="","",SUMIFS(합계표[시스템 합계],합계표[사번키],INDEX(상세표[사번키],$H118)))</f>
        <v/>
      </c>
      <c r="H118" s="4">
        <f>IFERROR(MATCH(113,상세표[발송인원순번],0),"")</f>
        <v/>
      </c>
      <c r="J118">
        <f>IF($U118="","",INDEX(상세표[사번],$U118)&amp;"")</f>
        <v/>
      </c>
      <c r="K118">
        <f>IF($U118="","",INDEX(상세표[성명],$U118)&amp;"")</f>
        <v/>
      </c>
      <c r="L118">
        <f>IF($U118="","",INDEX(상세표[직위],$U118)&amp;"")</f>
        <v/>
      </c>
      <c r="M118">
        <f>IF($U118="","",IF(ISNUMBER(INDEX(상세표[근무일자],$U118)),TEXT(INDEX(상세표[근무일자],$U118),"yyyy-mm-dd"),INDEX(상세표[근무일자],$U118)&amp;""))</f>
        <v/>
      </c>
      <c r="N118">
        <f>IF($U118="","",IF(ISNUMBER(INDEX(상세표[시작],$U118)),TEXT(INDEX(상세표[시작],$U118),"yyyy-mm-dd hh:mm"),INDEX(상세표[시작],$U118)&amp;""))</f>
        <v/>
      </c>
      <c r="O118">
        <f>IF($U118="","",IF(ISNUMBER(INDEX(상세표[종료],$U118)),TEXT(INDEX(상세표[종료],$U118),"yyyy-mm-dd hh:mm"),INDEX(상세표[종료],$U118)&amp;""))</f>
        <v/>
      </c>
      <c r="P118" s="20">
        <f>IF($U118="","",INDEX(상세표[06~07시],$U118))</f>
        <v/>
      </c>
      <c r="Q118" s="20">
        <f>IF($U118="","",INDEX(상세표[07~18시],$U118))</f>
        <v/>
      </c>
      <c r="R118" s="20">
        <f>IF($U118="","",INDEX(상세표[18~22시],$U118))</f>
        <v/>
      </c>
      <c r="S118" s="20">
        <f>IF($U118="","",INDEX(상세표[22~06시],$U118))</f>
        <v/>
      </c>
      <c r="T118" s="20">
        <f>IF($U118="","",INDEX(상세표[기록 시간외],$U118))</f>
        <v/>
      </c>
      <c r="U118" s="4">
        <f>IFERROR(MATCH(113,상세표[발송순번],0),"")</f>
        <v/>
      </c>
    </row>
    <row r="119">
      <c r="A119">
        <f>IF($H119="","",INDEX(상세표[사번],$H119)&amp;"")</f>
        <v/>
      </c>
      <c r="B119">
        <f>IF($H119="","",INDEX(상세표[성명],$H119)&amp;"")</f>
        <v/>
      </c>
      <c r="C119">
        <f>IF($H119="","",INDEX(상세표[부서],$H119)&amp;"")</f>
        <v/>
      </c>
      <c r="D119">
        <f>IF($H119="","",IF(IFERROR(INDEX(합계표[직위(요약)],MATCH(INDEX(상세표[사번키],$H119),합계표[사번키],0))&amp;IF(INDEX(합계표[직급 공존],MATCH(INDEX(상세표[사번키],$H119),합계표[사번키],0))="",""," ("&amp;INDEX(합계표[직급 공존],MATCH(INDEX(상세표[사번키],$H119),합계표[사번키],0))&amp;")"),"")="",INDEX(상세표[직위],$H119)&amp;"",IFERROR(INDEX(합계표[직위(요약)],MATCH(INDEX(상세표[사번키],$H119),합계표[사번키],0))&amp;IF(INDEX(합계표[직급 공존],MATCH(INDEX(상세표[사번키],$H119),합계표[사번키],0))="",""," ("&amp;INDEX(합계표[직급 공존],MATCH(INDEX(상세표[사번키],$H119),합계표[사번키],0))&amp;")"),"")))</f>
        <v/>
      </c>
      <c r="E119">
        <f>IF($H119="","",COUNTIFS(상세표[사번키],INDEX(상세표[사번키],$H119),상세표[기록월],대상월키))</f>
        <v/>
      </c>
      <c r="F119" s="20">
        <f>IF($H119="","",SUMIFS(상세표[기록 시간외],상세표[사번키],INDEX(상세표[사번키],$H119),상세표[기록월],대상월키))</f>
        <v/>
      </c>
      <c r="G119" s="20">
        <f>IF($H119="","",SUMIFS(합계표[시스템 합계],합계표[사번키],INDEX(상세표[사번키],$H119)))</f>
        <v/>
      </c>
      <c r="H119" s="4">
        <f>IFERROR(MATCH(114,상세표[발송인원순번],0),"")</f>
        <v/>
      </c>
      <c r="J119">
        <f>IF($U119="","",INDEX(상세표[사번],$U119)&amp;"")</f>
        <v/>
      </c>
      <c r="K119">
        <f>IF($U119="","",INDEX(상세표[성명],$U119)&amp;"")</f>
        <v/>
      </c>
      <c r="L119">
        <f>IF($U119="","",INDEX(상세표[직위],$U119)&amp;"")</f>
        <v/>
      </c>
      <c r="M119">
        <f>IF($U119="","",IF(ISNUMBER(INDEX(상세표[근무일자],$U119)),TEXT(INDEX(상세표[근무일자],$U119),"yyyy-mm-dd"),INDEX(상세표[근무일자],$U119)&amp;""))</f>
        <v/>
      </c>
      <c r="N119">
        <f>IF($U119="","",IF(ISNUMBER(INDEX(상세표[시작],$U119)),TEXT(INDEX(상세표[시작],$U119),"yyyy-mm-dd hh:mm"),INDEX(상세표[시작],$U119)&amp;""))</f>
        <v/>
      </c>
      <c r="O119">
        <f>IF($U119="","",IF(ISNUMBER(INDEX(상세표[종료],$U119)),TEXT(INDEX(상세표[종료],$U119),"yyyy-mm-dd hh:mm"),INDEX(상세표[종료],$U119)&amp;""))</f>
        <v/>
      </c>
      <c r="P119" s="20">
        <f>IF($U119="","",INDEX(상세표[06~07시],$U119))</f>
        <v/>
      </c>
      <c r="Q119" s="20">
        <f>IF($U119="","",INDEX(상세표[07~18시],$U119))</f>
        <v/>
      </c>
      <c r="R119" s="20">
        <f>IF($U119="","",INDEX(상세표[18~22시],$U119))</f>
        <v/>
      </c>
      <c r="S119" s="20">
        <f>IF($U119="","",INDEX(상세표[22~06시],$U119))</f>
        <v/>
      </c>
      <c r="T119" s="20">
        <f>IF($U119="","",INDEX(상세표[기록 시간외],$U119))</f>
        <v/>
      </c>
      <c r="U119" s="4">
        <f>IFERROR(MATCH(114,상세표[발송순번],0),"")</f>
        <v/>
      </c>
    </row>
    <row r="120">
      <c r="A120">
        <f>IF($H120="","",INDEX(상세표[사번],$H120)&amp;"")</f>
        <v/>
      </c>
      <c r="B120">
        <f>IF($H120="","",INDEX(상세표[성명],$H120)&amp;"")</f>
        <v/>
      </c>
      <c r="C120">
        <f>IF($H120="","",INDEX(상세표[부서],$H120)&amp;"")</f>
        <v/>
      </c>
      <c r="D120">
        <f>IF($H120="","",IF(IFERROR(INDEX(합계표[직위(요약)],MATCH(INDEX(상세표[사번키],$H120),합계표[사번키],0))&amp;IF(INDEX(합계표[직급 공존],MATCH(INDEX(상세표[사번키],$H120),합계표[사번키],0))="",""," ("&amp;INDEX(합계표[직급 공존],MATCH(INDEX(상세표[사번키],$H120),합계표[사번키],0))&amp;")"),"")="",INDEX(상세표[직위],$H120)&amp;"",IFERROR(INDEX(합계표[직위(요약)],MATCH(INDEX(상세표[사번키],$H120),합계표[사번키],0))&amp;IF(INDEX(합계표[직급 공존],MATCH(INDEX(상세표[사번키],$H120),합계표[사번키],0))="",""," ("&amp;INDEX(합계표[직급 공존],MATCH(INDEX(상세표[사번키],$H120),합계표[사번키],0))&amp;")"),"")))</f>
        <v/>
      </c>
      <c r="E120">
        <f>IF($H120="","",COUNTIFS(상세표[사번키],INDEX(상세표[사번키],$H120),상세표[기록월],대상월키))</f>
        <v/>
      </c>
      <c r="F120" s="20">
        <f>IF($H120="","",SUMIFS(상세표[기록 시간외],상세표[사번키],INDEX(상세표[사번키],$H120),상세표[기록월],대상월키))</f>
        <v/>
      </c>
      <c r="G120" s="20">
        <f>IF($H120="","",SUMIFS(합계표[시스템 합계],합계표[사번키],INDEX(상세표[사번키],$H120)))</f>
        <v/>
      </c>
      <c r="H120" s="4">
        <f>IFERROR(MATCH(115,상세표[발송인원순번],0),"")</f>
        <v/>
      </c>
      <c r="J120">
        <f>IF($U120="","",INDEX(상세표[사번],$U120)&amp;"")</f>
        <v/>
      </c>
      <c r="K120">
        <f>IF($U120="","",INDEX(상세표[성명],$U120)&amp;"")</f>
        <v/>
      </c>
      <c r="L120">
        <f>IF($U120="","",INDEX(상세표[직위],$U120)&amp;"")</f>
        <v/>
      </c>
      <c r="M120">
        <f>IF($U120="","",IF(ISNUMBER(INDEX(상세표[근무일자],$U120)),TEXT(INDEX(상세표[근무일자],$U120),"yyyy-mm-dd"),INDEX(상세표[근무일자],$U120)&amp;""))</f>
        <v/>
      </c>
      <c r="N120">
        <f>IF($U120="","",IF(ISNUMBER(INDEX(상세표[시작],$U120)),TEXT(INDEX(상세표[시작],$U120),"yyyy-mm-dd hh:mm"),INDEX(상세표[시작],$U120)&amp;""))</f>
        <v/>
      </c>
      <c r="O120">
        <f>IF($U120="","",IF(ISNUMBER(INDEX(상세표[종료],$U120)),TEXT(INDEX(상세표[종료],$U120),"yyyy-mm-dd hh:mm"),INDEX(상세표[종료],$U120)&amp;""))</f>
        <v/>
      </c>
      <c r="P120" s="20">
        <f>IF($U120="","",INDEX(상세표[06~07시],$U120))</f>
        <v/>
      </c>
      <c r="Q120" s="20">
        <f>IF($U120="","",INDEX(상세표[07~18시],$U120))</f>
        <v/>
      </c>
      <c r="R120" s="20">
        <f>IF($U120="","",INDEX(상세표[18~22시],$U120))</f>
        <v/>
      </c>
      <c r="S120" s="20">
        <f>IF($U120="","",INDEX(상세표[22~06시],$U120))</f>
        <v/>
      </c>
      <c r="T120" s="20">
        <f>IF($U120="","",INDEX(상세표[기록 시간외],$U120))</f>
        <v/>
      </c>
      <c r="U120" s="4">
        <f>IFERROR(MATCH(115,상세표[발송순번],0),"")</f>
        <v/>
      </c>
    </row>
    <row r="121">
      <c r="A121">
        <f>IF($H121="","",INDEX(상세표[사번],$H121)&amp;"")</f>
        <v/>
      </c>
      <c r="B121">
        <f>IF($H121="","",INDEX(상세표[성명],$H121)&amp;"")</f>
        <v/>
      </c>
      <c r="C121">
        <f>IF($H121="","",INDEX(상세표[부서],$H121)&amp;"")</f>
        <v/>
      </c>
      <c r="D121">
        <f>IF($H121="","",IF(IFERROR(INDEX(합계표[직위(요약)],MATCH(INDEX(상세표[사번키],$H121),합계표[사번키],0))&amp;IF(INDEX(합계표[직급 공존],MATCH(INDEX(상세표[사번키],$H121),합계표[사번키],0))="",""," ("&amp;INDEX(합계표[직급 공존],MATCH(INDEX(상세표[사번키],$H121),합계표[사번키],0))&amp;")"),"")="",INDEX(상세표[직위],$H121)&amp;"",IFERROR(INDEX(합계표[직위(요약)],MATCH(INDEX(상세표[사번키],$H121),합계표[사번키],0))&amp;IF(INDEX(합계표[직급 공존],MATCH(INDEX(상세표[사번키],$H121),합계표[사번키],0))="",""," ("&amp;INDEX(합계표[직급 공존],MATCH(INDEX(상세표[사번키],$H121),합계표[사번키],0))&amp;")"),"")))</f>
        <v/>
      </c>
      <c r="E121">
        <f>IF($H121="","",COUNTIFS(상세표[사번키],INDEX(상세표[사번키],$H121),상세표[기록월],대상월키))</f>
        <v/>
      </c>
      <c r="F121" s="20">
        <f>IF($H121="","",SUMIFS(상세표[기록 시간외],상세표[사번키],INDEX(상세표[사번키],$H121),상세표[기록월],대상월키))</f>
        <v/>
      </c>
      <c r="G121" s="20">
        <f>IF($H121="","",SUMIFS(합계표[시스템 합계],합계표[사번키],INDEX(상세표[사번키],$H121)))</f>
        <v/>
      </c>
      <c r="H121" s="4">
        <f>IFERROR(MATCH(116,상세표[발송인원순번],0),"")</f>
        <v/>
      </c>
      <c r="J121">
        <f>IF($U121="","",INDEX(상세표[사번],$U121)&amp;"")</f>
        <v/>
      </c>
      <c r="K121">
        <f>IF($U121="","",INDEX(상세표[성명],$U121)&amp;"")</f>
        <v/>
      </c>
      <c r="L121">
        <f>IF($U121="","",INDEX(상세표[직위],$U121)&amp;"")</f>
        <v/>
      </c>
      <c r="M121">
        <f>IF($U121="","",IF(ISNUMBER(INDEX(상세표[근무일자],$U121)),TEXT(INDEX(상세표[근무일자],$U121),"yyyy-mm-dd"),INDEX(상세표[근무일자],$U121)&amp;""))</f>
        <v/>
      </c>
      <c r="N121">
        <f>IF($U121="","",IF(ISNUMBER(INDEX(상세표[시작],$U121)),TEXT(INDEX(상세표[시작],$U121),"yyyy-mm-dd hh:mm"),INDEX(상세표[시작],$U121)&amp;""))</f>
        <v/>
      </c>
      <c r="O121">
        <f>IF($U121="","",IF(ISNUMBER(INDEX(상세표[종료],$U121)),TEXT(INDEX(상세표[종료],$U121),"yyyy-mm-dd hh:mm"),INDEX(상세표[종료],$U121)&amp;""))</f>
        <v/>
      </c>
      <c r="P121" s="20">
        <f>IF($U121="","",INDEX(상세표[06~07시],$U121))</f>
        <v/>
      </c>
      <c r="Q121" s="20">
        <f>IF($U121="","",INDEX(상세표[07~18시],$U121))</f>
        <v/>
      </c>
      <c r="R121" s="20">
        <f>IF($U121="","",INDEX(상세표[18~22시],$U121))</f>
        <v/>
      </c>
      <c r="S121" s="20">
        <f>IF($U121="","",INDEX(상세표[22~06시],$U121))</f>
        <v/>
      </c>
      <c r="T121" s="20">
        <f>IF($U121="","",INDEX(상세표[기록 시간외],$U121))</f>
        <v/>
      </c>
      <c r="U121" s="4">
        <f>IFERROR(MATCH(116,상세표[발송순번],0),"")</f>
        <v/>
      </c>
    </row>
    <row r="122">
      <c r="A122">
        <f>IF($H122="","",INDEX(상세표[사번],$H122)&amp;"")</f>
        <v/>
      </c>
      <c r="B122">
        <f>IF($H122="","",INDEX(상세표[성명],$H122)&amp;"")</f>
        <v/>
      </c>
      <c r="C122">
        <f>IF($H122="","",INDEX(상세표[부서],$H122)&amp;"")</f>
        <v/>
      </c>
      <c r="D122">
        <f>IF($H122="","",IF(IFERROR(INDEX(합계표[직위(요약)],MATCH(INDEX(상세표[사번키],$H122),합계표[사번키],0))&amp;IF(INDEX(합계표[직급 공존],MATCH(INDEX(상세표[사번키],$H122),합계표[사번키],0))="",""," ("&amp;INDEX(합계표[직급 공존],MATCH(INDEX(상세표[사번키],$H122),합계표[사번키],0))&amp;")"),"")="",INDEX(상세표[직위],$H122)&amp;"",IFERROR(INDEX(합계표[직위(요약)],MATCH(INDEX(상세표[사번키],$H122),합계표[사번키],0))&amp;IF(INDEX(합계표[직급 공존],MATCH(INDEX(상세표[사번키],$H122),합계표[사번키],0))="",""," ("&amp;INDEX(합계표[직급 공존],MATCH(INDEX(상세표[사번키],$H122),합계표[사번키],0))&amp;")"),"")))</f>
        <v/>
      </c>
      <c r="E122">
        <f>IF($H122="","",COUNTIFS(상세표[사번키],INDEX(상세표[사번키],$H122),상세표[기록월],대상월키))</f>
        <v/>
      </c>
      <c r="F122" s="20">
        <f>IF($H122="","",SUMIFS(상세표[기록 시간외],상세표[사번키],INDEX(상세표[사번키],$H122),상세표[기록월],대상월키))</f>
        <v/>
      </c>
      <c r="G122" s="20">
        <f>IF($H122="","",SUMIFS(합계표[시스템 합계],합계표[사번키],INDEX(상세표[사번키],$H122)))</f>
        <v/>
      </c>
      <c r="H122" s="4">
        <f>IFERROR(MATCH(117,상세표[발송인원순번],0),"")</f>
        <v/>
      </c>
      <c r="J122">
        <f>IF($U122="","",INDEX(상세표[사번],$U122)&amp;"")</f>
        <v/>
      </c>
      <c r="K122">
        <f>IF($U122="","",INDEX(상세표[성명],$U122)&amp;"")</f>
        <v/>
      </c>
      <c r="L122">
        <f>IF($U122="","",INDEX(상세표[직위],$U122)&amp;"")</f>
        <v/>
      </c>
      <c r="M122">
        <f>IF($U122="","",IF(ISNUMBER(INDEX(상세표[근무일자],$U122)),TEXT(INDEX(상세표[근무일자],$U122),"yyyy-mm-dd"),INDEX(상세표[근무일자],$U122)&amp;""))</f>
        <v/>
      </c>
      <c r="N122">
        <f>IF($U122="","",IF(ISNUMBER(INDEX(상세표[시작],$U122)),TEXT(INDEX(상세표[시작],$U122),"yyyy-mm-dd hh:mm"),INDEX(상세표[시작],$U122)&amp;""))</f>
        <v/>
      </c>
      <c r="O122">
        <f>IF($U122="","",IF(ISNUMBER(INDEX(상세표[종료],$U122)),TEXT(INDEX(상세표[종료],$U122),"yyyy-mm-dd hh:mm"),INDEX(상세표[종료],$U122)&amp;""))</f>
        <v/>
      </c>
      <c r="P122" s="20">
        <f>IF($U122="","",INDEX(상세표[06~07시],$U122))</f>
        <v/>
      </c>
      <c r="Q122" s="20">
        <f>IF($U122="","",INDEX(상세표[07~18시],$U122))</f>
        <v/>
      </c>
      <c r="R122" s="20">
        <f>IF($U122="","",INDEX(상세표[18~22시],$U122))</f>
        <v/>
      </c>
      <c r="S122" s="20">
        <f>IF($U122="","",INDEX(상세표[22~06시],$U122))</f>
        <v/>
      </c>
      <c r="T122" s="20">
        <f>IF($U122="","",INDEX(상세표[기록 시간외],$U122))</f>
        <v/>
      </c>
      <c r="U122" s="4">
        <f>IFERROR(MATCH(117,상세표[발송순번],0),"")</f>
        <v/>
      </c>
    </row>
    <row r="123">
      <c r="A123">
        <f>IF($H123="","",INDEX(상세표[사번],$H123)&amp;"")</f>
        <v/>
      </c>
      <c r="B123">
        <f>IF($H123="","",INDEX(상세표[성명],$H123)&amp;"")</f>
        <v/>
      </c>
      <c r="C123">
        <f>IF($H123="","",INDEX(상세표[부서],$H123)&amp;"")</f>
        <v/>
      </c>
      <c r="D123">
        <f>IF($H123="","",IF(IFERROR(INDEX(합계표[직위(요약)],MATCH(INDEX(상세표[사번키],$H123),합계표[사번키],0))&amp;IF(INDEX(합계표[직급 공존],MATCH(INDEX(상세표[사번키],$H123),합계표[사번키],0))="",""," ("&amp;INDEX(합계표[직급 공존],MATCH(INDEX(상세표[사번키],$H123),합계표[사번키],0))&amp;")"),"")="",INDEX(상세표[직위],$H123)&amp;"",IFERROR(INDEX(합계표[직위(요약)],MATCH(INDEX(상세표[사번키],$H123),합계표[사번키],0))&amp;IF(INDEX(합계표[직급 공존],MATCH(INDEX(상세표[사번키],$H123),합계표[사번키],0))="",""," ("&amp;INDEX(합계표[직급 공존],MATCH(INDEX(상세표[사번키],$H123),합계표[사번키],0))&amp;")"),"")))</f>
        <v/>
      </c>
      <c r="E123">
        <f>IF($H123="","",COUNTIFS(상세표[사번키],INDEX(상세표[사번키],$H123),상세표[기록월],대상월키))</f>
        <v/>
      </c>
      <c r="F123" s="20">
        <f>IF($H123="","",SUMIFS(상세표[기록 시간외],상세표[사번키],INDEX(상세표[사번키],$H123),상세표[기록월],대상월키))</f>
        <v/>
      </c>
      <c r="G123" s="20">
        <f>IF($H123="","",SUMIFS(합계표[시스템 합계],합계표[사번키],INDEX(상세표[사번키],$H123)))</f>
        <v/>
      </c>
      <c r="H123" s="4">
        <f>IFERROR(MATCH(118,상세표[발송인원순번],0),"")</f>
        <v/>
      </c>
      <c r="J123">
        <f>IF($U123="","",INDEX(상세표[사번],$U123)&amp;"")</f>
        <v/>
      </c>
      <c r="K123">
        <f>IF($U123="","",INDEX(상세표[성명],$U123)&amp;"")</f>
        <v/>
      </c>
      <c r="L123">
        <f>IF($U123="","",INDEX(상세표[직위],$U123)&amp;"")</f>
        <v/>
      </c>
      <c r="M123">
        <f>IF($U123="","",IF(ISNUMBER(INDEX(상세표[근무일자],$U123)),TEXT(INDEX(상세표[근무일자],$U123),"yyyy-mm-dd"),INDEX(상세표[근무일자],$U123)&amp;""))</f>
        <v/>
      </c>
      <c r="N123">
        <f>IF($U123="","",IF(ISNUMBER(INDEX(상세표[시작],$U123)),TEXT(INDEX(상세표[시작],$U123),"yyyy-mm-dd hh:mm"),INDEX(상세표[시작],$U123)&amp;""))</f>
        <v/>
      </c>
      <c r="O123">
        <f>IF($U123="","",IF(ISNUMBER(INDEX(상세표[종료],$U123)),TEXT(INDEX(상세표[종료],$U123),"yyyy-mm-dd hh:mm"),INDEX(상세표[종료],$U123)&amp;""))</f>
        <v/>
      </c>
      <c r="P123" s="20">
        <f>IF($U123="","",INDEX(상세표[06~07시],$U123))</f>
        <v/>
      </c>
      <c r="Q123" s="20">
        <f>IF($U123="","",INDEX(상세표[07~18시],$U123))</f>
        <v/>
      </c>
      <c r="R123" s="20">
        <f>IF($U123="","",INDEX(상세표[18~22시],$U123))</f>
        <v/>
      </c>
      <c r="S123" s="20">
        <f>IF($U123="","",INDEX(상세표[22~06시],$U123))</f>
        <v/>
      </c>
      <c r="T123" s="20">
        <f>IF($U123="","",INDEX(상세표[기록 시간외],$U123))</f>
        <v/>
      </c>
      <c r="U123" s="4">
        <f>IFERROR(MATCH(118,상세표[발송순번],0),"")</f>
        <v/>
      </c>
    </row>
    <row r="124">
      <c r="A124">
        <f>IF($H124="","",INDEX(상세표[사번],$H124)&amp;"")</f>
        <v/>
      </c>
      <c r="B124">
        <f>IF($H124="","",INDEX(상세표[성명],$H124)&amp;"")</f>
        <v/>
      </c>
      <c r="C124">
        <f>IF($H124="","",INDEX(상세표[부서],$H124)&amp;"")</f>
        <v/>
      </c>
      <c r="D124">
        <f>IF($H124="","",IF(IFERROR(INDEX(합계표[직위(요약)],MATCH(INDEX(상세표[사번키],$H124),합계표[사번키],0))&amp;IF(INDEX(합계표[직급 공존],MATCH(INDEX(상세표[사번키],$H124),합계표[사번키],0))="",""," ("&amp;INDEX(합계표[직급 공존],MATCH(INDEX(상세표[사번키],$H124),합계표[사번키],0))&amp;")"),"")="",INDEX(상세표[직위],$H124)&amp;"",IFERROR(INDEX(합계표[직위(요약)],MATCH(INDEX(상세표[사번키],$H124),합계표[사번키],0))&amp;IF(INDEX(합계표[직급 공존],MATCH(INDEX(상세표[사번키],$H124),합계표[사번키],0))="",""," ("&amp;INDEX(합계표[직급 공존],MATCH(INDEX(상세표[사번키],$H124),합계표[사번키],0))&amp;")"),"")))</f>
        <v/>
      </c>
      <c r="E124">
        <f>IF($H124="","",COUNTIFS(상세표[사번키],INDEX(상세표[사번키],$H124),상세표[기록월],대상월키))</f>
        <v/>
      </c>
      <c r="F124" s="20">
        <f>IF($H124="","",SUMIFS(상세표[기록 시간외],상세표[사번키],INDEX(상세표[사번키],$H124),상세표[기록월],대상월키))</f>
        <v/>
      </c>
      <c r="G124" s="20">
        <f>IF($H124="","",SUMIFS(합계표[시스템 합계],합계표[사번키],INDEX(상세표[사번키],$H124)))</f>
        <v/>
      </c>
      <c r="H124" s="4">
        <f>IFERROR(MATCH(119,상세표[발송인원순번],0),"")</f>
        <v/>
      </c>
      <c r="J124">
        <f>IF($U124="","",INDEX(상세표[사번],$U124)&amp;"")</f>
        <v/>
      </c>
      <c r="K124">
        <f>IF($U124="","",INDEX(상세표[성명],$U124)&amp;"")</f>
        <v/>
      </c>
      <c r="L124">
        <f>IF($U124="","",INDEX(상세표[직위],$U124)&amp;"")</f>
        <v/>
      </c>
      <c r="M124">
        <f>IF($U124="","",IF(ISNUMBER(INDEX(상세표[근무일자],$U124)),TEXT(INDEX(상세표[근무일자],$U124),"yyyy-mm-dd"),INDEX(상세표[근무일자],$U124)&amp;""))</f>
        <v/>
      </c>
      <c r="N124">
        <f>IF($U124="","",IF(ISNUMBER(INDEX(상세표[시작],$U124)),TEXT(INDEX(상세표[시작],$U124),"yyyy-mm-dd hh:mm"),INDEX(상세표[시작],$U124)&amp;""))</f>
        <v/>
      </c>
      <c r="O124">
        <f>IF($U124="","",IF(ISNUMBER(INDEX(상세표[종료],$U124)),TEXT(INDEX(상세표[종료],$U124),"yyyy-mm-dd hh:mm"),INDEX(상세표[종료],$U124)&amp;""))</f>
        <v/>
      </c>
      <c r="P124" s="20">
        <f>IF($U124="","",INDEX(상세표[06~07시],$U124))</f>
        <v/>
      </c>
      <c r="Q124" s="20">
        <f>IF($U124="","",INDEX(상세표[07~18시],$U124))</f>
        <v/>
      </c>
      <c r="R124" s="20">
        <f>IF($U124="","",INDEX(상세표[18~22시],$U124))</f>
        <v/>
      </c>
      <c r="S124" s="20">
        <f>IF($U124="","",INDEX(상세표[22~06시],$U124))</f>
        <v/>
      </c>
      <c r="T124" s="20">
        <f>IF($U124="","",INDEX(상세표[기록 시간외],$U124))</f>
        <v/>
      </c>
      <c r="U124" s="4">
        <f>IFERROR(MATCH(119,상세표[발송순번],0),"")</f>
        <v/>
      </c>
    </row>
    <row r="125">
      <c r="A125">
        <f>IF($H125="","",INDEX(상세표[사번],$H125)&amp;"")</f>
        <v/>
      </c>
      <c r="B125">
        <f>IF($H125="","",INDEX(상세표[성명],$H125)&amp;"")</f>
        <v/>
      </c>
      <c r="C125">
        <f>IF($H125="","",INDEX(상세표[부서],$H125)&amp;"")</f>
        <v/>
      </c>
      <c r="D125">
        <f>IF($H125="","",IF(IFERROR(INDEX(합계표[직위(요약)],MATCH(INDEX(상세표[사번키],$H125),합계표[사번키],0))&amp;IF(INDEX(합계표[직급 공존],MATCH(INDEX(상세표[사번키],$H125),합계표[사번키],0))="",""," ("&amp;INDEX(합계표[직급 공존],MATCH(INDEX(상세표[사번키],$H125),합계표[사번키],0))&amp;")"),"")="",INDEX(상세표[직위],$H125)&amp;"",IFERROR(INDEX(합계표[직위(요약)],MATCH(INDEX(상세표[사번키],$H125),합계표[사번키],0))&amp;IF(INDEX(합계표[직급 공존],MATCH(INDEX(상세표[사번키],$H125),합계표[사번키],0))="",""," ("&amp;INDEX(합계표[직급 공존],MATCH(INDEX(상세표[사번키],$H125),합계표[사번키],0))&amp;")"),"")))</f>
        <v/>
      </c>
      <c r="E125">
        <f>IF($H125="","",COUNTIFS(상세표[사번키],INDEX(상세표[사번키],$H125),상세표[기록월],대상월키))</f>
        <v/>
      </c>
      <c r="F125" s="20">
        <f>IF($H125="","",SUMIFS(상세표[기록 시간외],상세표[사번키],INDEX(상세표[사번키],$H125),상세표[기록월],대상월키))</f>
        <v/>
      </c>
      <c r="G125" s="20">
        <f>IF($H125="","",SUMIFS(합계표[시스템 합계],합계표[사번키],INDEX(상세표[사번키],$H125)))</f>
        <v/>
      </c>
      <c r="H125" s="4">
        <f>IFERROR(MATCH(120,상세표[발송인원순번],0),"")</f>
        <v/>
      </c>
      <c r="J125">
        <f>IF($U125="","",INDEX(상세표[사번],$U125)&amp;"")</f>
        <v/>
      </c>
      <c r="K125">
        <f>IF($U125="","",INDEX(상세표[성명],$U125)&amp;"")</f>
        <v/>
      </c>
      <c r="L125">
        <f>IF($U125="","",INDEX(상세표[직위],$U125)&amp;"")</f>
        <v/>
      </c>
      <c r="M125">
        <f>IF($U125="","",IF(ISNUMBER(INDEX(상세표[근무일자],$U125)),TEXT(INDEX(상세표[근무일자],$U125),"yyyy-mm-dd"),INDEX(상세표[근무일자],$U125)&amp;""))</f>
        <v/>
      </c>
      <c r="N125">
        <f>IF($U125="","",IF(ISNUMBER(INDEX(상세표[시작],$U125)),TEXT(INDEX(상세표[시작],$U125),"yyyy-mm-dd hh:mm"),INDEX(상세표[시작],$U125)&amp;""))</f>
        <v/>
      </c>
      <c r="O125">
        <f>IF($U125="","",IF(ISNUMBER(INDEX(상세표[종료],$U125)),TEXT(INDEX(상세표[종료],$U125),"yyyy-mm-dd hh:mm"),INDEX(상세표[종료],$U125)&amp;""))</f>
        <v/>
      </c>
      <c r="P125" s="20">
        <f>IF($U125="","",INDEX(상세표[06~07시],$U125))</f>
        <v/>
      </c>
      <c r="Q125" s="20">
        <f>IF($U125="","",INDEX(상세표[07~18시],$U125))</f>
        <v/>
      </c>
      <c r="R125" s="20">
        <f>IF($U125="","",INDEX(상세표[18~22시],$U125))</f>
        <v/>
      </c>
      <c r="S125" s="20">
        <f>IF($U125="","",INDEX(상세표[22~06시],$U125))</f>
        <v/>
      </c>
      <c r="T125" s="20">
        <f>IF($U125="","",INDEX(상세표[기록 시간외],$U125))</f>
        <v/>
      </c>
      <c r="U125" s="4">
        <f>IFERROR(MATCH(120,상세표[발송순번],0),"")</f>
        <v/>
      </c>
    </row>
    <row r="126">
      <c r="A126">
        <f>IF($H126="","",INDEX(상세표[사번],$H126)&amp;"")</f>
        <v/>
      </c>
      <c r="B126">
        <f>IF($H126="","",INDEX(상세표[성명],$H126)&amp;"")</f>
        <v/>
      </c>
      <c r="C126">
        <f>IF($H126="","",INDEX(상세표[부서],$H126)&amp;"")</f>
        <v/>
      </c>
      <c r="D126">
        <f>IF($H126="","",IF(IFERROR(INDEX(합계표[직위(요약)],MATCH(INDEX(상세표[사번키],$H126),합계표[사번키],0))&amp;IF(INDEX(합계표[직급 공존],MATCH(INDEX(상세표[사번키],$H126),합계표[사번키],0))="",""," ("&amp;INDEX(합계표[직급 공존],MATCH(INDEX(상세표[사번키],$H126),합계표[사번키],0))&amp;")"),"")="",INDEX(상세표[직위],$H126)&amp;"",IFERROR(INDEX(합계표[직위(요약)],MATCH(INDEX(상세표[사번키],$H126),합계표[사번키],0))&amp;IF(INDEX(합계표[직급 공존],MATCH(INDEX(상세표[사번키],$H126),합계표[사번키],0))="",""," ("&amp;INDEX(합계표[직급 공존],MATCH(INDEX(상세표[사번키],$H126),합계표[사번키],0))&amp;")"),"")))</f>
        <v/>
      </c>
      <c r="E126">
        <f>IF($H126="","",COUNTIFS(상세표[사번키],INDEX(상세표[사번키],$H126),상세표[기록월],대상월키))</f>
        <v/>
      </c>
      <c r="F126" s="20">
        <f>IF($H126="","",SUMIFS(상세표[기록 시간외],상세표[사번키],INDEX(상세표[사번키],$H126),상세표[기록월],대상월키))</f>
        <v/>
      </c>
      <c r="G126" s="20">
        <f>IF($H126="","",SUMIFS(합계표[시스템 합계],합계표[사번키],INDEX(상세표[사번키],$H126)))</f>
        <v/>
      </c>
      <c r="H126" s="4">
        <f>IFERROR(MATCH(121,상세표[발송인원순번],0),"")</f>
        <v/>
      </c>
      <c r="J126">
        <f>IF($U126="","",INDEX(상세표[사번],$U126)&amp;"")</f>
        <v/>
      </c>
      <c r="K126">
        <f>IF($U126="","",INDEX(상세표[성명],$U126)&amp;"")</f>
        <v/>
      </c>
      <c r="L126">
        <f>IF($U126="","",INDEX(상세표[직위],$U126)&amp;"")</f>
        <v/>
      </c>
      <c r="M126">
        <f>IF($U126="","",IF(ISNUMBER(INDEX(상세표[근무일자],$U126)),TEXT(INDEX(상세표[근무일자],$U126),"yyyy-mm-dd"),INDEX(상세표[근무일자],$U126)&amp;""))</f>
        <v/>
      </c>
      <c r="N126">
        <f>IF($U126="","",IF(ISNUMBER(INDEX(상세표[시작],$U126)),TEXT(INDEX(상세표[시작],$U126),"yyyy-mm-dd hh:mm"),INDEX(상세표[시작],$U126)&amp;""))</f>
        <v/>
      </c>
      <c r="O126">
        <f>IF($U126="","",IF(ISNUMBER(INDEX(상세표[종료],$U126)),TEXT(INDEX(상세표[종료],$U126),"yyyy-mm-dd hh:mm"),INDEX(상세표[종료],$U126)&amp;""))</f>
        <v/>
      </c>
      <c r="P126" s="20">
        <f>IF($U126="","",INDEX(상세표[06~07시],$U126))</f>
        <v/>
      </c>
      <c r="Q126" s="20">
        <f>IF($U126="","",INDEX(상세표[07~18시],$U126))</f>
        <v/>
      </c>
      <c r="R126" s="20">
        <f>IF($U126="","",INDEX(상세표[18~22시],$U126))</f>
        <v/>
      </c>
      <c r="S126" s="20">
        <f>IF($U126="","",INDEX(상세표[22~06시],$U126))</f>
        <v/>
      </c>
      <c r="T126" s="20">
        <f>IF($U126="","",INDEX(상세표[기록 시간외],$U126))</f>
        <v/>
      </c>
      <c r="U126" s="4">
        <f>IFERROR(MATCH(121,상세표[발송순번],0),"")</f>
        <v/>
      </c>
    </row>
    <row r="127">
      <c r="A127">
        <f>IF($H127="","",INDEX(상세표[사번],$H127)&amp;"")</f>
        <v/>
      </c>
      <c r="B127">
        <f>IF($H127="","",INDEX(상세표[성명],$H127)&amp;"")</f>
        <v/>
      </c>
      <c r="C127">
        <f>IF($H127="","",INDEX(상세표[부서],$H127)&amp;"")</f>
        <v/>
      </c>
      <c r="D127">
        <f>IF($H127="","",IF(IFERROR(INDEX(합계표[직위(요약)],MATCH(INDEX(상세표[사번키],$H127),합계표[사번키],0))&amp;IF(INDEX(합계표[직급 공존],MATCH(INDEX(상세표[사번키],$H127),합계표[사번키],0))="",""," ("&amp;INDEX(합계표[직급 공존],MATCH(INDEX(상세표[사번키],$H127),합계표[사번키],0))&amp;")"),"")="",INDEX(상세표[직위],$H127)&amp;"",IFERROR(INDEX(합계표[직위(요약)],MATCH(INDEX(상세표[사번키],$H127),합계표[사번키],0))&amp;IF(INDEX(합계표[직급 공존],MATCH(INDEX(상세표[사번키],$H127),합계표[사번키],0))="",""," ("&amp;INDEX(합계표[직급 공존],MATCH(INDEX(상세표[사번키],$H127),합계표[사번키],0))&amp;")"),"")))</f>
        <v/>
      </c>
      <c r="E127">
        <f>IF($H127="","",COUNTIFS(상세표[사번키],INDEX(상세표[사번키],$H127),상세표[기록월],대상월키))</f>
        <v/>
      </c>
      <c r="F127" s="20">
        <f>IF($H127="","",SUMIFS(상세표[기록 시간외],상세표[사번키],INDEX(상세표[사번키],$H127),상세표[기록월],대상월키))</f>
        <v/>
      </c>
      <c r="G127" s="20">
        <f>IF($H127="","",SUMIFS(합계표[시스템 합계],합계표[사번키],INDEX(상세표[사번키],$H127)))</f>
        <v/>
      </c>
      <c r="H127" s="4">
        <f>IFERROR(MATCH(122,상세표[발송인원순번],0),"")</f>
        <v/>
      </c>
      <c r="J127">
        <f>IF($U127="","",INDEX(상세표[사번],$U127)&amp;"")</f>
        <v/>
      </c>
      <c r="K127">
        <f>IF($U127="","",INDEX(상세표[성명],$U127)&amp;"")</f>
        <v/>
      </c>
      <c r="L127">
        <f>IF($U127="","",INDEX(상세표[직위],$U127)&amp;"")</f>
        <v/>
      </c>
      <c r="M127">
        <f>IF($U127="","",IF(ISNUMBER(INDEX(상세표[근무일자],$U127)),TEXT(INDEX(상세표[근무일자],$U127),"yyyy-mm-dd"),INDEX(상세표[근무일자],$U127)&amp;""))</f>
        <v/>
      </c>
      <c r="N127">
        <f>IF($U127="","",IF(ISNUMBER(INDEX(상세표[시작],$U127)),TEXT(INDEX(상세표[시작],$U127),"yyyy-mm-dd hh:mm"),INDEX(상세표[시작],$U127)&amp;""))</f>
        <v/>
      </c>
      <c r="O127">
        <f>IF($U127="","",IF(ISNUMBER(INDEX(상세표[종료],$U127)),TEXT(INDEX(상세표[종료],$U127),"yyyy-mm-dd hh:mm"),INDEX(상세표[종료],$U127)&amp;""))</f>
        <v/>
      </c>
      <c r="P127" s="20">
        <f>IF($U127="","",INDEX(상세표[06~07시],$U127))</f>
        <v/>
      </c>
      <c r="Q127" s="20">
        <f>IF($U127="","",INDEX(상세표[07~18시],$U127))</f>
        <v/>
      </c>
      <c r="R127" s="20">
        <f>IF($U127="","",INDEX(상세표[18~22시],$U127))</f>
        <v/>
      </c>
      <c r="S127" s="20">
        <f>IF($U127="","",INDEX(상세표[22~06시],$U127))</f>
        <v/>
      </c>
      <c r="T127" s="20">
        <f>IF($U127="","",INDEX(상세표[기록 시간외],$U127))</f>
        <v/>
      </c>
      <c r="U127" s="4">
        <f>IFERROR(MATCH(122,상세표[발송순번],0),"")</f>
        <v/>
      </c>
    </row>
    <row r="128">
      <c r="A128">
        <f>IF($H128="","",INDEX(상세표[사번],$H128)&amp;"")</f>
        <v/>
      </c>
      <c r="B128">
        <f>IF($H128="","",INDEX(상세표[성명],$H128)&amp;"")</f>
        <v/>
      </c>
      <c r="C128">
        <f>IF($H128="","",INDEX(상세표[부서],$H128)&amp;"")</f>
        <v/>
      </c>
      <c r="D128">
        <f>IF($H128="","",IF(IFERROR(INDEX(합계표[직위(요약)],MATCH(INDEX(상세표[사번키],$H128),합계표[사번키],0))&amp;IF(INDEX(합계표[직급 공존],MATCH(INDEX(상세표[사번키],$H128),합계표[사번키],0))="",""," ("&amp;INDEX(합계표[직급 공존],MATCH(INDEX(상세표[사번키],$H128),합계표[사번키],0))&amp;")"),"")="",INDEX(상세표[직위],$H128)&amp;"",IFERROR(INDEX(합계표[직위(요약)],MATCH(INDEX(상세표[사번키],$H128),합계표[사번키],0))&amp;IF(INDEX(합계표[직급 공존],MATCH(INDEX(상세표[사번키],$H128),합계표[사번키],0))="",""," ("&amp;INDEX(합계표[직급 공존],MATCH(INDEX(상세표[사번키],$H128),합계표[사번키],0))&amp;")"),"")))</f>
        <v/>
      </c>
      <c r="E128">
        <f>IF($H128="","",COUNTIFS(상세표[사번키],INDEX(상세표[사번키],$H128),상세표[기록월],대상월키))</f>
        <v/>
      </c>
      <c r="F128" s="20">
        <f>IF($H128="","",SUMIFS(상세표[기록 시간외],상세표[사번키],INDEX(상세표[사번키],$H128),상세표[기록월],대상월키))</f>
        <v/>
      </c>
      <c r="G128" s="20">
        <f>IF($H128="","",SUMIFS(합계표[시스템 합계],합계표[사번키],INDEX(상세표[사번키],$H128)))</f>
        <v/>
      </c>
      <c r="H128" s="4">
        <f>IFERROR(MATCH(123,상세표[발송인원순번],0),"")</f>
        <v/>
      </c>
      <c r="J128">
        <f>IF($U128="","",INDEX(상세표[사번],$U128)&amp;"")</f>
        <v/>
      </c>
      <c r="K128">
        <f>IF($U128="","",INDEX(상세표[성명],$U128)&amp;"")</f>
        <v/>
      </c>
      <c r="L128">
        <f>IF($U128="","",INDEX(상세표[직위],$U128)&amp;"")</f>
        <v/>
      </c>
      <c r="M128">
        <f>IF($U128="","",IF(ISNUMBER(INDEX(상세표[근무일자],$U128)),TEXT(INDEX(상세표[근무일자],$U128),"yyyy-mm-dd"),INDEX(상세표[근무일자],$U128)&amp;""))</f>
        <v/>
      </c>
      <c r="N128">
        <f>IF($U128="","",IF(ISNUMBER(INDEX(상세표[시작],$U128)),TEXT(INDEX(상세표[시작],$U128),"yyyy-mm-dd hh:mm"),INDEX(상세표[시작],$U128)&amp;""))</f>
        <v/>
      </c>
      <c r="O128">
        <f>IF($U128="","",IF(ISNUMBER(INDEX(상세표[종료],$U128)),TEXT(INDEX(상세표[종료],$U128),"yyyy-mm-dd hh:mm"),INDEX(상세표[종료],$U128)&amp;""))</f>
        <v/>
      </c>
      <c r="P128" s="20">
        <f>IF($U128="","",INDEX(상세표[06~07시],$U128))</f>
        <v/>
      </c>
      <c r="Q128" s="20">
        <f>IF($U128="","",INDEX(상세표[07~18시],$U128))</f>
        <v/>
      </c>
      <c r="R128" s="20">
        <f>IF($U128="","",INDEX(상세표[18~22시],$U128))</f>
        <v/>
      </c>
      <c r="S128" s="20">
        <f>IF($U128="","",INDEX(상세표[22~06시],$U128))</f>
        <v/>
      </c>
      <c r="T128" s="20">
        <f>IF($U128="","",INDEX(상세표[기록 시간외],$U128))</f>
        <v/>
      </c>
      <c r="U128" s="4">
        <f>IFERROR(MATCH(123,상세표[발송순번],0),"")</f>
        <v/>
      </c>
    </row>
    <row r="129">
      <c r="A129">
        <f>IF($H129="","",INDEX(상세표[사번],$H129)&amp;"")</f>
        <v/>
      </c>
      <c r="B129">
        <f>IF($H129="","",INDEX(상세표[성명],$H129)&amp;"")</f>
        <v/>
      </c>
      <c r="C129">
        <f>IF($H129="","",INDEX(상세표[부서],$H129)&amp;"")</f>
        <v/>
      </c>
      <c r="D129">
        <f>IF($H129="","",IF(IFERROR(INDEX(합계표[직위(요약)],MATCH(INDEX(상세표[사번키],$H129),합계표[사번키],0))&amp;IF(INDEX(합계표[직급 공존],MATCH(INDEX(상세표[사번키],$H129),합계표[사번키],0))="",""," ("&amp;INDEX(합계표[직급 공존],MATCH(INDEX(상세표[사번키],$H129),합계표[사번키],0))&amp;")"),"")="",INDEX(상세표[직위],$H129)&amp;"",IFERROR(INDEX(합계표[직위(요약)],MATCH(INDEX(상세표[사번키],$H129),합계표[사번키],0))&amp;IF(INDEX(합계표[직급 공존],MATCH(INDEX(상세표[사번키],$H129),합계표[사번키],0))="",""," ("&amp;INDEX(합계표[직급 공존],MATCH(INDEX(상세표[사번키],$H129),합계표[사번키],0))&amp;")"),"")))</f>
        <v/>
      </c>
      <c r="E129">
        <f>IF($H129="","",COUNTIFS(상세표[사번키],INDEX(상세표[사번키],$H129),상세표[기록월],대상월키))</f>
        <v/>
      </c>
      <c r="F129" s="20">
        <f>IF($H129="","",SUMIFS(상세표[기록 시간외],상세표[사번키],INDEX(상세표[사번키],$H129),상세표[기록월],대상월키))</f>
        <v/>
      </c>
      <c r="G129" s="20">
        <f>IF($H129="","",SUMIFS(합계표[시스템 합계],합계표[사번키],INDEX(상세표[사번키],$H129)))</f>
        <v/>
      </c>
      <c r="H129" s="4">
        <f>IFERROR(MATCH(124,상세표[발송인원순번],0),"")</f>
        <v/>
      </c>
      <c r="J129">
        <f>IF($U129="","",INDEX(상세표[사번],$U129)&amp;"")</f>
        <v/>
      </c>
      <c r="K129">
        <f>IF($U129="","",INDEX(상세표[성명],$U129)&amp;"")</f>
        <v/>
      </c>
      <c r="L129">
        <f>IF($U129="","",INDEX(상세표[직위],$U129)&amp;"")</f>
        <v/>
      </c>
      <c r="M129">
        <f>IF($U129="","",IF(ISNUMBER(INDEX(상세표[근무일자],$U129)),TEXT(INDEX(상세표[근무일자],$U129),"yyyy-mm-dd"),INDEX(상세표[근무일자],$U129)&amp;""))</f>
        <v/>
      </c>
      <c r="N129">
        <f>IF($U129="","",IF(ISNUMBER(INDEX(상세표[시작],$U129)),TEXT(INDEX(상세표[시작],$U129),"yyyy-mm-dd hh:mm"),INDEX(상세표[시작],$U129)&amp;""))</f>
        <v/>
      </c>
      <c r="O129">
        <f>IF($U129="","",IF(ISNUMBER(INDEX(상세표[종료],$U129)),TEXT(INDEX(상세표[종료],$U129),"yyyy-mm-dd hh:mm"),INDEX(상세표[종료],$U129)&amp;""))</f>
        <v/>
      </c>
      <c r="P129" s="20">
        <f>IF($U129="","",INDEX(상세표[06~07시],$U129))</f>
        <v/>
      </c>
      <c r="Q129" s="20">
        <f>IF($U129="","",INDEX(상세표[07~18시],$U129))</f>
        <v/>
      </c>
      <c r="R129" s="20">
        <f>IF($U129="","",INDEX(상세표[18~22시],$U129))</f>
        <v/>
      </c>
      <c r="S129" s="20">
        <f>IF($U129="","",INDEX(상세표[22~06시],$U129))</f>
        <v/>
      </c>
      <c r="T129" s="20">
        <f>IF($U129="","",INDEX(상세표[기록 시간외],$U129))</f>
        <v/>
      </c>
      <c r="U129" s="4">
        <f>IFERROR(MATCH(124,상세표[발송순번],0),"")</f>
        <v/>
      </c>
    </row>
    <row r="130">
      <c r="A130">
        <f>IF($H130="","",INDEX(상세표[사번],$H130)&amp;"")</f>
        <v/>
      </c>
      <c r="B130">
        <f>IF($H130="","",INDEX(상세표[성명],$H130)&amp;"")</f>
        <v/>
      </c>
      <c r="C130">
        <f>IF($H130="","",INDEX(상세표[부서],$H130)&amp;"")</f>
        <v/>
      </c>
      <c r="D130">
        <f>IF($H130="","",IF(IFERROR(INDEX(합계표[직위(요약)],MATCH(INDEX(상세표[사번키],$H130),합계표[사번키],0))&amp;IF(INDEX(합계표[직급 공존],MATCH(INDEX(상세표[사번키],$H130),합계표[사번키],0))="",""," ("&amp;INDEX(합계표[직급 공존],MATCH(INDEX(상세표[사번키],$H130),합계표[사번키],0))&amp;")"),"")="",INDEX(상세표[직위],$H130)&amp;"",IFERROR(INDEX(합계표[직위(요약)],MATCH(INDEX(상세표[사번키],$H130),합계표[사번키],0))&amp;IF(INDEX(합계표[직급 공존],MATCH(INDEX(상세표[사번키],$H130),합계표[사번키],0))="",""," ("&amp;INDEX(합계표[직급 공존],MATCH(INDEX(상세표[사번키],$H130),합계표[사번키],0))&amp;")"),"")))</f>
        <v/>
      </c>
      <c r="E130">
        <f>IF($H130="","",COUNTIFS(상세표[사번키],INDEX(상세표[사번키],$H130),상세표[기록월],대상월키))</f>
        <v/>
      </c>
      <c r="F130" s="20">
        <f>IF($H130="","",SUMIFS(상세표[기록 시간외],상세표[사번키],INDEX(상세표[사번키],$H130),상세표[기록월],대상월키))</f>
        <v/>
      </c>
      <c r="G130" s="20">
        <f>IF($H130="","",SUMIFS(합계표[시스템 합계],합계표[사번키],INDEX(상세표[사번키],$H130)))</f>
        <v/>
      </c>
      <c r="H130" s="4">
        <f>IFERROR(MATCH(125,상세표[발송인원순번],0),"")</f>
        <v/>
      </c>
      <c r="J130">
        <f>IF($U130="","",INDEX(상세표[사번],$U130)&amp;"")</f>
        <v/>
      </c>
      <c r="K130">
        <f>IF($U130="","",INDEX(상세표[성명],$U130)&amp;"")</f>
        <v/>
      </c>
      <c r="L130">
        <f>IF($U130="","",INDEX(상세표[직위],$U130)&amp;"")</f>
        <v/>
      </c>
      <c r="M130">
        <f>IF($U130="","",IF(ISNUMBER(INDEX(상세표[근무일자],$U130)),TEXT(INDEX(상세표[근무일자],$U130),"yyyy-mm-dd"),INDEX(상세표[근무일자],$U130)&amp;""))</f>
        <v/>
      </c>
      <c r="N130">
        <f>IF($U130="","",IF(ISNUMBER(INDEX(상세표[시작],$U130)),TEXT(INDEX(상세표[시작],$U130),"yyyy-mm-dd hh:mm"),INDEX(상세표[시작],$U130)&amp;""))</f>
        <v/>
      </c>
      <c r="O130">
        <f>IF($U130="","",IF(ISNUMBER(INDEX(상세표[종료],$U130)),TEXT(INDEX(상세표[종료],$U130),"yyyy-mm-dd hh:mm"),INDEX(상세표[종료],$U130)&amp;""))</f>
        <v/>
      </c>
      <c r="P130" s="20">
        <f>IF($U130="","",INDEX(상세표[06~07시],$U130))</f>
        <v/>
      </c>
      <c r="Q130" s="20">
        <f>IF($U130="","",INDEX(상세표[07~18시],$U130))</f>
        <v/>
      </c>
      <c r="R130" s="20">
        <f>IF($U130="","",INDEX(상세표[18~22시],$U130))</f>
        <v/>
      </c>
      <c r="S130" s="20">
        <f>IF($U130="","",INDEX(상세표[22~06시],$U130))</f>
        <v/>
      </c>
      <c r="T130" s="20">
        <f>IF($U130="","",INDEX(상세표[기록 시간외],$U130))</f>
        <v/>
      </c>
      <c r="U130" s="4">
        <f>IFERROR(MATCH(125,상세표[발송순번],0),"")</f>
        <v/>
      </c>
    </row>
    <row r="131">
      <c r="A131">
        <f>IF($H131="","",INDEX(상세표[사번],$H131)&amp;"")</f>
        <v/>
      </c>
      <c r="B131">
        <f>IF($H131="","",INDEX(상세표[성명],$H131)&amp;"")</f>
        <v/>
      </c>
      <c r="C131">
        <f>IF($H131="","",INDEX(상세표[부서],$H131)&amp;"")</f>
        <v/>
      </c>
      <c r="D131">
        <f>IF($H131="","",IF(IFERROR(INDEX(합계표[직위(요약)],MATCH(INDEX(상세표[사번키],$H131),합계표[사번키],0))&amp;IF(INDEX(합계표[직급 공존],MATCH(INDEX(상세표[사번키],$H131),합계표[사번키],0))="",""," ("&amp;INDEX(합계표[직급 공존],MATCH(INDEX(상세표[사번키],$H131),합계표[사번키],0))&amp;")"),"")="",INDEX(상세표[직위],$H131)&amp;"",IFERROR(INDEX(합계표[직위(요약)],MATCH(INDEX(상세표[사번키],$H131),합계표[사번키],0))&amp;IF(INDEX(합계표[직급 공존],MATCH(INDEX(상세표[사번키],$H131),합계표[사번키],0))="",""," ("&amp;INDEX(합계표[직급 공존],MATCH(INDEX(상세표[사번키],$H131),합계표[사번키],0))&amp;")"),"")))</f>
        <v/>
      </c>
      <c r="E131">
        <f>IF($H131="","",COUNTIFS(상세표[사번키],INDEX(상세표[사번키],$H131),상세표[기록월],대상월키))</f>
        <v/>
      </c>
      <c r="F131" s="20">
        <f>IF($H131="","",SUMIFS(상세표[기록 시간외],상세표[사번키],INDEX(상세표[사번키],$H131),상세표[기록월],대상월키))</f>
        <v/>
      </c>
      <c r="G131" s="20">
        <f>IF($H131="","",SUMIFS(합계표[시스템 합계],합계표[사번키],INDEX(상세표[사번키],$H131)))</f>
        <v/>
      </c>
      <c r="H131" s="4">
        <f>IFERROR(MATCH(126,상세표[발송인원순번],0),"")</f>
        <v/>
      </c>
      <c r="J131">
        <f>IF($U131="","",INDEX(상세표[사번],$U131)&amp;"")</f>
        <v/>
      </c>
      <c r="K131">
        <f>IF($U131="","",INDEX(상세표[성명],$U131)&amp;"")</f>
        <v/>
      </c>
      <c r="L131">
        <f>IF($U131="","",INDEX(상세표[직위],$U131)&amp;"")</f>
        <v/>
      </c>
      <c r="M131">
        <f>IF($U131="","",IF(ISNUMBER(INDEX(상세표[근무일자],$U131)),TEXT(INDEX(상세표[근무일자],$U131),"yyyy-mm-dd"),INDEX(상세표[근무일자],$U131)&amp;""))</f>
        <v/>
      </c>
      <c r="N131">
        <f>IF($U131="","",IF(ISNUMBER(INDEX(상세표[시작],$U131)),TEXT(INDEX(상세표[시작],$U131),"yyyy-mm-dd hh:mm"),INDEX(상세표[시작],$U131)&amp;""))</f>
        <v/>
      </c>
      <c r="O131">
        <f>IF($U131="","",IF(ISNUMBER(INDEX(상세표[종료],$U131)),TEXT(INDEX(상세표[종료],$U131),"yyyy-mm-dd hh:mm"),INDEX(상세표[종료],$U131)&amp;""))</f>
        <v/>
      </c>
      <c r="P131" s="20">
        <f>IF($U131="","",INDEX(상세표[06~07시],$U131))</f>
        <v/>
      </c>
      <c r="Q131" s="20">
        <f>IF($U131="","",INDEX(상세표[07~18시],$U131))</f>
        <v/>
      </c>
      <c r="R131" s="20">
        <f>IF($U131="","",INDEX(상세표[18~22시],$U131))</f>
        <v/>
      </c>
      <c r="S131" s="20">
        <f>IF($U131="","",INDEX(상세표[22~06시],$U131))</f>
        <v/>
      </c>
      <c r="T131" s="20">
        <f>IF($U131="","",INDEX(상세표[기록 시간외],$U131))</f>
        <v/>
      </c>
      <c r="U131" s="4">
        <f>IFERROR(MATCH(126,상세표[발송순번],0),"")</f>
        <v/>
      </c>
    </row>
    <row r="132">
      <c r="A132">
        <f>IF($H132="","",INDEX(상세표[사번],$H132)&amp;"")</f>
        <v/>
      </c>
      <c r="B132">
        <f>IF($H132="","",INDEX(상세표[성명],$H132)&amp;"")</f>
        <v/>
      </c>
      <c r="C132">
        <f>IF($H132="","",INDEX(상세표[부서],$H132)&amp;"")</f>
        <v/>
      </c>
      <c r="D132">
        <f>IF($H132="","",IF(IFERROR(INDEX(합계표[직위(요약)],MATCH(INDEX(상세표[사번키],$H132),합계표[사번키],0))&amp;IF(INDEX(합계표[직급 공존],MATCH(INDEX(상세표[사번키],$H132),합계표[사번키],0))="",""," ("&amp;INDEX(합계표[직급 공존],MATCH(INDEX(상세표[사번키],$H132),합계표[사번키],0))&amp;")"),"")="",INDEX(상세표[직위],$H132)&amp;"",IFERROR(INDEX(합계표[직위(요약)],MATCH(INDEX(상세표[사번키],$H132),합계표[사번키],0))&amp;IF(INDEX(합계표[직급 공존],MATCH(INDEX(상세표[사번키],$H132),합계표[사번키],0))="",""," ("&amp;INDEX(합계표[직급 공존],MATCH(INDEX(상세표[사번키],$H132),합계표[사번키],0))&amp;")"),"")))</f>
        <v/>
      </c>
      <c r="E132">
        <f>IF($H132="","",COUNTIFS(상세표[사번키],INDEX(상세표[사번키],$H132),상세표[기록월],대상월키))</f>
        <v/>
      </c>
      <c r="F132" s="20">
        <f>IF($H132="","",SUMIFS(상세표[기록 시간외],상세표[사번키],INDEX(상세표[사번키],$H132),상세표[기록월],대상월키))</f>
        <v/>
      </c>
      <c r="G132" s="20">
        <f>IF($H132="","",SUMIFS(합계표[시스템 합계],합계표[사번키],INDEX(상세표[사번키],$H132)))</f>
        <v/>
      </c>
      <c r="H132" s="4">
        <f>IFERROR(MATCH(127,상세표[발송인원순번],0),"")</f>
        <v/>
      </c>
      <c r="J132">
        <f>IF($U132="","",INDEX(상세표[사번],$U132)&amp;"")</f>
        <v/>
      </c>
      <c r="K132">
        <f>IF($U132="","",INDEX(상세표[성명],$U132)&amp;"")</f>
        <v/>
      </c>
      <c r="L132">
        <f>IF($U132="","",INDEX(상세표[직위],$U132)&amp;"")</f>
        <v/>
      </c>
      <c r="M132">
        <f>IF($U132="","",IF(ISNUMBER(INDEX(상세표[근무일자],$U132)),TEXT(INDEX(상세표[근무일자],$U132),"yyyy-mm-dd"),INDEX(상세표[근무일자],$U132)&amp;""))</f>
        <v/>
      </c>
      <c r="N132">
        <f>IF($U132="","",IF(ISNUMBER(INDEX(상세표[시작],$U132)),TEXT(INDEX(상세표[시작],$U132),"yyyy-mm-dd hh:mm"),INDEX(상세표[시작],$U132)&amp;""))</f>
        <v/>
      </c>
      <c r="O132">
        <f>IF($U132="","",IF(ISNUMBER(INDEX(상세표[종료],$U132)),TEXT(INDEX(상세표[종료],$U132),"yyyy-mm-dd hh:mm"),INDEX(상세표[종료],$U132)&amp;""))</f>
        <v/>
      </c>
      <c r="P132" s="20">
        <f>IF($U132="","",INDEX(상세표[06~07시],$U132))</f>
        <v/>
      </c>
      <c r="Q132" s="20">
        <f>IF($U132="","",INDEX(상세표[07~18시],$U132))</f>
        <v/>
      </c>
      <c r="R132" s="20">
        <f>IF($U132="","",INDEX(상세표[18~22시],$U132))</f>
        <v/>
      </c>
      <c r="S132" s="20">
        <f>IF($U132="","",INDEX(상세표[22~06시],$U132))</f>
        <v/>
      </c>
      <c r="T132" s="20">
        <f>IF($U132="","",INDEX(상세표[기록 시간외],$U132))</f>
        <v/>
      </c>
      <c r="U132" s="4">
        <f>IFERROR(MATCH(127,상세표[발송순번],0),"")</f>
        <v/>
      </c>
    </row>
    <row r="133">
      <c r="A133">
        <f>IF($H133="","",INDEX(상세표[사번],$H133)&amp;"")</f>
        <v/>
      </c>
      <c r="B133">
        <f>IF($H133="","",INDEX(상세표[성명],$H133)&amp;"")</f>
        <v/>
      </c>
      <c r="C133">
        <f>IF($H133="","",INDEX(상세표[부서],$H133)&amp;"")</f>
        <v/>
      </c>
      <c r="D133">
        <f>IF($H133="","",IF(IFERROR(INDEX(합계표[직위(요약)],MATCH(INDEX(상세표[사번키],$H133),합계표[사번키],0))&amp;IF(INDEX(합계표[직급 공존],MATCH(INDEX(상세표[사번키],$H133),합계표[사번키],0))="",""," ("&amp;INDEX(합계표[직급 공존],MATCH(INDEX(상세표[사번키],$H133),합계표[사번키],0))&amp;")"),"")="",INDEX(상세표[직위],$H133)&amp;"",IFERROR(INDEX(합계표[직위(요약)],MATCH(INDEX(상세표[사번키],$H133),합계표[사번키],0))&amp;IF(INDEX(합계표[직급 공존],MATCH(INDEX(상세표[사번키],$H133),합계표[사번키],0))="",""," ("&amp;INDEX(합계표[직급 공존],MATCH(INDEX(상세표[사번키],$H133),합계표[사번키],0))&amp;")"),"")))</f>
        <v/>
      </c>
      <c r="E133">
        <f>IF($H133="","",COUNTIFS(상세표[사번키],INDEX(상세표[사번키],$H133),상세표[기록월],대상월키))</f>
        <v/>
      </c>
      <c r="F133" s="20">
        <f>IF($H133="","",SUMIFS(상세표[기록 시간외],상세표[사번키],INDEX(상세표[사번키],$H133),상세표[기록월],대상월키))</f>
        <v/>
      </c>
      <c r="G133" s="20">
        <f>IF($H133="","",SUMIFS(합계표[시스템 합계],합계표[사번키],INDEX(상세표[사번키],$H133)))</f>
        <v/>
      </c>
      <c r="H133" s="4">
        <f>IFERROR(MATCH(128,상세표[발송인원순번],0),"")</f>
        <v/>
      </c>
      <c r="J133">
        <f>IF($U133="","",INDEX(상세표[사번],$U133)&amp;"")</f>
        <v/>
      </c>
      <c r="K133">
        <f>IF($U133="","",INDEX(상세표[성명],$U133)&amp;"")</f>
        <v/>
      </c>
      <c r="L133">
        <f>IF($U133="","",INDEX(상세표[직위],$U133)&amp;"")</f>
        <v/>
      </c>
      <c r="M133">
        <f>IF($U133="","",IF(ISNUMBER(INDEX(상세표[근무일자],$U133)),TEXT(INDEX(상세표[근무일자],$U133),"yyyy-mm-dd"),INDEX(상세표[근무일자],$U133)&amp;""))</f>
        <v/>
      </c>
      <c r="N133">
        <f>IF($U133="","",IF(ISNUMBER(INDEX(상세표[시작],$U133)),TEXT(INDEX(상세표[시작],$U133),"yyyy-mm-dd hh:mm"),INDEX(상세표[시작],$U133)&amp;""))</f>
        <v/>
      </c>
      <c r="O133">
        <f>IF($U133="","",IF(ISNUMBER(INDEX(상세표[종료],$U133)),TEXT(INDEX(상세표[종료],$U133),"yyyy-mm-dd hh:mm"),INDEX(상세표[종료],$U133)&amp;""))</f>
        <v/>
      </c>
      <c r="P133" s="20">
        <f>IF($U133="","",INDEX(상세표[06~07시],$U133))</f>
        <v/>
      </c>
      <c r="Q133" s="20">
        <f>IF($U133="","",INDEX(상세표[07~18시],$U133))</f>
        <v/>
      </c>
      <c r="R133" s="20">
        <f>IF($U133="","",INDEX(상세표[18~22시],$U133))</f>
        <v/>
      </c>
      <c r="S133" s="20">
        <f>IF($U133="","",INDEX(상세표[22~06시],$U133))</f>
        <v/>
      </c>
      <c r="T133" s="20">
        <f>IF($U133="","",INDEX(상세표[기록 시간외],$U133))</f>
        <v/>
      </c>
      <c r="U133" s="4">
        <f>IFERROR(MATCH(128,상세표[발송순번],0),"")</f>
        <v/>
      </c>
    </row>
    <row r="134">
      <c r="A134">
        <f>IF($H134="","",INDEX(상세표[사번],$H134)&amp;"")</f>
        <v/>
      </c>
      <c r="B134">
        <f>IF($H134="","",INDEX(상세표[성명],$H134)&amp;"")</f>
        <v/>
      </c>
      <c r="C134">
        <f>IF($H134="","",INDEX(상세표[부서],$H134)&amp;"")</f>
        <v/>
      </c>
      <c r="D134">
        <f>IF($H134="","",IF(IFERROR(INDEX(합계표[직위(요약)],MATCH(INDEX(상세표[사번키],$H134),합계표[사번키],0))&amp;IF(INDEX(합계표[직급 공존],MATCH(INDEX(상세표[사번키],$H134),합계표[사번키],0))="",""," ("&amp;INDEX(합계표[직급 공존],MATCH(INDEX(상세표[사번키],$H134),합계표[사번키],0))&amp;")"),"")="",INDEX(상세표[직위],$H134)&amp;"",IFERROR(INDEX(합계표[직위(요약)],MATCH(INDEX(상세표[사번키],$H134),합계표[사번키],0))&amp;IF(INDEX(합계표[직급 공존],MATCH(INDEX(상세표[사번키],$H134),합계표[사번키],0))="",""," ("&amp;INDEX(합계표[직급 공존],MATCH(INDEX(상세표[사번키],$H134),합계표[사번키],0))&amp;")"),"")))</f>
        <v/>
      </c>
      <c r="E134">
        <f>IF($H134="","",COUNTIFS(상세표[사번키],INDEX(상세표[사번키],$H134),상세표[기록월],대상월키))</f>
        <v/>
      </c>
      <c r="F134" s="20">
        <f>IF($H134="","",SUMIFS(상세표[기록 시간외],상세표[사번키],INDEX(상세표[사번키],$H134),상세표[기록월],대상월키))</f>
        <v/>
      </c>
      <c r="G134" s="20">
        <f>IF($H134="","",SUMIFS(합계표[시스템 합계],합계표[사번키],INDEX(상세표[사번키],$H134)))</f>
        <v/>
      </c>
      <c r="H134" s="4">
        <f>IFERROR(MATCH(129,상세표[발송인원순번],0),"")</f>
        <v/>
      </c>
      <c r="J134">
        <f>IF($U134="","",INDEX(상세표[사번],$U134)&amp;"")</f>
        <v/>
      </c>
      <c r="K134">
        <f>IF($U134="","",INDEX(상세표[성명],$U134)&amp;"")</f>
        <v/>
      </c>
      <c r="L134">
        <f>IF($U134="","",INDEX(상세표[직위],$U134)&amp;"")</f>
        <v/>
      </c>
      <c r="M134">
        <f>IF($U134="","",IF(ISNUMBER(INDEX(상세표[근무일자],$U134)),TEXT(INDEX(상세표[근무일자],$U134),"yyyy-mm-dd"),INDEX(상세표[근무일자],$U134)&amp;""))</f>
        <v/>
      </c>
      <c r="N134">
        <f>IF($U134="","",IF(ISNUMBER(INDEX(상세표[시작],$U134)),TEXT(INDEX(상세표[시작],$U134),"yyyy-mm-dd hh:mm"),INDEX(상세표[시작],$U134)&amp;""))</f>
        <v/>
      </c>
      <c r="O134">
        <f>IF($U134="","",IF(ISNUMBER(INDEX(상세표[종료],$U134)),TEXT(INDEX(상세표[종료],$U134),"yyyy-mm-dd hh:mm"),INDEX(상세표[종료],$U134)&amp;""))</f>
        <v/>
      </c>
      <c r="P134" s="20">
        <f>IF($U134="","",INDEX(상세표[06~07시],$U134))</f>
        <v/>
      </c>
      <c r="Q134" s="20">
        <f>IF($U134="","",INDEX(상세표[07~18시],$U134))</f>
        <v/>
      </c>
      <c r="R134" s="20">
        <f>IF($U134="","",INDEX(상세표[18~22시],$U134))</f>
        <v/>
      </c>
      <c r="S134" s="20">
        <f>IF($U134="","",INDEX(상세표[22~06시],$U134))</f>
        <v/>
      </c>
      <c r="T134" s="20">
        <f>IF($U134="","",INDEX(상세표[기록 시간외],$U134))</f>
        <v/>
      </c>
      <c r="U134" s="4">
        <f>IFERROR(MATCH(129,상세표[발송순번],0),"")</f>
        <v/>
      </c>
    </row>
    <row r="135">
      <c r="A135">
        <f>IF($H135="","",INDEX(상세표[사번],$H135)&amp;"")</f>
        <v/>
      </c>
      <c r="B135">
        <f>IF($H135="","",INDEX(상세표[성명],$H135)&amp;"")</f>
        <v/>
      </c>
      <c r="C135">
        <f>IF($H135="","",INDEX(상세표[부서],$H135)&amp;"")</f>
        <v/>
      </c>
      <c r="D135">
        <f>IF($H135="","",IF(IFERROR(INDEX(합계표[직위(요약)],MATCH(INDEX(상세표[사번키],$H135),합계표[사번키],0))&amp;IF(INDEX(합계표[직급 공존],MATCH(INDEX(상세표[사번키],$H135),합계표[사번키],0))="",""," ("&amp;INDEX(합계표[직급 공존],MATCH(INDEX(상세표[사번키],$H135),합계표[사번키],0))&amp;")"),"")="",INDEX(상세표[직위],$H135)&amp;"",IFERROR(INDEX(합계표[직위(요약)],MATCH(INDEX(상세표[사번키],$H135),합계표[사번키],0))&amp;IF(INDEX(합계표[직급 공존],MATCH(INDEX(상세표[사번키],$H135),합계표[사번키],0))="",""," ("&amp;INDEX(합계표[직급 공존],MATCH(INDEX(상세표[사번키],$H135),합계표[사번키],0))&amp;")"),"")))</f>
        <v/>
      </c>
      <c r="E135">
        <f>IF($H135="","",COUNTIFS(상세표[사번키],INDEX(상세표[사번키],$H135),상세표[기록월],대상월키))</f>
        <v/>
      </c>
      <c r="F135" s="20">
        <f>IF($H135="","",SUMIFS(상세표[기록 시간외],상세표[사번키],INDEX(상세표[사번키],$H135),상세표[기록월],대상월키))</f>
        <v/>
      </c>
      <c r="G135" s="20">
        <f>IF($H135="","",SUMIFS(합계표[시스템 합계],합계표[사번키],INDEX(상세표[사번키],$H135)))</f>
        <v/>
      </c>
      <c r="H135" s="4">
        <f>IFERROR(MATCH(130,상세표[발송인원순번],0),"")</f>
        <v/>
      </c>
      <c r="J135">
        <f>IF($U135="","",INDEX(상세표[사번],$U135)&amp;"")</f>
        <v/>
      </c>
      <c r="K135">
        <f>IF($U135="","",INDEX(상세표[성명],$U135)&amp;"")</f>
        <v/>
      </c>
      <c r="L135">
        <f>IF($U135="","",INDEX(상세표[직위],$U135)&amp;"")</f>
        <v/>
      </c>
      <c r="M135">
        <f>IF($U135="","",IF(ISNUMBER(INDEX(상세표[근무일자],$U135)),TEXT(INDEX(상세표[근무일자],$U135),"yyyy-mm-dd"),INDEX(상세표[근무일자],$U135)&amp;""))</f>
        <v/>
      </c>
      <c r="N135">
        <f>IF($U135="","",IF(ISNUMBER(INDEX(상세표[시작],$U135)),TEXT(INDEX(상세표[시작],$U135),"yyyy-mm-dd hh:mm"),INDEX(상세표[시작],$U135)&amp;""))</f>
        <v/>
      </c>
      <c r="O135">
        <f>IF($U135="","",IF(ISNUMBER(INDEX(상세표[종료],$U135)),TEXT(INDEX(상세표[종료],$U135),"yyyy-mm-dd hh:mm"),INDEX(상세표[종료],$U135)&amp;""))</f>
        <v/>
      </c>
      <c r="P135" s="20">
        <f>IF($U135="","",INDEX(상세표[06~07시],$U135))</f>
        <v/>
      </c>
      <c r="Q135" s="20">
        <f>IF($U135="","",INDEX(상세표[07~18시],$U135))</f>
        <v/>
      </c>
      <c r="R135" s="20">
        <f>IF($U135="","",INDEX(상세표[18~22시],$U135))</f>
        <v/>
      </c>
      <c r="S135" s="20">
        <f>IF($U135="","",INDEX(상세표[22~06시],$U135))</f>
        <v/>
      </c>
      <c r="T135" s="20">
        <f>IF($U135="","",INDEX(상세표[기록 시간외],$U135))</f>
        <v/>
      </c>
      <c r="U135" s="4">
        <f>IFERROR(MATCH(130,상세표[발송순번],0),"")</f>
        <v/>
      </c>
    </row>
    <row r="136">
      <c r="A136">
        <f>IF($H136="","",INDEX(상세표[사번],$H136)&amp;"")</f>
        <v/>
      </c>
      <c r="B136">
        <f>IF($H136="","",INDEX(상세표[성명],$H136)&amp;"")</f>
        <v/>
      </c>
      <c r="C136">
        <f>IF($H136="","",INDEX(상세표[부서],$H136)&amp;"")</f>
        <v/>
      </c>
      <c r="D136">
        <f>IF($H136="","",IF(IFERROR(INDEX(합계표[직위(요약)],MATCH(INDEX(상세표[사번키],$H136),합계표[사번키],0))&amp;IF(INDEX(합계표[직급 공존],MATCH(INDEX(상세표[사번키],$H136),합계표[사번키],0))="",""," ("&amp;INDEX(합계표[직급 공존],MATCH(INDEX(상세표[사번키],$H136),합계표[사번키],0))&amp;")"),"")="",INDEX(상세표[직위],$H136)&amp;"",IFERROR(INDEX(합계표[직위(요약)],MATCH(INDEX(상세표[사번키],$H136),합계표[사번키],0))&amp;IF(INDEX(합계표[직급 공존],MATCH(INDEX(상세표[사번키],$H136),합계표[사번키],0))="",""," ("&amp;INDEX(합계표[직급 공존],MATCH(INDEX(상세표[사번키],$H136),합계표[사번키],0))&amp;")"),"")))</f>
        <v/>
      </c>
      <c r="E136">
        <f>IF($H136="","",COUNTIFS(상세표[사번키],INDEX(상세표[사번키],$H136),상세표[기록월],대상월키))</f>
        <v/>
      </c>
      <c r="F136" s="20">
        <f>IF($H136="","",SUMIFS(상세표[기록 시간외],상세표[사번키],INDEX(상세표[사번키],$H136),상세표[기록월],대상월키))</f>
        <v/>
      </c>
      <c r="G136" s="20">
        <f>IF($H136="","",SUMIFS(합계표[시스템 합계],합계표[사번키],INDEX(상세표[사번키],$H136)))</f>
        <v/>
      </c>
      <c r="H136" s="4">
        <f>IFERROR(MATCH(131,상세표[발송인원순번],0),"")</f>
        <v/>
      </c>
      <c r="J136">
        <f>IF($U136="","",INDEX(상세표[사번],$U136)&amp;"")</f>
        <v/>
      </c>
      <c r="K136">
        <f>IF($U136="","",INDEX(상세표[성명],$U136)&amp;"")</f>
        <v/>
      </c>
      <c r="L136">
        <f>IF($U136="","",INDEX(상세표[직위],$U136)&amp;"")</f>
        <v/>
      </c>
      <c r="M136">
        <f>IF($U136="","",IF(ISNUMBER(INDEX(상세표[근무일자],$U136)),TEXT(INDEX(상세표[근무일자],$U136),"yyyy-mm-dd"),INDEX(상세표[근무일자],$U136)&amp;""))</f>
        <v/>
      </c>
      <c r="N136">
        <f>IF($U136="","",IF(ISNUMBER(INDEX(상세표[시작],$U136)),TEXT(INDEX(상세표[시작],$U136),"yyyy-mm-dd hh:mm"),INDEX(상세표[시작],$U136)&amp;""))</f>
        <v/>
      </c>
      <c r="O136">
        <f>IF($U136="","",IF(ISNUMBER(INDEX(상세표[종료],$U136)),TEXT(INDEX(상세표[종료],$U136),"yyyy-mm-dd hh:mm"),INDEX(상세표[종료],$U136)&amp;""))</f>
        <v/>
      </c>
      <c r="P136" s="20">
        <f>IF($U136="","",INDEX(상세표[06~07시],$U136))</f>
        <v/>
      </c>
      <c r="Q136" s="20">
        <f>IF($U136="","",INDEX(상세표[07~18시],$U136))</f>
        <v/>
      </c>
      <c r="R136" s="20">
        <f>IF($U136="","",INDEX(상세표[18~22시],$U136))</f>
        <v/>
      </c>
      <c r="S136" s="20">
        <f>IF($U136="","",INDEX(상세표[22~06시],$U136))</f>
        <v/>
      </c>
      <c r="T136" s="20">
        <f>IF($U136="","",INDEX(상세표[기록 시간외],$U136))</f>
        <v/>
      </c>
      <c r="U136" s="4">
        <f>IFERROR(MATCH(131,상세표[발송순번],0),"")</f>
        <v/>
      </c>
    </row>
    <row r="137">
      <c r="A137">
        <f>IF($H137="","",INDEX(상세표[사번],$H137)&amp;"")</f>
        <v/>
      </c>
      <c r="B137">
        <f>IF($H137="","",INDEX(상세표[성명],$H137)&amp;"")</f>
        <v/>
      </c>
      <c r="C137">
        <f>IF($H137="","",INDEX(상세표[부서],$H137)&amp;"")</f>
        <v/>
      </c>
      <c r="D137">
        <f>IF($H137="","",IF(IFERROR(INDEX(합계표[직위(요약)],MATCH(INDEX(상세표[사번키],$H137),합계표[사번키],0))&amp;IF(INDEX(합계표[직급 공존],MATCH(INDEX(상세표[사번키],$H137),합계표[사번키],0))="",""," ("&amp;INDEX(합계표[직급 공존],MATCH(INDEX(상세표[사번키],$H137),합계표[사번키],0))&amp;")"),"")="",INDEX(상세표[직위],$H137)&amp;"",IFERROR(INDEX(합계표[직위(요약)],MATCH(INDEX(상세표[사번키],$H137),합계표[사번키],0))&amp;IF(INDEX(합계표[직급 공존],MATCH(INDEX(상세표[사번키],$H137),합계표[사번키],0))="",""," ("&amp;INDEX(합계표[직급 공존],MATCH(INDEX(상세표[사번키],$H137),합계표[사번키],0))&amp;")"),"")))</f>
        <v/>
      </c>
      <c r="E137">
        <f>IF($H137="","",COUNTIFS(상세표[사번키],INDEX(상세표[사번키],$H137),상세표[기록월],대상월키))</f>
        <v/>
      </c>
      <c r="F137" s="20">
        <f>IF($H137="","",SUMIFS(상세표[기록 시간외],상세표[사번키],INDEX(상세표[사번키],$H137),상세표[기록월],대상월키))</f>
        <v/>
      </c>
      <c r="G137" s="20">
        <f>IF($H137="","",SUMIFS(합계표[시스템 합계],합계표[사번키],INDEX(상세표[사번키],$H137)))</f>
        <v/>
      </c>
      <c r="H137" s="4">
        <f>IFERROR(MATCH(132,상세표[발송인원순번],0),"")</f>
        <v/>
      </c>
      <c r="J137">
        <f>IF($U137="","",INDEX(상세표[사번],$U137)&amp;"")</f>
        <v/>
      </c>
      <c r="K137">
        <f>IF($U137="","",INDEX(상세표[성명],$U137)&amp;"")</f>
        <v/>
      </c>
      <c r="L137">
        <f>IF($U137="","",INDEX(상세표[직위],$U137)&amp;"")</f>
        <v/>
      </c>
      <c r="M137">
        <f>IF($U137="","",IF(ISNUMBER(INDEX(상세표[근무일자],$U137)),TEXT(INDEX(상세표[근무일자],$U137),"yyyy-mm-dd"),INDEX(상세표[근무일자],$U137)&amp;""))</f>
        <v/>
      </c>
      <c r="N137">
        <f>IF($U137="","",IF(ISNUMBER(INDEX(상세표[시작],$U137)),TEXT(INDEX(상세표[시작],$U137),"yyyy-mm-dd hh:mm"),INDEX(상세표[시작],$U137)&amp;""))</f>
        <v/>
      </c>
      <c r="O137">
        <f>IF($U137="","",IF(ISNUMBER(INDEX(상세표[종료],$U137)),TEXT(INDEX(상세표[종료],$U137),"yyyy-mm-dd hh:mm"),INDEX(상세표[종료],$U137)&amp;""))</f>
        <v/>
      </c>
      <c r="P137" s="20">
        <f>IF($U137="","",INDEX(상세표[06~07시],$U137))</f>
        <v/>
      </c>
      <c r="Q137" s="20">
        <f>IF($U137="","",INDEX(상세표[07~18시],$U137))</f>
        <v/>
      </c>
      <c r="R137" s="20">
        <f>IF($U137="","",INDEX(상세표[18~22시],$U137))</f>
        <v/>
      </c>
      <c r="S137" s="20">
        <f>IF($U137="","",INDEX(상세표[22~06시],$U137))</f>
        <v/>
      </c>
      <c r="T137" s="20">
        <f>IF($U137="","",INDEX(상세표[기록 시간외],$U137))</f>
        <v/>
      </c>
      <c r="U137" s="4">
        <f>IFERROR(MATCH(132,상세표[발송순번],0),"")</f>
        <v/>
      </c>
    </row>
    <row r="138">
      <c r="A138">
        <f>IF($H138="","",INDEX(상세표[사번],$H138)&amp;"")</f>
        <v/>
      </c>
      <c r="B138">
        <f>IF($H138="","",INDEX(상세표[성명],$H138)&amp;"")</f>
        <v/>
      </c>
      <c r="C138">
        <f>IF($H138="","",INDEX(상세표[부서],$H138)&amp;"")</f>
        <v/>
      </c>
      <c r="D138">
        <f>IF($H138="","",IF(IFERROR(INDEX(합계표[직위(요약)],MATCH(INDEX(상세표[사번키],$H138),합계표[사번키],0))&amp;IF(INDEX(합계표[직급 공존],MATCH(INDEX(상세표[사번키],$H138),합계표[사번키],0))="",""," ("&amp;INDEX(합계표[직급 공존],MATCH(INDEX(상세표[사번키],$H138),합계표[사번키],0))&amp;")"),"")="",INDEX(상세표[직위],$H138)&amp;"",IFERROR(INDEX(합계표[직위(요약)],MATCH(INDEX(상세표[사번키],$H138),합계표[사번키],0))&amp;IF(INDEX(합계표[직급 공존],MATCH(INDEX(상세표[사번키],$H138),합계표[사번키],0))="",""," ("&amp;INDEX(합계표[직급 공존],MATCH(INDEX(상세표[사번키],$H138),합계표[사번키],0))&amp;")"),"")))</f>
        <v/>
      </c>
      <c r="E138">
        <f>IF($H138="","",COUNTIFS(상세표[사번키],INDEX(상세표[사번키],$H138),상세표[기록월],대상월키))</f>
        <v/>
      </c>
      <c r="F138" s="20">
        <f>IF($H138="","",SUMIFS(상세표[기록 시간외],상세표[사번키],INDEX(상세표[사번키],$H138),상세표[기록월],대상월키))</f>
        <v/>
      </c>
      <c r="G138" s="20">
        <f>IF($H138="","",SUMIFS(합계표[시스템 합계],합계표[사번키],INDEX(상세표[사번키],$H138)))</f>
        <v/>
      </c>
      <c r="H138" s="4">
        <f>IFERROR(MATCH(133,상세표[발송인원순번],0),"")</f>
        <v/>
      </c>
      <c r="J138">
        <f>IF($U138="","",INDEX(상세표[사번],$U138)&amp;"")</f>
        <v/>
      </c>
      <c r="K138">
        <f>IF($U138="","",INDEX(상세표[성명],$U138)&amp;"")</f>
        <v/>
      </c>
      <c r="L138">
        <f>IF($U138="","",INDEX(상세표[직위],$U138)&amp;"")</f>
        <v/>
      </c>
      <c r="M138">
        <f>IF($U138="","",IF(ISNUMBER(INDEX(상세표[근무일자],$U138)),TEXT(INDEX(상세표[근무일자],$U138),"yyyy-mm-dd"),INDEX(상세표[근무일자],$U138)&amp;""))</f>
        <v/>
      </c>
      <c r="N138">
        <f>IF($U138="","",IF(ISNUMBER(INDEX(상세표[시작],$U138)),TEXT(INDEX(상세표[시작],$U138),"yyyy-mm-dd hh:mm"),INDEX(상세표[시작],$U138)&amp;""))</f>
        <v/>
      </c>
      <c r="O138">
        <f>IF($U138="","",IF(ISNUMBER(INDEX(상세표[종료],$U138)),TEXT(INDEX(상세표[종료],$U138),"yyyy-mm-dd hh:mm"),INDEX(상세표[종료],$U138)&amp;""))</f>
        <v/>
      </c>
      <c r="P138" s="20">
        <f>IF($U138="","",INDEX(상세표[06~07시],$U138))</f>
        <v/>
      </c>
      <c r="Q138" s="20">
        <f>IF($U138="","",INDEX(상세표[07~18시],$U138))</f>
        <v/>
      </c>
      <c r="R138" s="20">
        <f>IF($U138="","",INDEX(상세표[18~22시],$U138))</f>
        <v/>
      </c>
      <c r="S138" s="20">
        <f>IF($U138="","",INDEX(상세표[22~06시],$U138))</f>
        <v/>
      </c>
      <c r="T138" s="20">
        <f>IF($U138="","",INDEX(상세표[기록 시간외],$U138))</f>
        <v/>
      </c>
      <c r="U138" s="4">
        <f>IFERROR(MATCH(133,상세표[발송순번],0),"")</f>
        <v/>
      </c>
    </row>
    <row r="139">
      <c r="A139">
        <f>IF($H139="","",INDEX(상세표[사번],$H139)&amp;"")</f>
        <v/>
      </c>
      <c r="B139">
        <f>IF($H139="","",INDEX(상세표[성명],$H139)&amp;"")</f>
        <v/>
      </c>
      <c r="C139">
        <f>IF($H139="","",INDEX(상세표[부서],$H139)&amp;"")</f>
        <v/>
      </c>
      <c r="D139">
        <f>IF($H139="","",IF(IFERROR(INDEX(합계표[직위(요약)],MATCH(INDEX(상세표[사번키],$H139),합계표[사번키],0))&amp;IF(INDEX(합계표[직급 공존],MATCH(INDEX(상세표[사번키],$H139),합계표[사번키],0))="",""," ("&amp;INDEX(합계표[직급 공존],MATCH(INDEX(상세표[사번키],$H139),합계표[사번키],0))&amp;")"),"")="",INDEX(상세표[직위],$H139)&amp;"",IFERROR(INDEX(합계표[직위(요약)],MATCH(INDEX(상세표[사번키],$H139),합계표[사번키],0))&amp;IF(INDEX(합계표[직급 공존],MATCH(INDEX(상세표[사번키],$H139),합계표[사번키],0))="",""," ("&amp;INDEX(합계표[직급 공존],MATCH(INDEX(상세표[사번키],$H139),합계표[사번키],0))&amp;")"),"")))</f>
        <v/>
      </c>
      <c r="E139">
        <f>IF($H139="","",COUNTIFS(상세표[사번키],INDEX(상세표[사번키],$H139),상세표[기록월],대상월키))</f>
        <v/>
      </c>
      <c r="F139" s="20">
        <f>IF($H139="","",SUMIFS(상세표[기록 시간외],상세표[사번키],INDEX(상세표[사번키],$H139),상세표[기록월],대상월키))</f>
        <v/>
      </c>
      <c r="G139" s="20">
        <f>IF($H139="","",SUMIFS(합계표[시스템 합계],합계표[사번키],INDEX(상세표[사번키],$H139)))</f>
        <v/>
      </c>
      <c r="H139" s="4">
        <f>IFERROR(MATCH(134,상세표[발송인원순번],0),"")</f>
        <v/>
      </c>
      <c r="J139">
        <f>IF($U139="","",INDEX(상세표[사번],$U139)&amp;"")</f>
        <v/>
      </c>
      <c r="K139">
        <f>IF($U139="","",INDEX(상세표[성명],$U139)&amp;"")</f>
        <v/>
      </c>
      <c r="L139">
        <f>IF($U139="","",INDEX(상세표[직위],$U139)&amp;"")</f>
        <v/>
      </c>
      <c r="M139">
        <f>IF($U139="","",IF(ISNUMBER(INDEX(상세표[근무일자],$U139)),TEXT(INDEX(상세표[근무일자],$U139),"yyyy-mm-dd"),INDEX(상세표[근무일자],$U139)&amp;""))</f>
        <v/>
      </c>
      <c r="N139">
        <f>IF($U139="","",IF(ISNUMBER(INDEX(상세표[시작],$U139)),TEXT(INDEX(상세표[시작],$U139),"yyyy-mm-dd hh:mm"),INDEX(상세표[시작],$U139)&amp;""))</f>
        <v/>
      </c>
      <c r="O139">
        <f>IF($U139="","",IF(ISNUMBER(INDEX(상세표[종료],$U139)),TEXT(INDEX(상세표[종료],$U139),"yyyy-mm-dd hh:mm"),INDEX(상세표[종료],$U139)&amp;""))</f>
        <v/>
      </c>
      <c r="P139" s="20">
        <f>IF($U139="","",INDEX(상세표[06~07시],$U139))</f>
        <v/>
      </c>
      <c r="Q139" s="20">
        <f>IF($U139="","",INDEX(상세표[07~18시],$U139))</f>
        <v/>
      </c>
      <c r="R139" s="20">
        <f>IF($U139="","",INDEX(상세표[18~22시],$U139))</f>
        <v/>
      </c>
      <c r="S139" s="20">
        <f>IF($U139="","",INDEX(상세표[22~06시],$U139))</f>
        <v/>
      </c>
      <c r="T139" s="20">
        <f>IF($U139="","",INDEX(상세표[기록 시간외],$U139))</f>
        <v/>
      </c>
      <c r="U139" s="4">
        <f>IFERROR(MATCH(134,상세표[발송순번],0),"")</f>
        <v/>
      </c>
    </row>
    <row r="140">
      <c r="A140">
        <f>IF($H140="","",INDEX(상세표[사번],$H140)&amp;"")</f>
        <v/>
      </c>
      <c r="B140">
        <f>IF($H140="","",INDEX(상세표[성명],$H140)&amp;"")</f>
        <v/>
      </c>
      <c r="C140">
        <f>IF($H140="","",INDEX(상세표[부서],$H140)&amp;"")</f>
        <v/>
      </c>
      <c r="D140">
        <f>IF($H140="","",IF(IFERROR(INDEX(합계표[직위(요약)],MATCH(INDEX(상세표[사번키],$H140),합계표[사번키],0))&amp;IF(INDEX(합계표[직급 공존],MATCH(INDEX(상세표[사번키],$H140),합계표[사번키],0))="",""," ("&amp;INDEX(합계표[직급 공존],MATCH(INDEX(상세표[사번키],$H140),합계표[사번키],0))&amp;")"),"")="",INDEX(상세표[직위],$H140)&amp;"",IFERROR(INDEX(합계표[직위(요약)],MATCH(INDEX(상세표[사번키],$H140),합계표[사번키],0))&amp;IF(INDEX(합계표[직급 공존],MATCH(INDEX(상세표[사번키],$H140),합계표[사번키],0))="",""," ("&amp;INDEX(합계표[직급 공존],MATCH(INDEX(상세표[사번키],$H140),합계표[사번키],0))&amp;")"),"")))</f>
        <v/>
      </c>
      <c r="E140">
        <f>IF($H140="","",COUNTIFS(상세표[사번키],INDEX(상세표[사번키],$H140),상세표[기록월],대상월키))</f>
        <v/>
      </c>
      <c r="F140" s="20">
        <f>IF($H140="","",SUMIFS(상세표[기록 시간외],상세표[사번키],INDEX(상세표[사번키],$H140),상세표[기록월],대상월키))</f>
        <v/>
      </c>
      <c r="G140" s="20">
        <f>IF($H140="","",SUMIFS(합계표[시스템 합계],합계표[사번키],INDEX(상세표[사번키],$H140)))</f>
        <v/>
      </c>
      <c r="H140" s="4">
        <f>IFERROR(MATCH(135,상세표[발송인원순번],0),"")</f>
        <v/>
      </c>
      <c r="J140">
        <f>IF($U140="","",INDEX(상세표[사번],$U140)&amp;"")</f>
        <v/>
      </c>
      <c r="K140">
        <f>IF($U140="","",INDEX(상세표[성명],$U140)&amp;"")</f>
        <v/>
      </c>
      <c r="L140">
        <f>IF($U140="","",INDEX(상세표[직위],$U140)&amp;"")</f>
        <v/>
      </c>
      <c r="M140">
        <f>IF($U140="","",IF(ISNUMBER(INDEX(상세표[근무일자],$U140)),TEXT(INDEX(상세표[근무일자],$U140),"yyyy-mm-dd"),INDEX(상세표[근무일자],$U140)&amp;""))</f>
        <v/>
      </c>
      <c r="N140">
        <f>IF($U140="","",IF(ISNUMBER(INDEX(상세표[시작],$U140)),TEXT(INDEX(상세표[시작],$U140),"yyyy-mm-dd hh:mm"),INDEX(상세표[시작],$U140)&amp;""))</f>
        <v/>
      </c>
      <c r="O140">
        <f>IF($U140="","",IF(ISNUMBER(INDEX(상세표[종료],$U140)),TEXT(INDEX(상세표[종료],$U140),"yyyy-mm-dd hh:mm"),INDEX(상세표[종료],$U140)&amp;""))</f>
        <v/>
      </c>
      <c r="P140" s="20">
        <f>IF($U140="","",INDEX(상세표[06~07시],$U140))</f>
        <v/>
      </c>
      <c r="Q140" s="20">
        <f>IF($U140="","",INDEX(상세표[07~18시],$U140))</f>
        <v/>
      </c>
      <c r="R140" s="20">
        <f>IF($U140="","",INDEX(상세표[18~22시],$U140))</f>
        <v/>
      </c>
      <c r="S140" s="20">
        <f>IF($U140="","",INDEX(상세표[22~06시],$U140))</f>
        <v/>
      </c>
      <c r="T140" s="20">
        <f>IF($U140="","",INDEX(상세표[기록 시간외],$U140))</f>
        <v/>
      </c>
      <c r="U140" s="4">
        <f>IFERROR(MATCH(135,상세표[발송순번],0),"")</f>
        <v/>
      </c>
    </row>
    <row r="141">
      <c r="A141">
        <f>IF($H141="","",INDEX(상세표[사번],$H141)&amp;"")</f>
        <v/>
      </c>
      <c r="B141">
        <f>IF($H141="","",INDEX(상세표[성명],$H141)&amp;"")</f>
        <v/>
      </c>
      <c r="C141">
        <f>IF($H141="","",INDEX(상세표[부서],$H141)&amp;"")</f>
        <v/>
      </c>
      <c r="D141">
        <f>IF($H141="","",IF(IFERROR(INDEX(합계표[직위(요약)],MATCH(INDEX(상세표[사번키],$H141),합계표[사번키],0))&amp;IF(INDEX(합계표[직급 공존],MATCH(INDEX(상세표[사번키],$H141),합계표[사번키],0))="",""," ("&amp;INDEX(합계표[직급 공존],MATCH(INDEX(상세표[사번키],$H141),합계표[사번키],0))&amp;")"),"")="",INDEX(상세표[직위],$H141)&amp;"",IFERROR(INDEX(합계표[직위(요약)],MATCH(INDEX(상세표[사번키],$H141),합계표[사번키],0))&amp;IF(INDEX(합계표[직급 공존],MATCH(INDEX(상세표[사번키],$H141),합계표[사번키],0))="",""," ("&amp;INDEX(합계표[직급 공존],MATCH(INDEX(상세표[사번키],$H141),합계표[사번키],0))&amp;")"),"")))</f>
        <v/>
      </c>
      <c r="E141">
        <f>IF($H141="","",COUNTIFS(상세표[사번키],INDEX(상세표[사번키],$H141),상세표[기록월],대상월키))</f>
        <v/>
      </c>
      <c r="F141" s="20">
        <f>IF($H141="","",SUMIFS(상세표[기록 시간외],상세표[사번키],INDEX(상세표[사번키],$H141),상세표[기록월],대상월키))</f>
        <v/>
      </c>
      <c r="G141" s="20">
        <f>IF($H141="","",SUMIFS(합계표[시스템 합계],합계표[사번키],INDEX(상세표[사번키],$H141)))</f>
        <v/>
      </c>
      <c r="H141" s="4">
        <f>IFERROR(MATCH(136,상세표[발송인원순번],0),"")</f>
        <v/>
      </c>
      <c r="J141">
        <f>IF($U141="","",INDEX(상세표[사번],$U141)&amp;"")</f>
        <v/>
      </c>
      <c r="K141">
        <f>IF($U141="","",INDEX(상세표[성명],$U141)&amp;"")</f>
        <v/>
      </c>
      <c r="L141">
        <f>IF($U141="","",INDEX(상세표[직위],$U141)&amp;"")</f>
        <v/>
      </c>
      <c r="M141">
        <f>IF($U141="","",IF(ISNUMBER(INDEX(상세표[근무일자],$U141)),TEXT(INDEX(상세표[근무일자],$U141),"yyyy-mm-dd"),INDEX(상세표[근무일자],$U141)&amp;""))</f>
        <v/>
      </c>
      <c r="N141">
        <f>IF($U141="","",IF(ISNUMBER(INDEX(상세표[시작],$U141)),TEXT(INDEX(상세표[시작],$U141),"yyyy-mm-dd hh:mm"),INDEX(상세표[시작],$U141)&amp;""))</f>
        <v/>
      </c>
      <c r="O141">
        <f>IF($U141="","",IF(ISNUMBER(INDEX(상세표[종료],$U141)),TEXT(INDEX(상세표[종료],$U141),"yyyy-mm-dd hh:mm"),INDEX(상세표[종료],$U141)&amp;""))</f>
        <v/>
      </c>
      <c r="P141" s="20">
        <f>IF($U141="","",INDEX(상세표[06~07시],$U141))</f>
        <v/>
      </c>
      <c r="Q141" s="20">
        <f>IF($U141="","",INDEX(상세표[07~18시],$U141))</f>
        <v/>
      </c>
      <c r="R141" s="20">
        <f>IF($U141="","",INDEX(상세표[18~22시],$U141))</f>
        <v/>
      </c>
      <c r="S141" s="20">
        <f>IF($U141="","",INDEX(상세표[22~06시],$U141))</f>
        <v/>
      </c>
      <c r="T141" s="20">
        <f>IF($U141="","",INDEX(상세표[기록 시간외],$U141))</f>
        <v/>
      </c>
      <c r="U141" s="4">
        <f>IFERROR(MATCH(136,상세표[발송순번],0),"")</f>
        <v/>
      </c>
    </row>
    <row r="142">
      <c r="A142">
        <f>IF($H142="","",INDEX(상세표[사번],$H142)&amp;"")</f>
        <v/>
      </c>
      <c r="B142">
        <f>IF($H142="","",INDEX(상세표[성명],$H142)&amp;"")</f>
        <v/>
      </c>
      <c r="C142">
        <f>IF($H142="","",INDEX(상세표[부서],$H142)&amp;"")</f>
        <v/>
      </c>
      <c r="D142">
        <f>IF($H142="","",IF(IFERROR(INDEX(합계표[직위(요약)],MATCH(INDEX(상세표[사번키],$H142),합계표[사번키],0))&amp;IF(INDEX(합계표[직급 공존],MATCH(INDEX(상세표[사번키],$H142),합계표[사번키],0))="",""," ("&amp;INDEX(합계표[직급 공존],MATCH(INDEX(상세표[사번키],$H142),합계표[사번키],0))&amp;")"),"")="",INDEX(상세표[직위],$H142)&amp;"",IFERROR(INDEX(합계표[직위(요약)],MATCH(INDEX(상세표[사번키],$H142),합계표[사번키],0))&amp;IF(INDEX(합계표[직급 공존],MATCH(INDEX(상세표[사번키],$H142),합계표[사번키],0))="",""," ("&amp;INDEX(합계표[직급 공존],MATCH(INDEX(상세표[사번키],$H142),합계표[사번키],0))&amp;")"),"")))</f>
        <v/>
      </c>
      <c r="E142">
        <f>IF($H142="","",COUNTIFS(상세표[사번키],INDEX(상세표[사번키],$H142),상세표[기록월],대상월키))</f>
        <v/>
      </c>
      <c r="F142" s="20">
        <f>IF($H142="","",SUMIFS(상세표[기록 시간외],상세표[사번키],INDEX(상세표[사번키],$H142),상세표[기록월],대상월키))</f>
        <v/>
      </c>
      <c r="G142" s="20">
        <f>IF($H142="","",SUMIFS(합계표[시스템 합계],합계표[사번키],INDEX(상세표[사번키],$H142)))</f>
        <v/>
      </c>
      <c r="H142" s="4">
        <f>IFERROR(MATCH(137,상세표[발송인원순번],0),"")</f>
        <v/>
      </c>
      <c r="J142">
        <f>IF($U142="","",INDEX(상세표[사번],$U142)&amp;"")</f>
        <v/>
      </c>
      <c r="K142">
        <f>IF($U142="","",INDEX(상세표[성명],$U142)&amp;"")</f>
        <v/>
      </c>
      <c r="L142">
        <f>IF($U142="","",INDEX(상세표[직위],$U142)&amp;"")</f>
        <v/>
      </c>
      <c r="M142">
        <f>IF($U142="","",IF(ISNUMBER(INDEX(상세표[근무일자],$U142)),TEXT(INDEX(상세표[근무일자],$U142),"yyyy-mm-dd"),INDEX(상세표[근무일자],$U142)&amp;""))</f>
        <v/>
      </c>
      <c r="N142">
        <f>IF($U142="","",IF(ISNUMBER(INDEX(상세표[시작],$U142)),TEXT(INDEX(상세표[시작],$U142),"yyyy-mm-dd hh:mm"),INDEX(상세표[시작],$U142)&amp;""))</f>
        <v/>
      </c>
      <c r="O142">
        <f>IF($U142="","",IF(ISNUMBER(INDEX(상세표[종료],$U142)),TEXT(INDEX(상세표[종료],$U142),"yyyy-mm-dd hh:mm"),INDEX(상세표[종료],$U142)&amp;""))</f>
        <v/>
      </c>
      <c r="P142" s="20">
        <f>IF($U142="","",INDEX(상세표[06~07시],$U142))</f>
        <v/>
      </c>
      <c r="Q142" s="20">
        <f>IF($U142="","",INDEX(상세표[07~18시],$U142))</f>
        <v/>
      </c>
      <c r="R142" s="20">
        <f>IF($U142="","",INDEX(상세표[18~22시],$U142))</f>
        <v/>
      </c>
      <c r="S142" s="20">
        <f>IF($U142="","",INDEX(상세표[22~06시],$U142))</f>
        <v/>
      </c>
      <c r="T142" s="20">
        <f>IF($U142="","",INDEX(상세표[기록 시간외],$U142))</f>
        <v/>
      </c>
      <c r="U142" s="4">
        <f>IFERROR(MATCH(137,상세표[발송순번],0),"")</f>
        <v/>
      </c>
    </row>
    <row r="143">
      <c r="A143">
        <f>IF($H143="","",INDEX(상세표[사번],$H143)&amp;"")</f>
        <v/>
      </c>
      <c r="B143">
        <f>IF($H143="","",INDEX(상세표[성명],$H143)&amp;"")</f>
        <v/>
      </c>
      <c r="C143">
        <f>IF($H143="","",INDEX(상세표[부서],$H143)&amp;"")</f>
        <v/>
      </c>
      <c r="D143">
        <f>IF($H143="","",IF(IFERROR(INDEX(합계표[직위(요약)],MATCH(INDEX(상세표[사번키],$H143),합계표[사번키],0))&amp;IF(INDEX(합계표[직급 공존],MATCH(INDEX(상세표[사번키],$H143),합계표[사번키],0))="",""," ("&amp;INDEX(합계표[직급 공존],MATCH(INDEX(상세표[사번키],$H143),합계표[사번키],0))&amp;")"),"")="",INDEX(상세표[직위],$H143)&amp;"",IFERROR(INDEX(합계표[직위(요약)],MATCH(INDEX(상세표[사번키],$H143),합계표[사번키],0))&amp;IF(INDEX(합계표[직급 공존],MATCH(INDEX(상세표[사번키],$H143),합계표[사번키],0))="",""," ("&amp;INDEX(합계표[직급 공존],MATCH(INDEX(상세표[사번키],$H143),합계표[사번키],0))&amp;")"),"")))</f>
        <v/>
      </c>
      <c r="E143">
        <f>IF($H143="","",COUNTIFS(상세표[사번키],INDEX(상세표[사번키],$H143),상세표[기록월],대상월키))</f>
        <v/>
      </c>
      <c r="F143" s="20">
        <f>IF($H143="","",SUMIFS(상세표[기록 시간외],상세표[사번키],INDEX(상세표[사번키],$H143),상세표[기록월],대상월키))</f>
        <v/>
      </c>
      <c r="G143" s="20">
        <f>IF($H143="","",SUMIFS(합계표[시스템 합계],합계표[사번키],INDEX(상세표[사번키],$H143)))</f>
        <v/>
      </c>
      <c r="H143" s="4">
        <f>IFERROR(MATCH(138,상세표[발송인원순번],0),"")</f>
        <v/>
      </c>
      <c r="J143">
        <f>IF($U143="","",INDEX(상세표[사번],$U143)&amp;"")</f>
        <v/>
      </c>
      <c r="K143">
        <f>IF($U143="","",INDEX(상세표[성명],$U143)&amp;"")</f>
        <v/>
      </c>
      <c r="L143">
        <f>IF($U143="","",INDEX(상세표[직위],$U143)&amp;"")</f>
        <v/>
      </c>
      <c r="M143">
        <f>IF($U143="","",IF(ISNUMBER(INDEX(상세표[근무일자],$U143)),TEXT(INDEX(상세표[근무일자],$U143),"yyyy-mm-dd"),INDEX(상세표[근무일자],$U143)&amp;""))</f>
        <v/>
      </c>
      <c r="N143">
        <f>IF($U143="","",IF(ISNUMBER(INDEX(상세표[시작],$U143)),TEXT(INDEX(상세표[시작],$U143),"yyyy-mm-dd hh:mm"),INDEX(상세표[시작],$U143)&amp;""))</f>
        <v/>
      </c>
      <c r="O143">
        <f>IF($U143="","",IF(ISNUMBER(INDEX(상세표[종료],$U143)),TEXT(INDEX(상세표[종료],$U143),"yyyy-mm-dd hh:mm"),INDEX(상세표[종료],$U143)&amp;""))</f>
        <v/>
      </c>
      <c r="P143" s="20">
        <f>IF($U143="","",INDEX(상세표[06~07시],$U143))</f>
        <v/>
      </c>
      <c r="Q143" s="20">
        <f>IF($U143="","",INDEX(상세표[07~18시],$U143))</f>
        <v/>
      </c>
      <c r="R143" s="20">
        <f>IF($U143="","",INDEX(상세표[18~22시],$U143))</f>
        <v/>
      </c>
      <c r="S143" s="20">
        <f>IF($U143="","",INDEX(상세표[22~06시],$U143))</f>
        <v/>
      </c>
      <c r="T143" s="20">
        <f>IF($U143="","",INDEX(상세표[기록 시간외],$U143))</f>
        <v/>
      </c>
      <c r="U143" s="4">
        <f>IFERROR(MATCH(138,상세표[발송순번],0),"")</f>
        <v/>
      </c>
    </row>
    <row r="144">
      <c r="A144">
        <f>IF($H144="","",INDEX(상세표[사번],$H144)&amp;"")</f>
        <v/>
      </c>
      <c r="B144">
        <f>IF($H144="","",INDEX(상세표[성명],$H144)&amp;"")</f>
        <v/>
      </c>
      <c r="C144">
        <f>IF($H144="","",INDEX(상세표[부서],$H144)&amp;"")</f>
        <v/>
      </c>
      <c r="D144">
        <f>IF($H144="","",IF(IFERROR(INDEX(합계표[직위(요약)],MATCH(INDEX(상세표[사번키],$H144),합계표[사번키],0))&amp;IF(INDEX(합계표[직급 공존],MATCH(INDEX(상세표[사번키],$H144),합계표[사번키],0))="",""," ("&amp;INDEX(합계표[직급 공존],MATCH(INDEX(상세표[사번키],$H144),합계표[사번키],0))&amp;")"),"")="",INDEX(상세표[직위],$H144)&amp;"",IFERROR(INDEX(합계표[직위(요약)],MATCH(INDEX(상세표[사번키],$H144),합계표[사번키],0))&amp;IF(INDEX(합계표[직급 공존],MATCH(INDEX(상세표[사번키],$H144),합계표[사번키],0))="",""," ("&amp;INDEX(합계표[직급 공존],MATCH(INDEX(상세표[사번키],$H144),합계표[사번키],0))&amp;")"),"")))</f>
        <v/>
      </c>
      <c r="E144">
        <f>IF($H144="","",COUNTIFS(상세표[사번키],INDEX(상세표[사번키],$H144),상세표[기록월],대상월키))</f>
        <v/>
      </c>
      <c r="F144" s="20">
        <f>IF($H144="","",SUMIFS(상세표[기록 시간외],상세표[사번키],INDEX(상세표[사번키],$H144),상세표[기록월],대상월키))</f>
        <v/>
      </c>
      <c r="G144" s="20">
        <f>IF($H144="","",SUMIFS(합계표[시스템 합계],합계표[사번키],INDEX(상세표[사번키],$H144)))</f>
        <v/>
      </c>
      <c r="H144" s="4">
        <f>IFERROR(MATCH(139,상세표[발송인원순번],0),"")</f>
        <v/>
      </c>
      <c r="J144">
        <f>IF($U144="","",INDEX(상세표[사번],$U144)&amp;"")</f>
        <v/>
      </c>
      <c r="K144">
        <f>IF($U144="","",INDEX(상세표[성명],$U144)&amp;"")</f>
        <v/>
      </c>
      <c r="L144">
        <f>IF($U144="","",INDEX(상세표[직위],$U144)&amp;"")</f>
        <v/>
      </c>
      <c r="M144">
        <f>IF($U144="","",IF(ISNUMBER(INDEX(상세표[근무일자],$U144)),TEXT(INDEX(상세표[근무일자],$U144),"yyyy-mm-dd"),INDEX(상세표[근무일자],$U144)&amp;""))</f>
        <v/>
      </c>
      <c r="N144">
        <f>IF($U144="","",IF(ISNUMBER(INDEX(상세표[시작],$U144)),TEXT(INDEX(상세표[시작],$U144),"yyyy-mm-dd hh:mm"),INDEX(상세표[시작],$U144)&amp;""))</f>
        <v/>
      </c>
      <c r="O144">
        <f>IF($U144="","",IF(ISNUMBER(INDEX(상세표[종료],$U144)),TEXT(INDEX(상세표[종료],$U144),"yyyy-mm-dd hh:mm"),INDEX(상세표[종료],$U144)&amp;""))</f>
        <v/>
      </c>
      <c r="P144" s="20">
        <f>IF($U144="","",INDEX(상세표[06~07시],$U144))</f>
        <v/>
      </c>
      <c r="Q144" s="20">
        <f>IF($U144="","",INDEX(상세표[07~18시],$U144))</f>
        <v/>
      </c>
      <c r="R144" s="20">
        <f>IF($U144="","",INDEX(상세표[18~22시],$U144))</f>
        <v/>
      </c>
      <c r="S144" s="20">
        <f>IF($U144="","",INDEX(상세표[22~06시],$U144))</f>
        <v/>
      </c>
      <c r="T144" s="20">
        <f>IF($U144="","",INDEX(상세표[기록 시간외],$U144))</f>
        <v/>
      </c>
      <c r="U144" s="4">
        <f>IFERROR(MATCH(139,상세표[발송순번],0),"")</f>
        <v/>
      </c>
    </row>
    <row r="145">
      <c r="A145">
        <f>IF($H145="","",INDEX(상세표[사번],$H145)&amp;"")</f>
        <v/>
      </c>
      <c r="B145">
        <f>IF($H145="","",INDEX(상세표[성명],$H145)&amp;"")</f>
        <v/>
      </c>
      <c r="C145">
        <f>IF($H145="","",INDEX(상세표[부서],$H145)&amp;"")</f>
        <v/>
      </c>
      <c r="D145">
        <f>IF($H145="","",IF(IFERROR(INDEX(합계표[직위(요약)],MATCH(INDEX(상세표[사번키],$H145),합계표[사번키],0))&amp;IF(INDEX(합계표[직급 공존],MATCH(INDEX(상세표[사번키],$H145),합계표[사번키],0))="",""," ("&amp;INDEX(합계표[직급 공존],MATCH(INDEX(상세표[사번키],$H145),합계표[사번키],0))&amp;")"),"")="",INDEX(상세표[직위],$H145)&amp;"",IFERROR(INDEX(합계표[직위(요약)],MATCH(INDEX(상세표[사번키],$H145),합계표[사번키],0))&amp;IF(INDEX(합계표[직급 공존],MATCH(INDEX(상세표[사번키],$H145),합계표[사번키],0))="",""," ("&amp;INDEX(합계표[직급 공존],MATCH(INDEX(상세표[사번키],$H145),합계표[사번키],0))&amp;")"),"")))</f>
        <v/>
      </c>
      <c r="E145">
        <f>IF($H145="","",COUNTIFS(상세표[사번키],INDEX(상세표[사번키],$H145),상세표[기록월],대상월키))</f>
        <v/>
      </c>
      <c r="F145" s="20">
        <f>IF($H145="","",SUMIFS(상세표[기록 시간외],상세표[사번키],INDEX(상세표[사번키],$H145),상세표[기록월],대상월키))</f>
        <v/>
      </c>
      <c r="G145" s="20">
        <f>IF($H145="","",SUMIFS(합계표[시스템 합계],합계표[사번키],INDEX(상세표[사번키],$H145)))</f>
        <v/>
      </c>
      <c r="H145" s="4">
        <f>IFERROR(MATCH(140,상세표[발송인원순번],0),"")</f>
        <v/>
      </c>
      <c r="J145">
        <f>IF($U145="","",INDEX(상세표[사번],$U145)&amp;"")</f>
        <v/>
      </c>
      <c r="K145">
        <f>IF($U145="","",INDEX(상세표[성명],$U145)&amp;"")</f>
        <v/>
      </c>
      <c r="L145">
        <f>IF($U145="","",INDEX(상세표[직위],$U145)&amp;"")</f>
        <v/>
      </c>
      <c r="M145">
        <f>IF($U145="","",IF(ISNUMBER(INDEX(상세표[근무일자],$U145)),TEXT(INDEX(상세표[근무일자],$U145),"yyyy-mm-dd"),INDEX(상세표[근무일자],$U145)&amp;""))</f>
        <v/>
      </c>
      <c r="N145">
        <f>IF($U145="","",IF(ISNUMBER(INDEX(상세표[시작],$U145)),TEXT(INDEX(상세표[시작],$U145),"yyyy-mm-dd hh:mm"),INDEX(상세표[시작],$U145)&amp;""))</f>
        <v/>
      </c>
      <c r="O145">
        <f>IF($U145="","",IF(ISNUMBER(INDEX(상세표[종료],$U145)),TEXT(INDEX(상세표[종료],$U145),"yyyy-mm-dd hh:mm"),INDEX(상세표[종료],$U145)&amp;""))</f>
        <v/>
      </c>
      <c r="P145" s="20">
        <f>IF($U145="","",INDEX(상세표[06~07시],$U145))</f>
        <v/>
      </c>
      <c r="Q145" s="20">
        <f>IF($U145="","",INDEX(상세표[07~18시],$U145))</f>
        <v/>
      </c>
      <c r="R145" s="20">
        <f>IF($U145="","",INDEX(상세표[18~22시],$U145))</f>
        <v/>
      </c>
      <c r="S145" s="20">
        <f>IF($U145="","",INDEX(상세표[22~06시],$U145))</f>
        <v/>
      </c>
      <c r="T145" s="20">
        <f>IF($U145="","",INDEX(상세표[기록 시간외],$U145))</f>
        <v/>
      </c>
      <c r="U145" s="4">
        <f>IFERROR(MATCH(140,상세표[발송순번],0),"")</f>
        <v/>
      </c>
    </row>
    <row r="146">
      <c r="A146">
        <f>IF($H146="","",INDEX(상세표[사번],$H146)&amp;"")</f>
        <v/>
      </c>
      <c r="B146">
        <f>IF($H146="","",INDEX(상세표[성명],$H146)&amp;"")</f>
        <v/>
      </c>
      <c r="C146">
        <f>IF($H146="","",INDEX(상세표[부서],$H146)&amp;"")</f>
        <v/>
      </c>
      <c r="D146">
        <f>IF($H146="","",IF(IFERROR(INDEX(합계표[직위(요약)],MATCH(INDEX(상세표[사번키],$H146),합계표[사번키],0))&amp;IF(INDEX(합계표[직급 공존],MATCH(INDEX(상세표[사번키],$H146),합계표[사번키],0))="",""," ("&amp;INDEX(합계표[직급 공존],MATCH(INDEX(상세표[사번키],$H146),합계표[사번키],0))&amp;")"),"")="",INDEX(상세표[직위],$H146)&amp;"",IFERROR(INDEX(합계표[직위(요약)],MATCH(INDEX(상세표[사번키],$H146),합계표[사번키],0))&amp;IF(INDEX(합계표[직급 공존],MATCH(INDEX(상세표[사번키],$H146),합계표[사번키],0))="",""," ("&amp;INDEX(합계표[직급 공존],MATCH(INDEX(상세표[사번키],$H146),합계표[사번키],0))&amp;")"),"")))</f>
        <v/>
      </c>
      <c r="E146">
        <f>IF($H146="","",COUNTIFS(상세표[사번키],INDEX(상세표[사번키],$H146),상세표[기록월],대상월키))</f>
        <v/>
      </c>
      <c r="F146" s="20">
        <f>IF($H146="","",SUMIFS(상세표[기록 시간외],상세표[사번키],INDEX(상세표[사번키],$H146),상세표[기록월],대상월키))</f>
        <v/>
      </c>
      <c r="G146" s="20">
        <f>IF($H146="","",SUMIFS(합계표[시스템 합계],합계표[사번키],INDEX(상세표[사번키],$H146)))</f>
        <v/>
      </c>
      <c r="H146" s="4">
        <f>IFERROR(MATCH(141,상세표[발송인원순번],0),"")</f>
        <v/>
      </c>
      <c r="J146">
        <f>IF($U146="","",INDEX(상세표[사번],$U146)&amp;"")</f>
        <v/>
      </c>
      <c r="K146">
        <f>IF($U146="","",INDEX(상세표[성명],$U146)&amp;"")</f>
        <v/>
      </c>
      <c r="L146">
        <f>IF($U146="","",INDEX(상세표[직위],$U146)&amp;"")</f>
        <v/>
      </c>
      <c r="M146">
        <f>IF($U146="","",IF(ISNUMBER(INDEX(상세표[근무일자],$U146)),TEXT(INDEX(상세표[근무일자],$U146),"yyyy-mm-dd"),INDEX(상세표[근무일자],$U146)&amp;""))</f>
        <v/>
      </c>
      <c r="N146">
        <f>IF($U146="","",IF(ISNUMBER(INDEX(상세표[시작],$U146)),TEXT(INDEX(상세표[시작],$U146),"yyyy-mm-dd hh:mm"),INDEX(상세표[시작],$U146)&amp;""))</f>
        <v/>
      </c>
      <c r="O146">
        <f>IF($U146="","",IF(ISNUMBER(INDEX(상세표[종료],$U146)),TEXT(INDEX(상세표[종료],$U146),"yyyy-mm-dd hh:mm"),INDEX(상세표[종료],$U146)&amp;""))</f>
        <v/>
      </c>
      <c r="P146" s="20">
        <f>IF($U146="","",INDEX(상세표[06~07시],$U146))</f>
        <v/>
      </c>
      <c r="Q146" s="20">
        <f>IF($U146="","",INDEX(상세표[07~18시],$U146))</f>
        <v/>
      </c>
      <c r="R146" s="20">
        <f>IF($U146="","",INDEX(상세표[18~22시],$U146))</f>
        <v/>
      </c>
      <c r="S146" s="20">
        <f>IF($U146="","",INDEX(상세표[22~06시],$U146))</f>
        <v/>
      </c>
      <c r="T146" s="20">
        <f>IF($U146="","",INDEX(상세표[기록 시간외],$U146))</f>
        <v/>
      </c>
      <c r="U146" s="4">
        <f>IFERROR(MATCH(141,상세표[발송순번],0),"")</f>
        <v/>
      </c>
    </row>
    <row r="147">
      <c r="A147">
        <f>IF($H147="","",INDEX(상세표[사번],$H147)&amp;"")</f>
        <v/>
      </c>
      <c r="B147">
        <f>IF($H147="","",INDEX(상세표[성명],$H147)&amp;"")</f>
        <v/>
      </c>
      <c r="C147">
        <f>IF($H147="","",INDEX(상세표[부서],$H147)&amp;"")</f>
        <v/>
      </c>
      <c r="D147">
        <f>IF($H147="","",IF(IFERROR(INDEX(합계표[직위(요약)],MATCH(INDEX(상세표[사번키],$H147),합계표[사번키],0))&amp;IF(INDEX(합계표[직급 공존],MATCH(INDEX(상세표[사번키],$H147),합계표[사번키],0))="",""," ("&amp;INDEX(합계표[직급 공존],MATCH(INDEX(상세표[사번키],$H147),합계표[사번키],0))&amp;")"),"")="",INDEX(상세표[직위],$H147)&amp;"",IFERROR(INDEX(합계표[직위(요약)],MATCH(INDEX(상세표[사번키],$H147),합계표[사번키],0))&amp;IF(INDEX(합계표[직급 공존],MATCH(INDEX(상세표[사번키],$H147),합계표[사번키],0))="",""," ("&amp;INDEX(합계표[직급 공존],MATCH(INDEX(상세표[사번키],$H147),합계표[사번키],0))&amp;")"),"")))</f>
        <v/>
      </c>
      <c r="E147">
        <f>IF($H147="","",COUNTIFS(상세표[사번키],INDEX(상세표[사번키],$H147),상세표[기록월],대상월키))</f>
        <v/>
      </c>
      <c r="F147" s="20">
        <f>IF($H147="","",SUMIFS(상세표[기록 시간외],상세표[사번키],INDEX(상세표[사번키],$H147),상세표[기록월],대상월키))</f>
        <v/>
      </c>
      <c r="G147" s="20">
        <f>IF($H147="","",SUMIFS(합계표[시스템 합계],합계표[사번키],INDEX(상세표[사번키],$H147)))</f>
        <v/>
      </c>
      <c r="H147" s="4">
        <f>IFERROR(MATCH(142,상세표[발송인원순번],0),"")</f>
        <v/>
      </c>
      <c r="J147">
        <f>IF($U147="","",INDEX(상세표[사번],$U147)&amp;"")</f>
        <v/>
      </c>
      <c r="K147">
        <f>IF($U147="","",INDEX(상세표[성명],$U147)&amp;"")</f>
        <v/>
      </c>
      <c r="L147">
        <f>IF($U147="","",INDEX(상세표[직위],$U147)&amp;"")</f>
        <v/>
      </c>
      <c r="M147">
        <f>IF($U147="","",IF(ISNUMBER(INDEX(상세표[근무일자],$U147)),TEXT(INDEX(상세표[근무일자],$U147),"yyyy-mm-dd"),INDEX(상세표[근무일자],$U147)&amp;""))</f>
        <v/>
      </c>
      <c r="N147">
        <f>IF($U147="","",IF(ISNUMBER(INDEX(상세표[시작],$U147)),TEXT(INDEX(상세표[시작],$U147),"yyyy-mm-dd hh:mm"),INDEX(상세표[시작],$U147)&amp;""))</f>
        <v/>
      </c>
      <c r="O147">
        <f>IF($U147="","",IF(ISNUMBER(INDEX(상세표[종료],$U147)),TEXT(INDEX(상세표[종료],$U147),"yyyy-mm-dd hh:mm"),INDEX(상세표[종료],$U147)&amp;""))</f>
        <v/>
      </c>
      <c r="P147" s="20">
        <f>IF($U147="","",INDEX(상세표[06~07시],$U147))</f>
        <v/>
      </c>
      <c r="Q147" s="20">
        <f>IF($U147="","",INDEX(상세표[07~18시],$U147))</f>
        <v/>
      </c>
      <c r="R147" s="20">
        <f>IF($U147="","",INDEX(상세표[18~22시],$U147))</f>
        <v/>
      </c>
      <c r="S147" s="20">
        <f>IF($U147="","",INDEX(상세표[22~06시],$U147))</f>
        <v/>
      </c>
      <c r="T147" s="20">
        <f>IF($U147="","",INDEX(상세표[기록 시간외],$U147))</f>
        <v/>
      </c>
      <c r="U147" s="4">
        <f>IFERROR(MATCH(142,상세표[발송순번],0),"")</f>
        <v/>
      </c>
    </row>
    <row r="148">
      <c r="A148">
        <f>IF($H148="","",INDEX(상세표[사번],$H148)&amp;"")</f>
        <v/>
      </c>
      <c r="B148">
        <f>IF($H148="","",INDEX(상세표[성명],$H148)&amp;"")</f>
        <v/>
      </c>
      <c r="C148">
        <f>IF($H148="","",INDEX(상세표[부서],$H148)&amp;"")</f>
        <v/>
      </c>
      <c r="D148">
        <f>IF($H148="","",IF(IFERROR(INDEX(합계표[직위(요약)],MATCH(INDEX(상세표[사번키],$H148),합계표[사번키],0))&amp;IF(INDEX(합계표[직급 공존],MATCH(INDEX(상세표[사번키],$H148),합계표[사번키],0))="",""," ("&amp;INDEX(합계표[직급 공존],MATCH(INDEX(상세표[사번키],$H148),합계표[사번키],0))&amp;")"),"")="",INDEX(상세표[직위],$H148)&amp;"",IFERROR(INDEX(합계표[직위(요약)],MATCH(INDEX(상세표[사번키],$H148),합계표[사번키],0))&amp;IF(INDEX(합계표[직급 공존],MATCH(INDEX(상세표[사번키],$H148),합계표[사번키],0))="",""," ("&amp;INDEX(합계표[직급 공존],MATCH(INDEX(상세표[사번키],$H148),합계표[사번키],0))&amp;")"),"")))</f>
        <v/>
      </c>
      <c r="E148">
        <f>IF($H148="","",COUNTIFS(상세표[사번키],INDEX(상세표[사번키],$H148),상세표[기록월],대상월키))</f>
        <v/>
      </c>
      <c r="F148" s="20">
        <f>IF($H148="","",SUMIFS(상세표[기록 시간외],상세표[사번키],INDEX(상세표[사번키],$H148),상세표[기록월],대상월키))</f>
        <v/>
      </c>
      <c r="G148" s="20">
        <f>IF($H148="","",SUMIFS(합계표[시스템 합계],합계표[사번키],INDEX(상세표[사번키],$H148)))</f>
        <v/>
      </c>
      <c r="H148" s="4">
        <f>IFERROR(MATCH(143,상세표[발송인원순번],0),"")</f>
        <v/>
      </c>
      <c r="J148">
        <f>IF($U148="","",INDEX(상세표[사번],$U148)&amp;"")</f>
        <v/>
      </c>
      <c r="K148">
        <f>IF($U148="","",INDEX(상세표[성명],$U148)&amp;"")</f>
        <v/>
      </c>
      <c r="L148">
        <f>IF($U148="","",INDEX(상세표[직위],$U148)&amp;"")</f>
        <v/>
      </c>
      <c r="M148">
        <f>IF($U148="","",IF(ISNUMBER(INDEX(상세표[근무일자],$U148)),TEXT(INDEX(상세표[근무일자],$U148),"yyyy-mm-dd"),INDEX(상세표[근무일자],$U148)&amp;""))</f>
        <v/>
      </c>
      <c r="N148">
        <f>IF($U148="","",IF(ISNUMBER(INDEX(상세표[시작],$U148)),TEXT(INDEX(상세표[시작],$U148),"yyyy-mm-dd hh:mm"),INDEX(상세표[시작],$U148)&amp;""))</f>
        <v/>
      </c>
      <c r="O148">
        <f>IF($U148="","",IF(ISNUMBER(INDEX(상세표[종료],$U148)),TEXT(INDEX(상세표[종료],$U148),"yyyy-mm-dd hh:mm"),INDEX(상세표[종료],$U148)&amp;""))</f>
        <v/>
      </c>
      <c r="P148" s="20">
        <f>IF($U148="","",INDEX(상세표[06~07시],$U148))</f>
        <v/>
      </c>
      <c r="Q148" s="20">
        <f>IF($U148="","",INDEX(상세표[07~18시],$U148))</f>
        <v/>
      </c>
      <c r="R148" s="20">
        <f>IF($U148="","",INDEX(상세표[18~22시],$U148))</f>
        <v/>
      </c>
      <c r="S148" s="20">
        <f>IF($U148="","",INDEX(상세표[22~06시],$U148))</f>
        <v/>
      </c>
      <c r="T148" s="20">
        <f>IF($U148="","",INDEX(상세표[기록 시간외],$U148))</f>
        <v/>
      </c>
      <c r="U148" s="4">
        <f>IFERROR(MATCH(143,상세표[발송순번],0),"")</f>
        <v/>
      </c>
    </row>
    <row r="149">
      <c r="A149">
        <f>IF($H149="","",INDEX(상세표[사번],$H149)&amp;"")</f>
        <v/>
      </c>
      <c r="B149">
        <f>IF($H149="","",INDEX(상세표[성명],$H149)&amp;"")</f>
        <v/>
      </c>
      <c r="C149">
        <f>IF($H149="","",INDEX(상세표[부서],$H149)&amp;"")</f>
        <v/>
      </c>
      <c r="D149">
        <f>IF($H149="","",IF(IFERROR(INDEX(합계표[직위(요약)],MATCH(INDEX(상세표[사번키],$H149),합계표[사번키],0))&amp;IF(INDEX(합계표[직급 공존],MATCH(INDEX(상세표[사번키],$H149),합계표[사번키],0))="",""," ("&amp;INDEX(합계표[직급 공존],MATCH(INDEX(상세표[사번키],$H149),합계표[사번키],0))&amp;")"),"")="",INDEX(상세표[직위],$H149)&amp;"",IFERROR(INDEX(합계표[직위(요약)],MATCH(INDEX(상세표[사번키],$H149),합계표[사번키],0))&amp;IF(INDEX(합계표[직급 공존],MATCH(INDEX(상세표[사번키],$H149),합계표[사번키],0))="",""," ("&amp;INDEX(합계표[직급 공존],MATCH(INDEX(상세표[사번키],$H149),합계표[사번키],0))&amp;")"),"")))</f>
        <v/>
      </c>
      <c r="E149">
        <f>IF($H149="","",COUNTIFS(상세표[사번키],INDEX(상세표[사번키],$H149),상세표[기록월],대상월키))</f>
        <v/>
      </c>
      <c r="F149" s="20">
        <f>IF($H149="","",SUMIFS(상세표[기록 시간외],상세표[사번키],INDEX(상세표[사번키],$H149),상세표[기록월],대상월키))</f>
        <v/>
      </c>
      <c r="G149" s="20">
        <f>IF($H149="","",SUMIFS(합계표[시스템 합계],합계표[사번키],INDEX(상세표[사번키],$H149)))</f>
        <v/>
      </c>
      <c r="H149" s="4">
        <f>IFERROR(MATCH(144,상세표[발송인원순번],0),"")</f>
        <v/>
      </c>
      <c r="J149">
        <f>IF($U149="","",INDEX(상세표[사번],$U149)&amp;"")</f>
        <v/>
      </c>
      <c r="K149">
        <f>IF($U149="","",INDEX(상세표[성명],$U149)&amp;"")</f>
        <v/>
      </c>
      <c r="L149">
        <f>IF($U149="","",INDEX(상세표[직위],$U149)&amp;"")</f>
        <v/>
      </c>
      <c r="M149">
        <f>IF($U149="","",IF(ISNUMBER(INDEX(상세표[근무일자],$U149)),TEXT(INDEX(상세표[근무일자],$U149),"yyyy-mm-dd"),INDEX(상세표[근무일자],$U149)&amp;""))</f>
        <v/>
      </c>
      <c r="N149">
        <f>IF($U149="","",IF(ISNUMBER(INDEX(상세표[시작],$U149)),TEXT(INDEX(상세표[시작],$U149),"yyyy-mm-dd hh:mm"),INDEX(상세표[시작],$U149)&amp;""))</f>
        <v/>
      </c>
      <c r="O149">
        <f>IF($U149="","",IF(ISNUMBER(INDEX(상세표[종료],$U149)),TEXT(INDEX(상세표[종료],$U149),"yyyy-mm-dd hh:mm"),INDEX(상세표[종료],$U149)&amp;""))</f>
        <v/>
      </c>
      <c r="P149" s="20">
        <f>IF($U149="","",INDEX(상세표[06~07시],$U149))</f>
        <v/>
      </c>
      <c r="Q149" s="20">
        <f>IF($U149="","",INDEX(상세표[07~18시],$U149))</f>
        <v/>
      </c>
      <c r="R149" s="20">
        <f>IF($U149="","",INDEX(상세표[18~22시],$U149))</f>
        <v/>
      </c>
      <c r="S149" s="20">
        <f>IF($U149="","",INDEX(상세표[22~06시],$U149))</f>
        <v/>
      </c>
      <c r="T149" s="20">
        <f>IF($U149="","",INDEX(상세표[기록 시간외],$U149))</f>
        <v/>
      </c>
      <c r="U149" s="4">
        <f>IFERROR(MATCH(144,상세표[발송순번],0),"")</f>
        <v/>
      </c>
    </row>
    <row r="150">
      <c r="A150">
        <f>IF($H150="","",INDEX(상세표[사번],$H150)&amp;"")</f>
        <v/>
      </c>
      <c r="B150">
        <f>IF($H150="","",INDEX(상세표[성명],$H150)&amp;"")</f>
        <v/>
      </c>
      <c r="C150">
        <f>IF($H150="","",INDEX(상세표[부서],$H150)&amp;"")</f>
        <v/>
      </c>
      <c r="D150">
        <f>IF($H150="","",IF(IFERROR(INDEX(합계표[직위(요약)],MATCH(INDEX(상세표[사번키],$H150),합계표[사번키],0))&amp;IF(INDEX(합계표[직급 공존],MATCH(INDEX(상세표[사번키],$H150),합계표[사번키],0))="",""," ("&amp;INDEX(합계표[직급 공존],MATCH(INDEX(상세표[사번키],$H150),합계표[사번키],0))&amp;")"),"")="",INDEX(상세표[직위],$H150)&amp;"",IFERROR(INDEX(합계표[직위(요약)],MATCH(INDEX(상세표[사번키],$H150),합계표[사번키],0))&amp;IF(INDEX(합계표[직급 공존],MATCH(INDEX(상세표[사번키],$H150),합계표[사번키],0))="",""," ("&amp;INDEX(합계표[직급 공존],MATCH(INDEX(상세표[사번키],$H150),합계표[사번키],0))&amp;")"),"")))</f>
        <v/>
      </c>
      <c r="E150">
        <f>IF($H150="","",COUNTIFS(상세표[사번키],INDEX(상세표[사번키],$H150),상세표[기록월],대상월키))</f>
        <v/>
      </c>
      <c r="F150" s="20">
        <f>IF($H150="","",SUMIFS(상세표[기록 시간외],상세표[사번키],INDEX(상세표[사번키],$H150),상세표[기록월],대상월키))</f>
        <v/>
      </c>
      <c r="G150" s="20">
        <f>IF($H150="","",SUMIFS(합계표[시스템 합계],합계표[사번키],INDEX(상세표[사번키],$H150)))</f>
        <v/>
      </c>
      <c r="H150" s="4">
        <f>IFERROR(MATCH(145,상세표[발송인원순번],0),"")</f>
        <v/>
      </c>
      <c r="J150">
        <f>IF($U150="","",INDEX(상세표[사번],$U150)&amp;"")</f>
        <v/>
      </c>
      <c r="K150">
        <f>IF($U150="","",INDEX(상세표[성명],$U150)&amp;"")</f>
        <v/>
      </c>
      <c r="L150">
        <f>IF($U150="","",INDEX(상세표[직위],$U150)&amp;"")</f>
        <v/>
      </c>
      <c r="M150">
        <f>IF($U150="","",IF(ISNUMBER(INDEX(상세표[근무일자],$U150)),TEXT(INDEX(상세표[근무일자],$U150),"yyyy-mm-dd"),INDEX(상세표[근무일자],$U150)&amp;""))</f>
        <v/>
      </c>
      <c r="N150">
        <f>IF($U150="","",IF(ISNUMBER(INDEX(상세표[시작],$U150)),TEXT(INDEX(상세표[시작],$U150),"yyyy-mm-dd hh:mm"),INDEX(상세표[시작],$U150)&amp;""))</f>
        <v/>
      </c>
      <c r="O150">
        <f>IF($U150="","",IF(ISNUMBER(INDEX(상세표[종료],$U150)),TEXT(INDEX(상세표[종료],$U150),"yyyy-mm-dd hh:mm"),INDEX(상세표[종료],$U150)&amp;""))</f>
        <v/>
      </c>
      <c r="P150" s="20">
        <f>IF($U150="","",INDEX(상세표[06~07시],$U150))</f>
        <v/>
      </c>
      <c r="Q150" s="20">
        <f>IF($U150="","",INDEX(상세표[07~18시],$U150))</f>
        <v/>
      </c>
      <c r="R150" s="20">
        <f>IF($U150="","",INDEX(상세표[18~22시],$U150))</f>
        <v/>
      </c>
      <c r="S150" s="20">
        <f>IF($U150="","",INDEX(상세표[22~06시],$U150))</f>
        <v/>
      </c>
      <c r="T150" s="20">
        <f>IF($U150="","",INDEX(상세표[기록 시간외],$U150))</f>
        <v/>
      </c>
      <c r="U150" s="4">
        <f>IFERROR(MATCH(145,상세표[발송순번],0),"")</f>
        <v/>
      </c>
    </row>
    <row r="151">
      <c r="A151">
        <f>IF($H151="","",INDEX(상세표[사번],$H151)&amp;"")</f>
        <v/>
      </c>
      <c r="B151">
        <f>IF($H151="","",INDEX(상세표[성명],$H151)&amp;"")</f>
        <v/>
      </c>
      <c r="C151">
        <f>IF($H151="","",INDEX(상세표[부서],$H151)&amp;"")</f>
        <v/>
      </c>
      <c r="D151">
        <f>IF($H151="","",IF(IFERROR(INDEX(합계표[직위(요약)],MATCH(INDEX(상세표[사번키],$H151),합계표[사번키],0))&amp;IF(INDEX(합계표[직급 공존],MATCH(INDEX(상세표[사번키],$H151),합계표[사번키],0))="",""," ("&amp;INDEX(합계표[직급 공존],MATCH(INDEX(상세표[사번키],$H151),합계표[사번키],0))&amp;")"),"")="",INDEX(상세표[직위],$H151)&amp;"",IFERROR(INDEX(합계표[직위(요약)],MATCH(INDEX(상세표[사번키],$H151),합계표[사번키],0))&amp;IF(INDEX(합계표[직급 공존],MATCH(INDEX(상세표[사번키],$H151),합계표[사번키],0))="",""," ("&amp;INDEX(합계표[직급 공존],MATCH(INDEX(상세표[사번키],$H151),합계표[사번키],0))&amp;")"),"")))</f>
        <v/>
      </c>
      <c r="E151">
        <f>IF($H151="","",COUNTIFS(상세표[사번키],INDEX(상세표[사번키],$H151),상세표[기록월],대상월키))</f>
        <v/>
      </c>
      <c r="F151" s="20">
        <f>IF($H151="","",SUMIFS(상세표[기록 시간외],상세표[사번키],INDEX(상세표[사번키],$H151),상세표[기록월],대상월키))</f>
        <v/>
      </c>
      <c r="G151" s="20">
        <f>IF($H151="","",SUMIFS(합계표[시스템 합계],합계표[사번키],INDEX(상세표[사번키],$H151)))</f>
        <v/>
      </c>
      <c r="H151" s="4">
        <f>IFERROR(MATCH(146,상세표[발송인원순번],0),"")</f>
        <v/>
      </c>
      <c r="J151">
        <f>IF($U151="","",INDEX(상세표[사번],$U151)&amp;"")</f>
        <v/>
      </c>
      <c r="K151">
        <f>IF($U151="","",INDEX(상세표[성명],$U151)&amp;"")</f>
        <v/>
      </c>
      <c r="L151">
        <f>IF($U151="","",INDEX(상세표[직위],$U151)&amp;"")</f>
        <v/>
      </c>
      <c r="M151">
        <f>IF($U151="","",IF(ISNUMBER(INDEX(상세표[근무일자],$U151)),TEXT(INDEX(상세표[근무일자],$U151),"yyyy-mm-dd"),INDEX(상세표[근무일자],$U151)&amp;""))</f>
        <v/>
      </c>
      <c r="N151">
        <f>IF($U151="","",IF(ISNUMBER(INDEX(상세표[시작],$U151)),TEXT(INDEX(상세표[시작],$U151),"yyyy-mm-dd hh:mm"),INDEX(상세표[시작],$U151)&amp;""))</f>
        <v/>
      </c>
      <c r="O151">
        <f>IF($U151="","",IF(ISNUMBER(INDEX(상세표[종료],$U151)),TEXT(INDEX(상세표[종료],$U151),"yyyy-mm-dd hh:mm"),INDEX(상세표[종료],$U151)&amp;""))</f>
        <v/>
      </c>
      <c r="P151" s="20">
        <f>IF($U151="","",INDEX(상세표[06~07시],$U151))</f>
        <v/>
      </c>
      <c r="Q151" s="20">
        <f>IF($U151="","",INDEX(상세표[07~18시],$U151))</f>
        <v/>
      </c>
      <c r="R151" s="20">
        <f>IF($U151="","",INDEX(상세표[18~22시],$U151))</f>
        <v/>
      </c>
      <c r="S151" s="20">
        <f>IF($U151="","",INDEX(상세표[22~06시],$U151))</f>
        <v/>
      </c>
      <c r="T151" s="20">
        <f>IF($U151="","",INDEX(상세표[기록 시간외],$U151))</f>
        <v/>
      </c>
      <c r="U151" s="4">
        <f>IFERROR(MATCH(146,상세표[발송순번],0),"")</f>
        <v/>
      </c>
    </row>
    <row r="152">
      <c r="A152">
        <f>IF($H152="","",INDEX(상세표[사번],$H152)&amp;"")</f>
        <v/>
      </c>
      <c r="B152">
        <f>IF($H152="","",INDEX(상세표[성명],$H152)&amp;"")</f>
        <v/>
      </c>
      <c r="C152">
        <f>IF($H152="","",INDEX(상세표[부서],$H152)&amp;"")</f>
        <v/>
      </c>
      <c r="D152">
        <f>IF($H152="","",IF(IFERROR(INDEX(합계표[직위(요약)],MATCH(INDEX(상세표[사번키],$H152),합계표[사번키],0))&amp;IF(INDEX(합계표[직급 공존],MATCH(INDEX(상세표[사번키],$H152),합계표[사번키],0))="",""," ("&amp;INDEX(합계표[직급 공존],MATCH(INDEX(상세표[사번키],$H152),합계표[사번키],0))&amp;")"),"")="",INDEX(상세표[직위],$H152)&amp;"",IFERROR(INDEX(합계표[직위(요약)],MATCH(INDEX(상세표[사번키],$H152),합계표[사번키],0))&amp;IF(INDEX(합계표[직급 공존],MATCH(INDEX(상세표[사번키],$H152),합계표[사번키],0))="",""," ("&amp;INDEX(합계표[직급 공존],MATCH(INDEX(상세표[사번키],$H152),합계표[사번키],0))&amp;")"),"")))</f>
        <v/>
      </c>
      <c r="E152">
        <f>IF($H152="","",COUNTIFS(상세표[사번키],INDEX(상세표[사번키],$H152),상세표[기록월],대상월키))</f>
        <v/>
      </c>
      <c r="F152" s="20">
        <f>IF($H152="","",SUMIFS(상세표[기록 시간외],상세표[사번키],INDEX(상세표[사번키],$H152),상세표[기록월],대상월키))</f>
        <v/>
      </c>
      <c r="G152" s="20">
        <f>IF($H152="","",SUMIFS(합계표[시스템 합계],합계표[사번키],INDEX(상세표[사번키],$H152)))</f>
        <v/>
      </c>
      <c r="H152" s="4">
        <f>IFERROR(MATCH(147,상세표[발송인원순번],0),"")</f>
        <v/>
      </c>
      <c r="J152">
        <f>IF($U152="","",INDEX(상세표[사번],$U152)&amp;"")</f>
        <v/>
      </c>
      <c r="K152">
        <f>IF($U152="","",INDEX(상세표[성명],$U152)&amp;"")</f>
        <v/>
      </c>
      <c r="L152">
        <f>IF($U152="","",INDEX(상세표[직위],$U152)&amp;"")</f>
        <v/>
      </c>
      <c r="M152">
        <f>IF($U152="","",IF(ISNUMBER(INDEX(상세표[근무일자],$U152)),TEXT(INDEX(상세표[근무일자],$U152),"yyyy-mm-dd"),INDEX(상세표[근무일자],$U152)&amp;""))</f>
        <v/>
      </c>
      <c r="N152">
        <f>IF($U152="","",IF(ISNUMBER(INDEX(상세표[시작],$U152)),TEXT(INDEX(상세표[시작],$U152),"yyyy-mm-dd hh:mm"),INDEX(상세표[시작],$U152)&amp;""))</f>
        <v/>
      </c>
      <c r="O152">
        <f>IF($U152="","",IF(ISNUMBER(INDEX(상세표[종료],$U152)),TEXT(INDEX(상세표[종료],$U152),"yyyy-mm-dd hh:mm"),INDEX(상세표[종료],$U152)&amp;""))</f>
        <v/>
      </c>
      <c r="P152" s="20">
        <f>IF($U152="","",INDEX(상세표[06~07시],$U152))</f>
        <v/>
      </c>
      <c r="Q152" s="20">
        <f>IF($U152="","",INDEX(상세표[07~18시],$U152))</f>
        <v/>
      </c>
      <c r="R152" s="20">
        <f>IF($U152="","",INDEX(상세표[18~22시],$U152))</f>
        <v/>
      </c>
      <c r="S152" s="20">
        <f>IF($U152="","",INDEX(상세표[22~06시],$U152))</f>
        <v/>
      </c>
      <c r="T152" s="20">
        <f>IF($U152="","",INDEX(상세표[기록 시간외],$U152))</f>
        <v/>
      </c>
      <c r="U152" s="4">
        <f>IFERROR(MATCH(147,상세표[발송순번],0),"")</f>
        <v/>
      </c>
    </row>
    <row r="153">
      <c r="A153">
        <f>IF($H153="","",INDEX(상세표[사번],$H153)&amp;"")</f>
        <v/>
      </c>
      <c r="B153">
        <f>IF($H153="","",INDEX(상세표[성명],$H153)&amp;"")</f>
        <v/>
      </c>
      <c r="C153">
        <f>IF($H153="","",INDEX(상세표[부서],$H153)&amp;"")</f>
        <v/>
      </c>
      <c r="D153">
        <f>IF($H153="","",IF(IFERROR(INDEX(합계표[직위(요약)],MATCH(INDEX(상세표[사번키],$H153),합계표[사번키],0))&amp;IF(INDEX(합계표[직급 공존],MATCH(INDEX(상세표[사번키],$H153),합계표[사번키],0))="",""," ("&amp;INDEX(합계표[직급 공존],MATCH(INDEX(상세표[사번키],$H153),합계표[사번키],0))&amp;")"),"")="",INDEX(상세표[직위],$H153)&amp;"",IFERROR(INDEX(합계표[직위(요약)],MATCH(INDEX(상세표[사번키],$H153),합계표[사번키],0))&amp;IF(INDEX(합계표[직급 공존],MATCH(INDEX(상세표[사번키],$H153),합계표[사번키],0))="",""," ("&amp;INDEX(합계표[직급 공존],MATCH(INDEX(상세표[사번키],$H153),합계표[사번키],0))&amp;")"),"")))</f>
        <v/>
      </c>
      <c r="E153">
        <f>IF($H153="","",COUNTIFS(상세표[사번키],INDEX(상세표[사번키],$H153),상세표[기록월],대상월키))</f>
        <v/>
      </c>
      <c r="F153" s="20">
        <f>IF($H153="","",SUMIFS(상세표[기록 시간외],상세표[사번키],INDEX(상세표[사번키],$H153),상세표[기록월],대상월키))</f>
        <v/>
      </c>
      <c r="G153" s="20">
        <f>IF($H153="","",SUMIFS(합계표[시스템 합계],합계표[사번키],INDEX(상세표[사번키],$H153)))</f>
        <v/>
      </c>
      <c r="H153" s="4">
        <f>IFERROR(MATCH(148,상세표[발송인원순번],0),"")</f>
        <v/>
      </c>
      <c r="J153">
        <f>IF($U153="","",INDEX(상세표[사번],$U153)&amp;"")</f>
        <v/>
      </c>
      <c r="K153">
        <f>IF($U153="","",INDEX(상세표[성명],$U153)&amp;"")</f>
        <v/>
      </c>
      <c r="L153">
        <f>IF($U153="","",INDEX(상세표[직위],$U153)&amp;"")</f>
        <v/>
      </c>
      <c r="M153">
        <f>IF($U153="","",IF(ISNUMBER(INDEX(상세표[근무일자],$U153)),TEXT(INDEX(상세표[근무일자],$U153),"yyyy-mm-dd"),INDEX(상세표[근무일자],$U153)&amp;""))</f>
        <v/>
      </c>
      <c r="N153">
        <f>IF($U153="","",IF(ISNUMBER(INDEX(상세표[시작],$U153)),TEXT(INDEX(상세표[시작],$U153),"yyyy-mm-dd hh:mm"),INDEX(상세표[시작],$U153)&amp;""))</f>
        <v/>
      </c>
      <c r="O153">
        <f>IF($U153="","",IF(ISNUMBER(INDEX(상세표[종료],$U153)),TEXT(INDEX(상세표[종료],$U153),"yyyy-mm-dd hh:mm"),INDEX(상세표[종료],$U153)&amp;""))</f>
        <v/>
      </c>
      <c r="P153" s="20">
        <f>IF($U153="","",INDEX(상세표[06~07시],$U153))</f>
        <v/>
      </c>
      <c r="Q153" s="20">
        <f>IF($U153="","",INDEX(상세표[07~18시],$U153))</f>
        <v/>
      </c>
      <c r="R153" s="20">
        <f>IF($U153="","",INDEX(상세표[18~22시],$U153))</f>
        <v/>
      </c>
      <c r="S153" s="20">
        <f>IF($U153="","",INDEX(상세표[22~06시],$U153))</f>
        <v/>
      </c>
      <c r="T153" s="20">
        <f>IF($U153="","",INDEX(상세표[기록 시간외],$U153))</f>
        <v/>
      </c>
      <c r="U153" s="4">
        <f>IFERROR(MATCH(148,상세표[발송순번],0),"")</f>
        <v/>
      </c>
    </row>
    <row r="154">
      <c r="A154">
        <f>IF($H154="","",INDEX(상세표[사번],$H154)&amp;"")</f>
        <v/>
      </c>
      <c r="B154">
        <f>IF($H154="","",INDEX(상세표[성명],$H154)&amp;"")</f>
        <v/>
      </c>
      <c r="C154">
        <f>IF($H154="","",INDEX(상세표[부서],$H154)&amp;"")</f>
        <v/>
      </c>
      <c r="D154">
        <f>IF($H154="","",IF(IFERROR(INDEX(합계표[직위(요약)],MATCH(INDEX(상세표[사번키],$H154),합계표[사번키],0))&amp;IF(INDEX(합계표[직급 공존],MATCH(INDEX(상세표[사번키],$H154),합계표[사번키],0))="",""," ("&amp;INDEX(합계표[직급 공존],MATCH(INDEX(상세표[사번키],$H154),합계표[사번키],0))&amp;")"),"")="",INDEX(상세표[직위],$H154)&amp;"",IFERROR(INDEX(합계표[직위(요약)],MATCH(INDEX(상세표[사번키],$H154),합계표[사번키],0))&amp;IF(INDEX(합계표[직급 공존],MATCH(INDEX(상세표[사번키],$H154),합계표[사번키],0))="",""," ("&amp;INDEX(합계표[직급 공존],MATCH(INDEX(상세표[사번키],$H154),합계표[사번키],0))&amp;")"),"")))</f>
        <v/>
      </c>
      <c r="E154">
        <f>IF($H154="","",COUNTIFS(상세표[사번키],INDEX(상세표[사번키],$H154),상세표[기록월],대상월키))</f>
        <v/>
      </c>
      <c r="F154" s="20">
        <f>IF($H154="","",SUMIFS(상세표[기록 시간외],상세표[사번키],INDEX(상세표[사번키],$H154),상세표[기록월],대상월키))</f>
        <v/>
      </c>
      <c r="G154" s="20">
        <f>IF($H154="","",SUMIFS(합계표[시스템 합계],합계표[사번키],INDEX(상세표[사번키],$H154)))</f>
        <v/>
      </c>
      <c r="H154" s="4">
        <f>IFERROR(MATCH(149,상세표[발송인원순번],0),"")</f>
        <v/>
      </c>
      <c r="J154">
        <f>IF($U154="","",INDEX(상세표[사번],$U154)&amp;"")</f>
        <v/>
      </c>
      <c r="K154">
        <f>IF($U154="","",INDEX(상세표[성명],$U154)&amp;"")</f>
        <v/>
      </c>
      <c r="L154">
        <f>IF($U154="","",INDEX(상세표[직위],$U154)&amp;"")</f>
        <v/>
      </c>
      <c r="M154">
        <f>IF($U154="","",IF(ISNUMBER(INDEX(상세표[근무일자],$U154)),TEXT(INDEX(상세표[근무일자],$U154),"yyyy-mm-dd"),INDEX(상세표[근무일자],$U154)&amp;""))</f>
        <v/>
      </c>
      <c r="N154">
        <f>IF($U154="","",IF(ISNUMBER(INDEX(상세표[시작],$U154)),TEXT(INDEX(상세표[시작],$U154),"yyyy-mm-dd hh:mm"),INDEX(상세표[시작],$U154)&amp;""))</f>
        <v/>
      </c>
      <c r="O154">
        <f>IF($U154="","",IF(ISNUMBER(INDEX(상세표[종료],$U154)),TEXT(INDEX(상세표[종료],$U154),"yyyy-mm-dd hh:mm"),INDEX(상세표[종료],$U154)&amp;""))</f>
        <v/>
      </c>
      <c r="P154" s="20">
        <f>IF($U154="","",INDEX(상세표[06~07시],$U154))</f>
        <v/>
      </c>
      <c r="Q154" s="20">
        <f>IF($U154="","",INDEX(상세표[07~18시],$U154))</f>
        <v/>
      </c>
      <c r="R154" s="20">
        <f>IF($U154="","",INDEX(상세표[18~22시],$U154))</f>
        <v/>
      </c>
      <c r="S154" s="20">
        <f>IF($U154="","",INDEX(상세표[22~06시],$U154))</f>
        <v/>
      </c>
      <c r="T154" s="20">
        <f>IF($U154="","",INDEX(상세표[기록 시간외],$U154))</f>
        <v/>
      </c>
      <c r="U154" s="4">
        <f>IFERROR(MATCH(149,상세표[발송순번],0),"")</f>
        <v/>
      </c>
    </row>
    <row r="155">
      <c r="A155">
        <f>IF($H155="","",INDEX(상세표[사번],$H155)&amp;"")</f>
        <v/>
      </c>
      <c r="B155">
        <f>IF($H155="","",INDEX(상세표[성명],$H155)&amp;"")</f>
        <v/>
      </c>
      <c r="C155">
        <f>IF($H155="","",INDEX(상세표[부서],$H155)&amp;"")</f>
        <v/>
      </c>
      <c r="D155">
        <f>IF($H155="","",IF(IFERROR(INDEX(합계표[직위(요약)],MATCH(INDEX(상세표[사번키],$H155),합계표[사번키],0))&amp;IF(INDEX(합계표[직급 공존],MATCH(INDEX(상세표[사번키],$H155),합계표[사번키],0))="",""," ("&amp;INDEX(합계표[직급 공존],MATCH(INDEX(상세표[사번키],$H155),합계표[사번키],0))&amp;")"),"")="",INDEX(상세표[직위],$H155)&amp;"",IFERROR(INDEX(합계표[직위(요약)],MATCH(INDEX(상세표[사번키],$H155),합계표[사번키],0))&amp;IF(INDEX(합계표[직급 공존],MATCH(INDEX(상세표[사번키],$H155),합계표[사번키],0))="",""," ("&amp;INDEX(합계표[직급 공존],MATCH(INDEX(상세표[사번키],$H155),합계표[사번키],0))&amp;")"),"")))</f>
        <v/>
      </c>
      <c r="E155">
        <f>IF($H155="","",COUNTIFS(상세표[사번키],INDEX(상세표[사번키],$H155),상세표[기록월],대상월키))</f>
        <v/>
      </c>
      <c r="F155" s="20">
        <f>IF($H155="","",SUMIFS(상세표[기록 시간외],상세표[사번키],INDEX(상세표[사번키],$H155),상세표[기록월],대상월키))</f>
        <v/>
      </c>
      <c r="G155" s="20">
        <f>IF($H155="","",SUMIFS(합계표[시스템 합계],합계표[사번키],INDEX(상세표[사번키],$H155)))</f>
        <v/>
      </c>
      <c r="H155" s="4">
        <f>IFERROR(MATCH(150,상세표[발송인원순번],0),"")</f>
        <v/>
      </c>
      <c r="J155">
        <f>IF($U155="","",INDEX(상세표[사번],$U155)&amp;"")</f>
        <v/>
      </c>
      <c r="K155">
        <f>IF($U155="","",INDEX(상세표[성명],$U155)&amp;"")</f>
        <v/>
      </c>
      <c r="L155">
        <f>IF($U155="","",INDEX(상세표[직위],$U155)&amp;"")</f>
        <v/>
      </c>
      <c r="M155">
        <f>IF($U155="","",IF(ISNUMBER(INDEX(상세표[근무일자],$U155)),TEXT(INDEX(상세표[근무일자],$U155),"yyyy-mm-dd"),INDEX(상세표[근무일자],$U155)&amp;""))</f>
        <v/>
      </c>
      <c r="N155">
        <f>IF($U155="","",IF(ISNUMBER(INDEX(상세표[시작],$U155)),TEXT(INDEX(상세표[시작],$U155),"yyyy-mm-dd hh:mm"),INDEX(상세표[시작],$U155)&amp;""))</f>
        <v/>
      </c>
      <c r="O155">
        <f>IF($U155="","",IF(ISNUMBER(INDEX(상세표[종료],$U155)),TEXT(INDEX(상세표[종료],$U155),"yyyy-mm-dd hh:mm"),INDEX(상세표[종료],$U155)&amp;""))</f>
        <v/>
      </c>
      <c r="P155" s="20">
        <f>IF($U155="","",INDEX(상세표[06~07시],$U155))</f>
        <v/>
      </c>
      <c r="Q155" s="20">
        <f>IF($U155="","",INDEX(상세표[07~18시],$U155))</f>
        <v/>
      </c>
      <c r="R155" s="20">
        <f>IF($U155="","",INDEX(상세표[18~22시],$U155))</f>
        <v/>
      </c>
      <c r="S155" s="20">
        <f>IF($U155="","",INDEX(상세표[22~06시],$U155))</f>
        <v/>
      </c>
      <c r="T155" s="20">
        <f>IF($U155="","",INDEX(상세표[기록 시간외],$U155))</f>
        <v/>
      </c>
      <c r="U155" s="4">
        <f>IFERROR(MATCH(150,상세표[발송순번],0),"")</f>
        <v/>
      </c>
    </row>
    <row r="156">
      <c r="A156">
        <f>IF($H156="","",INDEX(상세표[사번],$H156)&amp;"")</f>
        <v/>
      </c>
      <c r="B156">
        <f>IF($H156="","",INDEX(상세표[성명],$H156)&amp;"")</f>
        <v/>
      </c>
      <c r="C156">
        <f>IF($H156="","",INDEX(상세표[부서],$H156)&amp;"")</f>
        <v/>
      </c>
      <c r="D156">
        <f>IF($H156="","",IF(IFERROR(INDEX(합계표[직위(요약)],MATCH(INDEX(상세표[사번키],$H156),합계표[사번키],0))&amp;IF(INDEX(합계표[직급 공존],MATCH(INDEX(상세표[사번키],$H156),합계표[사번키],0))="",""," ("&amp;INDEX(합계표[직급 공존],MATCH(INDEX(상세표[사번키],$H156),합계표[사번키],0))&amp;")"),"")="",INDEX(상세표[직위],$H156)&amp;"",IFERROR(INDEX(합계표[직위(요약)],MATCH(INDEX(상세표[사번키],$H156),합계표[사번키],0))&amp;IF(INDEX(합계표[직급 공존],MATCH(INDEX(상세표[사번키],$H156),합계표[사번키],0))="",""," ("&amp;INDEX(합계표[직급 공존],MATCH(INDEX(상세표[사번키],$H156),합계표[사번키],0))&amp;")"),"")))</f>
        <v/>
      </c>
      <c r="E156">
        <f>IF($H156="","",COUNTIFS(상세표[사번키],INDEX(상세표[사번키],$H156),상세표[기록월],대상월키))</f>
        <v/>
      </c>
      <c r="F156" s="20">
        <f>IF($H156="","",SUMIFS(상세표[기록 시간외],상세표[사번키],INDEX(상세표[사번키],$H156),상세표[기록월],대상월키))</f>
        <v/>
      </c>
      <c r="G156" s="20">
        <f>IF($H156="","",SUMIFS(합계표[시스템 합계],합계표[사번키],INDEX(상세표[사번키],$H156)))</f>
        <v/>
      </c>
      <c r="H156" s="4">
        <f>IFERROR(MATCH(151,상세표[발송인원순번],0),"")</f>
        <v/>
      </c>
      <c r="J156">
        <f>IF($U156="","",INDEX(상세표[사번],$U156)&amp;"")</f>
        <v/>
      </c>
      <c r="K156">
        <f>IF($U156="","",INDEX(상세표[성명],$U156)&amp;"")</f>
        <v/>
      </c>
      <c r="L156">
        <f>IF($U156="","",INDEX(상세표[직위],$U156)&amp;"")</f>
        <v/>
      </c>
      <c r="M156">
        <f>IF($U156="","",IF(ISNUMBER(INDEX(상세표[근무일자],$U156)),TEXT(INDEX(상세표[근무일자],$U156),"yyyy-mm-dd"),INDEX(상세표[근무일자],$U156)&amp;""))</f>
        <v/>
      </c>
      <c r="N156">
        <f>IF($U156="","",IF(ISNUMBER(INDEX(상세표[시작],$U156)),TEXT(INDEX(상세표[시작],$U156),"yyyy-mm-dd hh:mm"),INDEX(상세표[시작],$U156)&amp;""))</f>
        <v/>
      </c>
      <c r="O156">
        <f>IF($U156="","",IF(ISNUMBER(INDEX(상세표[종료],$U156)),TEXT(INDEX(상세표[종료],$U156),"yyyy-mm-dd hh:mm"),INDEX(상세표[종료],$U156)&amp;""))</f>
        <v/>
      </c>
      <c r="P156" s="20">
        <f>IF($U156="","",INDEX(상세표[06~07시],$U156))</f>
        <v/>
      </c>
      <c r="Q156" s="20">
        <f>IF($U156="","",INDEX(상세표[07~18시],$U156))</f>
        <v/>
      </c>
      <c r="R156" s="20">
        <f>IF($U156="","",INDEX(상세표[18~22시],$U156))</f>
        <v/>
      </c>
      <c r="S156" s="20">
        <f>IF($U156="","",INDEX(상세표[22~06시],$U156))</f>
        <v/>
      </c>
      <c r="T156" s="20">
        <f>IF($U156="","",INDEX(상세표[기록 시간외],$U156))</f>
        <v/>
      </c>
      <c r="U156" s="4">
        <f>IFERROR(MATCH(151,상세표[발송순번],0),"")</f>
        <v/>
      </c>
    </row>
    <row r="157">
      <c r="A157">
        <f>IF($H157="","",INDEX(상세표[사번],$H157)&amp;"")</f>
        <v/>
      </c>
      <c r="B157">
        <f>IF($H157="","",INDEX(상세표[성명],$H157)&amp;"")</f>
        <v/>
      </c>
      <c r="C157">
        <f>IF($H157="","",INDEX(상세표[부서],$H157)&amp;"")</f>
        <v/>
      </c>
      <c r="D157">
        <f>IF($H157="","",IF(IFERROR(INDEX(합계표[직위(요약)],MATCH(INDEX(상세표[사번키],$H157),합계표[사번키],0))&amp;IF(INDEX(합계표[직급 공존],MATCH(INDEX(상세표[사번키],$H157),합계표[사번키],0))="",""," ("&amp;INDEX(합계표[직급 공존],MATCH(INDEX(상세표[사번키],$H157),합계표[사번키],0))&amp;")"),"")="",INDEX(상세표[직위],$H157)&amp;"",IFERROR(INDEX(합계표[직위(요약)],MATCH(INDEX(상세표[사번키],$H157),합계표[사번키],0))&amp;IF(INDEX(합계표[직급 공존],MATCH(INDEX(상세표[사번키],$H157),합계표[사번키],0))="",""," ("&amp;INDEX(합계표[직급 공존],MATCH(INDEX(상세표[사번키],$H157),합계표[사번키],0))&amp;")"),"")))</f>
        <v/>
      </c>
      <c r="E157">
        <f>IF($H157="","",COUNTIFS(상세표[사번키],INDEX(상세표[사번키],$H157),상세표[기록월],대상월키))</f>
        <v/>
      </c>
      <c r="F157" s="20">
        <f>IF($H157="","",SUMIFS(상세표[기록 시간외],상세표[사번키],INDEX(상세표[사번키],$H157),상세표[기록월],대상월키))</f>
        <v/>
      </c>
      <c r="G157" s="20">
        <f>IF($H157="","",SUMIFS(합계표[시스템 합계],합계표[사번키],INDEX(상세표[사번키],$H157)))</f>
        <v/>
      </c>
      <c r="H157" s="4">
        <f>IFERROR(MATCH(152,상세표[발송인원순번],0),"")</f>
        <v/>
      </c>
      <c r="J157">
        <f>IF($U157="","",INDEX(상세표[사번],$U157)&amp;"")</f>
        <v/>
      </c>
      <c r="K157">
        <f>IF($U157="","",INDEX(상세표[성명],$U157)&amp;"")</f>
        <v/>
      </c>
      <c r="L157">
        <f>IF($U157="","",INDEX(상세표[직위],$U157)&amp;"")</f>
        <v/>
      </c>
      <c r="M157">
        <f>IF($U157="","",IF(ISNUMBER(INDEX(상세표[근무일자],$U157)),TEXT(INDEX(상세표[근무일자],$U157),"yyyy-mm-dd"),INDEX(상세표[근무일자],$U157)&amp;""))</f>
        <v/>
      </c>
      <c r="N157">
        <f>IF($U157="","",IF(ISNUMBER(INDEX(상세표[시작],$U157)),TEXT(INDEX(상세표[시작],$U157),"yyyy-mm-dd hh:mm"),INDEX(상세표[시작],$U157)&amp;""))</f>
        <v/>
      </c>
      <c r="O157">
        <f>IF($U157="","",IF(ISNUMBER(INDEX(상세표[종료],$U157)),TEXT(INDEX(상세표[종료],$U157),"yyyy-mm-dd hh:mm"),INDEX(상세표[종료],$U157)&amp;""))</f>
        <v/>
      </c>
      <c r="P157" s="20">
        <f>IF($U157="","",INDEX(상세표[06~07시],$U157))</f>
        <v/>
      </c>
      <c r="Q157" s="20">
        <f>IF($U157="","",INDEX(상세표[07~18시],$U157))</f>
        <v/>
      </c>
      <c r="R157" s="20">
        <f>IF($U157="","",INDEX(상세표[18~22시],$U157))</f>
        <v/>
      </c>
      <c r="S157" s="20">
        <f>IF($U157="","",INDEX(상세표[22~06시],$U157))</f>
        <v/>
      </c>
      <c r="T157" s="20">
        <f>IF($U157="","",INDEX(상세표[기록 시간외],$U157))</f>
        <v/>
      </c>
      <c r="U157" s="4">
        <f>IFERROR(MATCH(152,상세표[발송순번],0),"")</f>
        <v/>
      </c>
    </row>
    <row r="158">
      <c r="A158">
        <f>IF($H158="","",INDEX(상세표[사번],$H158)&amp;"")</f>
        <v/>
      </c>
      <c r="B158">
        <f>IF($H158="","",INDEX(상세표[성명],$H158)&amp;"")</f>
        <v/>
      </c>
      <c r="C158">
        <f>IF($H158="","",INDEX(상세표[부서],$H158)&amp;"")</f>
        <v/>
      </c>
      <c r="D158">
        <f>IF($H158="","",IF(IFERROR(INDEX(합계표[직위(요약)],MATCH(INDEX(상세표[사번키],$H158),합계표[사번키],0))&amp;IF(INDEX(합계표[직급 공존],MATCH(INDEX(상세표[사번키],$H158),합계표[사번키],0))="",""," ("&amp;INDEX(합계표[직급 공존],MATCH(INDEX(상세표[사번키],$H158),합계표[사번키],0))&amp;")"),"")="",INDEX(상세표[직위],$H158)&amp;"",IFERROR(INDEX(합계표[직위(요약)],MATCH(INDEX(상세표[사번키],$H158),합계표[사번키],0))&amp;IF(INDEX(합계표[직급 공존],MATCH(INDEX(상세표[사번키],$H158),합계표[사번키],0))="",""," ("&amp;INDEX(합계표[직급 공존],MATCH(INDEX(상세표[사번키],$H158),합계표[사번키],0))&amp;")"),"")))</f>
        <v/>
      </c>
      <c r="E158">
        <f>IF($H158="","",COUNTIFS(상세표[사번키],INDEX(상세표[사번키],$H158),상세표[기록월],대상월키))</f>
        <v/>
      </c>
      <c r="F158" s="20">
        <f>IF($H158="","",SUMIFS(상세표[기록 시간외],상세표[사번키],INDEX(상세표[사번키],$H158),상세표[기록월],대상월키))</f>
        <v/>
      </c>
      <c r="G158" s="20">
        <f>IF($H158="","",SUMIFS(합계표[시스템 합계],합계표[사번키],INDEX(상세표[사번키],$H158)))</f>
        <v/>
      </c>
      <c r="H158" s="4">
        <f>IFERROR(MATCH(153,상세표[발송인원순번],0),"")</f>
        <v/>
      </c>
      <c r="J158">
        <f>IF($U158="","",INDEX(상세표[사번],$U158)&amp;"")</f>
        <v/>
      </c>
      <c r="K158">
        <f>IF($U158="","",INDEX(상세표[성명],$U158)&amp;"")</f>
        <v/>
      </c>
      <c r="L158">
        <f>IF($U158="","",INDEX(상세표[직위],$U158)&amp;"")</f>
        <v/>
      </c>
      <c r="M158">
        <f>IF($U158="","",IF(ISNUMBER(INDEX(상세표[근무일자],$U158)),TEXT(INDEX(상세표[근무일자],$U158),"yyyy-mm-dd"),INDEX(상세표[근무일자],$U158)&amp;""))</f>
        <v/>
      </c>
      <c r="N158">
        <f>IF($U158="","",IF(ISNUMBER(INDEX(상세표[시작],$U158)),TEXT(INDEX(상세표[시작],$U158),"yyyy-mm-dd hh:mm"),INDEX(상세표[시작],$U158)&amp;""))</f>
        <v/>
      </c>
      <c r="O158">
        <f>IF($U158="","",IF(ISNUMBER(INDEX(상세표[종료],$U158)),TEXT(INDEX(상세표[종료],$U158),"yyyy-mm-dd hh:mm"),INDEX(상세표[종료],$U158)&amp;""))</f>
        <v/>
      </c>
      <c r="P158" s="20">
        <f>IF($U158="","",INDEX(상세표[06~07시],$U158))</f>
        <v/>
      </c>
      <c r="Q158" s="20">
        <f>IF($U158="","",INDEX(상세표[07~18시],$U158))</f>
        <v/>
      </c>
      <c r="R158" s="20">
        <f>IF($U158="","",INDEX(상세표[18~22시],$U158))</f>
        <v/>
      </c>
      <c r="S158" s="20">
        <f>IF($U158="","",INDEX(상세표[22~06시],$U158))</f>
        <v/>
      </c>
      <c r="T158" s="20">
        <f>IF($U158="","",INDEX(상세표[기록 시간외],$U158))</f>
        <v/>
      </c>
      <c r="U158" s="4">
        <f>IFERROR(MATCH(153,상세표[발송순번],0),"")</f>
        <v/>
      </c>
    </row>
    <row r="159">
      <c r="A159">
        <f>IF($H159="","",INDEX(상세표[사번],$H159)&amp;"")</f>
        <v/>
      </c>
      <c r="B159">
        <f>IF($H159="","",INDEX(상세표[성명],$H159)&amp;"")</f>
        <v/>
      </c>
      <c r="C159">
        <f>IF($H159="","",INDEX(상세표[부서],$H159)&amp;"")</f>
        <v/>
      </c>
      <c r="D159">
        <f>IF($H159="","",IF(IFERROR(INDEX(합계표[직위(요약)],MATCH(INDEX(상세표[사번키],$H159),합계표[사번키],0))&amp;IF(INDEX(합계표[직급 공존],MATCH(INDEX(상세표[사번키],$H159),합계표[사번키],0))="",""," ("&amp;INDEX(합계표[직급 공존],MATCH(INDEX(상세표[사번키],$H159),합계표[사번키],0))&amp;")"),"")="",INDEX(상세표[직위],$H159)&amp;"",IFERROR(INDEX(합계표[직위(요약)],MATCH(INDEX(상세표[사번키],$H159),합계표[사번키],0))&amp;IF(INDEX(합계표[직급 공존],MATCH(INDEX(상세표[사번키],$H159),합계표[사번키],0))="",""," ("&amp;INDEX(합계표[직급 공존],MATCH(INDEX(상세표[사번키],$H159),합계표[사번키],0))&amp;")"),"")))</f>
        <v/>
      </c>
      <c r="E159">
        <f>IF($H159="","",COUNTIFS(상세표[사번키],INDEX(상세표[사번키],$H159),상세표[기록월],대상월키))</f>
        <v/>
      </c>
      <c r="F159" s="20">
        <f>IF($H159="","",SUMIFS(상세표[기록 시간외],상세표[사번키],INDEX(상세표[사번키],$H159),상세표[기록월],대상월키))</f>
        <v/>
      </c>
      <c r="G159" s="20">
        <f>IF($H159="","",SUMIFS(합계표[시스템 합계],합계표[사번키],INDEX(상세표[사번키],$H159)))</f>
        <v/>
      </c>
      <c r="H159" s="4">
        <f>IFERROR(MATCH(154,상세표[발송인원순번],0),"")</f>
        <v/>
      </c>
      <c r="J159">
        <f>IF($U159="","",INDEX(상세표[사번],$U159)&amp;"")</f>
        <v/>
      </c>
      <c r="K159">
        <f>IF($U159="","",INDEX(상세표[성명],$U159)&amp;"")</f>
        <v/>
      </c>
      <c r="L159">
        <f>IF($U159="","",INDEX(상세표[직위],$U159)&amp;"")</f>
        <v/>
      </c>
      <c r="M159">
        <f>IF($U159="","",IF(ISNUMBER(INDEX(상세표[근무일자],$U159)),TEXT(INDEX(상세표[근무일자],$U159),"yyyy-mm-dd"),INDEX(상세표[근무일자],$U159)&amp;""))</f>
        <v/>
      </c>
      <c r="N159">
        <f>IF($U159="","",IF(ISNUMBER(INDEX(상세표[시작],$U159)),TEXT(INDEX(상세표[시작],$U159),"yyyy-mm-dd hh:mm"),INDEX(상세표[시작],$U159)&amp;""))</f>
        <v/>
      </c>
      <c r="O159">
        <f>IF($U159="","",IF(ISNUMBER(INDEX(상세표[종료],$U159)),TEXT(INDEX(상세표[종료],$U159),"yyyy-mm-dd hh:mm"),INDEX(상세표[종료],$U159)&amp;""))</f>
        <v/>
      </c>
      <c r="P159" s="20">
        <f>IF($U159="","",INDEX(상세표[06~07시],$U159))</f>
        <v/>
      </c>
      <c r="Q159" s="20">
        <f>IF($U159="","",INDEX(상세표[07~18시],$U159))</f>
        <v/>
      </c>
      <c r="R159" s="20">
        <f>IF($U159="","",INDEX(상세표[18~22시],$U159))</f>
        <v/>
      </c>
      <c r="S159" s="20">
        <f>IF($U159="","",INDEX(상세표[22~06시],$U159))</f>
        <v/>
      </c>
      <c r="T159" s="20">
        <f>IF($U159="","",INDEX(상세표[기록 시간외],$U159))</f>
        <v/>
      </c>
      <c r="U159" s="4">
        <f>IFERROR(MATCH(154,상세표[발송순번],0),"")</f>
        <v/>
      </c>
    </row>
    <row r="160">
      <c r="A160">
        <f>IF($H160="","",INDEX(상세표[사번],$H160)&amp;"")</f>
        <v/>
      </c>
      <c r="B160">
        <f>IF($H160="","",INDEX(상세표[성명],$H160)&amp;"")</f>
        <v/>
      </c>
      <c r="C160">
        <f>IF($H160="","",INDEX(상세표[부서],$H160)&amp;"")</f>
        <v/>
      </c>
      <c r="D160">
        <f>IF($H160="","",IF(IFERROR(INDEX(합계표[직위(요약)],MATCH(INDEX(상세표[사번키],$H160),합계표[사번키],0))&amp;IF(INDEX(합계표[직급 공존],MATCH(INDEX(상세표[사번키],$H160),합계표[사번키],0))="",""," ("&amp;INDEX(합계표[직급 공존],MATCH(INDEX(상세표[사번키],$H160),합계표[사번키],0))&amp;")"),"")="",INDEX(상세표[직위],$H160)&amp;"",IFERROR(INDEX(합계표[직위(요약)],MATCH(INDEX(상세표[사번키],$H160),합계표[사번키],0))&amp;IF(INDEX(합계표[직급 공존],MATCH(INDEX(상세표[사번키],$H160),합계표[사번키],0))="",""," ("&amp;INDEX(합계표[직급 공존],MATCH(INDEX(상세표[사번키],$H160),합계표[사번키],0))&amp;")"),"")))</f>
        <v/>
      </c>
      <c r="E160">
        <f>IF($H160="","",COUNTIFS(상세표[사번키],INDEX(상세표[사번키],$H160),상세표[기록월],대상월키))</f>
        <v/>
      </c>
      <c r="F160" s="20">
        <f>IF($H160="","",SUMIFS(상세표[기록 시간외],상세표[사번키],INDEX(상세표[사번키],$H160),상세표[기록월],대상월키))</f>
        <v/>
      </c>
      <c r="G160" s="20">
        <f>IF($H160="","",SUMIFS(합계표[시스템 합계],합계표[사번키],INDEX(상세표[사번키],$H160)))</f>
        <v/>
      </c>
      <c r="H160" s="4">
        <f>IFERROR(MATCH(155,상세표[발송인원순번],0),"")</f>
        <v/>
      </c>
      <c r="J160">
        <f>IF($U160="","",INDEX(상세표[사번],$U160)&amp;"")</f>
        <v/>
      </c>
      <c r="K160">
        <f>IF($U160="","",INDEX(상세표[성명],$U160)&amp;"")</f>
        <v/>
      </c>
      <c r="L160">
        <f>IF($U160="","",INDEX(상세표[직위],$U160)&amp;"")</f>
        <v/>
      </c>
      <c r="M160">
        <f>IF($U160="","",IF(ISNUMBER(INDEX(상세표[근무일자],$U160)),TEXT(INDEX(상세표[근무일자],$U160),"yyyy-mm-dd"),INDEX(상세표[근무일자],$U160)&amp;""))</f>
        <v/>
      </c>
      <c r="N160">
        <f>IF($U160="","",IF(ISNUMBER(INDEX(상세표[시작],$U160)),TEXT(INDEX(상세표[시작],$U160),"yyyy-mm-dd hh:mm"),INDEX(상세표[시작],$U160)&amp;""))</f>
        <v/>
      </c>
      <c r="O160">
        <f>IF($U160="","",IF(ISNUMBER(INDEX(상세표[종료],$U160)),TEXT(INDEX(상세표[종료],$U160),"yyyy-mm-dd hh:mm"),INDEX(상세표[종료],$U160)&amp;""))</f>
        <v/>
      </c>
      <c r="P160" s="20">
        <f>IF($U160="","",INDEX(상세표[06~07시],$U160))</f>
        <v/>
      </c>
      <c r="Q160" s="20">
        <f>IF($U160="","",INDEX(상세표[07~18시],$U160))</f>
        <v/>
      </c>
      <c r="R160" s="20">
        <f>IF($U160="","",INDEX(상세표[18~22시],$U160))</f>
        <v/>
      </c>
      <c r="S160" s="20">
        <f>IF($U160="","",INDEX(상세표[22~06시],$U160))</f>
        <v/>
      </c>
      <c r="T160" s="20">
        <f>IF($U160="","",INDEX(상세표[기록 시간외],$U160))</f>
        <v/>
      </c>
      <c r="U160" s="4">
        <f>IFERROR(MATCH(155,상세표[발송순번],0),"")</f>
        <v/>
      </c>
    </row>
    <row r="161">
      <c r="A161">
        <f>IF($H161="","",INDEX(상세표[사번],$H161)&amp;"")</f>
        <v/>
      </c>
      <c r="B161">
        <f>IF($H161="","",INDEX(상세표[성명],$H161)&amp;"")</f>
        <v/>
      </c>
      <c r="C161">
        <f>IF($H161="","",INDEX(상세표[부서],$H161)&amp;"")</f>
        <v/>
      </c>
      <c r="D161">
        <f>IF($H161="","",IF(IFERROR(INDEX(합계표[직위(요약)],MATCH(INDEX(상세표[사번키],$H161),합계표[사번키],0))&amp;IF(INDEX(합계표[직급 공존],MATCH(INDEX(상세표[사번키],$H161),합계표[사번키],0))="",""," ("&amp;INDEX(합계표[직급 공존],MATCH(INDEX(상세표[사번키],$H161),합계표[사번키],0))&amp;")"),"")="",INDEX(상세표[직위],$H161)&amp;"",IFERROR(INDEX(합계표[직위(요약)],MATCH(INDEX(상세표[사번키],$H161),합계표[사번키],0))&amp;IF(INDEX(합계표[직급 공존],MATCH(INDEX(상세표[사번키],$H161),합계표[사번키],0))="",""," ("&amp;INDEX(합계표[직급 공존],MATCH(INDEX(상세표[사번키],$H161),합계표[사번키],0))&amp;")"),"")))</f>
        <v/>
      </c>
      <c r="E161">
        <f>IF($H161="","",COUNTIFS(상세표[사번키],INDEX(상세표[사번키],$H161),상세표[기록월],대상월키))</f>
        <v/>
      </c>
      <c r="F161" s="20">
        <f>IF($H161="","",SUMIFS(상세표[기록 시간외],상세표[사번키],INDEX(상세표[사번키],$H161),상세표[기록월],대상월키))</f>
        <v/>
      </c>
      <c r="G161" s="20">
        <f>IF($H161="","",SUMIFS(합계표[시스템 합계],합계표[사번키],INDEX(상세표[사번키],$H161)))</f>
        <v/>
      </c>
      <c r="H161" s="4">
        <f>IFERROR(MATCH(156,상세표[발송인원순번],0),"")</f>
        <v/>
      </c>
      <c r="J161">
        <f>IF($U161="","",INDEX(상세표[사번],$U161)&amp;"")</f>
        <v/>
      </c>
      <c r="K161">
        <f>IF($U161="","",INDEX(상세표[성명],$U161)&amp;"")</f>
        <v/>
      </c>
      <c r="L161">
        <f>IF($U161="","",INDEX(상세표[직위],$U161)&amp;"")</f>
        <v/>
      </c>
      <c r="M161">
        <f>IF($U161="","",IF(ISNUMBER(INDEX(상세표[근무일자],$U161)),TEXT(INDEX(상세표[근무일자],$U161),"yyyy-mm-dd"),INDEX(상세표[근무일자],$U161)&amp;""))</f>
        <v/>
      </c>
      <c r="N161">
        <f>IF($U161="","",IF(ISNUMBER(INDEX(상세표[시작],$U161)),TEXT(INDEX(상세표[시작],$U161),"yyyy-mm-dd hh:mm"),INDEX(상세표[시작],$U161)&amp;""))</f>
        <v/>
      </c>
      <c r="O161">
        <f>IF($U161="","",IF(ISNUMBER(INDEX(상세표[종료],$U161)),TEXT(INDEX(상세표[종료],$U161),"yyyy-mm-dd hh:mm"),INDEX(상세표[종료],$U161)&amp;""))</f>
        <v/>
      </c>
      <c r="P161" s="20">
        <f>IF($U161="","",INDEX(상세표[06~07시],$U161))</f>
        <v/>
      </c>
      <c r="Q161" s="20">
        <f>IF($U161="","",INDEX(상세표[07~18시],$U161))</f>
        <v/>
      </c>
      <c r="R161" s="20">
        <f>IF($U161="","",INDEX(상세표[18~22시],$U161))</f>
        <v/>
      </c>
      <c r="S161" s="20">
        <f>IF($U161="","",INDEX(상세표[22~06시],$U161))</f>
        <v/>
      </c>
      <c r="T161" s="20">
        <f>IF($U161="","",INDEX(상세표[기록 시간외],$U161))</f>
        <v/>
      </c>
      <c r="U161" s="4">
        <f>IFERROR(MATCH(156,상세표[발송순번],0),"")</f>
        <v/>
      </c>
    </row>
    <row r="162">
      <c r="A162">
        <f>IF($H162="","",INDEX(상세표[사번],$H162)&amp;"")</f>
        <v/>
      </c>
      <c r="B162">
        <f>IF($H162="","",INDEX(상세표[성명],$H162)&amp;"")</f>
        <v/>
      </c>
      <c r="C162">
        <f>IF($H162="","",INDEX(상세표[부서],$H162)&amp;"")</f>
        <v/>
      </c>
      <c r="D162">
        <f>IF($H162="","",IF(IFERROR(INDEX(합계표[직위(요약)],MATCH(INDEX(상세표[사번키],$H162),합계표[사번키],0))&amp;IF(INDEX(합계표[직급 공존],MATCH(INDEX(상세표[사번키],$H162),합계표[사번키],0))="",""," ("&amp;INDEX(합계표[직급 공존],MATCH(INDEX(상세표[사번키],$H162),합계표[사번키],0))&amp;")"),"")="",INDEX(상세표[직위],$H162)&amp;"",IFERROR(INDEX(합계표[직위(요약)],MATCH(INDEX(상세표[사번키],$H162),합계표[사번키],0))&amp;IF(INDEX(합계표[직급 공존],MATCH(INDEX(상세표[사번키],$H162),합계표[사번키],0))="",""," ("&amp;INDEX(합계표[직급 공존],MATCH(INDEX(상세표[사번키],$H162),합계표[사번키],0))&amp;")"),"")))</f>
        <v/>
      </c>
      <c r="E162">
        <f>IF($H162="","",COUNTIFS(상세표[사번키],INDEX(상세표[사번키],$H162),상세표[기록월],대상월키))</f>
        <v/>
      </c>
      <c r="F162" s="20">
        <f>IF($H162="","",SUMIFS(상세표[기록 시간외],상세표[사번키],INDEX(상세표[사번키],$H162),상세표[기록월],대상월키))</f>
        <v/>
      </c>
      <c r="G162" s="20">
        <f>IF($H162="","",SUMIFS(합계표[시스템 합계],합계표[사번키],INDEX(상세표[사번키],$H162)))</f>
        <v/>
      </c>
      <c r="H162" s="4">
        <f>IFERROR(MATCH(157,상세표[발송인원순번],0),"")</f>
        <v/>
      </c>
      <c r="J162">
        <f>IF($U162="","",INDEX(상세표[사번],$U162)&amp;"")</f>
        <v/>
      </c>
      <c r="K162">
        <f>IF($U162="","",INDEX(상세표[성명],$U162)&amp;"")</f>
        <v/>
      </c>
      <c r="L162">
        <f>IF($U162="","",INDEX(상세표[직위],$U162)&amp;"")</f>
        <v/>
      </c>
      <c r="M162">
        <f>IF($U162="","",IF(ISNUMBER(INDEX(상세표[근무일자],$U162)),TEXT(INDEX(상세표[근무일자],$U162),"yyyy-mm-dd"),INDEX(상세표[근무일자],$U162)&amp;""))</f>
        <v/>
      </c>
      <c r="N162">
        <f>IF($U162="","",IF(ISNUMBER(INDEX(상세표[시작],$U162)),TEXT(INDEX(상세표[시작],$U162),"yyyy-mm-dd hh:mm"),INDEX(상세표[시작],$U162)&amp;""))</f>
        <v/>
      </c>
      <c r="O162">
        <f>IF($U162="","",IF(ISNUMBER(INDEX(상세표[종료],$U162)),TEXT(INDEX(상세표[종료],$U162),"yyyy-mm-dd hh:mm"),INDEX(상세표[종료],$U162)&amp;""))</f>
        <v/>
      </c>
      <c r="P162" s="20">
        <f>IF($U162="","",INDEX(상세표[06~07시],$U162))</f>
        <v/>
      </c>
      <c r="Q162" s="20">
        <f>IF($U162="","",INDEX(상세표[07~18시],$U162))</f>
        <v/>
      </c>
      <c r="R162" s="20">
        <f>IF($U162="","",INDEX(상세표[18~22시],$U162))</f>
        <v/>
      </c>
      <c r="S162" s="20">
        <f>IF($U162="","",INDEX(상세표[22~06시],$U162))</f>
        <v/>
      </c>
      <c r="T162" s="20">
        <f>IF($U162="","",INDEX(상세표[기록 시간외],$U162))</f>
        <v/>
      </c>
      <c r="U162" s="4">
        <f>IFERROR(MATCH(157,상세표[발송순번],0),"")</f>
        <v/>
      </c>
    </row>
    <row r="163">
      <c r="A163">
        <f>IF($H163="","",INDEX(상세표[사번],$H163)&amp;"")</f>
        <v/>
      </c>
      <c r="B163">
        <f>IF($H163="","",INDEX(상세표[성명],$H163)&amp;"")</f>
        <v/>
      </c>
      <c r="C163">
        <f>IF($H163="","",INDEX(상세표[부서],$H163)&amp;"")</f>
        <v/>
      </c>
      <c r="D163">
        <f>IF($H163="","",IF(IFERROR(INDEX(합계표[직위(요약)],MATCH(INDEX(상세표[사번키],$H163),합계표[사번키],0))&amp;IF(INDEX(합계표[직급 공존],MATCH(INDEX(상세표[사번키],$H163),합계표[사번키],0))="",""," ("&amp;INDEX(합계표[직급 공존],MATCH(INDEX(상세표[사번키],$H163),합계표[사번키],0))&amp;")"),"")="",INDEX(상세표[직위],$H163)&amp;"",IFERROR(INDEX(합계표[직위(요약)],MATCH(INDEX(상세표[사번키],$H163),합계표[사번키],0))&amp;IF(INDEX(합계표[직급 공존],MATCH(INDEX(상세표[사번키],$H163),합계표[사번키],0))="",""," ("&amp;INDEX(합계표[직급 공존],MATCH(INDEX(상세표[사번키],$H163),합계표[사번키],0))&amp;")"),"")))</f>
        <v/>
      </c>
      <c r="E163">
        <f>IF($H163="","",COUNTIFS(상세표[사번키],INDEX(상세표[사번키],$H163),상세표[기록월],대상월키))</f>
        <v/>
      </c>
      <c r="F163" s="20">
        <f>IF($H163="","",SUMIFS(상세표[기록 시간외],상세표[사번키],INDEX(상세표[사번키],$H163),상세표[기록월],대상월키))</f>
        <v/>
      </c>
      <c r="G163" s="20">
        <f>IF($H163="","",SUMIFS(합계표[시스템 합계],합계표[사번키],INDEX(상세표[사번키],$H163)))</f>
        <v/>
      </c>
      <c r="H163" s="4">
        <f>IFERROR(MATCH(158,상세표[발송인원순번],0),"")</f>
        <v/>
      </c>
      <c r="J163">
        <f>IF($U163="","",INDEX(상세표[사번],$U163)&amp;"")</f>
        <v/>
      </c>
      <c r="K163">
        <f>IF($U163="","",INDEX(상세표[성명],$U163)&amp;"")</f>
        <v/>
      </c>
      <c r="L163">
        <f>IF($U163="","",INDEX(상세표[직위],$U163)&amp;"")</f>
        <v/>
      </c>
      <c r="M163">
        <f>IF($U163="","",IF(ISNUMBER(INDEX(상세표[근무일자],$U163)),TEXT(INDEX(상세표[근무일자],$U163),"yyyy-mm-dd"),INDEX(상세표[근무일자],$U163)&amp;""))</f>
        <v/>
      </c>
      <c r="N163">
        <f>IF($U163="","",IF(ISNUMBER(INDEX(상세표[시작],$U163)),TEXT(INDEX(상세표[시작],$U163),"yyyy-mm-dd hh:mm"),INDEX(상세표[시작],$U163)&amp;""))</f>
        <v/>
      </c>
      <c r="O163">
        <f>IF($U163="","",IF(ISNUMBER(INDEX(상세표[종료],$U163)),TEXT(INDEX(상세표[종료],$U163),"yyyy-mm-dd hh:mm"),INDEX(상세표[종료],$U163)&amp;""))</f>
        <v/>
      </c>
      <c r="P163" s="20">
        <f>IF($U163="","",INDEX(상세표[06~07시],$U163))</f>
        <v/>
      </c>
      <c r="Q163" s="20">
        <f>IF($U163="","",INDEX(상세표[07~18시],$U163))</f>
        <v/>
      </c>
      <c r="R163" s="20">
        <f>IF($U163="","",INDEX(상세표[18~22시],$U163))</f>
        <v/>
      </c>
      <c r="S163" s="20">
        <f>IF($U163="","",INDEX(상세표[22~06시],$U163))</f>
        <v/>
      </c>
      <c r="T163" s="20">
        <f>IF($U163="","",INDEX(상세표[기록 시간외],$U163))</f>
        <v/>
      </c>
      <c r="U163" s="4">
        <f>IFERROR(MATCH(158,상세표[발송순번],0),"")</f>
        <v/>
      </c>
    </row>
    <row r="164">
      <c r="A164">
        <f>IF($H164="","",INDEX(상세표[사번],$H164)&amp;"")</f>
        <v/>
      </c>
      <c r="B164">
        <f>IF($H164="","",INDEX(상세표[성명],$H164)&amp;"")</f>
        <v/>
      </c>
      <c r="C164">
        <f>IF($H164="","",INDEX(상세표[부서],$H164)&amp;"")</f>
        <v/>
      </c>
      <c r="D164">
        <f>IF($H164="","",IF(IFERROR(INDEX(합계표[직위(요약)],MATCH(INDEX(상세표[사번키],$H164),합계표[사번키],0))&amp;IF(INDEX(합계표[직급 공존],MATCH(INDEX(상세표[사번키],$H164),합계표[사번키],0))="",""," ("&amp;INDEX(합계표[직급 공존],MATCH(INDEX(상세표[사번키],$H164),합계표[사번키],0))&amp;")"),"")="",INDEX(상세표[직위],$H164)&amp;"",IFERROR(INDEX(합계표[직위(요약)],MATCH(INDEX(상세표[사번키],$H164),합계표[사번키],0))&amp;IF(INDEX(합계표[직급 공존],MATCH(INDEX(상세표[사번키],$H164),합계표[사번키],0))="",""," ("&amp;INDEX(합계표[직급 공존],MATCH(INDEX(상세표[사번키],$H164),합계표[사번키],0))&amp;")"),"")))</f>
        <v/>
      </c>
      <c r="E164">
        <f>IF($H164="","",COUNTIFS(상세표[사번키],INDEX(상세표[사번키],$H164),상세표[기록월],대상월키))</f>
        <v/>
      </c>
      <c r="F164" s="20">
        <f>IF($H164="","",SUMIFS(상세표[기록 시간외],상세표[사번키],INDEX(상세표[사번키],$H164),상세표[기록월],대상월키))</f>
        <v/>
      </c>
      <c r="G164" s="20">
        <f>IF($H164="","",SUMIFS(합계표[시스템 합계],합계표[사번키],INDEX(상세표[사번키],$H164)))</f>
        <v/>
      </c>
      <c r="H164" s="4">
        <f>IFERROR(MATCH(159,상세표[발송인원순번],0),"")</f>
        <v/>
      </c>
      <c r="J164">
        <f>IF($U164="","",INDEX(상세표[사번],$U164)&amp;"")</f>
        <v/>
      </c>
      <c r="K164">
        <f>IF($U164="","",INDEX(상세표[성명],$U164)&amp;"")</f>
        <v/>
      </c>
      <c r="L164">
        <f>IF($U164="","",INDEX(상세표[직위],$U164)&amp;"")</f>
        <v/>
      </c>
      <c r="M164">
        <f>IF($U164="","",IF(ISNUMBER(INDEX(상세표[근무일자],$U164)),TEXT(INDEX(상세표[근무일자],$U164),"yyyy-mm-dd"),INDEX(상세표[근무일자],$U164)&amp;""))</f>
        <v/>
      </c>
      <c r="N164">
        <f>IF($U164="","",IF(ISNUMBER(INDEX(상세표[시작],$U164)),TEXT(INDEX(상세표[시작],$U164),"yyyy-mm-dd hh:mm"),INDEX(상세표[시작],$U164)&amp;""))</f>
        <v/>
      </c>
      <c r="O164">
        <f>IF($U164="","",IF(ISNUMBER(INDEX(상세표[종료],$U164)),TEXT(INDEX(상세표[종료],$U164),"yyyy-mm-dd hh:mm"),INDEX(상세표[종료],$U164)&amp;""))</f>
        <v/>
      </c>
      <c r="P164" s="20">
        <f>IF($U164="","",INDEX(상세표[06~07시],$U164))</f>
        <v/>
      </c>
      <c r="Q164" s="20">
        <f>IF($U164="","",INDEX(상세표[07~18시],$U164))</f>
        <v/>
      </c>
      <c r="R164" s="20">
        <f>IF($U164="","",INDEX(상세표[18~22시],$U164))</f>
        <v/>
      </c>
      <c r="S164" s="20">
        <f>IF($U164="","",INDEX(상세표[22~06시],$U164))</f>
        <v/>
      </c>
      <c r="T164" s="20">
        <f>IF($U164="","",INDEX(상세표[기록 시간외],$U164))</f>
        <v/>
      </c>
      <c r="U164" s="4">
        <f>IFERROR(MATCH(159,상세표[발송순번],0),"")</f>
        <v/>
      </c>
    </row>
    <row r="165">
      <c r="A165">
        <f>IF($H165="","",INDEX(상세표[사번],$H165)&amp;"")</f>
        <v/>
      </c>
      <c r="B165">
        <f>IF($H165="","",INDEX(상세표[성명],$H165)&amp;"")</f>
        <v/>
      </c>
      <c r="C165">
        <f>IF($H165="","",INDEX(상세표[부서],$H165)&amp;"")</f>
        <v/>
      </c>
      <c r="D165">
        <f>IF($H165="","",IF(IFERROR(INDEX(합계표[직위(요약)],MATCH(INDEX(상세표[사번키],$H165),합계표[사번키],0))&amp;IF(INDEX(합계표[직급 공존],MATCH(INDEX(상세표[사번키],$H165),합계표[사번키],0))="",""," ("&amp;INDEX(합계표[직급 공존],MATCH(INDEX(상세표[사번키],$H165),합계표[사번키],0))&amp;")"),"")="",INDEX(상세표[직위],$H165)&amp;"",IFERROR(INDEX(합계표[직위(요약)],MATCH(INDEX(상세표[사번키],$H165),합계표[사번키],0))&amp;IF(INDEX(합계표[직급 공존],MATCH(INDEX(상세표[사번키],$H165),합계표[사번키],0))="",""," ("&amp;INDEX(합계표[직급 공존],MATCH(INDEX(상세표[사번키],$H165),합계표[사번키],0))&amp;")"),"")))</f>
        <v/>
      </c>
      <c r="E165">
        <f>IF($H165="","",COUNTIFS(상세표[사번키],INDEX(상세표[사번키],$H165),상세표[기록월],대상월키))</f>
        <v/>
      </c>
      <c r="F165" s="20">
        <f>IF($H165="","",SUMIFS(상세표[기록 시간외],상세표[사번키],INDEX(상세표[사번키],$H165),상세표[기록월],대상월키))</f>
        <v/>
      </c>
      <c r="G165" s="20">
        <f>IF($H165="","",SUMIFS(합계표[시스템 합계],합계표[사번키],INDEX(상세표[사번키],$H165)))</f>
        <v/>
      </c>
      <c r="H165" s="4">
        <f>IFERROR(MATCH(160,상세표[발송인원순번],0),"")</f>
        <v/>
      </c>
      <c r="J165">
        <f>IF($U165="","",INDEX(상세표[사번],$U165)&amp;"")</f>
        <v/>
      </c>
      <c r="K165">
        <f>IF($U165="","",INDEX(상세표[성명],$U165)&amp;"")</f>
        <v/>
      </c>
      <c r="L165">
        <f>IF($U165="","",INDEX(상세표[직위],$U165)&amp;"")</f>
        <v/>
      </c>
      <c r="M165">
        <f>IF($U165="","",IF(ISNUMBER(INDEX(상세표[근무일자],$U165)),TEXT(INDEX(상세표[근무일자],$U165),"yyyy-mm-dd"),INDEX(상세표[근무일자],$U165)&amp;""))</f>
        <v/>
      </c>
      <c r="N165">
        <f>IF($U165="","",IF(ISNUMBER(INDEX(상세표[시작],$U165)),TEXT(INDEX(상세표[시작],$U165),"yyyy-mm-dd hh:mm"),INDEX(상세표[시작],$U165)&amp;""))</f>
        <v/>
      </c>
      <c r="O165">
        <f>IF($U165="","",IF(ISNUMBER(INDEX(상세표[종료],$U165)),TEXT(INDEX(상세표[종료],$U165),"yyyy-mm-dd hh:mm"),INDEX(상세표[종료],$U165)&amp;""))</f>
        <v/>
      </c>
      <c r="P165" s="20">
        <f>IF($U165="","",INDEX(상세표[06~07시],$U165))</f>
        <v/>
      </c>
      <c r="Q165" s="20">
        <f>IF($U165="","",INDEX(상세표[07~18시],$U165))</f>
        <v/>
      </c>
      <c r="R165" s="20">
        <f>IF($U165="","",INDEX(상세표[18~22시],$U165))</f>
        <v/>
      </c>
      <c r="S165" s="20">
        <f>IF($U165="","",INDEX(상세표[22~06시],$U165))</f>
        <v/>
      </c>
      <c r="T165" s="20">
        <f>IF($U165="","",INDEX(상세표[기록 시간외],$U165))</f>
        <v/>
      </c>
      <c r="U165" s="4">
        <f>IFERROR(MATCH(160,상세표[발송순번],0),"")</f>
        <v/>
      </c>
    </row>
    <row r="166">
      <c r="A166">
        <f>IF($H166="","",INDEX(상세표[사번],$H166)&amp;"")</f>
        <v/>
      </c>
      <c r="B166">
        <f>IF($H166="","",INDEX(상세표[성명],$H166)&amp;"")</f>
        <v/>
      </c>
      <c r="C166">
        <f>IF($H166="","",INDEX(상세표[부서],$H166)&amp;"")</f>
        <v/>
      </c>
      <c r="D166">
        <f>IF($H166="","",IF(IFERROR(INDEX(합계표[직위(요약)],MATCH(INDEX(상세표[사번키],$H166),합계표[사번키],0))&amp;IF(INDEX(합계표[직급 공존],MATCH(INDEX(상세표[사번키],$H166),합계표[사번키],0))="",""," ("&amp;INDEX(합계표[직급 공존],MATCH(INDEX(상세표[사번키],$H166),합계표[사번키],0))&amp;")"),"")="",INDEX(상세표[직위],$H166)&amp;"",IFERROR(INDEX(합계표[직위(요약)],MATCH(INDEX(상세표[사번키],$H166),합계표[사번키],0))&amp;IF(INDEX(합계표[직급 공존],MATCH(INDEX(상세표[사번키],$H166),합계표[사번키],0))="",""," ("&amp;INDEX(합계표[직급 공존],MATCH(INDEX(상세표[사번키],$H166),합계표[사번키],0))&amp;")"),"")))</f>
        <v/>
      </c>
      <c r="E166">
        <f>IF($H166="","",COUNTIFS(상세표[사번키],INDEX(상세표[사번키],$H166),상세표[기록월],대상월키))</f>
        <v/>
      </c>
      <c r="F166" s="20">
        <f>IF($H166="","",SUMIFS(상세표[기록 시간외],상세표[사번키],INDEX(상세표[사번키],$H166),상세표[기록월],대상월키))</f>
        <v/>
      </c>
      <c r="G166" s="20">
        <f>IF($H166="","",SUMIFS(합계표[시스템 합계],합계표[사번키],INDEX(상세표[사번키],$H166)))</f>
        <v/>
      </c>
      <c r="H166" s="4">
        <f>IFERROR(MATCH(161,상세표[발송인원순번],0),"")</f>
        <v/>
      </c>
      <c r="J166">
        <f>IF($U166="","",INDEX(상세표[사번],$U166)&amp;"")</f>
        <v/>
      </c>
      <c r="K166">
        <f>IF($U166="","",INDEX(상세표[성명],$U166)&amp;"")</f>
        <v/>
      </c>
      <c r="L166">
        <f>IF($U166="","",INDEX(상세표[직위],$U166)&amp;"")</f>
        <v/>
      </c>
      <c r="M166">
        <f>IF($U166="","",IF(ISNUMBER(INDEX(상세표[근무일자],$U166)),TEXT(INDEX(상세표[근무일자],$U166),"yyyy-mm-dd"),INDEX(상세표[근무일자],$U166)&amp;""))</f>
        <v/>
      </c>
      <c r="N166">
        <f>IF($U166="","",IF(ISNUMBER(INDEX(상세표[시작],$U166)),TEXT(INDEX(상세표[시작],$U166),"yyyy-mm-dd hh:mm"),INDEX(상세표[시작],$U166)&amp;""))</f>
        <v/>
      </c>
      <c r="O166">
        <f>IF($U166="","",IF(ISNUMBER(INDEX(상세표[종료],$U166)),TEXT(INDEX(상세표[종료],$U166),"yyyy-mm-dd hh:mm"),INDEX(상세표[종료],$U166)&amp;""))</f>
        <v/>
      </c>
      <c r="P166" s="20">
        <f>IF($U166="","",INDEX(상세표[06~07시],$U166))</f>
        <v/>
      </c>
      <c r="Q166" s="20">
        <f>IF($U166="","",INDEX(상세표[07~18시],$U166))</f>
        <v/>
      </c>
      <c r="R166" s="20">
        <f>IF($U166="","",INDEX(상세표[18~22시],$U166))</f>
        <v/>
      </c>
      <c r="S166" s="20">
        <f>IF($U166="","",INDEX(상세표[22~06시],$U166))</f>
        <v/>
      </c>
      <c r="T166" s="20">
        <f>IF($U166="","",INDEX(상세표[기록 시간외],$U166))</f>
        <v/>
      </c>
      <c r="U166" s="4">
        <f>IFERROR(MATCH(161,상세표[발송순번],0),"")</f>
        <v/>
      </c>
    </row>
    <row r="167">
      <c r="A167">
        <f>IF($H167="","",INDEX(상세표[사번],$H167)&amp;"")</f>
        <v/>
      </c>
      <c r="B167">
        <f>IF($H167="","",INDEX(상세표[성명],$H167)&amp;"")</f>
        <v/>
      </c>
      <c r="C167">
        <f>IF($H167="","",INDEX(상세표[부서],$H167)&amp;"")</f>
        <v/>
      </c>
      <c r="D167">
        <f>IF($H167="","",IF(IFERROR(INDEX(합계표[직위(요약)],MATCH(INDEX(상세표[사번키],$H167),합계표[사번키],0))&amp;IF(INDEX(합계표[직급 공존],MATCH(INDEX(상세표[사번키],$H167),합계표[사번키],0))="",""," ("&amp;INDEX(합계표[직급 공존],MATCH(INDEX(상세표[사번키],$H167),합계표[사번키],0))&amp;")"),"")="",INDEX(상세표[직위],$H167)&amp;"",IFERROR(INDEX(합계표[직위(요약)],MATCH(INDEX(상세표[사번키],$H167),합계표[사번키],0))&amp;IF(INDEX(합계표[직급 공존],MATCH(INDEX(상세표[사번키],$H167),합계표[사번키],0))="",""," ("&amp;INDEX(합계표[직급 공존],MATCH(INDEX(상세표[사번키],$H167),합계표[사번키],0))&amp;")"),"")))</f>
        <v/>
      </c>
      <c r="E167">
        <f>IF($H167="","",COUNTIFS(상세표[사번키],INDEX(상세표[사번키],$H167),상세표[기록월],대상월키))</f>
        <v/>
      </c>
      <c r="F167" s="20">
        <f>IF($H167="","",SUMIFS(상세표[기록 시간외],상세표[사번키],INDEX(상세표[사번키],$H167),상세표[기록월],대상월키))</f>
        <v/>
      </c>
      <c r="G167" s="20">
        <f>IF($H167="","",SUMIFS(합계표[시스템 합계],합계표[사번키],INDEX(상세표[사번키],$H167)))</f>
        <v/>
      </c>
      <c r="H167" s="4">
        <f>IFERROR(MATCH(162,상세표[발송인원순번],0),"")</f>
        <v/>
      </c>
      <c r="J167">
        <f>IF($U167="","",INDEX(상세표[사번],$U167)&amp;"")</f>
        <v/>
      </c>
      <c r="K167">
        <f>IF($U167="","",INDEX(상세표[성명],$U167)&amp;"")</f>
        <v/>
      </c>
      <c r="L167">
        <f>IF($U167="","",INDEX(상세표[직위],$U167)&amp;"")</f>
        <v/>
      </c>
      <c r="M167">
        <f>IF($U167="","",IF(ISNUMBER(INDEX(상세표[근무일자],$U167)),TEXT(INDEX(상세표[근무일자],$U167),"yyyy-mm-dd"),INDEX(상세표[근무일자],$U167)&amp;""))</f>
        <v/>
      </c>
      <c r="N167">
        <f>IF($U167="","",IF(ISNUMBER(INDEX(상세표[시작],$U167)),TEXT(INDEX(상세표[시작],$U167),"yyyy-mm-dd hh:mm"),INDEX(상세표[시작],$U167)&amp;""))</f>
        <v/>
      </c>
      <c r="O167">
        <f>IF($U167="","",IF(ISNUMBER(INDEX(상세표[종료],$U167)),TEXT(INDEX(상세표[종료],$U167),"yyyy-mm-dd hh:mm"),INDEX(상세표[종료],$U167)&amp;""))</f>
        <v/>
      </c>
      <c r="P167" s="20">
        <f>IF($U167="","",INDEX(상세표[06~07시],$U167))</f>
        <v/>
      </c>
      <c r="Q167" s="20">
        <f>IF($U167="","",INDEX(상세표[07~18시],$U167))</f>
        <v/>
      </c>
      <c r="R167" s="20">
        <f>IF($U167="","",INDEX(상세표[18~22시],$U167))</f>
        <v/>
      </c>
      <c r="S167" s="20">
        <f>IF($U167="","",INDEX(상세표[22~06시],$U167))</f>
        <v/>
      </c>
      <c r="T167" s="20">
        <f>IF($U167="","",INDEX(상세표[기록 시간외],$U167))</f>
        <v/>
      </c>
      <c r="U167" s="4">
        <f>IFERROR(MATCH(162,상세표[발송순번],0),"")</f>
        <v/>
      </c>
    </row>
    <row r="168">
      <c r="A168">
        <f>IF($H168="","",INDEX(상세표[사번],$H168)&amp;"")</f>
        <v/>
      </c>
      <c r="B168">
        <f>IF($H168="","",INDEX(상세표[성명],$H168)&amp;"")</f>
        <v/>
      </c>
      <c r="C168">
        <f>IF($H168="","",INDEX(상세표[부서],$H168)&amp;"")</f>
        <v/>
      </c>
      <c r="D168">
        <f>IF($H168="","",IF(IFERROR(INDEX(합계표[직위(요약)],MATCH(INDEX(상세표[사번키],$H168),합계표[사번키],0))&amp;IF(INDEX(합계표[직급 공존],MATCH(INDEX(상세표[사번키],$H168),합계표[사번키],0))="",""," ("&amp;INDEX(합계표[직급 공존],MATCH(INDEX(상세표[사번키],$H168),합계표[사번키],0))&amp;")"),"")="",INDEX(상세표[직위],$H168)&amp;"",IFERROR(INDEX(합계표[직위(요약)],MATCH(INDEX(상세표[사번키],$H168),합계표[사번키],0))&amp;IF(INDEX(합계표[직급 공존],MATCH(INDEX(상세표[사번키],$H168),합계표[사번키],0))="",""," ("&amp;INDEX(합계표[직급 공존],MATCH(INDEX(상세표[사번키],$H168),합계표[사번키],0))&amp;")"),"")))</f>
        <v/>
      </c>
      <c r="E168">
        <f>IF($H168="","",COUNTIFS(상세표[사번키],INDEX(상세표[사번키],$H168),상세표[기록월],대상월키))</f>
        <v/>
      </c>
      <c r="F168" s="20">
        <f>IF($H168="","",SUMIFS(상세표[기록 시간외],상세표[사번키],INDEX(상세표[사번키],$H168),상세표[기록월],대상월키))</f>
        <v/>
      </c>
      <c r="G168" s="20">
        <f>IF($H168="","",SUMIFS(합계표[시스템 합계],합계표[사번키],INDEX(상세표[사번키],$H168)))</f>
        <v/>
      </c>
      <c r="H168" s="4">
        <f>IFERROR(MATCH(163,상세표[발송인원순번],0),"")</f>
        <v/>
      </c>
      <c r="J168">
        <f>IF($U168="","",INDEX(상세표[사번],$U168)&amp;"")</f>
        <v/>
      </c>
      <c r="K168">
        <f>IF($U168="","",INDEX(상세표[성명],$U168)&amp;"")</f>
        <v/>
      </c>
      <c r="L168">
        <f>IF($U168="","",INDEX(상세표[직위],$U168)&amp;"")</f>
        <v/>
      </c>
      <c r="M168">
        <f>IF($U168="","",IF(ISNUMBER(INDEX(상세표[근무일자],$U168)),TEXT(INDEX(상세표[근무일자],$U168),"yyyy-mm-dd"),INDEX(상세표[근무일자],$U168)&amp;""))</f>
        <v/>
      </c>
      <c r="N168">
        <f>IF($U168="","",IF(ISNUMBER(INDEX(상세표[시작],$U168)),TEXT(INDEX(상세표[시작],$U168),"yyyy-mm-dd hh:mm"),INDEX(상세표[시작],$U168)&amp;""))</f>
        <v/>
      </c>
      <c r="O168">
        <f>IF($U168="","",IF(ISNUMBER(INDEX(상세표[종료],$U168)),TEXT(INDEX(상세표[종료],$U168),"yyyy-mm-dd hh:mm"),INDEX(상세표[종료],$U168)&amp;""))</f>
        <v/>
      </c>
      <c r="P168" s="20">
        <f>IF($U168="","",INDEX(상세표[06~07시],$U168))</f>
        <v/>
      </c>
      <c r="Q168" s="20">
        <f>IF($U168="","",INDEX(상세표[07~18시],$U168))</f>
        <v/>
      </c>
      <c r="R168" s="20">
        <f>IF($U168="","",INDEX(상세표[18~22시],$U168))</f>
        <v/>
      </c>
      <c r="S168" s="20">
        <f>IF($U168="","",INDEX(상세표[22~06시],$U168))</f>
        <v/>
      </c>
      <c r="T168" s="20">
        <f>IF($U168="","",INDEX(상세표[기록 시간외],$U168))</f>
        <v/>
      </c>
      <c r="U168" s="4">
        <f>IFERROR(MATCH(163,상세표[발송순번],0),"")</f>
        <v/>
      </c>
    </row>
    <row r="169">
      <c r="A169">
        <f>IF($H169="","",INDEX(상세표[사번],$H169)&amp;"")</f>
        <v/>
      </c>
      <c r="B169">
        <f>IF($H169="","",INDEX(상세표[성명],$H169)&amp;"")</f>
        <v/>
      </c>
      <c r="C169">
        <f>IF($H169="","",INDEX(상세표[부서],$H169)&amp;"")</f>
        <v/>
      </c>
      <c r="D169">
        <f>IF($H169="","",IF(IFERROR(INDEX(합계표[직위(요약)],MATCH(INDEX(상세표[사번키],$H169),합계표[사번키],0))&amp;IF(INDEX(합계표[직급 공존],MATCH(INDEX(상세표[사번키],$H169),합계표[사번키],0))="",""," ("&amp;INDEX(합계표[직급 공존],MATCH(INDEX(상세표[사번키],$H169),합계표[사번키],0))&amp;")"),"")="",INDEX(상세표[직위],$H169)&amp;"",IFERROR(INDEX(합계표[직위(요약)],MATCH(INDEX(상세표[사번키],$H169),합계표[사번키],0))&amp;IF(INDEX(합계표[직급 공존],MATCH(INDEX(상세표[사번키],$H169),합계표[사번키],0))="",""," ("&amp;INDEX(합계표[직급 공존],MATCH(INDEX(상세표[사번키],$H169),합계표[사번키],0))&amp;")"),"")))</f>
        <v/>
      </c>
      <c r="E169">
        <f>IF($H169="","",COUNTIFS(상세표[사번키],INDEX(상세표[사번키],$H169),상세표[기록월],대상월키))</f>
        <v/>
      </c>
      <c r="F169" s="20">
        <f>IF($H169="","",SUMIFS(상세표[기록 시간외],상세표[사번키],INDEX(상세표[사번키],$H169),상세표[기록월],대상월키))</f>
        <v/>
      </c>
      <c r="G169" s="20">
        <f>IF($H169="","",SUMIFS(합계표[시스템 합계],합계표[사번키],INDEX(상세표[사번키],$H169)))</f>
        <v/>
      </c>
      <c r="H169" s="4">
        <f>IFERROR(MATCH(164,상세표[발송인원순번],0),"")</f>
        <v/>
      </c>
      <c r="J169">
        <f>IF($U169="","",INDEX(상세표[사번],$U169)&amp;"")</f>
        <v/>
      </c>
      <c r="K169">
        <f>IF($U169="","",INDEX(상세표[성명],$U169)&amp;"")</f>
        <v/>
      </c>
      <c r="L169">
        <f>IF($U169="","",INDEX(상세표[직위],$U169)&amp;"")</f>
        <v/>
      </c>
      <c r="M169">
        <f>IF($U169="","",IF(ISNUMBER(INDEX(상세표[근무일자],$U169)),TEXT(INDEX(상세표[근무일자],$U169),"yyyy-mm-dd"),INDEX(상세표[근무일자],$U169)&amp;""))</f>
        <v/>
      </c>
      <c r="N169">
        <f>IF($U169="","",IF(ISNUMBER(INDEX(상세표[시작],$U169)),TEXT(INDEX(상세표[시작],$U169),"yyyy-mm-dd hh:mm"),INDEX(상세표[시작],$U169)&amp;""))</f>
        <v/>
      </c>
      <c r="O169">
        <f>IF($U169="","",IF(ISNUMBER(INDEX(상세표[종료],$U169)),TEXT(INDEX(상세표[종료],$U169),"yyyy-mm-dd hh:mm"),INDEX(상세표[종료],$U169)&amp;""))</f>
        <v/>
      </c>
      <c r="P169" s="20">
        <f>IF($U169="","",INDEX(상세표[06~07시],$U169))</f>
        <v/>
      </c>
      <c r="Q169" s="20">
        <f>IF($U169="","",INDEX(상세표[07~18시],$U169))</f>
        <v/>
      </c>
      <c r="R169" s="20">
        <f>IF($U169="","",INDEX(상세표[18~22시],$U169))</f>
        <v/>
      </c>
      <c r="S169" s="20">
        <f>IF($U169="","",INDEX(상세표[22~06시],$U169))</f>
        <v/>
      </c>
      <c r="T169" s="20">
        <f>IF($U169="","",INDEX(상세표[기록 시간외],$U169))</f>
        <v/>
      </c>
      <c r="U169" s="4">
        <f>IFERROR(MATCH(164,상세표[발송순번],0),"")</f>
        <v/>
      </c>
    </row>
    <row r="170">
      <c r="A170">
        <f>IF($H170="","",INDEX(상세표[사번],$H170)&amp;"")</f>
        <v/>
      </c>
      <c r="B170">
        <f>IF($H170="","",INDEX(상세표[성명],$H170)&amp;"")</f>
        <v/>
      </c>
      <c r="C170">
        <f>IF($H170="","",INDEX(상세표[부서],$H170)&amp;"")</f>
        <v/>
      </c>
      <c r="D170">
        <f>IF($H170="","",IF(IFERROR(INDEX(합계표[직위(요약)],MATCH(INDEX(상세표[사번키],$H170),합계표[사번키],0))&amp;IF(INDEX(합계표[직급 공존],MATCH(INDEX(상세표[사번키],$H170),합계표[사번키],0))="",""," ("&amp;INDEX(합계표[직급 공존],MATCH(INDEX(상세표[사번키],$H170),합계표[사번키],0))&amp;")"),"")="",INDEX(상세표[직위],$H170)&amp;"",IFERROR(INDEX(합계표[직위(요약)],MATCH(INDEX(상세표[사번키],$H170),합계표[사번키],0))&amp;IF(INDEX(합계표[직급 공존],MATCH(INDEX(상세표[사번키],$H170),합계표[사번키],0))="",""," ("&amp;INDEX(합계표[직급 공존],MATCH(INDEX(상세표[사번키],$H170),합계표[사번키],0))&amp;")"),"")))</f>
        <v/>
      </c>
      <c r="E170">
        <f>IF($H170="","",COUNTIFS(상세표[사번키],INDEX(상세표[사번키],$H170),상세표[기록월],대상월키))</f>
        <v/>
      </c>
      <c r="F170" s="20">
        <f>IF($H170="","",SUMIFS(상세표[기록 시간외],상세표[사번키],INDEX(상세표[사번키],$H170),상세표[기록월],대상월키))</f>
        <v/>
      </c>
      <c r="G170" s="20">
        <f>IF($H170="","",SUMIFS(합계표[시스템 합계],합계표[사번키],INDEX(상세표[사번키],$H170)))</f>
        <v/>
      </c>
      <c r="H170" s="4">
        <f>IFERROR(MATCH(165,상세표[발송인원순번],0),"")</f>
        <v/>
      </c>
      <c r="J170">
        <f>IF($U170="","",INDEX(상세표[사번],$U170)&amp;"")</f>
        <v/>
      </c>
      <c r="K170">
        <f>IF($U170="","",INDEX(상세표[성명],$U170)&amp;"")</f>
        <v/>
      </c>
      <c r="L170">
        <f>IF($U170="","",INDEX(상세표[직위],$U170)&amp;"")</f>
        <v/>
      </c>
      <c r="M170">
        <f>IF($U170="","",IF(ISNUMBER(INDEX(상세표[근무일자],$U170)),TEXT(INDEX(상세표[근무일자],$U170),"yyyy-mm-dd"),INDEX(상세표[근무일자],$U170)&amp;""))</f>
        <v/>
      </c>
      <c r="N170">
        <f>IF($U170="","",IF(ISNUMBER(INDEX(상세표[시작],$U170)),TEXT(INDEX(상세표[시작],$U170),"yyyy-mm-dd hh:mm"),INDEX(상세표[시작],$U170)&amp;""))</f>
        <v/>
      </c>
      <c r="O170">
        <f>IF($U170="","",IF(ISNUMBER(INDEX(상세표[종료],$U170)),TEXT(INDEX(상세표[종료],$U170),"yyyy-mm-dd hh:mm"),INDEX(상세표[종료],$U170)&amp;""))</f>
        <v/>
      </c>
      <c r="P170" s="20">
        <f>IF($U170="","",INDEX(상세표[06~07시],$U170))</f>
        <v/>
      </c>
      <c r="Q170" s="20">
        <f>IF($U170="","",INDEX(상세표[07~18시],$U170))</f>
        <v/>
      </c>
      <c r="R170" s="20">
        <f>IF($U170="","",INDEX(상세표[18~22시],$U170))</f>
        <v/>
      </c>
      <c r="S170" s="20">
        <f>IF($U170="","",INDEX(상세표[22~06시],$U170))</f>
        <v/>
      </c>
      <c r="T170" s="20">
        <f>IF($U170="","",INDEX(상세표[기록 시간외],$U170))</f>
        <v/>
      </c>
      <c r="U170" s="4">
        <f>IFERROR(MATCH(165,상세표[발송순번],0),"")</f>
        <v/>
      </c>
    </row>
    <row r="171">
      <c r="A171">
        <f>IF($H171="","",INDEX(상세표[사번],$H171)&amp;"")</f>
        <v/>
      </c>
      <c r="B171">
        <f>IF($H171="","",INDEX(상세표[성명],$H171)&amp;"")</f>
        <v/>
      </c>
      <c r="C171">
        <f>IF($H171="","",INDEX(상세표[부서],$H171)&amp;"")</f>
        <v/>
      </c>
      <c r="D171">
        <f>IF($H171="","",IF(IFERROR(INDEX(합계표[직위(요약)],MATCH(INDEX(상세표[사번키],$H171),합계표[사번키],0))&amp;IF(INDEX(합계표[직급 공존],MATCH(INDEX(상세표[사번키],$H171),합계표[사번키],0))="",""," ("&amp;INDEX(합계표[직급 공존],MATCH(INDEX(상세표[사번키],$H171),합계표[사번키],0))&amp;")"),"")="",INDEX(상세표[직위],$H171)&amp;"",IFERROR(INDEX(합계표[직위(요약)],MATCH(INDEX(상세표[사번키],$H171),합계표[사번키],0))&amp;IF(INDEX(합계표[직급 공존],MATCH(INDEX(상세표[사번키],$H171),합계표[사번키],0))="",""," ("&amp;INDEX(합계표[직급 공존],MATCH(INDEX(상세표[사번키],$H171),합계표[사번키],0))&amp;")"),"")))</f>
        <v/>
      </c>
      <c r="E171">
        <f>IF($H171="","",COUNTIFS(상세표[사번키],INDEX(상세표[사번키],$H171),상세표[기록월],대상월키))</f>
        <v/>
      </c>
      <c r="F171" s="20">
        <f>IF($H171="","",SUMIFS(상세표[기록 시간외],상세표[사번키],INDEX(상세표[사번키],$H171),상세표[기록월],대상월키))</f>
        <v/>
      </c>
      <c r="G171" s="20">
        <f>IF($H171="","",SUMIFS(합계표[시스템 합계],합계표[사번키],INDEX(상세표[사번키],$H171)))</f>
        <v/>
      </c>
      <c r="H171" s="4">
        <f>IFERROR(MATCH(166,상세표[발송인원순번],0),"")</f>
        <v/>
      </c>
      <c r="J171">
        <f>IF($U171="","",INDEX(상세표[사번],$U171)&amp;"")</f>
        <v/>
      </c>
      <c r="K171">
        <f>IF($U171="","",INDEX(상세표[성명],$U171)&amp;"")</f>
        <v/>
      </c>
      <c r="L171">
        <f>IF($U171="","",INDEX(상세표[직위],$U171)&amp;"")</f>
        <v/>
      </c>
      <c r="M171">
        <f>IF($U171="","",IF(ISNUMBER(INDEX(상세표[근무일자],$U171)),TEXT(INDEX(상세표[근무일자],$U171),"yyyy-mm-dd"),INDEX(상세표[근무일자],$U171)&amp;""))</f>
        <v/>
      </c>
      <c r="N171">
        <f>IF($U171="","",IF(ISNUMBER(INDEX(상세표[시작],$U171)),TEXT(INDEX(상세표[시작],$U171),"yyyy-mm-dd hh:mm"),INDEX(상세표[시작],$U171)&amp;""))</f>
        <v/>
      </c>
      <c r="O171">
        <f>IF($U171="","",IF(ISNUMBER(INDEX(상세표[종료],$U171)),TEXT(INDEX(상세표[종료],$U171),"yyyy-mm-dd hh:mm"),INDEX(상세표[종료],$U171)&amp;""))</f>
        <v/>
      </c>
      <c r="P171" s="20">
        <f>IF($U171="","",INDEX(상세표[06~07시],$U171))</f>
        <v/>
      </c>
      <c r="Q171" s="20">
        <f>IF($U171="","",INDEX(상세표[07~18시],$U171))</f>
        <v/>
      </c>
      <c r="R171" s="20">
        <f>IF($U171="","",INDEX(상세표[18~22시],$U171))</f>
        <v/>
      </c>
      <c r="S171" s="20">
        <f>IF($U171="","",INDEX(상세표[22~06시],$U171))</f>
        <v/>
      </c>
      <c r="T171" s="20">
        <f>IF($U171="","",INDEX(상세표[기록 시간외],$U171))</f>
        <v/>
      </c>
      <c r="U171" s="4">
        <f>IFERROR(MATCH(166,상세표[발송순번],0),"")</f>
        <v/>
      </c>
    </row>
    <row r="172">
      <c r="A172">
        <f>IF($H172="","",INDEX(상세표[사번],$H172)&amp;"")</f>
        <v/>
      </c>
      <c r="B172">
        <f>IF($H172="","",INDEX(상세표[성명],$H172)&amp;"")</f>
        <v/>
      </c>
      <c r="C172">
        <f>IF($H172="","",INDEX(상세표[부서],$H172)&amp;"")</f>
        <v/>
      </c>
      <c r="D172">
        <f>IF($H172="","",IF(IFERROR(INDEX(합계표[직위(요약)],MATCH(INDEX(상세표[사번키],$H172),합계표[사번키],0))&amp;IF(INDEX(합계표[직급 공존],MATCH(INDEX(상세표[사번키],$H172),합계표[사번키],0))="",""," ("&amp;INDEX(합계표[직급 공존],MATCH(INDEX(상세표[사번키],$H172),합계표[사번키],0))&amp;")"),"")="",INDEX(상세표[직위],$H172)&amp;"",IFERROR(INDEX(합계표[직위(요약)],MATCH(INDEX(상세표[사번키],$H172),합계표[사번키],0))&amp;IF(INDEX(합계표[직급 공존],MATCH(INDEX(상세표[사번키],$H172),합계표[사번키],0))="",""," ("&amp;INDEX(합계표[직급 공존],MATCH(INDEX(상세표[사번키],$H172),합계표[사번키],0))&amp;")"),"")))</f>
        <v/>
      </c>
      <c r="E172">
        <f>IF($H172="","",COUNTIFS(상세표[사번키],INDEX(상세표[사번키],$H172),상세표[기록월],대상월키))</f>
        <v/>
      </c>
      <c r="F172" s="20">
        <f>IF($H172="","",SUMIFS(상세표[기록 시간외],상세표[사번키],INDEX(상세표[사번키],$H172),상세표[기록월],대상월키))</f>
        <v/>
      </c>
      <c r="G172" s="20">
        <f>IF($H172="","",SUMIFS(합계표[시스템 합계],합계표[사번키],INDEX(상세표[사번키],$H172)))</f>
        <v/>
      </c>
      <c r="H172" s="4">
        <f>IFERROR(MATCH(167,상세표[발송인원순번],0),"")</f>
        <v/>
      </c>
      <c r="J172">
        <f>IF($U172="","",INDEX(상세표[사번],$U172)&amp;"")</f>
        <v/>
      </c>
      <c r="K172">
        <f>IF($U172="","",INDEX(상세표[성명],$U172)&amp;"")</f>
        <v/>
      </c>
      <c r="L172">
        <f>IF($U172="","",INDEX(상세표[직위],$U172)&amp;"")</f>
        <v/>
      </c>
      <c r="M172">
        <f>IF($U172="","",IF(ISNUMBER(INDEX(상세표[근무일자],$U172)),TEXT(INDEX(상세표[근무일자],$U172),"yyyy-mm-dd"),INDEX(상세표[근무일자],$U172)&amp;""))</f>
        <v/>
      </c>
      <c r="N172">
        <f>IF($U172="","",IF(ISNUMBER(INDEX(상세표[시작],$U172)),TEXT(INDEX(상세표[시작],$U172),"yyyy-mm-dd hh:mm"),INDEX(상세표[시작],$U172)&amp;""))</f>
        <v/>
      </c>
      <c r="O172">
        <f>IF($U172="","",IF(ISNUMBER(INDEX(상세표[종료],$U172)),TEXT(INDEX(상세표[종료],$U172),"yyyy-mm-dd hh:mm"),INDEX(상세표[종료],$U172)&amp;""))</f>
        <v/>
      </c>
      <c r="P172" s="20">
        <f>IF($U172="","",INDEX(상세표[06~07시],$U172))</f>
        <v/>
      </c>
      <c r="Q172" s="20">
        <f>IF($U172="","",INDEX(상세표[07~18시],$U172))</f>
        <v/>
      </c>
      <c r="R172" s="20">
        <f>IF($U172="","",INDEX(상세표[18~22시],$U172))</f>
        <v/>
      </c>
      <c r="S172" s="20">
        <f>IF($U172="","",INDEX(상세표[22~06시],$U172))</f>
        <v/>
      </c>
      <c r="T172" s="20">
        <f>IF($U172="","",INDEX(상세표[기록 시간외],$U172))</f>
        <v/>
      </c>
      <c r="U172" s="4">
        <f>IFERROR(MATCH(167,상세표[발송순번],0),"")</f>
        <v/>
      </c>
    </row>
    <row r="173">
      <c r="A173">
        <f>IF($H173="","",INDEX(상세표[사번],$H173)&amp;"")</f>
        <v/>
      </c>
      <c r="B173">
        <f>IF($H173="","",INDEX(상세표[성명],$H173)&amp;"")</f>
        <v/>
      </c>
      <c r="C173">
        <f>IF($H173="","",INDEX(상세표[부서],$H173)&amp;"")</f>
        <v/>
      </c>
      <c r="D173">
        <f>IF($H173="","",IF(IFERROR(INDEX(합계표[직위(요약)],MATCH(INDEX(상세표[사번키],$H173),합계표[사번키],0))&amp;IF(INDEX(합계표[직급 공존],MATCH(INDEX(상세표[사번키],$H173),합계표[사번키],0))="",""," ("&amp;INDEX(합계표[직급 공존],MATCH(INDEX(상세표[사번키],$H173),합계표[사번키],0))&amp;")"),"")="",INDEX(상세표[직위],$H173)&amp;"",IFERROR(INDEX(합계표[직위(요약)],MATCH(INDEX(상세표[사번키],$H173),합계표[사번키],0))&amp;IF(INDEX(합계표[직급 공존],MATCH(INDEX(상세표[사번키],$H173),합계표[사번키],0))="",""," ("&amp;INDEX(합계표[직급 공존],MATCH(INDEX(상세표[사번키],$H173),합계표[사번키],0))&amp;")"),"")))</f>
        <v/>
      </c>
      <c r="E173">
        <f>IF($H173="","",COUNTIFS(상세표[사번키],INDEX(상세표[사번키],$H173),상세표[기록월],대상월키))</f>
        <v/>
      </c>
      <c r="F173" s="20">
        <f>IF($H173="","",SUMIFS(상세표[기록 시간외],상세표[사번키],INDEX(상세표[사번키],$H173),상세표[기록월],대상월키))</f>
        <v/>
      </c>
      <c r="G173" s="20">
        <f>IF($H173="","",SUMIFS(합계표[시스템 합계],합계표[사번키],INDEX(상세표[사번키],$H173)))</f>
        <v/>
      </c>
      <c r="H173" s="4">
        <f>IFERROR(MATCH(168,상세표[발송인원순번],0),"")</f>
        <v/>
      </c>
      <c r="J173">
        <f>IF($U173="","",INDEX(상세표[사번],$U173)&amp;"")</f>
        <v/>
      </c>
      <c r="K173">
        <f>IF($U173="","",INDEX(상세표[성명],$U173)&amp;"")</f>
        <v/>
      </c>
      <c r="L173">
        <f>IF($U173="","",INDEX(상세표[직위],$U173)&amp;"")</f>
        <v/>
      </c>
      <c r="M173">
        <f>IF($U173="","",IF(ISNUMBER(INDEX(상세표[근무일자],$U173)),TEXT(INDEX(상세표[근무일자],$U173),"yyyy-mm-dd"),INDEX(상세표[근무일자],$U173)&amp;""))</f>
        <v/>
      </c>
      <c r="N173">
        <f>IF($U173="","",IF(ISNUMBER(INDEX(상세표[시작],$U173)),TEXT(INDEX(상세표[시작],$U173),"yyyy-mm-dd hh:mm"),INDEX(상세표[시작],$U173)&amp;""))</f>
        <v/>
      </c>
      <c r="O173">
        <f>IF($U173="","",IF(ISNUMBER(INDEX(상세표[종료],$U173)),TEXT(INDEX(상세표[종료],$U173),"yyyy-mm-dd hh:mm"),INDEX(상세표[종료],$U173)&amp;""))</f>
        <v/>
      </c>
      <c r="P173" s="20">
        <f>IF($U173="","",INDEX(상세표[06~07시],$U173))</f>
        <v/>
      </c>
      <c r="Q173" s="20">
        <f>IF($U173="","",INDEX(상세표[07~18시],$U173))</f>
        <v/>
      </c>
      <c r="R173" s="20">
        <f>IF($U173="","",INDEX(상세표[18~22시],$U173))</f>
        <v/>
      </c>
      <c r="S173" s="20">
        <f>IF($U173="","",INDEX(상세표[22~06시],$U173))</f>
        <v/>
      </c>
      <c r="T173" s="20">
        <f>IF($U173="","",INDEX(상세표[기록 시간외],$U173))</f>
        <v/>
      </c>
      <c r="U173" s="4">
        <f>IFERROR(MATCH(168,상세표[발송순번],0),"")</f>
        <v/>
      </c>
    </row>
    <row r="174">
      <c r="A174">
        <f>IF($H174="","",INDEX(상세표[사번],$H174)&amp;"")</f>
        <v/>
      </c>
      <c r="B174">
        <f>IF($H174="","",INDEX(상세표[성명],$H174)&amp;"")</f>
        <v/>
      </c>
      <c r="C174">
        <f>IF($H174="","",INDEX(상세표[부서],$H174)&amp;"")</f>
        <v/>
      </c>
      <c r="D174">
        <f>IF($H174="","",IF(IFERROR(INDEX(합계표[직위(요약)],MATCH(INDEX(상세표[사번키],$H174),합계표[사번키],0))&amp;IF(INDEX(합계표[직급 공존],MATCH(INDEX(상세표[사번키],$H174),합계표[사번키],0))="",""," ("&amp;INDEX(합계표[직급 공존],MATCH(INDEX(상세표[사번키],$H174),합계표[사번키],0))&amp;")"),"")="",INDEX(상세표[직위],$H174)&amp;"",IFERROR(INDEX(합계표[직위(요약)],MATCH(INDEX(상세표[사번키],$H174),합계표[사번키],0))&amp;IF(INDEX(합계표[직급 공존],MATCH(INDEX(상세표[사번키],$H174),합계표[사번키],0))="",""," ("&amp;INDEX(합계표[직급 공존],MATCH(INDEX(상세표[사번키],$H174),합계표[사번키],0))&amp;")"),"")))</f>
        <v/>
      </c>
      <c r="E174">
        <f>IF($H174="","",COUNTIFS(상세표[사번키],INDEX(상세표[사번키],$H174),상세표[기록월],대상월키))</f>
        <v/>
      </c>
      <c r="F174" s="20">
        <f>IF($H174="","",SUMIFS(상세표[기록 시간외],상세표[사번키],INDEX(상세표[사번키],$H174),상세표[기록월],대상월키))</f>
        <v/>
      </c>
      <c r="G174" s="20">
        <f>IF($H174="","",SUMIFS(합계표[시스템 합계],합계표[사번키],INDEX(상세표[사번키],$H174)))</f>
        <v/>
      </c>
      <c r="H174" s="4">
        <f>IFERROR(MATCH(169,상세표[발송인원순번],0),"")</f>
        <v/>
      </c>
      <c r="J174">
        <f>IF($U174="","",INDEX(상세표[사번],$U174)&amp;"")</f>
        <v/>
      </c>
      <c r="K174">
        <f>IF($U174="","",INDEX(상세표[성명],$U174)&amp;"")</f>
        <v/>
      </c>
      <c r="L174">
        <f>IF($U174="","",INDEX(상세표[직위],$U174)&amp;"")</f>
        <v/>
      </c>
      <c r="M174">
        <f>IF($U174="","",IF(ISNUMBER(INDEX(상세표[근무일자],$U174)),TEXT(INDEX(상세표[근무일자],$U174),"yyyy-mm-dd"),INDEX(상세표[근무일자],$U174)&amp;""))</f>
        <v/>
      </c>
      <c r="N174">
        <f>IF($U174="","",IF(ISNUMBER(INDEX(상세표[시작],$U174)),TEXT(INDEX(상세표[시작],$U174),"yyyy-mm-dd hh:mm"),INDEX(상세표[시작],$U174)&amp;""))</f>
        <v/>
      </c>
      <c r="O174">
        <f>IF($U174="","",IF(ISNUMBER(INDEX(상세표[종료],$U174)),TEXT(INDEX(상세표[종료],$U174),"yyyy-mm-dd hh:mm"),INDEX(상세표[종료],$U174)&amp;""))</f>
        <v/>
      </c>
      <c r="P174" s="20">
        <f>IF($U174="","",INDEX(상세표[06~07시],$U174))</f>
        <v/>
      </c>
      <c r="Q174" s="20">
        <f>IF($U174="","",INDEX(상세표[07~18시],$U174))</f>
        <v/>
      </c>
      <c r="R174" s="20">
        <f>IF($U174="","",INDEX(상세표[18~22시],$U174))</f>
        <v/>
      </c>
      <c r="S174" s="20">
        <f>IF($U174="","",INDEX(상세표[22~06시],$U174))</f>
        <v/>
      </c>
      <c r="T174" s="20">
        <f>IF($U174="","",INDEX(상세표[기록 시간외],$U174))</f>
        <v/>
      </c>
      <c r="U174" s="4">
        <f>IFERROR(MATCH(169,상세표[발송순번],0),"")</f>
        <v/>
      </c>
    </row>
    <row r="175">
      <c r="A175">
        <f>IF($H175="","",INDEX(상세표[사번],$H175)&amp;"")</f>
        <v/>
      </c>
      <c r="B175">
        <f>IF($H175="","",INDEX(상세표[성명],$H175)&amp;"")</f>
        <v/>
      </c>
      <c r="C175">
        <f>IF($H175="","",INDEX(상세표[부서],$H175)&amp;"")</f>
        <v/>
      </c>
      <c r="D175">
        <f>IF($H175="","",IF(IFERROR(INDEX(합계표[직위(요약)],MATCH(INDEX(상세표[사번키],$H175),합계표[사번키],0))&amp;IF(INDEX(합계표[직급 공존],MATCH(INDEX(상세표[사번키],$H175),합계표[사번키],0))="",""," ("&amp;INDEX(합계표[직급 공존],MATCH(INDEX(상세표[사번키],$H175),합계표[사번키],0))&amp;")"),"")="",INDEX(상세표[직위],$H175)&amp;"",IFERROR(INDEX(합계표[직위(요약)],MATCH(INDEX(상세표[사번키],$H175),합계표[사번키],0))&amp;IF(INDEX(합계표[직급 공존],MATCH(INDEX(상세표[사번키],$H175),합계표[사번키],0))="",""," ("&amp;INDEX(합계표[직급 공존],MATCH(INDEX(상세표[사번키],$H175),합계표[사번키],0))&amp;")"),"")))</f>
        <v/>
      </c>
      <c r="E175">
        <f>IF($H175="","",COUNTIFS(상세표[사번키],INDEX(상세표[사번키],$H175),상세표[기록월],대상월키))</f>
        <v/>
      </c>
      <c r="F175" s="20">
        <f>IF($H175="","",SUMIFS(상세표[기록 시간외],상세표[사번키],INDEX(상세표[사번키],$H175),상세표[기록월],대상월키))</f>
        <v/>
      </c>
      <c r="G175" s="20">
        <f>IF($H175="","",SUMIFS(합계표[시스템 합계],합계표[사번키],INDEX(상세표[사번키],$H175)))</f>
        <v/>
      </c>
      <c r="H175" s="4">
        <f>IFERROR(MATCH(170,상세표[발송인원순번],0),"")</f>
        <v/>
      </c>
      <c r="J175">
        <f>IF($U175="","",INDEX(상세표[사번],$U175)&amp;"")</f>
        <v/>
      </c>
      <c r="K175">
        <f>IF($U175="","",INDEX(상세표[성명],$U175)&amp;"")</f>
        <v/>
      </c>
      <c r="L175">
        <f>IF($U175="","",INDEX(상세표[직위],$U175)&amp;"")</f>
        <v/>
      </c>
      <c r="M175">
        <f>IF($U175="","",IF(ISNUMBER(INDEX(상세표[근무일자],$U175)),TEXT(INDEX(상세표[근무일자],$U175),"yyyy-mm-dd"),INDEX(상세표[근무일자],$U175)&amp;""))</f>
        <v/>
      </c>
      <c r="N175">
        <f>IF($U175="","",IF(ISNUMBER(INDEX(상세표[시작],$U175)),TEXT(INDEX(상세표[시작],$U175),"yyyy-mm-dd hh:mm"),INDEX(상세표[시작],$U175)&amp;""))</f>
        <v/>
      </c>
      <c r="O175">
        <f>IF($U175="","",IF(ISNUMBER(INDEX(상세표[종료],$U175)),TEXT(INDEX(상세표[종료],$U175),"yyyy-mm-dd hh:mm"),INDEX(상세표[종료],$U175)&amp;""))</f>
        <v/>
      </c>
      <c r="P175" s="20">
        <f>IF($U175="","",INDEX(상세표[06~07시],$U175))</f>
        <v/>
      </c>
      <c r="Q175" s="20">
        <f>IF($U175="","",INDEX(상세표[07~18시],$U175))</f>
        <v/>
      </c>
      <c r="R175" s="20">
        <f>IF($U175="","",INDEX(상세표[18~22시],$U175))</f>
        <v/>
      </c>
      <c r="S175" s="20">
        <f>IF($U175="","",INDEX(상세표[22~06시],$U175))</f>
        <v/>
      </c>
      <c r="T175" s="20">
        <f>IF($U175="","",INDEX(상세표[기록 시간외],$U175))</f>
        <v/>
      </c>
      <c r="U175" s="4">
        <f>IFERROR(MATCH(170,상세표[발송순번],0),"")</f>
        <v/>
      </c>
    </row>
    <row r="176">
      <c r="A176">
        <f>IF($H176="","",INDEX(상세표[사번],$H176)&amp;"")</f>
        <v/>
      </c>
      <c r="B176">
        <f>IF($H176="","",INDEX(상세표[성명],$H176)&amp;"")</f>
        <v/>
      </c>
      <c r="C176">
        <f>IF($H176="","",INDEX(상세표[부서],$H176)&amp;"")</f>
        <v/>
      </c>
      <c r="D176">
        <f>IF($H176="","",IF(IFERROR(INDEX(합계표[직위(요약)],MATCH(INDEX(상세표[사번키],$H176),합계표[사번키],0))&amp;IF(INDEX(합계표[직급 공존],MATCH(INDEX(상세표[사번키],$H176),합계표[사번키],0))="",""," ("&amp;INDEX(합계표[직급 공존],MATCH(INDEX(상세표[사번키],$H176),합계표[사번키],0))&amp;")"),"")="",INDEX(상세표[직위],$H176)&amp;"",IFERROR(INDEX(합계표[직위(요약)],MATCH(INDEX(상세표[사번키],$H176),합계표[사번키],0))&amp;IF(INDEX(합계표[직급 공존],MATCH(INDEX(상세표[사번키],$H176),합계표[사번키],0))="",""," ("&amp;INDEX(합계표[직급 공존],MATCH(INDEX(상세표[사번키],$H176),합계표[사번키],0))&amp;")"),"")))</f>
        <v/>
      </c>
      <c r="E176">
        <f>IF($H176="","",COUNTIFS(상세표[사번키],INDEX(상세표[사번키],$H176),상세표[기록월],대상월키))</f>
        <v/>
      </c>
      <c r="F176" s="20">
        <f>IF($H176="","",SUMIFS(상세표[기록 시간외],상세표[사번키],INDEX(상세표[사번키],$H176),상세표[기록월],대상월키))</f>
        <v/>
      </c>
      <c r="G176" s="20">
        <f>IF($H176="","",SUMIFS(합계표[시스템 합계],합계표[사번키],INDEX(상세표[사번키],$H176)))</f>
        <v/>
      </c>
      <c r="H176" s="4">
        <f>IFERROR(MATCH(171,상세표[발송인원순번],0),"")</f>
        <v/>
      </c>
      <c r="J176">
        <f>IF($U176="","",INDEX(상세표[사번],$U176)&amp;"")</f>
        <v/>
      </c>
      <c r="K176">
        <f>IF($U176="","",INDEX(상세표[성명],$U176)&amp;"")</f>
        <v/>
      </c>
      <c r="L176">
        <f>IF($U176="","",INDEX(상세표[직위],$U176)&amp;"")</f>
        <v/>
      </c>
      <c r="M176">
        <f>IF($U176="","",IF(ISNUMBER(INDEX(상세표[근무일자],$U176)),TEXT(INDEX(상세표[근무일자],$U176),"yyyy-mm-dd"),INDEX(상세표[근무일자],$U176)&amp;""))</f>
        <v/>
      </c>
      <c r="N176">
        <f>IF($U176="","",IF(ISNUMBER(INDEX(상세표[시작],$U176)),TEXT(INDEX(상세표[시작],$U176),"yyyy-mm-dd hh:mm"),INDEX(상세표[시작],$U176)&amp;""))</f>
        <v/>
      </c>
      <c r="O176">
        <f>IF($U176="","",IF(ISNUMBER(INDEX(상세표[종료],$U176)),TEXT(INDEX(상세표[종료],$U176),"yyyy-mm-dd hh:mm"),INDEX(상세표[종료],$U176)&amp;""))</f>
        <v/>
      </c>
      <c r="P176" s="20">
        <f>IF($U176="","",INDEX(상세표[06~07시],$U176))</f>
        <v/>
      </c>
      <c r="Q176" s="20">
        <f>IF($U176="","",INDEX(상세표[07~18시],$U176))</f>
        <v/>
      </c>
      <c r="R176" s="20">
        <f>IF($U176="","",INDEX(상세표[18~22시],$U176))</f>
        <v/>
      </c>
      <c r="S176" s="20">
        <f>IF($U176="","",INDEX(상세표[22~06시],$U176))</f>
        <v/>
      </c>
      <c r="T176" s="20">
        <f>IF($U176="","",INDEX(상세표[기록 시간외],$U176))</f>
        <v/>
      </c>
      <c r="U176" s="4">
        <f>IFERROR(MATCH(171,상세표[발송순번],0),"")</f>
        <v/>
      </c>
    </row>
    <row r="177">
      <c r="A177">
        <f>IF($H177="","",INDEX(상세표[사번],$H177)&amp;"")</f>
        <v/>
      </c>
      <c r="B177">
        <f>IF($H177="","",INDEX(상세표[성명],$H177)&amp;"")</f>
        <v/>
      </c>
      <c r="C177">
        <f>IF($H177="","",INDEX(상세표[부서],$H177)&amp;"")</f>
        <v/>
      </c>
      <c r="D177">
        <f>IF($H177="","",IF(IFERROR(INDEX(합계표[직위(요약)],MATCH(INDEX(상세표[사번키],$H177),합계표[사번키],0))&amp;IF(INDEX(합계표[직급 공존],MATCH(INDEX(상세표[사번키],$H177),합계표[사번키],0))="",""," ("&amp;INDEX(합계표[직급 공존],MATCH(INDEX(상세표[사번키],$H177),합계표[사번키],0))&amp;")"),"")="",INDEX(상세표[직위],$H177)&amp;"",IFERROR(INDEX(합계표[직위(요약)],MATCH(INDEX(상세표[사번키],$H177),합계표[사번키],0))&amp;IF(INDEX(합계표[직급 공존],MATCH(INDEX(상세표[사번키],$H177),합계표[사번키],0))="",""," ("&amp;INDEX(합계표[직급 공존],MATCH(INDEX(상세표[사번키],$H177),합계표[사번키],0))&amp;")"),"")))</f>
        <v/>
      </c>
      <c r="E177">
        <f>IF($H177="","",COUNTIFS(상세표[사번키],INDEX(상세표[사번키],$H177),상세표[기록월],대상월키))</f>
        <v/>
      </c>
      <c r="F177" s="20">
        <f>IF($H177="","",SUMIFS(상세표[기록 시간외],상세표[사번키],INDEX(상세표[사번키],$H177),상세표[기록월],대상월키))</f>
        <v/>
      </c>
      <c r="G177" s="20">
        <f>IF($H177="","",SUMIFS(합계표[시스템 합계],합계표[사번키],INDEX(상세표[사번키],$H177)))</f>
        <v/>
      </c>
      <c r="H177" s="4">
        <f>IFERROR(MATCH(172,상세표[발송인원순번],0),"")</f>
        <v/>
      </c>
      <c r="J177">
        <f>IF($U177="","",INDEX(상세표[사번],$U177)&amp;"")</f>
        <v/>
      </c>
      <c r="K177">
        <f>IF($U177="","",INDEX(상세표[성명],$U177)&amp;"")</f>
        <v/>
      </c>
      <c r="L177">
        <f>IF($U177="","",INDEX(상세표[직위],$U177)&amp;"")</f>
        <v/>
      </c>
      <c r="M177">
        <f>IF($U177="","",IF(ISNUMBER(INDEX(상세표[근무일자],$U177)),TEXT(INDEX(상세표[근무일자],$U177),"yyyy-mm-dd"),INDEX(상세표[근무일자],$U177)&amp;""))</f>
        <v/>
      </c>
      <c r="N177">
        <f>IF($U177="","",IF(ISNUMBER(INDEX(상세표[시작],$U177)),TEXT(INDEX(상세표[시작],$U177),"yyyy-mm-dd hh:mm"),INDEX(상세표[시작],$U177)&amp;""))</f>
        <v/>
      </c>
      <c r="O177">
        <f>IF($U177="","",IF(ISNUMBER(INDEX(상세표[종료],$U177)),TEXT(INDEX(상세표[종료],$U177),"yyyy-mm-dd hh:mm"),INDEX(상세표[종료],$U177)&amp;""))</f>
        <v/>
      </c>
      <c r="P177" s="20">
        <f>IF($U177="","",INDEX(상세표[06~07시],$U177))</f>
        <v/>
      </c>
      <c r="Q177" s="20">
        <f>IF($U177="","",INDEX(상세표[07~18시],$U177))</f>
        <v/>
      </c>
      <c r="R177" s="20">
        <f>IF($U177="","",INDEX(상세표[18~22시],$U177))</f>
        <v/>
      </c>
      <c r="S177" s="20">
        <f>IF($U177="","",INDEX(상세표[22~06시],$U177))</f>
        <v/>
      </c>
      <c r="T177" s="20">
        <f>IF($U177="","",INDEX(상세표[기록 시간외],$U177))</f>
        <v/>
      </c>
      <c r="U177" s="4">
        <f>IFERROR(MATCH(172,상세표[발송순번],0),"")</f>
        <v/>
      </c>
    </row>
    <row r="178">
      <c r="A178">
        <f>IF($H178="","",INDEX(상세표[사번],$H178)&amp;"")</f>
        <v/>
      </c>
      <c r="B178">
        <f>IF($H178="","",INDEX(상세표[성명],$H178)&amp;"")</f>
        <v/>
      </c>
      <c r="C178">
        <f>IF($H178="","",INDEX(상세표[부서],$H178)&amp;"")</f>
        <v/>
      </c>
      <c r="D178">
        <f>IF($H178="","",IF(IFERROR(INDEX(합계표[직위(요약)],MATCH(INDEX(상세표[사번키],$H178),합계표[사번키],0))&amp;IF(INDEX(합계표[직급 공존],MATCH(INDEX(상세표[사번키],$H178),합계표[사번키],0))="",""," ("&amp;INDEX(합계표[직급 공존],MATCH(INDEX(상세표[사번키],$H178),합계표[사번키],0))&amp;")"),"")="",INDEX(상세표[직위],$H178)&amp;"",IFERROR(INDEX(합계표[직위(요약)],MATCH(INDEX(상세표[사번키],$H178),합계표[사번키],0))&amp;IF(INDEX(합계표[직급 공존],MATCH(INDEX(상세표[사번키],$H178),합계표[사번키],0))="",""," ("&amp;INDEX(합계표[직급 공존],MATCH(INDEX(상세표[사번키],$H178),합계표[사번키],0))&amp;")"),"")))</f>
        <v/>
      </c>
      <c r="E178">
        <f>IF($H178="","",COUNTIFS(상세표[사번키],INDEX(상세표[사번키],$H178),상세표[기록월],대상월키))</f>
        <v/>
      </c>
      <c r="F178" s="20">
        <f>IF($H178="","",SUMIFS(상세표[기록 시간외],상세표[사번키],INDEX(상세표[사번키],$H178),상세표[기록월],대상월키))</f>
        <v/>
      </c>
      <c r="G178" s="20">
        <f>IF($H178="","",SUMIFS(합계표[시스템 합계],합계표[사번키],INDEX(상세표[사번키],$H178)))</f>
        <v/>
      </c>
      <c r="H178" s="4">
        <f>IFERROR(MATCH(173,상세표[발송인원순번],0),"")</f>
        <v/>
      </c>
      <c r="J178">
        <f>IF($U178="","",INDEX(상세표[사번],$U178)&amp;"")</f>
        <v/>
      </c>
      <c r="K178">
        <f>IF($U178="","",INDEX(상세표[성명],$U178)&amp;"")</f>
        <v/>
      </c>
      <c r="L178">
        <f>IF($U178="","",INDEX(상세표[직위],$U178)&amp;"")</f>
        <v/>
      </c>
      <c r="M178">
        <f>IF($U178="","",IF(ISNUMBER(INDEX(상세표[근무일자],$U178)),TEXT(INDEX(상세표[근무일자],$U178),"yyyy-mm-dd"),INDEX(상세표[근무일자],$U178)&amp;""))</f>
        <v/>
      </c>
      <c r="N178">
        <f>IF($U178="","",IF(ISNUMBER(INDEX(상세표[시작],$U178)),TEXT(INDEX(상세표[시작],$U178),"yyyy-mm-dd hh:mm"),INDEX(상세표[시작],$U178)&amp;""))</f>
        <v/>
      </c>
      <c r="O178">
        <f>IF($U178="","",IF(ISNUMBER(INDEX(상세표[종료],$U178)),TEXT(INDEX(상세표[종료],$U178),"yyyy-mm-dd hh:mm"),INDEX(상세표[종료],$U178)&amp;""))</f>
        <v/>
      </c>
      <c r="P178" s="20">
        <f>IF($U178="","",INDEX(상세표[06~07시],$U178))</f>
        <v/>
      </c>
      <c r="Q178" s="20">
        <f>IF($U178="","",INDEX(상세표[07~18시],$U178))</f>
        <v/>
      </c>
      <c r="R178" s="20">
        <f>IF($U178="","",INDEX(상세표[18~22시],$U178))</f>
        <v/>
      </c>
      <c r="S178" s="20">
        <f>IF($U178="","",INDEX(상세표[22~06시],$U178))</f>
        <v/>
      </c>
      <c r="T178" s="20">
        <f>IF($U178="","",INDEX(상세표[기록 시간외],$U178))</f>
        <v/>
      </c>
      <c r="U178" s="4">
        <f>IFERROR(MATCH(173,상세표[발송순번],0),"")</f>
        <v/>
      </c>
    </row>
    <row r="179">
      <c r="A179">
        <f>IF($H179="","",INDEX(상세표[사번],$H179)&amp;"")</f>
        <v/>
      </c>
      <c r="B179">
        <f>IF($H179="","",INDEX(상세표[성명],$H179)&amp;"")</f>
        <v/>
      </c>
      <c r="C179">
        <f>IF($H179="","",INDEX(상세표[부서],$H179)&amp;"")</f>
        <v/>
      </c>
      <c r="D179">
        <f>IF($H179="","",IF(IFERROR(INDEX(합계표[직위(요약)],MATCH(INDEX(상세표[사번키],$H179),합계표[사번키],0))&amp;IF(INDEX(합계표[직급 공존],MATCH(INDEX(상세표[사번키],$H179),합계표[사번키],0))="",""," ("&amp;INDEX(합계표[직급 공존],MATCH(INDEX(상세표[사번키],$H179),합계표[사번키],0))&amp;")"),"")="",INDEX(상세표[직위],$H179)&amp;"",IFERROR(INDEX(합계표[직위(요약)],MATCH(INDEX(상세표[사번키],$H179),합계표[사번키],0))&amp;IF(INDEX(합계표[직급 공존],MATCH(INDEX(상세표[사번키],$H179),합계표[사번키],0))="",""," ("&amp;INDEX(합계표[직급 공존],MATCH(INDEX(상세표[사번키],$H179),합계표[사번키],0))&amp;")"),"")))</f>
        <v/>
      </c>
      <c r="E179">
        <f>IF($H179="","",COUNTIFS(상세표[사번키],INDEX(상세표[사번키],$H179),상세표[기록월],대상월키))</f>
        <v/>
      </c>
      <c r="F179" s="20">
        <f>IF($H179="","",SUMIFS(상세표[기록 시간외],상세표[사번키],INDEX(상세표[사번키],$H179),상세표[기록월],대상월키))</f>
        <v/>
      </c>
      <c r="G179" s="20">
        <f>IF($H179="","",SUMIFS(합계표[시스템 합계],합계표[사번키],INDEX(상세표[사번키],$H179)))</f>
        <v/>
      </c>
      <c r="H179" s="4">
        <f>IFERROR(MATCH(174,상세표[발송인원순번],0),"")</f>
        <v/>
      </c>
      <c r="J179">
        <f>IF($U179="","",INDEX(상세표[사번],$U179)&amp;"")</f>
        <v/>
      </c>
      <c r="K179">
        <f>IF($U179="","",INDEX(상세표[성명],$U179)&amp;"")</f>
        <v/>
      </c>
      <c r="L179">
        <f>IF($U179="","",INDEX(상세표[직위],$U179)&amp;"")</f>
        <v/>
      </c>
      <c r="M179">
        <f>IF($U179="","",IF(ISNUMBER(INDEX(상세표[근무일자],$U179)),TEXT(INDEX(상세표[근무일자],$U179),"yyyy-mm-dd"),INDEX(상세표[근무일자],$U179)&amp;""))</f>
        <v/>
      </c>
      <c r="N179">
        <f>IF($U179="","",IF(ISNUMBER(INDEX(상세표[시작],$U179)),TEXT(INDEX(상세표[시작],$U179),"yyyy-mm-dd hh:mm"),INDEX(상세표[시작],$U179)&amp;""))</f>
        <v/>
      </c>
      <c r="O179">
        <f>IF($U179="","",IF(ISNUMBER(INDEX(상세표[종료],$U179)),TEXT(INDEX(상세표[종료],$U179),"yyyy-mm-dd hh:mm"),INDEX(상세표[종료],$U179)&amp;""))</f>
        <v/>
      </c>
      <c r="P179" s="20">
        <f>IF($U179="","",INDEX(상세표[06~07시],$U179))</f>
        <v/>
      </c>
      <c r="Q179" s="20">
        <f>IF($U179="","",INDEX(상세표[07~18시],$U179))</f>
        <v/>
      </c>
      <c r="R179" s="20">
        <f>IF($U179="","",INDEX(상세표[18~22시],$U179))</f>
        <v/>
      </c>
      <c r="S179" s="20">
        <f>IF($U179="","",INDEX(상세표[22~06시],$U179))</f>
        <v/>
      </c>
      <c r="T179" s="20">
        <f>IF($U179="","",INDEX(상세표[기록 시간외],$U179))</f>
        <v/>
      </c>
      <c r="U179" s="4">
        <f>IFERROR(MATCH(174,상세표[발송순번],0),"")</f>
        <v/>
      </c>
    </row>
    <row r="180">
      <c r="A180">
        <f>IF($H180="","",INDEX(상세표[사번],$H180)&amp;"")</f>
        <v/>
      </c>
      <c r="B180">
        <f>IF($H180="","",INDEX(상세표[성명],$H180)&amp;"")</f>
        <v/>
      </c>
      <c r="C180">
        <f>IF($H180="","",INDEX(상세표[부서],$H180)&amp;"")</f>
        <v/>
      </c>
      <c r="D180">
        <f>IF($H180="","",IF(IFERROR(INDEX(합계표[직위(요약)],MATCH(INDEX(상세표[사번키],$H180),합계표[사번키],0))&amp;IF(INDEX(합계표[직급 공존],MATCH(INDEX(상세표[사번키],$H180),합계표[사번키],0))="",""," ("&amp;INDEX(합계표[직급 공존],MATCH(INDEX(상세표[사번키],$H180),합계표[사번키],0))&amp;")"),"")="",INDEX(상세표[직위],$H180)&amp;"",IFERROR(INDEX(합계표[직위(요약)],MATCH(INDEX(상세표[사번키],$H180),합계표[사번키],0))&amp;IF(INDEX(합계표[직급 공존],MATCH(INDEX(상세표[사번키],$H180),합계표[사번키],0))="",""," ("&amp;INDEX(합계표[직급 공존],MATCH(INDEX(상세표[사번키],$H180),합계표[사번키],0))&amp;")"),"")))</f>
        <v/>
      </c>
      <c r="E180">
        <f>IF($H180="","",COUNTIFS(상세표[사번키],INDEX(상세표[사번키],$H180),상세표[기록월],대상월키))</f>
        <v/>
      </c>
      <c r="F180" s="20">
        <f>IF($H180="","",SUMIFS(상세표[기록 시간외],상세표[사번키],INDEX(상세표[사번키],$H180),상세표[기록월],대상월키))</f>
        <v/>
      </c>
      <c r="G180" s="20">
        <f>IF($H180="","",SUMIFS(합계표[시스템 합계],합계표[사번키],INDEX(상세표[사번키],$H180)))</f>
        <v/>
      </c>
      <c r="H180" s="4">
        <f>IFERROR(MATCH(175,상세표[발송인원순번],0),"")</f>
        <v/>
      </c>
      <c r="J180">
        <f>IF($U180="","",INDEX(상세표[사번],$U180)&amp;"")</f>
        <v/>
      </c>
      <c r="K180">
        <f>IF($U180="","",INDEX(상세표[성명],$U180)&amp;"")</f>
        <v/>
      </c>
      <c r="L180">
        <f>IF($U180="","",INDEX(상세표[직위],$U180)&amp;"")</f>
        <v/>
      </c>
      <c r="M180">
        <f>IF($U180="","",IF(ISNUMBER(INDEX(상세표[근무일자],$U180)),TEXT(INDEX(상세표[근무일자],$U180),"yyyy-mm-dd"),INDEX(상세표[근무일자],$U180)&amp;""))</f>
        <v/>
      </c>
      <c r="N180">
        <f>IF($U180="","",IF(ISNUMBER(INDEX(상세표[시작],$U180)),TEXT(INDEX(상세표[시작],$U180),"yyyy-mm-dd hh:mm"),INDEX(상세표[시작],$U180)&amp;""))</f>
        <v/>
      </c>
      <c r="O180">
        <f>IF($U180="","",IF(ISNUMBER(INDEX(상세표[종료],$U180)),TEXT(INDEX(상세표[종료],$U180),"yyyy-mm-dd hh:mm"),INDEX(상세표[종료],$U180)&amp;""))</f>
        <v/>
      </c>
      <c r="P180" s="20">
        <f>IF($U180="","",INDEX(상세표[06~07시],$U180))</f>
        <v/>
      </c>
      <c r="Q180" s="20">
        <f>IF($U180="","",INDEX(상세표[07~18시],$U180))</f>
        <v/>
      </c>
      <c r="R180" s="20">
        <f>IF($U180="","",INDEX(상세표[18~22시],$U180))</f>
        <v/>
      </c>
      <c r="S180" s="20">
        <f>IF($U180="","",INDEX(상세표[22~06시],$U180))</f>
        <v/>
      </c>
      <c r="T180" s="20">
        <f>IF($U180="","",INDEX(상세표[기록 시간외],$U180))</f>
        <v/>
      </c>
      <c r="U180" s="4">
        <f>IFERROR(MATCH(175,상세표[발송순번],0),"")</f>
        <v/>
      </c>
    </row>
    <row r="181">
      <c r="A181">
        <f>IF($H181="","",INDEX(상세표[사번],$H181)&amp;"")</f>
        <v/>
      </c>
      <c r="B181">
        <f>IF($H181="","",INDEX(상세표[성명],$H181)&amp;"")</f>
        <v/>
      </c>
      <c r="C181">
        <f>IF($H181="","",INDEX(상세표[부서],$H181)&amp;"")</f>
        <v/>
      </c>
      <c r="D181">
        <f>IF($H181="","",IF(IFERROR(INDEX(합계표[직위(요약)],MATCH(INDEX(상세표[사번키],$H181),합계표[사번키],0))&amp;IF(INDEX(합계표[직급 공존],MATCH(INDEX(상세표[사번키],$H181),합계표[사번키],0))="",""," ("&amp;INDEX(합계표[직급 공존],MATCH(INDEX(상세표[사번키],$H181),합계표[사번키],0))&amp;")"),"")="",INDEX(상세표[직위],$H181)&amp;"",IFERROR(INDEX(합계표[직위(요약)],MATCH(INDEX(상세표[사번키],$H181),합계표[사번키],0))&amp;IF(INDEX(합계표[직급 공존],MATCH(INDEX(상세표[사번키],$H181),합계표[사번키],0))="",""," ("&amp;INDEX(합계표[직급 공존],MATCH(INDEX(상세표[사번키],$H181),합계표[사번키],0))&amp;")"),"")))</f>
        <v/>
      </c>
      <c r="E181">
        <f>IF($H181="","",COUNTIFS(상세표[사번키],INDEX(상세표[사번키],$H181),상세표[기록월],대상월키))</f>
        <v/>
      </c>
      <c r="F181" s="20">
        <f>IF($H181="","",SUMIFS(상세표[기록 시간외],상세표[사번키],INDEX(상세표[사번키],$H181),상세표[기록월],대상월키))</f>
        <v/>
      </c>
      <c r="G181" s="20">
        <f>IF($H181="","",SUMIFS(합계표[시스템 합계],합계표[사번키],INDEX(상세표[사번키],$H181)))</f>
        <v/>
      </c>
      <c r="H181" s="4">
        <f>IFERROR(MATCH(176,상세표[발송인원순번],0),"")</f>
        <v/>
      </c>
      <c r="J181">
        <f>IF($U181="","",INDEX(상세표[사번],$U181)&amp;"")</f>
        <v/>
      </c>
      <c r="K181">
        <f>IF($U181="","",INDEX(상세표[성명],$U181)&amp;"")</f>
        <v/>
      </c>
      <c r="L181">
        <f>IF($U181="","",INDEX(상세표[직위],$U181)&amp;"")</f>
        <v/>
      </c>
      <c r="M181">
        <f>IF($U181="","",IF(ISNUMBER(INDEX(상세표[근무일자],$U181)),TEXT(INDEX(상세표[근무일자],$U181),"yyyy-mm-dd"),INDEX(상세표[근무일자],$U181)&amp;""))</f>
        <v/>
      </c>
      <c r="N181">
        <f>IF($U181="","",IF(ISNUMBER(INDEX(상세표[시작],$U181)),TEXT(INDEX(상세표[시작],$U181),"yyyy-mm-dd hh:mm"),INDEX(상세표[시작],$U181)&amp;""))</f>
        <v/>
      </c>
      <c r="O181">
        <f>IF($U181="","",IF(ISNUMBER(INDEX(상세표[종료],$U181)),TEXT(INDEX(상세표[종료],$U181),"yyyy-mm-dd hh:mm"),INDEX(상세표[종료],$U181)&amp;""))</f>
        <v/>
      </c>
      <c r="P181" s="20">
        <f>IF($U181="","",INDEX(상세표[06~07시],$U181))</f>
        <v/>
      </c>
      <c r="Q181" s="20">
        <f>IF($U181="","",INDEX(상세표[07~18시],$U181))</f>
        <v/>
      </c>
      <c r="R181" s="20">
        <f>IF($U181="","",INDEX(상세표[18~22시],$U181))</f>
        <v/>
      </c>
      <c r="S181" s="20">
        <f>IF($U181="","",INDEX(상세표[22~06시],$U181))</f>
        <v/>
      </c>
      <c r="T181" s="20">
        <f>IF($U181="","",INDEX(상세표[기록 시간외],$U181))</f>
        <v/>
      </c>
      <c r="U181" s="4">
        <f>IFERROR(MATCH(176,상세표[발송순번],0),"")</f>
        <v/>
      </c>
    </row>
    <row r="182">
      <c r="A182">
        <f>IF($H182="","",INDEX(상세표[사번],$H182)&amp;"")</f>
        <v/>
      </c>
      <c r="B182">
        <f>IF($H182="","",INDEX(상세표[성명],$H182)&amp;"")</f>
        <v/>
      </c>
      <c r="C182">
        <f>IF($H182="","",INDEX(상세표[부서],$H182)&amp;"")</f>
        <v/>
      </c>
      <c r="D182">
        <f>IF($H182="","",IF(IFERROR(INDEX(합계표[직위(요약)],MATCH(INDEX(상세표[사번키],$H182),합계표[사번키],0))&amp;IF(INDEX(합계표[직급 공존],MATCH(INDEX(상세표[사번키],$H182),합계표[사번키],0))="",""," ("&amp;INDEX(합계표[직급 공존],MATCH(INDEX(상세표[사번키],$H182),합계표[사번키],0))&amp;")"),"")="",INDEX(상세표[직위],$H182)&amp;"",IFERROR(INDEX(합계표[직위(요약)],MATCH(INDEX(상세표[사번키],$H182),합계표[사번키],0))&amp;IF(INDEX(합계표[직급 공존],MATCH(INDEX(상세표[사번키],$H182),합계표[사번키],0))="",""," ("&amp;INDEX(합계표[직급 공존],MATCH(INDEX(상세표[사번키],$H182),합계표[사번키],0))&amp;")"),"")))</f>
        <v/>
      </c>
      <c r="E182">
        <f>IF($H182="","",COUNTIFS(상세표[사번키],INDEX(상세표[사번키],$H182),상세표[기록월],대상월키))</f>
        <v/>
      </c>
      <c r="F182" s="20">
        <f>IF($H182="","",SUMIFS(상세표[기록 시간외],상세표[사번키],INDEX(상세표[사번키],$H182),상세표[기록월],대상월키))</f>
        <v/>
      </c>
      <c r="G182" s="20">
        <f>IF($H182="","",SUMIFS(합계표[시스템 합계],합계표[사번키],INDEX(상세표[사번키],$H182)))</f>
        <v/>
      </c>
      <c r="H182" s="4">
        <f>IFERROR(MATCH(177,상세표[발송인원순번],0),"")</f>
        <v/>
      </c>
      <c r="J182">
        <f>IF($U182="","",INDEX(상세표[사번],$U182)&amp;"")</f>
        <v/>
      </c>
      <c r="K182">
        <f>IF($U182="","",INDEX(상세표[성명],$U182)&amp;"")</f>
        <v/>
      </c>
      <c r="L182">
        <f>IF($U182="","",INDEX(상세표[직위],$U182)&amp;"")</f>
        <v/>
      </c>
      <c r="M182">
        <f>IF($U182="","",IF(ISNUMBER(INDEX(상세표[근무일자],$U182)),TEXT(INDEX(상세표[근무일자],$U182),"yyyy-mm-dd"),INDEX(상세표[근무일자],$U182)&amp;""))</f>
        <v/>
      </c>
      <c r="N182">
        <f>IF($U182="","",IF(ISNUMBER(INDEX(상세표[시작],$U182)),TEXT(INDEX(상세표[시작],$U182),"yyyy-mm-dd hh:mm"),INDEX(상세표[시작],$U182)&amp;""))</f>
        <v/>
      </c>
      <c r="O182">
        <f>IF($U182="","",IF(ISNUMBER(INDEX(상세표[종료],$U182)),TEXT(INDEX(상세표[종료],$U182),"yyyy-mm-dd hh:mm"),INDEX(상세표[종료],$U182)&amp;""))</f>
        <v/>
      </c>
      <c r="P182" s="20">
        <f>IF($U182="","",INDEX(상세표[06~07시],$U182))</f>
        <v/>
      </c>
      <c r="Q182" s="20">
        <f>IF($U182="","",INDEX(상세표[07~18시],$U182))</f>
        <v/>
      </c>
      <c r="R182" s="20">
        <f>IF($U182="","",INDEX(상세표[18~22시],$U182))</f>
        <v/>
      </c>
      <c r="S182" s="20">
        <f>IF($U182="","",INDEX(상세표[22~06시],$U182))</f>
        <v/>
      </c>
      <c r="T182" s="20">
        <f>IF($U182="","",INDEX(상세표[기록 시간외],$U182))</f>
        <v/>
      </c>
      <c r="U182" s="4">
        <f>IFERROR(MATCH(177,상세표[발송순번],0),"")</f>
        <v/>
      </c>
    </row>
    <row r="183">
      <c r="A183">
        <f>IF($H183="","",INDEX(상세표[사번],$H183)&amp;"")</f>
        <v/>
      </c>
      <c r="B183">
        <f>IF($H183="","",INDEX(상세표[성명],$H183)&amp;"")</f>
        <v/>
      </c>
      <c r="C183">
        <f>IF($H183="","",INDEX(상세표[부서],$H183)&amp;"")</f>
        <v/>
      </c>
      <c r="D183">
        <f>IF($H183="","",IF(IFERROR(INDEX(합계표[직위(요약)],MATCH(INDEX(상세표[사번키],$H183),합계표[사번키],0))&amp;IF(INDEX(합계표[직급 공존],MATCH(INDEX(상세표[사번키],$H183),합계표[사번키],0))="",""," ("&amp;INDEX(합계표[직급 공존],MATCH(INDEX(상세표[사번키],$H183),합계표[사번키],0))&amp;")"),"")="",INDEX(상세표[직위],$H183)&amp;"",IFERROR(INDEX(합계표[직위(요약)],MATCH(INDEX(상세표[사번키],$H183),합계표[사번키],0))&amp;IF(INDEX(합계표[직급 공존],MATCH(INDEX(상세표[사번키],$H183),합계표[사번키],0))="",""," ("&amp;INDEX(합계표[직급 공존],MATCH(INDEX(상세표[사번키],$H183),합계표[사번키],0))&amp;")"),"")))</f>
        <v/>
      </c>
      <c r="E183">
        <f>IF($H183="","",COUNTIFS(상세표[사번키],INDEX(상세표[사번키],$H183),상세표[기록월],대상월키))</f>
        <v/>
      </c>
      <c r="F183" s="20">
        <f>IF($H183="","",SUMIFS(상세표[기록 시간외],상세표[사번키],INDEX(상세표[사번키],$H183),상세표[기록월],대상월키))</f>
        <v/>
      </c>
      <c r="G183" s="20">
        <f>IF($H183="","",SUMIFS(합계표[시스템 합계],합계표[사번키],INDEX(상세표[사번키],$H183)))</f>
        <v/>
      </c>
      <c r="H183" s="4">
        <f>IFERROR(MATCH(178,상세표[발송인원순번],0),"")</f>
        <v/>
      </c>
      <c r="J183">
        <f>IF($U183="","",INDEX(상세표[사번],$U183)&amp;"")</f>
        <v/>
      </c>
      <c r="K183">
        <f>IF($U183="","",INDEX(상세표[성명],$U183)&amp;"")</f>
        <v/>
      </c>
      <c r="L183">
        <f>IF($U183="","",INDEX(상세표[직위],$U183)&amp;"")</f>
        <v/>
      </c>
      <c r="M183">
        <f>IF($U183="","",IF(ISNUMBER(INDEX(상세표[근무일자],$U183)),TEXT(INDEX(상세표[근무일자],$U183),"yyyy-mm-dd"),INDEX(상세표[근무일자],$U183)&amp;""))</f>
        <v/>
      </c>
      <c r="N183">
        <f>IF($U183="","",IF(ISNUMBER(INDEX(상세표[시작],$U183)),TEXT(INDEX(상세표[시작],$U183),"yyyy-mm-dd hh:mm"),INDEX(상세표[시작],$U183)&amp;""))</f>
        <v/>
      </c>
      <c r="O183">
        <f>IF($U183="","",IF(ISNUMBER(INDEX(상세표[종료],$U183)),TEXT(INDEX(상세표[종료],$U183),"yyyy-mm-dd hh:mm"),INDEX(상세표[종료],$U183)&amp;""))</f>
        <v/>
      </c>
      <c r="P183" s="20">
        <f>IF($U183="","",INDEX(상세표[06~07시],$U183))</f>
        <v/>
      </c>
      <c r="Q183" s="20">
        <f>IF($U183="","",INDEX(상세표[07~18시],$U183))</f>
        <v/>
      </c>
      <c r="R183" s="20">
        <f>IF($U183="","",INDEX(상세표[18~22시],$U183))</f>
        <v/>
      </c>
      <c r="S183" s="20">
        <f>IF($U183="","",INDEX(상세표[22~06시],$U183))</f>
        <v/>
      </c>
      <c r="T183" s="20">
        <f>IF($U183="","",INDEX(상세표[기록 시간외],$U183))</f>
        <v/>
      </c>
      <c r="U183" s="4">
        <f>IFERROR(MATCH(178,상세표[발송순번],0),"")</f>
        <v/>
      </c>
    </row>
    <row r="184">
      <c r="A184">
        <f>IF($H184="","",INDEX(상세표[사번],$H184)&amp;"")</f>
        <v/>
      </c>
      <c r="B184">
        <f>IF($H184="","",INDEX(상세표[성명],$H184)&amp;"")</f>
        <v/>
      </c>
      <c r="C184">
        <f>IF($H184="","",INDEX(상세표[부서],$H184)&amp;"")</f>
        <v/>
      </c>
      <c r="D184">
        <f>IF($H184="","",IF(IFERROR(INDEX(합계표[직위(요약)],MATCH(INDEX(상세표[사번키],$H184),합계표[사번키],0))&amp;IF(INDEX(합계표[직급 공존],MATCH(INDEX(상세표[사번키],$H184),합계표[사번키],0))="",""," ("&amp;INDEX(합계표[직급 공존],MATCH(INDEX(상세표[사번키],$H184),합계표[사번키],0))&amp;")"),"")="",INDEX(상세표[직위],$H184)&amp;"",IFERROR(INDEX(합계표[직위(요약)],MATCH(INDEX(상세표[사번키],$H184),합계표[사번키],0))&amp;IF(INDEX(합계표[직급 공존],MATCH(INDEX(상세표[사번키],$H184),합계표[사번키],0))="",""," ("&amp;INDEX(합계표[직급 공존],MATCH(INDEX(상세표[사번키],$H184),합계표[사번키],0))&amp;")"),"")))</f>
        <v/>
      </c>
      <c r="E184">
        <f>IF($H184="","",COUNTIFS(상세표[사번키],INDEX(상세표[사번키],$H184),상세표[기록월],대상월키))</f>
        <v/>
      </c>
      <c r="F184" s="20">
        <f>IF($H184="","",SUMIFS(상세표[기록 시간외],상세표[사번키],INDEX(상세표[사번키],$H184),상세표[기록월],대상월키))</f>
        <v/>
      </c>
      <c r="G184" s="20">
        <f>IF($H184="","",SUMIFS(합계표[시스템 합계],합계표[사번키],INDEX(상세표[사번키],$H184)))</f>
        <v/>
      </c>
      <c r="H184" s="4">
        <f>IFERROR(MATCH(179,상세표[발송인원순번],0),"")</f>
        <v/>
      </c>
      <c r="J184">
        <f>IF($U184="","",INDEX(상세표[사번],$U184)&amp;"")</f>
        <v/>
      </c>
      <c r="K184">
        <f>IF($U184="","",INDEX(상세표[성명],$U184)&amp;"")</f>
        <v/>
      </c>
      <c r="L184">
        <f>IF($U184="","",INDEX(상세표[직위],$U184)&amp;"")</f>
        <v/>
      </c>
      <c r="M184">
        <f>IF($U184="","",IF(ISNUMBER(INDEX(상세표[근무일자],$U184)),TEXT(INDEX(상세표[근무일자],$U184),"yyyy-mm-dd"),INDEX(상세표[근무일자],$U184)&amp;""))</f>
        <v/>
      </c>
      <c r="N184">
        <f>IF($U184="","",IF(ISNUMBER(INDEX(상세표[시작],$U184)),TEXT(INDEX(상세표[시작],$U184),"yyyy-mm-dd hh:mm"),INDEX(상세표[시작],$U184)&amp;""))</f>
        <v/>
      </c>
      <c r="O184">
        <f>IF($U184="","",IF(ISNUMBER(INDEX(상세표[종료],$U184)),TEXT(INDEX(상세표[종료],$U184),"yyyy-mm-dd hh:mm"),INDEX(상세표[종료],$U184)&amp;""))</f>
        <v/>
      </c>
      <c r="P184" s="20">
        <f>IF($U184="","",INDEX(상세표[06~07시],$U184))</f>
        <v/>
      </c>
      <c r="Q184" s="20">
        <f>IF($U184="","",INDEX(상세표[07~18시],$U184))</f>
        <v/>
      </c>
      <c r="R184" s="20">
        <f>IF($U184="","",INDEX(상세표[18~22시],$U184))</f>
        <v/>
      </c>
      <c r="S184" s="20">
        <f>IF($U184="","",INDEX(상세표[22~06시],$U184))</f>
        <v/>
      </c>
      <c r="T184" s="20">
        <f>IF($U184="","",INDEX(상세표[기록 시간외],$U184))</f>
        <v/>
      </c>
      <c r="U184" s="4">
        <f>IFERROR(MATCH(179,상세표[발송순번],0),"")</f>
        <v/>
      </c>
    </row>
    <row r="185">
      <c r="A185">
        <f>IF($H185="","",INDEX(상세표[사번],$H185)&amp;"")</f>
        <v/>
      </c>
      <c r="B185">
        <f>IF($H185="","",INDEX(상세표[성명],$H185)&amp;"")</f>
        <v/>
      </c>
      <c r="C185">
        <f>IF($H185="","",INDEX(상세표[부서],$H185)&amp;"")</f>
        <v/>
      </c>
      <c r="D185">
        <f>IF($H185="","",IF(IFERROR(INDEX(합계표[직위(요약)],MATCH(INDEX(상세표[사번키],$H185),합계표[사번키],0))&amp;IF(INDEX(합계표[직급 공존],MATCH(INDEX(상세표[사번키],$H185),합계표[사번키],0))="",""," ("&amp;INDEX(합계표[직급 공존],MATCH(INDEX(상세표[사번키],$H185),합계표[사번키],0))&amp;")"),"")="",INDEX(상세표[직위],$H185)&amp;"",IFERROR(INDEX(합계표[직위(요약)],MATCH(INDEX(상세표[사번키],$H185),합계표[사번키],0))&amp;IF(INDEX(합계표[직급 공존],MATCH(INDEX(상세표[사번키],$H185),합계표[사번키],0))="",""," ("&amp;INDEX(합계표[직급 공존],MATCH(INDEX(상세표[사번키],$H185),합계표[사번키],0))&amp;")"),"")))</f>
        <v/>
      </c>
      <c r="E185">
        <f>IF($H185="","",COUNTIFS(상세표[사번키],INDEX(상세표[사번키],$H185),상세표[기록월],대상월키))</f>
        <v/>
      </c>
      <c r="F185" s="20">
        <f>IF($H185="","",SUMIFS(상세표[기록 시간외],상세표[사번키],INDEX(상세표[사번키],$H185),상세표[기록월],대상월키))</f>
        <v/>
      </c>
      <c r="G185" s="20">
        <f>IF($H185="","",SUMIFS(합계표[시스템 합계],합계표[사번키],INDEX(상세표[사번키],$H185)))</f>
        <v/>
      </c>
      <c r="H185" s="4">
        <f>IFERROR(MATCH(180,상세표[발송인원순번],0),"")</f>
        <v/>
      </c>
      <c r="J185">
        <f>IF($U185="","",INDEX(상세표[사번],$U185)&amp;"")</f>
        <v/>
      </c>
      <c r="K185">
        <f>IF($U185="","",INDEX(상세표[성명],$U185)&amp;"")</f>
        <v/>
      </c>
      <c r="L185">
        <f>IF($U185="","",INDEX(상세표[직위],$U185)&amp;"")</f>
        <v/>
      </c>
      <c r="M185">
        <f>IF($U185="","",IF(ISNUMBER(INDEX(상세표[근무일자],$U185)),TEXT(INDEX(상세표[근무일자],$U185),"yyyy-mm-dd"),INDEX(상세표[근무일자],$U185)&amp;""))</f>
        <v/>
      </c>
      <c r="N185">
        <f>IF($U185="","",IF(ISNUMBER(INDEX(상세표[시작],$U185)),TEXT(INDEX(상세표[시작],$U185),"yyyy-mm-dd hh:mm"),INDEX(상세표[시작],$U185)&amp;""))</f>
        <v/>
      </c>
      <c r="O185">
        <f>IF($U185="","",IF(ISNUMBER(INDEX(상세표[종료],$U185)),TEXT(INDEX(상세표[종료],$U185),"yyyy-mm-dd hh:mm"),INDEX(상세표[종료],$U185)&amp;""))</f>
        <v/>
      </c>
      <c r="P185" s="20">
        <f>IF($U185="","",INDEX(상세표[06~07시],$U185))</f>
        <v/>
      </c>
      <c r="Q185" s="20">
        <f>IF($U185="","",INDEX(상세표[07~18시],$U185))</f>
        <v/>
      </c>
      <c r="R185" s="20">
        <f>IF($U185="","",INDEX(상세표[18~22시],$U185))</f>
        <v/>
      </c>
      <c r="S185" s="20">
        <f>IF($U185="","",INDEX(상세표[22~06시],$U185))</f>
        <v/>
      </c>
      <c r="T185" s="20">
        <f>IF($U185="","",INDEX(상세표[기록 시간외],$U185))</f>
        <v/>
      </c>
      <c r="U185" s="4">
        <f>IFERROR(MATCH(180,상세표[발송순번],0),"")</f>
        <v/>
      </c>
    </row>
    <row r="186">
      <c r="A186">
        <f>IF($H186="","",INDEX(상세표[사번],$H186)&amp;"")</f>
        <v/>
      </c>
      <c r="B186">
        <f>IF($H186="","",INDEX(상세표[성명],$H186)&amp;"")</f>
        <v/>
      </c>
      <c r="C186">
        <f>IF($H186="","",INDEX(상세표[부서],$H186)&amp;"")</f>
        <v/>
      </c>
      <c r="D186">
        <f>IF($H186="","",IF(IFERROR(INDEX(합계표[직위(요약)],MATCH(INDEX(상세표[사번키],$H186),합계표[사번키],0))&amp;IF(INDEX(합계표[직급 공존],MATCH(INDEX(상세표[사번키],$H186),합계표[사번키],0))="",""," ("&amp;INDEX(합계표[직급 공존],MATCH(INDEX(상세표[사번키],$H186),합계표[사번키],0))&amp;")"),"")="",INDEX(상세표[직위],$H186)&amp;"",IFERROR(INDEX(합계표[직위(요약)],MATCH(INDEX(상세표[사번키],$H186),합계표[사번키],0))&amp;IF(INDEX(합계표[직급 공존],MATCH(INDEX(상세표[사번키],$H186),합계표[사번키],0))="",""," ("&amp;INDEX(합계표[직급 공존],MATCH(INDEX(상세표[사번키],$H186),합계표[사번키],0))&amp;")"),"")))</f>
        <v/>
      </c>
      <c r="E186">
        <f>IF($H186="","",COUNTIFS(상세표[사번키],INDEX(상세표[사번키],$H186),상세표[기록월],대상월키))</f>
        <v/>
      </c>
      <c r="F186" s="20">
        <f>IF($H186="","",SUMIFS(상세표[기록 시간외],상세표[사번키],INDEX(상세표[사번키],$H186),상세표[기록월],대상월키))</f>
        <v/>
      </c>
      <c r="G186" s="20">
        <f>IF($H186="","",SUMIFS(합계표[시스템 합계],합계표[사번키],INDEX(상세표[사번키],$H186)))</f>
        <v/>
      </c>
      <c r="H186" s="4">
        <f>IFERROR(MATCH(181,상세표[발송인원순번],0),"")</f>
        <v/>
      </c>
      <c r="J186">
        <f>IF($U186="","",INDEX(상세표[사번],$U186)&amp;"")</f>
        <v/>
      </c>
      <c r="K186">
        <f>IF($U186="","",INDEX(상세표[성명],$U186)&amp;"")</f>
        <v/>
      </c>
      <c r="L186">
        <f>IF($U186="","",INDEX(상세표[직위],$U186)&amp;"")</f>
        <v/>
      </c>
      <c r="M186">
        <f>IF($U186="","",IF(ISNUMBER(INDEX(상세표[근무일자],$U186)),TEXT(INDEX(상세표[근무일자],$U186),"yyyy-mm-dd"),INDEX(상세표[근무일자],$U186)&amp;""))</f>
        <v/>
      </c>
      <c r="N186">
        <f>IF($U186="","",IF(ISNUMBER(INDEX(상세표[시작],$U186)),TEXT(INDEX(상세표[시작],$U186),"yyyy-mm-dd hh:mm"),INDEX(상세표[시작],$U186)&amp;""))</f>
        <v/>
      </c>
      <c r="O186">
        <f>IF($U186="","",IF(ISNUMBER(INDEX(상세표[종료],$U186)),TEXT(INDEX(상세표[종료],$U186),"yyyy-mm-dd hh:mm"),INDEX(상세표[종료],$U186)&amp;""))</f>
        <v/>
      </c>
      <c r="P186" s="20">
        <f>IF($U186="","",INDEX(상세표[06~07시],$U186))</f>
        <v/>
      </c>
      <c r="Q186" s="20">
        <f>IF($U186="","",INDEX(상세표[07~18시],$U186))</f>
        <v/>
      </c>
      <c r="R186" s="20">
        <f>IF($U186="","",INDEX(상세표[18~22시],$U186))</f>
        <v/>
      </c>
      <c r="S186" s="20">
        <f>IF($U186="","",INDEX(상세표[22~06시],$U186))</f>
        <v/>
      </c>
      <c r="T186" s="20">
        <f>IF($U186="","",INDEX(상세표[기록 시간외],$U186))</f>
        <v/>
      </c>
      <c r="U186" s="4">
        <f>IFERROR(MATCH(181,상세표[발송순번],0),"")</f>
        <v/>
      </c>
    </row>
    <row r="187">
      <c r="A187">
        <f>IF($H187="","",INDEX(상세표[사번],$H187)&amp;"")</f>
        <v/>
      </c>
      <c r="B187">
        <f>IF($H187="","",INDEX(상세표[성명],$H187)&amp;"")</f>
        <v/>
      </c>
      <c r="C187">
        <f>IF($H187="","",INDEX(상세표[부서],$H187)&amp;"")</f>
        <v/>
      </c>
      <c r="D187">
        <f>IF($H187="","",IF(IFERROR(INDEX(합계표[직위(요약)],MATCH(INDEX(상세표[사번키],$H187),합계표[사번키],0))&amp;IF(INDEX(합계표[직급 공존],MATCH(INDEX(상세표[사번키],$H187),합계표[사번키],0))="",""," ("&amp;INDEX(합계표[직급 공존],MATCH(INDEX(상세표[사번키],$H187),합계표[사번키],0))&amp;")"),"")="",INDEX(상세표[직위],$H187)&amp;"",IFERROR(INDEX(합계표[직위(요약)],MATCH(INDEX(상세표[사번키],$H187),합계표[사번키],0))&amp;IF(INDEX(합계표[직급 공존],MATCH(INDEX(상세표[사번키],$H187),합계표[사번키],0))="",""," ("&amp;INDEX(합계표[직급 공존],MATCH(INDEX(상세표[사번키],$H187),합계표[사번키],0))&amp;")"),"")))</f>
        <v/>
      </c>
      <c r="E187">
        <f>IF($H187="","",COUNTIFS(상세표[사번키],INDEX(상세표[사번키],$H187),상세표[기록월],대상월키))</f>
        <v/>
      </c>
      <c r="F187" s="20">
        <f>IF($H187="","",SUMIFS(상세표[기록 시간외],상세표[사번키],INDEX(상세표[사번키],$H187),상세표[기록월],대상월키))</f>
        <v/>
      </c>
      <c r="G187" s="20">
        <f>IF($H187="","",SUMIFS(합계표[시스템 합계],합계표[사번키],INDEX(상세표[사번키],$H187)))</f>
        <v/>
      </c>
      <c r="H187" s="4">
        <f>IFERROR(MATCH(182,상세표[발송인원순번],0),"")</f>
        <v/>
      </c>
      <c r="J187">
        <f>IF($U187="","",INDEX(상세표[사번],$U187)&amp;"")</f>
        <v/>
      </c>
      <c r="K187">
        <f>IF($U187="","",INDEX(상세표[성명],$U187)&amp;"")</f>
        <v/>
      </c>
      <c r="L187">
        <f>IF($U187="","",INDEX(상세표[직위],$U187)&amp;"")</f>
        <v/>
      </c>
      <c r="M187">
        <f>IF($U187="","",IF(ISNUMBER(INDEX(상세표[근무일자],$U187)),TEXT(INDEX(상세표[근무일자],$U187),"yyyy-mm-dd"),INDEX(상세표[근무일자],$U187)&amp;""))</f>
        <v/>
      </c>
      <c r="N187">
        <f>IF($U187="","",IF(ISNUMBER(INDEX(상세표[시작],$U187)),TEXT(INDEX(상세표[시작],$U187),"yyyy-mm-dd hh:mm"),INDEX(상세표[시작],$U187)&amp;""))</f>
        <v/>
      </c>
      <c r="O187">
        <f>IF($U187="","",IF(ISNUMBER(INDEX(상세표[종료],$U187)),TEXT(INDEX(상세표[종료],$U187),"yyyy-mm-dd hh:mm"),INDEX(상세표[종료],$U187)&amp;""))</f>
        <v/>
      </c>
      <c r="P187" s="20">
        <f>IF($U187="","",INDEX(상세표[06~07시],$U187))</f>
        <v/>
      </c>
      <c r="Q187" s="20">
        <f>IF($U187="","",INDEX(상세표[07~18시],$U187))</f>
        <v/>
      </c>
      <c r="R187" s="20">
        <f>IF($U187="","",INDEX(상세표[18~22시],$U187))</f>
        <v/>
      </c>
      <c r="S187" s="20">
        <f>IF($U187="","",INDEX(상세표[22~06시],$U187))</f>
        <v/>
      </c>
      <c r="T187" s="20">
        <f>IF($U187="","",INDEX(상세표[기록 시간외],$U187))</f>
        <v/>
      </c>
      <c r="U187" s="4">
        <f>IFERROR(MATCH(182,상세표[발송순번],0),"")</f>
        <v/>
      </c>
    </row>
    <row r="188">
      <c r="A188">
        <f>IF($H188="","",INDEX(상세표[사번],$H188)&amp;"")</f>
        <v/>
      </c>
      <c r="B188">
        <f>IF($H188="","",INDEX(상세표[성명],$H188)&amp;"")</f>
        <v/>
      </c>
      <c r="C188">
        <f>IF($H188="","",INDEX(상세표[부서],$H188)&amp;"")</f>
        <v/>
      </c>
      <c r="D188">
        <f>IF($H188="","",IF(IFERROR(INDEX(합계표[직위(요약)],MATCH(INDEX(상세표[사번키],$H188),합계표[사번키],0))&amp;IF(INDEX(합계표[직급 공존],MATCH(INDEX(상세표[사번키],$H188),합계표[사번키],0))="",""," ("&amp;INDEX(합계표[직급 공존],MATCH(INDEX(상세표[사번키],$H188),합계표[사번키],0))&amp;")"),"")="",INDEX(상세표[직위],$H188)&amp;"",IFERROR(INDEX(합계표[직위(요약)],MATCH(INDEX(상세표[사번키],$H188),합계표[사번키],0))&amp;IF(INDEX(합계표[직급 공존],MATCH(INDEX(상세표[사번키],$H188),합계표[사번키],0))="",""," ("&amp;INDEX(합계표[직급 공존],MATCH(INDEX(상세표[사번키],$H188),합계표[사번키],0))&amp;")"),"")))</f>
        <v/>
      </c>
      <c r="E188">
        <f>IF($H188="","",COUNTIFS(상세표[사번키],INDEX(상세표[사번키],$H188),상세표[기록월],대상월키))</f>
        <v/>
      </c>
      <c r="F188" s="20">
        <f>IF($H188="","",SUMIFS(상세표[기록 시간외],상세표[사번키],INDEX(상세표[사번키],$H188),상세표[기록월],대상월키))</f>
        <v/>
      </c>
      <c r="G188" s="20">
        <f>IF($H188="","",SUMIFS(합계표[시스템 합계],합계표[사번키],INDEX(상세표[사번키],$H188)))</f>
        <v/>
      </c>
      <c r="H188" s="4">
        <f>IFERROR(MATCH(183,상세표[발송인원순번],0),"")</f>
        <v/>
      </c>
      <c r="J188">
        <f>IF($U188="","",INDEX(상세표[사번],$U188)&amp;"")</f>
        <v/>
      </c>
      <c r="K188">
        <f>IF($U188="","",INDEX(상세표[성명],$U188)&amp;"")</f>
        <v/>
      </c>
      <c r="L188">
        <f>IF($U188="","",INDEX(상세표[직위],$U188)&amp;"")</f>
        <v/>
      </c>
      <c r="M188">
        <f>IF($U188="","",IF(ISNUMBER(INDEX(상세표[근무일자],$U188)),TEXT(INDEX(상세표[근무일자],$U188),"yyyy-mm-dd"),INDEX(상세표[근무일자],$U188)&amp;""))</f>
        <v/>
      </c>
      <c r="N188">
        <f>IF($U188="","",IF(ISNUMBER(INDEX(상세표[시작],$U188)),TEXT(INDEX(상세표[시작],$U188),"yyyy-mm-dd hh:mm"),INDEX(상세표[시작],$U188)&amp;""))</f>
        <v/>
      </c>
      <c r="O188">
        <f>IF($U188="","",IF(ISNUMBER(INDEX(상세표[종료],$U188)),TEXT(INDEX(상세표[종료],$U188),"yyyy-mm-dd hh:mm"),INDEX(상세표[종료],$U188)&amp;""))</f>
        <v/>
      </c>
      <c r="P188" s="20">
        <f>IF($U188="","",INDEX(상세표[06~07시],$U188))</f>
        <v/>
      </c>
      <c r="Q188" s="20">
        <f>IF($U188="","",INDEX(상세표[07~18시],$U188))</f>
        <v/>
      </c>
      <c r="R188" s="20">
        <f>IF($U188="","",INDEX(상세표[18~22시],$U188))</f>
        <v/>
      </c>
      <c r="S188" s="20">
        <f>IF($U188="","",INDEX(상세표[22~06시],$U188))</f>
        <v/>
      </c>
      <c r="T188" s="20">
        <f>IF($U188="","",INDEX(상세표[기록 시간외],$U188))</f>
        <v/>
      </c>
      <c r="U188" s="4">
        <f>IFERROR(MATCH(183,상세표[발송순번],0),"")</f>
        <v/>
      </c>
    </row>
    <row r="189">
      <c r="A189">
        <f>IF($H189="","",INDEX(상세표[사번],$H189)&amp;"")</f>
        <v/>
      </c>
      <c r="B189">
        <f>IF($H189="","",INDEX(상세표[성명],$H189)&amp;"")</f>
        <v/>
      </c>
      <c r="C189">
        <f>IF($H189="","",INDEX(상세표[부서],$H189)&amp;"")</f>
        <v/>
      </c>
      <c r="D189">
        <f>IF($H189="","",IF(IFERROR(INDEX(합계표[직위(요약)],MATCH(INDEX(상세표[사번키],$H189),합계표[사번키],0))&amp;IF(INDEX(합계표[직급 공존],MATCH(INDEX(상세표[사번키],$H189),합계표[사번키],0))="",""," ("&amp;INDEX(합계표[직급 공존],MATCH(INDEX(상세표[사번키],$H189),합계표[사번키],0))&amp;")"),"")="",INDEX(상세표[직위],$H189)&amp;"",IFERROR(INDEX(합계표[직위(요약)],MATCH(INDEX(상세표[사번키],$H189),합계표[사번키],0))&amp;IF(INDEX(합계표[직급 공존],MATCH(INDEX(상세표[사번키],$H189),합계표[사번키],0))="",""," ("&amp;INDEX(합계표[직급 공존],MATCH(INDEX(상세표[사번키],$H189),합계표[사번키],0))&amp;")"),"")))</f>
        <v/>
      </c>
      <c r="E189">
        <f>IF($H189="","",COUNTIFS(상세표[사번키],INDEX(상세표[사번키],$H189),상세표[기록월],대상월키))</f>
        <v/>
      </c>
      <c r="F189" s="20">
        <f>IF($H189="","",SUMIFS(상세표[기록 시간외],상세표[사번키],INDEX(상세표[사번키],$H189),상세표[기록월],대상월키))</f>
        <v/>
      </c>
      <c r="G189" s="20">
        <f>IF($H189="","",SUMIFS(합계표[시스템 합계],합계표[사번키],INDEX(상세표[사번키],$H189)))</f>
        <v/>
      </c>
      <c r="H189" s="4">
        <f>IFERROR(MATCH(184,상세표[발송인원순번],0),"")</f>
        <v/>
      </c>
      <c r="J189">
        <f>IF($U189="","",INDEX(상세표[사번],$U189)&amp;"")</f>
        <v/>
      </c>
      <c r="K189">
        <f>IF($U189="","",INDEX(상세표[성명],$U189)&amp;"")</f>
        <v/>
      </c>
      <c r="L189">
        <f>IF($U189="","",INDEX(상세표[직위],$U189)&amp;"")</f>
        <v/>
      </c>
      <c r="M189">
        <f>IF($U189="","",IF(ISNUMBER(INDEX(상세표[근무일자],$U189)),TEXT(INDEX(상세표[근무일자],$U189),"yyyy-mm-dd"),INDEX(상세표[근무일자],$U189)&amp;""))</f>
        <v/>
      </c>
      <c r="N189">
        <f>IF($U189="","",IF(ISNUMBER(INDEX(상세표[시작],$U189)),TEXT(INDEX(상세표[시작],$U189),"yyyy-mm-dd hh:mm"),INDEX(상세표[시작],$U189)&amp;""))</f>
        <v/>
      </c>
      <c r="O189">
        <f>IF($U189="","",IF(ISNUMBER(INDEX(상세표[종료],$U189)),TEXT(INDEX(상세표[종료],$U189),"yyyy-mm-dd hh:mm"),INDEX(상세표[종료],$U189)&amp;""))</f>
        <v/>
      </c>
      <c r="P189" s="20">
        <f>IF($U189="","",INDEX(상세표[06~07시],$U189))</f>
        <v/>
      </c>
      <c r="Q189" s="20">
        <f>IF($U189="","",INDEX(상세표[07~18시],$U189))</f>
        <v/>
      </c>
      <c r="R189" s="20">
        <f>IF($U189="","",INDEX(상세표[18~22시],$U189))</f>
        <v/>
      </c>
      <c r="S189" s="20">
        <f>IF($U189="","",INDEX(상세표[22~06시],$U189))</f>
        <v/>
      </c>
      <c r="T189" s="20">
        <f>IF($U189="","",INDEX(상세표[기록 시간외],$U189))</f>
        <v/>
      </c>
      <c r="U189" s="4">
        <f>IFERROR(MATCH(184,상세표[발송순번],0),"")</f>
        <v/>
      </c>
    </row>
    <row r="190">
      <c r="A190">
        <f>IF($H190="","",INDEX(상세표[사번],$H190)&amp;"")</f>
        <v/>
      </c>
      <c r="B190">
        <f>IF($H190="","",INDEX(상세표[성명],$H190)&amp;"")</f>
        <v/>
      </c>
      <c r="C190">
        <f>IF($H190="","",INDEX(상세표[부서],$H190)&amp;"")</f>
        <v/>
      </c>
      <c r="D190">
        <f>IF($H190="","",IF(IFERROR(INDEX(합계표[직위(요약)],MATCH(INDEX(상세표[사번키],$H190),합계표[사번키],0))&amp;IF(INDEX(합계표[직급 공존],MATCH(INDEX(상세표[사번키],$H190),합계표[사번키],0))="",""," ("&amp;INDEX(합계표[직급 공존],MATCH(INDEX(상세표[사번키],$H190),합계표[사번키],0))&amp;")"),"")="",INDEX(상세표[직위],$H190)&amp;"",IFERROR(INDEX(합계표[직위(요약)],MATCH(INDEX(상세표[사번키],$H190),합계표[사번키],0))&amp;IF(INDEX(합계표[직급 공존],MATCH(INDEX(상세표[사번키],$H190),합계표[사번키],0))="",""," ("&amp;INDEX(합계표[직급 공존],MATCH(INDEX(상세표[사번키],$H190),합계표[사번키],0))&amp;")"),"")))</f>
        <v/>
      </c>
      <c r="E190">
        <f>IF($H190="","",COUNTIFS(상세표[사번키],INDEX(상세표[사번키],$H190),상세표[기록월],대상월키))</f>
        <v/>
      </c>
      <c r="F190" s="20">
        <f>IF($H190="","",SUMIFS(상세표[기록 시간외],상세표[사번키],INDEX(상세표[사번키],$H190),상세표[기록월],대상월키))</f>
        <v/>
      </c>
      <c r="G190" s="20">
        <f>IF($H190="","",SUMIFS(합계표[시스템 합계],합계표[사번키],INDEX(상세표[사번키],$H190)))</f>
        <v/>
      </c>
      <c r="H190" s="4">
        <f>IFERROR(MATCH(185,상세표[발송인원순번],0),"")</f>
        <v/>
      </c>
      <c r="J190">
        <f>IF($U190="","",INDEX(상세표[사번],$U190)&amp;"")</f>
        <v/>
      </c>
      <c r="K190">
        <f>IF($U190="","",INDEX(상세표[성명],$U190)&amp;"")</f>
        <v/>
      </c>
      <c r="L190">
        <f>IF($U190="","",INDEX(상세표[직위],$U190)&amp;"")</f>
        <v/>
      </c>
      <c r="M190">
        <f>IF($U190="","",IF(ISNUMBER(INDEX(상세표[근무일자],$U190)),TEXT(INDEX(상세표[근무일자],$U190),"yyyy-mm-dd"),INDEX(상세표[근무일자],$U190)&amp;""))</f>
        <v/>
      </c>
      <c r="N190">
        <f>IF($U190="","",IF(ISNUMBER(INDEX(상세표[시작],$U190)),TEXT(INDEX(상세표[시작],$U190),"yyyy-mm-dd hh:mm"),INDEX(상세표[시작],$U190)&amp;""))</f>
        <v/>
      </c>
      <c r="O190">
        <f>IF($U190="","",IF(ISNUMBER(INDEX(상세표[종료],$U190)),TEXT(INDEX(상세표[종료],$U190),"yyyy-mm-dd hh:mm"),INDEX(상세표[종료],$U190)&amp;""))</f>
        <v/>
      </c>
      <c r="P190" s="20">
        <f>IF($U190="","",INDEX(상세표[06~07시],$U190))</f>
        <v/>
      </c>
      <c r="Q190" s="20">
        <f>IF($U190="","",INDEX(상세표[07~18시],$U190))</f>
        <v/>
      </c>
      <c r="R190" s="20">
        <f>IF($U190="","",INDEX(상세표[18~22시],$U190))</f>
        <v/>
      </c>
      <c r="S190" s="20">
        <f>IF($U190="","",INDEX(상세표[22~06시],$U190))</f>
        <v/>
      </c>
      <c r="T190" s="20">
        <f>IF($U190="","",INDEX(상세표[기록 시간외],$U190))</f>
        <v/>
      </c>
      <c r="U190" s="4">
        <f>IFERROR(MATCH(185,상세표[발송순번],0),"")</f>
        <v/>
      </c>
    </row>
    <row r="191">
      <c r="A191">
        <f>IF($H191="","",INDEX(상세표[사번],$H191)&amp;"")</f>
        <v/>
      </c>
      <c r="B191">
        <f>IF($H191="","",INDEX(상세표[성명],$H191)&amp;"")</f>
        <v/>
      </c>
      <c r="C191">
        <f>IF($H191="","",INDEX(상세표[부서],$H191)&amp;"")</f>
        <v/>
      </c>
      <c r="D191">
        <f>IF($H191="","",IF(IFERROR(INDEX(합계표[직위(요약)],MATCH(INDEX(상세표[사번키],$H191),합계표[사번키],0))&amp;IF(INDEX(합계표[직급 공존],MATCH(INDEX(상세표[사번키],$H191),합계표[사번키],0))="",""," ("&amp;INDEX(합계표[직급 공존],MATCH(INDEX(상세표[사번키],$H191),합계표[사번키],0))&amp;")"),"")="",INDEX(상세표[직위],$H191)&amp;"",IFERROR(INDEX(합계표[직위(요약)],MATCH(INDEX(상세표[사번키],$H191),합계표[사번키],0))&amp;IF(INDEX(합계표[직급 공존],MATCH(INDEX(상세표[사번키],$H191),합계표[사번키],0))="",""," ("&amp;INDEX(합계표[직급 공존],MATCH(INDEX(상세표[사번키],$H191),합계표[사번키],0))&amp;")"),"")))</f>
        <v/>
      </c>
      <c r="E191">
        <f>IF($H191="","",COUNTIFS(상세표[사번키],INDEX(상세표[사번키],$H191),상세표[기록월],대상월키))</f>
        <v/>
      </c>
      <c r="F191" s="20">
        <f>IF($H191="","",SUMIFS(상세표[기록 시간외],상세표[사번키],INDEX(상세표[사번키],$H191),상세표[기록월],대상월키))</f>
        <v/>
      </c>
      <c r="G191" s="20">
        <f>IF($H191="","",SUMIFS(합계표[시스템 합계],합계표[사번키],INDEX(상세표[사번키],$H191)))</f>
        <v/>
      </c>
      <c r="H191" s="4">
        <f>IFERROR(MATCH(186,상세표[발송인원순번],0),"")</f>
        <v/>
      </c>
      <c r="J191">
        <f>IF($U191="","",INDEX(상세표[사번],$U191)&amp;"")</f>
        <v/>
      </c>
      <c r="K191">
        <f>IF($U191="","",INDEX(상세표[성명],$U191)&amp;"")</f>
        <v/>
      </c>
      <c r="L191">
        <f>IF($U191="","",INDEX(상세표[직위],$U191)&amp;"")</f>
        <v/>
      </c>
      <c r="M191">
        <f>IF($U191="","",IF(ISNUMBER(INDEX(상세표[근무일자],$U191)),TEXT(INDEX(상세표[근무일자],$U191),"yyyy-mm-dd"),INDEX(상세표[근무일자],$U191)&amp;""))</f>
        <v/>
      </c>
      <c r="N191">
        <f>IF($U191="","",IF(ISNUMBER(INDEX(상세표[시작],$U191)),TEXT(INDEX(상세표[시작],$U191),"yyyy-mm-dd hh:mm"),INDEX(상세표[시작],$U191)&amp;""))</f>
        <v/>
      </c>
      <c r="O191">
        <f>IF($U191="","",IF(ISNUMBER(INDEX(상세표[종료],$U191)),TEXT(INDEX(상세표[종료],$U191),"yyyy-mm-dd hh:mm"),INDEX(상세표[종료],$U191)&amp;""))</f>
        <v/>
      </c>
      <c r="P191" s="20">
        <f>IF($U191="","",INDEX(상세표[06~07시],$U191))</f>
        <v/>
      </c>
      <c r="Q191" s="20">
        <f>IF($U191="","",INDEX(상세표[07~18시],$U191))</f>
        <v/>
      </c>
      <c r="R191" s="20">
        <f>IF($U191="","",INDEX(상세표[18~22시],$U191))</f>
        <v/>
      </c>
      <c r="S191" s="20">
        <f>IF($U191="","",INDEX(상세표[22~06시],$U191))</f>
        <v/>
      </c>
      <c r="T191" s="20">
        <f>IF($U191="","",INDEX(상세표[기록 시간외],$U191))</f>
        <v/>
      </c>
      <c r="U191" s="4">
        <f>IFERROR(MATCH(186,상세표[발송순번],0),"")</f>
        <v/>
      </c>
    </row>
    <row r="192">
      <c r="A192">
        <f>IF($H192="","",INDEX(상세표[사번],$H192)&amp;"")</f>
        <v/>
      </c>
      <c r="B192">
        <f>IF($H192="","",INDEX(상세표[성명],$H192)&amp;"")</f>
        <v/>
      </c>
      <c r="C192">
        <f>IF($H192="","",INDEX(상세표[부서],$H192)&amp;"")</f>
        <v/>
      </c>
      <c r="D192">
        <f>IF($H192="","",IF(IFERROR(INDEX(합계표[직위(요약)],MATCH(INDEX(상세표[사번키],$H192),합계표[사번키],0))&amp;IF(INDEX(합계표[직급 공존],MATCH(INDEX(상세표[사번키],$H192),합계표[사번키],0))="",""," ("&amp;INDEX(합계표[직급 공존],MATCH(INDEX(상세표[사번키],$H192),합계표[사번키],0))&amp;")"),"")="",INDEX(상세표[직위],$H192)&amp;"",IFERROR(INDEX(합계표[직위(요약)],MATCH(INDEX(상세표[사번키],$H192),합계표[사번키],0))&amp;IF(INDEX(합계표[직급 공존],MATCH(INDEX(상세표[사번키],$H192),합계표[사번키],0))="",""," ("&amp;INDEX(합계표[직급 공존],MATCH(INDEX(상세표[사번키],$H192),합계표[사번키],0))&amp;")"),"")))</f>
        <v/>
      </c>
      <c r="E192">
        <f>IF($H192="","",COUNTIFS(상세표[사번키],INDEX(상세표[사번키],$H192),상세표[기록월],대상월키))</f>
        <v/>
      </c>
      <c r="F192" s="20">
        <f>IF($H192="","",SUMIFS(상세표[기록 시간외],상세표[사번키],INDEX(상세표[사번키],$H192),상세표[기록월],대상월키))</f>
        <v/>
      </c>
      <c r="G192" s="20">
        <f>IF($H192="","",SUMIFS(합계표[시스템 합계],합계표[사번키],INDEX(상세표[사번키],$H192)))</f>
        <v/>
      </c>
      <c r="H192" s="4">
        <f>IFERROR(MATCH(187,상세표[발송인원순번],0),"")</f>
        <v/>
      </c>
      <c r="J192">
        <f>IF($U192="","",INDEX(상세표[사번],$U192)&amp;"")</f>
        <v/>
      </c>
      <c r="K192">
        <f>IF($U192="","",INDEX(상세표[성명],$U192)&amp;"")</f>
        <v/>
      </c>
      <c r="L192">
        <f>IF($U192="","",INDEX(상세표[직위],$U192)&amp;"")</f>
        <v/>
      </c>
      <c r="M192">
        <f>IF($U192="","",IF(ISNUMBER(INDEX(상세표[근무일자],$U192)),TEXT(INDEX(상세표[근무일자],$U192),"yyyy-mm-dd"),INDEX(상세표[근무일자],$U192)&amp;""))</f>
        <v/>
      </c>
      <c r="N192">
        <f>IF($U192="","",IF(ISNUMBER(INDEX(상세표[시작],$U192)),TEXT(INDEX(상세표[시작],$U192),"yyyy-mm-dd hh:mm"),INDEX(상세표[시작],$U192)&amp;""))</f>
        <v/>
      </c>
      <c r="O192">
        <f>IF($U192="","",IF(ISNUMBER(INDEX(상세표[종료],$U192)),TEXT(INDEX(상세표[종료],$U192),"yyyy-mm-dd hh:mm"),INDEX(상세표[종료],$U192)&amp;""))</f>
        <v/>
      </c>
      <c r="P192" s="20">
        <f>IF($U192="","",INDEX(상세표[06~07시],$U192))</f>
        <v/>
      </c>
      <c r="Q192" s="20">
        <f>IF($U192="","",INDEX(상세표[07~18시],$U192))</f>
        <v/>
      </c>
      <c r="R192" s="20">
        <f>IF($U192="","",INDEX(상세표[18~22시],$U192))</f>
        <v/>
      </c>
      <c r="S192" s="20">
        <f>IF($U192="","",INDEX(상세표[22~06시],$U192))</f>
        <v/>
      </c>
      <c r="T192" s="20">
        <f>IF($U192="","",INDEX(상세표[기록 시간외],$U192))</f>
        <v/>
      </c>
      <c r="U192" s="4">
        <f>IFERROR(MATCH(187,상세표[발송순번],0),"")</f>
        <v/>
      </c>
    </row>
    <row r="193">
      <c r="A193">
        <f>IF($H193="","",INDEX(상세표[사번],$H193)&amp;"")</f>
        <v/>
      </c>
      <c r="B193">
        <f>IF($H193="","",INDEX(상세표[성명],$H193)&amp;"")</f>
        <v/>
      </c>
      <c r="C193">
        <f>IF($H193="","",INDEX(상세표[부서],$H193)&amp;"")</f>
        <v/>
      </c>
      <c r="D193">
        <f>IF($H193="","",IF(IFERROR(INDEX(합계표[직위(요약)],MATCH(INDEX(상세표[사번키],$H193),합계표[사번키],0))&amp;IF(INDEX(합계표[직급 공존],MATCH(INDEX(상세표[사번키],$H193),합계표[사번키],0))="",""," ("&amp;INDEX(합계표[직급 공존],MATCH(INDEX(상세표[사번키],$H193),합계표[사번키],0))&amp;")"),"")="",INDEX(상세표[직위],$H193)&amp;"",IFERROR(INDEX(합계표[직위(요약)],MATCH(INDEX(상세표[사번키],$H193),합계표[사번키],0))&amp;IF(INDEX(합계표[직급 공존],MATCH(INDEX(상세표[사번키],$H193),합계표[사번키],0))="",""," ("&amp;INDEX(합계표[직급 공존],MATCH(INDEX(상세표[사번키],$H193),합계표[사번키],0))&amp;")"),"")))</f>
        <v/>
      </c>
      <c r="E193">
        <f>IF($H193="","",COUNTIFS(상세표[사번키],INDEX(상세표[사번키],$H193),상세표[기록월],대상월키))</f>
        <v/>
      </c>
      <c r="F193" s="20">
        <f>IF($H193="","",SUMIFS(상세표[기록 시간외],상세표[사번키],INDEX(상세표[사번키],$H193),상세표[기록월],대상월키))</f>
        <v/>
      </c>
      <c r="G193" s="20">
        <f>IF($H193="","",SUMIFS(합계표[시스템 합계],합계표[사번키],INDEX(상세표[사번키],$H193)))</f>
        <v/>
      </c>
      <c r="H193" s="4">
        <f>IFERROR(MATCH(188,상세표[발송인원순번],0),"")</f>
        <v/>
      </c>
      <c r="J193">
        <f>IF($U193="","",INDEX(상세표[사번],$U193)&amp;"")</f>
        <v/>
      </c>
      <c r="K193">
        <f>IF($U193="","",INDEX(상세표[성명],$U193)&amp;"")</f>
        <v/>
      </c>
      <c r="L193">
        <f>IF($U193="","",INDEX(상세표[직위],$U193)&amp;"")</f>
        <v/>
      </c>
      <c r="M193">
        <f>IF($U193="","",IF(ISNUMBER(INDEX(상세표[근무일자],$U193)),TEXT(INDEX(상세표[근무일자],$U193),"yyyy-mm-dd"),INDEX(상세표[근무일자],$U193)&amp;""))</f>
        <v/>
      </c>
      <c r="N193">
        <f>IF($U193="","",IF(ISNUMBER(INDEX(상세표[시작],$U193)),TEXT(INDEX(상세표[시작],$U193),"yyyy-mm-dd hh:mm"),INDEX(상세표[시작],$U193)&amp;""))</f>
        <v/>
      </c>
      <c r="O193">
        <f>IF($U193="","",IF(ISNUMBER(INDEX(상세표[종료],$U193)),TEXT(INDEX(상세표[종료],$U193),"yyyy-mm-dd hh:mm"),INDEX(상세표[종료],$U193)&amp;""))</f>
        <v/>
      </c>
      <c r="P193" s="20">
        <f>IF($U193="","",INDEX(상세표[06~07시],$U193))</f>
        <v/>
      </c>
      <c r="Q193" s="20">
        <f>IF($U193="","",INDEX(상세표[07~18시],$U193))</f>
        <v/>
      </c>
      <c r="R193" s="20">
        <f>IF($U193="","",INDEX(상세표[18~22시],$U193))</f>
        <v/>
      </c>
      <c r="S193" s="20">
        <f>IF($U193="","",INDEX(상세표[22~06시],$U193))</f>
        <v/>
      </c>
      <c r="T193" s="20">
        <f>IF($U193="","",INDEX(상세표[기록 시간외],$U193))</f>
        <v/>
      </c>
      <c r="U193" s="4">
        <f>IFERROR(MATCH(188,상세표[발송순번],0),"")</f>
        <v/>
      </c>
    </row>
    <row r="194">
      <c r="A194">
        <f>IF($H194="","",INDEX(상세표[사번],$H194)&amp;"")</f>
        <v/>
      </c>
      <c r="B194">
        <f>IF($H194="","",INDEX(상세표[성명],$H194)&amp;"")</f>
        <v/>
      </c>
      <c r="C194">
        <f>IF($H194="","",INDEX(상세표[부서],$H194)&amp;"")</f>
        <v/>
      </c>
      <c r="D194">
        <f>IF($H194="","",IF(IFERROR(INDEX(합계표[직위(요약)],MATCH(INDEX(상세표[사번키],$H194),합계표[사번키],0))&amp;IF(INDEX(합계표[직급 공존],MATCH(INDEX(상세표[사번키],$H194),합계표[사번키],0))="",""," ("&amp;INDEX(합계표[직급 공존],MATCH(INDEX(상세표[사번키],$H194),합계표[사번키],0))&amp;")"),"")="",INDEX(상세표[직위],$H194)&amp;"",IFERROR(INDEX(합계표[직위(요약)],MATCH(INDEX(상세표[사번키],$H194),합계표[사번키],0))&amp;IF(INDEX(합계표[직급 공존],MATCH(INDEX(상세표[사번키],$H194),합계표[사번키],0))="",""," ("&amp;INDEX(합계표[직급 공존],MATCH(INDEX(상세표[사번키],$H194),합계표[사번키],0))&amp;")"),"")))</f>
        <v/>
      </c>
      <c r="E194">
        <f>IF($H194="","",COUNTIFS(상세표[사번키],INDEX(상세표[사번키],$H194),상세표[기록월],대상월키))</f>
        <v/>
      </c>
      <c r="F194" s="20">
        <f>IF($H194="","",SUMIFS(상세표[기록 시간외],상세표[사번키],INDEX(상세표[사번키],$H194),상세표[기록월],대상월키))</f>
        <v/>
      </c>
      <c r="G194" s="20">
        <f>IF($H194="","",SUMIFS(합계표[시스템 합계],합계표[사번키],INDEX(상세표[사번키],$H194)))</f>
        <v/>
      </c>
      <c r="H194" s="4">
        <f>IFERROR(MATCH(189,상세표[발송인원순번],0),"")</f>
        <v/>
      </c>
      <c r="J194">
        <f>IF($U194="","",INDEX(상세표[사번],$U194)&amp;"")</f>
        <v/>
      </c>
      <c r="K194">
        <f>IF($U194="","",INDEX(상세표[성명],$U194)&amp;"")</f>
        <v/>
      </c>
      <c r="L194">
        <f>IF($U194="","",INDEX(상세표[직위],$U194)&amp;"")</f>
        <v/>
      </c>
      <c r="M194">
        <f>IF($U194="","",IF(ISNUMBER(INDEX(상세표[근무일자],$U194)),TEXT(INDEX(상세표[근무일자],$U194),"yyyy-mm-dd"),INDEX(상세표[근무일자],$U194)&amp;""))</f>
        <v/>
      </c>
      <c r="N194">
        <f>IF($U194="","",IF(ISNUMBER(INDEX(상세표[시작],$U194)),TEXT(INDEX(상세표[시작],$U194),"yyyy-mm-dd hh:mm"),INDEX(상세표[시작],$U194)&amp;""))</f>
        <v/>
      </c>
      <c r="O194">
        <f>IF($U194="","",IF(ISNUMBER(INDEX(상세표[종료],$U194)),TEXT(INDEX(상세표[종료],$U194),"yyyy-mm-dd hh:mm"),INDEX(상세표[종료],$U194)&amp;""))</f>
        <v/>
      </c>
      <c r="P194" s="20">
        <f>IF($U194="","",INDEX(상세표[06~07시],$U194))</f>
        <v/>
      </c>
      <c r="Q194" s="20">
        <f>IF($U194="","",INDEX(상세표[07~18시],$U194))</f>
        <v/>
      </c>
      <c r="R194" s="20">
        <f>IF($U194="","",INDEX(상세표[18~22시],$U194))</f>
        <v/>
      </c>
      <c r="S194" s="20">
        <f>IF($U194="","",INDEX(상세표[22~06시],$U194))</f>
        <v/>
      </c>
      <c r="T194" s="20">
        <f>IF($U194="","",INDEX(상세표[기록 시간외],$U194))</f>
        <v/>
      </c>
      <c r="U194" s="4">
        <f>IFERROR(MATCH(189,상세표[발송순번],0),"")</f>
        <v/>
      </c>
    </row>
    <row r="195">
      <c r="A195">
        <f>IF($H195="","",INDEX(상세표[사번],$H195)&amp;"")</f>
        <v/>
      </c>
      <c r="B195">
        <f>IF($H195="","",INDEX(상세표[성명],$H195)&amp;"")</f>
        <v/>
      </c>
      <c r="C195">
        <f>IF($H195="","",INDEX(상세표[부서],$H195)&amp;"")</f>
        <v/>
      </c>
      <c r="D195">
        <f>IF($H195="","",IF(IFERROR(INDEX(합계표[직위(요약)],MATCH(INDEX(상세표[사번키],$H195),합계표[사번키],0))&amp;IF(INDEX(합계표[직급 공존],MATCH(INDEX(상세표[사번키],$H195),합계표[사번키],0))="",""," ("&amp;INDEX(합계표[직급 공존],MATCH(INDEX(상세표[사번키],$H195),합계표[사번키],0))&amp;")"),"")="",INDEX(상세표[직위],$H195)&amp;"",IFERROR(INDEX(합계표[직위(요약)],MATCH(INDEX(상세표[사번키],$H195),합계표[사번키],0))&amp;IF(INDEX(합계표[직급 공존],MATCH(INDEX(상세표[사번키],$H195),합계표[사번키],0))="",""," ("&amp;INDEX(합계표[직급 공존],MATCH(INDEX(상세표[사번키],$H195),합계표[사번키],0))&amp;")"),"")))</f>
        <v/>
      </c>
      <c r="E195">
        <f>IF($H195="","",COUNTIFS(상세표[사번키],INDEX(상세표[사번키],$H195),상세표[기록월],대상월키))</f>
        <v/>
      </c>
      <c r="F195" s="20">
        <f>IF($H195="","",SUMIFS(상세표[기록 시간외],상세표[사번키],INDEX(상세표[사번키],$H195),상세표[기록월],대상월키))</f>
        <v/>
      </c>
      <c r="G195" s="20">
        <f>IF($H195="","",SUMIFS(합계표[시스템 합계],합계표[사번키],INDEX(상세표[사번키],$H195)))</f>
        <v/>
      </c>
      <c r="H195" s="4">
        <f>IFERROR(MATCH(190,상세표[발송인원순번],0),"")</f>
        <v/>
      </c>
      <c r="J195">
        <f>IF($U195="","",INDEX(상세표[사번],$U195)&amp;"")</f>
        <v/>
      </c>
      <c r="K195">
        <f>IF($U195="","",INDEX(상세표[성명],$U195)&amp;"")</f>
        <v/>
      </c>
      <c r="L195">
        <f>IF($U195="","",INDEX(상세표[직위],$U195)&amp;"")</f>
        <v/>
      </c>
      <c r="M195">
        <f>IF($U195="","",IF(ISNUMBER(INDEX(상세표[근무일자],$U195)),TEXT(INDEX(상세표[근무일자],$U195),"yyyy-mm-dd"),INDEX(상세표[근무일자],$U195)&amp;""))</f>
        <v/>
      </c>
      <c r="N195">
        <f>IF($U195="","",IF(ISNUMBER(INDEX(상세표[시작],$U195)),TEXT(INDEX(상세표[시작],$U195),"yyyy-mm-dd hh:mm"),INDEX(상세표[시작],$U195)&amp;""))</f>
        <v/>
      </c>
      <c r="O195">
        <f>IF($U195="","",IF(ISNUMBER(INDEX(상세표[종료],$U195)),TEXT(INDEX(상세표[종료],$U195),"yyyy-mm-dd hh:mm"),INDEX(상세표[종료],$U195)&amp;""))</f>
        <v/>
      </c>
      <c r="P195" s="20">
        <f>IF($U195="","",INDEX(상세표[06~07시],$U195))</f>
        <v/>
      </c>
      <c r="Q195" s="20">
        <f>IF($U195="","",INDEX(상세표[07~18시],$U195))</f>
        <v/>
      </c>
      <c r="R195" s="20">
        <f>IF($U195="","",INDEX(상세표[18~22시],$U195))</f>
        <v/>
      </c>
      <c r="S195" s="20">
        <f>IF($U195="","",INDEX(상세표[22~06시],$U195))</f>
        <v/>
      </c>
      <c r="T195" s="20">
        <f>IF($U195="","",INDEX(상세표[기록 시간외],$U195))</f>
        <v/>
      </c>
      <c r="U195" s="4">
        <f>IFERROR(MATCH(190,상세표[발송순번],0),"")</f>
        <v/>
      </c>
    </row>
    <row r="196">
      <c r="A196">
        <f>IF($H196="","",INDEX(상세표[사번],$H196)&amp;"")</f>
        <v/>
      </c>
      <c r="B196">
        <f>IF($H196="","",INDEX(상세표[성명],$H196)&amp;"")</f>
        <v/>
      </c>
      <c r="C196">
        <f>IF($H196="","",INDEX(상세표[부서],$H196)&amp;"")</f>
        <v/>
      </c>
      <c r="D196">
        <f>IF($H196="","",IF(IFERROR(INDEX(합계표[직위(요약)],MATCH(INDEX(상세표[사번키],$H196),합계표[사번키],0))&amp;IF(INDEX(합계표[직급 공존],MATCH(INDEX(상세표[사번키],$H196),합계표[사번키],0))="",""," ("&amp;INDEX(합계표[직급 공존],MATCH(INDEX(상세표[사번키],$H196),합계표[사번키],0))&amp;")"),"")="",INDEX(상세표[직위],$H196)&amp;"",IFERROR(INDEX(합계표[직위(요약)],MATCH(INDEX(상세표[사번키],$H196),합계표[사번키],0))&amp;IF(INDEX(합계표[직급 공존],MATCH(INDEX(상세표[사번키],$H196),합계표[사번키],0))="",""," ("&amp;INDEX(합계표[직급 공존],MATCH(INDEX(상세표[사번키],$H196),합계표[사번키],0))&amp;")"),"")))</f>
        <v/>
      </c>
      <c r="E196">
        <f>IF($H196="","",COUNTIFS(상세표[사번키],INDEX(상세표[사번키],$H196),상세표[기록월],대상월키))</f>
        <v/>
      </c>
      <c r="F196" s="20">
        <f>IF($H196="","",SUMIFS(상세표[기록 시간외],상세표[사번키],INDEX(상세표[사번키],$H196),상세표[기록월],대상월키))</f>
        <v/>
      </c>
      <c r="G196" s="20">
        <f>IF($H196="","",SUMIFS(합계표[시스템 합계],합계표[사번키],INDEX(상세표[사번키],$H196)))</f>
        <v/>
      </c>
      <c r="H196" s="4">
        <f>IFERROR(MATCH(191,상세표[발송인원순번],0),"")</f>
        <v/>
      </c>
      <c r="J196">
        <f>IF($U196="","",INDEX(상세표[사번],$U196)&amp;"")</f>
        <v/>
      </c>
      <c r="K196">
        <f>IF($U196="","",INDEX(상세표[성명],$U196)&amp;"")</f>
        <v/>
      </c>
      <c r="L196">
        <f>IF($U196="","",INDEX(상세표[직위],$U196)&amp;"")</f>
        <v/>
      </c>
      <c r="M196">
        <f>IF($U196="","",IF(ISNUMBER(INDEX(상세표[근무일자],$U196)),TEXT(INDEX(상세표[근무일자],$U196),"yyyy-mm-dd"),INDEX(상세표[근무일자],$U196)&amp;""))</f>
        <v/>
      </c>
      <c r="N196">
        <f>IF($U196="","",IF(ISNUMBER(INDEX(상세표[시작],$U196)),TEXT(INDEX(상세표[시작],$U196),"yyyy-mm-dd hh:mm"),INDEX(상세표[시작],$U196)&amp;""))</f>
        <v/>
      </c>
      <c r="O196">
        <f>IF($U196="","",IF(ISNUMBER(INDEX(상세표[종료],$U196)),TEXT(INDEX(상세표[종료],$U196),"yyyy-mm-dd hh:mm"),INDEX(상세표[종료],$U196)&amp;""))</f>
        <v/>
      </c>
      <c r="P196" s="20">
        <f>IF($U196="","",INDEX(상세표[06~07시],$U196))</f>
        <v/>
      </c>
      <c r="Q196" s="20">
        <f>IF($U196="","",INDEX(상세표[07~18시],$U196))</f>
        <v/>
      </c>
      <c r="R196" s="20">
        <f>IF($U196="","",INDEX(상세표[18~22시],$U196))</f>
        <v/>
      </c>
      <c r="S196" s="20">
        <f>IF($U196="","",INDEX(상세표[22~06시],$U196))</f>
        <v/>
      </c>
      <c r="T196" s="20">
        <f>IF($U196="","",INDEX(상세표[기록 시간외],$U196))</f>
        <v/>
      </c>
      <c r="U196" s="4">
        <f>IFERROR(MATCH(191,상세표[발송순번],0),"")</f>
        <v/>
      </c>
    </row>
    <row r="197">
      <c r="A197">
        <f>IF($H197="","",INDEX(상세표[사번],$H197)&amp;"")</f>
        <v/>
      </c>
      <c r="B197">
        <f>IF($H197="","",INDEX(상세표[성명],$H197)&amp;"")</f>
        <v/>
      </c>
      <c r="C197">
        <f>IF($H197="","",INDEX(상세표[부서],$H197)&amp;"")</f>
        <v/>
      </c>
      <c r="D197">
        <f>IF($H197="","",IF(IFERROR(INDEX(합계표[직위(요약)],MATCH(INDEX(상세표[사번키],$H197),합계표[사번키],0))&amp;IF(INDEX(합계표[직급 공존],MATCH(INDEX(상세표[사번키],$H197),합계표[사번키],0))="",""," ("&amp;INDEX(합계표[직급 공존],MATCH(INDEX(상세표[사번키],$H197),합계표[사번키],0))&amp;")"),"")="",INDEX(상세표[직위],$H197)&amp;"",IFERROR(INDEX(합계표[직위(요약)],MATCH(INDEX(상세표[사번키],$H197),합계표[사번키],0))&amp;IF(INDEX(합계표[직급 공존],MATCH(INDEX(상세표[사번키],$H197),합계표[사번키],0))="",""," ("&amp;INDEX(합계표[직급 공존],MATCH(INDEX(상세표[사번키],$H197),합계표[사번키],0))&amp;")"),"")))</f>
        <v/>
      </c>
      <c r="E197">
        <f>IF($H197="","",COUNTIFS(상세표[사번키],INDEX(상세표[사번키],$H197),상세표[기록월],대상월키))</f>
        <v/>
      </c>
      <c r="F197" s="20">
        <f>IF($H197="","",SUMIFS(상세표[기록 시간외],상세표[사번키],INDEX(상세표[사번키],$H197),상세표[기록월],대상월키))</f>
        <v/>
      </c>
      <c r="G197" s="20">
        <f>IF($H197="","",SUMIFS(합계표[시스템 합계],합계표[사번키],INDEX(상세표[사번키],$H197)))</f>
        <v/>
      </c>
      <c r="H197" s="4">
        <f>IFERROR(MATCH(192,상세표[발송인원순번],0),"")</f>
        <v/>
      </c>
      <c r="J197">
        <f>IF($U197="","",INDEX(상세표[사번],$U197)&amp;"")</f>
        <v/>
      </c>
      <c r="K197">
        <f>IF($U197="","",INDEX(상세표[성명],$U197)&amp;"")</f>
        <v/>
      </c>
      <c r="L197">
        <f>IF($U197="","",INDEX(상세표[직위],$U197)&amp;"")</f>
        <v/>
      </c>
      <c r="M197">
        <f>IF($U197="","",IF(ISNUMBER(INDEX(상세표[근무일자],$U197)),TEXT(INDEX(상세표[근무일자],$U197),"yyyy-mm-dd"),INDEX(상세표[근무일자],$U197)&amp;""))</f>
        <v/>
      </c>
      <c r="N197">
        <f>IF($U197="","",IF(ISNUMBER(INDEX(상세표[시작],$U197)),TEXT(INDEX(상세표[시작],$U197),"yyyy-mm-dd hh:mm"),INDEX(상세표[시작],$U197)&amp;""))</f>
        <v/>
      </c>
      <c r="O197">
        <f>IF($U197="","",IF(ISNUMBER(INDEX(상세표[종료],$U197)),TEXT(INDEX(상세표[종료],$U197),"yyyy-mm-dd hh:mm"),INDEX(상세표[종료],$U197)&amp;""))</f>
        <v/>
      </c>
      <c r="P197" s="20">
        <f>IF($U197="","",INDEX(상세표[06~07시],$U197))</f>
        <v/>
      </c>
      <c r="Q197" s="20">
        <f>IF($U197="","",INDEX(상세표[07~18시],$U197))</f>
        <v/>
      </c>
      <c r="R197" s="20">
        <f>IF($U197="","",INDEX(상세표[18~22시],$U197))</f>
        <v/>
      </c>
      <c r="S197" s="20">
        <f>IF($U197="","",INDEX(상세표[22~06시],$U197))</f>
        <v/>
      </c>
      <c r="T197" s="20">
        <f>IF($U197="","",INDEX(상세표[기록 시간외],$U197))</f>
        <v/>
      </c>
      <c r="U197" s="4">
        <f>IFERROR(MATCH(192,상세표[발송순번],0),"")</f>
        <v/>
      </c>
    </row>
    <row r="198">
      <c r="A198">
        <f>IF($H198="","",INDEX(상세표[사번],$H198)&amp;"")</f>
        <v/>
      </c>
      <c r="B198">
        <f>IF($H198="","",INDEX(상세표[성명],$H198)&amp;"")</f>
        <v/>
      </c>
      <c r="C198">
        <f>IF($H198="","",INDEX(상세표[부서],$H198)&amp;"")</f>
        <v/>
      </c>
      <c r="D198">
        <f>IF($H198="","",IF(IFERROR(INDEX(합계표[직위(요약)],MATCH(INDEX(상세표[사번키],$H198),합계표[사번키],0))&amp;IF(INDEX(합계표[직급 공존],MATCH(INDEX(상세표[사번키],$H198),합계표[사번키],0))="",""," ("&amp;INDEX(합계표[직급 공존],MATCH(INDEX(상세표[사번키],$H198),합계표[사번키],0))&amp;")"),"")="",INDEX(상세표[직위],$H198)&amp;"",IFERROR(INDEX(합계표[직위(요약)],MATCH(INDEX(상세표[사번키],$H198),합계표[사번키],0))&amp;IF(INDEX(합계표[직급 공존],MATCH(INDEX(상세표[사번키],$H198),합계표[사번키],0))="",""," ("&amp;INDEX(합계표[직급 공존],MATCH(INDEX(상세표[사번키],$H198),합계표[사번키],0))&amp;")"),"")))</f>
        <v/>
      </c>
      <c r="E198">
        <f>IF($H198="","",COUNTIFS(상세표[사번키],INDEX(상세표[사번키],$H198),상세표[기록월],대상월키))</f>
        <v/>
      </c>
      <c r="F198" s="20">
        <f>IF($H198="","",SUMIFS(상세표[기록 시간외],상세표[사번키],INDEX(상세표[사번키],$H198),상세표[기록월],대상월키))</f>
        <v/>
      </c>
      <c r="G198" s="20">
        <f>IF($H198="","",SUMIFS(합계표[시스템 합계],합계표[사번키],INDEX(상세표[사번키],$H198)))</f>
        <v/>
      </c>
      <c r="H198" s="4">
        <f>IFERROR(MATCH(193,상세표[발송인원순번],0),"")</f>
        <v/>
      </c>
      <c r="J198">
        <f>IF($U198="","",INDEX(상세표[사번],$U198)&amp;"")</f>
        <v/>
      </c>
      <c r="K198">
        <f>IF($U198="","",INDEX(상세표[성명],$U198)&amp;"")</f>
        <v/>
      </c>
      <c r="L198">
        <f>IF($U198="","",INDEX(상세표[직위],$U198)&amp;"")</f>
        <v/>
      </c>
      <c r="M198">
        <f>IF($U198="","",IF(ISNUMBER(INDEX(상세표[근무일자],$U198)),TEXT(INDEX(상세표[근무일자],$U198),"yyyy-mm-dd"),INDEX(상세표[근무일자],$U198)&amp;""))</f>
        <v/>
      </c>
      <c r="N198">
        <f>IF($U198="","",IF(ISNUMBER(INDEX(상세표[시작],$U198)),TEXT(INDEX(상세표[시작],$U198),"yyyy-mm-dd hh:mm"),INDEX(상세표[시작],$U198)&amp;""))</f>
        <v/>
      </c>
      <c r="O198">
        <f>IF($U198="","",IF(ISNUMBER(INDEX(상세표[종료],$U198)),TEXT(INDEX(상세표[종료],$U198),"yyyy-mm-dd hh:mm"),INDEX(상세표[종료],$U198)&amp;""))</f>
        <v/>
      </c>
      <c r="P198" s="20">
        <f>IF($U198="","",INDEX(상세표[06~07시],$U198))</f>
        <v/>
      </c>
      <c r="Q198" s="20">
        <f>IF($U198="","",INDEX(상세표[07~18시],$U198))</f>
        <v/>
      </c>
      <c r="R198" s="20">
        <f>IF($U198="","",INDEX(상세표[18~22시],$U198))</f>
        <v/>
      </c>
      <c r="S198" s="20">
        <f>IF($U198="","",INDEX(상세표[22~06시],$U198))</f>
        <v/>
      </c>
      <c r="T198" s="20">
        <f>IF($U198="","",INDEX(상세표[기록 시간외],$U198))</f>
        <v/>
      </c>
      <c r="U198" s="4">
        <f>IFERROR(MATCH(193,상세표[발송순번],0),"")</f>
        <v/>
      </c>
    </row>
    <row r="199">
      <c r="A199">
        <f>IF($H199="","",INDEX(상세표[사번],$H199)&amp;"")</f>
        <v/>
      </c>
      <c r="B199">
        <f>IF($H199="","",INDEX(상세표[성명],$H199)&amp;"")</f>
        <v/>
      </c>
      <c r="C199">
        <f>IF($H199="","",INDEX(상세표[부서],$H199)&amp;"")</f>
        <v/>
      </c>
      <c r="D199">
        <f>IF($H199="","",IF(IFERROR(INDEX(합계표[직위(요약)],MATCH(INDEX(상세표[사번키],$H199),합계표[사번키],0))&amp;IF(INDEX(합계표[직급 공존],MATCH(INDEX(상세표[사번키],$H199),합계표[사번키],0))="",""," ("&amp;INDEX(합계표[직급 공존],MATCH(INDEX(상세표[사번키],$H199),합계표[사번키],0))&amp;")"),"")="",INDEX(상세표[직위],$H199)&amp;"",IFERROR(INDEX(합계표[직위(요약)],MATCH(INDEX(상세표[사번키],$H199),합계표[사번키],0))&amp;IF(INDEX(합계표[직급 공존],MATCH(INDEX(상세표[사번키],$H199),합계표[사번키],0))="",""," ("&amp;INDEX(합계표[직급 공존],MATCH(INDEX(상세표[사번키],$H199),합계표[사번키],0))&amp;")"),"")))</f>
        <v/>
      </c>
      <c r="E199">
        <f>IF($H199="","",COUNTIFS(상세표[사번키],INDEX(상세표[사번키],$H199),상세표[기록월],대상월키))</f>
        <v/>
      </c>
      <c r="F199" s="20">
        <f>IF($H199="","",SUMIFS(상세표[기록 시간외],상세표[사번키],INDEX(상세표[사번키],$H199),상세표[기록월],대상월키))</f>
        <v/>
      </c>
      <c r="G199" s="20">
        <f>IF($H199="","",SUMIFS(합계표[시스템 합계],합계표[사번키],INDEX(상세표[사번키],$H199)))</f>
        <v/>
      </c>
      <c r="H199" s="4">
        <f>IFERROR(MATCH(194,상세표[발송인원순번],0),"")</f>
        <v/>
      </c>
      <c r="J199">
        <f>IF($U199="","",INDEX(상세표[사번],$U199)&amp;"")</f>
        <v/>
      </c>
      <c r="K199">
        <f>IF($U199="","",INDEX(상세표[성명],$U199)&amp;"")</f>
        <v/>
      </c>
      <c r="L199">
        <f>IF($U199="","",INDEX(상세표[직위],$U199)&amp;"")</f>
        <v/>
      </c>
      <c r="M199">
        <f>IF($U199="","",IF(ISNUMBER(INDEX(상세표[근무일자],$U199)),TEXT(INDEX(상세표[근무일자],$U199),"yyyy-mm-dd"),INDEX(상세표[근무일자],$U199)&amp;""))</f>
        <v/>
      </c>
      <c r="N199">
        <f>IF($U199="","",IF(ISNUMBER(INDEX(상세표[시작],$U199)),TEXT(INDEX(상세표[시작],$U199),"yyyy-mm-dd hh:mm"),INDEX(상세표[시작],$U199)&amp;""))</f>
        <v/>
      </c>
      <c r="O199">
        <f>IF($U199="","",IF(ISNUMBER(INDEX(상세표[종료],$U199)),TEXT(INDEX(상세표[종료],$U199),"yyyy-mm-dd hh:mm"),INDEX(상세표[종료],$U199)&amp;""))</f>
        <v/>
      </c>
      <c r="P199" s="20">
        <f>IF($U199="","",INDEX(상세표[06~07시],$U199))</f>
        <v/>
      </c>
      <c r="Q199" s="20">
        <f>IF($U199="","",INDEX(상세표[07~18시],$U199))</f>
        <v/>
      </c>
      <c r="R199" s="20">
        <f>IF($U199="","",INDEX(상세표[18~22시],$U199))</f>
        <v/>
      </c>
      <c r="S199" s="20">
        <f>IF($U199="","",INDEX(상세표[22~06시],$U199))</f>
        <v/>
      </c>
      <c r="T199" s="20">
        <f>IF($U199="","",INDEX(상세표[기록 시간외],$U199))</f>
        <v/>
      </c>
      <c r="U199" s="4">
        <f>IFERROR(MATCH(194,상세표[발송순번],0),"")</f>
        <v/>
      </c>
    </row>
    <row r="200">
      <c r="A200">
        <f>IF($H200="","",INDEX(상세표[사번],$H200)&amp;"")</f>
        <v/>
      </c>
      <c r="B200">
        <f>IF($H200="","",INDEX(상세표[성명],$H200)&amp;"")</f>
        <v/>
      </c>
      <c r="C200">
        <f>IF($H200="","",INDEX(상세표[부서],$H200)&amp;"")</f>
        <v/>
      </c>
      <c r="D200">
        <f>IF($H200="","",IF(IFERROR(INDEX(합계표[직위(요약)],MATCH(INDEX(상세표[사번키],$H200),합계표[사번키],0))&amp;IF(INDEX(합계표[직급 공존],MATCH(INDEX(상세표[사번키],$H200),합계표[사번키],0))="",""," ("&amp;INDEX(합계표[직급 공존],MATCH(INDEX(상세표[사번키],$H200),합계표[사번키],0))&amp;")"),"")="",INDEX(상세표[직위],$H200)&amp;"",IFERROR(INDEX(합계표[직위(요약)],MATCH(INDEX(상세표[사번키],$H200),합계표[사번키],0))&amp;IF(INDEX(합계표[직급 공존],MATCH(INDEX(상세표[사번키],$H200),합계표[사번키],0))="",""," ("&amp;INDEX(합계표[직급 공존],MATCH(INDEX(상세표[사번키],$H200),합계표[사번키],0))&amp;")"),"")))</f>
        <v/>
      </c>
      <c r="E200">
        <f>IF($H200="","",COUNTIFS(상세표[사번키],INDEX(상세표[사번키],$H200),상세표[기록월],대상월키))</f>
        <v/>
      </c>
      <c r="F200" s="20">
        <f>IF($H200="","",SUMIFS(상세표[기록 시간외],상세표[사번키],INDEX(상세표[사번키],$H200),상세표[기록월],대상월키))</f>
        <v/>
      </c>
      <c r="G200" s="20">
        <f>IF($H200="","",SUMIFS(합계표[시스템 합계],합계표[사번키],INDEX(상세표[사번키],$H200)))</f>
        <v/>
      </c>
      <c r="H200" s="4">
        <f>IFERROR(MATCH(195,상세표[발송인원순번],0),"")</f>
        <v/>
      </c>
      <c r="J200">
        <f>IF($U200="","",INDEX(상세표[사번],$U200)&amp;"")</f>
        <v/>
      </c>
      <c r="K200">
        <f>IF($U200="","",INDEX(상세표[성명],$U200)&amp;"")</f>
        <v/>
      </c>
      <c r="L200">
        <f>IF($U200="","",INDEX(상세표[직위],$U200)&amp;"")</f>
        <v/>
      </c>
      <c r="M200">
        <f>IF($U200="","",IF(ISNUMBER(INDEX(상세표[근무일자],$U200)),TEXT(INDEX(상세표[근무일자],$U200),"yyyy-mm-dd"),INDEX(상세표[근무일자],$U200)&amp;""))</f>
        <v/>
      </c>
      <c r="N200">
        <f>IF($U200="","",IF(ISNUMBER(INDEX(상세표[시작],$U200)),TEXT(INDEX(상세표[시작],$U200),"yyyy-mm-dd hh:mm"),INDEX(상세표[시작],$U200)&amp;""))</f>
        <v/>
      </c>
      <c r="O200">
        <f>IF($U200="","",IF(ISNUMBER(INDEX(상세표[종료],$U200)),TEXT(INDEX(상세표[종료],$U200),"yyyy-mm-dd hh:mm"),INDEX(상세표[종료],$U200)&amp;""))</f>
        <v/>
      </c>
      <c r="P200" s="20">
        <f>IF($U200="","",INDEX(상세표[06~07시],$U200))</f>
        <v/>
      </c>
      <c r="Q200" s="20">
        <f>IF($U200="","",INDEX(상세표[07~18시],$U200))</f>
        <v/>
      </c>
      <c r="R200" s="20">
        <f>IF($U200="","",INDEX(상세표[18~22시],$U200))</f>
        <v/>
      </c>
      <c r="S200" s="20">
        <f>IF($U200="","",INDEX(상세표[22~06시],$U200))</f>
        <v/>
      </c>
      <c r="T200" s="20">
        <f>IF($U200="","",INDEX(상세표[기록 시간외],$U200))</f>
        <v/>
      </c>
      <c r="U200" s="4">
        <f>IFERROR(MATCH(195,상세표[발송순번],0),"")</f>
        <v/>
      </c>
    </row>
    <row r="201">
      <c r="A201">
        <f>IF($H201="","",INDEX(상세표[사번],$H201)&amp;"")</f>
        <v/>
      </c>
      <c r="B201">
        <f>IF($H201="","",INDEX(상세표[성명],$H201)&amp;"")</f>
        <v/>
      </c>
      <c r="C201">
        <f>IF($H201="","",INDEX(상세표[부서],$H201)&amp;"")</f>
        <v/>
      </c>
      <c r="D201">
        <f>IF($H201="","",IF(IFERROR(INDEX(합계표[직위(요약)],MATCH(INDEX(상세표[사번키],$H201),합계표[사번키],0))&amp;IF(INDEX(합계표[직급 공존],MATCH(INDEX(상세표[사번키],$H201),합계표[사번키],0))="",""," ("&amp;INDEX(합계표[직급 공존],MATCH(INDEX(상세표[사번키],$H201),합계표[사번키],0))&amp;")"),"")="",INDEX(상세표[직위],$H201)&amp;"",IFERROR(INDEX(합계표[직위(요약)],MATCH(INDEX(상세표[사번키],$H201),합계표[사번키],0))&amp;IF(INDEX(합계표[직급 공존],MATCH(INDEX(상세표[사번키],$H201),합계표[사번키],0))="",""," ("&amp;INDEX(합계표[직급 공존],MATCH(INDEX(상세표[사번키],$H201),합계표[사번키],0))&amp;")"),"")))</f>
        <v/>
      </c>
      <c r="E201">
        <f>IF($H201="","",COUNTIFS(상세표[사번키],INDEX(상세표[사번키],$H201),상세표[기록월],대상월키))</f>
        <v/>
      </c>
      <c r="F201" s="20">
        <f>IF($H201="","",SUMIFS(상세표[기록 시간외],상세표[사번키],INDEX(상세표[사번키],$H201),상세표[기록월],대상월키))</f>
        <v/>
      </c>
      <c r="G201" s="20">
        <f>IF($H201="","",SUMIFS(합계표[시스템 합계],합계표[사번키],INDEX(상세표[사번키],$H201)))</f>
        <v/>
      </c>
      <c r="H201" s="4">
        <f>IFERROR(MATCH(196,상세표[발송인원순번],0),"")</f>
        <v/>
      </c>
      <c r="J201">
        <f>IF($U201="","",INDEX(상세표[사번],$U201)&amp;"")</f>
        <v/>
      </c>
      <c r="K201">
        <f>IF($U201="","",INDEX(상세표[성명],$U201)&amp;"")</f>
        <v/>
      </c>
      <c r="L201">
        <f>IF($U201="","",INDEX(상세표[직위],$U201)&amp;"")</f>
        <v/>
      </c>
      <c r="M201">
        <f>IF($U201="","",IF(ISNUMBER(INDEX(상세표[근무일자],$U201)),TEXT(INDEX(상세표[근무일자],$U201),"yyyy-mm-dd"),INDEX(상세표[근무일자],$U201)&amp;""))</f>
        <v/>
      </c>
      <c r="N201">
        <f>IF($U201="","",IF(ISNUMBER(INDEX(상세표[시작],$U201)),TEXT(INDEX(상세표[시작],$U201),"yyyy-mm-dd hh:mm"),INDEX(상세표[시작],$U201)&amp;""))</f>
        <v/>
      </c>
      <c r="O201">
        <f>IF($U201="","",IF(ISNUMBER(INDEX(상세표[종료],$U201)),TEXT(INDEX(상세표[종료],$U201),"yyyy-mm-dd hh:mm"),INDEX(상세표[종료],$U201)&amp;""))</f>
        <v/>
      </c>
      <c r="P201" s="20">
        <f>IF($U201="","",INDEX(상세표[06~07시],$U201))</f>
        <v/>
      </c>
      <c r="Q201" s="20">
        <f>IF($U201="","",INDEX(상세표[07~18시],$U201))</f>
        <v/>
      </c>
      <c r="R201" s="20">
        <f>IF($U201="","",INDEX(상세표[18~22시],$U201))</f>
        <v/>
      </c>
      <c r="S201" s="20">
        <f>IF($U201="","",INDEX(상세표[22~06시],$U201))</f>
        <v/>
      </c>
      <c r="T201" s="20">
        <f>IF($U201="","",INDEX(상세표[기록 시간외],$U201))</f>
        <v/>
      </c>
      <c r="U201" s="4">
        <f>IFERROR(MATCH(196,상세표[발송순번],0),"")</f>
        <v/>
      </c>
    </row>
    <row r="202">
      <c r="A202">
        <f>IF($H202="","",INDEX(상세표[사번],$H202)&amp;"")</f>
        <v/>
      </c>
      <c r="B202">
        <f>IF($H202="","",INDEX(상세표[성명],$H202)&amp;"")</f>
        <v/>
      </c>
      <c r="C202">
        <f>IF($H202="","",INDEX(상세표[부서],$H202)&amp;"")</f>
        <v/>
      </c>
      <c r="D202">
        <f>IF($H202="","",IF(IFERROR(INDEX(합계표[직위(요약)],MATCH(INDEX(상세표[사번키],$H202),합계표[사번키],0))&amp;IF(INDEX(합계표[직급 공존],MATCH(INDEX(상세표[사번키],$H202),합계표[사번키],0))="",""," ("&amp;INDEX(합계표[직급 공존],MATCH(INDEX(상세표[사번키],$H202),합계표[사번키],0))&amp;")"),"")="",INDEX(상세표[직위],$H202)&amp;"",IFERROR(INDEX(합계표[직위(요약)],MATCH(INDEX(상세표[사번키],$H202),합계표[사번키],0))&amp;IF(INDEX(합계표[직급 공존],MATCH(INDEX(상세표[사번키],$H202),합계표[사번키],0))="",""," ("&amp;INDEX(합계표[직급 공존],MATCH(INDEX(상세표[사번키],$H202),합계표[사번키],0))&amp;")"),"")))</f>
        <v/>
      </c>
      <c r="E202">
        <f>IF($H202="","",COUNTIFS(상세표[사번키],INDEX(상세표[사번키],$H202),상세표[기록월],대상월키))</f>
        <v/>
      </c>
      <c r="F202" s="20">
        <f>IF($H202="","",SUMIFS(상세표[기록 시간외],상세표[사번키],INDEX(상세표[사번키],$H202),상세표[기록월],대상월키))</f>
        <v/>
      </c>
      <c r="G202" s="20">
        <f>IF($H202="","",SUMIFS(합계표[시스템 합계],합계표[사번키],INDEX(상세표[사번키],$H202)))</f>
        <v/>
      </c>
      <c r="H202" s="4">
        <f>IFERROR(MATCH(197,상세표[발송인원순번],0),"")</f>
        <v/>
      </c>
      <c r="J202">
        <f>IF($U202="","",INDEX(상세표[사번],$U202)&amp;"")</f>
        <v/>
      </c>
      <c r="K202">
        <f>IF($U202="","",INDEX(상세표[성명],$U202)&amp;"")</f>
        <v/>
      </c>
      <c r="L202">
        <f>IF($U202="","",INDEX(상세표[직위],$U202)&amp;"")</f>
        <v/>
      </c>
      <c r="M202">
        <f>IF($U202="","",IF(ISNUMBER(INDEX(상세표[근무일자],$U202)),TEXT(INDEX(상세표[근무일자],$U202),"yyyy-mm-dd"),INDEX(상세표[근무일자],$U202)&amp;""))</f>
        <v/>
      </c>
      <c r="N202">
        <f>IF($U202="","",IF(ISNUMBER(INDEX(상세표[시작],$U202)),TEXT(INDEX(상세표[시작],$U202),"yyyy-mm-dd hh:mm"),INDEX(상세표[시작],$U202)&amp;""))</f>
        <v/>
      </c>
      <c r="O202">
        <f>IF($U202="","",IF(ISNUMBER(INDEX(상세표[종료],$U202)),TEXT(INDEX(상세표[종료],$U202),"yyyy-mm-dd hh:mm"),INDEX(상세표[종료],$U202)&amp;""))</f>
        <v/>
      </c>
      <c r="P202" s="20">
        <f>IF($U202="","",INDEX(상세표[06~07시],$U202))</f>
        <v/>
      </c>
      <c r="Q202" s="20">
        <f>IF($U202="","",INDEX(상세표[07~18시],$U202))</f>
        <v/>
      </c>
      <c r="R202" s="20">
        <f>IF($U202="","",INDEX(상세표[18~22시],$U202))</f>
        <v/>
      </c>
      <c r="S202" s="20">
        <f>IF($U202="","",INDEX(상세표[22~06시],$U202))</f>
        <v/>
      </c>
      <c r="T202" s="20">
        <f>IF($U202="","",INDEX(상세표[기록 시간외],$U202))</f>
        <v/>
      </c>
      <c r="U202" s="4">
        <f>IFERROR(MATCH(197,상세표[발송순번],0),"")</f>
        <v/>
      </c>
    </row>
    <row r="203">
      <c r="A203">
        <f>IF($H203="","",INDEX(상세표[사번],$H203)&amp;"")</f>
        <v/>
      </c>
      <c r="B203">
        <f>IF($H203="","",INDEX(상세표[성명],$H203)&amp;"")</f>
        <v/>
      </c>
      <c r="C203">
        <f>IF($H203="","",INDEX(상세표[부서],$H203)&amp;"")</f>
        <v/>
      </c>
      <c r="D203">
        <f>IF($H203="","",IF(IFERROR(INDEX(합계표[직위(요약)],MATCH(INDEX(상세표[사번키],$H203),합계표[사번키],0))&amp;IF(INDEX(합계표[직급 공존],MATCH(INDEX(상세표[사번키],$H203),합계표[사번키],0))="",""," ("&amp;INDEX(합계표[직급 공존],MATCH(INDEX(상세표[사번키],$H203),합계표[사번키],0))&amp;")"),"")="",INDEX(상세표[직위],$H203)&amp;"",IFERROR(INDEX(합계표[직위(요약)],MATCH(INDEX(상세표[사번키],$H203),합계표[사번키],0))&amp;IF(INDEX(합계표[직급 공존],MATCH(INDEX(상세표[사번키],$H203),합계표[사번키],0))="",""," ("&amp;INDEX(합계표[직급 공존],MATCH(INDEX(상세표[사번키],$H203),합계표[사번키],0))&amp;")"),"")))</f>
        <v/>
      </c>
      <c r="E203">
        <f>IF($H203="","",COUNTIFS(상세표[사번키],INDEX(상세표[사번키],$H203),상세표[기록월],대상월키))</f>
        <v/>
      </c>
      <c r="F203" s="20">
        <f>IF($H203="","",SUMIFS(상세표[기록 시간외],상세표[사번키],INDEX(상세표[사번키],$H203),상세표[기록월],대상월키))</f>
        <v/>
      </c>
      <c r="G203" s="20">
        <f>IF($H203="","",SUMIFS(합계표[시스템 합계],합계표[사번키],INDEX(상세표[사번키],$H203)))</f>
        <v/>
      </c>
      <c r="H203" s="4">
        <f>IFERROR(MATCH(198,상세표[발송인원순번],0),"")</f>
        <v/>
      </c>
      <c r="J203">
        <f>IF($U203="","",INDEX(상세표[사번],$U203)&amp;"")</f>
        <v/>
      </c>
      <c r="K203">
        <f>IF($U203="","",INDEX(상세표[성명],$U203)&amp;"")</f>
        <v/>
      </c>
      <c r="L203">
        <f>IF($U203="","",INDEX(상세표[직위],$U203)&amp;"")</f>
        <v/>
      </c>
      <c r="M203">
        <f>IF($U203="","",IF(ISNUMBER(INDEX(상세표[근무일자],$U203)),TEXT(INDEX(상세표[근무일자],$U203),"yyyy-mm-dd"),INDEX(상세표[근무일자],$U203)&amp;""))</f>
        <v/>
      </c>
      <c r="N203">
        <f>IF($U203="","",IF(ISNUMBER(INDEX(상세표[시작],$U203)),TEXT(INDEX(상세표[시작],$U203),"yyyy-mm-dd hh:mm"),INDEX(상세표[시작],$U203)&amp;""))</f>
        <v/>
      </c>
      <c r="O203">
        <f>IF($U203="","",IF(ISNUMBER(INDEX(상세표[종료],$U203)),TEXT(INDEX(상세표[종료],$U203),"yyyy-mm-dd hh:mm"),INDEX(상세표[종료],$U203)&amp;""))</f>
        <v/>
      </c>
      <c r="P203" s="20">
        <f>IF($U203="","",INDEX(상세표[06~07시],$U203))</f>
        <v/>
      </c>
      <c r="Q203" s="20">
        <f>IF($U203="","",INDEX(상세표[07~18시],$U203))</f>
        <v/>
      </c>
      <c r="R203" s="20">
        <f>IF($U203="","",INDEX(상세표[18~22시],$U203))</f>
        <v/>
      </c>
      <c r="S203" s="20">
        <f>IF($U203="","",INDEX(상세표[22~06시],$U203))</f>
        <v/>
      </c>
      <c r="T203" s="20">
        <f>IF($U203="","",INDEX(상세표[기록 시간외],$U203))</f>
        <v/>
      </c>
      <c r="U203" s="4">
        <f>IFERROR(MATCH(198,상세표[발송순번],0),"")</f>
        <v/>
      </c>
    </row>
    <row r="204">
      <c r="A204">
        <f>IF($H204="","",INDEX(상세표[사번],$H204)&amp;"")</f>
        <v/>
      </c>
      <c r="B204">
        <f>IF($H204="","",INDEX(상세표[성명],$H204)&amp;"")</f>
        <v/>
      </c>
      <c r="C204">
        <f>IF($H204="","",INDEX(상세표[부서],$H204)&amp;"")</f>
        <v/>
      </c>
      <c r="D204">
        <f>IF($H204="","",IF(IFERROR(INDEX(합계표[직위(요약)],MATCH(INDEX(상세표[사번키],$H204),합계표[사번키],0))&amp;IF(INDEX(합계표[직급 공존],MATCH(INDEX(상세표[사번키],$H204),합계표[사번키],0))="",""," ("&amp;INDEX(합계표[직급 공존],MATCH(INDEX(상세표[사번키],$H204),합계표[사번키],0))&amp;")"),"")="",INDEX(상세표[직위],$H204)&amp;"",IFERROR(INDEX(합계표[직위(요약)],MATCH(INDEX(상세표[사번키],$H204),합계표[사번키],0))&amp;IF(INDEX(합계표[직급 공존],MATCH(INDEX(상세표[사번키],$H204),합계표[사번키],0))="",""," ("&amp;INDEX(합계표[직급 공존],MATCH(INDEX(상세표[사번키],$H204),합계표[사번키],0))&amp;")"),"")))</f>
        <v/>
      </c>
      <c r="E204">
        <f>IF($H204="","",COUNTIFS(상세표[사번키],INDEX(상세표[사번키],$H204),상세표[기록월],대상월키))</f>
        <v/>
      </c>
      <c r="F204" s="20">
        <f>IF($H204="","",SUMIFS(상세표[기록 시간외],상세표[사번키],INDEX(상세표[사번키],$H204),상세표[기록월],대상월키))</f>
        <v/>
      </c>
      <c r="G204" s="20">
        <f>IF($H204="","",SUMIFS(합계표[시스템 합계],합계표[사번키],INDEX(상세표[사번키],$H204)))</f>
        <v/>
      </c>
      <c r="H204" s="4">
        <f>IFERROR(MATCH(199,상세표[발송인원순번],0),"")</f>
        <v/>
      </c>
      <c r="J204">
        <f>IF($U204="","",INDEX(상세표[사번],$U204)&amp;"")</f>
        <v/>
      </c>
      <c r="K204">
        <f>IF($U204="","",INDEX(상세표[성명],$U204)&amp;"")</f>
        <v/>
      </c>
      <c r="L204">
        <f>IF($U204="","",INDEX(상세표[직위],$U204)&amp;"")</f>
        <v/>
      </c>
      <c r="M204">
        <f>IF($U204="","",IF(ISNUMBER(INDEX(상세표[근무일자],$U204)),TEXT(INDEX(상세표[근무일자],$U204),"yyyy-mm-dd"),INDEX(상세표[근무일자],$U204)&amp;""))</f>
        <v/>
      </c>
      <c r="N204">
        <f>IF($U204="","",IF(ISNUMBER(INDEX(상세표[시작],$U204)),TEXT(INDEX(상세표[시작],$U204),"yyyy-mm-dd hh:mm"),INDEX(상세표[시작],$U204)&amp;""))</f>
        <v/>
      </c>
      <c r="O204">
        <f>IF($U204="","",IF(ISNUMBER(INDEX(상세표[종료],$U204)),TEXT(INDEX(상세표[종료],$U204),"yyyy-mm-dd hh:mm"),INDEX(상세표[종료],$U204)&amp;""))</f>
        <v/>
      </c>
      <c r="P204" s="20">
        <f>IF($U204="","",INDEX(상세표[06~07시],$U204))</f>
        <v/>
      </c>
      <c r="Q204" s="20">
        <f>IF($U204="","",INDEX(상세표[07~18시],$U204))</f>
        <v/>
      </c>
      <c r="R204" s="20">
        <f>IF($U204="","",INDEX(상세표[18~22시],$U204))</f>
        <v/>
      </c>
      <c r="S204" s="20">
        <f>IF($U204="","",INDEX(상세표[22~06시],$U204))</f>
        <v/>
      </c>
      <c r="T204" s="20">
        <f>IF($U204="","",INDEX(상세표[기록 시간외],$U204))</f>
        <v/>
      </c>
      <c r="U204" s="4">
        <f>IFERROR(MATCH(199,상세표[발송순번],0),"")</f>
        <v/>
      </c>
    </row>
    <row r="205">
      <c r="A205">
        <f>IF($H205="","",INDEX(상세표[사번],$H205)&amp;"")</f>
        <v/>
      </c>
      <c r="B205">
        <f>IF($H205="","",INDEX(상세표[성명],$H205)&amp;"")</f>
        <v/>
      </c>
      <c r="C205">
        <f>IF($H205="","",INDEX(상세표[부서],$H205)&amp;"")</f>
        <v/>
      </c>
      <c r="D205">
        <f>IF($H205="","",IF(IFERROR(INDEX(합계표[직위(요약)],MATCH(INDEX(상세표[사번키],$H205),합계표[사번키],0))&amp;IF(INDEX(합계표[직급 공존],MATCH(INDEX(상세표[사번키],$H205),합계표[사번키],0))="",""," ("&amp;INDEX(합계표[직급 공존],MATCH(INDEX(상세표[사번키],$H205),합계표[사번키],0))&amp;")"),"")="",INDEX(상세표[직위],$H205)&amp;"",IFERROR(INDEX(합계표[직위(요약)],MATCH(INDEX(상세표[사번키],$H205),합계표[사번키],0))&amp;IF(INDEX(합계표[직급 공존],MATCH(INDEX(상세표[사번키],$H205),합계표[사번키],0))="",""," ("&amp;INDEX(합계표[직급 공존],MATCH(INDEX(상세표[사번키],$H205),합계표[사번키],0))&amp;")"),"")))</f>
        <v/>
      </c>
      <c r="E205">
        <f>IF($H205="","",COUNTIFS(상세표[사번키],INDEX(상세표[사번키],$H205),상세표[기록월],대상월키))</f>
        <v/>
      </c>
      <c r="F205" s="20">
        <f>IF($H205="","",SUMIFS(상세표[기록 시간외],상세표[사번키],INDEX(상세표[사번키],$H205),상세표[기록월],대상월키))</f>
        <v/>
      </c>
      <c r="G205" s="20">
        <f>IF($H205="","",SUMIFS(합계표[시스템 합계],합계표[사번키],INDEX(상세표[사번키],$H205)))</f>
        <v/>
      </c>
      <c r="H205" s="4">
        <f>IFERROR(MATCH(200,상세표[발송인원순번],0),"")</f>
        <v/>
      </c>
      <c r="J205">
        <f>IF($U205="","",INDEX(상세표[사번],$U205)&amp;"")</f>
        <v/>
      </c>
      <c r="K205">
        <f>IF($U205="","",INDEX(상세표[성명],$U205)&amp;"")</f>
        <v/>
      </c>
      <c r="L205">
        <f>IF($U205="","",INDEX(상세표[직위],$U205)&amp;"")</f>
        <v/>
      </c>
      <c r="M205">
        <f>IF($U205="","",IF(ISNUMBER(INDEX(상세표[근무일자],$U205)),TEXT(INDEX(상세표[근무일자],$U205),"yyyy-mm-dd"),INDEX(상세표[근무일자],$U205)&amp;""))</f>
        <v/>
      </c>
      <c r="N205">
        <f>IF($U205="","",IF(ISNUMBER(INDEX(상세표[시작],$U205)),TEXT(INDEX(상세표[시작],$U205),"yyyy-mm-dd hh:mm"),INDEX(상세표[시작],$U205)&amp;""))</f>
        <v/>
      </c>
      <c r="O205">
        <f>IF($U205="","",IF(ISNUMBER(INDEX(상세표[종료],$U205)),TEXT(INDEX(상세표[종료],$U205),"yyyy-mm-dd hh:mm"),INDEX(상세표[종료],$U205)&amp;""))</f>
        <v/>
      </c>
      <c r="P205" s="20">
        <f>IF($U205="","",INDEX(상세표[06~07시],$U205))</f>
        <v/>
      </c>
      <c r="Q205" s="20">
        <f>IF($U205="","",INDEX(상세표[07~18시],$U205))</f>
        <v/>
      </c>
      <c r="R205" s="20">
        <f>IF($U205="","",INDEX(상세표[18~22시],$U205))</f>
        <v/>
      </c>
      <c r="S205" s="20">
        <f>IF($U205="","",INDEX(상세표[22~06시],$U205))</f>
        <v/>
      </c>
      <c r="T205" s="20">
        <f>IF($U205="","",INDEX(상세표[기록 시간외],$U205))</f>
        <v/>
      </c>
      <c r="U205" s="4">
        <f>IFERROR(MATCH(200,상세표[발송순번],0),"")</f>
        <v/>
      </c>
    </row>
    <row r="206">
      <c r="A206">
        <f>IF($H206="","",INDEX(상세표[사번],$H206)&amp;"")</f>
        <v/>
      </c>
      <c r="B206">
        <f>IF($H206="","",INDEX(상세표[성명],$H206)&amp;"")</f>
        <v/>
      </c>
      <c r="C206">
        <f>IF($H206="","",INDEX(상세표[부서],$H206)&amp;"")</f>
        <v/>
      </c>
      <c r="D206">
        <f>IF($H206="","",IF(IFERROR(INDEX(합계표[직위(요약)],MATCH(INDEX(상세표[사번키],$H206),합계표[사번키],0))&amp;IF(INDEX(합계표[직급 공존],MATCH(INDEX(상세표[사번키],$H206),합계표[사번키],0))="",""," ("&amp;INDEX(합계표[직급 공존],MATCH(INDEX(상세표[사번키],$H206),합계표[사번키],0))&amp;")"),"")="",INDEX(상세표[직위],$H206)&amp;"",IFERROR(INDEX(합계표[직위(요약)],MATCH(INDEX(상세표[사번키],$H206),합계표[사번키],0))&amp;IF(INDEX(합계표[직급 공존],MATCH(INDEX(상세표[사번키],$H206),합계표[사번키],0))="",""," ("&amp;INDEX(합계표[직급 공존],MATCH(INDEX(상세표[사번키],$H206),합계표[사번키],0))&amp;")"),"")))</f>
        <v/>
      </c>
      <c r="E206">
        <f>IF($H206="","",COUNTIFS(상세표[사번키],INDEX(상세표[사번키],$H206),상세표[기록월],대상월키))</f>
        <v/>
      </c>
      <c r="F206" s="20">
        <f>IF($H206="","",SUMIFS(상세표[기록 시간외],상세표[사번키],INDEX(상세표[사번키],$H206),상세표[기록월],대상월키))</f>
        <v/>
      </c>
      <c r="G206" s="20">
        <f>IF($H206="","",SUMIFS(합계표[시스템 합계],합계표[사번키],INDEX(상세표[사번키],$H206)))</f>
        <v/>
      </c>
      <c r="H206" s="4">
        <f>IFERROR(MATCH(201,상세표[발송인원순번],0),"")</f>
        <v/>
      </c>
      <c r="J206">
        <f>IF($U206="","",INDEX(상세표[사번],$U206)&amp;"")</f>
        <v/>
      </c>
      <c r="K206">
        <f>IF($U206="","",INDEX(상세표[성명],$U206)&amp;"")</f>
        <v/>
      </c>
      <c r="L206">
        <f>IF($U206="","",INDEX(상세표[직위],$U206)&amp;"")</f>
        <v/>
      </c>
      <c r="M206">
        <f>IF($U206="","",IF(ISNUMBER(INDEX(상세표[근무일자],$U206)),TEXT(INDEX(상세표[근무일자],$U206),"yyyy-mm-dd"),INDEX(상세표[근무일자],$U206)&amp;""))</f>
        <v/>
      </c>
      <c r="N206">
        <f>IF($U206="","",IF(ISNUMBER(INDEX(상세표[시작],$U206)),TEXT(INDEX(상세표[시작],$U206),"yyyy-mm-dd hh:mm"),INDEX(상세표[시작],$U206)&amp;""))</f>
        <v/>
      </c>
      <c r="O206">
        <f>IF($U206="","",IF(ISNUMBER(INDEX(상세표[종료],$U206)),TEXT(INDEX(상세표[종료],$U206),"yyyy-mm-dd hh:mm"),INDEX(상세표[종료],$U206)&amp;""))</f>
        <v/>
      </c>
      <c r="P206" s="20">
        <f>IF($U206="","",INDEX(상세표[06~07시],$U206))</f>
        <v/>
      </c>
      <c r="Q206" s="20">
        <f>IF($U206="","",INDEX(상세표[07~18시],$U206))</f>
        <v/>
      </c>
      <c r="R206" s="20">
        <f>IF($U206="","",INDEX(상세표[18~22시],$U206))</f>
        <v/>
      </c>
      <c r="S206" s="20">
        <f>IF($U206="","",INDEX(상세표[22~06시],$U206))</f>
        <v/>
      </c>
      <c r="T206" s="20">
        <f>IF($U206="","",INDEX(상세표[기록 시간외],$U206))</f>
        <v/>
      </c>
      <c r="U206" s="4">
        <f>IFERROR(MATCH(201,상세표[발송순번],0),"")</f>
        <v/>
      </c>
    </row>
    <row r="207">
      <c r="A207">
        <f>IF($H207="","",INDEX(상세표[사번],$H207)&amp;"")</f>
        <v/>
      </c>
      <c r="B207">
        <f>IF($H207="","",INDEX(상세표[성명],$H207)&amp;"")</f>
        <v/>
      </c>
      <c r="C207">
        <f>IF($H207="","",INDEX(상세표[부서],$H207)&amp;"")</f>
        <v/>
      </c>
      <c r="D207">
        <f>IF($H207="","",IF(IFERROR(INDEX(합계표[직위(요약)],MATCH(INDEX(상세표[사번키],$H207),합계표[사번키],0))&amp;IF(INDEX(합계표[직급 공존],MATCH(INDEX(상세표[사번키],$H207),합계표[사번키],0))="",""," ("&amp;INDEX(합계표[직급 공존],MATCH(INDEX(상세표[사번키],$H207),합계표[사번키],0))&amp;")"),"")="",INDEX(상세표[직위],$H207)&amp;"",IFERROR(INDEX(합계표[직위(요약)],MATCH(INDEX(상세표[사번키],$H207),합계표[사번키],0))&amp;IF(INDEX(합계표[직급 공존],MATCH(INDEX(상세표[사번키],$H207),합계표[사번키],0))="",""," ("&amp;INDEX(합계표[직급 공존],MATCH(INDEX(상세표[사번키],$H207),합계표[사번키],0))&amp;")"),"")))</f>
        <v/>
      </c>
      <c r="E207">
        <f>IF($H207="","",COUNTIFS(상세표[사번키],INDEX(상세표[사번키],$H207),상세표[기록월],대상월키))</f>
        <v/>
      </c>
      <c r="F207" s="20">
        <f>IF($H207="","",SUMIFS(상세표[기록 시간외],상세표[사번키],INDEX(상세표[사번키],$H207),상세표[기록월],대상월키))</f>
        <v/>
      </c>
      <c r="G207" s="20">
        <f>IF($H207="","",SUMIFS(합계표[시스템 합계],합계표[사번키],INDEX(상세표[사번키],$H207)))</f>
        <v/>
      </c>
      <c r="H207" s="4">
        <f>IFERROR(MATCH(202,상세표[발송인원순번],0),"")</f>
        <v/>
      </c>
      <c r="J207">
        <f>IF($U207="","",INDEX(상세표[사번],$U207)&amp;"")</f>
        <v/>
      </c>
      <c r="K207">
        <f>IF($U207="","",INDEX(상세표[성명],$U207)&amp;"")</f>
        <v/>
      </c>
      <c r="L207">
        <f>IF($U207="","",INDEX(상세표[직위],$U207)&amp;"")</f>
        <v/>
      </c>
      <c r="M207">
        <f>IF($U207="","",IF(ISNUMBER(INDEX(상세표[근무일자],$U207)),TEXT(INDEX(상세표[근무일자],$U207),"yyyy-mm-dd"),INDEX(상세표[근무일자],$U207)&amp;""))</f>
        <v/>
      </c>
      <c r="N207">
        <f>IF($U207="","",IF(ISNUMBER(INDEX(상세표[시작],$U207)),TEXT(INDEX(상세표[시작],$U207),"yyyy-mm-dd hh:mm"),INDEX(상세표[시작],$U207)&amp;""))</f>
        <v/>
      </c>
      <c r="O207">
        <f>IF($U207="","",IF(ISNUMBER(INDEX(상세표[종료],$U207)),TEXT(INDEX(상세표[종료],$U207),"yyyy-mm-dd hh:mm"),INDEX(상세표[종료],$U207)&amp;""))</f>
        <v/>
      </c>
      <c r="P207" s="20">
        <f>IF($U207="","",INDEX(상세표[06~07시],$U207))</f>
        <v/>
      </c>
      <c r="Q207" s="20">
        <f>IF($U207="","",INDEX(상세표[07~18시],$U207))</f>
        <v/>
      </c>
      <c r="R207" s="20">
        <f>IF($U207="","",INDEX(상세표[18~22시],$U207))</f>
        <v/>
      </c>
      <c r="S207" s="20">
        <f>IF($U207="","",INDEX(상세표[22~06시],$U207))</f>
        <v/>
      </c>
      <c r="T207" s="20">
        <f>IF($U207="","",INDEX(상세표[기록 시간외],$U207))</f>
        <v/>
      </c>
      <c r="U207" s="4">
        <f>IFERROR(MATCH(202,상세표[발송순번],0),"")</f>
        <v/>
      </c>
    </row>
    <row r="208">
      <c r="A208">
        <f>IF($H208="","",INDEX(상세표[사번],$H208)&amp;"")</f>
        <v/>
      </c>
      <c r="B208">
        <f>IF($H208="","",INDEX(상세표[성명],$H208)&amp;"")</f>
        <v/>
      </c>
      <c r="C208">
        <f>IF($H208="","",INDEX(상세표[부서],$H208)&amp;"")</f>
        <v/>
      </c>
      <c r="D208">
        <f>IF($H208="","",IF(IFERROR(INDEX(합계표[직위(요약)],MATCH(INDEX(상세표[사번키],$H208),합계표[사번키],0))&amp;IF(INDEX(합계표[직급 공존],MATCH(INDEX(상세표[사번키],$H208),합계표[사번키],0))="",""," ("&amp;INDEX(합계표[직급 공존],MATCH(INDEX(상세표[사번키],$H208),합계표[사번키],0))&amp;")"),"")="",INDEX(상세표[직위],$H208)&amp;"",IFERROR(INDEX(합계표[직위(요약)],MATCH(INDEX(상세표[사번키],$H208),합계표[사번키],0))&amp;IF(INDEX(합계표[직급 공존],MATCH(INDEX(상세표[사번키],$H208),합계표[사번키],0))="",""," ("&amp;INDEX(합계표[직급 공존],MATCH(INDEX(상세표[사번키],$H208),합계표[사번키],0))&amp;")"),"")))</f>
        <v/>
      </c>
      <c r="E208">
        <f>IF($H208="","",COUNTIFS(상세표[사번키],INDEX(상세표[사번키],$H208),상세표[기록월],대상월키))</f>
        <v/>
      </c>
      <c r="F208" s="20">
        <f>IF($H208="","",SUMIFS(상세표[기록 시간외],상세표[사번키],INDEX(상세표[사번키],$H208),상세표[기록월],대상월키))</f>
        <v/>
      </c>
      <c r="G208" s="20">
        <f>IF($H208="","",SUMIFS(합계표[시스템 합계],합계표[사번키],INDEX(상세표[사번키],$H208)))</f>
        <v/>
      </c>
      <c r="H208" s="4">
        <f>IFERROR(MATCH(203,상세표[발송인원순번],0),"")</f>
        <v/>
      </c>
      <c r="J208">
        <f>IF($U208="","",INDEX(상세표[사번],$U208)&amp;"")</f>
        <v/>
      </c>
      <c r="K208">
        <f>IF($U208="","",INDEX(상세표[성명],$U208)&amp;"")</f>
        <v/>
      </c>
      <c r="L208">
        <f>IF($U208="","",INDEX(상세표[직위],$U208)&amp;"")</f>
        <v/>
      </c>
      <c r="M208">
        <f>IF($U208="","",IF(ISNUMBER(INDEX(상세표[근무일자],$U208)),TEXT(INDEX(상세표[근무일자],$U208),"yyyy-mm-dd"),INDEX(상세표[근무일자],$U208)&amp;""))</f>
        <v/>
      </c>
      <c r="N208">
        <f>IF($U208="","",IF(ISNUMBER(INDEX(상세표[시작],$U208)),TEXT(INDEX(상세표[시작],$U208),"yyyy-mm-dd hh:mm"),INDEX(상세표[시작],$U208)&amp;""))</f>
        <v/>
      </c>
      <c r="O208">
        <f>IF($U208="","",IF(ISNUMBER(INDEX(상세표[종료],$U208)),TEXT(INDEX(상세표[종료],$U208),"yyyy-mm-dd hh:mm"),INDEX(상세표[종료],$U208)&amp;""))</f>
        <v/>
      </c>
      <c r="P208" s="20">
        <f>IF($U208="","",INDEX(상세표[06~07시],$U208))</f>
        <v/>
      </c>
      <c r="Q208" s="20">
        <f>IF($U208="","",INDEX(상세표[07~18시],$U208))</f>
        <v/>
      </c>
      <c r="R208" s="20">
        <f>IF($U208="","",INDEX(상세표[18~22시],$U208))</f>
        <v/>
      </c>
      <c r="S208" s="20">
        <f>IF($U208="","",INDEX(상세표[22~06시],$U208))</f>
        <v/>
      </c>
      <c r="T208" s="20">
        <f>IF($U208="","",INDEX(상세표[기록 시간외],$U208))</f>
        <v/>
      </c>
      <c r="U208" s="4">
        <f>IFERROR(MATCH(203,상세표[발송순번],0),"")</f>
        <v/>
      </c>
    </row>
    <row r="209">
      <c r="A209">
        <f>IF($H209="","",INDEX(상세표[사번],$H209)&amp;"")</f>
        <v/>
      </c>
      <c r="B209">
        <f>IF($H209="","",INDEX(상세표[성명],$H209)&amp;"")</f>
        <v/>
      </c>
      <c r="C209">
        <f>IF($H209="","",INDEX(상세표[부서],$H209)&amp;"")</f>
        <v/>
      </c>
      <c r="D209">
        <f>IF($H209="","",IF(IFERROR(INDEX(합계표[직위(요약)],MATCH(INDEX(상세표[사번키],$H209),합계표[사번키],0))&amp;IF(INDEX(합계표[직급 공존],MATCH(INDEX(상세표[사번키],$H209),합계표[사번키],0))="",""," ("&amp;INDEX(합계표[직급 공존],MATCH(INDEX(상세표[사번키],$H209),합계표[사번키],0))&amp;")"),"")="",INDEX(상세표[직위],$H209)&amp;"",IFERROR(INDEX(합계표[직위(요약)],MATCH(INDEX(상세표[사번키],$H209),합계표[사번키],0))&amp;IF(INDEX(합계표[직급 공존],MATCH(INDEX(상세표[사번키],$H209),합계표[사번키],0))="",""," ("&amp;INDEX(합계표[직급 공존],MATCH(INDEX(상세표[사번키],$H209),합계표[사번키],0))&amp;")"),"")))</f>
        <v/>
      </c>
      <c r="E209">
        <f>IF($H209="","",COUNTIFS(상세표[사번키],INDEX(상세표[사번키],$H209),상세표[기록월],대상월키))</f>
        <v/>
      </c>
      <c r="F209" s="20">
        <f>IF($H209="","",SUMIFS(상세표[기록 시간외],상세표[사번키],INDEX(상세표[사번키],$H209),상세표[기록월],대상월키))</f>
        <v/>
      </c>
      <c r="G209" s="20">
        <f>IF($H209="","",SUMIFS(합계표[시스템 합계],합계표[사번키],INDEX(상세표[사번키],$H209)))</f>
        <v/>
      </c>
      <c r="H209" s="4">
        <f>IFERROR(MATCH(204,상세표[발송인원순번],0),"")</f>
        <v/>
      </c>
      <c r="J209">
        <f>IF($U209="","",INDEX(상세표[사번],$U209)&amp;"")</f>
        <v/>
      </c>
      <c r="K209">
        <f>IF($U209="","",INDEX(상세표[성명],$U209)&amp;"")</f>
        <v/>
      </c>
      <c r="L209">
        <f>IF($U209="","",INDEX(상세표[직위],$U209)&amp;"")</f>
        <v/>
      </c>
      <c r="M209">
        <f>IF($U209="","",IF(ISNUMBER(INDEX(상세표[근무일자],$U209)),TEXT(INDEX(상세표[근무일자],$U209),"yyyy-mm-dd"),INDEX(상세표[근무일자],$U209)&amp;""))</f>
        <v/>
      </c>
      <c r="N209">
        <f>IF($U209="","",IF(ISNUMBER(INDEX(상세표[시작],$U209)),TEXT(INDEX(상세표[시작],$U209),"yyyy-mm-dd hh:mm"),INDEX(상세표[시작],$U209)&amp;""))</f>
        <v/>
      </c>
      <c r="O209">
        <f>IF($U209="","",IF(ISNUMBER(INDEX(상세표[종료],$U209)),TEXT(INDEX(상세표[종료],$U209),"yyyy-mm-dd hh:mm"),INDEX(상세표[종료],$U209)&amp;""))</f>
        <v/>
      </c>
      <c r="P209" s="20">
        <f>IF($U209="","",INDEX(상세표[06~07시],$U209))</f>
        <v/>
      </c>
      <c r="Q209" s="20">
        <f>IF($U209="","",INDEX(상세표[07~18시],$U209))</f>
        <v/>
      </c>
      <c r="R209" s="20">
        <f>IF($U209="","",INDEX(상세표[18~22시],$U209))</f>
        <v/>
      </c>
      <c r="S209" s="20">
        <f>IF($U209="","",INDEX(상세표[22~06시],$U209))</f>
        <v/>
      </c>
      <c r="T209" s="20">
        <f>IF($U209="","",INDEX(상세표[기록 시간외],$U209))</f>
        <v/>
      </c>
      <c r="U209" s="4">
        <f>IFERROR(MATCH(204,상세표[발송순번],0),"")</f>
        <v/>
      </c>
    </row>
    <row r="210">
      <c r="A210">
        <f>IF($H210="","",INDEX(상세표[사번],$H210)&amp;"")</f>
        <v/>
      </c>
      <c r="B210">
        <f>IF($H210="","",INDEX(상세표[성명],$H210)&amp;"")</f>
        <v/>
      </c>
      <c r="C210">
        <f>IF($H210="","",INDEX(상세표[부서],$H210)&amp;"")</f>
        <v/>
      </c>
      <c r="D210">
        <f>IF($H210="","",IF(IFERROR(INDEX(합계표[직위(요약)],MATCH(INDEX(상세표[사번키],$H210),합계표[사번키],0))&amp;IF(INDEX(합계표[직급 공존],MATCH(INDEX(상세표[사번키],$H210),합계표[사번키],0))="",""," ("&amp;INDEX(합계표[직급 공존],MATCH(INDEX(상세표[사번키],$H210),합계표[사번키],0))&amp;")"),"")="",INDEX(상세표[직위],$H210)&amp;"",IFERROR(INDEX(합계표[직위(요약)],MATCH(INDEX(상세표[사번키],$H210),합계표[사번키],0))&amp;IF(INDEX(합계표[직급 공존],MATCH(INDEX(상세표[사번키],$H210),합계표[사번키],0))="",""," ("&amp;INDEX(합계표[직급 공존],MATCH(INDEX(상세표[사번키],$H210),합계표[사번키],0))&amp;")"),"")))</f>
        <v/>
      </c>
      <c r="E210">
        <f>IF($H210="","",COUNTIFS(상세표[사번키],INDEX(상세표[사번키],$H210),상세표[기록월],대상월키))</f>
        <v/>
      </c>
      <c r="F210" s="20">
        <f>IF($H210="","",SUMIFS(상세표[기록 시간외],상세표[사번키],INDEX(상세표[사번키],$H210),상세표[기록월],대상월키))</f>
        <v/>
      </c>
      <c r="G210" s="20">
        <f>IF($H210="","",SUMIFS(합계표[시스템 합계],합계표[사번키],INDEX(상세표[사번키],$H210)))</f>
        <v/>
      </c>
      <c r="H210" s="4">
        <f>IFERROR(MATCH(205,상세표[발송인원순번],0),"")</f>
        <v/>
      </c>
      <c r="J210">
        <f>IF($U210="","",INDEX(상세표[사번],$U210)&amp;"")</f>
        <v/>
      </c>
      <c r="K210">
        <f>IF($U210="","",INDEX(상세표[성명],$U210)&amp;"")</f>
        <v/>
      </c>
      <c r="L210">
        <f>IF($U210="","",INDEX(상세표[직위],$U210)&amp;"")</f>
        <v/>
      </c>
      <c r="M210">
        <f>IF($U210="","",IF(ISNUMBER(INDEX(상세표[근무일자],$U210)),TEXT(INDEX(상세표[근무일자],$U210),"yyyy-mm-dd"),INDEX(상세표[근무일자],$U210)&amp;""))</f>
        <v/>
      </c>
      <c r="N210">
        <f>IF($U210="","",IF(ISNUMBER(INDEX(상세표[시작],$U210)),TEXT(INDEX(상세표[시작],$U210),"yyyy-mm-dd hh:mm"),INDEX(상세표[시작],$U210)&amp;""))</f>
        <v/>
      </c>
      <c r="O210">
        <f>IF($U210="","",IF(ISNUMBER(INDEX(상세표[종료],$U210)),TEXT(INDEX(상세표[종료],$U210),"yyyy-mm-dd hh:mm"),INDEX(상세표[종료],$U210)&amp;""))</f>
        <v/>
      </c>
      <c r="P210" s="20">
        <f>IF($U210="","",INDEX(상세표[06~07시],$U210))</f>
        <v/>
      </c>
      <c r="Q210" s="20">
        <f>IF($U210="","",INDEX(상세표[07~18시],$U210))</f>
        <v/>
      </c>
      <c r="R210" s="20">
        <f>IF($U210="","",INDEX(상세표[18~22시],$U210))</f>
        <v/>
      </c>
      <c r="S210" s="20">
        <f>IF($U210="","",INDEX(상세표[22~06시],$U210))</f>
        <v/>
      </c>
      <c r="T210" s="20">
        <f>IF($U210="","",INDEX(상세표[기록 시간외],$U210))</f>
        <v/>
      </c>
      <c r="U210" s="4">
        <f>IFERROR(MATCH(205,상세표[발송순번],0),"")</f>
        <v/>
      </c>
    </row>
    <row r="211">
      <c r="A211">
        <f>IF($H211="","",INDEX(상세표[사번],$H211)&amp;"")</f>
        <v/>
      </c>
      <c r="B211">
        <f>IF($H211="","",INDEX(상세표[성명],$H211)&amp;"")</f>
        <v/>
      </c>
      <c r="C211">
        <f>IF($H211="","",INDEX(상세표[부서],$H211)&amp;"")</f>
        <v/>
      </c>
      <c r="D211">
        <f>IF($H211="","",IF(IFERROR(INDEX(합계표[직위(요약)],MATCH(INDEX(상세표[사번키],$H211),합계표[사번키],0))&amp;IF(INDEX(합계표[직급 공존],MATCH(INDEX(상세표[사번키],$H211),합계표[사번키],0))="",""," ("&amp;INDEX(합계표[직급 공존],MATCH(INDEX(상세표[사번키],$H211),합계표[사번키],0))&amp;")"),"")="",INDEX(상세표[직위],$H211)&amp;"",IFERROR(INDEX(합계표[직위(요약)],MATCH(INDEX(상세표[사번키],$H211),합계표[사번키],0))&amp;IF(INDEX(합계표[직급 공존],MATCH(INDEX(상세표[사번키],$H211),합계표[사번키],0))="",""," ("&amp;INDEX(합계표[직급 공존],MATCH(INDEX(상세표[사번키],$H211),합계표[사번키],0))&amp;")"),"")))</f>
        <v/>
      </c>
      <c r="E211">
        <f>IF($H211="","",COUNTIFS(상세표[사번키],INDEX(상세표[사번키],$H211),상세표[기록월],대상월키))</f>
        <v/>
      </c>
      <c r="F211" s="20">
        <f>IF($H211="","",SUMIFS(상세표[기록 시간외],상세표[사번키],INDEX(상세표[사번키],$H211),상세표[기록월],대상월키))</f>
        <v/>
      </c>
      <c r="G211" s="20">
        <f>IF($H211="","",SUMIFS(합계표[시스템 합계],합계표[사번키],INDEX(상세표[사번키],$H211)))</f>
        <v/>
      </c>
      <c r="H211" s="4">
        <f>IFERROR(MATCH(206,상세표[발송인원순번],0),"")</f>
        <v/>
      </c>
      <c r="J211">
        <f>IF($U211="","",INDEX(상세표[사번],$U211)&amp;"")</f>
        <v/>
      </c>
      <c r="K211">
        <f>IF($U211="","",INDEX(상세표[성명],$U211)&amp;"")</f>
        <v/>
      </c>
      <c r="L211">
        <f>IF($U211="","",INDEX(상세표[직위],$U211)&amp;"")</f>
        <v/>
      </c>
      <c r="M211">
        <f>IF($U211="","",IF(ISNUMBER(INDEX(상세표[근무일자],$U211)),TEXT(INDEX(상세표[근무일자],$U211),"yyyy-mm-dd"),INDEX(상세표[근무일자],$U211)&amp;""))</f>
        <v/>
      </c>
      <c r="N211">
        <f>IF($U211="","",IF(ISNUMBER(INDEX(상세표[시작],$U211)),TEXT(INDEX(상세표[시작],$U211),"yyyy-mm-dd hh:mm"),INDEX(상세표[시작],$U211)&amp;""))</f>
        <v/>
      </c>
      <c r="O211">
        <f>IF($U211="","",IF(ISNUMBER(INDEX(상세표[종료],$U211)),TEXT(INDEX(상세표[종료],$U211),"yyyy-mm-dd hh:mm"),INDEX(상세표[종료],$U211)&amp;""))</f>
        <v/>
      </c>
      <c r="P211" s="20">
        <f>IF($U211="","",INDEX(상세표[06~07시],$U211))</f>
        <v/>
      </c>
      <c r="Q211" s="20">
        <f>IF($U211="","",INDEX(상세표[07~18시],$U211))</f>
        <v/>
      </c>
      <c r="R211" s="20">
        <f>IF($U211="","",INDEX(상세표[18~22시],$U211))</f>
        <v/>
      </c>
      <c r="S211" s="20">
        <f>IF($U211="","",INDEX(상세표[22~06시],$U211))</f>
        <v/>
      </c>
      <c r="T211" s="20">
        <f>IF($U211="","",INDEX(상세표[기록 시간외],$U211))</f>
        <v/>
      </c>
      <c r="U211" s="4">
        <f>IFERROR(MATCH(206,상세표[발송순번],0),"")</f>
        <v/>
      </c>
    </row>
    <row r="212">
      <c r="A212">
        <f>IF($H212="","",INDEX(상세표[사번],$H212)&amp;"")</f>
        <v/>
      </c>
      <c r="B212">
        <f>IF($H212="","",INDEX(상세표[성명],$H212)&amp;"")</f>
        <v/>
      </c>
      <c r="C212">
        <f>IF($H212="","",INDEX(상세표[부서],$H212)&amp;"")</f>
        <v/>
      </c>
      <c r="D212">
        <f>IF($H212="","",IF(IFERROR(INDEX(합계표[직위(요약)],MATCH(INDEX(상세표[사번키],$H212),합계표[사번키],0))&amp;IF(INDEX(합계표[직급 공존],MATCH(INDEX(상세표[사번키],$H212),합계표[사번키],0))="",""," ("&amp;INDEX(합계표[직급 공존],MATCH(INDEX(상세표[사번키],$H212),합계표[사번키],0))&amp;")"),"")="",INDEX(상세표[직위],$H212)&amp;"",IFERROR(INDEX(합계표[직위(요약)],MATCH(INDEX(상세표[사번키],$H212),합계표[사번키],0))&amp;IF(INDEX(합계표[직급 공존],MATCH(INDEX(상세표[사번키],$H212),합계표[사번키],0))="",""," ("&amp;INDEX(합계표[직급 공존],MATCH(INDEX(상세표[사번키],$H212),합계표[사번키],0))&amp;")"),"")))</f>
        <v/>
      </c>
      <c r="E212">
        <f>IF($H212="","",COUNTIFS(상세표[사번키],INDEX(상세표[사번키],$H212),상세표[기록월],대상월키))</f>
        <v/>
      </c>
      <c r="F212" s="20">
        <f>IF($H212="","",SUMIFS(상세표[기록 시간외],상세표[사번키],INDEX(상세표[사번키],$H212),상세표[기록월],대상월키))</f>
        <v/>
      </c>
      <c r="G212" s="20">
        <f>IF($H212="","",SUMIFS(합계표[시스템 합계],합계표[사번키],INDEX(상세표[사번키],$H212)))</f>
        <v/>
      </c>
      <c r="H212" s="4">
        <f>IFERROR(MATCH(207,상세표[발송인원순번],0),"")</f>
        <v/>
      </c>
      <c r="J212">
        <f>IF($U212="","",INDEX(상세표[사번],$U212)&amp;"")</f>
        <v/>
      </c>
      <c r="K212">
        <f>IF($U212="","",INDEX(상세표[성명],$U212)&amp;"")</f>
        <v/>
      </c>
      <c r="L212">
        <f>IF($U212="","",INDEX(상세표[직위],$U212)&amp;"")</f>
        <v/>
      </c>
      <c r="M212">
        <f>IF($U212="","",IF(ISNUMBER(INDEX(상세표[근무일자],$U212)),TEXT(INDEX(상세표[근무일자],$U212),"yyyy-mm-dd"),INDEX(상세표[근무일자],$U212)&amp;""))</f>
        <v/>
      </c>
      <c r="N212">
        <f>IF($U212="","",IF(ISNUMBER(INDEX(상세표[시작],$U212)),TEXT(INDEX(상세표[시작],$U212),"yyyy-mm-dd hh:mm"),INDEX(상세표[시작],$U212)&amp;""))</f>
        <v/>
      </c>
      <c r="O212">
        <f>IF($U212="","",IF(ISNUMBER(INDEX(상세표[종료],$U212)),TEXT(INDEX(상세표[종료],$U212),"yyyy-mm-dd hh:mm"),INDEX(상세표[종료],$U212)&amp;""))</f>
        <v/>
      </c>
      <c r="P212" s="20">
        <f>IF($U212="","",INDEX(상세표[06~07시],$U212))</f>
        <v/>
      </c>
      <c r="Q212" s="20">
        <f>IF($U212="","",INDEX(상세표[07~18시],$U212))</f>
        <v/>
      </c>
      <c r="R212" s="20">
        <f>IF($U212="","",INDEX(상세표[18~22시],$U212))</f>
        <v/>
      </c>
      <c r="S212" s="20">
        <f>IF($U212="","",INDEX(상세표[22~06시],$U212))</f>
        <v/>
      </c>
      <c r="T212" s="20">
        <f>IF($U212="","",INDEX(상세표[기록 시간외],$U212))</f>
        <v/>
      </c>
      <c r="U212" s="4">
        <f>IFERROR(MATCH(207,상세표[발송순번],0),"")</f>
        <v/>
      </c>
    </row>
    <row r="213">
      <c r="A213">
        <f>IF($H213="","",INDEX(상세표[사번],$H213)&amp;"")</f>
        <v/>
      </c>
      <c r="B213">
        <f>IF($H213="","",INDEX(상세표[성명],$H213)&amp;"")</f>
        <v/>
      </c>
      <c r="C213">
        <f>IF($H213="","",INDEX(상세표[부서],$H213)&amp;"")</f>
        <v/>
      </c>
      <c r="D213">
        <f>IF($H213="","",IF(IFERROR(INDEX(합계표[직위(요약)],MATCH(INDEX(상세표[사번키],$H213),합계표[사번키],0))&amp;IF(INDEX(합계표[직급 공존],MATCH(INDEX(상세표[사번키],$H213),합계표[사번키],0))="",""," ("&amp;INDEX(합계표[직급 공존],MATCH(INDEX(상세표[사번키],$H213),합계표[사번키],0))&amp;")"),"")="",INDEX(상세표[직위],$H213)&amp;"",IFERROR(INDEX(합계표[직위(요약)],MATCH(INDEX(상세표[사번키],$H213),합계표[사번키],0))&amp;IF(INDEX(합계표[직급 공존],MATCH(INDEX(상세표[사번키],$H213),합계표[사번키],0))="",""," ("&amp;INDEX(합계표[직급 공존],MATCH(INDEX(상세표[사번키],$H213),합계표[사번키],0))&amp;")"),"")))</f>
        <v/>
      </c>
      <c r="E213">
        <f>IF($H213="","",COUNTIFS(상세표[사번키],INDEX(상세표[사번키],$H213),상세표[기록월],대상월키))</f>
        <v/>
      </c>
      <c r="F213" s="20">
        <f>IF($H213="","",SUMIFS(상세표[기록 시간외],상세표[사번키],INDEX(상세표[사번키],$H213),상세표[기록월],대상월키))</f>
        <v/>
      </c>
      <c r="G213" s="20">
        <f>IF($H213="","",SUMIFS(합계표[시스템 합계],합계표[사번키],INDEX(상세표[사번키],$H213)))</f>
        <v/>
      </c>
      <c r="H213" s="4">
        <f>IFERROR(MATCH(208,상세표[발송인원순번],0),"")</f>
        <v/>
      </c>
      <c r="J213">
        <f>IF($U213="","",INDEX(상세표[사번],$U213)&amp;"")</f>
        <v/>
      </c>
      <c r="K213">
        <f>IF($U213="","",INDEX(상세표[성명],$U213)&amp;"")</f>
        <v/>
      </c>
      <c r="L213">
        <f>IF($U213="","",INDEX(상세표[직위],$U213)&amp;"")</f>
        <v/>
      </c>
      <c r="M213">
        <f>IF($U213="","",IF(ISNUMBER(INDEX(상세표[근무일자],$U213)),TEXT(INDEX(상세표[근무일자],$U213),"yyyy-mm-dd"),INDEX(상세표[근무일자],$U213)&amp;""))</f>
        <v/>
      </c>
      <c r="N213">
        <f>IF($U213="","",IF(ISNUMBER(INDEX(상세표[시작],$U213)),TEXT(INDEX(상세표[시작],$U213),"yyyy-mm-dd hh:mm"),INDEX(상세표[시작],$U213)&amp;""))</f>
        <v/>
      </c>
      <c r="O213">
        <f>IF($U213="","",IF(ISNUMBER(INDEX(상세표[종료],$U213)),TEXT(INDEX(상세표[종료],$U213),"yyyy-mm-dd hh:mm"),INDEX(상세표[종료],$U213)&amp;""))</f>
        <v/>
      </c>
      <c r="P213" s="20">
        <f>IF($U213="","",INDEX(상세표[06~07시],$U213))</f>
        <v/>
      </c>
      <c r="Q213" s="20">
        <f>IF($U213="","",INDEX(상세표[07~18시],$U213))</f>
        <v/>
      </c>
      <c r="R213" s="20">
        <f>IF($U213="","",INDEX(상세표[18~22시],$U213))</f>
        <v/>
      </c>
      <c r="S213" s="20">
        <f>IF($U213="","",INDEX(상세표[22~06시],$U213))</f>
        <v/>
      </c>
      <c r="T213" s="20">
        <f>IF($U213="","",INDEX(상세표[기록 시간외],$U213))</f>
        <v/>
      </c>
      <c r="U213" s="4">
        <f>IFERROR(MATCH(208,상세표[발송순번],0),"")</f>
        <v/>
      </c>
    </row>
    <row r="214">
      <c r="A214">
        <f>IF($H214="","",INDEX(상세표[사번],$H214)&amp;"")</f>
        <v/>
      </c>
      <c r="B214">
        <f>IF($H214="","",INDEX(상세표[성명],$H214)&amp;"")</f>
        <v/>
      </c>
      <c r="C214">
        <f>IF($H214="","",INDEX(상세표[부서],$H214)&amp;"")</f>
        <v/>
      </c>
      <c r="D214">
        <f>IF($H214="","",IF(IFERROR(INDEX(합계표[직위(요약)],MATCH(INDEX(상세표[사번키],$H214),합계표[사번키],0))&amp;IF(INDEX(합계표[직급 공존],MATCH(INDEX(상세표[사번키],$H214),합계표[사번키],0))="",""," ("&amp;INDEX(합계표[직급 공존],MATCH(INDEX(상세표[사번키],$H214),합계표[사번키],0))&amp;")"),"")="",INDEX(상세표[직위],$H214)&amp;"",IFERROR(INDEX(합계표[직위(요약)],MATCH(INDEX(상세표[사번키],$H214),합계표[사번키],0))&amp;IF(INDEX(합계표[직급 공존],MATCH(INDEX(상세표[사번키],$H214),합계표[사번키],0))="",""," ("&amp;INDEX(합계표[직급 공존],MATCH(INDEX(상세표[사번키],$H214),합계표[사번키],0))&amp;")"),"")))</f>
        <v/>
      </c>
      <c r="E214">
        <f>IF($H214="","",COUNTIFS(상세표[사번키],INDEX(상세표[사번키],$H214),상세표[기록월],대상월키))</f>
        <v/>
      </c>
      <c r="F214" s="20">
        <f>IF($H214="","",SUMIFS(상세표[기록 시간외],상세표[사번키],INDEX(상세표[사번키],$H214),상세표[기록월],대상월키))</f>
        <v/>
      </c>
      <c r="G214" s="20">
        <f>IF($H214="","",SUMIFS(합계표[시스템 합계],합계표[사번키],INDEX(상세표[사번키],$H214)))</f>
        <v/>
      </c>
      <c r="H214" s="4">
        <f>IFERROR(MATCH(209,상세표[발송인원순번],0),"")</f>
        <v/>
      </c>
      <c r="J214">
        <f>IF($U214="","",INDEX(상세표[사번],$U214)&amp;"")</f>
        <v/>
      </c>
      <c r="K214">
        <f>IF($U214="","",INDEX(상세표[성명],$U214)&amp;"")</f>
        <v/>
      </c>
      <c r="L214">
        <f>IF($U214="","",INDEX(상세표[직위],$U214)&amp;"")</f>
        <v/>
      </c>
      <c r="M214">
        <f>IF($U214="","",IF(ISNUMBER(INDEX(상세표[근무일자],$U214)),TEXT(INDEX(상세표[근무일자],$U214),"yyyy-mm-dd"),INDEX(상세표[근무일자],$U214)&amp;""))</f>
        <v/>
      </c>
      <c r="N214">
        <f>IF($U214="","",IF(ISNUMBER(INDEX(상세표[시작],$U214)),TEXT(INDEX(상세표[시작],$U214),"yyyy-mm-dd hh:mm"),INDEX(상세표[시작],$U214)&amp;""))</f>
        <v/>
      </c>
      <c r="O214">
        <f>IF($U214="","",IF(ISNUMBER(INDEX(상세표[종료],$U214)),TEXT(INDEX(상세표[종료],$U214),"yyyy-mm-dd hh:mm"),INDEX(상세표[종료],$U214)&amp;""))</f>
        <v/>
      </c>
      <c r="P214" s="20">
        <f>IF($U214="","",INDEX(상세표[06~07시],$U214))</f>
        <v/>
      </c>
      <c r="Q214" s="20">
        <f>IF($U214="","",INDEX(상세표[07~18시],$U214))</f>
        <v/>
      </c>
      <c r="R214" s="20">
        <f>IF($U214="","",INDEX(상세표[18~22시],$U214))</f>
        <v/>
      </c>
      <c r="S214" s="20">
        <f>IF($U214="","",INDEX(상세표[22~06시],$U214))</f>
        <v/>
      </c>
      <c r="T214" s="20">
        <f>IF($U214="","",INDEX(상세표[기록 시간외],$U214))</f>
        <v/>
      </c>
      <c r="U214" s="4">
        <f>IFERROR(MATCH(209,상세표[발송순번],0),"")</f>
        <v/>
      </c>
    </row>
    <row r="215">
      <c r="A215">
        <f>IF($H215="","",INDEX(상세표[사번],$H215)&amp;"")</f>
        <v/>
      </c>
      <c r="B215">
        <f>IF($H215="","",INDEX(상세표[성명],$H215)&amp;"")</f>
        <v/>
      </c>
      <c r="C215">
        <f>IF($H215="","",INDEX(상세표[부서],$H215)&amp;"")</f>
        <v/>
      </c>
      <c r="D215">
        <f>IF($H215="","",IF(IFERROR(INDEX(합계표[직위(요약)],MATCH(INDEX(상세표[사번키],$H215),합계표[사번키],0))&amp;IF(INDEX(합계표[직급 공존],MATCH(INDEX(상세표[사번키],$H215),합계표[사번키],0))="",""," ("&amp;INDEX(합계표[직급 공존],MATCH(INDEX(상세표[사번키],$H215),합계표[사번키],0))&amp;")"),"")="",INDEX(상세표[직위],$H215)&amp;"",IFERROR(INDEX(합계표[직위(요약)],MATCH(INDEX(상세표[사번키],$H215),합계표[사번키],0))&amp;IF(INDEX(합계표[직급 공존],MATCH(INDEX(상세표[사번키],$H215),합계표[사번키],0))="",""," ("&amp;INDEX(합계표[직급 공존],MATCH(INDEX(상세표[사번키],$H215),합계표[사번키],0))&amp;")"),"")))</f>
        <v/>
      </c>
      <c r="E215">
        <f>IF($H215="","",COUNTIFS(상세표[사번키],INDEX(상세표[사번키],$H215),상세표[기록월],대상월키))</f>
        <v/>
      </c>
      <c r="F215" s="20">
        <f>IF($H215="","",SUMIFS(상세표[기록 시간외],상세표[사번키],INDEX(상세표[사번키],$H215),상세표[기록월],대상월키))</f>
        <v/>
      </c>
      <c r="G215" s="20">
        <f>IF($H215="","",SUMIFS(합계표[시스템 합계],합계표[사번키],INDEX(상세표[사번키],$H215)))</f>
        <v/>
      </c>
      <c r="H215" s="4">
        <f>IFERROR(MATCH(210,상세표[발송인원순번],0),"")</f>
        <v/>
      </c>
      <c r="J215">
        <f>IF($U215="","",INDEX(상세표[사번],$U215)&amp;"")</f>
        <v/>
      </c>
      <c r="K215">
        <f>IF($U215="","",INDEX(상세표[성명],$U215)&amp;"")</f>
        <v/>
      </c>
      <c r="L215">
        <f>IF($U215="","",INDEX(상세표[직위],$U215)&amp;"")</f>
        <v/>
      </c>
      <c r="M215">
        <f>IF($U215="","",IF(ISNUMBER(INDEX(상세표[근무일자],$U215)),TEXT(INDEX(상세표[근무일자],$U215),"yyyy-mm-dd"),INDEX(상세표[근무일자],$U215)&amp;""))</f>
        <v/>
      </c>
      <c r="N215">
        <f>IF($U215="","",IF(ISNUMBER(INDEX(상세표[시작],$U215)),TEXT(INDEX(상세표[시작],$U215),"yyyy-mm-dd hh:mm"),INDEX(상세표[시작],$U215)&amp;""))</f>
        <v/>
      </c>
      <c r="O215">
        <f>IF($U215="","",IF(ISNUMBER(INDEX(상세표[종료],$U215)),TEXT(INDEX(상세표[종료],$U215),"yyyy-mm-dd hh:mm"),INDEX(상세표[종료],$U215)&amp;""))</f>
        <v/>
      </c>
      <c r="P215" s="20">
        <f>IF($U215="","",INDEX(상세표[06~07시],$U215))</f>
        <v/>
      </c>
      <c r="Q215" s="20">
        <f>IF($U215="","",INDEX(상세표[07~18시],$U215))</f>
        <v/>
      </c>
      <c r="R215" s="20">
        <f>IF($U215="","",INDEX(상세표[18~22시],$U215))</f>
        <v/>
      </c>
      <c r="S215" s="20">
        <f>IF($U215="","",INDEX(상세표[22~06시],$U215))</f>
        <v/>
      </c>
      <c r="T215" s="20">
        <f>IF($U215="","",INDEX(상세표[기록 시간외],$U215))</f>
        <v/>
      </c>
      <c r="U215" s="4">
        <f>IFERROR(MATCH(210,상세표[발송순번],0),"")</f>
        <v/>
      </c>
    </row>
    <row r="216">
      <c r="A216">
        <f>IF($H216="","",INDEX(상세표[사번],$H216)&amp;"")</f>
        <v/>
      </c>
      <c r="B216">
        <f>IF($H216="","",INDEX(상세표[성명],$H216)&amp;"")</f>
        <v/>
      </c>
      <c r="C216">
        <f>IF($H216="","",INDEX(상세표[부서],$H216)&amp;"")</f>
        <v/>
      </c>
      <c r="D216">
        <f>IF($H216="","",IF(IFERROR(INDEX(합계표[직위(요약)],MATCH(INDEX(상세표[사번키],$H216),합계표[사번키],0))&amp;IF(INDEX(합계표[직급 공존],MATCH(INDEX(상세표[사번키],$H216),합계표[사번키],0))="",""," ("&amp;INDEX(합계표[직급 공존],MATCH(INDEX(상세표[사번키],$H216),합계표[사번키],0))&amp;")"),"")="",INDEX(상세표[직위],$H216)&amp;"",IFERROR(INDEX(합계표[직위(요약)],MATCH(INDEX(상세표[사번키],$H216),합계표[사번키],0))&amp;IF(INDEX(합계표[직급 공존],MATCH(INDEX(상세표[사번키],$H216),합계표[사번키],0))="",""," ("&amp;INDEX(합계표[직급 공존],MATCH(INDEX(상세표[사번키],$H216),합계표[사번키],0))&amp;")"),"")))</f>
        <v/>
      </c>
      <c r="E216">
        <f>IF($H216="","",COUNTIFS(상세표[사번키],INDEX(상세표[사번키],$H216),상세표[기록월],대상월키))</f>
        <v/>
      </c>
      <c r="F216" s="20">
        <f>IF($H216="","",SUMIFS(상세표[기록 시간외],상세표[사번키],INDEX(상세표[사번키],$H216),상세표[기록월],대상월키))</f>
        <v/>
      </c>
      <c r="G216" s="20">
        <f>IF($H216="","",SUMIFS(합계표[시스템 합계],합계표[사번키],INDEX(상세표[사번키],$H216)))</f>
        <v/>
      </c>
      <c r="H216" s="4">
        <f>IFERROR(MATCH(211,상세표[발송인원순번],0),"")</f>
        <v/>
      </c>
      <c r="J216">
        <f>IF($U216="","",INDEX(상세표[사번],$U216)&amp;"")</f>
        <v/>
      </c>
      <c r="K216">
        <f>IF($U216="","",INDEX(상세표[성명],$U216)&amp;"")</f>
        <v/>
      </c>
      <c r="L216">
        <f>IF($U216="","",INDEX(상세표[직위],$U216)&amp;"")</f>
        <v/>
      </c>
      <c r="M216">
        <f>IF($U216="","",IF(ISNUMBER(INDEX(상세표[근무일자],$U216)),TEXT(INDEX(상세표[근무일자],$U216),"yyyy-mm-dd"),INDEX(상세표[근무일자],$U216)&amp;""))</f>
        <v/>
      </c>
      <c r="N216">
        <f>IF($U216="","",IF(ISNUMBER(INDEX(상세표[시작],$U216)),TEXT(INDEX(상세표[시작],$U216),"yyyy-mm-dd hh:mm"),INDEX(상세표[시작],$U216)&amp;""))</f>
        <v/>
      </c>
      <c r="O216">
        <f>IF($U216="","",IF(ISNUMBER(INDEX(상세표[종료],$U216)),TEXT(INDEX(상세표[종료],$U216),"yyyy-mm-dd hh:mm"),INDEX(상세표[종료],$U216)&amp;""))</f>
        <v/>
      </c>
      <c r="P216" s="20">
        <f>IF($U216="","",INDEX(상세표[06~07시],$U216))</f>
        <v/>
      </c>
      <c r="Q216" s="20">
        <f>IF($U216="","",INDEX(상세표[07~18시],$U216))</f>
        <v/>
      </c>
      <c r="R216" s="20">
        <f>IF($U216="","",INDEX(상세표[18~22시],$U216))</f>
        <v/>
      </c>
      <c r="S216" s="20">
        <f>IF($U216="","",INDEX(상세표[22~06시],$U216))</f>
        <v/>
      </c>
      <c r="T216" s="20">
        <f>IF($U216="","",INDEX(상세표[기록 시간외],$U216))</f>
        <v/>
      </c>
      <c r="U216" s="4">
        <f>IFERROR(MATCH(211,상세표[발송순번],0),"")</f>
        <v/>
      </c>
    </row>
    <row r="217">
      <c r="A217">
        <f>IF($H217="","",INDEX(상세표[사번],$H217)&amp;"")</f>
        <v/>
      </c>
      <c r="B217">
        <f>IF($H217="","",INDEX(상세표[성명],$H217)&amp;"")</f>
        <v/>
      </c>
      <c r="C217">
        <f>IF($H217="","",INDEX(상세표[부서],$H217)&amp;"")</f>
        <v/>
      </c>
      <c r="D217">
        <f>IF($H217="","",IF(IFERROR(INDEX(합계표[직위(요약)],MATCH(INDEX(상세표[사번키],$H217),합계표[사번키],0))&amp;IF(INDEX(합계표[직급 공존],MATCH(INDEX(상세표[사번키],$H217),합계표[사번키],0))="",""," ("&amp;INDEX(합계표[직급 공존],MATCH(INDEX(상세표[사번키],$H217),합계표[사번키],0))&amp;")"),"")="",INDEX(상세표[직위],$H217)&amp;"",IFERROR(INDEX(합계표[직위(요약)],MATCH(INDEX(상세표[사번키],$H217),합계표[사번키],0))&amp;IF(INDEX(합계표[직급 공존],MATCH(INDEX(상세표[사번키],$H217),합계표[사번키],0))="",""," ("&amp;INDEX(합계표[직급 공존],MATCH(INDEX(상세표[사번키],$H217),합계표[사번키],0))&amp;")"),"")))</f>
        <v/>
      </c>
      <c r="E217">
        <f>IF($H217="","",COUNTIFS(상세표[사번키],INDEX(상세표[사번키],$H217),상세표[기록월],대상월키))</f>
        <v/>
      </c>
      <c r="F217" s="20">
        <f>IF($H217="","",SUMIFS(상세표[기록 시간외],상세표[사번키],INDEX(상세표[사번키],$H217),상세표[기록월],대상월키))</f>
        <v/>
      </c>
      <c r="G217" s="20">
        <f>IF($H217="","",SUMIFS(합계표[시스템 합계],합계표[사번키],INDEX(상세표[사번키],$H217)))</f>
        <v/>
      </c>
      <c r="H217" s="4">
        <f>IFERROR(MATCH(212,상세표[발송인원순번],0),"")</f>
        <v/>
      </c>
      <c r="J217">
        <f>IF($U217="","",INDEX(상세표[사번],$U217)&amp;"")</f>
        <v/>
      </c>
      <c r="K217">
        <f>IF($U217="","",INDEX(상세표[성명],$U217)&amp;"")</f>
        <v/>
      </c>
      <c r="L217">
        <f>IF($U217="","",INDEX(상세표[직위],$U217)&amp;"")</f>
        <v/>
      </c>
      <c r="M217">
        <f>IF($U217="","",IF(ISNUMBER(INDEX(상세표[근무일자],$U217)),TEXT(INDEX(상세표[근무일자],$U217),"yyyy-mm-dd"),INDEX(상세표[근무일자],$U217)&amp;""))</f>
        <v/>
      </c>
      <c r="N217">
        <f>IF($U217="","",IF(ISNUMBER(INDEX(상세표[시작],$U217)),TEXT(INDEX(상세표[시작],$U217),"yyyy-mm-dd hh:mm"),INDEX(상세표[시작],$U217)&amp;""))</f>
        <v/>
      </c>
      <c r="O217">
        <f>IF($U217="","",IF(ISNUMBER(INDEX(상세표[종료],$U217)),TEXT(INDEX(상세표[종료],$U217),"yyyy-mm-dd hh:mm"),INDEX(상세표[종료],$U217)&amp;""))</f>
        <v/>
      </c>
      <c r="P217" s="20">
        <f>IF($U217="","",INDEX(상세표[06~07시],$U217))</f>
        <v/>
      </c>
      <c r="Q217" s="20">
        <f>IF($U217="","",INDEX(상세표[07~18시],$U217))</f>
        <v/>
      </c>
      <c r="R217" s="20">
        <f>IF($U217="","",INDEX(상세표[18~22시],$U217))</f>
        <v/>
      </c>
      <c r="S217" s="20">
        <f>IF($U217="","",INDEX(상세표[22~06시],$U217))</f>
        <v/>
      </c>
      <c r="T217" s="20">
        <f>IF($U217="","",INDEX(상세표[기록 시간외],$U217))</f>
        <v/>
      </c>
      <c r="U217" s="4">
        <f>IFERROR(MATCH(212,상세표[발송순번],0),"")</f>
        <v/>
      </c>
    </row>
    <row r="218">
      <c r="A218">
        <f>IF($H218="","",INDEX(상세표[사번],$H218)&amp;"")</f>
        <v/>
      </c>
      <c r="B218">
        <f>IF($H218="","",INDEX(상세표[성명],$H218)&amp;"")</f>
        <v/>
      </c>
      <c r="C218">
        <f>IF($H218="","",INDEX(상세표[부서],$H218)&amp;"")</f>
        <v/>
      </c>
      <c r="D218">
        <f>IF($H218="","",IF(IFERROR(INDEX(합계표[직위(요약)],MATCH(INDEX(상세표[사번키],$H218),합계표[사번키],0))&amp;IF(INDEX(합계표[직급 공존],MATCH(INDEX(상세표[사번키],$H218),합계표[사번키],0))="",""," ("&amp;INDEX(합계표[직급 공존],MATCH(INDEX(상세표[사번키],$H218),합계표[사번키],0))&amp;")"),"")="",INDEX(상세표[직위],$H218)&amp;"",IFERROR(INDEX(합계표[직위(요약)],MATCH(INDEX(상세표[사번키],$H218),합계표[사번키],0))&amp;IF(INDEX(합계표[직급 공존],MATCH(INDEX(상세표[사번키],$H218),합계표[사번키],0))="",""," ("&amp;INDEX(합계표[직급 공존],MATCH(INDEX(상세표[사번키],$H218),합계표[사번키],0))&amp;")"),"")))</f>
        <v/>
      </c>
      <c r="E218">
        <f>IF($H218="","",COUNTIFS(상세표[사번키],INDEX(상세표[사번키],$H218),상세표[기록월],대상월키))</f>
        <v/>
      </c>
      <c r="F218" s="20">
        <f>IF($H218="","",SUMIFS(상세표[기록 시간외],상세표[사번키],INDEX(상세표[사번키],$H218),상세표[기록월],대상월키))</f>
        <v/>
      </c>
      <c r="G218" s="20">
        <f>IF($H218="","",SUMIFS(합계표[시스템 합계],합계표[사번키],INDEX(상세표[사번키],$H218)))</f>
        <v/>
      </c>
      <c r="H218" s="4">
        <f>IFERROR(MATCH(213,상세표[발송인원순번],0),"")</f>
        <v/>
      </c>
      <c r="J218">
        <f>IF($U218="","",INDEX(상세표[사번],$U218)&amp;"")</f>
        <v/>
      </c>
      <c r="K218">
        <f>IF($U218="","",INDEX(상세표[성명],$U218)&amp;"")</f>
        <v/>
      </c>
      <c r="L218">
        <f>IF($U218="","",INDEX(상세표[직위],$U218)&amp;"")</f>
        <v/>
      </c>
      <c r="M218">
        <f>IF($U218="","",IF(ISNUMBER(INDEX(상세표[근무일자],$U218)),TEXT(INDEX(상세표[근무일자],$U218),"yyyy-mm-dd"),INDEX(상세표[근무일자],$U218)&amp;""))</f>
        <v/>
      </c>
      <c r="N218">
        <f>IF($U218="","",IF(ISNUMBER(INDEX(상세표[시작],$U218)),TEXT(INDEX(상세표[시작],$U218),"yyyy-mm-dd hh:mm"),INDEX(상세표[시작],$U218)&amp;""))</f>
        <v/>
      </c>
      <c r="O218">
        <f>IF($U218="","",IF(ISNUMBER(INDEX(상세표[종료],$U218)),TEXT(INDEX(상세표[종료],$U218),"yyyy-mm-dd hh:mm"),INDEX(상세표[종료],$U218)&amp;""))</f>
        <v/>
      </c>
      <c r="P218" s="20">
        <f>IF($U218="","",INDEX(상세표[06~07시],$U218))</f>
        <v/>
      </c>
      <c r="Q218" s="20">
        <f>IF($U218="","",INDEX(상세표[07~18시],$U218))</f>
        <v/>
      </c>
      <c r="R218" s="20">
        <f>IF($U218="","",INDEX(상세표[18~22시],$U218))</f>
        <v/>
      </c>
      <c r="S218" s="20">
        <f>IF($U218="","",INDEX(상세표[22~06시],$U218))</f>
        <v/>
      </c>
      <c r="T218" s="20">
        <f>IF($U218="","",INDEX(상세표[기록 시간외],$U218))</f>
        <v/>
      </c>
      <c r="U218" s="4">
        <f>IFERROR(MATCH(213,상세표[발송순번],0),"")</f>
        <v/>
      </c>
    </row>
    <row r="219">
      <c r="A219">
        <f>IF($H219="","",INDEX(상세표[사번],$H219)&amp;"")</f>
        <v/>
      </c>
      <c r="B219">
        <f>IF($H219="","",INDEX(상세표[성명],$H219)&amp;"")</f>
        <v/>
      </c>
      <c r="C219">
        <f>IF($H219="","",INDEX(상세표[부서],$H219)&amp;"")</f>
        <v/>
      </c>
      <c r="D219">
        <f>IF($H219="","",IF(IFERROR(INDEX(합계표[직위(요약)],MATCH(INDEX(상세표[사번키],$H219),합계표[사번키],0))&amp;IF(INDEX(합계표[직급 공존],MATCH(INDEX(상세표[사번키],$H219),합계표[사번키],0))="",""," ("&amp;INDEX(합계표[직급 공존],MATCH(INDEX(상세표[사번키],$H219),합계표[사번키],0))&amp;")"),"")="",INDEX(상세표[직위],$H219)&amp;"",IFERROR(INDEX(합계표[직위(요약)],MATCH(INDEX(상세표[사번키],$H219),합계표[사번키],0))&amp;IF(INDEX(합계표[직급 공존],MATCH(INDEX(상세표[사번키],$H219),합계표[사번키],0))="",""," ("&amp;INDEX(합계표[직급 공존],MATCH(INDEX(상세표[사번키],$H219),합계표[사번키],0))&amp;")"),"")))</f>
        <v/>
      </c>
      <c r="E219">
        <f>IF($H219="","",COUNTIFS(상세표[사번키],INDEX(상세표[사번키],$H219),상세표[기록월],대상월키))</f>
        <v/>
      </c>
      <c r="F219" s="20">
        <f>IF($H219="","",SUMIFS(상세표[기록 시간외],상세표[사번키],INDEX(상세표[사번키],$H219),상세표[기록월],대상월키))</f>
        <v/>
      </c>
      <c r="G219" s="20">
        <f>IF($H219="","",SUMIFS(합계표[시스템 합계],합계표[사번키],INDEX(상세표[사번키],$H219)))</f>
        <v/>
      </c>
      <c r="H219" s="4">
        <f>IFERROR(MATCH(214,상세표[발송인원순번],0),"")</f>
        <v/>
      </c>
      <c r="J219">
        <f>IF($U219="","",INDEX(상세표[사번],$U219)&amp;"")</f>
        <v/>
      </c>
      <c r="K219">
        <f>IF($U219="","",INDEX(상세표[성명],$U219)&amp;"")</f>
        <v/>
      </c>
      <c r="L219">
        <f>IF($U219="","",INDEX(상세표[직위],$U219)&amp;"")</f>
        <v/>
      </c>
      <c r="M219">
        <f>IF($U219="","",IF(ISNUMBER(INDEX(상세표[근무일자],$U219)),TEXT(INDEX(상세표[근무일자],$U219),"yyyy-mm-dd"),INDEX(상세표[근무일자],$U219)&amp;""))</f>
        <v/>
      </c>
      <c r="N219">
        <f>IF($U219="","",IF(ISNUMBER(INDEX(상세표[시작],$U219)),TEXT(INDEX(상세표[시작],$U219),"yyyy-mm-dd hh:mm"),INDEX(상세표[시작],$U219)&amp;""))</f>
        <v/>
      </c>
      <c r="O219">
        <f>IF($U219="","",IF(ISNUMBER(INDEX(상세표[종료],$U219)),TEXT(INDEX(상세표[종료],$U219),"yyyy-mm-dd hh:mm"),INDEX(상세표[종료],$U219)&amp;""))</f>
        <v/>
      </c>
      <c r="P219" s="20">
        <f>IF($U219="","",INDEX(상세표[06~07시],$U219))</f>
        <v/>
      </c>
      <c r="Q219" s="20">
        <f>IF($U219="","",INDEX(상세표[07~18시],$U219))</f>
        <v/>
      </c>
      <c r="R219" s="20">
        <f>IF($U219="","",INDEX(상세표[18~22시],$U219))</f>
        <v/>
      </c>
      <c r="S219" s="20">
        <f>IF($U219="","",INDEX(상세표[22~06시],$U219))</f>
        <v/>
      </c>
      <c r="T219" s="20">
        <f>IF($U219="","",INDEX(상세표[기록 시간외],$U219))</f>
        <v/>
      </c>
      <c r="U219" s="4">
        <f>IFERROR(MATCH(214,상세표[발송순번],0),"")</f>
        <v/>
      </c>
    </row>
    <row r="220">
      <c r="A220">
        <f>IF($H220="","",INDEX(상세표[사번],$H220)&amp;"")</f>
        <v/>
      </c>
      <c r="B220">
        <f>IF($H220="","",INDEX(상세표[성명],$H220)&amp;"")</f>
        <v/>
      </c>
      <c r="C220">
        <f>IF($H220="","",INDEX(상세표[부서],$H220)&amp;"")</f>
        <v/>
      </c>
      <c r="D220">
        <f>IF($H220="","",IF(IFERROR(INDEX(합계표[직위(요약)],MATCH(INDEX(상세표[사번키],$H220),합계표[사번키],0))&amp;IF(INDEX(합계표[직급 공존],MATCH(INDEX(상세표[사번키],$H220),합계표[사번키],0))="",""," ("&amp;INDEX(합계표[직급 공존],MATCH(INDEX(상세표[사번키],$H220),합계표[사번키],0))&amp;")"),"")="",INDEX(상세표[직위],$H220)&amp;"",IFERROR(INDEX(합계표[직위(요약)],MATCH(INDEX(상세표[사번키],$H220),합계표[사번키],0))&amp;IF(INDEX(합계표[직급 공존],MATCH(INDEX(상세표[사번키],$H220),합계표[사번키],0))="",""," ("&amp;INDEX(합계표[직급 공존],MATCH(INDEX(상세표[사번키],$H220),합계표[사번키],0))&amp;")"),"")))</f>
        <v/>
      </c>
      <c r="E220">
        <f>IF($H220="","",COUNTIFS(상세표[사번키],INDEX(상세표[사번키],$H220),상세표[기록월],대상월키))</f>
        <v/>
      </c>
      <c r="F220" s="20">
        <f>IF($H220="","",SUMIFS(상세표[기록 시간외],상세표[사번키],INDEX(상세표[사번키],$H220),상세표[기록월],대상월키))</f>
        <v/>
      </c>
      <c r="G220" s="20">
        <f>IF($H220="","",SUMIFS(합계표[시스템 합계],합계표[사번키],INDEX(상세표[사번키],$H220)))</f>
        <v/>
      </c>
      <c r="H220" s="4">
        <f>IFERROR(MATCH(215,상세표[발송인원순번],0),"")</f>
        <v/>
      </c>
      <c r="J220">
        <f>IF($U220="","",INDEX(상세표[사번],$U220)&amp;"")</f>
        <v/>
      </c>
      <c r="K220">
        <f>IF($U220="","",INDEX(상세표[성명],$U220)&amp;"")</f>
        <v/>
      </c>
      <c r="L220">
        <f>IF($U220="","",INDEX(상세표[직위],$U220)&amp;"")</f>
        <v/>
      </c>
      <c r="M220">
        <f>IF($U220="","",IF(ISNUMBER(INDEX(상세표[근무일자],$U220)),TEXT(INDEX(상세표[근무일자],$U220),"yyyy-mm-dd"),INDEX(상세표[근무일자],$U220)&amp;""))</f>
        <v/>
      </c>
      <c r="N220">
        <f>IF($U220="","",IF(ISNUMBER(INDEX(상세표[시작],$U220)),TEXT(INDEX(상세표[시작],$U220),"yyyy-mm-dd hh:mm"),INDEX(상세표[시작],$U220)&amp;""))</f>
        <v/>
      </c>
      <c r="O220">
        <f>IF($U220="","",IF(ISNUMBER(INDEX(상세표[종료],$U220)),TEXT(INDEX(상세표[종료],$U220),"yyyy-mm-dd hh:mm"),INDEX(상세표[종료],$U220)&amp;""))</f>
        <v/>
      </c>
      <c r="P220" s="20">
        <f>IF($U220="","",INDEX(상세표[06~07시],$U220))</f>
        <v/>
      </c>
      <c r="Q220" s="20">
        <f>IF($U220="","",INDEX(상세표[07~18시],$U220))</f>
        <v/>
      </c>
      <c r="R220" s="20">
        <f>IF($U220="","",INDEX(상세표[18~22시],$U220))</f>
        <v/>
      </c>
      <c r="S220" s="20">
        <f>IF($U220="","",INDEX(상세표[22~06시],$U220))</f>
        <v/>
      </c>
      <c r="T220" s="20">
        <f>IF($U220="","",INDEX(상세표[기록 시간외],$U220))</f>
        <v/>
      </c>
      <c r="U220" s="4">
        <f>IFERROR(MATCH(215,상세표[발송순번],0),"")</f>
        <v/>
      </c>
    </row>
    <row r="221">
      <c r="A221">
        <f>IF($H221="","",INDEX(상세표[사번],$H221)&amp;"")</f>
        <v/>
      </c>
      <c r="B221">
        <f>IF($H221="","",INDEX(상세표[성명],$H221)&amp;"")</f>
        <v/>
      </c>
      <c r="C221">
        <f>IF($H221="","",INDEX(상세표[부서],$H221)&amp;"")</f>
        <v/>
      </c>
      <c r="D221">
        <f>IF($H221="","",IF(IFERROR(INDEX(합계표[직위(요약)],MATCH(INDEX(상세표[사번키],$H221),합계표[사번키],0))&amp;IF(INDEX(합계표[직급 공존],MATCH(INDEX(상세표[사번키],$H221),합계표[사번키],0))="",""," ("&amp;INDEX(합계표[직급 공존],MATCH(INDEX(상세표[사번키],$H221),합계표[사번키],0))&amp;")"),"")="",INDEX(상세표[직위],$H221)&amp;"",IFERROR(INDEX(합계표[직위(요약)],MATCH(INDEX(상세표[사번키],$H221),합계표[사번키],0))&amp;IF(INDEX(합계표[직급 공존],MATCH(INDEX(상세표[사번키],$H221),합계표[사번키],0))="",""," ("&amp;INDEX(합계표[직급 공존],MATCH(INDEX(상세표[사번키],$H221),합계표[사번키],0))&amp;")"),"")))</f>
        <v/>
      </c>
      <c r="E221">
        <f>IF($H221="","",COUNTIFS(상세표[사번키],INDEX(상세표[사번키],$H221),상세표[기록월],대상월키))</f>
        <v/>
      </c>
      <c r="F221" s="20">
        <f>IF($H221="","",SUMIFS(상세표[기록 시간외],상세표[사번키],INDEX(상세표[사번키],$H221),상세표[기록월],대상월키))</f>
        <v/>
      </c>
      <c r="G221" s="20">
        <f>IF($H221="","",SUMIFS(합계표[시스템 합계],합계표[사번키],INDEX(상세표[사번키],$H221)))</f>
        <v/>
      </c>
      <c r="H221" s="4">
        <f>IFERROR(MATCH(216,상세표[발송인원순번],0),"")</f>
        <v/>
      </c>
      <c r="J221">
        <f>IF($U221="","",INDEX(상세표[사번],$U221)&amp;"")</f>
        <v/>
      </c>
      <c r="K221">
        <f>IF($U221="","",INDEX(상세표[성명],$U221)&amp;"")</f>
        <v/>
      </c>
      <c r="L221">
        <f>IF($U221="","",INDEX(상세표[직위],$U221)&amp;"")</f>
        <v/>
      </c>
      <c r="M221">
        <f>IF($U221="","",IF(ISNUMBER(INDEX(상세표[근무일자],$U221)),TEXT(INDEX(상세표[근무일자],$U221),"yyyy-mm-dd"),INDEX(상세표[근무일자],$U221)&amp;""))</f>
        <v/>
      </c>
      <c r="N221">
        <f>IF($U221="","",IF(ISNUMBER(INDEX(상세표[시작],$U221)),TEXT(INDEX(상세표[시작],$U221),"yyyy-mm-dd hh:mm"),INDEX(상세표[시작],$U221)&amp;""))</f>
        <v/>
      </c>
      <c r="O221">
        <f>IF($U221="","",IF(ISNUMBER(INDEX(상세표[종료],$U221)),TEXT(INDEX(상세표[종료],$U221),"yyyy-mm-dd hh:mm"),INDEX(상세표[종료],$U221)&amp;""))</f>
        <v/>
      </c>
      <c r="P221" s="20">
        <f>IF($U221="","",INDEX(상세표[06~07시],$U221))</f>
        <v/>
      </c>
      <c r="Q221" s="20">
        <f>IF($U221="","",INDEX(상세표[07~18시],$U221))</f>
        <v/>
      </c>
      <c r="R221" s="20">
        <f>IF($U221="","",INDEX(상세표[18~22시],$U221))</f>
        <v/>
      </c>
      <c r="S221" s="20">
        <f>IF($U221="","",INDEX(상세표[22~06시],$U221))</f>
        <v/>
      </c>
      <c r="T221" s="20">
        <f>IF($U221="","",INDEX(상세표[기록 시간외],$U221))</f>
        <v/>
      </c>
      <c r="U221" s="4">
        <f>IFERROR(MATCH(216,상세표[발송순번],0),"")</f>
        <v/>
      </c>
    </row>
    <row r="222">
      <c r="A222">
        <f>IF($H222="","",INDEX(상세표[사번],$H222)&amp;"")</f>
        <v/>
      </c>
      <c r="B222">
        <f>IF($H222="","",INDEX(상세표[성명],$H222)&amp;"")</f>
        <v/>
      </c>
      <c r="C222">
        <f>IF($H222="","",INDEX(상세표[부서],$H222)&amp;"")</f>
        <v/>
      </c>
      <c r="D222">
        <f>IF($H222="","",IF(IFERROR(INDEX(합계표[직위(요약)],MATCH(INDEX(상세표[사번키],$H222),합계표[사번키],0))&amp;IF(INDEX(합계표[직급 공존],MATCH(INDEX(상세표[사번키],$H222),합계표[사번키],0))="",""," ("&amp;INDEX(합계표[직급 공존],MATCH(INDEX(상세표[사번키],$H222),합계표[사번키],0))&amp;")"),"")="",INDEX(상세표[직위],$H222)&amp;"",IFERROR(INDEX(합계표[직위(요약)],MATCH(INDEX(상세표[사번키],$H222),합계표[사번키],0))&amp;IF(INDEX(합계표[직급 공존],MATCH(INDEX(상세표[사번키],$H222),합계표[사번키],0))="",""," ("&amp;INDEX(합계표[직급 공존],MATCH(INDEX(상세표[사번키],$H222),합계표[사번키],0))&amp;")"),"")))</f>
        <v/>
      </c>
      <c r="E222">
        <f>IF($H222="","",COUNTIFS(상세표[사번키],INDEX(상세표[사번키],$H222),상세표[기록월],대상월키))</f>
        <v/>
      </c>
      <c r="F222" s="20">
        <f>IF($H222="","",SUMIFS(상세표[기록 시간외],상세표[사번키],INDEX(상세표[사번키],$H222),상세표[기록월],대상월키))</f>
        <v/>
      </c>
      <c r="G222" s="20">
        <f>IF($H222="","",SUMIFS(합계표[시스템 합계],합계표[사번키],INDEX(상세표[사번키],$H222)))</f>
        <v/>
      </c>
      <c r="H222" s="4">
        <f>IFERROR(MATCH(217,상세표[발송인원순번],0),"")</f>
        <v/>
      </c>
      <c r="J222">
        <f>IF($U222="","",INDEX(상세표[사번],$U222)&amp;"")</f>
        <v/>
      </c>
      <c r="K222">
        <f>IF($U222="","",INDEX(상세표[성명],$U222)&amp;"")</f>
        <v/>
      </c>
      <c r="L222">
        <f>IF($U222="","",INDEX(상세표[직위],$U222)&amp;"")</f>
        <v/>
      </c>
      <c r="M222">
        <f>IF($U222="","",IF(ISNUMBER(INDEX(상세표[근무일자],$U222)),TEXT(INDEX(상세표[근무일자],$U222),"yyyy-mm-dd"),INDEX(상세표[근무일자],$U222)&amp;""))</f>
        <v/>
      </c>
      <c r="N222">
        <f>IF($U222="","",IF(ISNUMBER(INDEX(상세표[시작],$U222)),TEXT(INDEX(상세표[시작],$U222),"yyyy-mm-dd hh:mm"),INDEX(상세표[시작],$U222)&amp;""))</f>
        <v/>
      </c>
      <c r="O222">
        <f>IF($U222="","",IF(ISNUMBER(INDEX(상세표[종료],$U222)),TEXT(INDEX(상세표[종료],$U222),"yyyy-mm-dd hh:mm"),INDEX(상세표[종료],$U222)&amp;""))</f>
        <v/>
      </c>
      <c r="P222" s="20">
        <f>IF($U222="","",INDEX(상세표[06~07시],$U222))</f>
        <v/>
      </c>
      <c r="Q222" s="20">
        <f>IF($U222="","",INDEX(상세표[07~18시],$U222))</f>
        <v/>
      </c>
      <c r="R222" s="20">
        <f>IF($U222="","",INDEX(상세표[18~22시],$U222))</f>
        <v/>
      </c>
      <c r="S222" s="20">
        <f>IF($U222="","",INDEX(상세표[22~06시],$U222))</f>
        <v/>
      </c>
      <c r="T222" s="20">
        <f>IF($U222="","",INDEX(상세표[기록 시간외],$U222))</f>
        <v/>
      </c>
      <c r="U222" s="4">
        <f>IFERROR(MATCH(217,상세표[발송순번],0),"")</f>
        <v/>
      </c>
    </row>
    <row r="223">
      <c r="A223">
        <f>IF($H223="","",INDEX(상세표[사번],$H223)&amp;"")</f>
        <v/>
      </c>
      <c r="B223">
        <f>IF($H223="","",INDEX(상세표[성명],$H223)&amp;"")</f>
        <v/>
      </c>
      <c r="C223">
        <f>IF($H223="","",INDEX(상세표[부서],$H223)&amp;"")</f>
        <v/>
      </c>
      <c r="D223">
        <f>IF($H223="","",IF(IFERROR(INDEX(합계표[직위(요약)],MATCH(INDEX(상세표[사번키],$H223),합계표[사번키],0))&amp;IF(INDEX(합계표[직급 공존],MATCH(INDEX(상세표[사번키],$H223),합계표[사번키],0))="",""," ("&amp;INDEX(합계표[직급 공존],MATCH(INDEX(상세표[사번키],$H223),합계표[사번키],0))&amp;")"),"")="",INDEX(상세표[직위],$H223)&amp;"",IFERROR(INDEX(합계표[직위(요약)],MATCH(INDEX(상세표[사번키],$H223),합계표[사번키],0))&amp;IF(INDEX(합계표[직급 공존],MATCH(INDEX(상세표[사번키],$H223),합계표[사번키],0))="",""," ("&amp;INDEX(합계표[직급 공존],MATCH(INDEX(상세표[사번키],$H223),합계표[사번키],0))&amp;")"),"")))</f>
        <v/>
      </c>
      <c r="E223">
        <f>IF($H223="","",COUNTIFS(상세표[사번키],INDEX(상세표[사번키],$H223),상세표[기록월],대상월키))</f>
        <v/>
      </c>
      <c r="F223" s="20">
        <f>IF($H223="","",SUMIFS(상세표[기록 시간외],상세표[사번키],INDEX(상세표[사번키],$H223),상세표[기록월],대상월키))</f>
        <v/>
      </c>
      <c r="G223" s="20">
        <f>IF($H223="","",SUMIFS(합계표[시스템 합계],합계표[사번키],INDEX(상세표[사번키],$H223)))</f>
        <v/>
      </c>
      <c r="H223" s="4">
        <f>IFERROR(MATCH(218,상세표[발송인원순번],0),"")</f>
        <v/>
      </c>
      <c r="J223">
        <f>IF($U223="","",INDEX(상세표[사번],$U223)&amp;"")</f>
        <v/>
      </c>
      <c r="K223">
        <f>IF($U223="","",INDEX(상세표[성명],$U223)&amp;"")</f>
        <v/>
      </c>
      <c r="L223">
        <f>IF($U223="","",INDEX(상세표[직위],$U223)&amp;"")</f>
        <v/>
      </c>
      <c r="M223">
        <f>IF($U223="","",IF(ISNUMBER(INDEX(상세표[근무일자],$U223)),TEXT(INDEX(상세표[근무일자],$U223),"yyyy-mm-dd"),INDEX(상세표[근무일자],$U223)&amp;""))</f>
        <v/>
      </c>
      <c r="N223">
        <f>IF($U223="","",IF(ISNUMBER(INDEX(상세표[시작],$U223)),TEXT(INDEX(상세표[시작],$U223),"yyyy-mm-dd hh:mm"),INDEX(상세표[시작],$U223)&amp;""))</f>
        <v/>
      </c>
      <c r="O223">
        <f>IF($U223="","",IF(ISNUMBER(INDEX(상세표[종료],$U223)),TEXT(INDEX(상세표[종료],$U223),"yyyy-mm-dd hh:mm"),INDEX(상세표[종료],$U223)&amp;""))</f>
        <v/>
      </c>
      <c r="P223" s="20">
        <f>IF($U223="","",INDEX(상세표[06~07시],$U223))</f>
        <v/>
      </c>
      <c r="Q223" s="20">
        <f>IF($U223="","",INDEX(상세표[07~18시],$U223))</f>
        <v/>
      </c>
      <c r="R223" s="20">
        <f>IF($U223="","",INDEX(상세표[18~22시],$U223))</f>
        <v/>
      </c>
      <c r="S223" s="20">
        <f>IF($U223="","",INDEX(상세표[22~06시],$U223))</f>
        <v/>
      </c>
      <c r="T223" s="20">
        <f>IF($U223="","",INDEX(상세표[기록 시간외],$U223))</f>
        <v/>
      </c>
      <c r="U223" s="4">
        <f>IFERROR(MATCH(218,상세표[발송순번],0),"")</f>
        <v/>
      </c>
    </row>
    <row r="224">
      <c r="A224">
        <f>IF($H224="","",INDEX(상세표[사번],$H224)&amp;"")</f>
        <v/>
      </c>
      <c r="B224">
        <f>IF($H224="","",INDEX(상세표[성명],$H224)&amp;"")</f>
        <v/>
      </c>
      <c r="C224">
        <f>IF($H224="","",INDEX(상세표[부서],$H224)&amp;"")</f>
        <v/>
      </c>
      <c r="D224">
        <f>IF($H224="","",IF(IFERROR(INDEX(합계표[직위(요약)],MATCH(INDEX(상세표[사번키],$H224),합계표[사번키],0))&amp;IF(INDEX(합계표[직급 공존],MATCH(INDEX(상세표[사번키],$H224),합계표[사번키],0))="",""," ("&amp;INDEX(합계표[직급 공존],MATCH(INDEX(상세표[사번키],$H224),합계표[사번키],0))&amp;")"),"")="",INDEX(상세표[직위],$H224)&amp;"",IFERROR(INDEX(합계표[직위(요약)],MATCH(INDEX(상세표[사번키],$H224),합계표[사번키],0))&amp;IF(INDEX(합계표[직급 공존],MATCH(INDEX(상세표[사번키],$H224),합계표[사번키],0))="",""," ("&amp;INDEX(합계표[직급 공존],MATCH(INDEX(상세표[사번키],$H224),합계표[사번키],0))&amp;")"),"")))</f>
        <v/>
      </c>
      <c r="E224">
        <f>IF($H224="","",COUNTIFS(상세표[사번키],INDEX(상세표[사번키],$H224),상세표[기록월],대상월키))</f>
        <v/>
      </c>
      <c r="F224" s="20">
        <f>IF($H224="","",SUMIFS(상세표[기록 시간외],상세표[사번키],INDEX(상세표[사번키],$H224),상세표[기록월],대상월키))</f>
        <v/>
      </c>
      <c r="G224" s="20">
        <f>IF($H224="","",SUMIFS(합계표[시스템 합계],합계표[사번키],INDEX(상세표[사번키],$H224)))</f>
        <v/>
      </c>
      <c r="H224" s="4">
        <f>IFERROR(MATCH(219,상세표[발송인원순번],0),"")</f>
        <v/>
      </c>
      <c r="J224">
        <f>IF($U224="","",INDEX(상세표[사번],$U224)&amp;"")</f>
        <v/>
      </c>
      <c r="K224">
        <f>IF($U224="","",INDEX(상세표[성명],$U224)&amp;"")</f>
        <v/>
      </c>
      <c r="L224">
        <f>IF($U224="","",INDEX(상세표[직위],$U224)&amp;"")</f>
        <v/>
      </c>
      <c r="M224">
        <f>IF($U224="","",IF(ISNUMBER(INDEX(상세표[근무일자],$U224)),TEXT(INDEX(상세표[근무일자],$U224),"yyyy-mm-dd"),INDEX(상세표[근무일자],$U224)&amp;""))</f>
        <v/>
      </c>
      <c r="N224">
        <f>IF($U224="","",IF(ISNUMBER(INDEX(상세표[시작],$U224)),TEXT(INDEX(상세표[시작],$U224),"yyyy-mm-dd hh:mm"),INDEX(상세표[시작],$U224)&amp;""))</f>
        <v/>
      </c>
      <c r="O224">
        <f>IF($U224="","",IF(ISNUMBER(INDEX(상세표[종료],$U224)),TEXT(INDEX(상세표[종료],$U224),"yyyy-mm-dd hh:mm"),INDEX(상세표[종료],$U224)&amp;""))</f>
        <v/>
      </c>
      <c r="P224" s="20">
        <f>IF($U224="","",INDEX(상세표[06~07시],$U224))</f>
        <v/>
      </c>
      <c r="Q224" s="20">
        <f>IF($U224="","",INDEX(상세표[07~18시],$U224))</f>
        <v/>
      </c>
      <c r="R224" s="20">
        <f>IF($U224="","",INDEX(상세표[18~22시],$U224))</f>
        <v/>
      </c>
      <c r="S224" s="20">
        <f>IF($U224="","",INDEX(상세표[22~06시],$U224))</f>
        <v/>
      </c>
      <c r="T224" s="20">
        <f>IF($U224="","",INDEX(상세표[기록 시간외],$U224))</f>
        <v/>
      </c>
      <c r="U224" s="4">
        <f>IFERROR(MATCH(219,상세표[발송순번],0),"")</f>
        <v/>
      </c>
    </row>
    <row r="225">
      <c r="A225">
        <f>IF($H225="","",INDEX(상세표[사번],$H225)&amp;"")</f>
        <v/>
      </c>
      <c r="B225">
        <f>IF($H225="","",INDEX(상세표[성명],$H225)&amp;"")</f>
        <v/>
      </c>
      <c r="C225">
        <f>IF($H225="","",INDEX(상세표[부서],$H225)&amp;"")</f>
        <v/>
      </c>
      <c r="D225">
        <f>IF($H225="","",IF(IFERROR(INDEX(합계표[직위(요약)],MATCH(INDEX(상세표[사번키],$H225),합계표[사번키],0))&amp;IF(INDEX(합계표[직급 공존],MATCH(INDEX(상세표[사번키],$H225),합계표[사번키],0))="",""," ("&amp;INDEX(합계표[직급 공존],MATCH(INDEX(상세표[사번키],$H225),합계표[사번키],0))&amp;")"),"")="",INDEX(상세표[직위],$H225)&amp;"",IFERROR(INDEX(합계표[직위(요약)],MATCH(INDEX(상세표[사번키],$H225),합계표[사번키],0))&amp;IF(INDEX(합계표[직급 공존],MATCH(INDEX(상세표[사번키],$H225),합계표[사번키],0))="",""," ("&amp;INDEX(합계표[직급 공존],MATCH(INDEX(상세표[사번키],$H225),합계표[사번키],0))&amp;")"),"")))</f>
        <v/>
      </c>
      <c r="E225">
        <f>IF($H225="","",COUNTIFS(상세표[사번키],INDEX(상세표[사번키],$H225),상세표[기록월],대상월키))</f>
        <v/>
      </c>
      <c r="F225" s="20">
        <f>IF($H225="","",SUMIFS(상세표[기록 시간외],상세표[사번키],INDEX(상세표[사번키],$H225),상세표[기록월],대상월키))</f>
        <v/>
      </c>
      <c r="G225" s="20">
        <f>IF($H225="","",SUMIFS(합계표[시스템 합계],합계표[사번키],INDEX(상세표[사번키],$H225)))</f>
        <v/>
      </c>
      <c r="H225" s="4">
        <f>IFERROR(MATCH(220,상세표[발송인원순번],0),"")</f>
        <v/>
      </c>
      <c r="J225">
        <f>IF($U225="","",INDEX(상세표[사번],$U225)&amp;"")</f>
        <v/>
      </c>
      <c r="K225">
        <f>IF($U225="","",INDEX(상세표[성명],$U225)&amp;"")</f>
        <v/>
      </c>
      <c r="L225">
        <f>IF($U225="","",INDEX(상세표[직위],$U225)&amp;"")</f>
        <v/>
      </c>
      <c r="M225">
        <f>IF($U225="","",IF(ISNUMBER(INDEX(상세표[근무일자],$U225)),TEXT(INDEX(상세표[근무일자],$U225),"yyyy-mm-dd"),INDEX(상세표[근무일자],$U225)&amp;""))</f>
        <v/>
      </c>
      <c r="N225">
        <f>IF($U225="","",IF(ISNUMBER(INDEX(상세표[시작],$U225)),TEXT(INDEX(상세표[시작],$U225),"yyyy-mm-dd hh:mm"),INDEX(상세표[시작],$U225)&amp;""))</f>
        <v/>
      </c>
      <c r="O225">
        <f>IF($U225="","",IF(ISNUMBER(INDEX(상세표[종료],$U225)),TEXT(INDEX(상세표[종료],$U225),"yyyy-mm-dd hh:mm"),INDEX(상세표[종료],$U225)&amp;""))</f>
        <v/>
      </c>
      <c r="P225" s="20">
        <f>IF($U225="","",INDEX(상세표[06~07시],$U225))</f>
        <v/>
      </c>
      <c r="Q225" s="20">
        <f>IF($U225="","",INDEX(상세표[07~18시],$U225))</f>
        <v/>
      </c>
      <c r="R225" s="20">
        <f>IF($U225="","",INDEX(상세표[18~22시],$U225))</f>
        <v/>
      </c>
      <c r="S225" s="20">
        <f>IF($U225="","",INDEX(상세표[22~06시],$U225))</f>
        <v/>
      </c>
      <c r="T225" s="20">
        <f>IF($U225="","",INDEX(상세표[기록 시간외],$U225))</f>
        <v/>
      </c>
      <c r="U225" s="4">
        <f>IFERROR(MATCH(220,상세표[발송순번],0),"")</f>
        <v/>
      </c>
    </row>
    <row r="226">
      <c r="A226">
        <f>IF($H226="","",INDEX(상세표[사번],$H226)&amp;"")</f>
        <v/>
      </c>
      <c r="B226">
        <f>IF($H226="","",INDEX(상세표[성명],$H226)&amp;"")</f>
        <v/>
      </c>
      <c r="C226">
        <f>IF($H226="","",INDEX(상세표[부서],$H226)&amp;"")</f>
        <v/>
      </c>
      <c r="D226">
        <f>IF($H226="","",IF(IFERROR(INDEX(합계표[직위(요약)],MATCH(INDEX(상세표[사번키],$H226),합계표[사번키],0))&amp;IF(INDEX(합계표[직급 공존],MATCH(INDEX(상세표[사번키],$H226),합계표[사번키],0))="",""," ("&amp;INDEX(합계표[직급 공존],MATCH(INDEX(상세표[사번키],$H226),합계표[사번키],0))&amp;")"),"")="",INDEX(상세표[직위],$H226)&amp;"",IFERROR(INDEX(합계표[직위(요약)],MATCH(INDEX(상세표[사번키],$H226),합계표[사번키],0))&amp;IF(INDEX(합계표[직급 공존],MATCH(INDEX(상세표[사번키],$H226),합계표[사번키],0))="",""," ("&amp;INDEX(합계표[직급 공존],MATCH(INDEX(상세표[사번키],$H226),합계표[사번키],0))&amp;")"),"")))</f>
        <v/>
      </c>
      <c r="E226">
        <f>IF($H226="","",COUNTIFS(상세표[사번키],INDEX(상세표[사번키],$H226),상세표[기록월],대상월키))</f>
        <v/>
      </c>
      <c r="F226" s="20">
        <f>IF($H226="","",SUMIFS(상세표[기록 시간외],상세표[사번키],INDEX(상세표[사번키],$H226),상세표[기록월],대상월키))</f>
        <v/>
      </c>
      <c r="G226" s="20">
        <f>IF($H226="","",SUMIFS(합계표[시스템 합계],합계표[사번키],INDEX(상세표[사번키],$H226)))</f>
        <v/>
      </c>
      <c r="H226" s="4">
        <f>IFERROR(MATCH(221,상세표[발송인원순번],0),"")</f>
        <v/>
      </c>
      <c r="J226">
        <f>IF($U226="","",INDEX(상세표[사번],$U226)&amp;"")</f>
        <v/>
      </c>
      <c r="K226">
        <f>IF($U226="","",INDEX(상세표[성명],$U226)&amp;"")</f>
        <v/>
      </c>
      <c r="L226">
        <f>IF($U226="","",INDEX(상세표[직위],$U226)&amp;"")</f>
        <v/>
      </c>
      <c r="M226">
        <f>IF($U226="","",IF(ISNUMBER(INDEX(상세표[근무일자],$U226)),TEXT(INDEX(상세표[근무일자],$U226),"yyyy-mm-dd"),INDEX(상세표[근무일자],$U226)&amp;""))</f>
        <v/>
      </c>
      <c r="N226">
        <f>IF($U226="","",IF(ISNUMBER(INDEX(상세표[시작],$U226)),TEXT(INDEX(상세표[시작],$U226),"yyyy-mm-dd hh:mm"),INDEX(상세표[시작],$U226)&amp;""))</f>
        <v/>
      </c>
      <c r="O226">
        <f>IF($U226="","",IF(ISNUMBER(INDEX(상세표[종료],$U226)),TEXT(INDEX(상세표[종료],$U226),"yyyy-mm-dd hh:mm"),INDEX(상세표[종료],$U226)&amp;""))</f>
        <v/>
      </c>
      <c r="P226" s="20">
        <f>IF($U226="","",INDEX(상세표[06~07시],$U226))</f>
        <v/>
      </c>
      <c r="Q226" s="20">
        <f>IF($U226="","",INDEX(상세표[07~18시],$U226))</f>
        <v/>
      </c>
      <c r="R226" s="20">
        <f>IF($U226="","",INDEX(상세표[18~22시],$U226))</f>
        <v/>
      </c>
      <c r="S226" s="20">
        <f>IF($U226="","",INDEX(상세표[22~06시],$U226))</f>
        <v/>
      </c>
      <c r="T226" s="20">
        <f>IF($U226="","",INDEX(상세표[기록 시간외],$U226))</f>
        <v/>
      </c>
      <c r="U226" s="4">
        <f>IFERROR(MATCH(221,상세표[발송순번],0),"")</f>
        <v/>
      </c>
    </row>
    <row r="227">
      <c r="A227">
        <f>IF($H227="","",INDEX(상세표[사번],$H227)&amp;"")</f>
        <v/>
      </c>
      <c r="B227">
        <f>IF($H227="","",INDEX(상세표[성명],$H227)&amp;"")</f>
        <v/>
      </c>
      <c r="C227">
        <f>IF($H227="","",INDEX(상세표[부서],$H227)&amp;"")</f>
        <v/>
      </c>
      <c r="D227">
        <f>IF($H227="","",IF(IFERROR(INDEX(합계표[직위(요약)],MATCH(INDEX(상세표[사번키],$H227),합계표[사번키],0))&amp;IF(INDEX(합계표[직급 공존],MATCH(INDEX(상세표[사번키],$H227),합계표[사번키],0))="",""," ("&amp;INDEX(합계표[직급 공존],MATCH(INDEX(상세표[사번키],$H227),합계표[사번키],0))&amp;")"),"")="",INDEX(상세표[직위],$H227)&amp;"",IFERROR(INDEX(합계표[직위(요약)],MATCH(INDEX(상세표[사번키],$H227),합계표[사번키],0))&amp;IF(INDEX(합계표[직급 공존],MATCH(INDEX(상세표[사번키],$H227),합계표[사번키],0))="",""," ("&amp;INDEX(합계표[직급 공존],MATCH(INDEX(상세표[사번키],$H227),합계표[사번키],0))&amp;")"),"")))</f>
        <v/>
      </c>
      <c r="E227">
        <f>IF($H227="","",COUNTIFS(상세표[사번키],INDEX(상세표[사번키],$H227),상세표[기록월],대상월키))</f>
        <v/>
      </c>
      <c r="F227" s="20">
        <f>IF($H227="","",SUMIFS(상세표[기록 시간외],상세표[사번키],INDEX(상세표[사번키],$H227),상세표[기록월],대상월키))</f>
        <v/>
      </c>
      <c r="G227" s="20">
        <f>IF($H227="","",SUMIFS(합계표[시스템 합계],합계표[사번키],INDEX(상세표[사번키],$H227)))</f>
        <v/>
      </c>
      <c r="H227" s="4">
        <f>IFERROR(MATCH(222,상세표[발송인원순번],0),"")</f>
        <v/>
      </c>
      <c r="J227">
        <f>IF($U227="","",INDEX(상세표[사번],$U227)&amp;"")</f>
        <v/>
      </c>
      <c r="K227">
        <f>IF($U227="","",INDEX(상세표[성명],$U227)&amp;"")</f>
        <v/>
      </c>
      <c r="L227">
        <f>IF($U227="","",INDEX(상세표[직위],$U227)&amp;"")</f>
        <v/>
      </c>
      <c r="M227">
        <f>IF($U227="","",IF(ISNUMBER(INDEX(상세표[근무일자],$U227)),TEXT(INDEX(상세표[근무일자],$U227),"yyyy-mm-dd"),INDEX(상세표[근무일자],$U227)&amp;""))</f>
        <v/>
      </c>
      <c r="N227">
        <f>IF($U227="","",IF(ISNUMBER(INDEX(상세표[시작],$U227)),TEXT(INDEX(상세표[시작],$U227),"yyyy-mm-dd hh:mm"),INDEX(상세표[시작],$U227)&amp;""))</f>
        <v/>
      </c>
      <c r="O227">
        <f>IF($U227="","",IF(ISNUMBER(INDEX(상세표[종료],$U227)),TEXT(INDEX(상세표[종료],$U227),"yyyy-mm-dd hh:mm"),INDEX(상세표[종료],$U227)&amp;""))</f>
        <v/>
      </c>
      <c r="P227" s="20">
        <f>IF($U227="","",INDEX(상세표[06~07시],$U227))</f>
        <v/>
      </c>
      <c r="Q227" s="20">
        <f>IF($U227="","",INDEX(상세표[07~18시],$U227))</f>
        <v/>
      </c>
      <c r="R227" s="20">
        <f>IF($U227="","",INDEX(상세표[18~22시],$U227))</f>
        <v/>
      </c>
      <c r="S227" s="20">
        <f>IF($U227="","",INDEX(상세표[22~06시],$U227))</f>
        <v/>
      </c>
      <c r="T227" s="20">
        <f>IF($U227="","",INDEX(상세표[기록 시간외],$U227))</f>
        <v/>
      </c>
      <c r="U227" s="4">
        <f>IFERROR(MATCH(222,상세표[발송순번],0),"")</f>
        <v/>
      </c>
    </row>
    <row r="228">
      <c r="A228">
        <f>IF($H228="","",INDEX(상세표[사번],$H228)&amp;"")</f>
        <v/>
      </c>
      <c r="B228">
        <f>IF($H228="","",INDEX(상세표[성명],$H228)&amp;"")</f>
        <v/>
      </c>
      <c r="C228">
        <f>IF($H228="","",INDEX(상세표[부서],$H228)&amp;"")</f>
        <v/>
      </c>
      <c r="D228">
        <f>IF($H228="","",IF(IFERROR(INDEX(합계표[직위(요약)],MATCH(INDEX(상세표[사번키],$H228),합계표[사번키],0))&amp;IF(INDEX(합계표[직급 공존],MATCH(INDEX(상세표[사번키],$H228),합계표[사번키],0))="",""," ("&amp;INDEX(합계표[직급 공존],MATCH(INDEX(상세표[사번키],$H228),합계표[사번키],0))&amp;")"),"")="",INDEX(상세표[직위],$H228)&amp;"",IFERROR(INDEX(합계표[직위(요약)],MATCH(INDEX(상세표[사번키],$H228),합계표[사번키],0))&amp;IF(INDEX(합계표[직급 공존],MATCH(INDEX(상세표[사번키],$H228),합계표[사번키],0))="",""," ("&amp;INDEX(합계표[직급 공존],MATCH(INDEX(상세표[사번키],$H228),합계표[사번키],0))&amp;")"),"")))</f>
        <v/>
      </c>
      <c r="E228">
        <f>IF($H228="","",COUNTIFS(상세표[사번키],INDEX(상세표[사번키],$H228),상세표[기록월],대상월키))</f>
        <v/>
      </c>
      <c r="F228" s="20">
        <f>IF($H228="","",SUMIFS(상세표[기록 시간외],상세표[사번키],INDEX(상세표[사번키],$H228),상세표[기록월],대상월키))</f>
        <v/>
      </c>
      <c r="G228" s="20">
        <f>IF($H228="","",SUMIFS(합계표[시스템 합계],합계표[사번키],INDEX(상세표[사번키],$H228)))</f>
        <v/>
      </c>
      <c r="H228" s="4">
        <f>IFERROR(MATCH(223,상세표[발송인원순번],0),"")</f>
        <v/>
      </c>
      <c r="J228">
        <f>IF($U228="","",INDEX(상세표[사번],$U228)&amp;"")</f>
        <v/>
      </c>
      <c r="K228">
        <f>IF($U228="","",INDEX(상세표[성명],$U228)&amp;"")</f>
        <v/>
      </c>
      <c r="L228">
        <f>IF($U228="","",INDEX(상세표[직위],$U228)&amp;"")</f>
        <v/>
      </c>
      <c r="M228">
        <f>IF($U228="","",IF(ISNUMBER(INDEX(상세표[근무일자],$U228)),TEXT(INDEX(상세표[근무일자],$U228),"yyyy-mm-dd"),INDEX(상세표[근무일자],$U228)&amp;""))</f>
        <v/>
      </c>
      <c r="N228">
        <f>IF($U228="","",IF(ISNUMBER(INDEX(상세표[시작],$U228)),TEXT(INDEX(상세표[시작],$U228),"yyyy-mm-dd hh:mm"),INDEX(상세표[시작],$U228)&amp;""))</f>
        <v/>
      </c>
      <c r="O228">
        <f>IF($U228="","",IF(ISNUMBER(INDEX(상세표[종료],$U228)),TEXT(INDEX(상세표[종료],$U228),"yyyy-mm-dd hh:mm"),INDEX(상세표[종료],$U228)&amp;""))</f>
        <v/>
      </c>
      <c r="P228" s="20">
        <f>IF($U228="","",INDEX(상세표[06~07시],$U228))</f>
        <v/>
      </c>
      <c r="Q228" s="20">
        <f>IF($U228="","",INDEX(상세표[07~18시],$U228))</f>
        <v/>
      </c>
      <c r="R228" s="20">
        <f>IF($U228="","",INDEX(상세표[18~22시],$U228))</f>
        <v/>
      </c>
      <c r="S228" s="20">
        <f>IF($U228="","",INDEX(상세표[22~06시],$U228))</f>
        <v/>
      </c>
      <c r="T228" s="20">
        <f>IF($U228="","",INDEX(상세표[기록 시간외],$U228))</f>
        <v/>
      </c>
      <c r="U228" s="4">
        <f>IFERROR(MATCH(223,상세표[발송순번],0),"")</f>
        <v/>
      </c>
    </row>
    <row r="229">
      <c r="A229">
        <f>IF($H229="","",INDEX(상세표[사번],$H229)&amp;"")</f>
        <v/>
      </c>
      <c r="B229">
        <f>IF($H229="","",INDEX(상세표[성명],$H229)&amp;"")</f>
        <v/>
      </c>
      <c r="C229">
        <f>IF($H229="","",INDEX(상세표[부서],$H229)&amp;"")</f>
        <v/>
      </c>
      <c r="D229">
        <f>IF($H229="","",IF(IFERROR(INDEX(합계표[직위(요약)],MATCH(INDEX(상세표[사번키],$H229),합계표[사번키],0))&amp;IF(INDEX(합계표[직급 공존],MATCH(INDEX(상세표[사번키],$H229),합계표[사번키],0))="",""," ("&amp;INDEX(합계표[직급 공존],MATCH(INDEX(상세표[사번키],$H229),합계표[사번키],0))&amp;")"),"")="",INDEX(상세표[직위],$H229)&amp;"",IFERROR(INDEX(합계표[직위(요약)],MATCH(INDEX(상세표[사번키],$H229),합계표[사번키],0))&amp;IF(INDEX(합계표[직급 공존],MATCH(INDEX(상세표[사번키],$H229),합계표[사번키],0))="",""," ("&amp;INDEX(합계표[직급 공존],MATCH(INDEX(상세표[사번키],$H229),합계표[사번키],0))&amp;")"),"")))</f>
        <v/>
      </c>
      <c r="E229">
        <f>IF($H229="","",COUNTIFS(상세표[사번키],INDEX(상세표[사번키],$H229),상세표[기록월],대상월키))</f>
        <v/>
      </c>
      <c r="F229" s="20">
        <f>IF($H229="","",SUMIFS(상세표[기록 시간외],상세표[사번키],INDEX(상세표[사번키],$H229),상세표[기록월],대상월키))</f>
        <v/>
      </c>
      <c r="G229" s="20">
        <f>IF($H229="","",SUMIFS(합계표[시스템 합계],합계표[사번키],INDEX(상세표[사번키],$H229)))</f>
        <v/>
      </c>
      <c r="H229" s="4">
        <f>IFERROR(MATCH(224,상세표[발송인원순번],0),"")</f>
        <v/>
      </c>
      <c r="J229">
        <f>IF($U229="","",INDEX(상세표[사번],$U229)&amp;"")</f>
        <v/>
      </c>
      <c r="K229">
        <f>IF($U229="","",INDEX(상세표[성명],$U229)&amp;"")</f>
        <v/>
      </c>
      <c r="L229">
        <f>IF($U229="","",INDEX(상세표[직위],$U229)&amp;"")</f>
        <v/>
      </c>
      <c r="M229">
        <f>IF($U229="","",IF(ISNUMBER(INDEX(상세표[근무일자],$U229)),TEXT(INDEX(상세표[근무일자],$U229),"yyyy-mm-dd"),INDEX(상세표[근무일자],$U229)&amp;""))</f>
        <v/>
      </c>
      <c r="N229">
        <f>IF($U229="","",IF(ISNUMBER(INDEX(상세표[시작],$U229)),TEXT(INDEX(상세표[시작],$U229),"yyyy-mm-dd hh:mm"),INDEX(상세표[시작],$U229)&amp;""))</f>
        <v/>
      </c>
      <c r="O229">
        <f>IF($U229="","",IF(ISNUMBER(INDEX(상세표[종료],$U229)),TEXT(INDEX(상세표[종료],$U229),"yyyy-mm-dd hh:mm"),INDEX(상세표[종료],$U229)&amp;""))</f>
        <v/>
      </c>
      <c r="P229" s="20">
        <f>IF($U229="","",INDEX(상세표[06~07시],$U229))</f>
        <v/>
      </c>
      <c r="Q229" s="20">
        <f>IF($U229="","",INDEX(상세표[07~18시],$U229))</f>
        <v/>
      </c>
      <c r="R229" s="20">
        <f>IF($U229="","",INDEX(상세표[18~22시],$U229))</f>
        <v/>
      </c>
      <c r="S229" s="20">
        <f>IF($U229="","",INDEX(상세표[22~06시],$U229))</f>
        <v/>
      </c>
      <c r="T229" s="20">
        <f>IF($U229="","",INDEX(상세표[기록 시간외],$U229))</f>
        <v/>
      </c>
      <c r="U229" s="4">
        <f>IFERROR(MATCH(224,상세표[발송순번],0),"")</f>
        <v/>
      </c>
    </row>
    <row r="230">
      <c r="A230">
        <f>IF($H230="","",INDEX(상세표[사번],$H230)&amp;"")</f>
        <v/>
      </c>
      <c r="B230">
        <f>IF($H230="","",INDEX(상세표[성명],$H230)&amp;"")</f>
        <v/>
      </c>
      <c r="C230">
        <f>IF($H230="","",INDEX(상세표[부서],$H230)&amp;"")</f>
        <v/>
      </c>
      <c r="D230">
        <f>IF($H230="","",IF(IFERROR(INDEX(합계표[직위(요약)],MATCH(INDEX(상세표[사번키],$H230),합계표[사번키],0))&amp;IF(INDEX(합계표[직급 공존],MATCH(INDEX(상세표[사번키],$H230),합계표[사번키],0))="",""," ("&amp;INDEX(합계표[직급 공존],MATCH(INDEX(상세표[사번키],$H230),합계표[사번키],0))&amp;")"),"")="",INDEX(상세표[직위],$H230)&amp;"",IFERROR(INDEX(합계표[직위(요약)],MATCH(INDEX(상세표[사번키],$H230),합계표[사번키],0))&amp;IF(INDEX(합계표[직급 공존],MATCH(INDEX(상세표[사번키],$H230),합계표[사번키],0))="",""," ("&amp;INDEX(합계표[직급 공존],MATCH(INDEX(상세표[사번키],$H230),합계표[사번키],0))&amp;")"),"")))</f>
        <v/>
      </c>
      <c r="E230">
        <f>IF($H230="","",COUNTIFS(상세표[사번키],INDEX(상세표[사번키],$H230),상세표[기록월],대상월키))</f>
        <v/>
      </c>
      <c r="F230" s="20">
        <f>IF($H230="","",SUMIFS(상세표[기록 시간외],상세표[사번키],INDEX(상세표[사번키],$H230),상세표[기록월],대상월키))</f>
        <v/>
      </c>
      <c r="G230" s="20">
        <f>IF($H230="","",SUMIFS(합계표[시스템 합계],합계표[사번키],INDEX(상세표[사번키],$H230)))</f>
        <v/>
      </c>
      <c r="H230" s="4">
        <f>IFERROR(MATCH(225,상세표[발송인원순번],0),"")</f>
        <v/>
      </c>
      <c r="J230">
        <f>IF($U230="","",INDEX(상세표[사번],$U230)&amp;"")</f>
        <v/>
      </c>
      <c r="K230">
        <f>IF($U230="","",INDEX(상세표[성명],$U230)&amp;"")</f>
        <v/>
      </c>
      <c r="L230">
        <f>IF($U230="","",INDEX(상세표[직위],$U230)&amp;"")</f>
        <v/>
      </c>
      <c r="M230">
        <f>IF($U230="","",IF(ISNUMBER(INDEX(상세표[근무일자],$U230)),TEXT(INDEX(상세표[근무일자],$U230),"yyyy-mm-dd"),INDEX(상세표[근무일자],$U230)&amp;""))</f>
        <v/>
      </c>
      <c r="N230">
        <f>IF($U230="","",IF(ISNUMBER(INDEX(상세표[시작],$U230)),TEXT(INDEX(상세표[시작],$U230),"yyyy-mm-dd hh:mm"),INDEX(상세표[시작],$U230)&amp;""))</f>
        <v/>
      </c>
      <c r="O230">
        <f>IF($U230="","",IF(ISNUMBER(INDEX(상세표[종료],$U230)),TEXT(INDEX(상세표[종료],$U230),"yyyy-mm-dd hh:mm"),INDEX(상세표[종료],$U230)&amp;""))</f>
        <v/>
      </c>
      <c r="P230" s="20">
        <f>IF($U230="","",INDEX(상세표[06~07시],$U230))</f>
        <v/>
      </c>
      <c r="Q230" s="20">
        <f>IF($U230="","",INDEX(상세표[07~18시],$U230))</f>
        <v/>
      </c>
      <c r="R230" s="20">
        <f>IF($U230="","",INDEX(상세표[18~22시],$U230))</f>
        <v/>
      </c>
      <c r="S230" s="20">
        <f>IF($U230="","",INDEX(상세표[22~06시],$U230))</f>
        <v/>
      </c>
      <c r="T230" s="20">
        <f>IF($U230="","",INDEX(상세표[기록 시간외],$U230))</f>
        <v/>
      </c>
      <c r="U230" s="4">
        <f>IFERROR(MATCH(225,상세표[발송순번],0),"")</f>
        <v/>
      </c>
    </row>
    <row r="231">
      <c r="A231">
        <f>IF($H231="","",INDEX(상세표[사번],$H231)&amp;"")</f>
        <v/>
      </c>
      <c r="B231">
        <f>IF($H231="","",INDEX(상세표[성명],$H231)&amp;"")</f>
        <v/>
      </c>
      <c r="C231">
        <f>IF($H231="","",INDEX(상세표[부서],$H231)&amp;"")</f>
        <v/>
      </c>
      <c r="D231">
        <f>IF($H231="","",IF(IFERROR(INDEX(합계표[직위(요약)],MATCH(INDEX(상세표[사번키],$H231),합계표[사번키],0))&amp;IF(INDEX(합계표[직급 공존],MATCH(INDEX(상세표[사번키],$H231),합계표[사번키],0))="",""," ("&amp;INDEX(합계표[직급 공존],MATCH(INDEX(상세표[사번키],$H231),합계표[사번키],0))&amp;")"),"")="",INDEX(상세표[직위],$H231)&amp;"",IFERROR(INDEX(합계표[직위(요약)],MATCH(INDEX(상세표[사번키],$H231),합계표[사번키],0))&amp;IF(INDEX(합계표[직급 공존],MATCH(INDEX(상세표[사번키],$H231),합계표[사번키],0))="",""," ("&amp;INDEX(합계표[직급 공존],MATCH(INDEX(상세표[사번키],$H231),합계표[사번키],0))&amp;")"),"")))</f>
        <v/>
      </c>
      <c r="E231">
        <f>IF($H231="","",COUNTIFS(상세표[사번키],INDEX(상세표[사번키],$H231),상세표[기록월],대상월키))</f>
        <v/>
      </c>
      <c r="F231" s="20">
        <f>IF($H231="","",SUMIFS(상세표[기록 시간외],상세표[사번키],INDEX(상세표[사번키],$H231),상세표[기록월],대상월키))</f>
        <v/>
      </c>
      <c r="G231" s="20">
        <f>IF($H231="","",SUMIFS(합계표[시스템 합계],합계표[사번키],INDEX(상세표[사번키],$H231)))</f>
        <v/>
      </c>
      <c r="H231" s="4">
        <f>IFERROR(MATCH(226,상세표[발송인원순번],0),"")</f>
        <v/>
      </c>
      <c r="J231">
        <f>IF($U231="","",INDEX(상세표[사번],$U231)&amp;"")</f>
        <v/>
      </c>
      <c r="K231">
        <f>IF($U231="","",INDEX(상세표[성명],$U231)&amp;"")</f>
        <v/>
      </c>
      <c r="L231">
        <f>IF($U231="","",INDEX(상세표[직위],$U231)&amp;"")</f>
        <v/>
      </c>
      <c r="M231">
        <f>IF($U231="","",IF(ISNUMBER(INDEX(상세표[근무일자],$U231)),TEXT(INDEX(상세표[근무일자],$U231),"yyyy-mm-dd"),INDEX(상세표[근무일자],$U231)&amp;""))</f>
        <v/>
      </c>
      <c r="N231">
        <f>IF($U231="","",IF(ISNUMBER(INDEX(상세표[시작],$U231)),TEXT(INDEX(상세표[시작],$U231),"yyyy-mm-dd hh:mm"),INDEX(상세표[시작],$U231)&amp;""))</f>
        <v/>
      </c>
      <c r="O231">
        <f>IF($U231="","",IF(ISNUMBER(INDEX(상세표[종료],$U231)),TEXT(INDEX(상세표[종료],$U231),"yyyy-mm-dd hh:mm"),INDEX(상세표[종료],$U231)&amp;""))</f>
        <v/>
      </c>
      <c r="P231" s="20">
        <f>IF($U231="","",INDEX(상세표[06~07시],$U231))</f>
        <v/>
      </c>
      <c r="Q231" s="20">
        <f>IF($U231="","",INDEX(상세표[07~18시],$U231))</f>
        <v/>
      </c>
      <c r="R231" s="20">
        <f>IF($U231="","",INDEX(상세표[18~22시],$U231))</f>
        <v/>
      </c>
      <c r="S231" s="20">
        <f>IF($U231="","",INDEX(상세표[22~06시],$U231))</f>
        <v/>
      </c>
      <c r="T231" s="20">
        <f>IF($U231="","",INDEX(상세표[기록 시간외],$U231))</f>
        <v/>
      </c>
      <c r="U231" s="4">
        <f>IFERROR(MATCH(226,상세표[발송순번],0),"")</f>
        <v/>
      </c>
    </row>
    <row r="232">
      <c r="A232">
        <f>IF($H232="","",INDEX(상세표[사번],$H232)&amp;"")</f>
        <v/>
      </c>
      <c r="B232">
        <f>IF($H232="","",INDEX(상세표[성명],$H232)&amp;"")</f>
        <v/>
      </c>
      <c r="C232">
        <f>IF($H232="","",INDEX(상세표[부서],$H232)&amp;"")</f>
        <v/>
      </c>
      <c r="D232">
        <f>IF($H232="","",IF(IFERROR(INDEX(합계표[직위(요약)],MATCH(INDEX(상세표[사번키],$H232),합계표[사번키],0))&amp;IF(INDEX(합계표[직급 공존],MATCH(INDEX(상세표[사번키],$H232),합계표[사번키],0))="",""," ("&amp;INDEX(합계표[직급 공존],MATCH(INDEX(상세표[사번키],$H232),합계표[사번키],0))&amp;")"),"")="",INDEX(상세표[직위],$H232)&amp;"",IFERROR(INDEX(합계표[직위(요약)],MATCH(INDEX(상세표[사번키],$H232),합계표[사번키],0))&amp;IF(INDEX(합계표[직급 공존],MATCH(INDEX(상세표[사번키],$H232),합계표[사번키],0))="",""," ("&amp;INDEX(합계표[직급 공존],MATCH(INDEX(상세표[사번키],$H232),합계표[사번키],0))&amp;")"),"")))</f>
        <v/>
      </c>
      <c r="E232">
        <f>IF($H232="","",COUNTIFS(상세표[사번키],INDEX(상세표[사번키],$H232),상세표[기록월],대상월키))</f>
        <v/>
      </c>
      <c r="F232" s="20">
        <f>IF($H232="","",SUMIFS(상세표[기록 시간외],상세표[사번키],INDEX(상세표[사번키],$H232),상세표[기록월],대상월키))</f>
        <v/>
      </c>
      <c r="G232" s="20">
        <f>IF($H232="","",SUMIFS(합계표[시스템 합계],합계표[사번키],INDEX(상세표[사번키],$H232)))</f>
        <v/>
      </c>
      <c r="H232" s="4">
        <f>IFERROR(MATCH(227,상세표[발송인원순번],0),"")</f>
        <v/>
      </c>
      <c r="J232">
        <f>IF($U232="","",INDEX(상세표[사번],$U232)&amp;"")</f>
        <v/>
      </c>
      <c r="K232">
        <f>IF($U232="","",INDEX(상세표[성명],$U232)&amp;"")</f>
        <v/>
      </c>
      <c r="L232">
        <f>IF($U232="","",INDEX(상세표[직위],$U232)&amp;"")</f>
        <v/>
      </c>
      <c r="M232">
        <f>IF($U232="","",IF(ISNUMBER(INDEX(상세표[근무일자],$U232)),TEXT(INDEX(상세표[근무일자],$U232),"yyyy-mm-dd"),INDEX(상세표[근무일자],$U232)&amp;""))</f>
        <v/>
      </c>
      <c r="N232">
        <f>IF($U232="","",IF(ISNUMBER(INDEX(상세표[시작],$U232)),TEXT(INDEX(상세표[시작],$U232),"yyyy-mm-dd hh:mm"),INDEX(상세표[시작],$U232)&amp;""))</f>
        <v/>
      </c>
      <c r="O232">
        <f>IF($U232="","",IF(ISNUMBER(INDEX(상세표[종료],$U232)),TEXT(INDEX(상세표[종료],$U232),"yyyy-mm-dd hh:mm"),INDEX(상세표[종료],$U232)&amp;""))</f>
        <v/>
      </c>
      <c r="P232" s="20">
        <f>IF($U232="","",INDEX(상세표[06~07시],$U232))</f>
        <v/>
      </c>
      <c r="Q232" s="20">
        <f>IF($U232="","",INDEX(상세표[07~18시],$U232))</f>
        <v/>
      </c>
      <c r="R232" s="20">
        <f>IF($U232="","",INDEX(상세표[18~22시],$U232))</f>
        <v/>
      </c>
      <c r="S232" s="20">
        <f>IF($U232="","",INDEX(상세표[22~06시],$U232))</f>
        <v/>
      </c>
      <c r="T232" s="20">
        <f>IF($U232="","",INDEX(상세표[기록 시간외],$U232))</f>
        <v/>
      </c>
      <c r="U232" s="4">
        <f>IFERROR(MATCH(227,상세표[발송순번],0),"")</f>
        <v/>
      </c>
    </row>
    <row r="233">
      <c r="A233">
        <f>IF($H233="","",INDEX(상세표[사번],$H233)&amp;"")</f>
        <v/>
      </c>
      <c r="B233">
        <f>IF($H233="","",INDEX(상세표[성명],$H233)&amp;"")</f>
        <v/>
      </c>
      <c r="C233">
        <f>IF($H233="","",INDEX(상세표[부서],$H233)&amp;"")</f>
        <v/>
      </c>
      <c r="D233">
        <f>IF($H233="","",IF(IFERROR(INDEX(합계표[직위(요약)],MATCH(INDEX(상세표[사번키],$H233),합계표[사번키],0))&amp;IF(INDEX(합계표[직급 공존],MATCH(INDEX(상세표[사번키],$H233),합계표[사번키],0))="",""," ("&amp;INDEX(합계표[직급 공존],MATCH(INDEX(상세표[사번키],$H233),합계표[사번키],0))&amp;")"),"")="",INDEX(상세표[직위],$H233)&amp;"",IFERROR(INDEX(합계표[직위(요약)],MATCH(INDEX(상세표[사번키],$H233),합계표[사번키],0))&amp;IF(INDEX(합계표[직급 공존],MATCH(INDEX(상세표[사번키],$H233),합계표[사번키],0))="",""," ("&amp;INDEX(합계표[직급 공존],MATCH(INDEX(상세표[사번키],$H233),합계표[사번키],0))&amp;")"),"")))</f>
        <v/>
      </c>
      <c r="E233">
        <f>IF($H233="","",COUNTIFS(상세표[사번키],INDEX(상세표[사번키],$H233),상세표[기록월],대상월키))</f>
        <v/>
      </c>
      <c r="F233" s="20">
        <f>IF($H233="","",SUMIFS(상세표[기록 시간외],상세표[사번키],INDEX(상세표[사번키],$H233),상세표[기록월],대상월키))</f>
        <v/>
      </c>
      <c r="G233" s="20">
        <f>IF($H233="","",SUMIFS(합계표[시스템 합계],합계표[사번키],INDEX(상세표[사번키],$H233)))</f>
        <v/>
      </c>
      <c r="H233" s="4">
        <f>IFERROR(MATCH(228,상세표[발송인원순번],0),"")</f>
        <v/>
      </c>
      <c r="J233">
        <f>IF($U233="","",INDEX(상세표[사번],$U233)&amp;"")</f>
        <v/>
      </c>
      <c r="K233">
        <f>IF($U233="","",INDEX(상세표[성명],$U233)&amp;"")</f>
        <v/>
      </c>
      <c r="L233">
        <f>IF($U233="","",INDEX(상세표[직위],$U233)&amp;"")</f>
        <v/>
      </c>
      <c r="M233">
        <f>IF($U233="","",IF(ISNUMBER(INDEX(상세표[근무일자],$U233)),TEXT(INDEX(상세표[근무일자],$U233),"yyyy-mm-dd"),INDEX(상세표[근무일자],$U233)&amp;""))</f>
        <v/>
      </c>
      <c r="N233">
        <f>IF($U233="","",IF(ISNUMBER(INDEX(상세표[시작],$U233)),TEXT(INDEX(상세표[시작],$U233),"yyyy-mm-dd hh:mm"),INDEX(상세표[시작],$U233)&amp;""))</f>
        <v/>
      </c>
      <c r="O233">
        <f>IF($U233="","",IF(ISNUMBER(INDEX(상세표[종료],$U233)),TEXT(INDEX(상세표[종료],$U233),"yyyy-mm-dd hh:mm"),INDEX(상세표[종료],$U233)&amp;""))</f>
        <v/>
      </c>
      <c r="P233" s="20">
        <f>IF($U233="","",INDEX(상세표[06~07시],$U233))</f>
        <v/>
      </c>
      <c r="Q233" s="20">
        <f>IF($U233="","",INDEX(상세표[07~18시],$U233))</f>
        <v/>
      </c>
      <c r="R233" s="20">
        <f>IF($U233="","",INDEX(상세표[18~22시],$U233))</f>
        <v/>
      </c>
      <c r="S233" s="20">
        <f>IF($U233="","",INDEX(상세표[22~06시],$U233))</f>
        <v/>
      </c>
      <c r="T233" s="20">
        <f>IF($U233="","",INDEX(상세표[기록 시간외],$U233))</f>
        <v/>
      </c>
      <c r="U233" s="4">
        <f>IFERROR(MATCH(228,상세표[발송순번],0),"")</f>
        <v/>
      </c>
    </row>
    <row r="234">
      <c r="A234">
        <f>IF($H234="","",INDEX(상세표[사번],$H234)&amp;"")</f>
        <v/>
      </c>
      <c r="B234">
        <f>IF($H234="","",INDEX(상세표[성명],$H234)&amp;"")</f>
        <v/>
      </c>
      <c r="C234">
        <f>IF($H234="","",INDEX(상세표[부서],$H234)&amp;"")</f>
        <v/>
      </c>
      <c r="D234">
        <f>IF($H234="","",IF(IFERROR(INDEX(합계표[직위(요약)],MATCH(INDEX(상세표[사번키],$H234),합계표[사번키],0))&amp;IF(INDEX(합계표[직급 공존],MATCH(INDEX(상세표[사번키],$H234),합계표[사번키],0))="",""," ("&amp;INDEX(합계표[직급 공존],MATCH(INDEX(상세표[사번키],$H234),합계표[사번키],0))&amp;")"),"")="",INDEX(상세표[직위],$H234)&amp;"",IFERROR(INDEX(합계표[직위(요약)],MATCH(INDEX(상세표[사번키],$H234),합계표[사번키],0))&amp;IF(INDEX(합계표[직급 공존],MATCH(INDEX(상세표[사번키],$H234),합계표[사번키],0))="",""," ("&amp;INDEX(합계표[직급 공존],MATCH(INDEX(상세표[사번키],$H234),합계표[사번키],0))&amp;")"),"")))</f>
        <v/>
      </c>
      <c r="E234">
        <f>IF($H234="","",COUNTIFS(상세표[사번키],INDEX(상세표[사번키],$H234),상세표[기록월],대상월키))</f>
        <v/>
      </c>
      <c r="F234" s="20">
        <f>IF($H234="","",SUMIFS(상세표[기록 시간외],상세표[사번키],INDEX(상세표[사번키],$H234),상세표[기록월],대상월키))</f>
        <v/>
      </c>
      <c r="G234" s="20">
        <f>IF($H234="","",SUMIFS(합계표[시스템 합계],합계표[사번키],INDEX(상세표[사번키],$H234)))</f>
        <v/>
      </c>
      <c r="H234" s="4">
        <f>IFERROR(MATCH(229,상세표[발송인원순번],0),"")</f>
        <v/>
      </c>
      <c r="J234">
        <f>IF($U234="","",INDEX(상세표[사번],$U234)&amp;"")</f>
        <v/>
      </c>
      <c r="K234">
        <f>IF($U234="","",INDEX(상세표[성명],$U234)&amp;"")</f>
        <v/>
      </c>
      <c r="L234">
        <f>IF($U234="","",INDEX(상세표[직위],$U234)&amp;"")</f>
        <v/>
      </c>
      <c r="M234">
        <f>IF($U234="","",IF(ISNUMBER(INDEX(상세표[근무일자],$U234)),TEXT(INDEX(상세표[근무일자],$U234),"yyyy-mm-dd"),INDEX(상세표[근무일자],$U234)&amp;""))</f>
        <v/>
      </c>
      <c r="N234">
        <f>IF($U234="","",IF(ISNUMBER(INDEX(상세표[시작],$U234)),TEXT(INDEX(상세표[시작],$U234),"yyyy-mm-dd hh:mm"),INDEX(상세표[시작],$U234)&amp;""))</f>
        <v/>
      </c>
      <c r="O234">
        <f>IF($U234="","",IF(ISNUMBER(INDEX(상세표[종료],$U234)),TEXT(INDEX(상세표[종료],$U234),"yyyy-mm-dd hh:mm"),INDEX(상세표[종료],$U234)&amp;""))</f>
        <v/>
      </c>
      <c r="P234" s="20">
        <f>IF($U234="","",INDEX(상세표[06~07시],$U234))</f>
        <v/>
      </c>
      <c r="Q234" s="20">
        <f>IF($U234="","",INDEX(상세표[07~18시],$U234))</f>
        <v/>
      </c>
      <c r="R234" s="20">
        <f>IF($U234="","",INDEX(상세표[18~22시],$U234))</f>
        <v/>
      </c>
      <c r="S234" s="20">
        <f>IF($U234="","",INDEX(상세표[22~06시],$U234))</f>
        <v/>
      </c>
      <c r="T234" s="20">
        <f>IF($U234="","",INDEX(상세표[기록 시간외],$U234))</f>
        <v/>
      </c>
      <c r="U234" s="4">
        <f>IFERROR(MATCH(229,상세표[발송순번],0),"")</f>
        <v/>
      </c>
    </row>
    <row r="235">
      <c r="A235">
        <f>IF($H235="","",INDEX(상세표[사번],$H235)&amp;"")</f>
        <v/>
      </c>
      <c r="B235">
        <f>IF($H235="","",INDEX(상세표[성명],$H235)&amp;"")</f>
        <v/>
      </c>
      <c r="C235">
        <f>IF($H235="","",INDEX(상세표[부서],$H235)&amp;"")</f>
        <v/>
      </c>
      <c r="D235">
        <f>IF($H235="","",IF(IFERROR(INDEX(합계표[직위(요약)],MATCH(INDEX(상세표[사번키],$H235),합계표[사번키],0))&amp;IF(INDEX(합계표[직급 공존],MATCH(INDEX(상세표[사번키],$H235),합계표[사번키],0))="",""," ("&amp;INDEX(합계표[직급 공존],MATCH(INDEX(상세표[사번키],$H235),합계표[사번키],0))&amp;")"),"")="",INDEX(상세표[직위],$H235)&amp;"",IFERROR(INDEX(합계표[직위(요약)],MATCH(INDEX(상세표[사번키],$H235),합계표[사번키],0))&amp;IF(INDEX(합계표[직급 공존],MATCH(INDEX(상세표[사번키],$H235),합계표[사번키],0))="",""," ("&amp;INDEX(합계표[직급 공존],MATCH(INDEX(상세표[사번키],$H235),합계표[사번키],0))&amp;")"),"")))</f>
        <v/>
      </c>
      <c r="E235">
        <f>IF($H235="","",COUNTIFS(상세표[사번키],INDEX(상세표[사번키],$H235),상세표[기록월],대상월키))</f>
        <v/>
      </c>
      <c r="F235" s="20">
        <f>IF($H235="","",SUMIFS(상세표[기록 시간외],상세표[사번키],INDEX(상세표[사번키],$H235),상세표[기록월],대상월키))</f>
        <v/>
      </c>
      <c r="G235" s="20">
        <f>IF($H235="","",SUMIFS(합계표[시스템 합계],합계표[사번키],INDEX(상세표[사번키],$H235)))</f>
        <v/>
      </c>
      <c r="H235" s="4">
        <f>IFERROR(MATCH(230,상세표[발송인원순번],0),"")</f>
        <v/>
      </c>
      <c r="J235">
        <f>IF($U235="","",INDEX(상세표[사번],$U235)&amp;"")</f>
        <v/>
      </c>
      <c r="K235">
        <f>IF($U235="","",INDEX(상세표[성명],$U235)&amp;"")</f>
        <v/>
      </c>
      <c r="L235">
        <f>IF($U235="","",INDEX(상세표[직위],$U235)&amp;"")</f>
        <v/>
      </c>
      <c r="M235">
        <f>IF($U235="","",IF(ISNUMBER(INDEX(상세표[근무일자],$U235)),TEXT(INDEX(상세표[근무일자],$U235),"yyyy-mm-dd"),INDEX(상세표[근무일자],$U235)&amp;""))</f>
        <v/>
      </c>
      <c r="N235">
        <f>IF($U235="","",IF(ISNUMBER(INDEX(상세표[시작],$U235)),TEXT(INDEX(상세표[시작],$U235),"yyyy-mm-dd hh:mm"),INDEX(상세표[시작],$U235)&amp;""))</f>
        <v/>
      </c>
      <c r="O235">
        <f>IF($U235="","",IF(ISNUMBER(INDEX(상세표[종료],$U235)),TEXT(INDEX(상세표[종료],$U235),"yyyy-mm-dd hh:mm"),INDEX(상세표[종료],$U235)&amp;""))</f>
        <v/>
      </c>
      <c r="P235" s="20">
        <f>IF($U235="","",INDEX(상세표[06~07시],$U235))</f>
        <v/>
      </c>
      <c r="Q235" s="20">
        <f>IF($U235="","",INDEX(상세표[07~18시],$U235))</f>
        <v/>
      </c>
      <c r="R235" s="20">
        <f>IF($U235="","",INDEX(상세표[18~22시],$U235))</f>
        <v/>
      </c>
      <c r="S235" s="20">
        <f>IF($U235="","",INDEX(상세표[22~06시],$U235))</f>
        <v/>
      </c>
      <c r="T235" s="20">
        <f>IF($U235="","",INDEX(상세표[기록 시간외],$U235))</f>
        <v/>
      </c>
      <c r="U235" s="4">
        <f>IFERROR(MATCH(230,상세표[발송순번],0),"")</f>
        <v/>
      </c>
    </row>
    <row r="236">
      <c r="A236">
        <f>IF($H236="","",INDEX(상세표[사번],$H236)&amp;"")</f>
        <v/>
      </c>
      <c r="B236">
        <f>IF($H236="","",INDEX(상세표[성명],$H236)&amp;"")</f>
        <v/>
      </c>
      <c r="C236">
        <f>IF($H236="","",INDEX(상세표[부서],$H236)&amp;"")</f>
        <v/>
      </c>
      <c r="D236">
        <f>IF($H236="","",IF(IFERROR(INDEX(합계표[직위(요약)],MATCH(INDEX(상세표[사번키],$H236),합계표[사번키],0))&amp;IF(INDEX(합계표[직급 공존],MATCH(INDEX(상세표[사번키],$H236),합계표[사번키],0))="",""," ("&amp;INDEX(합계표[직급 공존],MATCH(INDEX(상세표[사번키],$H236),합계표[사번키],0))&amp;")"),"")="",INDEX(상세표[직위],$H236)&amp;"",IFERROR(INDEX(합계표[직위(요약)],MATCH(INDEX(상세표[사번키],$H236),합계표[사번키],0))&amp;IF(INDEX(합계표[직급 공존],MATCH(INDEX(상세표[사번키],$H236),합계표[사번키],0))="",""," ("&amp;INDEX(합계표[직급 공존],MATCH(INDEX(상세표[사번키],$H236),합계표[사번키],0))&amp;")"),"")))</f>
        <v/>
      </c>
      <c r="E236">
        <f>IF($H236="","",COUNTIFS(상세표[사번키],INDEX(상세표[사번키],$H236),상세표[기록월],대상월키))</f>
        <v/>
      </c>
      <c r="F236" s="20">
        <f>IF($H236="","",SUMIFS(상세표[기록 시간외],상세표[사번키],INDEX(상세표[사번키],$H236),상세표[기록월],대상월키))</f>
        <v/>
      </c>
      <c r="G236" s="20">
        <f>IF($H236="","",SUMIFS(합계표[시스템 합계],합계표[사번키],INDEX(상세표[사번키],$H236)))</f>
        <v/>
      </c>
      <c r="H236" s="4">
        <f>IFERROR(MATCH(231,상세표[발송인원순번],0),"")</f>
        <v/>
      </c>
      <c r="J236">
        <f>IF($U236="","",INDEX(상세표[사번],$U236)&amp;"")</f>
        <v/>
      </c>
      <c r="K236">
        <f>IF($U236="","",INDEX(상세표[성명],$U236)&amp;"")</f>
        <v/>
      </c>
      <c r="L236">
        <f>IF($U236="","",INDEX(상세표[직위],$U236)&amp;"")</f>
        <v/>
      </c>
      <c r="M236">
        <f>IF($U236="","",IF(ISNUMBER(INDEX(상세표[근무일자],$U236)),TEXT(INDEX(상세표[근무일자],$U236),"yyyy-mm-dd"),INDEX(상세표[근무일자],$U236)&amp;""))</f>
        <v/>
      </c>
      <c r="N236">
        <f>IF($U236="","",IF(ISNUMBER(INDEX(상세표[시작],$U236)),TEXT(INDEX(상세표[시작],$U236),"yyyy-mm-dd hh:mm"),INDEX(상세표[시작],$U236)&amp;""))</f>
        <v/>
      </c>
      <c r="O236">
        <f>IF($U236="","",IF(ISNUMBER(INDEX(상세표[종료],$U236)),TEXT(INDEX(상세표[종료],$U236),"yyyy-mm-dd hh:mm"),INDEX(상세표[종료],$U236)&amp;""))</f>
        <v/>
      </c>
      <c r="P236" s="20">
        <f>IF($U236="","",INDEX(상세표[06~07시],$U236))</f>
        <v/>
      </c>
      <c r="Q236" s="20">
        <f>IF($U236="","",INDEX(상세표[07~18시],$U236))</f>
        <v/>
      </c>
      <c r="R236" s="20">
        <f>IF($U236="","",INDEX(상세표[18~22시],$U236))</f>
        <v/>
      </c>
      <c r="S236" s="20">
        <f>IF($U236="","",INDEX(상세표[22~06시],$U236))</f>
        <v/>
      </c>
      <c r="T236" s="20">
        <f>IF($U236="","",INDEX(상세표[기록 시간외],$U236))</f>
        <v/>
      </c>
      <c r="U236" s="4">
        <f>IFERROR(MATCH(231,상세표[발송순번],0),"")</f>
        <v/>
      </c>
    </row>
    <row r="237">
      <c r="A237">
        <f>IF($H237="","",INDEX(상세표[사번],$H237)&amp;"")</f>
        <v/>
      </c>
      <c r="B237">
        <f>IF($H237="","",INDEX(상세표[성명],$H237)&amp;"")</f>
        <v/>
      </c>
      <c r="C237">
        <f>IF($H237="","",INDEX(상세표[부서],$H237)&amp;"")</f>
        <v/>
      </c>
      <c r="D237">
        <f>IF($H237="","",IF(IFERROR(INDEX(합계표[직위(요약)],MATCH(INDEX(상세표[사번키],$H237),합계표[사번키],0))&amp;IF(INDEX(합계표[직급 공존],MATCH(INDEX(상세표[사번키],$H237),합계표[사번키],0))="",""," ("&amp;INDEX(합계표[직급 공존],MATCH(INDEX(상세표[사번키],$H237),합계표[사번키],0))&amp;")"),"")="",INDEX(상세표[직위],$H237)&amp;"",IFERROR(INDEX(합계표[직위(요약)],MATCH(INDEX(상세표[사번키],$H237),합계표[사번키],0))&amp;IF(INDEX(합계표[직급 공존],MATCH(INDEX(상세표[사번키],$H237),합계표[사번키],0))="",""," ("&amp;INDEX(합계표[직급 공존],MATCH(INDEX(상세표[사번키],$H237),합계표[사번키],0))&amp;")"),"")))</f>
        <v/>
      </c>
      <c r="E237">
        <f>IF($H237="","",COUNTIFS(상세표[사번키],INDEX(상세표[사번키],$H237),상세표[기록월],대상월키))</f>
        <v/>
      </c>
      <c r="F237" s="20">
        <f>IF($H237="","",SUMIFS(상세표[기록 시간외],상세표[사번키],INDEX(상세표[사번키],$H237),상세표[기록월],대상월키))</f>
        <v/>
      </c>
      <c r="G237" s="20">
        <f>IF($H237="","",SUMIFS(합계표[시스템 합계],합계표[사번키],INDEX(상세표[사번키],$H237)))</f>
        <v/>
      </c>
      <c r="H237" s="4">
        <f>IFERROR(MATCH(232,상세표[발송인원순번],0),"")</f>
        <v/>
      </c>
      <c r="J237">
        <f>IF($U237="","",INDEX(상세표[사번],$U237)&amp;"")</f>
        <v/>
      </c>
      <c r="K237">
        <f>IF($U237="","",INDEX(상세표[성명],$U237)&amp;"")</f>
        <v/>
      </c>
      <c r="L237">
        <f>IF($U237="","",INDEX(상세표[직위],$U237)&amp;"")</f>
        <v/>
      </c>
      <c r="M237">
        <f>IF($U237="","",IF(ISNUMBER(INDEX(상세표[근무일자],$U237)),TEXT(INDEX(상세표[근무일자],$U237),"yyyy-mm-dd"),INDEX(상세표[근무일자],$U237)&amp;""))</f>
        <v/>
      </c>
      <c r="N237">
        <f>IF($U237="","",IF(ISNUMBER(INDEX(상세표[시작],$U237)),TEXT(INDEX(상세표[시작],$U237),"yyyy-mm-dd hh:mm"),INDEX(상세표[시작],$U237)&amp;""))</f>
        <v/>
      </c>
      <c r="O237">
        <f>IF($U237="","",IF(ISNUMBER(INDEX(상세표[종료],$U237)),TEXT(INDEX(상세표[종료],$U237),"yyyy-mm-dd hh:mm"),INDEX(상세표[종료],$U237)&amp;""))</f>
        <v/>
      </c>
      <c r="P237" s="20">
        <f>IF($U237="","",INDEX(상세표[06~07시],$U237))</f>
        <v/>
      </c>
      <c r="Q237" s="20">
        <f>IF($U237="","",INDEX(상세표[07~18시],$U237))</f>
        <v/>
      </c>
      <c r="R237" s="20">
        <f>IF($U237="","",INDEX(상세표[18~22시],$U237))</f>
        <v/>
      </c>
      <c r="S237" s="20">
        <f>IF($U237="","",INDEX(상세표[22~06시],$U237))</f>
        <v/>
      </c>
      <c r="T237" s="20">
        <f>IF($U237="","",INDEX(상세표[기록 시간외],$U237))</f>
        <v/>
      </c>
      <c r="U237" s="4">
        <f>IFERROR(MATCH(232,상세표[발송순번],0),"")</f>
        <v/>
      </c>
    </row>
    <row r="238">
      <c r="A238">
        <f>IF($H238="","",INDEX(상세표[사번],$H238)&amp;"")</f>
        <v/>
      </c>
      <c r="B238">
        <f>IF($H238="","",INDEX(상세표[성명],$H238)&amp;"")</f>
        <v/>
      </c>
      <c r="C238">
        <f>IF($H238="","",INDEX(상세표[부서],$H238)&amp;"")</f>
        <v/>
      </c>
      <c r="D238">
        <f>IF($H238="","",IF(IFERROR(INDEX(합계표[직위(요약)],MATCH(INDEX(상세표[사번키],$H238),합계표[사번키],0))&amp;IF(INDEX(합계표[직급 공존],MATCH(INDEX(상세표[사번키],$H238),합계표[사번키],0))="",""," ("&amp;INDEX(합계표[직급 공존],MATCH(INDEX(상세표[사번키],$H238),합계표[사번키],0))&amp;")"),"")="",INDEX(상세표[직위],$H238)&amp;"",IFERROR(INDEX(합계표[직위(요약)],MATCH(INDEX(상세표[사번키],$H238),합계표[사번키],0))&amp;IF(INDEX(합계표[직급 공존],MATCH(INDEX(상세표[사번키],$H238),합계표[사번키],0))="",""," ("&amp;INDEX(합계표[직급 공존],MATCH(INDEX(상세표[사번키],$H238),합계표[사번키],0))&amp;")"),"")))</f>
        <v/>
      </c>
      <c r="E238">
        <f>IF($H238="","",COUNTIFS(상세표[사번키],INDEX(상세표[사번키],$H238),상세표[기록월],대상월키))</f>
        <v/>
      </c>
      <c r="F238" s="20">
        <f>IF($H238="","",SUMIFS(상세표[기록 시간외],상세표[사번키],INDEX(상세표[사번키],$H238),상세표[기록월],대상월키))</f>
        <v/>
      </c>
      <c r="G238" s="20">
        <f>IF($H238="","",SUMIFS(합계표[시스템 합계],합계표[사번키],INDEX(상세표[사번키],$H238)))</f>
        <v/>
      </c>
      <c r="H238" s="4">
        <f>IFERROR(MATCH(233,상세표[발송인원순번],0),"")</f>
        <v/>
      </c>
      <c r="J238">
        <f>IF($U238="","",INDEX(상세표[사번],$U238)&amp;"")</f>
        <v/>
      </c>
      <c r="K238">
        <f>IF($U238="","",INDEX(상세표[성명],$U238)&amp;"")</f>
        <v/>
      </c>
      <c r="L238">
        <f>IF($U238="","",INDEX(상세표[직위],$U238)&amp;"")</f>
        <v/>
      </c>
      <c r="M238">
        <f>IF($U238="","",IF(ISNUMBER(INDEX(상세표[근무일자],$U238)),TEXT(INDEX(상세표[근무일자],$U238),"yyyy-mm-dd"),INDEX(상세표[근무일자],$U238)&amp;""))</f>
        <v/>
      </c>
      <c r="N238">
        <f>IF($U238="","",IF(ISNUMBER(INDEX(상세표[시작],$U238)),TEXT(INDEX(상세표[시작],$U238),"yyyy-mm-dd hh:mm"),INDEX(상세표[시작],$U238)&amp;""))</f>
        <v/>
      </c>
      <c r="O238">
        <f>IF($U238="","",IF(ISNUMBER(INDEX(상세표[종료],$U238)),TEXT(INDEX(상세표[종료],$U238),"yyyy-mm-dd hh:mm"),INDEX(상세표[종료],$U238)&amp;""))</f>
        <v/>
      </c>
      <c r="P238" s="20">
        <f>IF($U238="","",INDEX(상세표[06~07시],$U238))</f>
        <v/>
      </c>
      <c r="Q238" s="20">
        <f>IF($U238="","",INDEX(상세표[07~18시],$U238))</f>
        <v/>
      </c>
      <c r="R238" s="20">
        <f>IF($U238="","",INDEX(상세표[18~22시],$U238))</f>
        <v/>
      </c>
      <c r="S238" s="20">
        <f>IF($U238="","",INDEX(상세표[22~06시],$U238))</f>
        <v/>
      </c>
      <c r="T238" s="20">
        <f>IF($U238="","",INDEX(상세표[기록 시간외],$U238))</f>
        <v/>
      </c>
      <c r="U238" s="4">
        <f>IFERROR(MATCH(233,상세표[발송순번],0),"")</f>
        <v/>
      </c>
    </row>
    <row r="239">
      <c r="A239">
        <f>IF($H239="","",INDEX(상세표[사번],$H239)&amp;"")</f>
        <v/>
      </c>
      <c r="B239">
        <f>IF($H239="","",INDEX(상세표[성명],$H239)&amp;"")</f>
        <v/>
      </c>
      <c r="C239">
        <f>IF($H239="","",INDEX(상세표[부서],$H239)&amp;"")</f>
        <v/>
      </c>
      <c r="D239">
        <f>IF($H239="","",IF(IFERROR(INDEX(합계표[직위(요약)],MATCH(INDEX(상세표[사번키],$H239),합계표[사번키],0))&amp;IF(INDEX(합계표[직급 공존],MATCH(INDEX(상세표[사번키],$H239),합계표[사번키],0))="",""," ("&amp;INDEX(합계표[직급 공존],MATCH(INDEX(상세표[사번키],$H239),합계표[사번키],0))&amp;")"),"")="",INDEX(상세표[직위],$H239)&amp;"",IFERROR(INDEX(합계표[직위(요약)],MATCH(INDEX(상세표[사번키],$H239),합계표[사번키],0))&amp;IF(INDEX(합계표[직급 공존],MATCH(INDEX(상세표[사번키],$H239),합계표[사번키],0))="",""," ("&amp;INDEX(합계표[직급 공존],MATCH(INDEX(상세표[사번키],$H239),합계표[사번키],0))&amp;")"),"")))</f>
        <v/>
      </c>
      <c r="E239">
        <f>IF($H239="","",COUNTIFS(상세표[사번키],INDEX(상세표[사번키],$H239),상세표[기록월],대상월키))</f>
        <v/>
      </c>
      <c r="F239" s="20">
        <f>IF($H239="","",SUMIFS(상세표[기록 시간외],상세표[사번키],INDEX(상세표[사번키],$H239),상세표[기록월],대상월키))</f>
        <v/>
      </c>
      <c r="G239" s="20">
        <f>IF($H239="","",SUMIFS(합계표[시스템 합계],합계표[사번키],INDEX(상세표[사번키],$H239)))</f>
        <v/>
      </c>
      <c r="H239" s="4">
        <f>IFERROR(MATCH(234,상세표[발송인원순번],0),"")</f>
        <v/>
      </c>
      <c r="J239">
        <f>IF($U239="","",INDEX(상세표[사번],$U239)&amp;"")</f>
        <v/>
      </c>
      <c r="K239">
        <f>IF($U239="","",INDEX(상세표[성명],$U239)&amp;"")</f>
        <v/>
      </c>
      <c r="L239">
        <f>IF($U239="","",INDEX(상세표[직위],$U239)&amp;"")</f>
        <v/>
      </c>
      <c r="M239">
        <f>IF($U239="","",IF(ISNUMBER(INDEX(상세표[근무일자],$U239)),TEXT(INDEX(상세표[근무일자],$U239),"yyyy-mm-dd"),INDEX(상세표[근무일자],$U239)&amp;""))</f>
        <v/>
      </c>
      <c r="N239">
        <f>IF($U239="","",IF(ISNUMBER(INDEX(상세표[시작],$U239)),TEXT(INDEX(상세표[시작],$U239),"yyyy-mm-dd hh:mm"),INDEX(상세표[시작],$U239)&amp;""))</f>
        <v/>
      </c>
      <c r="O239">
        <f>IF($U239="","",IF(ISNUMBER(INDEX(상세표[종료],$U239)),TEXT(INDEX(상세표[종료],$U239),"yyyy-mm-dd hh:mm"),INDEX(상세표[종료],$U239)&amp;""))</f>
        <v/>
      </c>
      <c r="P239" s="20">
        <f>IF($U239="","",INDEX(상세표[06~07시],$U239))</f>
        <v/>
      </c>
      <c r="Q239" s="20">
        <f>IF($U239="","",INDEX(상세표[07~18시],$U239))</f>
        <v/>
      </c>
      <c r="R239" s="20">
        <f>IF($U239="","",INDEX(상세표[18~22시],$U239))</f>
        <v/>
      </c>
      <c r="S239" s="20">
        <f>IF($U239="","",INDEX(상세표[22~06시],$U239))</f>
        <v/>
      </c>
      <c r="T239" s="20">
        <f>IF($U239="","",INDEX(상세표[기록 시간외],$U239))</f>
        <v/>
      </c>
      <c r="U239" s="4">
        <f>IFERROR(MATCH(234,상세표[발송순번],0),"")</f>
        <v/>
      </c>
    </row>
    <row r="240">
      <c r="A240">
        <f>IF($H240="","",INDEX(상세표[사번],$H240)&amp;"")</f>
        <v/>
      </c>
      <c r="B240">
        <f>IF($H240="","",INDEX(상세표[성명],$H240)&amp;"")</f>
        <v/>
      </c>
      <c r="C240">
        <f>IF($H240="","",INDEX(상세표[부서],$H240)&amp;"")</f>
        <v/>
      </c>
      <c r="D240">
        <f>IF($H240="","",IF(IFERROR(INDEX(합계표[직위(요약)],MATCH(INDEX(상세표[사번키],$H240),합계표[사번키],0))&amp;IF(INDEX(합계표[직급 공존],MATCH(INDEX(상세표[사번키],$H240),합계표[사번키],0))="",""," ("&amp;INDEX(합계표[직급 공존],MATCH(INDEX(상세표[사번키],$H240),합계표[사번키],0))&amp;")"),"")="",INDEX(상세표[직위],$H240)&amp;"",IFERROR(INDEX(합계표[직위(요약)],MATCH(INDEX(상세표[사번키],$H240),합계표[사번키],0))&amp;IF(INDEX(합계표[직급 공존],MATCH(INDEX(상세표[사번키],$H240),합계표[사번키],0))="",""," ("&amp;INDEX(합계표[직급 공존],MATCH(INDEX(상세표[사번키],$H240),합계표[사번키],0))&amp;")"),"")))</f>
        <v/>
      </c>
      <c r="E240">
        <f>IF($H240="","",COUNTIFS(상세표[사번키],INDEX(상세표[사번키],$H240),상세표[기록월],대상월키))</f>
        <v/>
      </c>
      <c r="F240" s="20">
        <f>IF($H240="","",SUMIFS(상세표[기록 시간외],상세표[사번키],INDEX(상세표[사번키],$H240),상세표[기록월],대상월키))</f>
        <v/>
      </c>
      <c r="G240" s="20">
        <f>IF($H240="","",SUMIFS(합계표[시스템 합계],합계표[사번키],INDEX(상세표[사번키],$H240)))</f>
        <v/>
      </c>
      <c r="H240" s="4">
        <f>IFERROR(MATCH(235,상세표[발송인원순번],0),"")</f>
        <v/>
      </c>
      <c r="J240">
        <f>IF($U240="","",INDEX(상세표[사번],$U240)&amp;"")</f>
        <v/>
      </c>
      <c r="K240">
        <f>IF($U240="","",INDEX(상세표[성명],$U240)&amp;"")</f>
        <v/>
      </c>
      <c r="L240">
        <f>IF($U240="","",INDEX(상세표[직위],$U240)&amp;"")</f>
        <v/>
      </c>
      <c r="M240">
        <f>IF($U240="","",IF(ISNUMBER(INDEX(상세표[근무일자],$U240)),TEXT(INDEX(상세표[근무일자],$U240),"yyyy-mm-dd"),INDEX(상세표[근무일자],$U240)&amp;""))</f>
        <v/>
      </c>
      <c r="N240">
        <f>IF($U240="","",IF(ISNUMBER(INDEX(상세표[시작],$U240)),TEXT(INDEX(상세표[시작],$U240),"yyyy-mm-dd hh:mm"),INDEX(상세표[시작],$U240)&amp;""))</f>
        <v/>
      </c>
      <c r="O240">
        <f>IF($U240="","",IF(ISNUMBER(INDEX(상세표[종료],$U240)),TEXT(INDEX(상세표[종료],$U240),"yyyy-mm-dd hh:mm"),INDEX(상세표[종료],$U240)&amp;""))</f>
        <v/>
      </c>
      <c r="P240" s="20">
        <f>IF($U240="","",INDEX(상세표[06~07시],$U240))</f>
        <v/>
      </c>
      <c r="Q240" s="20">
        <f>IF($U240="","",INDEX(상세표[07~18시],$U240))</f>
        <v/>
      </c>
      <c r="R240" s="20">
        <f>IF($U240="","",INDEX(상세표[18~22시],$U240))</f>
        <v/>
      </c>
      <c r="S240" s="20">
        <f>IF($U240="","",INDEX(상세표[22~06시],$U240))</f>
        <v/>
      </c>
      <c r="T240" s="20">
        <f>IF($U240="","",INDEX(상세표[기록 시간외],$U240))</f>
        <v/>
      </c>
      <c r="U240" s="4">
        <f>IFERROR(MATCH(235,상세표[발송순번],0),"")</f>
        <v/>
      </c>
    </row>
    <row r="241">
      <c r="A241">
        <f>IF($H241="","",INDEX(상세표[사번],$H241)&amp;"")</f>
        <v/>
      </c>
      <c r="B241">
        <f>IF($H241="","",INDEX(상세표[성명],$H241)&amp;"")</f>
        <v/>
      </c>
      <c r="C241">
        <f>IF($H241="","",INDEX(상세표[부서],$H241)&amp;"")</f>
        <v/>
      </c>
      <c r="D241">
        <f>IF($H241="","",IF(IFERROR(INDEX(합계표[직위(요약)],MATCH(INDEX(상세표[사번키],$H241),합계표[사번키],0))&amp;IF(INDEX(합계표[직급 공존],MATCH(INDEX(상세표[사번키],$H241),합계표[사번키],0))="",""," ("&amp;INDEX(합계표[직급 공존],MATCH(INDEX(상세표[사번키],$H241),합계표[사번키],0))&amp;")"),"")="",INDEX(상세표[직위],$H241)&amp;"",IFERROR(INDEX(합계표[직위(요약)],MATCH(INDEX(상세표[사번키],$H241),합계표[사번키],0))&amp;IF(INDEX(합계표[직급 공존],MATCH(INDEX(상세표[사번키],$H241),합계표[사번키],0))="",""," ("&amp;INDEX(합계표[직급 공존],MATCH(INDEX(상세표[사번키],$H241),합계표[사번키],0))&amp;")"),"")))</f>
        <v/>
      </c>
      <c r="E241">
        <f>IF($H241="","",COUNTIFS(상세표[사번키],INDEX(상세표[사번키],$H241),상세표[기록월],대상월키))</f>
        <v/>
      </c>
      <c r="F241" s="20">
        <f>IF($H241="","",SUMIFS(상세표[기록 시간외],상세표[사번키],INDEX(상세표[사번키],$H241),상세표[기록월],대상월키))</f>
        <v/>
      </c>
      <c r="G241" s="20">
        <f>IF($H241="","",SUMIFS(합계표[시스템 합계],합계표[사번키],INDEX(상세표[사번키],$H241)))</f>
        <v/>
      </c>
      <c r="H241" s="4">
        <f>IFERROR(MATCH(236,상세표[발송인원순번],0),"")</f>
        <v/>
      </c>
      <c r="J241">
        <f>IF($U241="","",INDEX(상세표[사번],$U241)&amp;"")</f>
        <v/>
      </c>
      <c r="K241">
        <f>IF($U241="","",INDEX(상세표[성명],$U241)&amp;"")</f>
        <v/>
      </c>
      <c r="L241">
        <f>IF($U241="","",INDEX(상세표[직위],$U241)&amp;"")</f>
        <v/>
      </c>
      <c r="M241">
        <f>IF($U241="","",IF(ISNUMBER(INDEX(상세표[근무일자],$U241)),TEXT(INDEX(상세표[근무일자],$U241),"yyyy-mm-dd"),INDEX(상세표[근무일자],$U241)&amp;""))</f>
        <v/>
      </c>
      <c r="N241">
        <f>IF($U241="","",IF(ISNUMBER(INDEX(상세표[시작],$U241)),TEXT(INDEX(상세표[시작],$U241),"yyyy-mm-dd hh:mm"),INDEX(상세표[시작],$U241)&amp;""))</f>
        <v/>
      </c>
      <c r="O241">
        <f>IF($U241="","",IF(ISNUMBER(INDEX(상세표[종료],$U241)),TEXT(INDEX(상세표[종료],$U241),"yyyy-mm-dd hh:mm"),INDEX(상세표[종료],$U241)&amp;""))</f>
        <v/>
      </c>
      <c r="P241" s="20">
        <f>IF($U241="","",INDEX(상세표[06~07시],$U241))</f>
        <v/>
      </c>
      <c r="Q241" s="20">
        <f>IF($U241="","",INDEX(상세표[07~18시],$U241))</f>
        <v/>
      </c>
      <c r="R241" s="20">
        <f>IF($U241="","",INDEX(상세표[18~22시],$U241))</f>
        <v/>
      </c>
      <c r="S241" s="20">
        <f>IF($U241="","",INDEX(상세표[22~06시],$U241))</f>
        <v/>
      </c>
      <c r="T241" s="20">
        <f>IF($U241="","",INDEX(상세표[기록 시간외],$U241))</f>
        <v/>
      </c>
      <c r="U241" s="4">
        <f>IFERROR(MATCH(236,상세표[발송순번],0),"")</f>
        <v/>
      </c>
    </row>
    <row r="242">
      <c r="A242">
        <f>IF($H242="","",INDEX(상세표[사번],$H242)&amp;"")</f>
        <v/>
      </c>
      <c r="B242">
        <f>IF($H242="","",INDEX(상세표[성명],$H242)&amp;"")</f>
        <v/>
      </c>
      <c r="C242">
        <f>IF($H242="","",INDEX(상세표[부서],$H242)&amp;"")</f>
        <v/>
      </c>
      <c r="D242">
        <f>IF($H242="","",IF(IFERROR(INDEX(합계표[직위(요약)],MATCH(INDEX(상세표[사번키],$H242),합계표[사번키],0))&amp;IF(INDEX(합계표[직급 공존],MATCH(INDEX(상세표[사번키],$H242),합계표[사번키],0))="",""," ("&amp;INDEX(합계표[직급 공존],MATCH(INDEX(상세표[사번키],$H242),합계표[사번키],0))&amp;")"),"")="",INDEX(상세표[직위],$H242)&amp;"",IFERROR(INDEX(합계표[직위(요약)],MATCH(INDEX(상세표[사번키],$H242),합계표[사번키],0))&amp;IF(INDEX(합계표[직급 공존],MATCH(INDEX(상세표[사번키],$H242),합계표[사번키],0))="",""," ("&amp;INDEX(합계표[직급 공존],MATCH(INDEX(상세표[사번키],$H242),합계표[사번키],0))&amp;")"),"")))</f>
        <v/>
      </c>
      <c r="E242">
        <f>IF($H242="","",COUNTIFS(상세표[사번키],INDEX(상세표[사번키],$H242),상세표[기록월],대상월키))</f>
        <v/>
      </c>
      <c r="F242" s="20">
        <f>IF($H242="","",SUMIFS(상세표[기록 시간외],상세표[사번키],INDEX(상세표[사번키],$H242),상세표[기록월],대상월키))</f>
        <v/>
      </c>
      <c r="G242" s="20">
        <f>IF($H242="","",SUMIFS(합계표[시스템 합계],합계표[사번키],INDEX(상세표[사번키],$H242)))</f>
        <v/>
      </c>
      <c r="H242" s="4">
        <f>IFERROR(MATCH(237,상세표[발송인원순번],0),"")</f>
        <v/>
      </c>
      <c r="J242">
        <f>IF($U242="","",INDEX(상세표[사번],$U242)&amp;"")</f>
        <v/>
      </c>
      <c r="K242">
        <f>IF($U242="","",INDEX(상세표[성명],$U242)&amp;"")</f>
        <v/>
      </c>
      <c r="L242">
        <f>IF($U242="","",INDEX(상세표[직위],$U242)&amp;"")</f>
        <v/>
      </c>
      <c r="M242">
        <f>IF($U242="","",IF(ISNUMBER(INDEX(상세표[근무일자],$U242)),TEXT(INDEX(상세표[근무일자],$U242),"yyyy-mm-dd"),INDEX(상세표[근무일자],$U242)&amp;""))</f>
        <v/>
      </c>
      <c r="N242">
        <f>IF($U242="","",IF(ISNUMBER(INDEX(상세표[시작],$U242)),TEXT(INDEX(상세표[시작],$U242),"yyyy-mm-dd hh:mm"),INDEX(상세표[시작],$U242)&amp;""))</f>
        <v/>
      </c>
      <c r="O242">
        <f>IF($U242="","",IF(ISNUMBER(INDEX(상세표[종료],$U242)),TEXT(INDEX(상세표[종료],$U242),"yyyy-mm-dd hh:mm"),INDEX(상세표[종료],$U242)&amp;""))</f>
        <v/>
      </c>
      <c r="P242" s="20">
        <f>IF($U242="","",INDEX(상세표[06~07시],$U242))</f>
        <v/>
      </c>
      <c r="Q242" s="20">
        <f>IF($U242="","",INDEX(상세표[07~18시],$U242))</f>
        <v/>
      </c>
      <c r="R242" s="20">
        <f>IF($U242="","",INDEX(상세표[18~22시],$U242))</f>
        <v/>
      </c>
      <c r="S242" s="20">
        <f>IF($U242="","",INDEX(상세표[22~06시],$U242))</f>
        <v/>
      </c>
      <c r="T242" s="20">
        <f>IF($U242="","",INDEX(상세표[기록 시간외],$U242))</f>
        <v/>
      </c>
      <c r="U242" s="4">
        <f>IFERROR(MATCH(237,상세표[발송순번],0),"")</f>
        <v/>
      </c>
    </row>
    <row r="243">
      <c r="A243">
        <f>IF($H243="","",INDEX(상세표[사번],$H243)&amp;"")</f>
        <v/>
      </c>
      <c r="B243">
        <f>IF($H243="","",INDEX(상세표[성명],$H243)&amp;"")</f>
        <v/>
      </c>
      <c r="C243">
        <f>IF($H243="","",INDEX(상세표[부서],$H243)&amp;"")</f>
        <v/>
      </c>
      <c r="D243">
        <f>IF($H243="","",IF(IFERROR(INDEX(합계표[직위(요약)],MATCH(INDEX(상세표[사번키],$H243),합계표[사번키],0))&amp;IF(INDEX(합계표[직급 공존],MATCH(INDEX(상세표[사번키],$H243),합계표[사번키],0))="",""," ("&amp;INDEX(합계표[직급 공존],MATCH(INDEX(상세표[사번키],$H243),합계표[사번키],0))&amp;")"),"")="",INDEX(상세표[직위],$H243)&amp;"",IFERROR(INDEX(합계표[직위(요약)],MATCH(INDEX(상세표[사번키],$H243),합계표[사번키],0))&amp;IF(INDEX(합계표[직급 공존],MATCH(INDEX(상세표[사번키],$H243),합계표[사번키],0))="",""," ("&amp;INDEX(합계표[직급 공존],MATCH(INDEX(상세표[사번키],$H243),합계표[사번키],0))&amp;")"),"")))</f>
        <v/>
      </c>
      <c r="E243">
        <f>IF($H243="","",COUNTIFS(상세표[사번키],INDEX(상세표[사번키],$H243),상세표[기록월],대상월키))</f>
        <v/>
      </c>
      <c r="F243" s="20">
        <f>IF($H243="","",SUMIFS(상세표[기록 시간외],상세표[사번키],INDEX(상세표[사번키],$H243),상세표[기록월],대상월키))</f>
        <v/>
      </c>
      <c r="G243" s="20">
        <f>IF($H243="","",SUMIFS(합계표[시스템 합계],합계표[사번키],INDEX(상세표[사번키],$H243)))</f>
        <v/>
      </c>
      <c r="H243" s="4">
        <f>IFERROR(MATCH(238,상세표[발송인원순번],0),"")</f>
        <v/>
      </c>
      <c r="J243">
        <f>IF($U243="","",INDEX(상세표[사번],$U243)&amp;"")</f>
        <v/>
      </c>
      <c r="K243">
        <f>IF($U243="","",INDEX(상세표[성명],$U243)&amp;"")</f>
        <v/>
      </c>
      <c r="L243">
        <f>IF($U243="","",INDEX(상세표[직위],$U243)&amp;"")</f>
        <v/>
      </c>
      <c r="M243">
        <f>IF($U243="","",IF(ISNUMBER(INDEX(상세표[근무일자],$U243)),TEXT(INDEX(상세표[근무일자],$U243),"yyyy-mm-dd"),INDEX(상세표[근무일자],$U243)&amp;""))</f>
        <v/>
      </c>
      <c r="N243">
        <f>IF($U243="","",IF(ISNUMBER(INDEX(상세표[시작],$U243)),TEXT(INDEX(상세표[시작],$U243),"yyyy-mm-dd hh:mm"),INDEX(상세표[시작],$U243)&amp;""))</f>
        <v/>
      </c>
      <c r="O243">
        <f>IF($U243="","",IF(ISNUMBER(INDEX(상세표[종료],$U243)),TEXT(INDEX(상세표[종료],$U243),"yyyy-mm-dd hh:mm"),INDEX(상세표[종료],$U243)&amp;""))</f>
        <v/>
      </c>
      <c r="P243" s="20">
        <f>IF($U243="","",INDEX(상세표[06~07시],$U243))</f>
        <v/>
      </c>
      <c r="Q243" s="20">
        <f>IF($U243="","",INDEX(상세표[07~18시],$U243))</f>
        <v/>
      </c>
      <c r="R243" s="20">
        <f>IF($U243="","",INDEX(상세표[18~22시],$U243))</f>
        <v/>
      </c>
      <c r="S243" s="20">
        <f>IF($U243="","",INDEX(상세표[22~06시],$U243))</f>
        <v/>
      </c>
      <c r="T243" s="20">
        <f>IF($U243="","",INDEX(상세표[기록 시간외],$U243))</f>
        <v/>
      </c>
      <c r="U243" s="4">
        <f>IFERROR(MATCH(238,상세표[발송순번],0),"")</f>
        <v/>
      </c>
    </row>
    <row r="244">
      <c r="A244">
        <f>IF($H244="","",INDEX(상세표[사번],$H244)&amp;"")</f>
        <v/>
      </c>
      <c r="B244">
        <f>IF($H244="","",INDEX(상세표[성명],$H244)&amp;"")</f>
        <v/>
      </c>
      <c r="C244">
        <f>IF($H244="","",INDEX(상세표[부서],$H244)&amp;"")</f>
        <v/>
      </c>
      <c r="D244">
        <f>IF($H244="","",IF(IFERROR(INDEX(합계표[직위(요약)],MATCH(INDEX(상세표[사번키],$H244),합계표[사번키],0))&amp;IF(INDEX(합계표[직급 공존],MATCH(INDEX(상세표[사번키],$H244),합계표[사번키],0))="",""," ("&amp;INDEX(합계표[직급 공존],MATCH(INDEX(상세표[사번키],$H244),합계표[사번키],0))&amp;")"),"")="",INDEX(상세표[직위],$H244)&amp;"",IFERROR(INDEX(합계표[직위(요약)],MATCH(INDEX(상세표[사번키],$H244),합계표[사번키],0))&amp;IF(INDEX(합계표[직급 공존],MATCH(INDEX(상세표[사번키],$H244),합계표[사번키],0))="",""," ("&amp;INDEX(합계표[직급 공존],MATCH(INDEX(상세표[사번키],$H244),합계표[사번키],0))&amp;")"),"")))</f>
        <v/>
      </c>
      <c r="E244">
        <f>IF($H244="","",COUNTIFS(상세표[사번키],INDEX(상세표[사번키],$H244),상세표[기록월],대상월키))</f>
        <v/>
      </c>
      <c r="F244" s="20">
        <f>IF($H244="","",SUMIFS(상세표[기록 시간외],상세표[사번키],INDEX(상세표[사번키],$H244),상세표[기록월],대상월키))</f>
        <v/>
      </c>
      <c r="G244" s="20">
        <f>IF($H244="","",SUMIFS(합계표[시스템 합계],합계표[사번키],INDEX(상세표[사번키],$H244)))</f>
        <v/>
      </c>
      <c r="H244" s="4">
        <f>IFERROR(MATCH(239,상세표[발송인원순번],0),"")</f>
        <v/>
      </c>
      <c r="J244">
        <f>IF($U244="","",INDEX(상세표[사번],$U244)&amp;"")</f>
        <v/>
      </c>
      <c r="K244">
        <f>IF($U244="","",INDEX(상세표[성명],$U244)&amp;"")</f>
        <v/>
      </c>
      <c r="L244">
        <f>IF($U244="","",INDEX(상세표[직위],$U244)&amp;"")</f>
        <v/>
      </c>
      <c r="M244">
        <f>IF($U244="","",IF(ISNUMBER(INDEX(상세표[근무일자],$U244)),TEXT(INDEX(상세표[근무일자],$U244),"yyyy-mm-dd"),INDEX(상세표[근무일자],$U244)&amp;""))</f>
        <v/>
      </c>
      <c r="N244">
        <f>IF($U244="","",IF(ISNUMBER(INDEX(상세표[시작],$U244)),TEXT(INDEX(상세표[시작],$U244),"yyyy-mm-dd hh:mm"),INDEX(상세표[시작],$U244)&amp;""))</f>
        <v/>
      </c>
      <c r="O244">
        <f>IF($U244="","",IF(ISNUMBER(INDEX(상세표[종료],$U244)),TEXT(INDEX(상세표[종료],$U244),"yyyy-mm-dd hh:mm"),INDEX(상세표[종료],$U244)&amp;""))</f>
        <v/>
      </c>
      <c r="P244" s="20">
        <f>IF($U244="","",INDEX(상세표[06~07시],$U244))</f>
        <v/>
      </c>
      <c r="Q244" s="20">
        <f>IF($U244="","",INDEX(상세표[07~18시],$U244))</f>
        <v/>
      </c>
      <c r="R244" s="20">
        <f>IF($U244="","",INDEX(상세표[18~22시],$U244))</f>
        <v/>
      </c>
      <c r="S244" s="20">
        <f>IF($U244="","",INDEX(상세표[22~06시],$U244))</f>
        <v/>
      </c>
      <c r="T244" s="20">
        <f>IF($U244="","",INDEX(상세표[기록 시간외],$U244))</f>
        <v/>
      </c>
      <c r="U244" s="4">
        <f>IFERROR(MATCH(239,상세표[발송순번],0),"")</f>
        <v/>
      </c>
    </row>
    <row r="245">
      <c r="A245">
        <f>IF($H245="","",INDEX(상세표[사번],$H245)&amp;"")</f>
        <v/>
      </c>
      <c r="B245">
        <f>IF($H245="","",INDEX(상세표[성명],$H245)&amp;"")</f>
        <v/>
      </c>
      <c r="C245">
        <f>IF($H245="","",INDEX(상세표[부서],$H245)&amp;"")</f>
        <v/>
      </c>
      <c r="D245">
        <f>IF($H245="","",IF(IFERROR(INDEX(합계표[직위(요약)],MATCH(INDEX(상세표[사번키],$H245),합계표[사번키],0))&amp;IF(INDEX(합계표[직급 공존],MATCH(INDEX(상세표[사번키],$H245),합계표[사번키],0))="",""," ("&amp;INDEX(합계표[직급 공존],MATCH(INDEX(상세표[사번키],$H245),합계표[사번키],0))&amp;")"),"")="",INDEX(상세표[직위],$H245)&amp;"",IFERROR(INDEX(합계표[직위(요약)],MATCH(INDEX(상세표[사번키],$H245),합계표[사번키],0))&amp;IF(INDEX(합계표[직급 공존],MATCH(INDEX(상세표[사번키],$H245),합계표[사번키],0))="",""," ("&amp;INDEX(합계표[직급 공존],MATCH(INDEX(상세표[사번키],$H245),합계표[사번키],0))&amp;")"),"")))</f>
        <v/>
      </c>
      <c r="E245">
        <f>IF($H245="","",COUNTIFS(상세표[사번키],INDEX(상세표[사번키],$H245),상세표[기록월],대상월키))</f>
        <v/>
      </c>
      <c r="F245" s="20">
        <f>IF($H245="","",SUMIFS(상세표[기록 시간외],상세표[사번키],INDEX(상세표[사번키],$H245),상세표[기록월],대상월키))</f>
        <v/>
      </c>
      <c r="G245" s="20">
        <f>IF($H245="","",SUMIFS(합계표[시스템 합계],합계표[사번키],INDEX(상세표[사번키],$H245)))</f>
        <v/>
      </c>
      <c r="H245" s="4">
        <f>IFERROR(MATCH(240,상세표[발송인원순번],0),"")</f>
        <v/>
      </c>
      <c r="J245">
        <f>IF($U245="","",INDEX(상세표[사번],$U245)&amp;"")</f>
        <v/>
      </c>
      <c r="K245">
        <f>IF($U245="","",INDEX(상세표[성명],$U245)&amp;"")</f>
        <v/>
      </c>
      <c r="L245">
        <f>IF($U245="","",INDEX(상세표[직위],$U245)&amp;"")</f>
        <v/>
      </c>
      <c r="M245">
        <f>IF($U245="","",IF(ISNUMBER(INDEX(상세표[근무일자],$U245)),TEXT(INDEX(상세표[근무일자],$U245),"yyyy-mm-dd"),INDEX(상세표[근무일자],$U245)&amp;""))</f>
        <v/>
      </c>
      <c r="N245">
        <f>IF($U245="","",IF(ISNUMBER(INDEX(상세표[시작],$U245)),TEXT(INDEX(상세표[시작],$U245),"yyyy-mm-dd hh:mm"),INDEX(상세표[시작],$U245)&amp;""))</f>
        <v/>
      </c>
      <c r="O245">
        <f>IF($U245="","",IF(ISNUMBER(INDEX(상세표[종료],$U245)),TEXT(INDEX(상세표[종료],$U245),"yyyy-mm-dd hh:mm"),INDEX(상세표[종료],$U245)&amp;""))</f>
        <v/>
      </c>
      <c r="P245" s="20">
        <f>IF($U245="","",INDEX(상세표[06~07시],$U245))</f>
        <v/>
      </c>
      <c r="Q245" s="20">
        <f>IF($U245="","",INDEX(상세표[07~18시],$U245))</f>
        <v/>
      </c>
      <c r="R245" s="20">
        <f>IF($U245="","",INDEX(상세표[18~22시],$U245))</f>
        <v/>
      </c>
      <c r="S245" s="20">
        <f>IF($U245="","",INDEX(상세표[22~06시],$U245))</f>
        <v/>
      </c>
      <c r="T245" s="20">
        <f>IF($U245="","",INDEX(상세표[기록 시간외],$U245))</f>
        <v/>
      </c>
      <c r="U245" s="4">
        <f>IFERROR(MATCH(240,상세표[발송순번],0),"")</f>
        <v/>
      </c>
    </row>
    <row r="246">
      <c r="A246">
        <f>IF($H246="","",INDEX(상세표[사번],$H246)&amp;"")</f>
        <v/>
      </c>
      <c r="B246">
        <f>IF($H246="","",INDEX(상세표[성명],$H246)&amp;"")</f>
        <v/>
      </c>
      <c r="C246">
        <f>IF($H246="","",INDEX(상세표[부서],$H246)&amp;"")</f>
        <v/>
      </c>
      <c r="D246">
        <f>IF($H246="","",IF(IFERROR(INDEX(합계표[직위(요약)],MATCH(INDEX(상세표[사번키],$H246),합계표[사번키],0))&amp;IF(INDEX(합계표[직급 공존],MATCH(INDEX(상세표[사번키],$H246),합계표[사번키],0))="",""," ("&amp;INDEX(합계표[직급 공존],MATCH(INDEX(상세표[사번키],$H246),합계표[사번키],0))&amp;")"),"")="",INDEX(상세표[직위],$H246)&amp;"",IFERROR(INDEX(합계표[직위(요약)],MATCH(INDEX(상세표[사번키],$H246),합계표[사번키],0))&amp;IF(INDEX(합계표[직급 공존],MATCH(INDEX(상세표[사번키],$H246),합계표[사번키],0))="",""," ("&amp;INDEX(합계표[직급 공존],MATCH(INDEX(상세표[사번키],$H246),합계표[사번키],0))&amp;")"),"")))</f>
        <v/>
      </c>
      <c r="E246">
        <f>IF($H246="","",COUNTIFS(상세표[사번키],INDEX(상세표[사번키],$H246),상세표[기록월],대상월키))</f>
        <v/>
      </c>
      <c r="F246" s="20">
        <f>IF($H246="","",SUMIFS(상세표[기록 시간외],상세표[사번키],INDEX(상세표[사번키],$H246),상세표[기록월],대상월키))</f>
        <v/>
      </c>
      <c r="G246" s="20">
        <f>IF($H246="","",SUMIFS(합계표[시스템 합계],합계표[사번키],INDEX(상세표[사번키],$H246)))</f>
        <v/>
      </c>
      <c r="H246" s="4">
        <f>IFERROR(MATCH(241,상세표[발송인원순번],0),"")</f>
        <v/>
      </c>
      <c r="J246">
        <f>IF($U246="","",INDEX(상세표[사번],$U246)&amp;"")</f>
        <v/>
      </c>
      <c r="K246">
        <f>IF($U246="","",INDEX(상세표[성명],$U246)&amp;"")</f>
        <v/>
      </c>
      <c r="L246">
        <f>IF($U246="","",INDEX(상세표[직위],$U246)&amp;"")</f>
        <v/>
      </c>
      <c r="M246">
        <f>IF($U246="","",IF(ISNUMBER(INDEX(상세표[근무일자],$U246)),TEXT(INDEX(상세표[근무일자],$U246),"yyyy-mm-dd"),INDEX(상세표[근무일자],$U246)&amp;""))</f>
        <v/>
      </c>
      <c r="N246">
        <f>IF($U246="","",IF(ISNUMBER(INDEX(상세표[시작],$U246)),TEXT(INDEX(상세표[시작],$U246),"yyyy-mm-dd hh:mm"),INDEX(상세표[시작],$U246)&amp;""))</f>
        <v/>
      </c>
      <c r="O246">
        <f>IF($U246="","",IF(ISNUMBER(INDEX(상세표[종료],$U246)),TEXT(INDEX(상세표[종료],$U246),"yyyy-mm-dd hh:mm"),INDEX(상세표[종료],$U246)&amp;""))</f>
        <v/>
      </c>
      <c r="P246" s="20">
        <f>IF($U246="","",INDEX(상세표[06~07시],$U246))</f>
        <v/>
      </c>
      <c r="Q246" s="20">
        <f>IF($U246="","",INDEX(상세표[07~18시],$U246))</f>
        <v/>
      </c>
      <c r="R246" s="20">
        <f>IF($U246="","",INDEX(상세표[18~22시],$U246))</f>
        <v/>
      </c>
      <c r="S246" s="20">
        <f>IF($U246="","",INDEX(상세표[22~06시],$U246))</f>
        <v/>
      </c>
      <c r="T246" s="20">
        <f>IF($U246="","",INDEX(상세표[기록 시간외],$U246))</f>
        <v/>
      </c>
      <c r="U246" s="4">
        <f>IFERROR(MATCH(241,상세표[발송순번],0),"")</f>
        <v/>
      </c>
    </row>
    <row r="247">
      <c r="A247">
        <f>IF($H247="","",INDEX(상세표[사번],$H247)&amp;"")</f>
        <v/>
      </c>
      <c r="B247">
        <f>IF($H247="","",INDEX(상세표[성명],$H247)&amp;"")</f>
        <v/>
      </c>
      <c r="C247">
        <f>IF($H247="","",INDEX(상세표[부서],$H247)&amp;"")</f>
        <v/>
      </c>
      <c r="D247">
        <f>IF($H247="","",IF(IFERROR(INDEX(합계표[직위(요약)],MATCH(INDEX(상세표[사번키],$H247),합계표[사번키],0))&amp;IF(INDEX(합계표[직급 공존],MATCH(INDEX(상세표[사번키],$H247),합계표[사번키],0))="",""," ("&amp;INDEX(합계표[직급 공존],MATCH(INDEX(상세표[사번키],$H247),합계표[사번키],0))&amp;")"),"")="",INDEX(상세표[직위],$H247)&amp;"",IFERROR(INDEX(합계표[직위(요약)],MATCH(INDEX(상세표[사번키],$H247),합계표[사번키],0))&amp;IF(INDEX(합계표[직급 공존],MATCH(INDEX(상세표[사번키],$H247),합계표[사번키],0))="",""," ("&amp;INDEX(합계표[직급 공존],MATCH(INDEX(상세표[사번키],$H247),합계표[사번키],0))&amp;")"),"")))</f>
        <v/>
      </c>
      <c r="E247">
        <f>IF($H247="","",COUNTIFS(상세표[사번키],INDEX(상세표[사번키],$H247),상세표[기록월],대상월키))</f>
        <v/>
      </c>
      <c r="F247" s="20">
        <f>IF($H247="","",SUMIFS(상세표[기록 시간외],상세표[사번키],INDEX(상세표[사번키],$H247),상세표[기록월],대상월키))</f>
        <v/>
      </c>
      <c r="G247" s="20">
        <f>IF($H247="","",SUMIFS(합계표[시스템 합계],합계표[사번키],INDEX(상세표[사번키],$H247)))</f>
        <v/>
      </c>
      <c r="H247" s="4">
        <f>IFERROR(MATCH(242,상세표[발송인원순번],0),"")</f>
        <v/>
      </c>
      <c r="J247">
        <f>IF($U247="","",INDEX(상세표[사번],$U247)&amp;"")</f>
        <v/>
      </c>
      <c r="K247">
        <f>IF($U247="","",INDEX(상세표[성명],$U247)&amp;"")</f>
        <v/>
      </c>
      <c r="L247">
        <f>IF($U247="","",INDEX(상세표[직위],$U247)&amp;"")</f>
        <v/>
      </c>
      <c r="M247">
        <f>IF($U247="","",IF(ISNUMBER(INDEX(상세표[근무일자],$U247)),TEXT(INDEX(상세표[근무일자],$U247),"yyyy-mm-dd"),INDEX(상세표[근무일자],$U247)&amp;""))</f>
        <v/>
      </c>
      <c r="N247">
        <f>IF($U247="","",IF(ISNUMBER(INDEX(상세표[시작],$U247)),TEXT(INDEX(상세표[시작],$U247),"yyyy-mm-dd hh:mm"),INDEX(상세표[시작],$U247)&amp;""))</f>
        <v/>
      </c>
      <c r="O247">
        <f>IF($U247="","",IF(ISNUMBER(INDEX(상세표[종료],$U247)),TEXT(INDEX(상세표[종료],$U247),"yyyy-mm-dd hh:mm"),INDEX(상세표[종료],$U247)&amp;""))</f>
        <v/>
      </c>
      <c r="P247" s="20">
        <f>IF($U247="","",INDEX(상세표[06~07시],$U247))</f>
        <v/>
      </c>
      <c r="Q247" s="20">
        <f>IF($U247="","",INDEX(상세표[07~18시],$U247))</f>
        <v/>
      </c>
      <c r="R247" s="20">
        <f>IF($U247="","",INDEX(상세표[18~22시],$U247))</f>
        <v/>
      </c>
      <c r="S247" s="20">
        <f>IF($U247="","",INDEX(상세표[22~06시],$U247))</f>
        <v/>
      </c>
      <c r="T247" s="20">
        <f>IF($U247="","",INDEX(상세표[기록 시간외],$U247))</f>
        <v/>
      </c>
      <c r="U247" s="4">
        <f>IFERROR(MATCH(242,상세표[발송순번],0),"")</f>
        <v/>
      </c>
    </row>
    <row r="248">
      <c r="A248">
        <f>IF($H248="","",INDEX(상세표[사번],$H248)&amp;"")</f>
        <v/>
      </c>
      <c r="B248">
        <f>IF($H248="","",INDEX(상세표[성명],$H248)&amp;"")</f>
        <v/>
      </c>
      <c r="C248">
        <f>IF($H248="","",INDEX(상세표[부서],$H248)&amp;"")</f>
        <v/>
      </c>
      <c r="D248">
        <f>IF($H248="","",IF(IFERROR(INDEX(합계표[직위(요약)],MATCH(INDEX(상세표[사번키],$H248),합계표[사번키],0))&amp;IF(INDEX(합계표[직급 공존],MATCH(INDEX(상세표[사번키],$H248),합계표[사번키],0))="",""," ("&amp;INDEX(합계표[직급 공존],MATCH(INDEX(상세표[사번키],$H248),합계표[사번키],0))&amp;")"),"")="",INDEX(상세표[직위],$H248)&amp;"",IFERROR(INDEX(합계표[직위(요약)],MATCH(INDEX(상세표[사번키],$H248),합계표[사번키],0))&amp;IF(INDEX(합계표[직급 공존],MATCH(INDEX(상세표[사번키],$H248),합계표[사번키],0))="",""," ("&amp;INDEX(합계표[직급 공존],MATCH(INDEX(상세표[사번키],$H248),합계표[사번키],0))&amp;")"),"")))</f>
        <v/>
      </c>
      <c r="E248">
        <f>IF($H248="","",COUNTIFS(상세표[사번키],INDEX(상세표[사번키],$H248),상세표[기록월],대상월키))</f>
        <v/>
      </c>
      <c r="F248" s="20">
        <f>IF($H248="","",SUMIFS(상세표[기록 시간외],상세표[사번키],INDEX(상세표[사번키],$H248),상세표[기록월],대상월키))</f>
        <v/>
      </c>
      <c r="G248" s="20">
        <f>IF($H248="","",SUMIFS(합계표[시스템 합계],합계표[사번키],INDEX(상세표[사번키],$H248)))</f>
        <v/>
      </c>
      <c r="H248" s="4">
        <f>IFERROR(MATCH(243,상세표[발송인원순번],0),"")</f>
        <v/>
      </c>
      <c r="J248">
        <f>IF($U248="","",INDEX(상세표[사번],$U248)&amp;"")</f>
        <v/>
      </c>
      <c r="K248">
        <f>IF($U248="","",INDEX(상세표[성명],$U248)&amp;"")</f>
        <v/>
      </c>
      <c r="L248">
        <f>IF($U248="","",INDEX(상세표[직위],$U248)&amp;"")</f>
        <v/>
      </c>
      <c r="M248">
        <f>IF($U248="","",IF(ISNUMBER(INDEX(상세표[근무일자],$U248)),TEXT(INDEX(상세표[근무일자],$U248),"yyyy-mm-dd"),INDEX(상세표[근무일자],$U248)&amp;""))</f>
        <v/>
      </c>
      <c r="N248">
        <f>IF($U248="","",IF(ISNUMBER(INDEX(상세표[시작],$U248)),TEXT(INDEX(상세표[시작],$U248),"yyyy-mm-dd hh:mm"),INDEX(상세표[시작],$U248)&amp;""))</f>
        <v/>
      </c>
      <c r="O248">
        <f>IF($U248="","",IF(ISNUMBER(INDEX(상세표[종료],$U248)),TEXT(INDEX(상세표[종료],$U248),"yyyy-mm-dd hh:mm"),INDEX(상세표[종료],$U248)&amp;""))</f>
        <v/>
      </c>
      <c r="P248" s="20">
        <f>IF($U248="","",INDEX(상세표[06~07시],$U248))</f>
        <v/>
      </c>
      <c r="Q248" s="20">
        <f>IF($U248="","",INDEX(상세표[07~18시],$U248))</f>
        <v/>
      </c>
      <c r="R248" s="20">
        <f>IF($U248="","",INDEX(상세표[18~22시],$U248))</f>
        <v/>
      </c>
      <c r="S248" s="20">
        <f>IF($U248="","",INDEX(상세표[22~06시],$U248))</f>
        <v/>
      </c>
      <c r="T248" s="20">
        <f>IF($U248="","",INDEX(상세표[기록 시간외],$U248))</f>
        <v/>
      </c>
      <c r="U248" s="4">
        <f>IFERROR(MATCH(243,상세표[발송순번],0),"")</f>
        <v/>
      </c>
    </row>
    <row r="249">
      <c r="A249">
        <f>IF($H249="","",INDEX(상세표[사번],$H249)&amp;"")</f>
        <v/>
      </c>
      <c r="B249">
        <f>IF($H249="","",INDEX(상세표[성명],$H249)&amp;"")</f>
        <v/>
      </c>
      <c r="C249">
        <f>IF($H249="","",INDEX(상세표[부서],$H249)&amp;"")</f>
        <v/>
      </c>
      <c r="D249">
        <f>IF($H249="","",IF(IFERROR(INDEX(합계표[직위(요약)],MATCH(INDEX(상세표[사번키],$H249),합계표[사번키],0))&amp;IF(INDEX(합계표[직급 공존],MATCH(INDEX(상세표[사번키],$H249),합계표[사번키],0))="",""," ("&amp;INDEX(합계표[직급 공존],MATCH(INDEX(상세표[사번키],$H249),합계표[사번키],0))&amp;")"),"")="",INDEX(상세표[직위],$H249)&amp;"",IFERROR(INDEX(합계표[직위(요약)],MATCH(INDEX(상세표[사번키],$H249),합계표[사번키],0))&amp;IF(INDEX(합계표[직급 공존],MATCH(INDEX(상세표[사번키],$H249),합계표[사번키],0))="",""," ("&amp;INDEX(합계표[직급 공존],MATCH(INDEX(상세표[사번키],$H249),합계표[사번키],0))&amp;")"),"")))</f>
        <v/>
      </c>
      <c r="E249">
        <f>IF($H249="","",COUNTIFS(상세표[사번키],INDEX(상세표[사번키],$H249),상세표[기록월],대상월키))</f>
        <v/>
      </c>
      <c r="F249" s="20">
        <f>IF($H249="","",SUMIFS(상세표[기록 시간외],상세표[사번키],INDEX(상세표[사번키],$H249),상세표[기록월],대상월키))</f>
        <v/>
      </c>
      <c r="G249" s="20">
        <f>IF($H249="","",SUMIFS(합계표[시스템 합계],합계표[사번키],INDEX(상세표[사번키],$H249)))</f>
        <v/>
      </c>
      <c r="H249" s="4">
        <f>IFERROR(MATCH(244,상세표[발송인원순번],0),"")</f>
        <v/>
      </c>
      <c r="J249">
        <f>IF($U249="","",INDEX(상세표[사번],$U249)&amp;"")</f>
        <v/>
      </c>
      <c r="K249">
        <f>IF($U249="","",INDEX(상세표[성명],$U249)&amp;"")</f>
        <v/>
      </c>
      <c r="L249">
        <f>IF($U249="","",INDEX(상세표[직위],$U249)&amp;"")</f>
        <v/>
      </c>
      <c r="M249">
        <f>IF($U249="","",IF(ISNUMBER(INDEX(상세표[근무일자],$U249)),TEXT(INDEX(상세표[근무일자],$U249),"yyyy-mm-dd"),INDEX(상세표[근무일자],$U249)&amp;""))</f>
        <v/>
      </c>
      <c r="N249">
        <f>IF($U249="","",IF(ISNUMBER(INDEX(상세표[시작],$U249)),TEXT(INDEX(상세표[시작],$U249),"yyyy-mm-dd hh:mm"),INDEX(상세표[시작],$U249)&amp;""))</f>
        <v/>
      </c>
      <c r="O249">
        <f>IF($U249="","",IF(ISNUMBER(INDEX(상세표[종료],$U249)),TEXT(INDEX(상세표[종료],$U249),"yyyy-mm-dd hh:mm"),INDEX(상세표[종료],$U249)&amp;""))</f>
        <v/>
      </c>
      <c r="P249" s="20">
        <f>IF($U249="","",INDEX(상세표[06~07시],$U249))</f>
        <v/>
      </c>
      <c r="Q249" s="20">
        <f>IF($U249="","",INDEX(상세표[07~18시],$U249))</f>
        <v/>
      </c>
      <c r="R249" s="20">
        <f>IF($U249="","",INDEX(상세표[18~22시],$U249))</f>
        <v/>
      </c>
      <c r="S249" s="20">
        <f>IF($U249="","",INDEX(상세표[22~06시],$U249))</f>
        <v/>
      </c>
      <c r="T249" s="20">
        <f>IF($U249="","",INDEX(상세표[기록 시간외],$U249))</f>
        <v/>
      </c>
      <c r="U249" s="4">
        <f>IFERROR(MATCH(244,상세표[발송순번],0),"")</f>
        <v/>
      </c>
    </row>
    <row r="250">
      <c r="A250">
        <f>IF($H250="","",INDEX(상세표[사번],$H250)&amp;"")</f>
        <v/>
      </c>
      <c r="B250">
        <f>IF($H250="","",INDEX(상세표[성명],$H250)&amp;"")</f>
        <v/>
      </c>
      <c r="C250">
        <f>IF($H250="","",INDEX(상세표[부서],$H250)&amp;"")</f>
        <v/>
      </c>
      <c r="D250">
        <f>IF($H250="","",IF(IFERROR(INDEX(합계표[직위(요약)],MATCH(INDEX(상세표[사번키],$H250),합계표[사번키],0))&amp;IF(INDEX(합계표[직급 공존],MATCH(INDEX(상세표[사번키],$H250),합계표[사번키],0))="",""," ("&amp;INDEX(합계표[직급 공존],MATCH(INDEX(상세표[사번키],$H250),합계표[사번키],0))&amp;")"),"")="",INDEX(상세표[직위],$H250)&amp;"",IFERROR(INDEX(합계표[직위(요약)],MATCH(INDEX(상세표[사번키],$H250),합계표[사번키],0))&amp;IF(INDEX(합계표[직급 공존],MATCH(INDEX(상세표[사번키],$H250),합계표[사번키],0))="",""," ("&amp;INDEX(합계표[직급 공존],MATCH(INDEX(상세표[사번키],$H250),합계표[사번키],0))&amp;")"),"")))</f>
        <v/>
      </c>
      <c r="E250">
        <f>IF($H250="","",COUNTIFS(상세표[사번키],INDEX(상세표[사번키],$H250),상세표[기록월],대상월키))</f>
        <v/>
      </c>
      <c r="F250" s="20">
        <f>IF($H250="","",SUMIFS(상세표[기록 시간외],상세표[사번키],INDEX(상세표[사번키],$H250),상세표[기록월],대상월키))</f>
        <v/>
      </c>
      <c r="G250" s="20">
        <f>IF($H250="","",SUMIFS(합계표[시스템 합계],합계표[사번키],INDEX(상세표[사번키],$H250)))</f>
        <v/>
      </c>
      <c r="H250" s="4">
        <f>IFERROR(MATCH(245,상세표[발송인원순번],0),"")</f>
        <v/>
      </c>
      <c r="J250">
        <f>IF($U250="","",INDEX(상세표[사번],$U250)&amp;"")</f>
        <v/>
      </c>
      <c r="K250">
        <f>IF($U250="","",INDEX(상세표[성명],$U250)&amp;"")</f>
        <v/>
      </c>
      <c r="L250">
        <f>IF($U250="","",INDEX(상세표[직위],$U250)&amp;"")</f>
        <v/>
      </c>
      <c r="M250">
        <f>IF($U250="","",IF(ISNUMBER(INDEX(상세표[근무일자],$U250)),TEXT(INDEX(상세표[근무일자],$U250),"yyyy-mm-dd"),INDEX(상세표[근무일자],$U250)&amp;""))</f>
        <v/>
      </c>
      <c r="N250">
        <f>IF($U250="","",IF(ISNUMBER(INDEX(상세표[시작],$U250)),TEXT(INDEX(상세표[시작],$U250),"yyyy-mm-dd hh:mm"),INDEX(상세표[시작],$U250)&amp;""))</f>
        <v/>
      </c>
      <c r="O250">
        <f>IF($U250="","",IF(ISNUMBER(INDEX(상세표[종료],$U250)),TEXT(INDEX(상세표[종료],$U250),"yyyy-mm-dd hh:mm"),INDEX(상세표[종료],$U250)&amp;""))</f>
        <v/>
      </c>
      <c r="P250" s="20">
        <f>IF($U250="","",INDEX(상세표[06~07시],$U250))</f>
        <v/>
      </c>
      <c r="Q250" s="20">
        <f>IF($U250="","",INDEX(상세표[07~18시],$U250))</f>
        <v/>
      </c>
      <c r="R250" s="20">
        <f>IF($U250="","",INDEX(상세표[18~22시],$U250))</f>
        <v/>
      </c>
      <c r="S250" s="20">
        <f>IF($U250="","",INDEX(상세표[22~06시],$U250))</f>
        <v/>
      </c>
      <c r="T250" s="20">
        <f>IF($U250="","",INDEX(상세표[기록 시간외],$U250))</f>
        <v/>
      </c>
      <c r="U250" s="4">
        <f>IFERROR(MATCH(245,상세표[발송순번],0),"")</f>
        <v/>
      </c>
    </row>
    <row r="251">
      <c r="A251">
        <f>IF($H251="","",INDEX(상세표[사번],$H251)&amp;"")</f>
        <v/>
      </c>
      <c r="B251">
        <f>IF($H251="","",INDEX(상세표[성명],$H251)&amp;"")</f>
        <v/>
      </c>
      <c r="C251">
        <f>IF($H251="","",INDEX(상세표[부서],$H251)&amp;"")</f>
        <v/>
      </c>
      <c r="D251">
        <f>IF($H251="","",IF(IFERROR(INDEX(합계표[직위(요약)],MATCH(INDEX(상세표[사번키],$H251),합계표[사번키],0))&amp;IF(INDEX(합계표[직급 공존],MATCH(INDEX(상세표[사번키],$H251),합계표[사번키],0))="",""," ("&amp;INDEX(합계표[직급 공존],MATCH(INDEX(상세표[사번키],$H251),합계표[사번키],0))&amp;")"),"")="",INDEX(상세표[직위],$H251)&amp;"",IFERROR(INDEX(합계표[직위(요약)],MATCH(INDEX(상세표[사번키],$H251),합계표[사번키],0))&amp;IF(INDEX(합계표[직급 공존],MATCH(INDEX(상세표[사번키],$H251),합계표[사번키],0))="",""," ("&amp;INDEX(합계표[직급 공존],MATCH(INDEX(상세표[사번키],$H251),합계표[사번키],0))&amp;")"),"")))</f>
        <v/>
      </c>
      <c r="E251">
        <f>IF($H251="","",COUNTIFS(상세표[사번키],INDEX(상세표[사번키],$H251),상세표[기록월],대상월키))</f>
        <v/>
      </c>
      <c r="F251" s="20">
        <f>IF($H251="","",SUMIFS(상세표[기록 시간외],상세표[사번키],INDEX(상세표[사번키],$H251),상세표[기록월],대상월키))</f>
        <v/>
      </c>
      <c r="G251" s="20">
        <f>IF($H251="","",SUMIFS(합계표[시스템 합계],합계표[사번키],INDEX(상세표[사번키],$H251)))</f>
        <v/>
      </c>
      <c r="H251" s="4">
        <f>IFERROR(MATCH(246,상세표[발송인원순번],0),"")</f>
        <v/>
      </c>
      <c r="J251">
        <f>IF($U251="","",INDEX(상세표[사번],$U251)&amp;"")</f>
        <v/>
      </c>
      <c r="K251">
        <f>IF($U251="","",INDEX(상세표[성명],$U251)&amp;"")</f>
        <v/>
      </c>
      <c r="L251">
        <f>IF($U251="","",INDEX(상세표[직위],$U251)&amp;"")</f>
        <v/>
      </c>
      <c r="M251">
        <f>IF($U251="","",IF(ISNUMBER(INDEX(상세표[근무일자],$U251)),TEXT(INDEX(상세표[근무일자],$U251),"yyyy-mm-dd"),INDEX(상세표[근무일자],$U251)&amp;""))</f>
        <v/>
      </c>
      <c r="N251">
        <f>IF($U251="","",IF(ISNUMBER(INDEX(상세표[시작],$U251)),TEXT(INDEX(상세표[시작],$U251),"yyyy-mm-dd hh:mm"),INDEX(상세표[시작],$U251)&amp;""))</f>
        <v/>
      </c>
      <c r="O251">
        <f>IF($U251="","",IF(ISNUMBER(INDEX(상세표[종료],$U251)),TEXT(INDEX(상세표[종료],$U251),"yyyy-mm-dd hh:mm"),INDEX(상세표[종료],$U251)&amp;""))</f>
        <v/>
      </c>
      <c r="P251" s="20">
        <f>IF($U251="","",INDEX(상세표[06~07시],$U251))</f>
        <v/>
      </c>
      <c r="Q251" s="20">
        <f>IF($U251="","",INDEX(상세표[07~18시],$U251))</f>
        <v/>
      </c>
      <c r="R251" s="20">
        <f>IF($U251="","",INDEX(상세표[18~22시],$U251))</f>
        <v/>
      </c>
      <c r="S251" s="20">
        <f>IF($U251="","",INDEX(상세표[22~06시],$U251))</f>
        <v/>
      </c>
      <c r="T251" s="20">
        <f>IF($U251="","",INDEX(상세표[기록 시간외],$U251))</f>
        <v/>
      </c>
      <c r="U251" s="4">
        <f>IFERROR(MATCH(246,상세표[발송순번],0),"")</f>
        <v/>
      </c>
    </row>
    <row r="252">
      <c r="A252">
        <f>IF($H252="","",INDEX(상세표[사번],$H252)&amp;"")</f>
        <v/>
      </c>
      <c r="B252">
        <f>IF($H252="","",INDEX(상세표[성명],$H252)&amp;"")</f>
        <v/>
      </c>
      <c r="C252">
        <f>IF($H252="","",INDEX(상세표[부서],$H252)&amp;"")</f>
        <v/>
      </c>
      <c r="D252">
        <f>IF($H252="","",IF(IFERROR(INDEX(합계표[직위(요약)],MATCH(INDEX(상세표[사번키],$H252),합계표[사번키],0))&amp;IF(INDEX(합계표[직급 공존],MATCH(INDEX(상세표[사번키],$H252),합계표[사번키],0))="",""," ("&amp;INDEX(합계표[직급 공존],MATCH(INDEX(상세표[사번키],$H252),합계표[사번키],0))&amp;")"),"")="",INDEX(상세표[직위],$H252)&amp;"",IFERROR(INDEX(합계표[직위(요약)],MATCH(INDEX(상세표[사번키],$H252),합계표[사번키],0))&amp;IF(INDEX(합계표[직급 공존],MATCH(INDEX(상세표[사번키],$H252),합계표[사번키],0))="",""," ("&amp;INDEX(합계표[직급 공존],MATCH(INDEX(상세표[사번키],$H252),합계표[사번키],0))&amp;")"),"")))</f>
        <v/>
      </c>
      <c r="E252">
        <f>IF($H252="","",COUNTIFS(상세표[사번키],INDEX(상세표[사번키],$H252),상세표[기록월],대상월키))</f>
        <v/>
      </c>
      <c r="F252" s="20">
        <f>IF($H252="","",SUMIFS(상세표[기록 시간외],상세표[사번키],INDEX(상세표[사번키],$H252),상세표[기록월],대상월키))</f>
        <v/>
      </c>
      <c r="G252" s="20">
        <f>IF($H252="","",SUMIFS(합계표[시스템 합계],합계표[사번키],INDEX(상세표[사번키],$H252)))</f>
        <v/>
      </c>
      <c r="H252" s="4">
        <f>IFERROR(MATCH(247,상세표[발송인원순번],0),"")</f>
        <v/>
      </c>
      <c r="J252">
        <f>IF($U252="","",INDEX(상세표[사번],$U252)&amp;"")</f>
        <v/>
      </c>
      <c r="K252">
        <f>IF($U252="","",INDEX(상세표[성명],$U252)&amp;"")</f>
        <v/>
      </c>
      <c r="L252">
        <f>IF($U252="","",INDEX(상세표[직위],$U252)&amp;"")</f>
        <v/>
      </c>
      <c r="M252">
        <f>IF($U252="","",IF(ISNUMBER(INDEX(상세표[근무일자],$U252)),TEXT(INDEX(상세표[근무일자],$U252),"yyyy-mm-dd"),INDEX(상세표[근무일자],$U252)&amp;""))</f>
        <v/>
      </c>
      <c r="N252">
        <f>IF($U252="","",IF(ISNUMBER(INDEX(상세표[시작],$U252)),TEXT(INDEX(상세표[시작],$U252),"yyyy-mm-dd hh:mm"),INDEX(상세표[시작],$U252)&amp;""))</f>
        <v/>
      </c>
      <c r="O252">
        <f>IF($U252="","",IF(ISNUMBER(INDEX(상세표[종료],$U252)),TEXT(INDEX(상세표[종료],$U252),"yyyy-mm-dd hh:mm"),INDEX(상세표[종료],$U252)&amp;""))</f>
        <v/>
      </c>
      <c r="P252" s="20">
        <f>IF($U252="","",INDEX(상세표[06~07시],$U252))</f>
        <v/>
      </c>
      <c r="Q252" s="20">
        <f>IF($U252="","",INDEX(상세표[07~18시],$U252))</f>
        <v/>
      </c>
      <c r="R252" s="20">
        <f>IF($U252="","",INDEX(상세표[18~22시],$U252))</f>
        <v/>
      </c>
      <c r="S252" s="20">
        <f>IF($U252="","",INDEX(상세표[22~06시],$U252))</f>
        <v/>
      </c>
      <c r="T252" s="20">
        <f>IF($U252="","",INDEX(상세표[기록 시간외],$U252))</f>
        <v/>
      </c>
      <c r="U252" s="4">
        <f>IFERROR(MATCH(247,상세표[발송순번],0),"")</f>
        <v/>
      </c>
    </row>
    <row r="253">
      <c r="A253">
        <f>IF($H253="","",INDEX(상세표[사번],$H253)&amp;"")</f>
        <v/>
      </c>
      <c r="B253">
        <f>IF($H253="","",INDEX(상세표[성명],$H253)&amp;"")</f>
        <v/>
      </c>
      <c r="C253">
        <f>IF($H253="","",INDEX(상세표[부서],$H253)&amp;"")</f>
        <v/>
      </c>
      <c r="D253">
        <f>IF($H253="","",IF(IFERROR(INDEX(합계표[직위(요약)],MATCH(INDEX(상세표[사번키],$H253),합계표[사번키],0))&amp;IF(INDEX(합계표[직급 공존],MATCH(INDEX(상세표[사번키],$H253),합계표[사번키],0))="",""," ("&amp;INDEX(합계표[직급 공존],MATCH(INDEX(상세표[사번키],$H253),합계표[사번키],0))&amp;")"),"")="",INDEX(상세표[직위],$H253)&amp;"",IFERROR(INDEX(합계표[직위(요약)],MATCH(INDEX(상세표[사번키],$H253),합계표[사번키],0))&amp;IF(INDEX(합계표[직급 공존],MATCH(INDEX(상세표[사번키],$H253),합계표[사번키],0))="",""," ("&amp;INDEX(합계표[직급 공존],MATCH(INDEX(상세표[사번키],$H253),합계표[사번키],0))&amp;")"),"")))</f>
        <v/>
      </c>
      <c r="E253">
        <f>IF($H253="","",COUNTIFS(상세표[사번키],INDEX(상세표[사번키],$H253),상세표[기록월],대상월키))</f>
        <v/>
      </c>
      <c r="F253" s="20">
        <f>IF($H253="","",SUMIFS(상세표[기록 시간외],상세표[사번키],INDEX(상세표[사번키],$H253),상세표[기록월],대상월키))</f>
        <v/>
      </c>
      <c r="G253" s="20">
        <f>IF($H253="","",SUMIFS(합계표[시스템 합계],합계표[사번키],INDEX(상세표[사번키],$H253)))</f>
        <v/>
      </c>
      <c r="H253" s="4">
        <f>IFERROR(MATCH(248,상세표[발송인원순번],0),"")</f>
        <v/>
      </c>
      <c r="J253">
        <f>IF($U253="","",INDEX(상세표[사번],$U253)&amp;"")</f>
        <v/>
      </c>
      <c r="K253">
        <f>IF($U253="","",INDEX(상세표[성명],$U253)&amp;"")</f>
        <v/>
      </c>
      <c r="L253">
        <f>IF($U253="","",INDEX(상세표[직위],$U253)&amp;"")</f>
        <v/>
      </c>
      <c r="M253">
        <f>IF($U253="","",IF(ISNUMBER(INDEX(상세표[근무일자],$U253)),TEXT(INDEX(상세표[근무일자],$U253),"yyyy-mm-dd"),INDEX(상세표[근무일자],$U253)&amp;""))</f>
        <v/>
      </c>
      <c r="N253">
        <f>IF($U253="","",IF(ISNUMBER(INDEX(상세표[시작],$U253)),TEXT(INDEX(상세표[시작],$U253),"yyyy-mm-dd hh:mm"),INDEX(상세표[시작],$U253)&amp;""))</f>
        <v/>
      </c>
      <c r="O253">
        <f>IF($U253="","",IF(ISNUMBER(INDEX(상세표[종료],$U253)),TEXT(INDEX(상세표[종료],$U253),"yyyy-mm-dd hh:mm"),INDEX(상세표[종료],$U253)&amp;""))</f>
        <v/>
      </c>
      <c r="P253" s="20">
        <f>IF($U253="","",INDEX(상세표[06~07시],$U253))</f>
        <v/>
      </c>
      <c r="Q253" s="20">
        <f>IF($U253="","",INDEX(상세표[07~18시],$U253))</f>
        <v/>
      </c>
      <c r="R253" s="20">
        <f>IF($U253="","",INDEX(상세표[18~22시],$U253))</f>
        <v/>
      </c>
      <c r="S253" s="20">
        <f>IF($U253="","",INDEX(상세표[22~06시],$U253))</f>
        <v/>
      </c>
      <c r="T253" s="20">
        <f>IF($U253="","",INDEX(상세표[기록 시간외],$U253))</f>
        <v/>
      </c>
      <c r="U253" s="4">
        <f>IFERROR(MATCH(248,상세표[발송순번],0),"")</f>
        <v/>
      </c>
    </row>
    <row r="254">
      <c r="A254">
        <f>IF($H254="","",INDEX(상세표[사번],$H254)&amp;"")</f>
        <v/>
      </c>
      <c r="B254">
        <f>IF($H254="","",INDEX(상세표[성명],$H254)&amp;"")</f>
        <v/>
      </c>
      <c r="C254">
        <f>IF($H254="","",INDEX(상세표[부서],$H254)&amp;"")</f>
        <v/>
      </c>
      <c r="D254">
        <f>IF($H254="","",IF(IFERROR(INDEX(합계표[직위(요약)],MATCH(INDEX(상세표[사번키],$H254),합계표[사번키],0))&amp;IF(INDEX(합계표[직급 공존],MATCH(INDEX(상세표[사번키],$H254),합계표[사번키],0))="",""," ("&amp;INDEX(합계표[직급 공존],MATCH(INDEX(상세표[사번키],$H254),합계표[사번키],0))&amp;")"),"")="",INDEX(상세표[직위],$H254)&amp;"",IFERROR(INDEX(합계표[직위(요약)],MATCH(INDEX(상세표[사번키],$H254),합계표[사번키],0))&amp;IF(INDEX(합계표[직급 공존],MATCH(INDEX(상세표[사번키],$H254),합계표[사번키],0))="",""," ("&amp;INDEX(합계표[직급 공존],MATCH(INDEX(상세표[사번키],$H254),합계표[사번키],0))&amp;")"),"")))</f>
        <v/>
      </c>
      <c r="E254">
        <f>IF($H254="","",COUNTIFS(상세표[사번키],INDEX(상세표[사번키],$H254),상세표[기록월],대상월키))</f>
        <v/>
      </c>
      <c r="F254" s="20">
        <f>IF($H254="","",SUMIFS(상세표[기록 시간외],상세표[사번키],INDEX(상세표[사번키],$H254),상세표[기록월],대상월키))</f>
        <v/>
      </c>
      <c r="G254" s="20">
        <f>IF($H254="","",SUMIFS(합계표[시스템 합계],합계표[사번키],INDEX(상세표[사번키],$H254)))</f>
        <v/>
      </c>
      <c r="H254" s="4">
        <f>IFERROR(MATCH(249,상세표[발송인원순번],0),"")</f>
        <v/>
      </c>
      <c r="J254">
        <f>IF($U254="","",INDEX(상세표[사번],$U254)&amp;"")</f>
        <v/>
      </c>
      <c r="K254">
        <f>IF($U254="","",INDEX(상세표[성명],$U254)&amp;"")</f>
        <v/>
      </c>
      <c r="L254">
        <f>IF($U254="","",INDEX(상세표[직위],$U254)&amp;"")</f>
        <v/>
      </c>
      <c r="M254">
        <f>IF($U254="","",IF(ISNUMBER(INDEX(상세표[근무일자],$U254)),TEXT(INDEX(상세표[근무일자],$U254),"yyyy-mm-dd"),INDEX(상세표[근무일자],$U254)&amp;""))</f>
        <v/>
      </c>
      <c r="N254">
        <f>IF($U254="","",IF(ISNUMBER(INDEX(상세표[시작],$U254)),TEXT(INDEX(상세표[시작],$U254),"yyyy-mm-dd hh:mm"),INDEX(상세표[시작],$U254)&amp;""))</f>
        <v/>
      </c>
      <c r="O254">
        <f>IF($U254="","",IF(ISNUMBER(INDEX(상세표[종료],$U254)),TEXT(INDEX(상세표[종료],$U254),"yyyy-mm-dd hh:mm"),INDEX(상세표[종료],$U254)&amp;""))</f>
        <v/>
      </c>
      <c r="P254" s="20">
        <f>IF($U254="","",INDEX(상세표[06~07시],$U254))</f>
        <v/>
      </c>
      <c r="Q254" s="20">
        <f>IF($U254="","",INDEX(상세표[07~18시],$U254))</f>
        <v/>
      </c>
      <c r="R254" s="20">
        <f>IF($U254="","",INDEX(상세표[18~22시],$U254))</f>
        <v/>
      </c>
      <c r="S254" s="20">
        <f>IF($U254="","",INDEX(상세표[22~06시],$U254))</f>
        <v/>
      </c>
      <c r="T254" s="20">
        <f>IF($U254="","",INDEX(상세표[기록 시간외],$U254))</f>
        <v/>
      </c>
      <c r="U254" s="4">
        <f>IFERROR(MATCH(249,상세표[발송순번],0),"")</f>
        <v/>
      </c>
    </row>
    <row r="255">
      <c r="A255">
        <f>IF($H255="","",INDEX(상세표[사번],$H255)&amp;"")</f>
        <v/>
      </c>
      <c r="B255">
        <f>IF($H255="","",INDEX(상세표[성명],$H255)&amp;"")</f>
        <v/>
      </c>
      <c r="C255">
        <f>IF($H255="","",INDEX(상세표[부서],$H255)&amp;"")</f>
        <v/>
      </c>
      <c r="D255">
        <f>IF($H255="","",IF(IFERROR(INDEX(합계표[직위(요약)],MATCH(INDEX(상세표[사번키],$H255),합계표[사번키],0))&amp;IF(INDEX(합계표[직급 공존],MATCH(INDEX(상세표[사번키],$H255),합계표[사번키],0))="",""," ("&amp;INDEX(합계표[직급 공존],MATCH(INDEX(상세표[사번키],$H255),합계표[사번키],0))&amp;")"),"")="",INDEX(상세표[직위],$H255)&amp;"",IFERROR(INDEX(합계표[직위(요약)],MATCH(INDEX(상세표[사번키],$H255),합계표[사번키],0))&amp;IF(INDEX(합계표[직급 공존],MATCH(INDEX(상세표[사번키],$H255),합계표[사번키],0))="",""," ("&amp;INDEX(합계표[직급 공존],MATCH(INDEX(상세표[사번키],$H255),합계표[사번키],0))&amp;")"),"")))</f>
        <v/>
      </c>
      <c r="E255">
        <f>IF($H255="","",COUNTIFS(상세표[사번키],INDEX(상세표[사번키],$H255),상세표[기록월],대상월키))</f>
        <v/>
      </c>
      <c r="F255" s="20">
        <f>IF($H255="","",SUMIFS(상세표[기록 시간외],상세표[사번키],INDEX(상세표[사번키],$H255),상세표[기록월],대상월키))</f>
        <v/>
      </c>
      <c r="G255" s="20">
        <f>IF($H255="","",SUMIFS(합계표[시스템 합계],합계표[사번키],INDEX(상세표[사번키],$H255)))</f>
        <v/>
      </c>
      <c r="H255" s="4">
        <f>IFERROR(MATCH(250,상세표[발송인원순번],0),"")</f>
        <v/>
      </c>
      <c r="J255">
        <f>IF($U255="","",INDEX(상세표[사번],$U255)&amp;"")</f>
        <v/>
      </c>
      <c r="K255">
        <f>IF($U255="","",INDEX(상세표[성명],$U255)&amp;"")</f>
        <v/>
      </c>
      <c r="L255">
        <f>IF($U255="","",INDEX(상세표[직위],$U255)&amp;"")</f>
        <v/>
      </c>
      <c r="M255">
        <f>IF($U255="","",IF(ISNUMBER(INDEX(상세표[근무일자],$U255)),TEXT(INDEX(상세표[근무일자],$U255),"yyyy-mm-dd"),INDEX(상세표[근무일자],$U255)&amp;""))</f>
        <v/>
      </c>
      <c r="N255">
        <f>IF($U255="","",IF(ISNUMBER(INDEX(상세표[시작],$U255)),TEXT(INDEX(상세표[시작],$U255),"yyyy-mm-dd hh:mm"),INDEX(상세표[시작],$U255)&amp;""))</f>
        <v/>
      </c>
      <c r="O255">
        <f>IF($U255="","",IF(ISNUMBER(INDEX(상세표[종료],$U255)),TEXT(INDEX(상세표[종료],$U255),"yyyy-mm-dd hh:mm"),INDEX(상세표[종료],$U255)&amp;""))</f>
        <v/>
      </c>
      <c r="P255" s="20">
        <f>IF($U255="","",INDEX(상세표[06~07시],$U255))</f>
        <v/>
      </c>
      <c r="Q255" s="20">
        <f>IF($U255="","",INDEX(상세표[07~18시],$U255))</f>
        <v/>
      </c>
      <c r="R255" s="20">
        <f>IF($U255="","",INDEX(상세표[18~22시],$U255))</f>
        <v/>
      </c>
      <c r="S255" s="20">
        <f>IF($U255="","",INDEX(상세표[22~06시],$U255))</f>
        <v/>
      </c>
      <c r="T255" s="20">
        <f>IF($U255="","",INDEX(상세표[기록 시간외],$U255))</f>
        <v/>
      </c>
      <c r="U255" s="4">
        <f>IFERROR(MATCH(250,상세표[발송순번],0),"")</f>
        <v/>
      </c>
    </row>
    <row r="256">
      <c r="A256">
        <f>IF($H256="","",INDEX(상세표[사번],$H256)&amp;"")</f>
        <v/>
      </c>
      <c r="B256">
        <f>IF($H256="","",INDEX(상세표[성명],$H256)&amp;"")</f>
        <v/>
      </c>
      <c r="C256">
        <f>IF($H256="","",INDEX(상세표[부서],$H256)&amp;"")</f>
        <v/>
      </c>
      <c r="D256">
        <f>IF($H256="","",IF(IFERROR(INDEX(합계표[직위(요약)],MATCH(INDEX(상세표[사번키],$H256),합계표[사번키],0))&amp;IF(INDEX(합계표[직급 공존],MATCH(INDEX(상세표[사번키],$H256),합계표[사번키],0))="",""," ("&amp;INDEX(합계표[직급 공존],MATCH(INDEX(상세표[사번키],$H256),합계표[사번키],0))&amp;")"),"")="",INDEX(상세표[직위],$H256)&amp;"",IFERROR(INDEX(합계표[직위(요약)],MATCH(INDEX(상세표[사번키],$H256),합계표[사번키],0))&amp;IF(INDEX(합계표[직급 공존],MATCH(INDEX(상세표[사번키],$H256),합계표[사번키],0))="",""," ("&amp;INDEX(합계표[직급 공존],MATCH(INDEX(상세표[사번키],$H256),합계표[사번키],0))&amp;")"),"")))</f>
        <v/>
      </c>
      <c r="E256">
        <f>IF($H256="","",COUNTIFS(상세표[사번키],INDEX(상세표[사번키],$H256),상세표[기록월],대상월키))</f>
        <v/>
      </c>
      <c r="F256" s="20">
        <f>IF($H256="","",SUMIFS(상세표[기록 시간외],상세표[사번키],INDEX(상세표[사번키],$H256),상세표[기록월],대상월키))</f>
        <v/>
      </c>
      <c r="G256" s="20">
        <f>IF($H256="","",SUMIFS(합계표[시스템 합계],합계표[사번키],INDEX(상세표[사번키],$H256)))</f>
        <v/>
      </c>
      <c r="H256" s="4">
        <f>IFERROR(MATCH(251,상세표[발송인원순번],0),"")</f>
        <v/>
      </c>
      <c r="J256">
        <f>IF($U256="","",INDEX(상세표[사번],$U256)&amp;"")</f>
        <v/>
      </c>
      <c r="K256">
        <f>IF($U256="","",INDEX(상세표[성명],$U256)&amp;"")</f>
        <v/>
      </c>
      <c r="L256">
        <f>IF($U256="","",INDEX(상세표[직위],$U256)&amp;"")</f>
        <v/>
      </c>
      <c r="M256">
        <f>IF($U256="","",IF(ISNUMBER(INDEX(상세표[근무일자],$U256)),TEXT(INDEX(상세표[근무일자],$U256),"yyyy-mm-dd"),INDEX(상세표[근무일자],$U256)&amp;""))</f>
        <v/>
      </c>
      <c r="N256">
        <f>IF($U256="","",IF(ISNUMBER(INDEX(상세표[시작],$U256)),TEXT(INDEX(상세표[시작],$U256),"yyyy-mm-dd hh:mm"),INDEX(상세표[시작],$U256)&amp;""))</f>
        <v/>
      </c>
      <c r="O256">
        <f>IF($U256="","",IF(ISNUMBER(INDEX(상세표[종료],$U256)),TEXT(INDEX(상세표[종료],$U256),"yyyy-mm-dd hh:mm"),INDEX(상세표[종료],$U256)&amp;""))</f>
        <v/>
      </c>
      <c r="P256" s="20">
        <f>IF($U256="","",INDEX(상세표[06~07시],$U256))</f>
        <v/>
      </c>
      <c r="Q256" s="20">
        <f>IF($U256="","",INDEX(상세표[07~18시],$U256))</f>
        <v/>
      </c>
      <c r="R256" s="20">
        <f>IF($U256="","",INDEX(상세표[18~22시],$U256))</f>
        <v/>
      </c>
      <c r="S256" s="20">
        <f>IF($U256="","",INDEX(상세표[22~06시],$U256))</f>
        <v/>
      </c>
      <c r="T256" s="20">
        <f>IF($U256="","",INDEX(상세표[기록 시간외],$U256))</f>
        <v/>
      </c>
      <c r="U256" s="4">
        <f>IFERROR(MATCH(251,상세표[발송순번],0),"")</f>
        <v/>
      </c>
    </row>
    <row r="257">
      <c r="A257">
        <f>IF($H257="","",INDEX(상세표[사번],$H257)&amp;"")</f>
        <v/>
      </c>
      <c r="B257">
        <f>IF($H257="","",INDEX(상세표[성명],$H257)&amp;"")</f>
        <v/>
      </c>
      <c r="C257">
        <f>IF($H257="","",INDEX(상세표[부서],$H257)&amp;"")</f>
        <v/>
      </c>
      <c r="D257">
        <f>IF($H257="","",IF(IFERROR(INDEX(합계표[직위(요약)],MATCH(INDEX(상세표[사번키],$H257),합계표[사번키],0))&amp;IF(INDEX(합계표[직급 공존],MATCH(INDEX(상세표[사번키],$H257),합계표[사번키],0))="",""," ("&amp;INDEX(합계표[직급 공존],MATCH(INDEX(상세표[사번키],$H257),합계표[사번키],0))&amp;")"),"")="",INDEX(상세표[직위],$H257)&amp;"",IFERROR(INDEX(합계표[직위(요약)],MATCH(INDEX(상세표[사번키],$H257),합계표[사번키],0))&amp;IF(INDEX(합계표[직급 공존],MATCH(INDEX(상세표[사번키],$H257),합계표[사번키],0))="",""," ("&amp;INDEX(합계표[직급 공존],MATCH(INDEX(상세표[사번키],$H257),합계표[사번키],0))&amp;")"),"")))</f>
        <v/>
      </c>
      <c r="E257">
        <f>IF($H257="","",COUNTIFS(상세표[사번키],INDEX(상세표[사번키],$H257),상세표[기록월],대상월키))</f>
        <v/>
      </c>
      <c r="F257" s="20">
        <f>IF($H257="","",SUMIFS(상세표[기록 시간외],상세표[사번키],INDEX(상세표[사번키],$H257),상세표[기록월],대상월키))</f>
        <v/>
      </c>
      <c r="G257" s="20">
        <f>IF($H257="","",SUMIFS(합계표[시스템 합계],합계표[사번키],INDEX(상세표[사번키],$H257)))</f>
        <v/>
      </c>
      <c r="H257" s="4">
        <f>IFERROR(MATCH(252,상세표[발송인원순번],0),"")</f>
        <v/>
      </c>
      <c r="J257">
        <f>IF($U257="","",INDEX(상세표[사번],$U257)&amp;"")</f>
        <v/>
      </c>
      <c r="K257">
        <f>IF($U257="","",INDEX(상세표[성명],$U257)&amp;"")</f>
        <v/>
      </c>
      <c r="L257">
        <f>IF($U257="","",INDEX(상세표[직위],$U257)&amp;"")</f>
        <v/>
      </c>
      <c r="M257">
        <f>IF($U257="","",IF(ISNUMBER(INDEX(상세표[근무일자],$U257)),TEXT(INDEX(상세표[근무일자],$U257),"yyyy-mm-dd"),INDEX(상세표[근무일자],$U257)&amp;""))</f>
        <v/>
      </c>
      <c r="N257">
        <f>IF($U257="","",IF(ISNUMBER(INDEX(상세표[시작],$U257)),TEXT(INDEX(상세표[시작],$U257),"yyyy-mm-dd hh:mm"),INDEX(상세표[시작],$U257)&amp;""))</f>
        <v/>
      </c>
      <c r="O257">
        <f>IF($U257="","",IF(ISNUMBER(INDEX(상세표[종료],$U257)),TEXT(INDEX(상세표[종료],$U257),"yyyy-mm-dd hh:mm"),INDEX(상세표[종료],$U257)&amp;""))</f>
        <v/>
      </c>
      <c r="P257" s="20">
        <f>IF($U257="","",INDEX(상세표[06~07시],$U257))</f>
        <v/>
      </c>
      <c r="Q257" s="20">
        <f>IF($U257="","",INDEX(상세표[07~18시],$U257))</f>
        <v/>
      </c>
      <c r="R257" s="20">
        <f>IF($U257="","",INDEX(상세표[18~22시],$U257))</f>
        <v/>
      </c>
      <c r="S257" s="20">
        <f>IF($U257="","",INDEX(상세표[22~06시],$U257))</f>
        <v/>
      </c>
      <c r="T257" s="20">
        <f>IF($U257="","",INDEX(상세표[기록 시간외],$U257))</f>
        <v/>
      </c>
      <c r="U257" s="4">
        <f>IFERROR(MATCH(252,상세표[발송순번],0),"")</f>
        <v/>
      </c>
    </row>
    <row r="258">
      <c r="A258">
        <f>IF($H258="","",INDEX(상세표[사번],$H258)&amp;"")</f>
        <v/>
      </c>
      <c r="B258">
        <f>IF($H258="","",INDEX(상세표[성명],$H258)&amp;"")</f>
        <v/>
      </c>
      <c r="C258">
        <f>IF($H258="","",INDEX(상세표[부서],$H258)&amp;"")</f>
        <v/>
      </c>
      <c r="D258">
        <f>IF($H258="","",IF(IFERROR(INDEX(합계표[직위(요약)],MATCH(INDEX(상세표[사번키],$H258),합계표[사번키],0))&amp;IF(INDEX(합계표[직급 공존],MATCH(INDEX(상세표[사번키],$H258),합계표[사번키],0))="",""," ("&amp;INDEX(합계표[직급 공존],MATCH(INDEX(상세표[사번키],$H258),합계표[사번키],0))&amp;")"),"")="",INDEX(상세표[직위],$H258)&amp;"",IFERROR(INDEX(합계표[직위(요약)],MATCH(INDEX(상세표[사번키],$H258),합계표[사번키],0))&amp;IF(INDEX(합계표[직급 공존],MATCH(INDEX(상세표[사번키],$H258),합계표[사번키],0))="",""," ("&amp;INDEX(합계표[직급 공존],MATCH(INDEX(상세표[사번키],$H258),합계표[사번키],0))&amp;")"),"")))</f>
        <v/>
      </c>
      <c r="E258">
        <f>IF($H258="","",COUNTIFS(상세표[사번키],INDEX(상세표[사번키],$H258),상세표[기록월],대상월키))</f>
        <v/>
      </c>
      <c r="F258" s="20">
        <f>IF($H258="","",SUMIFS(상세표[기록 시간외],상세표[사번키],INDEX(상세표[사번키],$H258),상세표[기록월],대상월키))</f>
        <v/>
      </c>
      <c r="G258" s="20">
        <f>IF($H258="","",SUMIFS(합계표[시스템 합계],합계표[사번키],INDEX(상세표[사번키],$H258)))</f>
        <v/>
      </c>
      <c r="H258" s="4">
        <f>IFERROR(MATCH(253,상세표[발송인원순번],0),"")</f>
        <v/>
      </c>
      <c r="J258">
        <f>IF($U258="","",INDEX(상세표[사번],$U258)&amp;"")</f>
        <v/>
      </c>
      <c r="K258">
        <f>IF($U258="","",INDEX(상세표[성명],$U258)&amp;"")</f>
        <v/>
      </c>
      <c r="L258">
        <f>IF($U258="","",INDEX(상세표[직위],$U258)&amp;"")</f>
        <v/>
      </c>
      <c r="M258">
        <f>IF($U258="","",IF(ISNUMBER(INDEX(상세표[근무일자],$U258)),TEXT(INDEX(상세표[근무일자],$U258),"yyyy-mm-dd"),INDEX(상세표[근무일자],$U258)&amp;""))</f>
        <v/>
      </c>
      <c r="N258">
        <f>IF($U258="","",IF(ISNUMBER(INDEX(상세표[시작],$U258)),TEXT(INDEX(상세표[시작],$U258),"yyyy-mm-dd hh:mm"),INDEX(상세표[시작],$U258)&amp;""))</f>
        <v/>
      </c>
      <c r="O258">
        <f>IF($U258="","",IF(ISNUMBER(INDEX(상세표[종료],$U258)),TEXT(INDEX(상세표[종료],$U258),"yyyy-mm-dd hh:mm"),INDEX(상세표[종료],$U258)&amp;""))</f>
        <v/>
      </c>
      <c r="P258" s="20">
        <f>IF($U258="","",INDEX(상세표[06~07시],$U258))</f>
        <v/>
      </c>
      <c r="Q258" s="20">
        <f>IF($U258="","",INDEX(상세표[07~18시],$U258))</f>
        <v/>
      </c>
      <c r="R258" s="20">
        <f>IF($U258="","",INDEX(상세표[18~22시],$U258))</f>
        <v/>
      </c>
      <c r="S258" s="20">
        <f>IF($U258="","",INDEX(상세표[22~06시],$U258))</f>
        <v/>
      </c>
      <c r="T258" s="20">
        <f>IF($U258="","",INDEX(상세표[기록 시간외],$U258))</f>
        <v/>
      </c>
      <c r="U258" s="4">
        <f>IFERROR(MATCH(253,상세표[발송순번],0),"")</f>
        <v/>
      </c>
    </row>
    <row r="259">
      <c r="A259">
        <f>IF($H259="","",INDEX(상세표[사번],$H259)&amp;"")</f>
        <v/>
      </c>
      <c r="B259">
        <f>IF($H259="","",INDEX(상세표[성명],$H259)&amp;"")</f>
        <v/>
      </c>
      <c r="C259">
        <f>IF($H259="","",INDEX(상세표[부서],$H259)&amp;"")</f>
        <v/>
      </c>
      <c r="D259">
        <f>IF($H259="","",IF(IFERROR(INDEX(합계표[직위(요약)],MATCH(INDEX(상세표[사번키],$H259),합계표[사번키],0))&amp;IF(INDEX(합계표[직급 공존],MATCH(INDEX(상세표[사번키],$H259),합계표[사번키],0))="",""," ("&amp;INDEX(합계표[직급 공존],MATCH(INDEX(상세표[사번키],$H259),합계표[사번키],0))&amp;")"),"")="",INDEX(상세표[직위],$H259)&amp;"",IFERROR(INDEX(합계표[직위(요약)],MATCH(INDEX(상세표[사번키],$H259),합계표[사번키],0))&amp;IF(INDEX(합계표[직급 공존],MATCH(INDEX(상세표[사번키],$H259),합계표[사번키],0))="",""," ("&amp;INDEX(합계표[직급 공존],MATCH(INDEX(상세표[사번키],$H259),합계표[사번키],0))&amp;")"),"")))</f>
        <v/>
      </c>
      <c r="E259">
        <f>IF($H259="","",COUNTIFS(상세표[사번키],INDEX(상세표[사번키],$H259),상세표[기록월],대상월키))</f>
        <v/>
      </c>
      <c r="F259" s="20">
        <f>IF($H259="","",SUMIFS(상세표[기록 시간외],상세표[사번키],INDEX(상세표[사번키],$H259),상세표[기록월],대상월키))</f>
        <v/>
      </c>
      <c r="G259" s="20">
        <f>IF($H259="","",SUMIFS(합계표[시스템 합계],합계표[사번키],INDEX(상세표[사번키],$H259)))</f>
        <v/>
      </c>
      <c r="H259" s="4">
        <f>IFERROR(MATCH(254,상세표[발송인원순번],0),"")</f>
        <v/>
      </c>
      <c r="J259">
        <f>IF($U259="","",INDEX(상세표[사번],$U259)&amp;"")</f>
        <v/>
      </c>
      <c r="K259">
        <f>IF($U259="","",INDEX(상세표[성명],$U259)&amp;"")</f>
        <v/>
      </c>
      <c r="L259">
        <f>IF($U259="","",INDEX(상세표[직위],$U259)&amp;"")</f>
        <v/>
      </c>
      <c r="M259">
        <f>IF($U259="","",IF(ISNUMBER(INDEX(상세표[근무일자],$U259)),TEXT(INDEX(상세표[근무일자],$U259),"yyyy-mm-dd"),INDEX(상세표[근무일자],$U259)&amp;""))</f>
        <v/>
      </c>
      <c r="N259">
        <f>IF($U259="","",IF(ISNUMBER(INDEX(상세표[시작],$U259)),TEXT(INDEX(상세표[시작],$U259),"yyyy-mm-dd hh:mm"),INDEX(상세표[시작],$U259)&amp;""))</f>
        <v/>
      </c>
      <c r="O259">
        <f>IF($U259="","",IF(ISNUMBER(INDEX(상세표[종료],$U259)),TEXT(INDEX(상세표[종료],$U259),"yyyy-mm-dd hh:mm"),INDEX(상세표[종료],$U259)&amp;""))</f>
        <v/>
      </c>
      <c r="P259" s="20">
        <f>IF($U259="","",INDEX(상세표[06~07시],$U259))</f>
        <v/>
      </c>
      <c r="Q259" s="20">
        <f>IF($U259="","",INDEX(상세표[07~18시],$U259))</f>
        <v/>
      </c>
      <c r="R259" s="20">
        <f>IF($U259="","",INDEX(상세표[18~22시],$U259))</f>
        <v/>
      </c>
      <c r="S259" s="20">
        <f>IF($U259="","",INDEX(상세표[22~06시],$U259))</f>
        <v/>
      </c>
      <c r="T259" s="20">
        <f>IF($U259="","",INDEX(상세표[기록 시간외],$U259))</f>
        <v/>
      </c>
      <c r="U259" s="4">
        <f>IFERROR(MATCH(254,상세표[발송순번],0),"")</f>
        <v/>
      </c>
    </row>
    <row r="260">
      <c r="A260">
        <f>IF($H260="","",INDEX(상세표[사번],$H260)&amp;"")</f>
        <v/>
      </c>
      <c r="B260">
        <f>IF($H260="","",INDEX(상세표[성명],$H260)&amp;"")</f>
        <v/>
      </c>
      <c r="C260">
        <f>IF($H260="","",INDEX(상세표[부서],$H260)&amp;"")</f>
        <v/>
      </c>
      <c r="D260">
        <f>IF($H260="","",IF(IFERROR(INDEX(합계표[직위(요약)],MATCH(INDEX(상세표[사번키],$H260),합계표[사번키],0))&amp;IF(INDEX(합계표[직급 공존],MATCH(INDEX(상세표[사번키],$H260),합계표[사번키],0))="",""," ("&amp;INDEX(합계표[직급 공존],MATCH(INDEX(상세표[사번키],$H260),합계표[사번키],0))&amp;")"),"")="",INDEX(상세표[직위],$H260)&amp;"",IFERROR(INDEX(합계표[직위(요약)],MATCH(INDEX(상세표[사번키],$H260),합계표[사번키],0))&amp;IF(INDEX(합계표[직급 공존],MATCH(INDEX(상세표[사번키],$H260),합계표[사번키],0))="",""," ("&amp;INDEX(합계표[직급 공존],MATCH(INDEX(상세표[사번키],$H260),합계표[사번키],0))&amp;")"),"")))</f>
        <v/>
      </c>
      <c r="E260">
        <f>IF($H260="","",COUNTIFS(상세표[사번키],INDEX(상세표[사번키],$H260),상세표[기록월],대상월키))</f>
        <v/>
      </c>
      <c r="F260" s="20">
        <f>IF($H260="","",SUMIFS(상세표[기록 시간외],상세표[사번키],INDEX(상세표[사번키],$H260),상세표[기록월],대상월키))</f>
        <v/>
      </c>
      <c r="G260" s="20">
        <f>IF($H260="","",SUMIFS(합계표[시스템 합계],합계표[사번키],INDEX(상세표[사번키],$H260)))</f>
        <v/>
      </c>
      <c r="H260" s="4">
        <f>IFERROR(MATCH(255,상세표[발송인원순번],0),"")</f>
        <v/>
      </c>
      <c r="J260">
        <f>IF($U260="","",INDEX(상세표[사번],$U260)&amp;"")</f>
        <v/>
      </c>
      <c r="K260">
        <f>IF($U260="","",INDEX(상세표[성명],$U260)&amp;"")</f>
        <v/>
      </c>
      <c r="L260">
        <f>IF($U260="","",INDEX(상세표[직위],$U260)&amp;"")</f>
        <v/>
      </c>
      <c r="M260">
        <f>IF($U260="","",IF(ISNUMBER(INDEX(상세표[근무일자],$U260)),TEXT(INDEX(상세표[근무일자],$U260),"yyyy-mm-dd"),INDEX(상세표[근무일자],$U260)&amp;""))</f>
        <v/>
      </c>
      <c r="N260">
        <f>IF($U260="","",IF(ISNUMBER(INDEX(상세표[시작],$U260)),TEXT(INDEX(상세표[시작],$U260),"yyyy-mm-dd hh:mm"),INDEX(상세표[시작],$U260)&amp;""))</f>
        <v/>
      </c>
      <c r="O260">
        <f>IF($U260="","",IF(ISNUMBER(INDEX(상세표[종료],$U260)),TEXT(INDEX(상세표[종료],$U260),"yyyy-mm-dd hh:mm"),INDEX(상세표[종료],$U260)&amp;""))</f>
        <v/>
      </c>
      <c r="P260" s="20">
        <f>IF($U260="","",INDEX(상세표[06~07시],$U260))</f>
        <v/>
      </c>
      <c r="Q260" s="20">
        <f>IF($U260="","",INDEX(상세표[07~18시],$U260))</f>
        <v/>
      </c>
      <c r="R260" s="20">
        <f>IF($U260="","",INDEX(상세표[18~22시],$U260))</f>
        <v/>
      </c>
      <c r="S260" s="20">
        <f>IF($U260="","",INDEX(상세표[22~06시],$U260))</f>
        <v/>
      </c>
      <c r="T260" s="20">
        <f>IF($U260="","",INDEX(상세표[기록 시간외],$U260))</f>
        <v/>
      </c>
      <c r="U260" s="4">
        <f>IFERROR(MATCH(255,상세표[발송순번],0),"")</f>
        <v/>
      </c>
    </row>
    <row r="261">
      <c r="A261">
        <f>IF($H261="","",INDEX(상세표[사번],$H261)&amp;"")</f>
        <v/>
      </c>
      <c r="B261">
        <f>IF($H261="","",INDEX(상세표[성명],$H261)&amp;"")</f>
        <v/>
      </c>
      <c r="C261">
        <f>IF($H261="","",INDEX(상세표[부서],$H261)&amp;"")</f>
        <v/>
      </c>
      <c r="D261">
        <f>IF($H261="","",IF(IFERROR(INDEX(합계표[직위(요약)],MATCH(INDEX(상세표[사번키],$H261),합계표[사번키],0))&amp;IF(INDEX(합계표[직급 공존],MATCH(INDEX(상세표[사번키],$H261),합계표[사번키],0))="",""," ("&amp;INDEX(합계표[직급 공존],MATCH(INDEX(상세표[사번키],$H261),합계표[사번키],0))&amp;")"),"")="",INDEX(상세표[직위],$H261)&amp;"",IFERROR(INDEX(합계표[직위(요약)],MATCH(INDEX(상세표[사번키],$H261),합계표[사번키],0))&amp;IF(INDEX(합계표[직급 공존],MATCH(INDEX(상세표[사번키],$H261),합계표[사번키],0))="",""," ("&amp;INDEX(합계표[직급 공존],MATCH(INDEX(상세표[사번키],$H261),합계표[사번키],0))&amp;")"),"")))</f>
        <v/>
      </c>
      <c r="E261">
        <f>IF($H261="","",COUNTIFS(상세표[사번키],INDEX(상세표[사번키],$H261),상세표[기록월],대상월키))</f>
        <v/>
      </c>
      <c r="F261" s="20">
        <f>IF($H261="","",SUMIFS(상세표[기록 시간외],상세표[사번키],INDEX(상세표[사번키],$H261),상세표[기록월],대상월키))</f>
        <v/>
      </c>
      <c r="G261" s="20">
        <f>IF($H261="","",SUMIFS(합계표[시스템 합계],합계표[사번키],INDEX(상세표[사번키],$H261)))</f>
        <v/>
      </c>
      <c r="H261" s="4">
        <f>IFERROR(MATCH(256,상세표[발송인원순번],0),"")</f>
        <v/>
      </c>
      <c r="J261">
        <f>IF($U261="","",INDEX(상세표[사번],$U261)&amp;"")</f>
        <v/>
      </c>
      <c r="K261">
        <f>IF($U261="","",INDEX(상세표[성명],$U261)&amp;"")</f>
        <v/>
      </c>
      <c r="L261">
        <f>IF($U261="","",INDEX(상세표[직위],$U261)&amp;"")</f>
        <v/>
      </c>
      <c r="M261">
        <f>IF($U261="","",IF(ISNUMBER(INDEX(상세표[근무일자],$U261)),TEXT(INDEX(상세표[근무일자],$U261),"yyyy-mm-dd"),INDEX(상세표[근무일자],$U261)&amp;""))</f>
        <v/>
      </c>
      <c r="N261">
        <f>IF($U261="","",IF(ISNUMBER(INDEX(상세표[시작],$U261)),TEXT(INDEX(상세표[시작],$U261),"yyyy-mm-dd hh:mm"),INDEX(상세표[시작],$U261)&amp;""))</f>
        <v/>
      </c>
      <c r="O261">
        <f>IF($U261="","",IF(ISNUMBER(INDEX(상세표[종료],$U261)),TEXT(INDEX(상세표[종료],$U261),"yyyy-mm-dd hh:mm"),INDEX(상세표[종료],$U261)&amp;""))</f>
        <v/>
      </c>
      <c r="P261" s="20">
        <f>IF($U261="","",INDEX(상세표[06~07시],$U261))</f>
        <v/>
      </c>
      <c r="Q261" s="20">
        <f>IF($U261="","",INDEX(상세표[07~18시],$U261))</f>
        <v/>
      </c>
      <c r="R261" s="20">
        <f>IF($U261="","",INDEX(상세표[18~22시],$U261))</f>
        <v/>
      </c>
      <c r="S261" s="20">
        <f>IF($U261="","",INDEX(상세표[22~06시],$U261))</f>
        <v/>
      </c>
      <c r="T261" s="20">
        <f>IF($U261="","",INDEX(상세표[기록 시간외],$U261))</f>
        <v/>
      </c>
      <c r="U261" s="4">
        <f>IFERROR(MATCH(256,상세표[발송순번],0),"")</f>
        <v/>
      </c>
    </row>
    <row r="262">
      <c r="A262">
        <f>IF($H262="","",INDEX(상세표[사번],$H262)&amp;"")</f>
        <v/>
      </c>
      <c r="B262">
        <f>IF($H262="","",INDEX(상세표[성명],$H262)&amp;"")</f>
        <v/>
      </c>
      <c r="C262">
        <f>IF($H262="","",INDEX(상세표[부서],$H262)&amp;"")</f>
        <v/>
      </c>
      <c r="D262">
        <f>IF($H262="","",IF(IFERROR(INDEX(합계표[직위(요약)],MATCH(INDEX(상세표[사번키],$H262),합계표[사번키],0))&amp;IF(INDEX(합계표[직급 공존],MATCH(INDEX(상세표[사번키],$H262),합계표[사번키],0))="",""," ("&amp;INDEX(합계표[직급 공존],MATCH(INDEX(상세표[사번키],$H262),합계표[사번키],0))&amp;")"),"")="",INDEX(상세표[직위],$H262)&amp;"",IFERROR(INDEX(합계표[직위(요약)],MATCH(INDEX(상세표[사번키],$H262),합계표[사번키],0))&amp;IF(INDEX(합계표[직급 공존],MATCH(INDEX(상세표[사번키],$H262),합계표[사번키],0))="",""," ("&amp;INDEX(합계표[직급 공존],MATCH(INDEX(상세표[사번키],$H262),합계표[사번키],0))&amp;")"),"")))</f>
        <v/>
      </c>
      <c r="E262">
        <f>IF($H262="","",COUNTIFS(상세표[사번키],INDEX(상세표[사번키],$H262),상세표[기록월],대상월키))</f>
        <v/>
      </c>
      <c r="F262" s="20">
        <f>IF($H262="","",SUMIFS(상세표[기록 시간외],상세표[사번키],INDEX(상세표[사번키],$H262),상세표[기록월],대상월키))</f>
        <v/>
      </c>
      <c r="G262" s="20">
        <f>IF($H262="","",SUMIFS(합계표[시스템 합계],합계표[사번키],INDEX(상세표[사번키],$H262)))</f>
        <v/>
      </c>
      <c r="H262" s="4">
        <f>IFERROR(MATCH(257,상세표[발송인원순번],0),"")</f>
        <v/>
      </c>
      <c r="J262">
        <f>IF($U262="","",INDEX(상세표[사번],$U262)&amp;"")</f>
        <v/>
      </c>
      <c r="K262">
        <f>IF($U262="","",INDEX(상세표[성명],$U262)&amp;"")</f>
        <v/>
      </c>
      <c r="L262">
        <f>IF($U262="","",INDEX(상세표[직위],$U262)&amp;"")</f>
        <v/>
      </c>
      <c r="M262">
        <f>IF($U262="","",IF(ISNUMBER(INDEX(상세표[근무일자],$U262)),TEXT(INDEX(상세표[근무일자],$U262),"yyyy-mm-dd"),INDEX(상세표[근무일자],$U262)&amp;""))</f>
        <v/>
      </c>
      <c r="N262">
        <f>IF($U262="","",IF(ISNUMBER(INDEX(상세표[시작],$U262)),TEXT(INDEX(상세표[시작],$U262),"yyyy-mm-dd hh:mm"),INDEX(상세표[시작],$U262)&amp;""))</f>
        <v/>
      </c>
      <c r="O262">
        <f>IF($U262="","",IF(ISNUMBER(INDEX(상세표[종료],$U262)),TEXT(INDEX(상세표[종료],$U262),"yyyy-mm-dd hh:mm"),INDEX(상세표[종료],$U262)&amp;""))</f>
        <v/>
      </c>
      <c r="P262" s="20">
        <f>IF($U262="","",INDEX(상세표[06~07시],$U262))</f>
        <v/>
      </c>
      <c r="Q262" s="20">
        <f>IF($U262="","",INDEX(상세표[07~18시],$U262))</f>
        <v/>
      </c>
      <c r="R262" s="20">
        <f>IF($U262="","",INDEX(상세표[18~22시],$U262))</f>
        <v/>
      </c>
      <c r="S262" s="20">
        <f>IF($U262="","",INDEX(상세표[22~06시],$U262))</f>
        <v/>
      </c>
      <c r="T262" s="20">
        <f>IF($U262="","",INDEX(상세표[기록 시간외],$U262))</f>
        <v/>
      </c>
      <c r="U262" s="4">
        <f>IFERROR(MATCH(257,상세표[발송순번],0),"")</f>
        <v/>
      </c>
    </row>
    <row r="263">
      <c r="A263">
        <f>IF($H263="","",INDEX(상세표[사번],$H263)&amp;"")</f>
        <v/>
      </c>
      <c r="B263">
        <f>IF($H263="","",INDEX(상세표[성명],$H263)&amp;"")</f>
        <v/>
      </c>
      <c r="C263">
        <f>IF($H263="","",INDEX(상세표[부서],$H263)&amp;"")</f>
        <v/>
      </c>
      <c r="D263">
        <f>IF($H263="","",IF(IFERROR(INDEX(합계표[직위(요약)],MATCH(INDEX(상세표[사번키],$H263),합계표[사번키],0))&amp;IF(INDEX(합계표[직급 공존],MATCH(INDEX(상세표[사번키],$H263),합계표[사번키],0))="",""," ("&amp;INDEX(합계표[직급 공존],MATCH(INDEX(상세표[사번키],$H263),합계표[사번키],0))&amp;")"),"")="",INDEX(상세표[직위],$H263)&amp;"",IFERROR(INDEX(합계표[직위(요약)],MATCH(INDEX(상세표[사번키],$H263),합계표[사번키],0))&amp;IF(INDEX(합계표[직급 공존],MATCH(INDEX(상세표[사번키],$H263),합계표[사번키],0))="",""," ("&amp;INDEX(합계표[직급 공존],MATCH(INDEX(상세표[사번키],$H263),합계표[사번키],0))&amp;")"),"")))</f>
        <v/>
      </c>
      <c r="E263">
        <f>IF($H263="","",COUNTIFS(상세표[사번키],INDEX(상세표[사번키],$H263),상세표[기록월],대상월키))</f>
        <v/>
      </c>
      <c r="F263" s="20">
        <f>IF($H263="","",SUMIFS(상세표[기록 시간외],상세표[사번키],INDEX(상세표[사번키],$H263),상세표[기록월],대상월키))</f>
        <v/>
      </c>
      <c r="G263" s="20">
        <f>IF($H263="","",SUMIFS(합계표[시스템 합계],합계표[사번키],INDEX(상세표[사번키],$H263)))</f>
        <v/>
      </c>
      <c r="H263" s="4">
        <f>IFERROR(MATCH(258,상세표[발송인원순번],0),"")</f>
        <v/>
      </c>
      <c r="J263">
        <f>IF($U263="","",INDEX(상세표[사번],$U263)&amp;"")</f>
        <v/>
      </c>
      <c r="K263">
        <f>IF($U263="","",INDEX(상세표[성명],$U263)&amp;"")</f>
        <v/>
      </c>
      <c r="L263">
        <f>IF($U263="","",INDEX(상세표[직위],$U263)&amp;"")</f>
        <v/>
      </c>
      <c r="M263">
        <f>IF($U263="","",IF(ISNUMBER(INDEX(상세표[근무일자],$U263)),TEXT(INDEX(상세표[근무일자],$U263),"yyyy-mm-dd"),INDEX(상세표[근무일자],$U263)&amp;""))</f>
        <v/>
      </c>
      <c r="N263">
        <f>IF($U263="","",IF(ISNUMBER(INDEX(상세표[시작],$U263)),TEXT(INDEX(상세표[시작],$U263),"yyyy-mm-dd hh:mm"),INDEX(상세표[시작],$U263)&amp;""))</f>
        <v/>
      </c>
      <c r="O263">
        <f>IF($U263="","",IF(ISNUMBER(INDEX(상세표[종료],$U263)),TEXT(INDEX(상세표[종료],$U263),"yyyy-mm-dd hh:mm"),INDEX(상세표[종료],$U263)&amp;""))</f>
        <v/>
      </c>
      <c r="P263" s="20">
        <f>IF($U263="","",INDEX(상세표[06~07시],$U263))</f>
        <v/>
      </c>
      <c r="Q263" s="20">
        <f>IF($U263="","",INDEX(상세표[07~18시],$U263))</f>
        <v/>
      </c>
      <c r="R263" s="20">
        <f>IF($U263="","",INDEX(상세표[18~22시],$U263))</f>
        <v/>
      </c>
      <c r="S263" s="20">
        <f>IF($U263="","",INDEX(상세표[22~06시],$U263))</f>
        <v/>
      </c>
      <c r="T263" s="20">
        <f>IF($U263="","",INDEX(상세표[기록 시간외],$U263))</f>
        <v/>
      </c>
      <c r="U263" s="4">
        <f>IFERROR(MATCH(258,상세표[발송순번],0),"")</f>
        <v/>
      </c>
    </row>
    <row r="264">
      <c r="A264">
        <f>IF($H264="","",INDEX(상세표[사번],$H264)&amp;"")</f>
        <v/>
      </c>
      <c r="B264">
        <f>IF($H264="","",INDEX(상세표[성명],$H264)&amp;"")</f>
        <v/>
      </c>
      <c r="C264">
        <f>IF($H264="","",INDEX(상세표[부서],$H264)&amp;"")</f>
        <v/>
      </c>
      <c r="D264">
        <f>IF($H264="","",IF(IFERROR(INDEX(합계표[직위(요약)],MATCH(INDEX(상세표[사번키],$H264),합계표[사번키],0))&amp;IF(INDEX(합계표[직급 공존],MATCH(INDEX(상세표[사번키],$H264),합계표[사번키],0))="",""," ("&amp;INDEX(합계표[직급 공존],MATCH(INDEX(상세표[사번키],$H264),합계표[사번키],0))&amp;")"),"")="",INDEX(상세표[직위],$H264)&amp;"",IFERROR(INDEX(합계표[직위(요약)],MATCH(INDEX(상세표[사번키],$H264),합계표[사번키],0))&amp;IF(INDEX(합계표[직급 공존],MATCH(INDEX(상세표[사번키],$H264),합계표[사번키],0))="",""," ("&amp;INDEX(합계표[직급 공존],MATCH(INDEX(상세표[사번키],$H264),합계표[사번키],0))&amp;")"),"")))</f>
        <v/>
      </c>
      <c r="E264">
        <f>IF($H264="","",COUNTIFS(상세표[사번키],INDEX(상세표[사번키],$H264),상세표[기록월],대상월키))</f>
        <v/>
      </c>
      <c r="F264" s="20">
        <f>IF($H264="","",SUMIFS(상세표[기록 시간외],상세표[사번키],INDEX(상세표[사번키],$H264),상세표[기록월],대상월키))</f>
        <v/>
      </c>
      <c r="G264" s="20">
        <f>IF($H264="","",SUMIFS(합계표[시스템 합계],합계표[사번키],INDEX(상세표[사번키],$H264)))</f>
        <v/>
      </c>
      <c r="H264" s="4">
        <f>IFERROR(MATCH(259,상세표[발송인원순번],0),"")</f>
        <v/>
      </c>
      <c r="J264">
        <f>IF($U264="","",INDEX(상세표[사번],$U264)&amp;"")</f>
        <v/>
      </c>
      <c r="K264">
        <f>IF($U264="","",INDEX(상세표[성명],$U264)&amp;"")</f>
        <v/>
      </c>
      <c r="L264">
        <f>IF($U264="","",INDEX(상세표[직위],$U264)&amp;"")</f>
        <v/>
      </c>
      <c r="M264">
        <f>IF($U264="","",IF(ISNUMBER(INDEX(상세표[근무일자],$U264)),TEXT(INDEX(상세표[근무일자],$U264),"yyyy-mm-dd"),INDEX(상세표[근무일자],$U264)&amp;""))</f>
        <v/>
      </c>
      <c r="N264">
        <f>IF($U264="","",IF(ISNUMBER(INDEX(상세표[시작],$U264)),TEXT(INDEX(상세표[시작],$U264),"yyyy-mm-dd hh:mm"),INDEX(상세표[시작],$U264)&amp;""))</f>
        <v/>
      </c>
      <c r="O264">
        <f>IF($U264="","",IF(ISNUMBER(INDEX(상세표[종료],$U264)),TEXT(INDEX(상세표[종료],$U264),"yyyy-mm-dd hh:mm"),INDEX(상세표[종료],$U264)&amp;""))</f>
        <v/>
      </c>
      <c r="P264" s="20">
        <f>IF($U264="","",INDEX(상세표[06~07시],$U264))</f>
        <v/>
      </c>
      <c r="Q264" s="20">
        <f>IF($U264="","",INDEX(상세표[07~18시],$U264))</f>
        <v/>
      </c>
      <c r="R264" s="20">
        <f>IF($U264="","",INDEX(상세표[18~22시],$U264))</f>
        <v/>
      </c>
      <c r="S264" s="20">
        <f>IF($U264="","",INDEX(상세표[22~06시],$U264))</f>
        <v/>
      </c>
      <c r="T264" s="20">
        <f>IF($U264="","",INDEX(상세표[기록 시간외],$U264))</f>
        <v/>
      </c>
      <c r="U264" s="4">
        <f>IFERROR(MATCH(259,상세표[발송순번],0),"")</f>
        <v/>
      </c>
    </row>
    <row r="265">
      <c r="A265">
        <f>IF($H265="","",INDEX(상세표[사번],$H265)&amp;"")</f>
        <v/>
      </c>
      <c r="B265">
        <f>IF($H265="","",INDEX(상세표[성명],$H265)&amp;"")</f>
        <v/>
      </c>
      <c r="C265">
        <f>IF($H265="","",INDEX(상세표[부서],$H265)&amp;"")</f>
        <v/>
      </c>
      <c r="D265">
        <f>IF($H265="","",IF(IFERROR(INDEX(합계표[직위(요약)],MATCH(INDEX(상세표[사번키],$H265),합계표[사번키],0))&amp;IF(INDEX(합계표[직급 공존],MATCH(INDEX(상세표[사번키],$H265),합계표[사번키],0))="",""," ("&amp;INDEX(합계표[직급 공존],MATCH(INDEX(상세표[사번키],$H265),합계표[사번키],0))&amp;")"),"")="",INDEX(상세표[직위],$H265)&amp;"",IFERROR(INDEX(합계표[직위(요약)],MATCH(INDEX(상세표[사번키],$H265),합계표[사번키],0))&amp;IF(INDEX(합계표[직급 공존],MATCH(INDEX(상세표[사번키],$H265),합계표[사번키],0))="",""," ("&amp;INDEX(합계표[직급 공존],MATCH(INDEX(상세표[사번키],$H265),합계표[사번키],0))&amp;")"),"")))</f>
        <v/>
      </c>
      <c r="E265">
        <f>IF($H265="","",COUNTIFS(상세표[사번키],INDEX(상세표[사번키],$H265),상세표[기록월],대상월키))</f>
        <v/>
      </c>
      <c r="F265" s="20">
        <f>IF($H265="","",SUMIFS(상세표[기록 시간외],상세표[사번키],INDEX(상세표[사번키],$H265),상세표[기록월],대상월키))</f>
        <v/>
      </c>
      <c r="G265" s="20">
        <f>IF($H265="","",SUMIFS(합계표[시스템 합계],합계표[사번키],INDEX(상세표[사번키],$H265)))</f>
        <v/>
      </c>
      <c r="H265" s="4">
        <f>IFERROR(MATCH(260,상세표[발송인원순번],0),"")</f>
        <v/>
      </c>
      <c r="J265">
        <f>IF($U265="","",INDEX(상세표[사번],$U265)&amp;"")</f>
        <v/>
      </c>
      <c r="K265">
        <f>IF($U265="","",INDEX(상세표[성명],$U265)&amp;"")</f>
        <v/>
      </c>
      <c r="L265">
        <f>IF($U265="","",INDEX(상세표[직위],$U265)&amp;"")</f>
        <v/>
      </c>
      <c r="M265">
        <f>IF($U265="","",IF(ISNUMBER(INDEX(상세표[근무일자],$U265)),TEXT(INDEX(상세표[근무일자],$U265),"yyyy-mm-dd"),INDEX(상세표[근무일자],$U265)&amp;""))</f>
        <v/>
      </c>
      <c r="N265">
        <f>IF($U265="","",IF(ISNUMBER(INDEX(상세표[시작],$U265)),TEXT(INDEX(상세표[시작],$U265),"yyyy-mm-dd hh:mm"),INDEX(상세표[시작],$U265)&amp;""))</f>
        <v/>
      </c>
      <c r="O265">
        <f>IF($U265="","",IF(ISNUMBER(INDEX(상세표[종료],$U265)),TEXT(INDEX(상세표[종료],$U265),"yyyy-mm-dd hh:mm"),INDEX(상세표[종료],$U265)&amp;""))</f>
        <v/>
      </c>
      <c r="P265" s="20">
        <f>IF($U265="","",INDEX(상세표[06~07시],$U265))</f>
        <v/>
      </c>
      <c r="Q265" s="20">
        <f>IF($U265="","",INDEX(상세표[07~18시],$U265))</f>
        <v/>
      </c>
      <c r="R265" s="20">
        <f>IF($U265="","",INDEX(상세표[18~22시],$U265))</f>
        <v/>
      </c>
      <c r="S265" s="20">
        <f>IF($U265="","",INDEX(상세표[22~06시],$U265))</f>
        <v/>
      </c>
      <c r="T265" s="20">
        <f>IF($U265="","",INDEX(상세표[기록 시간외],$U265))</f>
        <v/>
      </c>
      <c r="U265" s="4">
        <f>IFERROR(MATCH(260,상세표[발송순번],0),"")</f>
        <v/>
      </c>
    </row>
    <row r="266">
      <c r="A266">
        <f>IF($H266="","",INDEX(상세표[사번],$H266)&amp;"")</f>
        <v/>
      </c>
      <c r="B266">
        <f>IF($H266="","",INDEX(상세표[성명],$H266)&amp;"")</f>
        <v/>
      </c>
      <c r="C266">
        <f>IF($H266="","",INDEX(상세표[부서],$H266)&amp;"")</f>
        <v/>
      </c>
      <c r="D266">
        <f>IF($H266="","",IF(IFERROR(INDEX(합계표[직위(요약)],MATCH(INDEX(상세표[사번키],$H266),합계표[사번키],0))&amp;IF(INDEX(합계표[직급 공존],MATCH(INDEX(상세표[사번키],$H266),합계표[사번키],0))="",""," ("&amp;INDEX(합계표[직급 공존],MATCH(INDEX(상세표[사번키],$H266),합계표[사번키],0))&amp;")"),"")="",INDEX(상세표[직위],$H266)&amp;"",IFERROR(INDEX(합계표[직위(요약)],MATCH(INDEX(상세표[사번키],$H266),합계표[사번키],0))&amp;IF(INDEX(합계표[직급 공존],MATCH(INDEX(상세표[사번키],$H266),합계표[사번키],0))="",""," ("&amp;INDEX(합계표[직급 공존],MATCH(INDEX(상세표[사번키],$H266),합계표[사번키],0))&amp;")"),"")))</f>
        <v/>
      </c>
      <c r="E266">
        <f>IF($H266="","",COUNTIFS(상세표[사번키],INDEX(상세표[사번키],$H266),상세표[기록월],대상월키))</f>
        <v/>
      </c>
      <c r="F266" s="20">
        <f>IF($H266="","",SUMIFS(상세표[기록 시간외],상세표[사번키],INDEX(상세표[사번키],$H266),상세표[기록월],대상월키))</f>
        <v/>
      </c>
      <c r="G266" s="20">
        <f>IF($H266="","",SUMIFS(합계표[시스템 합계],합계표[사번키],INDEX(상세표[사번키],$H266)))</f>
        <v/>
      </c>
      <c r="H266" s="4">
        <f>IFERROR(MATCH(261,상세표[발송인원순번],0),"")</f>
        <v/>
      </c>
      <c r="J266">
        <f>IF($U266="","",INDEX(상세표[사번],$U266)&amp;"")</f>
        <v/>
      </c>
      <c r="K266">
        <f>IF($U266="","",INDEX(상세표[성명],$U266)&amp;"")</f>
        <v/>
      </c>
      <c r="L266">
        <f>IF($U266="","",INDEX(상세표[직위],$U266)&amp;"")</f>
        <v/>
      </c>
      <c r="M266">
        <f>IF($U266="","",IF(ISNUMBER(INDEX(상세표[근무일자],$U266)),TEXT(INDEX(상세표[근무일자],$U266),"yyyy-mm-dd"),INDEX(상세표[근무일자],$U266)&amp;""))</f>
        <v/>
      </c>
      <c r="N266">
        <f>IF($U266="","",IF(ISNUMBER(INDEX(상세표[시작],$U266)),TEXT(INDEX(상세표[시작],$U266),"yyyy-mm-dd hh:mm"),INDEX(상세표[시작],$U266)&amp;""))</f>
        <v/>
      </c>
      <c r="O266">
        <f>IF($U266="","",IF(ISNUMBER(INDEX(상세표[종료],$U266)),TEXT(INDEX(상세표[종료],$U266),"yyyy-mm-dd hh:mm"),INDEX(상세표[종료],$U266)&amp;""))</f>
        <v/>
      </c>
      <c r="P266" s="20">
        <f>IF($U266="","",INDEX(상세표[06~07시],$U266))</f>
        <v/>
      </c>
      <c r="Q266" s="20">
        <f>IF($U266="","",INDEX(상세표[07~18시],$U266))</f>
        <v/>
      </c>
      <c r="R266" s="20">
        <f>IF($U266="","",INDEX(상세표[18~22시],$U266))</f>
        <v/>
      </c>
      <c r="S266" s="20">
        <f>IF($U266="","",INDEX(상세표[22~06시],$U266))</f>
        <v/>
      </c>
      <c r="T266" s="20">
        <f>IF($U266="","",INDEX(상세표[기록 시간외],$U266))</f>
        <v/>
      </c>
      <c r="U266" s="4">
        <f>IFERROR(MATCH(261,상세표[발송순번],0),"")</f>
        <v/>
      </c>
    </row>
    <row r="267">
      <c r="A267">
        <f>IF($H267="","",INDEX(상세표[사번],$H267)&amp;"")</f>
        <v/>
      </c>
      <c r="B267">
        <f>IF($H267="","",INDEX(상세표[성명],$H267)&amp;"")</f>
        <v/>
      </c>
      <c r="C267">
        <f>IF($H267="","",INDEX(상세표[부서],$H267)&amp;"")</f>
        <v/>
      </c>
      <c r="D267">
        <f>IF($H267="","",IF(IFERROR(INDEX(합계표[직위(요약)],MATCH(INDEX(상세표[사번키],$H267),합계표[사번키],0))&amp;IF(INDEX(합계표[직급 공존],MATCH(INDEX(상세표[사번키],$H267),합계표[사번키],0))="",""," ("&amp;INDEX(합계표[직급 공존],MATCH(INDEX(상세표[사번키],$H267),합계표[사번키],0))&amp;")"),"")="",INDEX(상세표[직위],$H267)&amp;"",IFERROR(INDEX(합계표[직위(요약)],MATCH(INDEX(상세표[사번키],$H267),합계표[사번키],0))&amp;IF(INDEX(합계표[직급 공존],MATCH(INDEX(상세표[사번키],$H267),합계표[사번키],0))="",""," ("&amp;INDEX(합계표[직급 공존],MATCH(INDEX(상세표[사번키],$H267),합계표[사번키],0))&amp;")"),"")))</f>
        <v/>
      </c>
      <c r="E267">
        <f>IF($H267="","",COUNTIFS(상세표[사번키],INDEX(상세표[사번키],$H267),상세표[기록월],대상월키))</f>
        <v/>
      </c>
      <c r="F267" s="20">
        <f>IF($H267="","",SUMIFS(상세표[기록 시간외],상세표[사번키],INDEX(상세표[사번키],$H267),상세표[기록월],대상월키))</f>
        <v/>
      </c>
      <c r="G267" s="20">
        <f>IF($H267="","",SUMIFS(합계표[시스템 합계],합계표[사번키],INDEX(상세표[사번키],$H267)))</f>
        <v/>
      </c>
      <c r="H267" s="4">
        <f>IFERROR(MATCH(262,상세표[발송인원순번],0),"")</f>
        <v/>
      </c>
      <c r="J267">
        <f>IF($U267="","",INDEX(상세표[사번],$U267)&amp;"")</f>
        <v/>
      </c>
      <c r="K267">
        <f>IF($U267="","",INDEX(상세표[성명],$U267)&amp;"")</f>
        <v/>
      </c>
      <c r="L267">
        <f>IF($U267="","",INDEX(상세표[직위],$U267)&amp;"")</f>
        <v/>
      </c>
      <c r="M267">
        <f>IF($U267="","",IF(ISNUMBER(INDEX(상세표[근무일자],$U267)),TEXT(INDEX(상세표[근무일자],$U267),"yyyy-mm-dd"),INDEX(상세표[근무일자],$U267)&amp;""))</f>
        <v/>
      </c>
      <c r="N267">
        <f>IF($U267="","",IF(ISNUMBER(INDEX(상세표[시작],$U267)),TEXT(INDEX(상세표[시작],$U267),"yyyy-mm-dd hh:mm"),INDEX(상세표[시작],$U267)&amp;""))</f>
        <v/>
      </c>
      <c r="O267">
        <f>IF($U267="","",IF(ISNUMBER(INDEX(상세표[종료],$U267)),TEXT(INDEX(상세표[종료],$U267),"yyyy-mm-dd hh:mm"),INDEX(상세표[종료],$U267)&amp;""))</f>
        <v/>
      </c>
      <c r="P267" s="20">
        <f>IF($U267="","",INDEX(상세표[06~07시],$U267))</f>
        <v/>
      </c>
      <c r="Q267" s="20">
        <f>IF($U267="","",INDEX(상세표[07~18시],$U267))</f>
        <v/>
      </c>
      <c r="R267" s="20">
        <f>IF($U267="","",INDEX(상세표[18~22시],$U267))</f>
        <v/>
      </c>
      <c r="S267" s="20">
        <f>IF($U267="","",INDEX(상세표[22~06시],$U267))</f>
        <v/>
      </c>
      <c r="T267" s="20">
        <f>IF($U267="","",INDEX(상세표[기록 시간외],$U267))</f>
        <v/>
      </c>
      <c r="U267" s="4">
        <f>IFERROR(MATCH(262,상세표[발송순번],0),"")</f>
        <v/>
      </c>
    </row>
    <row r="268">
      <c r="A268">
        <f>IF($H268="","",INDEX(상세표[사번],$H268)&amp;"")</f>
        <v/>
      </c>
      <c r="B268">
        <f>IF($H268="","",INDEX(상세표[성명],$H268)&amp;"")</f>
        <v/>
      </c>
      <c r="C268">
        <f>IF($H268="","",INDEX(상세표[부서],$H268)&amp;"")</f>
        <v/>
      </c>
      <c r="D268">
        <f>IF($H268="","",IF(IFERROR(INDEX(합계표[직위(요약)],MATCH(INDEX(상세표[사번키],$H268),합계표[사번키],0))&amp;IF(INDEX(합계표[직급 공존],MATCH(INDEX(상세표[사번키],$H268),합계표[사번키],0))="",""," ("&amp;INDEX(합계표[직급 공존],MATCH(INDEX(상세표[사번키],$H268),합계표[사번키],0))&amp;")"),"")="",INDEX(상세표[직위],$H268)&amp;"",IFERROR(INDEX(합계표[직위(요약)],MATCH(INDEX(상세표[사번키],$H268),합계표[사번키],0))&amp;IF(INDEX(합계표[직급 공존],MATCH(INDEX(상세표[사번키],$H268),합계표[사번키],0))="",""," ("&amp;INDEX(합계표[직급 공존],MATCH(INDEX(상세표[사번키],$H268),합계표[사번키],0))&amp;")"),"")))</f>
        <v/>
      </c>
      <c r="E268">
        <f>IF($H268="","",COUNTIFS(상세표[사번키],INDEX(상세표[사번키],$H268),상세표[기록월],대상월키))</f>
        <v/>
      </c>
      <c r="F268" s="20">
        <f>IF($H268="","",SUMIFS(상세표[기록 시간외],상세표[사번키],INDEX(상세표[사번키],$H268),상세표[기록월],대상월키))</f>
        <v/>
      </c>
      <c r="G268" s="20">
        <f>IF($H268="","",SUMIFS(합계표[시스템 합계],합계표[사번키],INDEX(상세표[사번키],$H268)))</f>
        <v/>
      </c>
      <c r="H268" s="4">
        <f>IFERROR(MATCH(263,상세표[발송인원순번],0),"")</f>
        <v/>
      </c>
      <c r="J268">
        <f>IF($U268="","",INDEX(상세표[사번],$U268)&amp;"")</f>
        <v/>
      </c>
      <c r="K268">
        <f>IF($U268="","",INDEX(상세표[성명],$U268)&amp;"")</f>
        <v/>
      </c>
      <c r="L268">
        <f>IF($U268="","",INDEX(상세표[직위],$U268)&amp;"")</f>
        <v/>
      </c>
      <c r="M268">
        <f>IF($U268="","",IF(ISNUMBER(INDEX(상세표[근무일자],$U268)),TEXT(INDEX(상세표[근무일자],$U268),"yyyy-mm-dd"),INDEX(상세표[근무일자],$U268)&amp;""))</f>
        <v/>
      </c>
      <c r="N268">
        <f>IF($U268="","",IF(ISNUMBER(INDEX(상세표[시작],$U268)),TEXT(INDEX(상세표[시작],$U268),"yyyy-mm-dd hh:mm"),INDEX(상세표[시작],$U268)&amp;""))</f>
        <v/>
      </c>
      <c r="O268">
        <f>IF($U268="","",IF(ISNUMBER(INDEX(상세표[종료],$U268)),TEXT(INDEX(상세표[종료],$U268),"yyyy-mm-dd hh:mm"),INDEX(상세표[종료],$U268)&amp;""))</f>
        <v/>
      </c>
      <c r="P268" s="20">
        <f>IF($U268="","",INDEX(상세표[06~07시],$U268))</f>
        <v/>
      </c>
      <c r="Q268" s="20">
        <f>IF($U268="","",INDEX(상세표[07~18시],$U268))</f>
        <v/>
      </c>
      <c r="R268" s="20">
        <f>IF($U268="","",INDEX(상세표[18~22시],$U268))</f>
        <v/>
      </c>
      <c r="S268" s="20">
        <f>IF($U268="","",INDEX(상세표[22~06시],$U268))</f>
        <v/>
      </c>
      <c r="T268" s="20">
        <f>IF($U268="","",INDEX(상세표[기록 시간외],$U268))</f>
        <v/>
      </c>
      <c r="U268" s="4">
        <f>IFERROR(MATCH(263,상세표[발송순번],0),"")</f>
        <v/>
      </c>
    </row>
    <row r="269">
      <c r="A269">
        <f>IF($H269="","",INDEX(상세표[사번],$H269)&amp;"")</f>
        <v/>
      </c>
      <c r="B269">
        <f>IF($H269="","",INDEX(상세표[성명],$H269)&amp;"")</f>
        <v/>
      </c>
      <c r="C269">
        <f>IF($H269="","",INDEX(상세표[부서],$H269)&amp;"")</f>
        <v/>
      </c>
      <c r="D269">
        <f>IF($H269="","",IF(IFERROR(INDEX(합계표[직위(요약)],MATCH(INDEX(상세표[사번키],$H269),합계표[사번키],0))&amp;IF(INDEX(합계표[직급 공존],MATCH(INDEX(상세표[사번키],$H269),합계표[사번키],0))="",""," ("&amp;INDEX(합계표[직급 공존],MATCH(INDEX(상세표[사번키],$H269),합계표[사번키],0))&amp;")"),"")="",INDEX(상세표[직위],$H269)&amp;"",IFERROR(INDEX(합계표[직위(요약)],MATCH(INDEX(상세표[사번키],$H269),합계표[사번키],0))&amp;IF(INDEX(합계표[직급 공존],MATCH(INDEX(상세표[사번키],$H269),합계표[사번키],0))="",""," ("&amp;INDEX(합계표[직급 공존],MATCH(INDEX(상세표[사번키],$H269),합계표[사번키],0))&amp;")"),"")))</f>
        <v/>
      </c>
      <c r="E269">
        <f>IF($H269="","",COUNTIFS(상세표[사번키],INDEX(상세표[사번키],$H269),상세표[기록월],대상월키))</f>
        <v/>
      </c>
      <c r="F269" s="20">
        <f>IF($H269="","",SUMIFS(상세표[기록 시간외],상세표[사번키],INDEX(상세표[사번키],$H269),상세표[기록월],대상월키))</f>
        <v/>
      </c>
      <c r="G269" s="20">
        <f>IF($H269="","",SUMIFS(합계표[시스템 합계],합계표[사번키],INDEX(상세표[사번키],$H269)))</f>
        <v/>
      </c>
      <c r="H269" s="4">
        <f>IFERROR(MATCH(264,상세표[발송인원순번],0),"")</f>
        <v/>
      </c>
      <c r="J269">
        <f>IF($U269="","",INDEX(상세표[사번],$U269)&amp;"")</f>
        <v/>
      </c>
      <c r="K269">
        <f>IF($U269="","",INDEX(상세표[성명],$U269)&amp;"")</f>
        <v/>
      </c>
      <c r="L269">
        <f>IF($U269="","",INDEX(상세표[직위],$U269)&amp;"")</f>
        <v/>
      </c>
      <c r="M269">
        <f>IF($U269="","",IF(ISNUMBER(INDEX(상세표[근무일자],$U269)),TEXT(INDEX(상세표[근무일자],$U269),"yyyy-mm-dd"),INDEX(상세표[근무일자],$U269)&amp;""))</f>
        <v/>
      </c>
      <c r="N269">
        <f>IF($U269="","",IF(ISNUMBER(INDEX(상세표[시작],$U269)),TEXT(INDEX(상세표[시작],$U269),"yyyy-mm-dd hh:mm"),INDEX(상세표[시작],$U269)&amp;""))</f>
        <v/>
      </c>
      <c r="O269">
        <f>IF($U269="","",IF(ISNUMBER(INDEX(상세표[종료],$U269)),TEXT(INDEX(상세표[종료],$U269),"yyyy-mm-dd hh:mm"),INDEX(상세표[종료],$U269)&amp;""))</f>
        <v/>
      </c>
      <c r="P269" s="20">
        <f>IF($U269="","",INDEX(상세표[06~07시],$U269))</f>
        <v/>
      </c>
      <c r="Q269" s="20">
        <f>IF($U269="","",INDEX(상세표[07~18시],$U269))</f>
        <v/>
      </c>
      <c r="R269" s="20">
        <f>IF($U269="","",INDEX(상세표[18~22시],$U269))</f>
        <v/>
      </c>
      <c r="S269" s="20">
        <f>IF($U269="","",INDEX(상세표[22~06시],$U269))</f>
        <v/>
      </c>
      <c r="T269" s="20">
        <f>IF($U269="","",INDEX(상세표[기록 시간외],$U269))</f>
        <v/>
      </c>
      <c r="U269" s="4">
        <f>IFERROR(MATCH(264,상세표[발송순번],0),"")</f>
        <v/>
      </c>
    </row>
    <row r="270">
      <c r="A270">
        <f>IF($H270="","",INDEX(상세표[사번],$H270)&amp;"")</f>
        <v/>
      </c>
      <c r="B270">
        <f>IF($H270="","",INDEX(상세표[성명],$H270)&amp;"")</f>
        <v/>
      </c>
      <c r="C270">
        <f>IF($H270="","",INDEX(상세표[부서],$H270)&amp;"")</f>
        <v/>
      </c>
      <c r="D270">
        <f>IF($H270="","",IF(IFERROR(INDEX(합계표[직위(요약)],MATCH(INDEX(상세표[사번키],$H270),합계표[사번키],0))&amp;IF(INDEX(합계표[직급 공존],MATCH(INDEX(상세표[사번키],$H270),합계표[사번키],0))="",""," ("&amp;INDEX(합계표[직급 공존],MATCH(INDEX(상세표[사번키],$H270),합계표[사번키],0))&amp;")"),"")="",INDEX(상세표[직위],$H270)&amp;"",IFERROR(INDEX(합계표[직위(요약)],MATCH(INDEX(상세표[사번키],$H270),합계표[사번키],0))&amp;IF(INDEX(합계표[직급 공존],MATCH(INDEX(상세표[사번키],$H270),합계표[사번키],0))="",""," ("&amp;INDEX(합계표[직급 공존],MATCH(INDEX(상세표[사번키],$H270),합계표[사번키],0))&amp;")"),"")))</f>
        <v/>
      </c>
      <c r="E270">
        <f>IF($H270="","",COUNTIFS(상세표[사번키],INDEX(상세표[사번키],$H270),상세표[기록월],대상월키))</f>
        <v/>
      </c>
      <c r="F270" s="20">
        <f>IF($H270="","",SUMIFS(상세표[기록 시간외],상세표[사번키],INDEX(상세표[사번키],$H270),상세표[기록월],대상월키))</f>
        <v/>
      </c>
      <c r="G270" s="20">
        <f>IF($H270="","",SUMIFS(합계표[시스템 합계],합계표[사번키],INDEX(상세표[사번키],$H270)))</f>
        <v/>
      </c>
      <c r="H270" s="4">
        <f>IFERROR(MATCH(265,상세표[발송인원순번],0),"")</f>
        <v/>
      </c>
      <c r="J270">
        <f>IF($U270="","",INDEX(상세표[사번],$U270)&amp;"")</f>
        <v/>
      </c>
      <c r="K270">
        <f>IF($U270="","",INDEX(상세표[성명],$U270)&amp;"")</f>
        <v/>
      </c>
      <c r="L270">
        <f>IF($U270="","",INDEX(상세표[직위],$U270)&amp;"")</f>
        <v/>
      </c>
      <c r="M270">
        <f>IF($U270="","",IF(ISNUMBER(INDEX(상세표[근무일자],$U270)),TEXT(INDEX(상세표[근무일자],$U270),"yyyy-mm-dd"),INDEX(상세표[근무일자],$U270)&amp;""))</f>
        <v/>
      </c>
      <c r="N270">
        <f>IF($U270="","",IF(ISNUMBER(INDEX(상세표[시작],$U270)),TEXT(INDEX(상세표[시작],$U270),"yyyy-mm-dd hh:mm"),INDEX(상세표[시작],$U270)&amp;""))</f>
        <v/>
      </c>
      <c r="O270">
        <f>IF($U270="","",IF(ISNUMBER(INDEX(상세표[종료],$U270)),TEXT(INDEX(상세표[종료],$U270),"yyyy-mm-dd hh:mm"),INDEX(상세표[종료],$U270)&amp;""))</f>
        <v/>
      </c>
      <c r="P270" s="20">
        <f>IF($U270="","",INDEX(상세표[06~07시],$U270))</f>
        <v/>
      </c>
      <c r="Q270" s="20">
        <f>IF($U270="","",INDEX(상세표[07~18시],$U270))</f>
        <v/>
      </c>
      <c r="R270" s="20">
        <f>IF($U270="","",INDEX(상세표[18~22시],$U270))</f>
        <v/>
      </c>
      <c r="S270" s="20">
        <f>IF($U270="","",INDEX(상세표[22~06시],$U270))</f>
        <v/>
      </c>
      <c r="T270" s="20">
        <f>IF($U270="","",INDEX(상세표[기록 시간외],$U270))</f>
        <v/>
      </c>
      <c r="U270" s="4">
        <f>IFERROR(MATCH(265,상세표[발송순번],0),"")</f>
        <v/>
      </c>
    </row>
    <row r="271">
      <c r="A271">
        <f>IF($H271="","",INDEX(상세표[사번],$H271)&amp;"")</f>
        <v/>
      </c>
      <c r="B271">
        <f>IF($H271="","",INDEX(상세표[성명],$H271)&amp;"")</f>
        <v/>
      </c>
      <c r="C271">
        <f>IF($H271="","",INDEX(상세표[부서],$H271)&amp;"")</f>
        <v/>
      </c>
      <c r="D271">
        <f>IF($H271="","",IF(IFERROR(INDEX(합계표[직위(요약)],MATCH(INDEX(상세표[사번키],$H271),합계표[사번키],0))&amp;IF(INDEX(합계표[직급 공존],MATCH(INDEX(상세표[사번키],$H271),합계표[사번키],0))="",""," ("&amp;INDEX(합계표[직급 공존],MATCH(INDEX(상세표[사번키],$H271),합계표[사번키],0))&amp;")"),"")="",INDEX(상세표[직위],$H271)&amp;"",IFERROR(INDEX(합계표[직위(요약)],MATCH(INDEX(상세표[사번키],$H271),합계표[사번키],0))&amp;IF(INDEX(합계표[직급 공존],MATCH(INDEX(상세표[사번키],$H271),합계표[사번키],0))="",""," ("&amp;INDEX(합계표[직급 공존],MATCH(INDEX(상세표[사번키],$H271),합계표[사번키],0))&amp;")"),"")))</f>
        <v/>
      </c>
      <c r="E271">
        <f>IF($H271="","",COUNTIFS(상세표[사번키],INDEX(상세표[사번키],$H271),상세표[기록월],대상월키))</f>
        <v/>
      </c>
      <c r="F271" s="20">
        <f>IF($H271="","",SUMIFS(상세표[기록 시간외],상세표[사번키],INDEX(상세표[사번키],$H271),상세표[기록월],대상월키))</f>
        <v/>
      </c>
      <c r="G271" s="20">
        <f>IF($H271="","",SUMIFS(합계표[시스템 합계],합계표[사번키],INDEX(상세표[사번키],$H271)))</f>
        <v/>
      </c>
      <c r="H271" s="4">
        <f>IFERROR(MATCH(266,상세표[발송인원순번],0),"")</f>
        <v/>
      </c>
      <c r="J271">
        <f>IF($U271="","",INDEX(상세표[사번],$U271)&amp;"")</f>
        <v/>
      </c>
      <c r="K271">
        <f>IF($U271="","",INDEX(상세표[성명],$U271)&amp;"")</f>
        <v/>
      </c>
      <c r="L271">
        <f>IF($U271="","",INDEX(상세표[직위],$U271)&amp;"")</f>
        <v/>
      </c>
      <c r="M271">
        <f>IF($U271="","",IF(ISNUMBER(INDEX(상세표[근무일자],$U271)),TEXT(INDEX(상세표[근무일자],$U271),"yyyy-mm-dd"),INDEX(상세표[근무일자],$U271)&amp;""))</f>
        <v/>
      </c>
      <c r="N271">
        <f>IF($U271="","",IF(ISNUMBER(INDEX(상세표[시작],$U271)),TEXT(INDEX(상세표[시작],$U271),"yyyy-mm-dd hh:mm"),INDEX(상세표[시작],$U271)&amp;""))</f>
        <v/>
      </c>
      <c r="O271">
        <f>IF($U271="","",IF(ISNUMBER(INDEX(상세표[종료],$U271)),TEXT(INDEX(상세표[종료],$U271),"yyyy-mm-dd hh:mm"),INDEX(상세표[종료],$U271)&amp;""))</f>
        <v/>
      </c>
      <c r="P271" s="20">
        <f>IF($U271="","",INDEX(상세표[06~07시],$U271))</f>
        <v/>
      </c>
      <c r="Q271" s="20">
        <f>IF($U271="","",INDEX(상세표[07~18시],$U271))</f>
        <v/>
      </c>
      <c r="R271" s="20">
        <f>IF($U271="","",INDEX(상세표[18~22시],$U271))</f>
        <v/>
      </c>
      <c r="S271" s="20">
        <f>IF($U271="","",INDEX(상세표[22~06시],$U271))</f>
        <v/>
      </c>
      <c r="T271" s="20">
        <f>IF($U271="","",INDEX(상세표[기록 시간외],$U271))</f>
        <v/>
      </c>
      <c r="U271" s="4">
        <f>IFERROR(MATCH(266,상세표[발송순번],0),"")</f>
        <v/>
      </c>
    </row>
    <row r="272">
      <c r="A272">
        <f>IF($H272="","",INDEX(상세표[사번],$H272)&amp;"")</f>
        <v/>
      </c>
      <c r="B272">
        <f>IF($H272="","",INDEX(상세표[성명],$H272)&amp;"")</f>
        <v/>
      </c>
      <c r="C272">
        <f>IF($H272="","",INDEX(상세표[부서],$H272)&amp;"")</f>
        <v/>
      </c>
      <c r="D272">
        <f>IF($H272="","",IF(IFERROR(INDEX(합계표[직위(요약)],MATCH(INDEX(상세표[사번키],$H272),합계표[사번키],0))&amp;IF(INDEX(합계표[직급 공존],MATCH(INDEX(상세표[사번키],$H272),합계표[사번키],0))="",""," ("&amp;INDEX(합계표[직급 공존],MATCH(INDEX(상세표[사번키],$H272),합계표[사번키],0))&amp;")"),"")="",INDEX(상세표[직위],$H272)&amp;"",IFERROR(INDEX(합계표[직위(요약)],MATCH(INDEX(상세표[사번키],$H272),합계표[사번키],0))&amp;IF(INDEX(합계표[직급 공존],MATCH(INDEX(상세표[사번키],$H272),합계표[사번키],0))="",""," ("&amp;INDEX(합계표[직급 공존],MATCH(INDEX(상세표[사번키],$H272),합계표[사번키],0))&amp;")"),"")))</f>
        <v/>
      </c>
      <c r="E272">
        <f>IF($H272="","",COUNTIFS(상세표[사번키],INDEX(상세표[사번키],$H272),상세표[기록월],대상월키))</f>
        <v/>
      </c>
      <c r="F272" s="20">
        <f>IF($H272="","",SUMIFS(상세표[기록 시간외],상세표[사번키],INDEX(상세표[사번키],$H272),상세표[기록월],대상월키))</f>
        <v/>
      </c>
      <c r="G272" s="20">
        <f>IF($H272="","",SUMIFS(합계표[시스템 합계],합계표[사번키],INDEX(상세표[사번키],$H272)))</f>
        <v/>
      </c>
      <c r="H272" s="4">
        <f>IFERROR(MATCH(267,상세표[발송인원순번],0),"")</f>
        <v/>
      </c>
      <c r="J272">
        <f>IF($U272="","",INDEX(상세표[사번],$U272)&amp;"")</f>
        <v/>
      </c>
      <c r="K272">
        <f>IF($U272="","",INDEX(상세표[성명],$U272)&amp;"")</f>
        <v/>
      </c>
      <c r="L272">
        <f>IF($U272="","",INDEX(상세표[직위],$U272)&amp;"")</f>
        <v/>
      </c>
      <c r="M272">
        <f>IF($U272="","",IF(ISNUMBER(INDEX(상세표[근무일자],$U272)),TEXT(INDEX(상세표[근무일자],$U272),"yyyy-mm-dd"),INDEX(상세표[근무일자],$U272)&amp;""))</f>
        <v/>
      </c>
      <c r="N272">
        <f>IF($U272="","",IF(ISNUMBER(INDEX(상세표[시작],$U272)),TEXT(INDEX(상세표[시작],$U272),"yyyy-mm-dd hh:mm"),INDEX(상세표[시작],$U272)&amp;""))</f>
        <v/>
      </c>
      <c r="O272">
        <f>IF($U272="","",IF(ISNUMBER(INDEX(상세표[종료],$U272)),TEXT(INDEX(상세표[종료],$U272),"yyyy-mm-dd hh:mm"),INDEX(상세표[종료],$U272)&amp;""))</f>
        <v/>
      </c>
      <c r="P272" s="20">
        <f>IF($U272="","",INDEX(상세표[06~07시],$U272))</f>
        <v/>
      </c>
      <c r="Q272" s="20">
        <f>IF($U272="","",INDEX(상세표[07~18시],$U272))</f>
        <v/>
      </c>
      <c r="R272" s="20">
        <f>IF($U272="","",INDEX(상세표[18~22시],$U272))</f>
        <v/>
      </c>
      <c r="S272" s="20">
        <f>IF($U272="","",INDEX(상세표[22~06시],$U272))</f>
        <v/>
      </c>
      <c r="T272" s="20">
        <f>IF($U272="","",INDEX(상세표[기록 시간외],$U272))</f>
        <v/>
      </c>
      <c r="U272" s="4">
        <f>IFERROR(MATCH(267,상세표[발송순번],0),"")</f>
        <v/>
      </c>
    </row>
    <row r="273">
      <c r="A273">
        <f>IF($H273="","",INDEX(상세표[사번],$H273)&amp;"")</f>
        <v/>
      </c>
      <c r="B273">
        <f>IF($H273="","",INDEX(상세표[성명],$H273)&amp;"")</f>
        <v/>
      </c>
      <c r="C273">
        <f>IF($H273="","",INDEX(상세표[부서],$H273)&amp;"")</f>
        <v/>
      </c>
      <c r="D273">
        <f>IF($H273="","",IF(IFERROR(INDEX(합계표[직위(요약)],MATCH(INDEX(상세표[사번키],$H273),합계표[사번키],0))&amp;IF(INDEX(합계표[직급 공존],MATCH(INDEX(상세표[사번키],$H273),합계표[사번키],0))="",""," ("&amp;INDEX(합계표[직급 공존],MATCH(INDEX(상세표[사번키],$H273),합계표[사번키],0))&amp;")"),"")="",INDEX(상세표[직위],$H273)&amp;"",IFERROR(INDEX(합계표[직위(요약)],MATCH(INDEX(상세표[사번키],$H273),합계표[사번키],0))&amp;IF(INDEX(합계표[직급 공존],MATCH(INDEX(상세표[사번키],$H273),합계표[사번키],0))="",""," ("&amp;INDEX(합계표[직급 공존],MATCH(INDEX(상세표[사번키],$H273),합계표[사번키],0))&amp;")"),"")))</f>
        <v/>
      </c>
      <c r="E273">
        <f>IF($H273="","",COUNTIFS(상세표[사번키],INDEX(상세표[사번키],$H273),상세표[기록월],대상월키))</f>
        <v/>
      </c>
      <c r="F273" s="20">
        <f>IF($H273="","",SUMIFS(상세표[기록 시간외],상세표[사번키],INDEX(상세표[사번키],$H273),상세표[기록월],대상월키))</f>
        <v/>
      </c>
      <c r="G273" s="20">
        <f>IF($H273="","",SUMIFS(합계표[시스템 합계],합계표[사번키],INDEX(상세표[사번키],$H273)))</f>
        <v/>
      </c>
      <c r="H273" s="4">
        <f>IFERROR(MATCH(268,상세표[발송인원순번],0),"")</f>
        <v/>
      </c>
      <c r="J273">
        <f>IF($U273="","",INDEX(상세표[사번],$U273)&amp;"")</f>
        <v/>
      </c>
      <c r="K273">
        <f>IF($U273="","",INDEX(상세표[성명],$U273)&amp;"")</f>
        <v/>
      </c>
      <c r="L273">
        <f>IF($U273="","",INDEX(상세표[직위],$U273)&amp;"")</f>
        <v/>
      </c>
      <c r="M273">
        <f>IF($U273="","",IF(ISNUMBER(INDEX(상세표[근무일자],$U273)),TEXT(INDEX(상세표[근무일자],$U273),"yyyy-mm-dd"),INDEX(상세표[근무일자],$U273)&amp;""))</f>
        <v/>
      </c>
      <c r="N273">
        <f>IF($U273="","",IF(ISNUMBER(INDEX(상세표[시작],$U273)),TEXT(INDEX(상세표[시작],$U273),"yyyy-mm-dd hh:mm"),INDEX(상세표[시작],$U273)&amp;""))</f>
        <v/>
      </c>
      <c r="O273">
        <f>IF($U273="","",IF(ISNUMBER(INDEX(상세표[종료],$U273)),TEXT(INDEX(상세표[종료],$U273),"yyyy-mm-dd hh:mm"),INDEX(상세표[종료],$U273)&amp;""))</f>
        <v/>
      </c>
      <c r="P273" s="20">
        <f>IF($U273="","",INDEX(상세표[06~07시],$U273))</f>
        <v/>
      </c>
      <c r="Q273" s="20">
        <f>IF($U273="","",INDEX(상세표[07~18시],$U273))</f>
        <v/>
      </c>
      <c r="R273" s="20">
        <f>IF($U273="","",INDEX(상세표[18~22시],$U273))</f>
        <v/>
      </c>
      <c r="S273" s="20">
        <f>IF($U273="","",INDEX(상세표[22~06시],$U273))</f>
        <v/>
      </c>
      <c r="T273" s="20">
        <f>IF($U273="","",INDEX(상세표[기록 시간외],$U273))</f>
        <v/>
      </c>
      <c r="U273" s="4">
        <f>IFERROR(MATCH(268,상세표[발송순번],0),"")</f>
        <v/>
      </c>
    </row>
    <row r="274">
      <c r="A274">
        <f>IF($H274="","",INDEX(상세표[사번],$H274)&amp;"")</f>
        <v/>
      </c>
      <c r="B274">
        <f>IF($H274="","",INDEX(상세표[성명],$H274)&amp;"")</f>
        <v/>
      </c>
      <c r="C274">
        <f>IF($H274="","",INDEX(상세표[부서],$H274)&amp;"")</f>
        <v/>
      </c>
      <c r="D274">
        <f>IF($H274="","",IF(IFERROR(INDEX(합계표[직위(요약)],MATCH(INDEX(상세표[사번키],$H274),합계표[사번키],0))&amp;IF(INDEX(합계표[직급 공존],MATCH(INDEX(상세표[사번키],$H274),합계표[사번키],0))="",""," ("&amp;INDEX(합계표[직급 공존],MATCH(INDEX(상세표[사번키],$H274),합계표[사번키],0))&amp;")"),"")="",INDEX(상세표[직위],$H274)&amp;"",IFERROR(INDEX(합계표[직위(요약)],MATCH(INDEX(상세표[사번키],$H274),합계표[사번키],0))&amp;IF(INDEX(합계표[직급 공존],MATCH(INDEX(상세표[사번키],$H274),합계표[사번키],0))="",""," ("&amp;INDEX(합계표[직급 공존],MATCH(INDEX(상세표[사번키],$H274),합계표[사번키],0))&amp;")"),"")))</f>
        <v/>
      </c>
      <c r="E274">
        <f>IF($H274="","",COUNTIFS(상세표[사번키],INDEX(상세표[사번키],$H274),상세표[기록월],대상월키))</f>
        <v/>
      </c>
      <c r="F274" s="20">
        <f>IF($H274="","",SUMIFS(상세표[기록 시간외],상세표[사번키],INDEX(상세표[사번키],$H274),상세표[기록월],대상월키))</f>
        <v/>
      </c>
      <c r="G274" s="20">
        <f>IF($H274="","",SUMIFS(합계표[시스템 합계],합계표[사번키],INDEX(상세표[사번키],$H274)))</f>
        <v/>
      </c>
      <c r="H274" s="4">
        <f>IFERROR(MATCH(269,상세표[발송인원순번],0),"")</f>
        <v/>
      </c>
      <c r="J274">
        <f>IF($U274="","",INDEX(상세표[사번],$U274)&amp;"")</f>
        <v/>
      </c>
      <c r="K274">
        <f>IF($U274="","",INDEX(상세표[성명],$U274)&amp;"")</f>
        <v/>
      </c>
      <c r="L274">
        <f>IF($U274="","",INDEX(상세표[직위],$U274)&amp;"")</f>
        <v/>
      </c>
      <c r="M274">
        <f>IF($U274="","",IF(ISNUMBER(INDEX(상세표[근무일자],$U274)),TEXT(INDEX(상세표[근무일자],$U274),"yyyy-mm-dd"),INDEX(상세표[근무일자],$U274)&amp;""))</f>
        <v/>
      </c>
      <c r="N274">
        <f>IF($U274="","",IF(ISNUMBER(INDEX(상세표[시작],$U274)),TEXT(INDEX(상세표[시작],$U274),"yyyy-mm-dd hh:mm"),INDEX(상세표[시작],$U274)&amp;""))</f>
        <v/>
      </c>
      <c r="O274">
        <f>IF($U274="","",IF(ISNUMBER(INDEX(상세표[종료],$U274)),TEXT(INDEX(상세표[종료],$U274),"yyyy-mm-dd hh:mm"),INDEX(상세표[종료],$U274)&amp;""))</f>
        <v/>
      </c>
      <c r="P274" s="20">
        <f>IF($U274="","",INDEX(상세표[06~07시],$U274))</f>
        <v/>
      </c>
      <c r="Q274" s="20">
        <f>IF($U274="","",INDEX(상세표[07~18시],$U274))</f>
        <v/>
      </c>
      <c r="R274" s="20">
        <f>IF($U274="","",INDEX(상세표[18~22시],$U274))</f>
        <v/>
      </c>
      <c r="S274" s="20">
        <f>IF($U274="","",INDEX(상세표[22~06시],$U274))</f>
        <v/>
      </c>
      <c r="T274" s="20">
        <f>IF($U274="","",INDEX(상세표[기록 시간외],$U274))</f>
        <v/>
      </c>
      <c r="U274" s="4">
        <f>IFERROR(MATCH(269,상세표[발송순번],0),"")</f>
        <v/>
      </c>
    </row>
    <row r="275">
      <c r="A275">
        <f>IF($H275="","",INDEX(상세표[사번],$H275)&amp;"")</f>
        <v/>
      </c>
      <c r="B275">
        <f>IF($H275="","",INDEX(상세표[성명],$H275)&amp;"")</f>
        <v/>
      </c>
      <c r="C275">
        <f>IF($H275="","",INDEX(상세표[부서],$H275)&amp;"")</f>
        <v/>
      </c>
      <c r="D275">
        <f>IF($H275="","",IF(IFERROR(INDEX(합계표[직위(요약)],MATCH(INDEX(상세표[사번키],$H275),합계표[사번키],0))&amp;IF(INDEX(합계표[직급 공존],MATCH(INDEX(상세표[사번키],$H275),합계표[사번키],0))="",""," ("&amp;INDEX(합계표[직급 공존],MATCH(INDEX(상세표[사번키],$H275),합계표[사번키],0))&amp;")"),"")="",INDEX(상세표[직위],$H275)&amp;"",IFERROR(INDEX(합계표[직위(요약)],MATCH(INDEX(상세표[사번키],$H275),합계표[사번키],0))&amp;IF(INDEX(합계표[직급 공존],MATCH(INDEX(상세표[사번키],$H275),합계표[사번키],0))="",""," ("&amp;INDEX(합계표[직급 공존],MATCH(INDEX(상세표[사번키],$H275),합계표[사번키],0))&amp;")"),"")))</f>
        <v/>
      </c>
      <c r="E275">
        <f>IF($H275="","",COUNTIFS(상세표[사번키],INDEX(상세표[사번키],$H275),상세표[기록월],대상월키))</f>
        <v/>
      </c>
      <c r="F275" s="20">
        <f>IF($H275="","",SUMIFS(상세표[기록 시간외],상세표[사번키],INDEX(상세표[사번키],$H275),상세표[기록월],대상월키))</f>
        <v/>
      </c>
      <c r="G275" s="20">
        <f>IF($H275="","",SUMIFS(합계표[시스템 합계],합계표[사번키],INDEX(상세표[사번키],$H275)))</f>
        <v/>
      </c>
      <c r="H275" s="4">
        <f>IFERROR(MATCH(270,상세표[발송인원순번],0),"")</f>
        <v/>
      </c>
      <c r="J275">
        <f>IF($U275="","",INDEX(상세표[사번],$U275)&amp;"")</f>
        <v/>
      </c>
      <c r="K275">
        <f>IF($U275="","",INDEX(상세표[성명],$U275)&amp;"")</f>
        <v/>
      </c>
      <c r="L275">
        <f>IF($U275="","",INDEX(상세표[직위],$U275)&amp;"")</f>
        <v/>
      </c>
      <c r="M275">
        <f>IF($U275="","",IF(ISNUMBER(INDEX(상세표[근무일자],$U275)),TEXT(INDEX(상세표[근무일자],$U275),"yyyy-mm-dd"),INDEX(상세표[근무일자],$U275)&amp;""))</f>
        <v/>
      </c>
      <c r="N275">
        <f>IF($U275="","",IF(ISNUMBER(INDEX(상세표[시작],$U275)),TEXT(INDEX(상세표[시작],$U275),"yyyy-mm-dd hh:mm"),INDEX(상세표[시작],$U275)&amp;""))</f>
        <v/>
      </c>
      <c r="O275">
        <f>IF($U275="","",IF(ISNUMBER(INDEX(상세표[종료],$U275)),TEXT(INDEX(상세표[종료],$U275),"yyyy-mm-dd hh:mm"),INDEX(상세표[종료],$U275)&amp;""))</f>
        <v/>
      </c>
      <c r="P275" s="20">
        <f>IF($U275="","",INDEX(상세표[06~07시],$U275))</f>
        <v/>
      </c>
      <c r="Q275" s="20">
        <f>IF($U275="","",INDEX(상세표[07~18시],$U275))</f>
        <v/>
      </c>
      <c r="R275" s="20">
        <f>IF($U275="","",INDEX(상세표[18~22시],$U275))</f>
        <v/>
      </c>
      <c r="S275" s="20">
        <f>IF($U275="","",INDEX(상세표[22~06시],$U275))</f>
        <v/>
      </c>
      <c r="T275" s="20">
        <f>IF($U275="","",INDEX(상세표[기록 시간외],$U275))</f>
        <v/>
      </c>
      <c r="U275" s="4">
        <f>IFERROR(MATCH(270,상세표[발송순번],0),"")</f>
        <v/>
      </c>
    </row>
    <row r="276">
      <c r="A276">
        <f>IF($H276="","",INDEX(상세표[사번],$H276)&amp;"")</f>
        <v/>
      </c>
      <c r="B276">
        <f>IF($H276="","",INDEX(상세표[성명],$H276)&amp;"")</f>
        <v/>
      </c>
      <c r="C276">
        <f>IF($H276="","",INDEX(상세표[부서],$H276)&amp;"")</f>
        <v/>
      </c>
      <c r="D276">
        <f>IF($H276="","",IF(IFERROR(INDEX(합계표[직위(요약)],MATCH(INDEX(상세표[사번키],$H276),합계표[사번키],0))&amp;IF(INDEX(합계표[직급 공존],MATCH(INDEX(상세표[사번키],$H276),합계표[사번키],0))="",""," ("&amp;INDEX(합계표[직급 공존],MATCH(INDEX(상세표[사번키],$H276),합계표[사번키],0))&amp;")"),"")="",INDEX(상세표[직위],$H276)&amp;"",IFERROR(INDEX(합계표[직위(요약)],MATCH(INDEX(상세표[사번키],$H276),합계표[사번키],0))&amp;IF(INDEX(합계표[직급 공존],MATCH(INDEX(상세표[사번키],$H276),합계표[사번키],0))="",""," ("&amp;INDEX(합계표[직급 공존],MATCH(INDEX(상세표[사번키],$H276),합계표[사번키],0))&amp;")"),"")))</f>
        <v/>
      </c>
      <c r="E276">
        <f>IF($H276="","",COUNTIFS(상세표[사번키],INDEX(상세표[사번키],$H276),상세표[기록월],대상월키))</f>
        <v/>
      </c>
      <c r="F276" s="20">
        <f>IF($H276="","",SUMIFS(상세표[기록 시간외],상세표[사번키],INDEX(상세표[사번키],$H276),상세표[기록월],대상월키))</f>
        <v/>
      </c>
      <c r="G276" s="20">
        <f>IF($H276="","",SUMIFS(합계표[시스템 합계],합계표[사번키],INDEX(상세표[사번키],$H276)))</f>
        <v/>
      </c>
      <c r="H276" s="4">
        <f>IFERROR(MATCH(271,상세표[발송인원순번],0),"")</f>
        <v/>
      </c>
      <c r="J276">
        <f>IF($U276="","",INDEX(상세표[사번],$U276)&amp;"")</f>
        <v/>
      </c>
      <c r="K276">
        <f>IF($U276="","",INDEX(상세표[성명],$U276)&amp;"")</f>
        <v/>
      </c>
      <c r="L276">
        <f>IF($U276="","",INDEX(상세표[직위],$U276)&amp;"")</f>
        <v/>
      </c>
      <c r="M276">
        <f>IF($U276="","",IF(ISNUMBER(INDEX(상세표[근무일자],$U276)),TEXT(INDEX(상세표[근무일자],$U276),"yyyy-mm-dd"),INDEX(상세표[근무일자],$U276)&amp;""))</f>
        <v/>
      </c>
      <c r="N276">
        <f>IF($U276="","",IF(ISNUMBER(INDEX(상세표[시작],$U276)),TEXT(INDEX(상세표[시작],$U276),"yyyy-mm-dd hh:mm"),INDEX(상세표[시작],$U276)&amp;""))</f>
        <v/>
      </c>
      <c r="O276">
        <f>IF($U276="","",IF(ISNUMBER(INDEX(상세표[종료],$U276)),TEXT(INDEX(상세표[종료],$U276),"yyyy-mm-dd hh:mm"),INDEX(상세표[종료],$U276)&amp;""))</f>
        <v/>
      </c>
      <c r="P276" s="20">
        <f>IF($U276="","",INDEX(상세표[06~07시],$U276))</f>
        <v/>
      </c>
      <c r="Q276" s="20">
        <f>IF($U276="","",INDEX(상세표[07~18시],$U276))</f>
        <v/>
      </c>
      <c r="R276" s="20">
        <f>IF($U276="","",INDEX(상세표[18~22시],$U276))</f>
        <v/>
      </c>
      <c r="S276" s="20">
        <f>IF($U276="","",INDEX(상세표[22~06시],$U276))</f>
        <v/>
      </c>
      <c r="T276" s="20">
        <f>IF($U276="","",INDEX(상세표[기록 시간외],$U276))</f>
        <v/>
      </c>
      <c r="U276" s="4">
        <f>IFERROR(MATCH(271,상세표[발송순번],0),"")</f>
        <v/>
      </c>
    </row>
    <row r="277">
      <c r="A277">
        <f>IF($H277="","",INDEX(상세표[사번],$H277)&amp;"")</f>
        <v/>
      </c>
      <c r="B277">
        <f>IF($H277="","",INDEX(상세표[성명],$H277)&amp;"")</f>
        <v/>
      </c>
      <c r="C277">
        <f>IF($H277="","",INDEX(상세표[부서],$H277)&amp;"")</f>
        <v/>
      </c>
      <c r="D277">
        <f>IF($H277="","",IF(IFERROR(INDEX(합계표[직위(요약)],MATCH(INDEX(상세표[사번키],$H277),합계표[사번키],0))&amp;IF(INDEX(합계표[직급 공존],MATCH(INDEX(상세표[사번키],$H277),합계표[사번키],0))="",""," ("&amp;INDEX(합계표[직급 공존],MATCH(INDEX(상세표[사번키],$H277),합계표[사번키],0))&amp;")"),"")="",INDEX(상세표[직위],$H277)&amp;"",IFERROR(INDEX(합계표[직위(요약)],MATCH(INDEX(상세표[사번키],$H277),합계표[사번키],0))&amp;IF(INDEX(합계표[직급 공존],MATCH(INDEX(상세표[사번키],$H277),합계표[사번키],0))="",""," ("&amp;INDEX(합계표[직급 공존],MATCH(INDEX(상세표[사번키],$H277),합계표[사번키],0))&amp;")"),"")))</f>
        <v/>
      </c>
      <c r="E277">
        <f>IF($H277="","",COUNTIFS(상세표[사번키],INDEX(상세표[사번키],$H277),상세표[기록월],대상월키))</f>
        <v/>
      </c>
      <c r="F277" s="20">
        <f>IF($H277="","",SUMIFS(상세표[기록 시간외],상세표[사번키],INDEX(상세표[사번키],$H277),상세표[기록월],대상월키))</f>
        <v/>
      </c>
      <c r="G277" s="20">
        <f>IF($H277="","",SUMIFS(합계표[시스템 합계],합계표[사번키],INDEX(상세표[사번키],$H277)))</f>
        <v/>
      </c>
      <c r="H277" s="4">
        <f>IFERROR(MATCH(272,상세표[발송인원순번],0),"")</f>
        <v/>
      </c>
      <c r="J277">
        <f>IF($U277="","",INDEX(상세표[사번],$U277)&amp;"")</f>
        <v/>
      </c>
      <c r="K277">
        <f>IF($U277="","",INDEX(상세표[성명],$U277)&amp;"")</f>
        <v/>
      </c>
      <c r="L277">
        <f>IF($U277="","",INDEX(상세표[직위],$U277)&amp;"")</f>
        <v/>
      </c>
      <c r="M277">
        <f>IF($U277="","",IF(ISNUMBER(INDEX(상세표[근무일자],$U277)),TEXT(INDEX(상세표[근무일자],$U277),"yyyy-mm-dd"),INDEX(상세표[근무일자],$U277)&amp;""))</f>
        <v/>
      </c>
      <c r="N277">
        <f>IF($U277="","",IF(ISNUMBER(INDEX(상세표[시작],$U277)),TEXT(INDEX(상세표[시작],$U277),"yyyy-mm-dd hh:mm"),INDEX(상세표[시작],$U277)&amp;""))</f>
        <v/>
      </c>
      <c r="O277">
        <f>IF($U277="","",IF(ISNUMBER(INDEX(상세표[종료],$U277)),TEXT(INDEX(상세표[종료],$U277),"yyyy-mm-dd hh:mm"),INDEX(상세표[종료],$U277)&amp;""))</f>
        <v/>
      </c>
      <c r="P277" s="20">
        <f>IF($U277="","",INDEX(상세표[06~07시],$U277))</f>
        <v/>
      </c>
      <c r="Q277" s="20">
        <f>IF($U277="","",INDEX(상세표[07~18시],$U277))</f>
        <v/>
      </c>
      <c r="R277" s="20">
        <f>IF($U277="","",INDEX(상세표[18~22시],$U277))</f>
        <v/>
      </c>
      <c r="S277" s="20">
        <f>IF($U277="","",INDEX(상세표[22~06시],$U277))</f>
        <v/>
      </c>
      <c r="T277" s="20">
        <f>IF($U277="","",INDEX(상세표[기록 시간외],$U277))</f>
        <v/>
      </c>
      <c r="U277" s="4">
        <f>IFERROR(MATCH(272,상세표[발송순번],0),"")</f>
        <v/>
      </c>
    </row>
    <row r="278">
      <c r="A278">
        <f>IF($H278="","",INDEX(상세표[사번],$H278)&amp;"")</f>
        <v/>
      </c>
      <c r="B278">
        <f>IF($H278="","",INDEX(상세표[성명],$H278)&amp;"")</f>
        <v/>
      </c>
      <c r="C278">
        <f>IF($H278="","",INDEX(상세표[부서],$H278)&amp;"")</f>
        <v/>
      </c>
      <c r="D278">
        <f>IF($H278="","",IF(IFERROR(INDEX(합계표[직위(요약)],MATCH(INDEX(상세표[사번키],$H278),합계표[사번키],0))&amp;IF(INDEX(합계표[직급 공존],MATCH(INDEX(상세표[사번키],$H278),합계표[사번키],0))="",""," ("&amp;INDEX(합계표[직급 공존],MATCH(INDEX(상세표[사번키],$H278),합계표[사번키],0))&amp;")"),"")="",INDEX(상세표[직위],$H278)&amp;"",IFERROR(INDEX(합계표[직위(요약)],MATCH(INDEX(상세표[사번키],$H278),합계표[사번키],0))&amp;IF(INDEX(합계표[직급 공존],MATCH(INDEX(상세표[사번키],$H278),합계표[사번키],0))="",""," ("&amp;INDEX(합계표[직급 공존],MATCH(INDEX(상세표[사번키],$H278),합계표[사번키],0))&amp;")"),"")))</f>
        <v/>
      </c>
      <c r="E278">
        <f>IF($H278="","",COUNTIFS(상세표[사번키],INDEX(상세표[사번키],$H278),상세표[기록월],대상월키))</f>
        <v/>
      </c>
      <c r="F278" s="20">
        <f>IF($H278="","",SUMIFS(상세표[기록 시간외],상세표[사번키],INDEX(상세표[사번키],$H278),상세표[기록월],대상월키))</f>
        <v/>
      </c>
      <c r="G278" s="20">
        <f>IF($H278="","",SUMIFS(합계표[시스템 합계],합계표[사번키],INDEX(상세표[사번키],$H278)))</f>
        <v/>
      </c>
      <c r="H278" s="4">
        <f>IFERROR(MATCH(273,상세표[발송인원순번],0),"")</f>
        <v/>
      </c>
      <c r="J278">
        <f>IF($U278="","",INDEX(상세표[사번],$U278)&amp;"")</f>
        <v/>
      </c>
      <c r="K278">
        <f>IF($U278="","",INDEX(상세표[성명],$U278)&amp;"")</f>
        <v/>
      </c>
      <c r="L278">
        <f>IF($U278="","",INDEX(상세표[직위],$U278)&amp;"")</f>
        <v/>
      </c>
      <c r="M278">
        <f>IF($U278="","",IF(ISNUMBER(INDEX(상세표[근무일자],$U278)),TEXT(INDEX(상세표[근무일자],$U278),"yyyy-mm-dd"),INDEX(상세표[근무일자],$U278)&amp;""))</f>
        <v/>
      </c>
      <c r="N278">
        <f>IF($U278="","",IF(ISNUMBER(INDEX(상세표[시작],$U278)),TEXT(INDEX(상세표[시작],$U278),"yyyy-mm-dd hh:mm"),INDEX(상세표[시작],$U278)&amp;""))</f>
        <v/>
      </c>
      <c r="O278">
        <f>IF($U278="","",IF(ISNUMBER(INDEX(상세표[종료],$U278)),TEXT(INDEX(상세표[종료],$U278),"yyyy-mm-dd hh:mm"),INDEX(상세표[종료],$U278)&amp;""))</f>
        <v/>
      </c>
      <c r="P278" s="20">
        <f>IF($U278="","",INDEX(상세표[06~07시],$U278))</f>
        <v/>
      </c>
      <c r="Q278" s="20">
        <f>IF($U278="","",INDEX(상세표[07~18시],$U278))</f>
        <v/>
      </c>
      <c r="R278" s="20">
        <f>IF($U278="","",INDEX(상세표[18~22시],$U278))</f>
        <v/>
      </c>
      <c r="S278" s="20">
        <f>IF($U278="","",INDEX(상세표[22~06시],$U278))</f>
        <v/>
      </c>
      <c r="T278" s="20">
        <f>IF($U278="","",INDEX(상세표[기록 시간외],$U278))</f>
        <v/>
      </c>
      <c r="U278" s="4">
        <f>IFERROR(MATCH(273,상세표[발송순번],0),"")</f>
        <v/>
      </c>
    </row>
    <row r="279">
      <c r="A279">
        <f>IF($H279="","",INDEX(상세표[사번],$H279)&amp;"")</f>
        <v/>
      </c>
      <c r="B279">
        <f>IF($H279="","",INDEX(상세표[성명],$H279)&amp;"")</f>
        <v/>
      </c>
      <c r="C279">
        <f>IF($H279="","",INDEX(상세표[부서],$H279)&amp;"")</f>
        <v/>
      </c>
      <c r="D279">
        <f>IF($H279="","",IF(IFERROR(INDEX(합계표[직위(요약)],MATCH(INDEX(상세표[사번키],$H279),합계표[사번키],0))&amp;IF(INDEX(합계표[직급 공존],MATCH(INDEX(상세표[사번키],$H279),합계표[사번키],0))="",""," ("&amp;INDEX(합계표[직급 공존],MATCH(INDEX(상세표[사번키],$H279),합계표[사번키],0))&amp;")"),"")="",INDEX(상세표[직위],$H279)&amp;"",IFERROR(INDEX(합계표[직위(요약)],MATCH(INDEX(상세표[사번키],$H279),합계표[사번키],0))&amp;IF(INDEX(합계표[직급 공존],MATCH(INDEX(상세표[사번키],$H279),합계표[사번키],0))="",""," ("&amp;INDEX(합계표[직급 공존],MATCH(INDEX(상세표[사번키],$H279),합계표[사번키],0))&amp;")"),"")))</f>
        <v/>
      </c>
      <c r="E279">
        <f>IF($H279="","",COUNTIFS(상세표[사번키],INDEX(상세표[사번키],$H279),상세표[기록월],대상월키))</f>
        <v/>
      </c>
      <c r="F279" s="20">
        <f>IF($H279="","",SUMIFS(상세표[기록 시간외],상세표[사번키],INDEX(상세표[사번키],$H279),상세표[기록월],대상월키))</f>
        <v/>
      </c>
      <c r="G279" s="20">
        <f>IF($H279="","",SUMIFS(합계표[시스템 합계],합계표[사번키],INDEX(상세표[사번키],$H279)))</f>
        <v/>
      </c>
      <c r="H279" s="4">
        <f>IFERROR(MATCH(274,상세표[발송인원순번],0),"")</f>
        <v/>
      </c>
      <c r="J279">
        <f>IF($U279="","",INDEX(상세표[사번],$U279)&amp;"")</f>
        <v/>
      </c>
      <c r="K279">
        <f>IF($U279="","",INDEX(상세표[성명],$U279)&amp;"")</f>
        <v/>
      </c>
      <c r="L279">
        <f>IF($U279="","",INDEX(상세표[직위],$U279)&amp;"")</f>
        <v/>
      </c>
      <c r="M279">
        <f>IF($U279="","",IF(ISNUMBER(INDEX(상세표[근무일자],$U279)),TEXT(INDEX(상세표[근무일자],$U279),"yyyy-mm-dd"),INDEX(상세표[근무일자],$U279)&amp;""))</f>
        <v/>
      </c>
      <c r="N279">
        <f>IF($U279="","",IF(ISNUMBER(INDEX(상세표[시작],$U279)),TEXT(INDEX(상세표[시작],$U279),"yyyy-mm-dd hh:mm"),INDEX(상세표[시작],$U279)&amp;""))</f>
        <v/>
      </c>
      <c r="O279">
        <f>IF($U279="","",IF(ISNUMBER(INDEX(상세표[종료],$U279)),TEXT(INDEX(상세표[종료],$U279),"yyyy-mm-dd hh:mm"),INDEX(상세표[종료],$U279)&amp;""))</f>
        <v/>
      </c>
      <c r="P279" s="20">
        <f>IF($U279="","",INDEX(상세표[06~07시],$U279))</f>
        <v/>
      </c>
      <c r="Q279" s="20">
        <f>IF($U279="","",INDEX(상세표[07~18시],$U279))</f>
        <v/>
      </c>
      <c r="R279" s="20">
        <f>IF($U279="","",INDEX(상세표[18~22시],$U279))</f>
        <v/>
      </c>
      <c r="S279" s="20">
        <f>IF($U279="","",INDEX(상세표[22~06시],$U279))</f>
        <v/>
      </c>
      <c r="T279" s="20">
        <f>IF($U279="","",INDEX(상세표[기록 시간외],$U279))</f>
        <v/>
      </c>
      <c r="U279" s="4">
        <f>IFERROR(MATCH(274,상세표[발송순번],0),"")</f>
        <v/>
      </c>
    </row>
    <row r="280">
      <c r="A280">
        <f>IF($H280="","",INDEX(상세표[사번],$H280)&amp;"")</f>
        <v/>
      </c>
      <c r="B280">
        <f>IF($H280="","",INDEX(상세표[성명],$H280)&amp;"")</f>
        <v/>
      </c>
      <c r="C280">
        <f>IF($H280="","",INDEX(상세표[부서],$H280)&amp;"")</f>
        <v/>
      </c>
      <c r="D280">
        <f>IF($H280="","",IF(IFERROR(INDEX(합계표[직위(요약)],MATCH(INDEX(상세표[사번키],$H280),합계표[사번키],0))&amp;IF(INDEX(합계표[직급 공존],MATCH(INDEX(상세표[사번키],$H280),합계표[사번키],0))="",""," ("&amp;INDEX(합계표[직급 공존],MATCH(INDEX(상세표[사번키],$H280),합계표[사번키],0))&amp;")"),"")="",INDEX(상세표[직위],$H280)&amp;"",IFERROR(INDEX(합계표[직위(요약)],MATCH(INDEX(상세표[사번키],$H280),합계표[사번키],0))&amp;IF(INDEX(합계표[직급 공존],MATCH(INDEX(상세표[사번키],$H280),합계표[사번키],0))="",""," ("&amp;INDEX(합계표[직급 공존],MATCH(INDEX(상세표[사번키],$H280),합계표[사번키],0))&amp;")"),"")))</f>
        <v/>
      </c>
      <c r="E280">
        <f>IF($H280="","",COUNTIFS(상세표[사번키],INDEX(상세표[사번키],$H280),상세표[기록월],대상월키))</f>
        <v/>
      </c>
      <c r="F280" s="20">
        <f>IF($H280="","",SUMIFS(상세표[기록 시간외],상세표[사번키],INDEX(상세표[사번키],$H280),상세표[기록월],대상월키))</f>
        <v/>
      </c>
      <c r="G280" s="20">
        <f>IF($H280="","",SUMIFS(합계표[시스템 합계],합계표[사번키],INDEX(상세표[사번키],$H280)))</f>
        <v/>
      </c>
      <c r="H280" s="4">
        <f>IFERROR(MATCH(275,상세표[발송인원순번],0),"")</f>
        <v/>
      </c>
      <c r="J280">
        <f>IF($U280="","",INDEX(상세표[사번],$U280)&amp;"")</f>
        <v/>
      </c>
      <c r="K280">
        <f>IF($U280="","",INDEX(상세표[성명],$U280)&amp;"")</f>
        <v/>
      </c>
      <c r="L280">
        <f>IF($U280="","",INDEX(상세표[직위],$U280)&amp;"")</f>
        <v/>
      </c>
      <c r="M280">
        <f>IF($U280="","",IF(ISNUMBER(INDEX(상세표[근무일자],$U280)),TEXT(INDEX(상세표[근무일자],$U280),"yyyy-mm-dd"),INDEX(상세표[근무일자],$U280)&amp;""))</f>
        <v/>
      </c>
      <c r="N280">
        <f>IF($U280="","",IF(ISNUMBER(INDEX(상세표[시작],$U280)),TEXT(INDEX(상세표[시작],$U280),"yyyy-mm-dd hh:mm"),INDEX(상세표[시작],$U280)&amp;""))</f>
        <v/>
      </c>
      <c r="O280">
        <f>IF($U280="","",IF(ISNUMBER(INDEX(상세표[종료],$U280)),TEXT(INDEX(상세표[종료],$U280),"yyyy-mm-dd hh:mm"),INDEX(상세표[종료],$U280)&amp;""))</f>
        <v/>
      </c>
      <c r="P280" s="20">
        <f>IF($U280="","",INDEX(상세표[06~07시],$U280))</f>
        <v/>
      </c>
      <c r="Q280" s="20">
        <f>IF($U280="","",INDEX(상세표[07~18시],$U280))</f>
        <v/>
      </c>
      <c r="R280" s="20">
        <f>IF($U280="","",INDEX(상세표[18~22시],$U280))</f>
        <v/>
      </c>
      <c r="S280" s="20">
        <f>IF($U280="","",INDEX(상세표[22~06시],$U280))</f>
        <v/>
      </c>
      <c r="T280" s="20">
        <f>IF($U280="","",INDEX(상세표[기록 시간외],$U280))</f>
        <v/>
      </c>
      <c r="U280" s="4">
        <f>IFERROR(MATCH(275,상세표[발송순번],0),"")</f>
        <v/>
      </c>
    </row>
    <row r="281">
      <c r="A281">
        <f>IF($H281="","",INDEX(상세표[사번],$H281)&amp;"")</f>
        <v/>
      </c>
      <c r="B281">
        <f>IF($H281="","",INDEX(상세표[성명],$H281)&amp;"")</f>
        <v/>
      </c>
      <c r="C281">
        <f>IF($H281="","",INDEX(상세표[부서],$H281)&amp;"")</f>
        <v/>
      </c>
      <c r="D281">
        <f>IF($H281="","",IF(IFERROR(INDEX(합계표[직위(요약)],MATCH(INDEX(상세표[사번키],$H281),합계표[사번키],0))&amp;IF(INDEX(합계표[직급 공존],MATCH(INDEX(상세표[사번키],$H281),합계표[사번키],0))="",""," ("&amp;INDEX(합계표[직급 공존],MATCH(INDEX(상세표[사번키],$H281),합계표[사번키],0))&amp;")"),"")="",INDEX(상세표[직위],$H281)&amp;"",IFERROR(INDEX(합계표[직위(요약)],MATCH(INDEX(상세표[사번키],$H281),합계표[사번키],0))&amp;IF(INDEX(합계표[직급 공존],MATCH(INDEX(상세표[사번키],$H281),합계표[사번키],0))="",""," ("&amp;INDEX(합계표[직급 공존],MATCH(INDEX(상세표[사번키],$H281),합계표[사번키],0))&amp;")"),"")))</f>
        <v/>
      </c>
      <c r="E281">
        <f>IF($H281="","",COUNTIFS(상세표[사번키],INDEX(상세표[사번키],$H281),상세표[기록월],대상월키))</f>
        <v/>
      </c>
      <c r="F281" s="20">
        <f>IF($H281="","",SUMIFS(상세표[기록 시간외],상세표[사번키],INDEX(상세표[사번키],$H281),상세표[기록월],대상월키))</f>
        <v/>
      </c>
      <c r="G281" s="20">
        <f>IF($H281="","",SUMIFS(합계표[시스템 합계],합계표[사번키],INDEX(상세표[사번키],$H281)))</f>
        <v/>
      </c>
      <c r="H281" s="4">
        <f>IFERROR(MATCH(276,상세표[발송인원순번],0),"")</f>
        <v/>
      </c>
      <c r="J281">
        <f>IF($U281="","",INDEX(상세표[사번],$U281)&amp;"")</f>
        <v/>
      </c>
      <c r="K281">
        <f>IF($U281="","",INDEX(상세표[성명],$U281)&amp;"")</f>
        <v/>
      </c>
      <c r="L281">
        <f>IF($U281="","",INDEX(상세표[직위],$U281)&amp;"")</f>
        <v/>
      </c>
      <c r="M281">
        <f>IF($U281="","",IF(ISNUMBER(INDEX(상세표[근무일자],$U281)),TEXT(INDEX(상세표[근무일자],$U281),"yyyy-mm-dd"),INDEX(상세표[근무일자],$U281)&amp;""))</f>
        <v/>
      </c>
      <c r="N281">
        <f>IF($U281="","",IF(ISNUMBER(INDEX(상세표[시작],$U281)),TEXT(INDEX(상세표[시작],$U281),"yyyy-mm-dd hh:mm"),INDEX(상세표[시작],$U281)&amp;""))</f>
        <v/>
      </c>
      <c r="O281">
        <f>IF($U281="","",IF(ISNUMBER(INDEX(상세표[종료],$U281)),TEXT(INDEX(상세표[종료],$U281),"yyyy-mm-dd hh:mm"),INDEX(상세표[종료],$U281)&amp;""))</f>
        <v/>
      </c>
      <c r="P281" s="20">
        <f>IF($U281="","",INDEX(상세표[06~07시],$U281))</f>
        <v/>
      </c>
      <c r="Q281" s="20">
        <f>IF($U281="","",INDEX(상세표[07~18시],$U281))</f>
        <v/>
      </c>
      <c r="R281" s="20">
        <f>IF($U281="","",INDEX(상세표[18~22시],$U281))</f>
        <v/>
      </c>
      <c r="S281" s="20">
        <f>IF($U281="","",INDEX(상세표[22~06시],$U281))</f>
        <v/>
      </c>
      <c r="T281" s="20">
        <f>IF($U281="","",INDEX(상세표[기록 시간외],$U281))</f>
        <v/>
      </c>
      <c r="U281" s="4">
        <f>IFERROR(MATCH(276,상세표[발송순번],0),"")</f>
        <v/>
      </c>
    </row>
    <row r="282">
      <c r="A282">
        <f>IF($H282="","",INDEX(상세표[사번],$H282)&amp;"")</f>
        <v/>
      </c>
      <c r="B282">
        <f>IF($H282="","",INDEX(상세표[성명],$H282)&amp;"")</f>
        <v/>
      </c>
      <c r="C282">
        <f>IF($H282="","",INDEX(상세표[부서],$H282)&amp;"")</f>
        <v/>
      </c>
      <c r="D282">
        <f>IF($H282="","",IF(IFERROR(INDEX(합계표[직위(요약)],MATCH(INDEX(상세표[사번키],$H282),합계표[사번키],0))&amp;IF(INDEX(합계표[직급 공존],MATCH(INDEX(상세표[사번키],$H282),합계표[사번키],0))="",""," ("&amp;INDEX(합계표[직급 공존],MATCH(INDEX(상세표[사번키],$H282),합계표[사번키],0))&amp;")"),"")="",INDEX(상세표[직위],$H282)&amp;"",IFERROR(INDEX(합계표[직위(요약)],MATCH(INDEX(상세표[사번키],$H282),합계표[사번키],0))&amp;IF(INDEX(합계표[직급 공존],MATCH(INDEX(상세표[사번키],$H282),합계표[사번키],0))="",""," ("&amp;INDEX(합계표[직급 공존],MATCH(INDEX(상세표[사번키],$H282),합계표[사번키],0))&amp;")"),"")))</f>
        <v/>
      </c>
      <c r="E282">
        <f>IF($H282="","",COUNTIFS(상세표[사번키],INDEX(상세표[사번키],$H282),상세표[기록월],대상월키))</f>
        <v/>
      </c>
      <c r="F282" s="20">
        <f>IF($H282="","",SUMIFS(상세표[기록 시간외],상세표[사번키],INDEX(상세표[사번키],$H282),상세표[기록월],대상월키))</f>
        <v/>
      </c>
      <c r="G282" s="20">
        <f>IF($H282="","",SUMIFS(합계표[시스템 합계],합계표[사번키],INDEX(상세표[사번키],$H282)))</f>
        <v/>
      </c>
      <c r="H282" s="4">
        <f>IFERROR(MATCH(277,상세표[발송인원순번],0),"")</f>
        <v/>
      </c>
      <c r="J282">
        <f>IF($U282="","",INDEX(상세표[사번],$U282)&amp;"")</f>
        <v/>
      </c>
      <c r="K282">
        <f>IF($U282="","",INDEX(상세표[성명],$U282)&amp;"")</f>
        <v/>
      </c>
      <c r="L282">
        <f>IF($U282="","",INDEX(상세표[직위],$U282)&amp;"")</f>
        <v/>
      </c>
      <c r="M282">
        <f>IF($U282="","",IF(ISNUMBER(INDEX(상세표[근무일자],$U282)),TEXT(INDEX(상세표[근무일자],$U282),"yyyy-mm-dd"),INDEX(상세표[근무일자],$U282)&amp;""))</f>
        <v/>
      </c>
      <c r="N282">
        <f>IF($U282="","",IF(ISNUMBER(INDEX(상세표[시작],$U282)),TEXT(INDEX(상세표[시작],$U282),"yyyy-mm-dd hh:mm"),INDEX(상세표[시작],$U282)&amp;""))</f>
        <v/>
      </c>
      <c r="O282">
        <f>IF($U282="","",IF(ISNUMBER(INDEX(상세표[종료],$U282)),TEXT(INDEX(상세표[종료],$U282),"yyyy-mm-dd hh:mm"),INDEX(상세표[종료],$U282)&amp;""))</f>
        <v/>
      </c>
      <c r="P282" s="20">
        <f>IF($U282="","",INDEX(상세표[06~07시],$U282))</f>
        <v/>
      </c>
      <c r="Q282" s="20">
        <f>IF($U282="","",INDEX(상세표[07~18시],$U282))</f>
        <v/>
      </c>
      <c r="R282" s="20">
        <f>IF($U282="","",INDEX(상세표[18~22시],$U282))</f>
        <v/>
      </c>
      <c r="S282" s="20">
        <f>IF($U282="","",INDEX(상세표[22~06시],$U282))</f>
        <v/>
      </c>
      <c r="T282" s="20">
        <f>IF($U282="","",INDEX(상세표[기록 시간외],$U282))</f>
        <v/>
      </c>
      <c r="U282" s="4">
        <f>IFERROR(MATCH(277,상세표[발송순번],0),"")</f>
        <v/>
      </c>
    </row>
    <row r="283">
      <c r="A283">
        <f>IF($H283="","",INDEX(상세표[사번],$H283)&amp;"")</f>
        <v/>
      </c>
      <c r="B283">
        <f>IF($H283="","",INDEX(상세표[성명],$H283)&amp;"")</f>
        <v/>
      </c>
      <c r="C283">
        <f>IF($H283="","",INDEX(상세표[부서],$H283)&amp;"")</f>
        <v/>
      </c>
      <c r="D283">
        <f>IF($H283="","",IF(IFERROR(INDEX(합계표[직위(요약)],MATCH(INDEX(상세표[사번키],$H283),합계표[사번키],0))&amp;IF(INDEX(합계표[직급 공존],MATCH(INDEX(상세표[사번키],$H283),합계표[사번키],0))="",""," ("&amp;INDEX(합계표[직급 공존],MATCH(INDEX(상세표[사번키],$H283),합계표[사번키],0))&amp;")"),"")="",INDEX(상세표[직위],$H283)&amp;"",IFERROR(INDEX(합계표[직위(요약)],MATCH(INDEX(상세표[사번키],$H283),합계표[사번키],0))&amp;IF(INDEX(합계표[직급 공존],MATCH(INDEX(상세표[사번키],$H283),합계표[사번키],0))="",""," ("&amp;INDEX(합계표[직급 공존],MATCH(INDEX(상세표[사번키],$H283),합계표[사번키],0))&amp;")"),"")))</f>
        <v/>
      </c>
      <c r="E283">
        <f>IF($H283="","",COUNTIFS(상세표[사번키],INDEX(상세표[사번키],$H283),상세표[기록월],대상월키))</f>
        <v/>
      </c>
      <c r="F283" s="20">
        <f>IF($H283="","",SUMIFS(상세표[기록 시간외],상세표[사번키],INDEX(상세표[사번키],$H283),상세표[기록월],대상월키))</f>
        <v/>
      </c>
      <c r="G283" s="20">
        <f>IF($H283="","",SUMIFS(합계표[시스템 합계],합계표[사번키],INDEX(상세표[사번키],$H283)))</f>
        <v/>
      </c>
      <c r="H283" s="4">
        <f>IFERROR(MATCH(278,상세표[발송인원순번],0),"")</f>
        <v/>
      </c>
      <c r="J283">
        <f>IF($U283="","",INDEX(상세표[사번],$U283)&amp;"")</f>
        <v/>
      </c>
      <c r="K283">
        <f>IF($U283="","",INDEX(상세표[성명],$U283)&amp;"")</f>
        <v/>
      </c>
      <c r="L283">
        <f>IF($U283="","",INDEX(상세표[직위],$U283)&amp;"")</f>
        <v/>
      </c>
      <c r="M283">
        <f>IF($U283="","",IF(ISNUMBER(INDEX(상세표[근무일자],$U283)),TEXT(INDEX(상세표[근무일자],$U283),"yyyy-mm-dd"),INDEX(상세표[근무일자],$U283)&amp;""))</f>
        <v/>
      </c>
      <c r="N283">
        <f>IF($U283="","",IF(ISNUMBER(INDEX(상세표[시작],$U283)),TEXT(INDEX(상세표[시작],$U283),"yyyy-mm-dd hh:mm"),INDEX(상세표[시작],$U283)&amp;""))</f>
        <v/>
      </c>
      <c r="O283">
        <f>IF($U283="","",IF(ISNUMBER(INDEX(상세표[종료],$U283)),TEXT(INDEX(상세표[종료],$U283),"yyyy-mm-dd hh:mm"),INDEX(상세표[종료],$U283)&amp;""))</f>
        <v/>
      </c>
      <c r="P283" s="20">
        <f>IF($U283="","",INDEX(상세표[06~07시],$U283))</f>
        <v/>
      </c>
      <c r="Q283" s="20">
        <f>IF($U283="","",INDEX(상세표[07~18시],$U283))</f>
        <v/>
      </c>
      <c r="R283" s="20">
        <f>IF($U283="","",INDEX(상세표[18~22시],$U283))</f>
        <v/>
      </c>
      <c r="S283" s="20">
        <f>IF($U283="","",INDEX(상세표[22~06시],$U283))</f>
        <v/>
      </c>
      <c r="T283" s="20">
        <f>IF($U283="","",INDEX(상세표[기록 시간외],$U283))</f>
        <v/>
      </c>
      <c r="U283" s="4">
        <f>IFERROR(MATCH(278,상세표[발송순번],0),"")</f>
        <v/>
      </c>
    </row>
    <row r="284">
      <c r="A284">
        <f>IF($H284="","",INDEX(상세표[사번],$H284)&amp;"")</f>
        <v/>
      </c>
      <c r="B284">
        <f>IF($H284="","",INDEX(상세표[성명],$H284)&amp;"")</f>
        <v/>
      </c>
      <c r="C284">
        <f>IF($H284="","",INDEX(상세표[부서],$H284)&amp;"")</f>
        <v/>
      </c>
      <c r="D284">
        <f>IF($H284="","",IF(IFERROR(INDEX(합계표[직위(요약)],MATCH(INDEX(상세표[사번키],$H284),합계표[사번키],0))&amp;IF(INDEX(합계표[직급 공존],MATCH(INDEX(상세표[사번키],$H284),합계표[사번키],0))="",""," ("&amp;INDEX(합계표[직급 공존],MATCH(INDEX(상세표[사번키],$H284),합계표[사번키],0))&amp;")"),"")="",INDEX(상세표[직위],$H284)&amp;"",IFERROR(INDEX(합계표[직위(요약)],MATCH(INDEX(상세표[사번키],$H284),합계표[사번키],0))&amp;IF(INDEX(합계표[직급 공존],MATCH(INDEX(상세표[사번키],$H284),합계표[사번키],0))="",""," ("&amp;INDEX(합계표[직급 공존],MATCH(INDEX(상세표[사번키],$H284),합계표[사번키],0))&amp;")"),"")))</f>
        <v/>
      </c>
      <c r="E284">
        <f>IF($H284="","",COUNTIFS(상세표[사번키],INDEX(상세표[사번키],$H284),상세표[기록월],대상월키))</f>
        <v/>
      </c>
      <c r="F284" s="20">
        <f>IF($H284="","",SUMIFS(상세표[기록 시간외],상세표[사번키],INDEX(상세표[사번키],$H284),상세표[기록월],대상월키))</f>
        <v/>
      </c>
      <c r="G284" s="20">
        <f>IF($H284="","",SUMIFS(합계표[시스템 합계],합계표[사번키],INDEX(상세표[사번키],$H284)))</f>
        <v/>
      </c>
      <c r="H284" s="4">
        <f>IFERROR(MATCH(279,상세표[발송인원순번],0),"")</f>
        <v/>
      </c>
      <c r="J284">
        <f>IF($U284="","",INDEX(상세표[사번],$U284)&amp;"")</f>
        <v/>
      </c>
      <c r="K284">
        <f>IF($U284="","",INDEX(상세표[성명],$U284)&amp;"")</f>
        <v/>
      </c>
      <c r="L284">
        <f>IF($U284="","",INDEX(상세표[직위],$U284)&amp;"")</f>
        <v/>
      </c>
      <c r="M284">
        <f>IF($U284="","",IF(ISNUMBER(INDEX(상세표[근무일자],$U284)),TEXT(INDEX(상세표[근무일자],$U284),"yyyy-mm-dd"),INDEX(상세표[근무일자],$U284)&amp;""))</f>
        <v/>
      </c>
      <c r="N284">
        <f>IF($U284="","",IF(ISNUMBER(INDEX(상세표[시작],$U284)),TEXT(INDEX(상세표[시작],$U284),"yyyy-mm-dd hh:mm"),INDEX(상세표[시작],$U284)&amp;""))</f>
        <v/>
      </c>
      <c r="O284">
        <f>IF($U284="","",IF(ISNUMBER(INDEX(상세표[종료],$U284)),TEXT(INDEX(상세표[종료],$U284),"yyyy-mm-dd hh:mm"),INDEX(상세표[종료],$U284)&amp;""))</f>
        <v/>
      </c>
      <c r="P284" s="20">
        <f>IF($U284="","",INDEX(상세표[06~07시],$U284))</f>
        <v/>
      </c>
      <c r="Q284" s="20">
        <f>IF($U284="","",INDEX(상세표[07~18시],$U284))</f>
        <v/>
      </c>
      <c r="R284" s="20">
        <f>IF($U284="","",INDEX(상세표[18~22시],$U284))</f>
        <v/>
      </c>
      <c r="S284" s="20">
        <f>IF($U284="","",INDEX(상세표[22~06시],$U284))</f>
        <v/>
      </c>
      <c r="T284" s="20">
        <f>IF($U284="","",INDEX(상세표[기록 시간외],$U284))</f>
        <v/>
      </c>
      <c r="U284" s="4">
        <f>IFERROR(MATCH(279,상세표[발송순번],0),"")</f>
        <v/>
      </c>
    </row>
    <row r="285">
      <c r="A285">
        <f>IF($H285="","",INDEX(상세표[사번],$H285)&amp;"")</f>
        <v/>
      </c>
      <c r="B285">
        <f>IF($H285="","",INDEX(상세표[성명],$H285)&amp;"")</f>
        <v/>
      </c>
      <c r="C285">
        <f>IF($H285="","",INDEX(상세표[부서],$H285)&amp;"")</f>
        <v/>
      </c>
      <c r="D285">
        <f>IF($H285="","",IF(IFERROR(INDEX(합계표[직위(요약)],MATCH(INDEX(상세표[사번키],$H285),합계표[사번키],0))&amp;IF(INDEX(합계표[직급 공존],MATCH(INDEX(상세표[사번키],$H285),합계표[사번키],0))="",""," ("&amp;INDEX(합계표[직급 공존],MATCH(INDEX(상세표[사번키],$H285),합계표[사번키],0))&amp;")"),"")="",INDEX(상세표[직위],$H285)&amp;"",IFERROR(INDEX(합계표[직위(요약)],MATCH(INDEX(상세표[사번키],$H285),합계표[사번키],0))&amp;IF(INDEX(합계표[직급 공존],MATCH(INDEX(상세표[사번키],$H285),합계표[사번키],0))="",""," ("&amp;INDEX(합계표[직급 공존],MATCH(INDEX(상세표[사번키],$H285),합계표[사번키],0))&amp;")"),"")))</f>
        <v/>
      </c>
      <c r="E285">
        <f>IF($H285="","",COUNTIFS(상세표[사번키],INDEX(상세표[사번키],$H285),상세표[기록월],대상월키))</f>
        <v/>
      </c>
      <c r="F285" s="20">
        <f>IF($H285="","",SUMIFS(상세표[기록 시간외],상세표[사번키],INDEX(상세표[사번키],$H285),상세표[기록월],대상월키))</f>
        <v/>
      </c>
      <c r="G285" s="20">
        <f>IF($H285="","",SUMIFS(합계표[시스템 합계],합계표[사번키],INDEX(상세표[사번키],$H285)))</f>
        <v/>
      </c>
      <c r="H285" s="4">
        <f>IFERROR(MATCH(280,상세표[발송인원순번],0),"")</f>
        <v/>
      </c>
      <c r="J285">
        <f>IF($U285="","",INDEX(상세표[사번],$U285)&amp;"")</f>
        <v/>
      </c>
      <c r="K285">
        <f>IF($U285="","",INDEX(상세표[성명],$U285)&amp;"")</f>
        <v/>
      </c>
      <c r="L285">
        <f>IF($U285="","",INDEX(상세표[직위],$U285)&amp;"")</f>
        <v/>
      </c>
      <c r="M285">
        <f>IF($U285="","",IF(ISNUMBER(INDEX(상세표[근무일자],$U285)),TEXT(INDEX(상세표[근무일자],$U285),"yyyy-mm-dd"),INDEX(상세표[근무일자],$U285)&amp;""))</f>
        <v/>
      </c>
      <c r="N285">
        <f>IF($U285="","",IF(ISNUMBER(INDEX(상세표[시작],$U285)),TEXT(INDEX(상세표[시작],$U285),"yyyy-mm-dd hh:mm"),INDEX(상세표[시작],$U285)&amp;""))</f>
        <v/>
      </c>
      <c r="O285">
        <f>IF($U285="","",IF(ISNUMBER(INDEX(상세표[종료],$U285)),TEXT(INDEX(상세표[종료],$U285),"yyyy-mm-dd hh:mm"),INDEX(상세표[종료],$U285)&amp;""))</f>
        <v/>
      </c>
      <c r="P285" s="20">
        <f>IF($U285="","",INDEX(상세표[06~07시],$U285))</f>
        <v/>
      </c>
      <c r="Q285" s="20">
        <f>IF($U285="","",INDEX(상세표[07~18시],$U285))</f>
        <v/>
      </c>
      <c r="R285" s="20">
        <f>IF($U285="","",INDEX(상세표[18~22시],$U285))</f>
        <v/>
      </c>
      <c r="S285" s="20">
        <f>IF($U285="","",INDEX(상세표[22~06시],$U285))</f>
        <v/>
      </c>
      <c r="T285" s="20">
        <f>IF($U285="","",INDEX(상세표[기록 시간외],$U285))</f>
        <v/>
      </c>
      <c r="U285" s="4">
        <f>IFERROR(MATCH(280,상세표[발송순번],0),"")</f>
        <v/>
      </c>
    </row>
    <row r="286">
      <c r="A286">
        <f>IF($H286="","",INDEX(상세표[사번],$H286)&amp;"")</f>
        <v/>
      </c>
      <c r="B286">
        <f>IF($H286="","",INDEX(상세표[성명],$H286)&amp;"")</f>
        <v/>
      </c>
      <c r="C286">
        <f>IF($H286="","",INDEX(상세표[부서],$H286)&amp;"")</f>
        <v/>
      </c>
      <c r="D286">
        <f>IF($H286="","",IF(IFERROR(INDEX(합계표[직위(요약)],MATCH(INDEX(상세표[사번키],$H286),합계표[사번키],0))&amp;IF(INDEX(합계표[직급 공존],MATCH(INDEX(상세표[사번키],$H286),합계표[사번키],0))="",""," ("&amp;INDEX(합계표[직급 공존],MATCH(INDEX(상세표[사번키],$H286),합계표[사번키],0))&amp;")"),"")="",INDEX(상세표[직위],$H286)&amp;"",IFERROR(INDEX(합계표[직위(요약)],MATCH(INDEX(상세표[사번키],$H286),합계표[사번키],0))&amp;IF(INDEX(합계표[직급 공존],MATCH(INDEX(상세표[사번키],$H286),합계표[사번키],0))="",""," ("&amp;INDEX(합계표[직급 공존],MATCH(INDEX(상세표[사번키],$H286),합계표[사번키],0))&amp;")"),"")))</f>
        <v/>
      </c>
      <c r="E286">
        <f>IF($H286="","",COUNTIFS(상세표[사번키],INDEX(상세표[사번키],$H286),상세표[기록월],대상월키))</f>
        <v/>
      </c>
      <c r="F286" s="20">
        <f>IF($H286="","",SUMIFS(상세표[기록 시간외],상세표[사번키],INDEX(상세표[사번키],$H286),상세표[기록월],대상월키))</f>
        <v/>
      </c>
      <c r="G286" s="20">
        <f>IF($H286="","",SUMIFS(합계표[시스템 합계],합계표[사번키],INDEX(상세표[사번키],$H286)))</f>
        <v/>
      </c>
      <c r="H286" s="4">
        <f>IFERROR(MATCH(281,상세표[발송인원순번],0),"")</f>
        <v/>
      </c>
      <c r="J286">
        <f>IF($U286="","",INDEX(상세표[사번],$U286)&amp;"")</f>
        <v/>
      </c>
      <c r="K286">
        <f>IF($U286="","",INDEX(상세표[성명],$U286)&amp;"")</f>
        <v/>
      </c>
      <c r="L286">
        <f>IF($U286="","",INDEX(상세표[직위],$U286)&amp;"")</f>
        <v/>
      </c>
      <c r="M286">
        <f>IF($U286="","",IF(ISNUMBER(INDEX(상세표[근무일자],$U286)),TEXT(INDEX(상세표[근무일자],$U286),"yyyy-mm-dd"),INDEX(상세표[근무일자],$U286)&amp;""))</f>
        <v/>
      </c>
      <c r="N286">
        <f>IF($U286="","",IF(ISNUMBER(INDEX(상세표[시작],$U286)),TEXT(INDEX(상세표[시작],$U286),"yyyy-mm-dd hh:mm"),INDEX(상세표[시작],$U286)&amp;""))</f>
        <v/>
      </c>
      <c r="O286">
        <f>IF($U286="","",IF(ISNUMBER(INDEX(상세표[종료],$U286)),TEXT(INDEX(상세표[종료],$U286),"yyyy-mm-dd hh:mm"),INDEX(상세표[종료],$U286)&amp;""))</f>
        <v/>
      </c>
      <c r="P286" s="20">
        <f>IF($U286="","",INDEX(상세표[06~07시],$U286))</f>
        <v/>
      </c>
      <c r="Q286" s="20">
        <f>IF($U286="","",INDEX(상세표[07~18시],$U286))</f>
        <v/>
      </c>
      <c r="R286" s="20">
        <f>IF($U286="","",INDEX(상세표[18~22시],$U286))</f>
        <v/>
      </c>
      <c r="S286" s="20">
        <f>IF($U286="","",INDEX(상세표[22~06시],$U286))</f>
        <v/>
      </c>
      <c r="T286" s="20">
        <f>IF($U286="","",INDEX(상세표[기록 시간외],$U286))</f>
        <v/>
      </c>
      <c r="U286" s="4">
        <f>IFERROR(MATCH(281,상세표[발송순번],0),"")</f>
        <v/>
      </c>
    </row>
    <row r="287">
      <c r="A287">
        <f>IF($H287="","",INDEX(상세표[사번],$H287)&amp;"")</f>
        <v/>
      </c>
      <c r="B287">
        <f>IF($H287="","",INDEX(상세표[성명],$H287)&amp;"")</f>
        <v/>
      </c>
      <c r="C287">
        <f>IF($H287="","",INDEX(상세표[부서],$H287)&amp;"")</f>
        <v/>
      </c>
      <c r="D287">
        <f>IF($H287="","",IF(IFERROR(INDEX(합계표[직위(요약)],MATCH(INDEX(상세표[사번키],$H287),합계표[사번키],0))&amp;IF(INDEX(합계표[직급 공존],MATCH(INDEX(상세표[사번키],$H287),합계표[사번키],0))="",""," ("&amp;INDEX(합계표[직급 공존],MATCH(INDEX(상세표[사번키],$H287),합계표[사번키],0))&amp;")"),"")="",INDEX(상세표[직위],$H287)&amp;"",IFERROR(INDEX(합계표[직위(요약)],MATCH(INDEX(상세표[사번키],$H287),합계표[사번키],0))&amp;IF(INDEX(합계표[직급 공존],MATCH(INDEX(상세표[사번키],$H287),합계표[사번키],0))="",""," ("&amp;INDEX(합계표[직급 공존],MATCH(INDEX(상세표[사번키],$H287),합계표[사번키],0))&amp;")"),"")))</f>
        <v/>
      </c>
      <c r="E287">
        <f>IF($H287="","",COUNTIFS(상세표[사번키],INDEX(상세표[사번키],$H287),상세표[기록월],대상월키))</f>
        <v/>
      </c>
      <c r="F287" s="20">
        <f>IF($H287="","",SUMIFS(상세표[기록 시간외],상세표[사번키],INDEX(상세표[사번키],$H287),상세표[기록월],대상월키))</f>
        <v/>
      </c>
      <c r="G287" s="20">
        <f>IF($H287="","",SUMIFS(합계표[시스템 합계],합계표[사번키],INDEX(상세표[사번키],$H287)))</f>
        <v/>
      </c>
      <c r="H287" s="4">
        <f>IFERROR(MATCH(282,상세표[발송인원순번],0),"")</f>
        <v/>
      </c>
      <c r="J287">
        <f>IF($U287="","",INDEX(상세표[사번],$U287)&amp;"")</f>
        <v/>
      </c>
      <c r="K287">
        <f>IF($U287="","",INDEX(상세표[성명],$U287)&amp;"")</f>
        <v/>
      </c>
      <c r="L287">
        <f>IF($U287="","",INDEX(상세표[직위],$U287)&amp;"")</f>
        <v/>
      </c>
      <c r="M287">
        <f>IF($U287="","",IF(ISNUMBER(INDEX(상세표[근무일자],$U287)),TEXT(INDEX(상세표[근무일자],$U287),"yyyy-mm-dd"),INDEX(상세표[근무일자],$U287)&amp;""))</f>
        <v/>
      </c>
      <c r="N287">
        <f>IF($U287="","",IF(ISNUMBER(INDEX(상세표[시작],$U287)),TEXT(INDEX(상세표[시작],$U287),"yyyy-mm-dd hh:mm"),INDEX(상세표[시작],$U287)&amp;""))</f>
        <v/>
      </c>
      <c r="O287">
        <f>IF($U287="","",IF(ISNUMBER(INDEX(상세표[종료],$U287)),TEXT(INDEX(상세표[종료],$U287),"yyyy-mm-dd hh:mm"),INDEX(상세표[종료],$U287)&amp;""))</f>
        <v/>
      </c>
      <c r="P287" s="20">
        <f>IF($U287="","",INDEX(상세표[06~07시],$U287))</f>
        <v/>
      </c>
      <c r="Q287" s="20">
        <f>IF($U287="","",INDEX(상세표[07~18시],$U287))</f>
        <v/>
      </c>
      <c r="R287" s="20">
        <f>IF($U287="","",INDEX(상세표[18~22시],$U287))</f>
        <v/>
      </c>
      <c r="S287" s="20">
        <f>IF($U287="","",INDEX(상세표[22~06시],$U287))</f>
        <v/>
      </c>
      <c r="T287" s="20">
        <f>IF($U287="","",INDEX(상세표[기록 시간외],$U287))</f>
        <v/>
      </c>
      <c r="U287" s="4">
        <f>IFERROR(MATCH(282,상세표[발송순번],0),"")</f>
        <v/>
      </c>
    </row>
    <row r="288">
      <c r="A288">
        <f>IF($H288="","",INDEX(상세표[사번],$H288)&amp;"")</f>
        <v/>
      </c>
      <c r="B288">
        <f>IF($H288="","",INDEX(상세표[성명],$H288)&amp;"")</f>
        <v/>
      </c>
      <c r="C288">
        <f>IF($H288="","",INDEX(상세표[부서],$H288)&amp;"")</f>
        <v/>
      </c>
      <c r="D288">
        <f>IF($H288="","",IF(IFERROR(INDEX(합계표[직위(요약)],MATCH(INDEX(상세표[사번키],$H288),합계표[사번키],0))&amp;IF(INDEX(합계표[직급 공존],MATCH(INDEX(상세표[사번키],$H288),합계표[사번키],0))="",""," ("&amp;INDEX(합계표[직급 공존],MATCH(INDEX(상세표[사번키],$H288),합계표[사번키],0))&amp;")"),"")="",INDEX(상세표[직위],$H288)&amp;"",IFERROR(INDEX(합계표[직위(요약)],MATCH(INDEX(상세표[사번키],$H288),합계표[사번키],0))&amp;IF(INDEX(합계표[직급 공존],MATCH(INDEX(상세표[사번키],$H288),합계표[사번키],0))="",""," ("&amp;INDEX(합계표[직급 공존],MATCH(INDEX(상세표[사번키],$H288),합계표[사번키],0))&amp;")"),"")))</f>
        <v/>
      </c>
      <c r="E288">
        <f>IF($H288="","",COUNTIFS(상세표[사번키],INDEX(상세표[사번키],$H288),상세표[기록월],대상월키))</f>
        <v/>
      </c>
      <c r="F288" s="20">
        <f>IF($H288="","",SUMIFS(상세표[기록 시간외],상세표[사번키],INDEX(상세표[사번키],$H288),상세표[기록월],대상월키))</f>
        <v/>
      </c>
      <c r="G288" s="20">
        <f>IF($H288="","",SUMIFS(합계표[시스템 합계],합계표[사번키],INDEX(상세표[사번키],$H288)))</f>
        <v/>
      </c>
      <c r="H288" s="4">
        <f>IFERROR(MATCH(283,상세표[발송인원순번],0),"")</f>
        <v/>
      </c>
      <c r="J288">
        <f>IF($U288="","",INDEX(상세표[사번],$U288)&amp;"")</f>
        <v/>
      </c>
      <c r="K288">
        <f>IF($U288="","",INDEX(상세표[성명],$U288)&amp;"")</f>
        <v/>
      </c>
      <c r="L288">
        <f>IF($U288="","",INDEX(상세표[직위],$U288)&amp;"")</f>
        <v/>
      </c>
      <c r="M288">
        <f>IF($U288="","",IF(ISNUMBER(INDEX(상세표[근무일자],$U288)),TEXT(INDEX(상세표[근무일자],$U288),"yyyy-mm-dd"),INDEX(상세표[근무일자],$U288)&amp;""))</f>
        <v/>
      </c>
      <c r="N288">
        <f>IF($U288="","",IF(ISNUMBER(INDEX(상세표[시작],$U288)),TEXT(INDEX(상세표[시작],$U288),"yyyy-mm-dd hh:mm"),INDEX(상세표[시작],$U288)&amp;""))</f>
        <v/>
      </c>
      <c r="O288">
        <f>IF($U288="","",IF(ISNUMBER(INDEX(상세표[종료],$U288)),TEXT(INDEX(상세표[종료],$U288),"yyyy-mm-dd hh:mm"),INDEX(상세표[종료],$U288)&amp;""))</f>
        <v/>
      </c>
      <c r="P288" s="20">
        <f>IF($U288="","",INDEX(상세표[06~07시],$U288))</f>
        <v/>
      </c>
      <c r="Q288" s="20">
        <f>IF($U288="","",INDEX(상세표[07~18시],$U288))</f>
        <v/>
      </c>
      <c r="R288" s="20">
        <f>IF($U288="","",INDEX(상세표[18~22시],$U288))</f>
        <v/>
      </c>
      <c r="S288" s="20">
        <f>IF($U288="","",INDEX(상세표[22~06시],$U288))</f>
        <v/>
      </c>
      <c r="T288" s="20">
        <f>IF($U288="","",INDEX(상세표[기록 시간외],$U288))</f>
        <v/>
      </c>
      <c r="U288" s="4">
        <f>IFERROR(MATCH(283,상세표[발송순번],0),"")</f>
        <v/>
      </c>
    </row>
    <row r="289">
      <c r="A289">
        <f>IF($H289="","",INDEX(상세표[사번],$H289)&amp;"")</f>
        <v/>
      </c>
      <c r="B289">
        <f>IF($H289="","",INDEX(상세표[성명],$H289)&amp;"")</f>
        <v/>
      </c>
      <c r="C289">
        <f>IF($H289="","",INDEX(상세표[부서],$H289)&amp;"")</f>
        <v/>
      </c>
      <c r="D289">
        <f>IF($H289="","",IF(IFERROR(INDEX(합계표[직위(요약)],MATCH(INDEX(상세표[사번키],$H289),합계표[사번키],0))&amp;IF(INDEX(합계표[직급 공존],MATCH(INDEX(상세표[사번키],$H289),합계표[사번키],0))="",""," ("&amp;INDEX(합계표[직급 공존],MATCH(INDEX(상세표[사번키],$H289),합계표[사번키],0))&amp;")"),"")="",INDEX(상세표[직위],$H289)&amp;"",IFERROR(INDEX(합계표[직위(요약)],MATCH(INDEX(상세표[사번키],$H289),합계표[사번키],0))&amp;IF(INDEX(합계표[직급 공존],MATCH(INDEX(상세표[사번키],$H289),합계표[사번키],0))="",""," ("&amp;INDEX(합계표[직급 공존],MATCH(INDEX(상세표[사번키],$H289),합계표[사번키],0))&amp;")"),"")))</f>
        <v/>
      </c>
      <c r="E289">
        <f>IF($H289="","",COUNTIFS(상세표[사번키],INDEX(상세표[사번키],$H289),상세표[기록월],대상월키))</f>
        <v/>
      </c>
      <c r="F289" s="20">
        <f>IF($H289="","",SUMIFS(상세표[기록 시간외],상세표[사번키],INDEX(상세표[사번키],$H289),상세표[기록월],대상월키))</f>
        <v/>
      </c>
      <c r="G289" s="20">
        <f>IF($H289="","",SUMIFS(합계표[시스템 합계],합계표[사번키],INDEX(상세표[사번키],$H289)))</f>
        <v/>
      </c>
      <c r="H289" s="4">
        <f>IFERROR(MATCH(284,상세표[발송인원순번],0),"")</f>
        <v/>
      </c>
      <c r="J289">
        <f>IF($U289="","",INDEX(상세표[사번],$U289)&amp;"")</f>
        <v/>
      </c>
      <c r="K289">
        <f>IF($U289="","",INDEX(상세표[성명],$U289)&amp;"")</f>
        <v/>
      </c>
      <c r="L289">
        <f>IF($U289="","",INDEX(상세표[직위],$U289)&amp;"")</f>
        <v/>
      </c>
      <c r="M289">
        <f>IF($U289="","",IF(ISNUMBER(INDEX(상세표[근무일자],$U289)),TEXT(INDEX(상세표[근무일자],$U289),"yyyy-mm-dd"),INDEX(상세표[근무일자],$U289)&amp;""))</f>
        <v/>
      </c>
      <c r="N289">
        <f>IF($U289="","",IF(ISNUMBER(INDEX(상세표[시작],$U289)),TEXT(INDEX(상세표[시작],$U289),"yyyy-mm-dd hh:mm"),INDEX(상세표[시작],$U289)&amp;""))</f>
        <v/>
      </c>
      <c r="O289">
        <f>IF($U289="","",IF(ISNUMBER(INDEX(상세표[종료],$U289)),TEXT(INDEX(상세표[종료],$U289),"yyyy-mm-dd hh:mm"),INDEX(상세표[종료],$U289)&amp;""))</f>
        <v/>
      </c>
      <c r="P289" s="20">
        <f>IF($U289="","",INDEX(상세표[06~07시],$U289))</f>
        <v/>
      </c>
      <c r="Q289" s="20">
        <f>IF($U289="","",INDEX(상세표[07~18시],$U289))</f>
        <v/>
      </c>
      <c r="R289" s="20">
        <f>IF($U289="","",INDEX(상세표[18~22시],$U289))</f>
        <v/>
      </c>
      <c r="S289" s="20">
        <f>IF($U289="","",INDEX(상세표[22~06시],$U289))</f>
        <v/>
      </c>
      <c r="T289" s="20">
        <f>IF($U289="","",INDEX(상세표[기록 시간외],$U289))</f>
        <v/>
      </c>
      <c r="U289" s="4">
        <f>IFERROR(MATCH(284,상세표[발송순번],0),"")</f>
        <v/>
      </c>
    </row>
    <row r="290">
      <c r="A290">
        <f>IF($H290="","",INDEX(상세표[사번],$H290)&amp;"")</f>
        <v/>
      </c>
      <c r="B290">
        <f>IF($H290="","",INDEX(상세표[성명],$H290)&amp;"")</f>
        <v/>
      </c>
      <c r="C290">
        <f>IF($H290="","",INDEX(상세표[부서],$H290)&amp;"")</f>
        <v/>
      </c>
      <c r="D290">
        <f>IF($H290="","",IF(IFERROR(INDEX(합계표[직위(요약)],MATCH(INDEX(상세표[사번키],$H290),합계표[사번키],0))&amp;IF(INDEX(합계표[직급 공존],MATCH(INDEX(상세표[사번키],$H290),합계표[사번키],0))="",""," ("&amp;INDEX(합계표[직급 공존],MATCH(INDEX(상세표[사번키],$H290),합계표[사번키],0))&amp;")"),"")="",INDEX(상세표[직위],$H290)&amp;"",IFERROR(INDEX(합계표[직위(요약)],MATCH(INDEX(상세표[사번키],$H290),합계표[사번키],0))&amp;IF(INDEX(합계표[직급 공존],MATCH(INDEX(상세표[사번키],$H290),합계표[사번키],0))="",""," ("&amp;INDEX(합계표[직급 공존],MATCH(INDEX(상세표[사번키],$H290),합계표[사번키],0))&amp;")"),"")))</f>
        <v/>
      </c>
      <c r="E290">
        <f>IF($H290="","",COUNTIFS(상세표[사번키],INDEX(상세표[사번키],$H290),상세표[기록월],대상월키))</f>
        <v/>
      </c>
      <c r="F290" s="20">
        <f>IF($H290="","",SUMIFS(상세표[기록 시간외],상세표[사번키],INDEX(상세표[사번키],$H290),상세표[기록월],대상월키))</f>
        <v/>
      </c>
      <c r="G290" s="20">
        <f>IF($H290="","",SUMIFS(합계표[시스템 합계],합계표[사번키],INDEX(상세표[사번키],$H290)))</f>
        <v/>
      </c>
      <c r="H290" s="4">
        <f>IFERROR(MATCH(285,상세표[발송인원순번],0),"")</f>
        <v/>
      </c>
      <c r="J290">
        <f>IF($U290="","",INDEX(상세표[사번],$U290)&amp;"")</f>
        <v/>
      </c>
      <c r="K290">
        <f>IF($U290="","",INDEX(상세표[성명],$U290)&amp;"")</f>
        <v/>
      </c>
      <c r="L290">
        <f>IF($U290="","",INDEX(상세표[직위],$U290)&amp;"")</f>
        <v/>
      </c>
      <c r="M290">
        <f>IF($U290="","",IF(ISNUMBER(INDEX(상세표[근무일자],$U290)),TEXT(INDEX(상세표[근무일자],$U290),"yyyy-mm-dd"),INDEX(상세표[근무일자],$U290)&amp;""))</f>
        <v/>
      </c>
      <c r="N290">
        <f>IF($U290="","",IF(ISNUMBER(INDEX(상세표[시작],$U290)),TEXT(INDEX(상세표[시작],$U290),"yyyy-mm-dd hh:mm"),INDEX(상세표[시작],$U290)&amp;""))</f>
        <v/>
      </c>
      <c r="O290">
        <f>IF($U290="","",IF(ISNUMBER(INDEX(상세표[종료],$U290)),TEXT(INDEX(상세표[종료],$U290),"yyyy-mm-dd hh:mm"),INDEX(상세표[종료],$U290)&amp;""))</f>
        <v/>
      </c>
      <c r="P290" s="20">
        <f>IF($U290="","",INDEX(상세표[06~07시],$U290))</f>
        <v/>
      </c>
      <c r="Q290" s="20">
        <f>IF($U290="","",INDEX(상세표[07~18시],$U290))</f>
        <v/>
      </c>
      <c r="R290" s="20">
        <f>IF($U290="","",INDEX(상세표[18~22시],$U290))</f>
        <v/>
      </c>
      <c r="S290" s="20">
        <f>IF($U290="","",INDEX(상세표[22~06시],$U290))</f>
        <v/>
      </c>
      <c r="T290" s="20">
        <f>IF($U290="","",INDEX(상세표[기록 시간외],$U290))</f>
        <v/>
      </c>
      <c r="U290" s="4">
        <f>IFERROR(MATCH(285,상세표[발송순번],0),"")</f>
        <v/>
      </c>
    </row>
    <row r="291">
      <c r="A291">
        <f>IF($H291="","",INDEX(상세표[사번],$H291)&amp;"")</f>
        <v/>
      </c>
      <c r="B291">
        <f>IF($H291="","",INDEX(상세표[성명],$H291)&amp;"")</f>
        <v/>
      </c>
      <c r="C291">
        <f>IF($H291="","",INDEX(상세표[부서],$H291)&amp;"")</f>
        <v/>
      </c>
      <c r="D291">
        <f>IF($H291="","",IF(IFERROR(INDEX(합계표[직위(요약)],MATCH(INDEX(상세표[사번키],$H291),합계표[사번키],0))&amp;IF(INDEX(합계표[직급 공존],MATCH(INDEX(상세표[사번키],$H291),합계표[사번키],0))="",""," ("&amp;INDEX(합계표[직급 공존],MATCH(INDEX(상세표[사번키],$H291),합계표[사번키],0))&amp;")"),"")="",INDEX(상세표[직위],$H291)&amp;"",IFERROR(INDEX(합계표[직위(요약)],MATCH(INDEX(상세표[사번키],$H291),합계표[사번키],0))&amp;IF(INDEX(합계표[직급 공존],MATCH(INDEX(상세표[사번키],$H291),합계표[사번키],0))="",""," ("&amp;INDEX(합계표[직급 공존],MATCH(INDEX(상세표[사번키],$H291),합계표[사번키],0))&amp;")"),"")))</f>
        <v/>
      </c>
      <c r="E291">
        <f>IF($H291="","",COUNTIFS(상세표[사번키],INDEX(상세표[사번키],$H291),상세표[기록월],대상월키))</f>
        <v/>
      </c>
      <c r="F291" s="20">
        <f>IF($H291="","",SUMIFS(상세표[기록 시간외],상세표[사번키],INDEX(상세표[사번키],$H291),상세표[기록월],대상월키))</f>
        <v/>
      </c>
      <c r="G291" s="20">
        <f>IF($H291="","",SUMIFS(합계표[시스템 합계],합계표[사번키],INDEX(상세표[사번키],$H291)))</f>
        <v/>
      </c>
      <c r="H291" s="4">
        <f>IFERROR(MATCH(286,상세표[발송인원순번],0),"")</f>
        <v/>
      </c>
      <c r="J291">
        <f>IF($U291="","",INDEX(상세표[사번],$U291)&amp;"")</f>
        <v/>
      </c>
      <c r="K291">
        <f>IF($U291="","",INDEX(상세표[성명],$U291)&amp;"")</f>
        <v/>
      </c>
      <c r="L291">
        <f>IF($U291="","",INDEX(상세표[직위],$U291)&amp;"")</f>
        <v/>
      </c>
      <c r="M291">
        <f>IF($U291="","",IF(ISNUMBER(INDEX(상세표[근무일자],$U291)),TEXT(INDEX(상세표[근무일자],$U291),"yyyy-mm-dd"),INDEX(상세표[근무일자],$U291)&amp;""))</f>
        <v/>
      </c>
      <c r="N291">
        <f>IF($U291="","",IF(ISNUMBER(INDEX(상세표[시작],$U291)),TEXT(INDEX(상세표[시작],$U291),"yyyy-mm-dd hh:mm"),INDEX(상세표[시작],$U291)&amp;""))</f>
        <v/>
      </c>
      <c r="O291">
        <f>IF($U291="","",IF(ISNUMBER(INDEX(상세표[종료],$U291)),TEXT(INDEX(상세표[종료],$U291),"yyyy-mm-dd hh:mm"),INDEX(상세표[종료],$U291)&amp;""))</f>
        <v/>
      </c>
      <c r="P291" s="20">
        <f>IF($U291="","",INDEX(상세표[06~07시],$U291))</f>
        <v/>
      </c>
      <c r="Q291" s="20">
        <f>IF($U291="","",INDEX(상세표[07~18시],$U291))</f>
        <v/>
      </c>
      <c r="R291" s="20">
        <f>IF($U291="","",INDEX(상세표[18~22시],$U291))</f>
        <v/>
      </c>
      <c r="S291" s="20">
        <f>IF($U291="","",INDEX(상세표[22~06시],$U291))</f>
        <v/>
      </c>
      <c r="T291" s="20">
        <f>IF($U291="","",INDEX(상세표[기록 시간외],$U291))</f>
        <v/>
      </c>
      <c r="U291" s="4">
        <f>IFERROR(MATCH(286,상세표[발송순번],0),"")</f>
        <v/>
      </c>
    </row>
    <row r="292">
      <c r="A292">
        <f>IF($H292="","",INDEX(상세표[사번],$H292)&amp;"")</f>
        <v/>
      </c>
      <c r="B292">
        <f>IF($H292="","",INDEX(상세표[성명],$H292)&amp;"")</f>
        <v/>
      </c>
      <c r="C292">
        <f>IF($H292="","",INDEX(상세표[부서],$H292)&amp;"")</f>
        <v/>
      </c>
      <c r="D292">
        <f>IF($H292="","",IF(IFERROR(INDEX(합계표[직위(요약)],MATCH(INDEX(상세표[사번키],$H292),합계표[사번키],0))&amp;IF(INDEX(합계표[직급 공존],MATCH(INDEX(상세표[사번키],$H292),합계표[사번키],0))="",""," ("&amp;INDEX(합계표[직급 공존],MATCH(INDEX(상세표[사번키],$H292),합계표[사번키],0))&amp;")"),"")="",INDEX(상세표[직위],$H292)&amp;"",IFERROR(INDEX(합계표[직위(요약)],MATCH(INDEX(상세표[사번키],$H292),합계표[사번키],0))&amp;IF(INDEX(합계표[직급 공존],MATCH(INDEX(상세표[사번키],$H292),합계표[사번키],0))="",""," ("&amp;INDEX(합계표[직급 공존],MATCH(INDEX(상세표[사번키],$H292),합계표[사번키],0))&amp;")"),"")))</f>
        <v/>
      </c>
      <c r="E292">
        <f>IF($H292="","",COUNTIFS(상세표[사번키],INDEX(상세표[사번키],$H292),상세표[기록월],대상월키))</f>
        <v/>
      </c>
      <c r="F292" s="20">
        <f>IF($H292="","",SUMIFS(상세표[기록 시간외],상세표[사번키],INDEX(상세표[사번키],$H292),상세표[기록월],대상월키))</f>
        <v/>
      </c>
      <c r="G292" s="20">
        <f>IF($H292="","",SUMIFS(합계표[시스템 합계],합계표[사번키],INDEX(상세표[사번키],$H292)))</f>
        <v/>
      </c>
      <c r="H292" s="4">
        <f>IFERROR(MATCH(287,상세표[발송인원순번],0),"")</f>
        <v/>
      </c>
      <c r="J292">
        <f>IF($U292="","",INDEX(상세표[사번],$U292)&amp;"")</f>
        <v/>
      </c>
      <c r="K292">
        <f>IF($U292="","",INDEX(상세표[성명],$U292)&amp;"")</f>
        <v/>
      </c>
      <c r="L292">
        <f>IF($U292="","",INDEX(상세표[직위],$U292)&amp;"")</f>
        <v/>
      </c>
      <c r="M292">
        <f>IF($U292="","",IF(ISNUMBER(INDEX(상세표[근무일자],$U292)),TEXT(INDEX(상세표[근무일자],$U292),"yyyy-mm-dd"),INDEX(상세표[근무일자],$U292)&amp;""))</f>
        <v/>
      </c>
      <c r="N292">
        <f>IF($U292="","",IF(ISNUMBER(INDEX(상세표[시작],$U292)),TEXT(INDEX(상세표[시작],$U292),"yyyy-mm-dd hh:mm"),INDEX(상세표[시작],$U292)&amp;""))</f>
        <v/>
      </c>
      <c r="O292">
        <f>IF($U292="","",IF(ISNUMBER(INDEX(상세표[종료],$U292)),TEXT(INDEX(상세표[종료],$U292),"yyyy-mm-dd hh:mm"),INDEX(상세표[종료],$U292)&amp;""))</f>
        <v/>
      </c>
      <c r="P292" s="20">
        <f>IF($U292="","",INDEX(상세표[06~07시],$U292))</f>
        <v/>
      </c>
      <c r="Q292" s="20">
        <f>IF($U292="","",INDEX(상세표[07~18시],$U292))</f>
        <v/>
      </c>
      <c r="R292" s="20">
        <f>IF($U292="","",INDEX(상세표[18~22시],$U292))</f>
        <v/>
      </c>
      <c r="S292" s="20">
        <f>IF($U292="","",INDEX(상세표[22~06시],$U292))</f>
        <v/>
      </c>
      <c r="T292" s="20">
        <f>IF($U292="","",INDEX(상세표[기록 시간외],$U292))</f>
        <v/>
      </c>
      <c r="U292" s="4">
        <f>IFERROR(MATCH(287,상세표[발송순번],0),"")</f>
        <v/>
      </c>
    </row>
    <row r="293">
      <c r="A293">
        <f>IF($H293="","",INDEX(상세표[사번],$H293)&amp;"")</f>
        <v/>
      </c>
      <c r="B293">
        <f>IF($H293="","",INDEX(상세표[성명],$H293)&amp;"")</f>
        <v/>
      </c>
      <c r="C293">
        <f>IF($H293="","",INDEX(상세표[부서],$H293)&amp;"")</f>
        <v/>
      </c>
      <c r="D293">
        <f>IF($H293="","",IF(IFERROR(INDEX(합계표[직위(요약)],MATCH(INDEX(상세표[사번키],$H293),합계표[사번키],0))&amp;IF(INDEX(합계표[직급 공존],MATCH(INDEX(상세표[사번키],$H293),합계표[사번키],0))="",""," ("&amp;INDEX(합계표[직급 공존],MATCH(INDEX(상세표[사번키],$H293),합계표[사번키],0))&amp;")"),"")="",INDEX(상세표[직위],$H293)&amp;"",IFERROR(INDEX(합계표[직위(요약)],MATCH(INDEX(상세표[사번키],$H293),합계표[사번키],0))&amp;IF(INDEX(합계표[직급 공존],MATCH(INDEX(상세표[사번키],$H293),합계표[사번키],0))="",""," ("&amp;INDEX(합계표[직급 공존],MATCH(INDEX(상세표[사번키],$H293),합계표[사번키],0))&amp;")"),"")))</f>
        <v/>
      </c>
      <c r="E293">
        <f>IF($H293="","",COUNTIFS(상세표[사번키],INDEX(상세표[사번키],$H293),상세표[기록월],대상월키))</f>
        <v/>
      </c>
      <c r="F293" s="20">
        <f>IF($H293="","",SUMIFS(상세표[기록 시간외],상세표[사번키],INDEX(상세표[사번키],$H293),상세표[기록월],대상월키))</f>
        <v/>
      </c>
      <c r="G293" s="20">
        <f>IF($H293="","",SUMIFS(합계표[시스템 합계],합계표[사번키],INDEX(상세표[사번키],$H293)))</f>
        <v/>
      </c>
      <c r="H293" s="4">
        <f>IFERROR(MATCH(288,상세표[발송인원순번],0),"")</f>
        <v/>
      </c>
      <c r="J293">
        <f>IF($U293="","",INDEX(상세표[사번],$U293)&amp;"")</f>
        <v/>
      </c>
      <c r="K293">
        <f>IF($U293="","",INDEX(상세표[성명],$U293)&amp;"")</f>
        <v/>
      </c>
      <c r="L293">
        <f>IF($U293="","",INDEX(상세표[직위],$U293)&amp;"")</f>
        <v/>
      </c>
      <c r="M293">
        <f>IF($U293="","",IF(ISNUMBER(INDEX(상세표[근무일자],$U293)),TEXT(INDEX(상세표[근무일자],$U293),"yyyy-mm-dd"),INDEX(상세표[근무일자],$U293)&amp;""))</f>
        <v/>
      </c>
      <c r="N293">
        <f>IF($U293="","",IF(ISNUMBER(INDEX(상세표[시작],$U293)),TEXT(INDEX(상세표[시작],$U293),"yyyy-mm-dd hh:mm"),INDEX(상세표[시작],$U293)&amp;""))</f>
        <v/>
      </c>
      <c r="O293">
        <f>IF($U293="","",IF(ISNUMBER(INDEX(상세표[종료],$U293)),TEXT(INDEX(상세표[종료],$U293),"yyyy-mm-dd hh:mm"),INDEX(상세표[종료],$U293)&amp;""))</f>
        <v/>
      </c>
      <c r="P293" s="20">
        <f>IF($U293="","",INDEX(상세표[06~07시],$U293))</f>
        <v/>
      </c>
      <c r="Q293" s="20">
        <f>IF($U293="","",INDEX(상세표[07~18시],$U293))</f>
        <v/>
      </c>
      <c r="R293" s="20">
        <f>IF($U293="","",INDEX(상세표[18~22시],$U293))</f>
        <v/>
      </c>
      <c r="S293" s="20">
        <f>IF($U293="","",INDEX(상세표[22~06시],$U293))</f>
        <v/>
      </c>
      <c r="T293" s="20">
        <f>IF($U293="","",INDEX(상세표[기록 시간외],$U293))</f>
        <v/>
      </c>
      <c r="U293" s="4">
        <f>IFERROR(MATCH(288,상세표[발송순번],0),"")</f>
        <v/>
      </c>
    </row>
    <row r="294">
      <c r="A294">
        <f>IF($H294="","",INDEX(상세표[사번],$H294)&amp;"")</f>
        <v/>
      </c>
      <c r="B294">
        <f>IF($H294="","",INDEX(상세표[성명],$H294)&amp;"")</f>
        <v/>
      </c>
      <c r="C294">
        <f>IF($H294="","",INDEX(상세표[부서],$H294)&amp;"")</f>
        <v/>
      </c>
      <c r="D294">
        <f>IF($H294="","",IF(IFERROR(INDEX(합계표[직위(요약)],MATCH(INDEX(상세표[사번키],$H294),합계표[사번키],0))&amp;IF(INDEX(합계표[직급 공존],MATCH(INDEX(상세표[사번키],$H294),합계표[사번키],0))="",""," ("&amp;INDEX(합계표[직급 공존],MATCH(INDEX(상세표[사번키],$H294),합계표[사번키],0))&amp;")"),"")="",INDEX(상세표[직위],$H294)&amp;"",IFERROR(INDEX(합계표[직위(요약)],MATCH(INDEX(상세표[사번키],$H294),합계표[사번키],0))&amp;IF(INDEX(합계표[직급 공존],MATCH(INDEX(상세표[사번키],$H294),합계표[사번키],0))="",""," ("&amp;INDEX(합계표[직급 공존],MATCH(INDEX(상세표[사번키],$H294),합계표[사번키],0))&amp;")"),"")))</f>
        <v/>
      </c>
      <c r="E294">
        <f>IF($H294="","",COUNTIFS(상세표[사번키],INDEX(상세표[사번키],$H294),상세표[기록월],대상월키))</f>
        <v/>
      </c>
      <c r="F294" s="20">
        <f>IF($H294="","",SUMIFS(상세표[기록 시간외],상세표[사번키],INDEX(상세표[사번키],$H294),상세표[기록월],대상월키))</f>
        <v/>
      </c>
      <c r="G294" s="20">
        <f>IF($H294="","",SUMIFS(합계표[시스템 합계],합계표[사번키],INDEX(상세표[사번키],$H294)))</f>
        <v/>
      </c>
      <c r="H294" s="4">
        <f>IFERROR(MATCH(289,상세표[발송인원순번],0),"")</f>
        <v/>
      </c>
      <c r="J294">
        <f>IF($U294="","",INDEX(상세표[사번],$U294)&amp;"")</f>
        <v/>
      </c>
      <c r="K294">
        <f>IF($U294="","",INDEX(상세표[성명],$U294)&amp;"")</f>
        <v/>
      </c>
      <c r="L294">
        <f>IF($U294="","",INDEX(상세표[직위],$U294)&amp;"")</f>
        <v/>
      </c>
      <c r="M294">
        <f>IF($U294="","",IF(ISNUMBER(INDEX(상세표[근무일자],$U294)),TEXT(INDEX(상세표[근무일자],$U294),"yyyy-mm-dd"),INDEX(상세표[근무일자],$U294)&amp;""))</f>
        <v/>
      </c>
      <c r="N294">
        <f>IF($U294="","",IF(ISNUMBER(INDEX(상세표[시작],$U294)),TEXT(INDEX(상세표[시작],$U294),"yyyy-mm-dd hh:mm"),INDEX(상세표[시작],$U294)&amp;""))</f>
        <v/>
      </c>
      <c r="O294">
        <f>IF($U294="","",IF(ISNUMBER(INDEX(상세표[종료],$U294)),TEXT(INDEX(상세표[종료],$U294),"yyyy-mm-dd hh:mm"),INDEX(상세표[종료],$U294)&amp;""))</f>
        <v/>
      </c>
      <c r="P294" s="20">
        <f>IF($U294="","",INDEX(상세표[06~07시],$U294))</f>
        <v/>
      </c>
      <c r="Q294" s="20">
        <f>IF($U294="","",INDEX(상세표[07~18시],$U294))</f>
        <v/>
      </c>
      <c r="R294" s="20">
        <f>IF($U294="","",INDEX(상세표[18~22시],$U294))</f>
        <v/>
      </c>
      <c r="S294" s="20">
        <f>IF($U294="","",INDEX(상세표[22~06시],$U294))</f>
        <v/>
      </c>
      <c r="T294" s="20">
        <f>IF($U294="","",INDEX(상세표[기록 시간외],$U294))</f>
        <v/>
      </c>
      <c r="U294" s="4">
        <f>IFERROR(MATCH(289,상세표[발송순번],0),"")</f>
        <v/>
      </c>
    </row>
    <row r="295">
      <c r="A295">
        <f>IF($H295="","",INDEX(상세표[사번],$H295)&amp;"")</f>
        <v/>
      </c>
      <c r="B295">
        <f>IF($H295="","",INDEX(상세표[성명],$H295)&amp;"")</f>
        <v/>
      </c>
      <c r="C295">
        <f>IF($H295="","",INDEX(상세표[부서],$H295)&amp;"")</f>
        <v/>
      </c>
      <c r="D295">
        <f>IF($H295="","",IF(IFERROR(INDEX(합계표[직위(요약)],MATCH(INDEX(상세표[사번키],$H295),합계표[사번키],0))&amp;IF(INDEX(합계표[직급 공존],MATCH(INDEX(상세표[사번키],$H295),합계표[사번키],0))="",""," ("&amp;INDEX(합계표[직급 공존],MATCH(INDEX(상세표[사번키],$H295),합계표[사번키],0))&amp;")"),"")="",INDEX(상세표[직위],$H295)&amp;"",IFERROR(INDEX(합계표[직위(요약)],MATCH(INDEX(상세표[사번키],$H295),합계표[사번키],0))&amp;IF(INDEX(합계표[직급 공존],MATCH(INDEX(상세표[사번키],$H295),합계표[사번키],0))="",""," ("&amp;INDEX(합계표[직급 공존],MATCH(INDEX(상세표[사번키],$H295),합계표[사번키],0))&amp;")"),"")))</f>
        <v/>
      </c>
      <c r="E295">
        <f>IF($H295="","",COUNTIFS(상세표[사번키],INDEX(상세표[사번키],$H295),상세표[기록월],대상월키))</f>
        <v/>
      </c>
      <c r="F295" s="20">
        <f>IF($H295="","",SUMIFS(상세표[기록 시간외],상세표[사번키],INDEX(상세표[사번키],$H295),상세표[기록월],대상월키))</f>
        <v/>
      </c>
      <c r="G295" s="20">
        <f>IF($H295="","",SUMIFS(합계표[시스템 합계],합계표[사번키],INDEX(상세표[사번키],$H295)))</f>
        <v/>
      </c>
      <c r="H295" s="4">
        <f>IFERROR(MATCH(290,상세표[발송인원순번],0),"")</f>
        <v/>
      </c>
      <c r="J295">
        <f>IF($U295="","",INDEX(상세표[사번],$U295)&amp;"")</f>
        <v/>
      </c>
      <c r="K295">
        <f>IF($U295="","",INDEX(상세표[성명],$U295)&amp;"")</f>
        <v/>
      </c>
      <c r="L295">
        <f>IF($U295="","",INDEX(상세표[직위],$U295)&amp;"")</f>
        <v/>
      </c>
      <c r="M295">
        <f>IF($U295="","",IF(ISNUMBER(INDEX(상세표[근무일자],$U295)),TEXT(INDEX(상세표[근무일자],$U295),"yyyy-mm-dd"),INDEX(상세표[근무일자],$U295)&amp;""))</f>
        <v/>
      </c>
      <c r="N295">
        <f>IF($U295="","",IF(ISNUMBER(INDEX(상세표[시작],$U295)),TEXT(INDEX(상세표[시작],$U295),"yyyy-mm-dd hh:mm"),INDEX(상세표[시작],$U295)&amp;""))</f>
        <v/>
      </c>
      <c r="O295">
        <f>IF($U295="","",IF(ISNUMBER(INDEX(상세표[종료],$U295)),TEXT(INDEX(상세표[종료],$U295),"yyyy-mm-dd hh:mm"),INDEX(상세표[종료],$U295)&amp;""))</f>
        <v/>
      </c>
      <c r="P295" s="20">
        <f>IF($U295="","",INDEX(상세표[06~07시],$U295))</f>
        <v/>
      </c>
      <c r="Q295" s="20">
        <f>IF($U295="","",INDEX(상세표[07~18시],$U295))</f>
        <v/>
      </c>
      <c r="R295" s="20">
        <f>IF($U295="","",INDEX(상세표[18~22시],$U295))</f>
        <v/>
      </c>
      <c r="S295" s="20">
        <f>IF($U295="","",INDEX(상세표[22~06시],$U295))</f>
        <v/>
      </c>
      <c r="T295" s="20">
        <f>IF($U295="","",INDEX(상세표[기록 시간외],$U295))</f>
        <v/>
      </c>
      <c r="U295" s="4">
        <f>IFERROR(MATCH(290,상세표[발송순번],0),"")</f>
        <v/>
      </c>
    </row>
    <row r="296">
      <c r="A296">
        <f>IF($H296="","",INDEX(상세표[사번],$H296)&amp;"")</f>
        <v/>
      </c>
      <c r="B296">
        <f>IF($H296="","",INDEX(상세표[성명],$H296)&amp;"")</f>
        <v/>
      </c>
      <c r="C296">
        <f>IF($H296="","",INDEX(상세표[부서],$H296)&amp;"")</f>
        <v/>
      </c>
      <c r="D296">
        <f>IF($H296="","",IF(IFERROR(INDEX(합계표[직위(요약)],MATCH(INDEX(상세표[사번키],$H296),합계표[사번키],0))&amp;IF(INDEX(합계표[직급 공존],MATCH(INDEX(상세표[사번키],$H296),합계표[사번키],0))="",""," ("&amp;INDEX(합계표[직급 공존],MATCH(INDEX(상세표[사번키],$H296),합계표[사번키],0))&amp;")"),"")="",INDEX(상세표[직위],$H296)&amp;"",IFERROR(INDEX(합계표[직위(요약)],MATCH(INDEX(상세표[사번키],$H296),합계표[사번키],0))&amp;IF(INDEX(합계표[직급 공존],MATCH(INDEX(상세표[사번키],$H296),합계표[사번키],0))="",""," ("&amp;INDEX(합계표[직급 공존],MATCH(INDEX(상세표[사번키],$H296),합계표[사번키],0))&amp;")"),"")))</f>
        <v/>
      </c>
      <c r="E296">
        <f>IF($H296="","",COUNTIFS(상세표[사번키],INDEX(상세표[사번키],$H296),상세표[기록월],대상월키))</f>
        <v/>
      </c>
      <c r="F296" s="20">
        <f>IF($H296="","",SUMIFS(상세표[기록 시간외],상세표[사번키],INDEX(상세표[사번키],$H296),상세표[기록월],대상월키))</f>
        <v/>
      </c>
      <c r="G296" s="20">
        <f>IF($H296="","",SUMIFS(합계표[시스템 합계],합계표[사번키],INDEX(상세표[사번키],$H296)))</f>
        <v/>
      </c>
      <c r="H296" s="4">
        <f>IFERROR(MATCH(291,상세표[발송인원순번],0),"")</f>
        <v/>
      </c>
      <c r="J296">
        <f>IF($U296="","",INDEX(상세표[사번],$U296)&amp;"")</f>
        <v/>
      </c>
      <c r="K296">
        <f>IF($U296="","",INDEX(상세표[성명],$U296)&amp;"")</f>
        <v/>
      </c>
      <c r="L296">
        <f>IF($U296="","",INDEX(상세표[직위],$U296)&amp;"")</f>
        <v/>
      </c>
      <c r="M296">
        <f>IF($U296="","",IF(ISNUMBER(INDEX(상세표[근무일자],$U296)),TEXT(INDEX(상세표[근무일자],$U296),"yyyy-mm-dd"),INDEX(상세표[근무일자],$U296)&amp;""))</f>
        <v/>
      </c>
      <c r="N296">
        <f>IF($U296="","",IF(ISNUMBER(INDEX(상세표[시작],$U296)),TEXT(INDEX(상세표[시작],$U296),"yyyy-mm-dd hh:mm"),INDEX(상세표[시작],$U296)&amp;""))</f>
        <v/>
      </c>
      <c r="O296">
        <f>IF($U296="","",IF(ISNUMBER(INDEX(상세표[종료],$U296)),TEXT(INDEX(상세표[종료],$U296),"yyyy-mm-dd hh:mm"),INDEX(상세표[종료],$U296)&amp;""))</f>
        <v/>
      </c>
      <c r="P296" s="20">
        <f>IF($U296="","",INDEX(상세표[06~07시],$U296))</f>
        <v/>
      </c>
      <c r="Q296" s="20">
        <f>IF($U296="","",INDEX(상세표[07~18시],$U296))</f>
        <v/>
      </c>
      <c r="R296" s="20">
        <f>IF($U296="","",INDEX(상세표[18~22시],$U296))</f>
        <v/>
      </c>
      <c r="S296" s="20">
        <f>IF($U296="","",INDEX(상세표[22~06시],$U296))</f>
        <v/>
      </c>
      <c r="T296" s="20">
        <f>IF($U296="","",INDEX(상세표[기록 시간외],$U296))</f>
        <v/>
      </c>
      <c r="U296" s="4">
        <f>IFERROR(MATCH(291,상세표[발송순번],0),"")</f>
        <v/>
      </c>
    </row>
    <row r="297">
      <c r="A297">
        <f>IF($H297="","",INDEX(상세표[사번],$H297)&amp;"")</f>
        <v/>
      </c>
      <c r="B297">
        <f>IF($H297="","",INDEX(상세표[성명],$H297)&amp;"")</f>
        <v/>
      </c>
      <c r="C297">
        <f>IF($H297="","",INDEX(상세표[부서],$H297)&amp;"")</f>
        <v/>
      </c>
      <c r="D297">
        <f>IF($H297="","",IF(IFERROR(INDEX(합계표[직위(요약)],MATCH(INDEX(상세표[사번키],$H297),합계표[사번키],0))&amp;IF(INDEX(합계표[직급 공존],MATCH(INDEX(상세표[사번키],$H297),합계표[사번키],0))="",""," ("&amp;INDEX(합계표[직급 공존],MATCH(INDEX(상세표[사번키],$H297),합계표[사번키],0))&amp;")"),"")="",INDEX(상세표[직위],$H297)&amp;"",IFERROR(INDEX(합계표[직위(요약)],MATCH(INDEX(상세표[사번키],$H297),합계표[사번키],0))&amp;IF(INDEX(합계표[직급 공존],MATCH(INDEX(상세표[사번키],$H297),합계표[사번키],0))="",""," ("&amp;INDEX(합계표[직급 공존],MATCH(INDEX(상세표[사번키],$H297),합계표[사번키],0))&amp;")"),"")))</f>
        <v/>
      </c>
      <c r="E297">
        <f>IF($H297="","",COUNTIFS(상세표[사번키],INDEX(상세표[사번키],$H297),상세표[기록월],대상월키))</f>
        <v/>
      </c>
      <c r="F297" s="20">
        <f>IF($H297="","",SUMIFS(상세표[기록 시간외],상세표[사번키],INDEX(상세표[사번키],$H297),상세표[기록월],대상월키))</f>
        <v/>
      </c>
      <c r="G297" s="20">
        <f>IF($H297="","",SUMIFS(합계표[시스템 합계],합계표[사번키],INDEX(상세표[사번키],$H297)))</f>
        <v/>
      </c>
      <c r="H297" s="4">
        <f>IFERROR(MATCH(292,상세표[발송인원순번],0),"")</f>
        <v/>
      </c>
      <c r="J297">
        <f>IF($U297="","",INDEX(상세표[사번],$U297)&amp;"")</f>
        <v/>
      </c>
      <c r="K297">
        <f>IF($U297="","",INDEX(상세표[성명],$U297)&amp;"")</f>
        <v/>
      </c>
      <c r="L297">
        <f>IF($U297="","",INDEX(상세표[직위],$U297)&amp;"")</f>
        <v/>
      </c>
      <c r="M297">
        <f>IF($U297="","",IF(ISNUMBER(INDEX(상세표[근무일자],$U297)),TEXT(INDEX(상세표[근무일자],$U297),"yyyy-mm-dd"),INDEX(상세표[근무일자],$U297)&amp;""))</f>
        <v/>
      </c>
      <c r="N297">
        <f>IF($U297="","",IF(ISNUMBER(INDEX(상세표[시작],$U297)),TEXT(INDEX(상세표[시작],$U297),"yyyy-mm-dd hh:mm"),INDEX(상세표[시작],$U297)&amp;""))</f>
        <v/>
      </c>
      <c r="O297">
        <f>IF($U297="","",IF(ISNUMBER(INDEX(상세표[종료],$U297)),TEXT(INDEX(상세표[종료],$U297),"yyyy-mm-dd hh:mm"),INDEX(상세표[종료],$U297)&amp;""))</f>
        <v/>
      </c>
      <c r="P297" s="20">
        <f>IF($U297="","",INDEX(상세표[06~07시],$U297))</f>
        <v/>
      </c>
      <c r="Q297" s="20">
        <f>IF($U297="","",INDEX(상세표[07~18시],$U297))</f>
        <v/>
      </c>
      <c r="R297" s="20">
        <f>IF($U297="","",INDEX(상세표[18~22시],$U297))</f>
        <v/>
      </c>
      <c r="S297" s="20">
        <f>IF($U297="","",INDEX(상세표[22~06시],$U297))</f>
        <v/>
      </c>
      <c r="T297" s="20">
        <f>IF($U297="","",INDEX(상세표[기록 시간외],$U297))</f>
        <v/>
      </c>
      <c r="U297" s="4">
        <f>IFERROR(MATCH(292,상세표[발송순번],0),"")</f>
        <v/>
      </c>
    </row>
    <row r="298">
      <c r="A298">
        <f>IF($H298="","",INDEX(상세표[사번],$H298)&amp;"")</f>
        <v/>
      </c>
      <c r="B298">
        <f>IF($H298="","",INDEX(상세표[성명],$H298)&amp;"")</f>
        <v/>
      </c>
      <c r="C298">
        <f>IF($H298="","",INDEX(상세표[부서],$H298)&amp;"")</f>
        <v/>
      </c>
      <c r="D298">
        <f>IF($H298="","",IF(IFERROR(INDEX(합계표[직위(요약)],MATCH(INDEX(상세표[사번키],$H298),합계표[사번키],0))&amp;IF(INDEX(합계표[직급 공존],MATCH(INDEX(상세표[사번키],$H298),합계표[사번키],0))="",""," ("&amp;INDEX(합계표[직급 공존],MATCH(INDEX(상세표[사번키],$H298),합계표[사번키],0))&amp;")"),"")="",INDEX(상세표[직위],$H298)&amp;"",IFERROR(INDEX(합계표[직위(요약)],MATCH(INDEX(상세표[사번키],$H298),합계표[사번키],0))&amp;IF(INDEX(합계표[직급 공존],MATCH(INDEX(상세표[사번키],$H298),합계표[사번키],0))="",""," ("&amp;INDEX(합계표[직급 공존],MATCH(INDEX(상세표[사번키],$H298),합계표[사번키],0))&amp;")"),"")))</f>
        <v/>
      </c>
      <c r="E298">
        <f>IF($H298="","",COUNTIFS(상세표[사번키],INDEX(상세표[사번키],$H298),상세표[기록월],대상월키))</f>
        <v/>
      </c>
      <c r="F298" s="20">
        <f>IF($H298="","",SUMIFS(상세표[기록 시간외],상세표[사번키],INDEX(상세표[사번키],$H298),상세표[기록월],대상월키))</f>
        <v/>
      </c>
      <c r="G298" s="20">
        <f>IF($H298="","",SUMIFS(합계표[시스템 합계],합계표[사번키],INDEX(상세표[사번키],$H298)))</f>
        <v/>
      </c>
      <c r="H298" s="4">
        <f>IFERROR(MATCH(293,상세표[발송인원순번],0),"")</f>
        <v/>
      </c>
      <c r="J298">
        <f>IF($U298="","",INDEX(상세표[사번],$U298)&amp;"")</f>
        <v/>
      </c>
      <c r="K298">
        <f>IF($U298="","",INDEX(상세표[성명],$U298)&amp;"")</f>
        <v/>
      </c>
      <c r="L298">
        <f>IF($U298="","",INDEX(상세표[직위],$U298)&amp;"")</f>
        <v/>
      </c>
      <c r="M298">
        <f>IF($U298="","",IF(ISNUMBER(INDEX(상세표[근무일자],$U298)),TEXT(INDEX(상세표[근무일자],$U298),"yyyy-mm-dd"),INDEX(상세표[근무일자],$U298)&amp;""))</f>
        <v/>
      </c>
      <c r="N298">
        <f>IF($U298="","",IF(ISNUMBER(INDEX(상세표[시작],$U298)),TEXT(INDEX(상세표[시작],$U298),"yyyy-mm-dd hh:mm"),INDEX(상세표[시작],$U298)&amp;""))</f>
        <v/>
      </c>
      <c r="O298">
        <f>IF($U298="","",IF(ISNUMBER(INDEX(상세표[종료],$U298)),TEXT(INDEX(상세표[종료],$U298),"yyyy-mm-dd hh:mm"),INDEX(상세표[종료],$U298)&amp;""))</f>
        <v/>
      </c>
      <c r="P298" s="20">
        <f>IF($U298="","",INDEX(상세표[06~07시],$U298))</f>
        <v/>
      </c>
      <c r="Q298" s="20">
        <f>IF($U298="","",INDEX(상세표[07~18시],$U298))</f>
        <v/>
      </c>
      <c r="R298" s="20">
        <f>IF($U298="","",INDEX(상세표[18~22시],$U298))</f>
        <v/>
      </c>
      <c r="S298" s="20">
        <f>IF($U298="","",INDEX(상세표[22~06시],$U298))</f>
        <v/>
      </c>
      <c r="T298" s="20">
        <f>IF($U298="","",INDEX(상세표[기록 시간외],$U298))</f>
        <v/>
      </c>
      <c r="U298" s="4">
        <f>IFERROR(MATCH(293,상세표[발송순번],0),"")</f>
        <v/>
      </c>
    </row>
    <row r="299">
      <c r="A299">
        <f>IF($H299="","",INDEX(상세표[사번],$H299)&amp;"")</f>
        <v/>
      </c>
      <c r="B299">
        <f>IF($H299="","",INDEX(상세표[성명],$H299)&amp;"")</f>
        <v/>
      </c>
      <c r="C299">
        <f>IF($H299="","",INDEX(상세표[부서],$H299)&amp;"")</f>
        <v/>
      </c>
      <c r="D299">
        <f>IF($H299="","",IF(IFERROR(INDEX(합계표[직위(요약)],MATCH(INDEX(상세표[사번키],$H299),합계표[사번키],0))&amp;IF(INDEX(합계표[직급 공존],MATCH(INDEX(상세표[사번키],$H299),합계표[사번키],0))="",""," ("&amp;INDEX(합계표[직급 공존],MATCH(INDEX(상세표[사번키],$H299),합계표[사번키],0))&amp;")"),"")="",INDEX(상세표[직위],$H299)&amp;"",IFERROR(INDEX(합계표[직위(요약)],MATCH(INDEX(상세표[사번키],$H299),합계표[사번키],0))&amp;IF(INDEX(합계표[직급 공존],MATCH(INDEX(상세표[사번키],$H299),합계표[사번키],0))="",""," ("&amp;INDEX(합계표[직급 공존],MATCH(INDEX(상세표[사번키],$H299),합계표[사번키],0))&amp;")"),"")))</f>
        <v/>
      </c>
      <c r="E299">
        <f>IF($H299="","",COUNTIFS(상세표[사번키],INDEX(상세표[사번키],$H299),상세표[기록월],대상월키))</f>
        <v/>
      </c>
      <c r="F299" s="20">
        <f>IF($H299="","",SUMIFS(상세표[기록 시간외],상세표[사번키],INDEX(상세표[사번키],$H299),상세표[기록월],대상월키))</f>
        <v/>
      </c>
      <c r="G299" s="20">
        <f>IF($H299="","",SUMIFS(합계표[시스템 합계],합계표[사번키],INDEX(상세표[사번키],$H299)))</f>
        <v/>
      </c>
      <c r="H299" s="4">
        <f>IFERROR(MATCH(294,상세표[발송인원순번],0),"")</f>
        <v/>
      </c>
      <c r="J299">
        <f>IF($U299="","",INDEX(상세표[사번],$U299)&amp;"")</f>
        <v/>
      </c>
      <c r="K299">
        <f>IF($U299="","",INDEX(상세표[성명],$U299)&amp;"")</f>
        <v/>
      </c>
      <c r="L299">
        <f>IF($U299="","",INDEX(상세표[직위],$U299)&amp;"")</f>
        <v/>
      </c>
      <c r="M299">
        <f>IF($U299="","",IF(ISNUMBER(INDEX(상세표[근무일자],$U299)),TEXT(INDEX(상세표[근무일자],$U299),"yyyy-mm-dd"),INDEX(상세표[근무일자],$U299)&amp;""))</f>
        <v/>
      </c>
      <c r="N299">
        <f>IF($U299="","",IF(ISNUMBER(INDEX(상세표[시작],$U299)),TEXT(INDEX(상세표[시작],$U299),"yyyy-mm-dd hh:mm"),INDEX(상세표[시작],$U299)&amp;""))</f>
        <v/>
      </c>
      <c r="O299">
        <f>IF($U299="","",IF(ISNUMBER(INDEX(상세표[종료],$U299)),TEXT(INDEX(상세표[종료],$U299),"yyyy-mm-dd hh:mm"),INDEX(상세표[종료],$U299)&amp;""))</f>
        <v/>
      </c>
      <c r="P299" s="20">
        <f>IF($U299="","",INDEX(상세표[06~07시],$U299))</f>
        <v/>
      </c>
      <c r="Q299" s="20">
        <f>IF($U299="","",INDEX(상세표[07~18시],$U299))</f>
        <v/>
      </c>
      <c r="R299" s="20">
        <f>IF($U299="","",INDEX(상세표[18~22시],$U299))</f>
        <v/>
      </c>
      <c r="S299" s="20">
        <f>IF($U299="","",INDEX(상세표[22~06시],$U299))</f>
        <v/>
      </c>
      <c r="T299" s="20">
        <f>IF($U299="","",INDEX(상세표[기록 시간외],$U299))</f>
        <v/>
      </c>
      <c r="U299" s="4">
        <f>IFERROR(MATCH(294,상세표[발송순번],0),"")</f>
        <v/>
      </c>
    </row>
    <row r="300">
      <c r="A300">
        <f>IF($H300="","",INDEX(상세표[사번],$H300)&amp;"")</f>
        <v/>
      </c>
      <c r="B300">
        <f>IF($H300="","",INDEX(상세표[성명],$H300)&amp;"")</f>
        <v/>
      </c>
      <c r="C300">
        <f>IF($H300="","",INDEX(상세표[부서],$H300)&amp;"")</f>
        <v/>
      </c>
      <c r="D300">
        <f>IF($H300="","",IF(IFERROR(INDEX(합계표[직위(요약)],MATCH(INDEX(상세표[사번키],$H300),합계표[사번키],0))&amp;IF(INDEX(합계표[직급 공존],MATCH(INDEX(상세표[사번키],$H300),합계표[사번키],0))="",""," ("&amp;INDEX(합계표[직급 공존],MATCH(INDEX(상세표[사번키],$H300),합계표[사번키],0))&amp;")"),"")="",INDEX(상세표[직위],$H300)&amp;"",IFERROR(INDEX(합계표[직위(요약)],MATCH(INDEX(상세표[사번키],$H300),합계표[사번키],0))&amp;IF(INDEX(합계표[직급 공존],MATCH(INDEX(상세표[사번키],$H300),합계표[사번키],0))="",""," ("&amp;INDEX(합계표[직급 공존],MATCH(INDEX(상세표[사번키],$H300),합계표[사번키],0))&amp;")"),"")))</f>
        <v/>
      </c>
      <c r="E300">
        <f>IF($H300="","",COUNTIFS(상세표[사번키],INDEX(상세표[사번키],$H300),상세표[기록월],대상월키))</f>
        <v/>
      </c>
      <c r="F300" s="20">
        <f>IF($H300="","",SUMIFS(상세표[기록 시간외],상세표[사번키],INDEX(상세표[사번키],$H300),상세표[기록월],대상월키))</f>
        <v/>
      </c>
      <c r="G300" s="20">
        <f>IF($H300="","",SUMIFS(합계표[시스템 합계],합계표[사번키],INDEX(상세표[사번키],$H300)))</f>
        <v/>
      </c>
      <c r="H300" s="4">
        <f>IFERROR(MATCH(295,상세표[발송인원순번],0),"")</f>
        <v/>
      </c>
      <c r="J300">
        <f>IF($U300="","",INDEX(상세표[사번],$U300)&amp;"")</f>
        <v/>
      </c>
      <c r="K300">
        <f>IF($U300="","",INDEX(상세표[성명],$U300)&amp;"")</f>
        <v/>
      </c>
      <c r="L300">
        <f>IF($U300="","",INDEX(상세표[직위],$U300)&amp;"")</f>
        <v/>
      </c>
      <c r="M300">
        <f>IF($U300="","",IF(ISNUMBER(INDEX(상세표[근무일자],$U300)),TEXT(INDEX(상세표[근무일자],$U300),"yyyy-mm-dd"),INDEX(상세표[근무일자],$U300)&amp;""))</f>
        <v/>
      </c>
      <c r="N300">
        <f>IF($U300="","",IF(ISNUMBER(INDEX(상세표[시작],$U300)),TEXT(INDEX(상세표[시작],$U300),"yyyy-mm-dd hh:mm"),INDEX(상세표[시작],$U300)&amp;""))</f>
        <v/>
      </c>
      <c r="O300">
        <f>IF($U300="","",IF(ISNUMBER(INDEX(상세표[종료],$U300)),TEXT(INDEX(상세표[종료],$U300),"yyyy-mm-dd hh:mm"),INDEX(상세표[종료],$U300)&amp;""))</f>
        <v/>
      </c>
      <c r="P300" s="20">
        <f>IF($U300="","",INDEX(상세표[06~07시],$U300))</f>
        <v/>
      </c>
      <c r="Q300" s="20">
        <f>IF($U300="","",INDEX(상세표[07~18시],$U300))</f>
        <v/>
      </c>
      <c r="R300" s="20">
        <f>IF($U300="","",INDEX(상세표[18~22시],$U300))</f>
        <v/>
      </c>
      <c r="S300" s="20">
        <f>IF($U300="","",INDEX(상세표[22~06시],$U300))</f>
        <v/>
      </c>
      <c r="T300" s="20">
        <f>IF($U300="","",INDEX(상세표[기록 시간외],$U300))</f>
        <v/>
      </c>
      <c r="U300" s="4">
        <f>IFERROR(MATCH(295,상세표[발송순번],0),"")</f>
        <v/>
      </c>
    </row>
    <row r="301">
      <c r="A301">
        <f>IF($H301="","",INDEX(상세표[사번],$H301)&amp;"")</f>
        <v/>
      </c>
      <c r="B301">
        <f>IF($H301="","",INDEX(상세표[성명],$H301)&amp;"")</f>
        <v/>
      </c>
      <c r="C301">
        <f>IF($H301="","",INDEX(상세표[부서],$H301)&amp;"")</f>
        <v/>
      </c>
      <c r="D301">
        <f>IF($H301="","",IF(IFERROR(INDEX(합계표[직위(요약)],MATCH(INDEX(상세표[사번키],$H301),합계표[사번키],0))&amp;IF(INDEX(합계표[직급 공존],MATCH(INDEX(상세표[사번키],$H301),합계표[사번키],0))="",""," ("&amp;INDEX(합계표[직급 공존],MATCH(INDEX(상세표[사번키],$H301),합계표[사번키],0))&amp;")"),"")="",INDEX(상세표[직위],$H301)&amp;"",IFERROR(INDEX(합계표[직위(요약)],MATCH(INDEX(상세표[사번키],$H301),합계표[사번키],0))&amp;IF(INDEX(합계표[직급 공존],MATCH(INDEX(상세표[사번키],$H301),합계표[사번키],0))="",""," ("&amp;INDEX(합계표[직급 공존],MATCH(INDEX(상세표[사번키],$H301),합계표[사번키],0))&amp;")"),"")))</f>
        <v/>
      </c>
      <c r="E301">
        <f>IF($H301="","",COUNTIFS(상세표[사번키],INDEX(상세표[사번키],$H301),상세표[기록월],대상월키))</f>
        <v/>
      </c>
      <c r="F301" s="20">
        <f>IF($H301="","",SUMIFS(상세표[기록 시간외],상세표[사번키],INDEX(상세표[사번키],$H301),상세표[기록월],대상월키))</f>
        <v/>
      </c>
      <c r="G301" s="20">
        <f>IF($H301="","",SUMIFS(합계표[시스템 합계],합계표[사번키],INDEX(상세표[사번키],$H301)))</f>
        <v/>
      </c>
      <c r="H301" s="4">
        <f>IFERROR(MATCH(296,상세표[발송인원순번],0),"")</f>
        <v/>
      </c>
      <c r="J301">
        <f>IF($U301="","",INDEX(상세표[사번],$U301)&amp;"")</f>
        <v/>
      </c>
      <c r="K301">
        <f>IF($U301="","",INDEX(상세표[성명],$U301)&amp;"")</f>
        <v/>
      </c>
      <c r="L301">
        <f>IF($U301="","",INDEX(상세표[직위],$U301)&amp;"")</f>
        <v/>
      </c>
      <c r="M301">
        <f>IF($U301="","",IF(ISNUMBER(INDEX(상세표[근무일자],$U301)),TEXT(INDEX(상세표[근무일자],$U301),"yyyy-mm-dd"),INDEX(상세표[근무일자],$U301)&amp;""))</f>
        <v/>
      </c>
      <c r="N301">
        <f>IF($U301="","",IF(ISNUMBER(INDEX(상세표[시작],$U301)),TEXT(INDEX(상세표[시작],$U301),"yyyy-mm-dd hh:mm"),INDEX(상세표[시작],$U301)&amp;""))</f>
        <v/>
      </c>
      <c r="O301">
        <f>IF($U301="","",IF(ISNUMBER(INDEX(상세표[종료],$U301)),TEXT(INDEX(상세표[종료],$U301),"yyyy-mm-dd hh:mm"),INDEX(상세표[종료],$U301)&amp;""))</f>
        <v/>
      </c>
      <c r="P301" s="20">
        <f>IF($U301="","",INDEX(상세표[06~07시],$U301))</f>
        <v/>
      </c>
      <c r="Q301" s="20">
        <f>IF($U301="","",INDEX(상세표[07~18시],$U301))</f>
        <v/>
      </c>
      <c r="R301" s="20">
        <f>IF($U301="","",INDEX(상세표[18~22시],$U301))</f>
        <v/>
      </c>
      <c r="S301" s="20">
        <f>IF($U301="","",INDEX(상세표[22~06시],$U301))</f>
        <v/>
      </c>
      <c r="T301" s="20">
        <f>IF($U301="","",INDEX(상세표[기록 시간외],$U301))</f>
        <v/>
      </c>
      <c r="U301" s="4">
        <f>IFERROR(MATCH(296,상세표[발송순번],0),"")</f>
        <v/>
      </c>
    </row>
    <row r="302">
      <c r="A302">
        <f>IF($H302="","",INDEX(상세표[사번],$H302)&amp;"")</f>
        <v/>
      </c>
      <c r="B302">
        <f>IF($H302="","",INDEX(상세표[성명],$H302)&amp;"")</f>
        <v/>
      </c>
      <c r="C302">
        <f>IF($H302="","",INDEX(상세표[부서],$H302)&amp;"")</f>
        <v/>
      </c>
      <c r="D302">
        <f>IF($H302="","",IF(IFERROR(INDEX(합계표[직위(요약)],MATCH(INDEX(상세표[사번키],$H302),합계표[사번키],0))&amp;IF(INDEX(합계표[직급 공존],MATCH(INDEX(상세표[사번키],$H302),합계표[사번키],0))="",""," ("&amp;INDEX(합계표[직급 공존],MATCH(INDEX(상세표[사번키],$H302),합계표[사번키],0))&amp;")"),"")="",INDEX(상세표[직위],$H302)&amp;"",IFERROR(INDEX(합계표[직위(요약)],MATCH(INDEX(상세표[사번키],$H302),합계표[사번키],0))&amp;IF(INDEX(합계표[직급 공존],MATCH(INDEX(상세표[사번키],$H302),합계표[사번키],0))="",""," ("&amp;INDEX(합계표[직급 공존],MATCH(INDEX(상세표[사번키],$H302),합계표[사번키],0))&amp;")"),"")))</f>
        <v/>
      </c>
      <c r="E302">
        <f>IF($H302="","",COUNTIFS(상세표[사번키],INDEX(상세표[사번키],$H302),상세표[기록월],대상월키))</f>
        <v/>
      </c>
      <c r="F302" s="20">
        <f>IF($H302="","",SUMIFS(상세표[기록 시간외],상세표[사번키],INDEX(상세표[사번키],$H302),상세표[기록월],대상월키))</f>
        <v/>
      </c>
      <c r="G302" s="20">
        <f>IF($H302="","",SUMIFS(합계표[시스템 합계],합계표[사번키],INDEX(상세표[사번키],$H302)))</f>
        <v/>
      </c>
      <c r="H302" s="4">
        <f>IFERROR(MATCH(297,상세표[발송인원순번],0),"")</f>
        <v/>
      </c>
      <c r="J302">
        <f>IF($U302="","",INDEX(상세표[사번],$U302)&amp;"")</f>
        <v/>
      </c>
      <c r="K302">
        <f>IF($U302="","",INDEX(상세표[성명],$U302)&amp;"")</f>
        <v/>
      </c>
      <c r="L302">
        <f>IF($U302="","",INDEX(상세표[직위],$U302)&amp;"")</f>
        <v/>
      </c>
      <c r="M302">
        <f>IF($U302="","",IF(ISNUMBER(INDEX(상세표[근무일자],$U302)),TEXT(INDEX(상세표[근무일자],$U302),"yyyy-mm-dd"),INDEX(상세표[근무일자],$U302)&amp;""))</f>
        <v/>
      </c>
      <c r="N302">
        <f>IF($U302="","",IF(ISNUMBER(INDEX(상세표[시작],$U302)),TEXT(INDEX(상세표[시작],$U302),"yyyy-mm-dd hh:mm"),INDEX(상세표[시작],$U302)&amp;""))</f>
        <v/>
      </c>
      <c r="O302">
        <f>IF($U302="","",IF(ISNUMBER(INDEX(상세표[종료],$U302)),TEXT(INDEX(상세표[종료],$U302),"yyyy-mm-dd hh:mm"),INDEX(상세표[종료],$U302)&amp;""))</f>
        <v/>
      </c>
      <c r="P302" s="20">
        <f>IF($U302="","",INDEX(상세표[06~07시],$U302))</f>
        <v/>
      </c>
      <c r="Q302" s="20">
        <f>IF($U302="","",INDEX(상세표[07~18시],$U302))</f>
        <v/>
      </c>
      <c r="R302" s="20">
        <f>IF($U302="","",INDEX(상세표[18~22시],$U302))</f>
        <v/>
      </c>
      <c r="S302" s="20">
        <f>IF($U302="","",INDEX(상세표[22~06시],$U302))</f>
        <v/>
      </c>
      <c r="T302" s="20">
        <f>IF($U302="","",INDEX(상세표[기록 시간외],$U302))</f>
        <v/>
      </c>
      <c r="U302" s="4">
        <f>IFERROR(MATCH(297,상세표[발송순번],0),"")</f>
        <v/>
      </c>
    </row>
    <row r="303">
      <c r="A303">
        <f>IF($H303="","",INDEX(상세표[사번],$H303)&amp;"")</f>
        <v/>
      </c>
      <c r="B303">
        <f>IF($H303="","",INDEX(상세표[성명],$H303)&amp;"")</f>
        <v/>
      </c>
      <c r="C303">
        <f>IF($H303="","",INDEX(상세표[부서],$H303)&amp;"")</f>
        <v/>
      </c>
      <c r="D303">
        <f>IF($H303="","",IF(IFERROR(INDEX(합계표[직위(요약)],MATCH(INDEX(상세표[사번키],$H303),합계표[사번키],0))&amp;IF(INDEX(합계표[직급 공존],MATCH(INDEX(상세표[사번키],$H303),합계표[사번키],0))="",""," ("&amp;INDEX(합계표[직급 공존],MATCH(INDEX(상세표[사번키],$H303),합계표[사번키],0))&amp;")"),"")="",INDEX(상세표[직위],$H303)&amp;"",IFERROR(INDEX(합계표[직위(요약)],MATCH(INDEX(상세표[사번키],$H303),합계표[사번키],0))&amp;IF(INDEX(합계표[직급 공존],MATCH(INDEX(상세표[사번키],$H303),합계표[사번키],0))="",""," ("&amp;INDEX(합계표[직급 공존],MATCH(INDEX(상세표[사번키],$H303),합계표[사번키],0))&amp;")"),"")))</f>
        <v/>
      </c>
      <c r="E303">
        <f>IF($H303="","",COUNTIFS(상세표[사번키],INDEX(상세표[사번키],$H303),상세표[기록월],대상월키))</f>
        <v/>
      </c>
      <c r="F303" s="20">
        <f>IF($H303="","",SUMIFS(상세표[기록 시간외],상세표[사번키],INDEX(상세표[사번키],$H303),상세표[기록월],대상월키))</f>
        <v/>
      </c>
      <c r="G303" s="20">
        <f>IF($H303="","",SUMIFS(합계표[시스템 합계],합계표[사번키],INDEX(상세표[사번키],$H303)))</f>
        <v/>
      </c>
      <c r="H303" s="4">
        <f>IFERROR(MATCH(298,상세표[발송인원순번],0),"")</f>
        <v/>
      </c>
      <c r="J303">
        <f>IF($U303="","",INDEX(상세표[사번],$U303)&amp;"")</f>
        <v/>
      </c>
      <c r="K303">
        <f>IF($U303="","",INDEX(상세표[성명],$U303)&amp;"")</f>
        <v/>
      </c>
      <c r="L303">
        <f>IF($U303="","",INDEX(상세표[직위],$U303)&amp;"")</f>
        <v/>
      </c>
      <c r="M303">
        <f>IF($U303="","",IF(ISNUMBER(INDEX(상세표[근무일자],$U303)),TEXT(INDEX(상세표[근무일자],$U303),"yyyy-mm-dd"),INDEX(상세표[근무일자],$U303)&amp;""))</f>
        <v/>
      </c>
      <c r="N303">
        <f>IF($U303="","",IF(ISNUMBER(INDEX(상세표[시작],$U303)),TEXT(INDEX(상세표[시작],$U303),"yyyy-mm-dd hh:mm"),INDEX(상세표[시작],$U303)&amp;""))</f>
        <v/>
      </c>
      <c r="O303">
        <f>IF($U303="","",IF(ISNUMBER(INDEX(상세표[종료],$U303)),TEXT(INDEX(상세표[종료],$U303),"yyyy-mm-dd hh:mm"),INDEX(상세표[종료],$U303)&amp;""))</f>
        <v/>
      </c>
      <c r="P303" s="20">
        <f>IF($U303="","",INDEX(상세표[06~07시],$U303))</f>
        <v/>
      </c>
      <c r="Q303" s="20">
        <f>IF($U303="","",INDEX(상세표[07~18시],$U303))</f>
        <v/>
      </c>
      <c r="R303" s="20">
        <f>IF($U303="","",INDEX(상세표[18~22시],$U303))</f>
        <v/>
      </c>
      <c r="S303" s="20">
        <f>IF($U303="","",INDEX(상세표[22~06시],$U303))</f>
        <v/>
      </c>
      <c r="T303" s="20">
        <f>IF($U303="","",INDEX(상세표[기록 시간외],$U303))</f>
        <v/>
      </c>
      <c r="U303" s="4">
        <f>IFERROR(MATCH(298,상세표[발송순번],0),"")</f>
        <v/>
      </c>
    </row>
    <row r="304">
      <c r="A304">
        <f>IF($H304="","",INDEX(상세표[사번],$H304)&amp;"")</f>
        <v/>
      </c>
      <c r="B304">
        <f>IF($H304="","",INDEX(상세표[성명],$H304)&amp;"")</f>
        <v/>
      </c>
      <c r="C304">
        <f>IF($H304="","",INDEX(상세표[부서],$H304)&amp;"")</f>
        <v/>
      </c>
      <c r="D304">
        <f>IF($H304="","",IF(IFERROR(INDEX(합계표[직위(요약)],MATCH(INDEX(상세표[사번키],$H304),합계표[사번키],0))&amp;IF(INDEX(합계표[직급 공존],MATCH(INDEX(상세표[사번키],$H304),합계표[사번키],0))="",""," ("&amp;INDEX(합계표[직급 공존],MATCH(INDEX(상세표[사번키],$H304),합계표[사번키],0))&amp;")"),"")="",INDEX(상세표[직위],$H304)&amp;"",IFERROR(INDEX(합계표[직위(요약)],MATCH(INDEX(상세표[사번키],$H304),합계표[사번키],0))&amp;IF(INDEX(합계표[직급 공존],MATCH(INDEX(상세표[사번키],$H304),합계표[사번키],0))="",""," ("&amp;INDEX(합계표[직급 공존],MATCH(INDEX(상세표[사번키],$H304),합계표[사번키],0))&amp;")"),"")))</f>
        <v/>
      </c>
      <c r="E304">
        <f>IF($H304="","",COUNTIFS(상세표[사번키],INDEX(상세표[사번키],$H304),상세표[기록월],대상월키))</f>
        <v/>
      </c>
      <c r="F304" s="20">
        <f>IF($H304="","",SUMIFS(상세표[기록 시간외],상세표[사번키],INDEX(상세표[사번키],$H304),상세표[기록월],대상월키))</f>
        <v/>
      </c>
      <c r="G304" s="20">
        <f>IF($H304="","",SUMIFS(합계표[시스템 합계],합계표[사번키],INDEX(상세표[사번키],$H304)))</f>
        <v/>
      </c>
      <c r="H304" s="4">
        <f>IFERROR(MATCH(299,상세표[발송인원순번],0),"")</f>
        <v/>
      </c>
      <c r="J304">
        <f>IF($U304="","",INDEX(상세표[사번],$U304)&amp;"")</f>
        <v/>
      </c>
      <c r="K304">
        <f>IF($U304="","",INDEX(상세표[성명],$U304)&amp;"")</f>
        <v/>
      </c>
      <c r="L304">
        <f>IF($U304="","",INDEX(상세표[직위],$U304)&amp;"")</f>
        <v/>
      </c>
      <c r="M304">
        <f>IF($U304="","",IF(ISNUMBER(INDEX(상세표[근무일자],$U304)),TEXT(INDEX(상세표[근무일자],$U304),"yyyy-mm-dd"),INDEX(상세표[근무일자],$U304)&amp;""))</f>
        <v/>
      </c>
      <c r="N304">
        <f>IF($U304="","",IF(ISNUMBER(INDEX(상세표[시작],$U304)),TEXT(INDEX(상세표[시작],$U304),"yyyy-mm-dd hh:mm"),INDEX(상세표[시작],$U304)&amp;""))</f>
        <v/>
      </c>
      <c r="O304">
        <f>IF($U304="","",IF(ISNUMBER(INDEX(상세표[종료],$U304)),TEXT(INDEX(상세표[종료],$U304),"yyyy-mm-dd hh:mm"),INDEX(상세표[종료],$U304)&amp;""))</f>
        <v/>
      </c>
      <c r="P304" s="20">
        <f>IF($U304="","",INDEX(상세표[06~07시],$U304))</f>
        <v/>
      </c>
      <c r="Q304" s="20">
        <f>IF($U304="","",INDEX(상세표[07~18시],$U304))</f>
        <v/>
      </c>
      <c r="R304" s="20">
        <f>IF($U304="","",INDEX(상세표[18~22시],$U304))</f>
        <v/>
      </c>
      <c r="S304" s="20">
        <f>IF($U304="","",INDEX(상세표[22~06시],$U304))</f>
        <v/>
      </c>
      <c r="T304" s="20">
        <f>IF($U304="","",INDEX(상세표[기록 시간외],$U304))</f>
        <v/>
      </c>
      <c r="U304" s="4">
        <f>IFERROR(MATCH(299,상세표[발송순번],0),"")</f>
        <v/>
      </c>
    </row>
    <row r="305">
      <c r="A305">
        <f>IF($H305="","",INDEX(상세표[사번],$H305)&amp;"")</f>
        <v/>
      </c>
      <c r="B305">
        <f>IF($H305="","",INDEX(상세표[성명],$H305)&amp;"")</f>
        <v/>
      </c>
      <c r="C305">
        <f>IF($H305="","",INDEX(상세표[부서],$H305)&amp;"")</f>
        <v/>
      </c>
      <c r="D305">
        <f>IF($H305="","",IF(IFERROR(INDEX(합계표[직위(요약)],MATCH(INDEX(상세표[사번키],$H305),합계표[사번키],0))&amp;IF(INDEX(합계표[직급 공존],MATCH(INDEX(상세표[사번키],$H305),합계표[사번키],0))="",""," ("&amp;INDEX(합계표[직급 공존],MATCH(INDEX(상세표[사번키],$H305),합계표[사번키],0))&amp;")"),"")="",INDEX(상세표[직위],$H305)&amp;"",IFERROR(INDEX(합계표[직위(요약)],MATCH(INDEX(상세표[사번키],$H305),합계표[사번키],0))&amp;IF(INDEX(합계표[직급 공존],MATCH(INDEX(상세표[사번키],$H305),합계표[사번키],0))="",""," ("&amp;INDEX(합계표[직급 공존],MATCH(INDEX(상세표[사번키],$H305),합계표[사번키],0))&amp;")"),"")))</f>
        <v/>
      </c>
      <c r="E305">
        <f>IF($H305="","",COUNTIFS(상세표[사번키],INDEX(상세표[사번키],$H305),상세표[기록월],대상월키))</f>
        <v/>
      </c>
      <c r="F305" s="20">
        <f>IF($H305="","",SUMIFS(상세표[기록 시간외],상세표[사번키],INDEX(상세표[사번키],$H305),상세표[기록월],대상월키))</f>
        <v/>
      </c>
      <c r="G305" s="20">
        <f>IF($H305="","",SUMIFS(합계표[시스템 합계],합계표[사번키],INDEX(상세표[사번키],$H305)))</f>
        <v/>
      </c>
      <c r="H305" s="4">
        <f>IFERROR(MATCH(300,상세표[발송인원순번],0),"")</f>
        <v/>
      </c>
      <c r="J305">
        <f>IF($U305="","",INDEX(상세표[사번],$U305)&amp;"")</f>
        <v/>
      </c>
      <c r="K305">
        <f>IF($U305="","",INDEX(상세표[성명],$U305)&amp;"")</f>
        <v/>
      </c>
      <c r="L305">
        <f>IF($U305="","",INDEX(상세표[직위],$U305)&amp;"")</f>
        <v/>
      </c>
      <c r="M305">
        <f>IF($U305="","",IF(ISNUMBER(INDEX(상세표[근무일자],$U305)),TEXT(INDEX(상세표[근무일자],$U305),"yyyy-mm-dd"),INDEX(상세표[근무일자],$U305)&amp;""))</f>
        <v/>
      </c>
      <c r="N305">
        <f>IF($U305="","",IF(ISNUMBER(INDEX(상세표[시작],$U305)),TEXT(INDEX(상세표[시작],$U305),"yyyy-mm-dd hh:mm"),INDEX(상세표[시작],$U305)&amp;""))</f>
        <v/>
      </c>
      <c r="O305">
        <f>IF($U305="","",IF(ISNUMBER(INDEX(상세표[종료],$U305)),TEXT(INDEX(상세표[종료],$U305),"yyyy-mm-dd hh:mm"),INDEX(상세표[종료],$U305)&amp;""))</f>
        <v/>
      </c>
      <c r="P305" s="20">
        <f>IF($U305="","",INDEX(상세표[06~07시],$U305))</f>
        <v/>
      </c>
      <c r="Q305" s="20">
        <f>IF($U305="","",INDEX(상세표[07~18시],$U305))</f>
        <v/>
      </c>
      <c r="R305" s="20">
        <f>IF($U305="","",INDEX(상세표[18~22시],$U305))</f>
        <v/>
      </c>
      <c r="S305" s="20">
        <f>IF($U305="","",INDEX(상세표[22~06시],$U305))</f>
        <v/>
      </c>
      <c r="T305" s="20">
        <f>IF($U305="","",INDEX(상세표[기록 시간외],$U305))</f>
        <v/>
      </c>
      <c r="U305" s="4">
        <f>IFERROR(MATCH(300,상세표[발송순번],0),"")</f>
        <v/>
      </c>
    </row>
    <row r="306">
      <c r="J306">
        <f>IF($U306="","",INDEX(상세표[사번],$U306)&amp;"")</f>
        <v/>
      </c>
      <c r="K306">
        <f>IF($U306="","",INDEX(상세표[성명],$U306)&amp;"")</f>
        <v/>
      </c>
      <c r="L306">
        <f>IF($U306="","",INDEX(상세표[직위],$U306)&amp;"")</f>
        <v/>
      </c>
      <c r="M306">
        <f>IF($U306="","",IF(ISNUMBER(INDEX(상세표[근무일자],$U306)),TEXT(INDEX(상세표[근무일자],$U306),"yyyy-mm-dd"),INDEX(상세표[근무일자],$U306)&amp;""))</f>
        <v/>
      </c>
      <c r="N306">
        <f>IF($U306="","",IF(ISNUMBER(INDEX(상세표[시작],$U306)),TEXT(INDEX(상세표[시작],$U306),"yyyy-mm-dd hh:mm"),INDEX(상세표[시작],$U306)&amp;""))</f>
        <v/>
      </c>
      <c r="O306">
        <f>IF($U306="","",IF(ISNUMBER(INDEX(상세표[종료],$U306)),TEXT(INDEX(상세표[종료],$U306),"yyyy-mm-dd hh:mm"),INDEX(상세표[종료],$U306)&amp;""))</f>
        <v/>
      </c>
      <c r="P306" s="20">
        <f>IF($U306="","",INDEX(상세표[06~07시],$U306))</f>
        <v/>
      </c>
      <c r="Q306" s="20">
        <f>IF($U306="","",INDEX(상세표[07~18시],$U306))</f>
        <v/>
      </c>
      <c r="R306" s="20">
        <f>IF($U306="","",INDEX(상세표[18~22시],$U306))</f>
        <v/>
      </c>
      <c r="S306" s="20">
        <f>IF($U306="","",INDEX(상세표[22~06시],$U306))</f>
        <v/>
      </c>
      <c r="T306" s="20">
        <f>IF($U306="","",INDEX(상세표[기록 시간외],$U306))</f>
        <v/>
      </c>
      <c r="U306" s="4">
        <f>IFERROR(MATCH(301,상세표[발송순번],0),"")</f>
        <v/>
      </c>
    </row>
    <row r="307">
      <c r="J307">
        <f>IF($U307="","",INDEX(상세표[사번],$U307)&amp;"")</f>
        <v/>
      </c>
      <c r="K307">
        <f>IF($U307="","",INDEX(상세표[성명],$U307)&amp;"")</f>
        <v/>
      </c>
      <c r="L307">
        <f>IF($U307="","",INDEX(상세표[직위],$U307)&amp;"")</f>
        <v/>
      </c>
      <c r="M307">
        <f>IF($U307="","",IF(ISNUMBER(INDEX(상세표[근무일자],$U307)),TEXT(INDEX(상세표[근무일자],$U307),"yyyy-mm-dd"),INDEX(상세표[근무일자],$U307)&amp;""))</f>
        <v/>
      </c>
      <c r="N307">
        <f>IF($U307="","",IF(ISNUMBER(INDEX(상세표[시작],$U307)),TEXT(INDEX(상세표[시작],$U307),"yyyy-mm-dd hh:mm"),INDEX(상세표[시작],$U307)&amp;""))</f>
        <v/>
      </c>
      <c r="O307">
        <f>IF($U307="","",IF(ISNUMBER(INDEX(상세표[종료],$U307)),TEXT(INDEX(상세표[종료],$U307),"yyyy-mm-dd hh:mm"),INDEX(상세표[종료],$U307)&amp;""))</f>
        <v/>
      </c>
      <c r="P307" s="20">
        <f>IF($U307="","",INDEX(상세표[06~07시],$U307))</f>
        <v/>
      </c>
      <c r="Q307" s="20">
        <f>IF($U307="","",INDEX(상세표[07~18시],$U307))</f>
        <v/>
      </c>
      <c r="R307" s="20">
        <f>IF($U307="","",INDEX(상세표[18~22시],$U307))</f>
        <v/>
      </c>
      <c r="S307" s="20">
        <f>IF($U307="","",INDEX(상세표[22~06시],$U307))</f>
        <v/>
      </c>
      <c r="T307" s="20">
        <f>IF($U307="","",INDEX(상세표[기록 시간외],$U307))</f>
        <v/>
      </c>
      <c r="U307" s="4">
        <f>IFERROR(MATCH(302,상세표[발송순번],0),"")</f>
        <v/>
      </c>
    </row>
    <row r="308">
      <c r="J308">
        <f>IF($U308="","",INDEX(상세표[사번],$U308)&amp;"")</f>
        <v/>
      </c>
      <c r="K308">
        <f>IF($U308="","",INDEX(상세표[성명],$U308)&amp;"")</f>
        <v/>
      </c>
      <c r="L308">
        <f>IF($U308="","",INDEX(상세표[직위],$U308)&amp;"")</f>
        <v/>
      </c>
      <c r="M308">
        <f>IF($U308="","",IF(ISNUMBER(INDEX(상세표[근무일자],$U308)),TEXT(INDEX(상세표[근무일자],$U308),"yyyy-mm-dd"),INDEX(상세표[근무일자],$U308)&amp;""))</f>
        <v/>
      </c>
      <c r="N308">
        <f>IF($U308="","",IF(ISNUMBER(INDEX(상세표[시작],$U308)),TEXT(INDEX(상세표[시작],$U308),"yyyy-mm-dd hh:mm"),INDEX(상세표[시작],$U308)&amp;""))</f>
        <v/>
      </c>
      <c r="O308">
        <f>IF($U308="","",IF(ISNUMBER(INDEX(상세표[종료],$U308)),TEXT(INDEX(상세표[종료],$U308),"yyyy-mm-dd hh:mm"),INDEX(상세표[종료],$U308)&amp;""))</f>
        <v/>
      </c>
      <c r="P308" s="20">
        <f>IF($U308="","",INDEX(상세표[06~07시],$U308))</f>
        <v/>
      </c>
      <c r="Q308" s="20">
        <f>IF($U308="","",INDEX(상세표[07~18시],$U308))</f>
        <v/>
      </c>
      <c r="R308" s="20">
        <f>IF($U308="","",INDEX(상세표[18~22시],$U308))</f>
        <v/>
      </c>
      <c r="S308" s="20">
        <f>IF($U308="","",INDEX(상세표[22~06시],$U308))</f>
        <v/>
      </c>
      <c r="T308" s="20">
        <f>IF($U308="","",INDEX(상세표[기록 시간외],$U308))</f>
        <v/>
      </c>
      <c r="U308" s="4">
        <f>IFERROR(MATCH(303,상세표[발송순번],0),"")</f>
        <v/>
      </c>
    </row>
    <row r="309">
      <c r="J309">
        <f>IF($U309="","",INDEX(상세표[사번],$U309)&amp;"")</f>
        <v/>
      </c>
      <c r="K309">
        <f>IF($U309="","",INDEX(상세표[성명],$U309)&amp;"")</f>
        <v/>
      </c>
      <c r="L309">
        <f>IF($U309="","",INDEX(상세표[직위],$U309)&amp;"")</f>
        <v/>
      </c>
      <c r="M309">
        <f>IF($U309="","",IF(ISNUMBER(INDEX(상세표[근무일자],$U309)),TEXT(INDEX(상세표[근무일자],$U309),"yyyy-mm-dd"),INDEX(상세표[근무일자],$U309)&amp;""))</f>
        <v/>
      </c>
      <c r="N309">
        <f>IF($U309="","",IF(ISNUMBER(INDEX(상세표[시작],$U309)),TEXT(INDEX(상세표[시작],$U309),"yyyy-mm-dd hh:mm"),INDEX(상세표[시작],$U309)&amp;""))</f>
        <v/>
      </c>
      <c r="O309">
        <f>IF($U309="","",IF(ISNUMBER(INDEX(상세표[종료],$U309)),TEXT(INDEX(상세표[종료],$U309),"yyyy-mm-dd hh:mm"),INDEX(상세표[종료],$U309)&amp;""))</f>
        <v/>
      </c>
      <c r="P309" s="20">
        <f>IF($U309="","",INDEX(상세표[06~07시],$U309))</f>
        <v/>
      </c>
      <c r="Q309" s="20">
        <f>IF($U309="","",INDEX(상세표[07~18시],$U309))</f>
        <v/>
      </c>
      <c r="R309" s="20">
        <f>IF($U309="","",INDEX(상세표[18~22시],$U309))</f>
        <v/>
      </c>
      <c r="S309" s="20">
        <f>IF($U309="","",INDEX(상세표[22~06시],$U309))</f>
        <v/>
      </c>
      <c r="T309" s="20">
        <f>IF($U309="","",INDEX(상세표[기록 시간외],$U309))</f>
        <v/>
      </c>
      <c r="U309" s="4">
        <f>IFERROR(MATCH(304,상세표[발송순번],0),"")</f>
        <v/>
      </c>
    </row>
    <row r="310">
      <c r="J310">
        <f>IF($U310="","",INDEX(상세표[사번],$U310)&amp;"")</f>
        <v/>
      </c>
      <c r="K310">
        <f>IF($U310="","",INDEX(상세표[성명],$U310)&amp;"")</f>
        <v/>
      </c>
      <c r="L310">
        <f>IF($U310="","",INDEX(상세표[직위],$U310)&amp;"")</f>
        <v/>
      </c>
      <c r="M310">
        <f>IF($U310="","",IF(ISNUMBER(INDEX(상세표[근무일자],$U310)),TEXT(INDEX(상세표[근무일자],$U310),"yyyy-mm-dd"),INDEX(상세표[근무일자],$U310)&amp;""))</f>
        <v/>
      </c>
      <c r="N310">
        <f>IF($U310="","",IF(ISNUMBER(INDEX(상세표[시작],$U310)),TEXT(INDEX(상세표[시작],$U310),"yyyy-mm-dd hh:mm"),INDEX(상세표[시작],$U310)&amp;""))</f>
        <v/>
      </c>
      <c r="O310">
        <f>IF($U310="","",IF(ISNUMBER(INDEX(상세표[종료],$U310)),TEXT(INDEX(상세표[종료],$U310),"yyyy-mm-dd hh:mm"),INDEX(상세표[종료],$U310)&amp;""))</f>
        <v/>
      </c>
      <c r="P310" s="20">
        <f>IF($U310="","",INDEX(상세표[06~07시],$U310))</f>
        <v/>
      </c>
      <c r="Q310" s="20">
        <f>IF($U310="","",INDEX(상세표[07~18시],$U310))</f>
        <v/>
      </c>
      <c r="R310" s="20">
        <f>IF($U310="","",INDEX(상세표[18~22시],$U310))</f>
        <v/>
      </c>
      <c r="S310" s="20">
        <f>IF($U310="","",INDEX(상세표[22~06시],$U310))</f>
        <v/>
      </c>
      <c r="T310" s="20">
        <f>IF($U310="","",INDEX(상세표[기록 시간외],$U310))</f>
        <v/>
      </c>
      <c r="U310" s="4">
        <f>IFERROR(MATCH(305,상세표[발송순번],0),"")</f>
        <v/>
      </c>
    </row>
    <row r="311">
      <c r="J311">
        <f>IF($U311="","",INDEX(상세표[사번],$U311)&amp;"")</f>
        <v/>
      </c>
      <c r="K311">
        <f>IF($U311="","",INDEX(상세표[성명],$U311)&amp;"")</f>
        <v/>
      </c>
      <c r="L311">
        <f>IF($U311="","",INDEX(상세표[직위],$U311)&amp;"")</f>
        <v/>
      </c>
      <c r="M311">
        <f>IF($U311="","",IF(ISNUMBER(INDEX(상세표[근무일자],$U311)),TEXT(INDEX(상세표[근무일자],$U311),"yyyy-mm-dd"),INDEX(상세표[근무일자],$U311)&amp;""))</f>
        <v/>
      </c>
      <c r="N311">
        <f>IF($U311="","",IF(ISNUMBER(INDEX(상세표[시작],$U311)),TEXT(INDEX(상세표[시작],$U311),"yyyy-mm-dd hh:mm"),INDEX(상세표[시작],$U311)&amp;""))</f>
        <v/>
      </c>
      <c r="O311">
        <f>IF($U311="","",IF(ISNUMBER(INDEX(상세표[종료],$U311)),TEXT(INDEX(상세표[종료],$U311),"yyyy-mm-dd hh:mm"),INDEX(상세표[종료],$U311)&amp;""))</f>
        <v/>
      </c>
      <c r="P311" s="20">
        <f>IF($U311="","",INDEX(상세표[06~07시],$U311))</f>
        <v/>
      </c>
      <c r="Q311" s="20">
        <f>IF($U311="","",INDEX(상세표[07~18시],$U311))</f>
        <v/>
      </c>
      <c r="R311" s="20">
        <f>IF($U311="","",INDEX(상세표[18~22시],$U311))</f>
        <v/>
      </c>
      <c r="S311" s="20">
        <f>IF($U311="","",INDEX(상세표[22~06시],$U311))</f>
        <v/>
      </c>
      <c r="T311" s="20">
        <f>IF($U311="","",INDEX(상세표[기록 시간외],$U311))</f>
        <v/>
      </c>
      <c r="U311" s="4">
        <f>IFERROR(MATCH(306,상세표[발송순번],0),"")</f>
        <v/>
      </c>
    </row>
    <row r="312">
      <c r="J312">
        <f>IF($U312="","",INDEX(상세표[사번],$U312)&amp;"")</f>
        <v/>
      </c>
      <c r="K312">
        <f>IF($U312="","",INDEX(상세표[성명],$U312)&amp;"")</f>
        <v/>
      </c>
      <c r="L312">
        <f>IF($U312="","",INDEX(상세표[직위],$U312)&amp;"")</f>
        <v/>
      </c>
      <c r="M312">
        <f>IF($U312="","",IF(ISNUMBER(INDEX(상세표[근무일자],$U312)),TEXT(INDEX(상세표[근무일자],$U312),"yyyy-mm-dd"),INDEX(상세표[근무일자],$U312)&amp;""))</f>
        <v/>
      </c>
      <c r="N312">
        <f>IF($U312="","",IF(ISNUMBER(INDEX(상세표[시작],$U312)),TEXT(INDEX(상세표[시작],$U312),"yyyy-mm-dd hh:mm"),INDEX(상세표[시작],$U312)&amp;""))</f>
        <v/>
      </c>
      <c r="O312">
        <f>IF($U312="","",IF(ISNUMBER(INDEX(상세표[종료],$U312)),TEXT(INDEX(상세표[종료],$U312),"yyyy-mm-dd hh:mm"),INDEX(상세표[종료],$U312)&amp;""))</f>
        <v/>
      </c>
      <c r="P312" s="20">
        <f>IF($U312="","",INDEX(상세표[06~07시],$U312))</f>
        <v/>
      </c>
      <c r="Q312" s="20">
        <f>IF($U312="","",INDEX(상세표[07~18시],$U312))</f>
        <v/>
      </c>
      <c r="R312" s="20">
        <f>IF($U312="","",INDEX(상세표[18~22시],$U312))</f>
        <v/>
      </c>
      <c r="S312" s="20">
        <f>IF($U312="","",INDEX(상세표[22~06시],$U312))</f>
        <v/>
      </c>
      <c r="T312" s="20">
        <f>IF($U312="","",INDEX(상세표[기록 시간외],$U312))</f>
        <v/>
      </c>
      <c r="U312" s="4">
        <f>IFERROR(MATCH(307,상세표[발송순번],0),"")</f>
        <v/>
      </c>
    </row>
    <row r="313">
      <c r="J313">
        <f>IF($U313="","",INDEX(상세표[사번],$U313)&amp;"")</f>
        <v/>
      </c>
      <c r="K313">
        <f>IF($U313="","",INDEX(상세표[성명],$U313)&amp;"")</f>
        <v/>
      </c>
      <c r="L313">
        <f>IF($U313="","",INDEX(상세표[직위],$U313)&amp;"")</f>
        <v/>
      </c>
      <c r="M313">
        <f>IF($U313="","",IF(ISNUMBER(INDEX(상세표[근무일자],$U313)),TEXT(INDEX(상세표[근무일자],$U313),"yyyy-mm-dd"),INDEX(상세표[근무일자],$U313)&amp;""))</f>
        <v/>
      </c>
      <c r="N313">
        <f>IF($U313="","",IF(ISNUMBER(INDEX(상세표[시작],$U313)),TEXT(INDEX(상세표[시작],$U313),"yyyy-mm-dd hh:mm"),INDEX(상세표[시작],$U313)&amp;""))</f>
        <v/>
      </c>
      <c r="O313">
        <f>IF($U313="","",IF(ISNUMBER(INDEX(상세표[종료],$U313)),TEXT(INDEX(상세표[종료],$U313),"yyyy-mm-dd hh:mm"),INDEX(상세표[종료],$U313)&amp;""))</f>
        <v/>
      </c>
      <c r="P313" s="20">
        <f>IF($U313="","",INDEX(상세표[06~07시],$U313))</f>
        <v/>
      </c>
      <c r="Q313" s="20">
        <f>IF($U313="","",INDEX(상세표[07~18시],$U313))</f>
        <v/>
      </c>
      <c r="R313" s="20">
        <f>IF($U313="","",INDEX(상세표[18~22시],$U313))</f>
        <v/>
      </c>
      <c r="S313" s="20">
        <f>IF($U313="","",INDEX(상세표[22~06시],$U313))</f>
        <v/>
      </c>
      <c r="T313" s="20">
        <f>IF($U313="","",INDEX(상세표[기록 시간외],$U313))</f>
        <v/>
      </c>
      <c r="U313" s="4">
        <f>IFERROR(MATCH(308,상세표[발송순번],0),"")</f>
        <v/>
      </c>
    </row>
    <row r="314">
      <c r="J314">
        <f>IF($U314="","",INDEX(상세표[사번],$U314)&amp;"")</f>
        <v/>
      </c>
      <c r="K314">
        <f>IF($U314="","",INDEX(상세표[성명],$U314)&amp;"")</f>
        <v/>
      </c>
      <c r="L314">
        <f>IF($U314="","",INDEX(상세표[직위],$U314)&amp;"")</f>
        <v/>
      </c>
      <c r="M314">
        <f>IF($U314="","",IF(ISNUMBER(INDEX(상세표[근무일자],$U314)),TEXT(INDEX(상세표[근무일자],$U314),"yyyy-mm-dd"),INDEX(상세표[근무일자],$U314)&amp;""))</f>
        <v/>
      </c>
      <c r="N314">
        <f>IF($U314="","",IF(ISNUMBER(INDEX(상세표[시작],$U314)),TEXT(INDEX(상세표[시작],$U314),"yyyy-mm-dd hh:mm"),INDEX(상세표[시작],$U314)&amp;""))</f>
        <v/>
      </c>
      <c r="O314">
        <f>IF($U314="","",IF(ISNUMBER(INDEX(상세표[종료],$U314)),TEXT(INDEX(상세표[종료],$U314),"yyyy-mm-dd hh:mm"),INDEX(상세표[종료],$U314)&amp;""))</f>
        <v/>
      </c>
      <c r="P314" s="20">
        <f>IF($U314="","",INDEX(상세표[06~07시],$U314))</f>
        <v/>
      </c>
      <c r="Q314" s="20">
        <f>IF($U314="","",INDEX(상세표[07~18시],$U314))</f>
        <v/>
      </c>
      <c r="R314" s="20">
        <f>IF($U314="","",INDEX(상세표[18~22시],$U314))</f>
        <v/>
      </c>
      <c r="S314" s="20">
        <f>IF($U314="","",INDEX(상세표[22~06시],$U314))</f>
        <v/>
      </c>
      <c r="T314" s="20">
        <f>IF($U314="","",INDEX(상세표[기록 시간외],$U314))</f>
        <v/>
      </c>
      <c r="U314" s="4">
        <f>IFERROR(MATCH(309,상세표[발송순번],0),"")</f>
        <v/>
      </c>
    </row>
    <row r="315">
      <c r="J315">
        <f>IF($U315="","",INDEX(상세표[사번],$U315)&amp;"")</f>
        <v/>
      </c>
      <c r="K315">
        <f>IF($U315="","",INDEX(상세표[성명],$U315)&amp;"")</f>
        <v/>
      </c>
      <c r="L315">
        <f>IF($U315="","",INDEX(상세표[직위],$U315)&amp;"")</f>
        <v/>
      </c>
      <c r="M315">
        <f>IF($U315="","",IF(ISNUMBER(INDEX(상세표[근무일자],$U315)),TEXT(INDEX(상세표[근무일자],$U315),"yyyy-mm-dd"),INDEX(상세표[근무일자],$U315)&amp;""))</f>
        <v/>
      </c>
      <c r="N315">
        <f>IF($U315="","",IF(ISNUMBER(INDEX(상세표[시작],$U315)),TEXT(INDEX(상세표[시작],$U315),"yyyy-mm-dd hh:mm"),INDEX(상세표[시작],$U315)&amp;""))</f>
        <v/>
      </c>
      <c r="O315">
        <f>IF($U315="","",IF(ISNUMBER(INDEX(상세표[종료],$U315)),TEXT(INDEX(상세표[종료],$U315),"yyyy-mm-dd hh:mm"),INDEX(상세표[종료],$U315)&amp;""))</f>
        <v/>
      </c>
      <c r="P315" s="20">
        <f>IF($U315="","",INDEX(상세표[06~07시],$U315))</f>
        <v/>
      </c>
      <c r="Q315" s="20">
        <f>IF($U315="","",INDEX(상세표[07~18시],$U315))</f>
        <v/>
      </c>
      <c r="R315" s="20">
        <f>IF($U315="","",INDEX(상세표[18~22시],$U315))</f>
        <v/>
      </c>
      <c r="S315" s="20">
        <f>IF($U315="","",INDEX(상세표[22~06시],$U315))</f>
        <v/>
      </c>
      <c r="T315" s="20">
        <f>IF($U315="","",INDEX(상세표[기록 시간외],$U315))</f>
        <v/>
      </c>
      <c r="U315" s="4">
        <f>IFERROR(MATCH(310,상세표[발송순번],0),"")</f>
        <v/>
      </c>
    </row>
    <row r="316">
      <c r="J316">
        <f>IF($U316="","",INDEX(상세표[사번],$U316)&amp;"")</f>
        <v/>
      </c>
      <c r="K316">
        <f>IF($U316="","",INDEX(상세표[성명],$U316)&amp;"")</f>
        <v/>
      </c>
      <c r="L316">
        <f>IF($U316="","",INDEX(상세표[직위],$U316)&amp;"")</f>
        <v/>
      </c>
      <c r="M316">
        <f>IF($U316="","",IF(ISNUMBER(INDEX(상세표[근무일자],$U316)),TEXT(INDEX(상세표[근무일자],$U316),"yyyy-mm-dd"),INDEX(상세표[근무일자],$U316)&amp;""))</f>
        <v/>
      </c>
      <c r="N316">
        <f>IF($U316="","",IF(ISNUMBER(INDEX(상세표[시작],$U316)),TEXT(INDEX(상세표[시작],$U316),"yyyy-mm-dd hh:mm"),INDEX(상세표[시작],$U316)&amp;""))</f>
        <v/>
      </c>
      <c r="O316">
        <f>IF($U316="","",IF(ISNUMBER(INDEX(상세표[종료],$U316)),TEXT(INDEX(상세표[종료],$U316),"yyyy-mm-dd hh:mm"),INDEX(상세표[종료],$U316)&amp;""))</f>
        <v/>
      </c>
      <c r="P316" s="20">
        <f>IF($U316="","",INDEX(상세표[06~07시],$U316))</f>
        <v/>
      </c>
      <c r="Q316" s="20">
        <f>IF($U316="","",INDEX(상세표[07~18시],$U316))</f>
        <v/>
      </c>
      <c r="R316" s="20">
        <f>IF($U316="","",INDEX(상세표[18~22시],$U316))</f>
        <v/>
      </c>
      <c r="S316" s="20">
        <f>IF($U316="","",INDEX(상세표[22~06시],$U316))</f>
        <v/>
      </c>
      <c r="T316" s="20">
        <f>IF($U316="","",INDEX(상세표[기록 시간외],$U316))</f>
        <v/>
      </c>
      <c r="U316" s="4">
        <f>IFERROR(MATCH(311,상세표[발송순번],0),"")</f>
        <v/>
      </c>
    </row>
    <row r="317">
      <c r="J317">
        <f>IF($U317="","",INDEX(상세표[사번],$U317)&amp;"")</f>
        <v/>
      </c>
      <c r="K317">
        <f>IF($U317="","",INDEX(상세표[성명],$U317)&amp;"")</f>
        <v/>
      </c>
      <c r="L317">
        <f>IF($U317="","",INDEX(상세표[직위],$U317)&amp;"")</f>
        <v/>
      </c>
      <c r="M317">
        <f>IF($U317="","",IF(ISNUMBER(INDEX(상세표[근무일자],$U317)),TEXT(INDEX(상세표[근무일자],$U317),"yyyy-mm-dd"),INDEX(상세표[근무일자],$U317)&amp;""))</f>
        <v/>
      </c>
      <c r="N317">
        <f>IF($U317="","",IF(ISNUMBER(INDEX(상세표[시작],$U317)),TEXT(INDEX(상세표[시작],$U317),"yyyy-mm-dd hh:mm"),INDEX(상세표[시작],$U317)&amp;""))</f>
        <v/>
      </c>
      <c r="O317">
        <f>IF($U317="","",IF(ISNUMBER(INDEX(상세표[종료],$U317)),TEXT(INDEX(상세표[종료],$U317),"yyyy-mm-dd hh:mm"),INDEX(상세표[종료],$U317)&amp;""))</f>
        <v/>
      </c>
      <c r="P317" s="20">
        <f>IF($U317="","",INDEX(상세표[06~07시],$U317))</f>
        <v/>
      </c>
      <c r="Q317" s="20">
        <f>IF($U317="","",INDEX(상세표[07~18시],$U317))</f>
        <v/>
      </c>
      <c r="R317" s="20">
        <f>IF($U317="","",INDEX(상세표[18~22시],$U317))</f>
        <v/>
      </c>
      <c r="S317" s="20">
        <f>IF($U317="","",INDEX(상세표[22~06시],$U317))</f>
        <v/>
      </c>
      <c r="T317" s="20">
        <f>IF($U317="","",INDEX(상세표[기록 시간외],$U317))</f>
        <v/>
      </c>
      <c r="U317" s="4">
        <f>IFERROR(MATCH(312,상세표[발송순번],0),"")</f>
        <v/>
      </c>
    </row>
    <row r="318">
      <c r="J318">
        <f>IF($U318="","",INDEX(상세표[사번],$U318)&amp;"")</f>
        <v/>
      </c>
      <c r="K318">
        <f>IF($U318="","",INDEX(상세표[성명],$U318)&amp;"")</f>
        <v/>
      </c>
      <c r="L318">
        <f>IF($U318="","",INDEX(상세표[직위],$U318)&amp;"")</f>
        <v/>
      </c>
      <c r="M318">
        <f>IF($U318="","",IF(ISNUMBER(INDEX(상세표[근무일자],$U318)),TEXT(INDEX(상세표[근무일자],$U318),"yyyy-mm-dd"),INDEX(상세표[근무일자],$U318)&amp;""))</f>
        <v/>
      </c>
      <c r="N318">
        <f>IF($U318="","",IF(ISNUMBER(INDEX(상세표[시작],$U318)),TEXT(INDEX(상세표[시작],$U318),"yyyy-mm-dd hh:mm"),INDEX(상세표[시작],$U318)&amp;""))</f>
        <v/>
      </c>
      <c r="O318">
        <f>IF($U318="","",IF(ISNUMBER(INDEX(상세표[종료],$U318)),TEXT(INDEX(상세표[종료],$U318),"yyyy-mm-dd hh:mm"),INDEX(상세표[종료],$U318)&amp;""))</f>
        <v/>
      </c>
      <c r="P318" s="20">
        <f>IF($U318="","",INDEX(상세표[06~07시],$U318))</f>
        <v/>
      </c>
      <c r="Q318" s="20">
        <f>IF($U318="","",INDEX(상세표[07~18시],$U318))</f>
        <v/>
      </c>
      <c r="R318" s="20">
        <f>IF($U318="","",INDEX(상세표[18~22시],$U318))</f>
        <v/>
      </c>
      <c r="S318" s="20">
        <f>IF($U318="","",INDEX(상세표[22~06시],$U318))</f>
        <v/>
      </c>
      <c r="T318" s="20">
        <f>IF($U318="","",INDEX(상세표[기록 시간외],$U318))</f>
        <v/>
      </c>
      <c r="U318" s="4">
        <f>IFERROR(MATCH(313,상세표[발송순번],0),"")</f>
        <v/>
      </c>
    </row>
    <row r="319">
      <c r="J319">
        <f>IF($U319="","",INDEX(상세표[사번],$U319)&amp;"")</f>
        <v/>
      </c>
      <c r="K319">
        <f>IF($U319="","",INDEX(상세표[성명],$U319)&amp;"")</f>
        <v/>
      </c>
      <c r="L319">
        <f>IF($U319="","",INDEX(상세표[직위],$U319)&amp;"")</f>
        <v/>
      </c>
      <c r="M319">
        <f>IF($U319="","",IF(ISNUMBER(INDEX(상세표[근무일자],$U319)),TEXT(INDEX(상세표[근무일자],$U319),"yyyy-mm-dd"),INDEX(상세표[근무일자],$U319)&amp;""))</f>
        <v/>
      </c>
      <c r="N319">
        <f>IF($U319="","",IF(ISNUMBER(INDEX(상세표[시작],$U319)),TEXT(INDEX(상세표[시작],$U319),"yyyy-mm-dd hh:mm"),INDEX(상세표[시작],$U319)&amp;""))</f>
        <v/>
      </c>
      <c r="O319">
        <f>IF($U319="","",IF(ISNUMBER(INDEX(상세표[종료],$U319)),TEXT(INDEX(상세표[종료],$U319),"yyyy-mm-dd hh:mm"),INDEX(상세표[종료],$U319)&amp;""))</f>
        <v/>
      </c>
      <c r="P319" s="20">
        <f>IF($U319="","",INDEX(상세표[06~07시],$U319))</f>
        <v/>
      </c>
      <c r="Q319" s="20">
        <f>IF($U319="","",INDEX(상세표[07~18시],$U319))</f>
        <v/>
      </c>
      <c r="R319" s="20">
        <f>IF($U319="","",INDEX(상세표[18~22시],$U319))</f>
        <v/>
      </c>
      <c r="S319" s="20">
        <f>IF($U319="","",INDEX(상세표[22~06시],$U319))</f>
        <v/>
      </c>
      <c r="T319" s="20">
        <f>IF($U319="","",INDEX(상세표[기록 시간외],$U319))</f>
        <v/>
      </c>
      <c r="U319" s="4">
        <f>IFERROR(MATCH(314,상세표[발송순번],0),"")</f>
        <v/>
      </c>
    </row>
    <row r="320">
      <c r="J320">
        <f>IF($U320="","",INDEX(상세표[사번],$U320)&amp;"")</f>
        <v/>
      </c>
      <c r="K320">
        <f>IF($U320="","",INDEX(상세표[성명],$U320)&amp;"")</f>
        <v/>
      </c>
      <c r="L320">
        <f>IF($U320="","",INDEX(상세표[직위],$U320)&amp;"")</f>
        <v/>
      </c>
      <c r="M320">
        <f>IF($U320="","",IF(ISNUMBER(INDEX(상세표[근무일자],$U320)),TEXT(INDEX(상세표[근무일자],$U320),"yyyy-mm-dd"),INDEX(상세표[근무일자],$U320)&amp;""))</f>
        <v/>
      </c>
      <c r="N320">
        <f>IF($U320="","",IF(ISNUMBER(INDEX(상세표[시작],$U320)),TEXT(INDEX(상세표[시작],$U320),"yyyy-mm-dd hh:mm"),INDEX(상세표[시작],$U320)&amp;""))</f>
        <v/>
      </c>
      <c r="O320">
        <f>IF($U320="","",IF(ISNUMBER(INDEX(상세표[종료],$U320)),TEXT(INDEX(상세표[종료],$U320),"yyyy-mm-dd hh:mm"),INDEX(상세표[종료],$U320)&amp;""))</f>
        <v/>
      </c>
      <c r="P320" s="20">
        <f>IF($U320="","",INDEX(상세표[06~07시],$U320))</f>
        <v/>
      </c>
      <c r="Q320" s="20">
        <f>IF($U320="","",INDEX(상세표[07~18시],$U320))</f>
        <v/>
      </c>
      <c r="R320" s="20">
        <f>IF($U320="","",INDEX(상세표[18~22시],$U320))</f>
        <v/>
      </c>
      <c r="S320" s="20">
        <f>IF($U320="","",INDEX(상세표[22~06시],$U320))</f>
        <v/>
      </c>
      <c r="T320" s="20">
        <f>IF($U320="","",INDEX(상세표[기록 시간외],$U320))</f>
        <v/>
      </c>
      <c r="U320" s="4">
        <f>IFERROR(MATCH(315,상세표[발송순번],0),"")</f>
        <v/>
      </c>
    </row>
    <row r="321">
      <c r="J321">
        <f>IF($U321="","",INDEX(상세표[사번],$U321)&amp;"")</f>
        <v/>
      </c>
      <c r="K321">
        <f>IF($U321="","",INDEX(상세표[성명],$U321)&amp;"")</f>
        <v/>
      </c>
      <c r="L321">
        <f>IF($U321="","",INDEX(상세표[직위],$U321)&amp;"")</f>
        <v/>
      </c>
      <c r="M321">
        <f>IF($U321="","",IF(ISNUMBER(INDEX(상세표[근무일자],$U321)),TEXT(INDEX(상세표[근무일자],$U321),"yyyy-mm-dd"),INDEX(상세표[근무일자],$U321)&amp;""))</f>
        <v/>
      </c>
      <c r="N321">
        <f>IF($U321="","",IF(ISNUMBER(INDEX(상세표[시작],$U321)),TEXT(INDEX(상세표[시작],$U321),"yyyy-mm-dd hh:mm"),INDEX(상세표[시작],$U321)&amp;""))</f>
        <v/>
      </c>
      <c r="O321">
        <f>IF($U321="","",IF(ISNUMBER(INDEX(상세표[종료],$U321)),TEXT(INDEX(상세표[종료],$U321),"yyyy-mm-dd hh:mm"),INDEX(상세표[종료],$U321)&amp;""))</f>
        <v/>
      </c>
      <c r="P321" s="20">
        <f>IF($U321="","",INDEX(상세표[06~07시],$U321))</f>
        <v/>
      </c>
      <c r="Q321" s="20">
        <f>IF($U321="","",INDEX(상세표[07~18시],$U321))</f>
        <v/>
      </c>
      <c r="R321" s="20">
        <f>IF($U321="","",INDEX(상세표[18~22시],$U321))</f>
        <v/>
      </c>
      <c r="S321" s="20">
        <f>IF($U321="","",INDEX(상세표[22~06시],$U321))</f>
        <v/>
      </c>
      <c r="T321" s="20">
        <f>IF($U321="","",INDEX(상세표[기록 시간외],$U321))</f>
        <v/>
      </c>
      <c r="U321" s="4">
        <f>IFERROR(MATCH(316,상세표[발송순번],0),"")</f>
        <v/>
      </c>
    </row>
    <row r="322">
      <c r="J322">
        <f>IF($U322="","",INDEX(상세표[사번],$U322)&amp;"")</f>
        <v/>
      </c>
      <c r="K322">
        <f>IF($U322="","",INDEX(상세표[성명],$U322)&amp;"")</f>
        <v/>
      </c>
      <c r="L322">
        <f>IF($U322="","",INDEX(상세표[직위],$U322)&amp;"")</f>
        <v/>
      </c>
      <c r="M322">
        <f>IF($U322="","",IF(ISNUMBER(INDEX(상세표[근무일자],$U322)),TEXT(INDEX(상세표[근무일자],$U322),"yyyy-mm-dd"),INDEX(상세표[근무일자],$U322)&amp;""))</f>
        <v/>
      </c>
      <c r="N322">
        <f>IF($U322="","",IF(ISNUMBER(INDEX(상세표[시작],$U322)),TEXT(INDEX(상세표[시작],$U322),"yyyy-mm-dd hh:mm"),INDEX(상세표[시작],$U322)&amp;""))</f>
        <v/>
      </c>
      <c r="O322">
        <f>IF($U322="","",IF(ISNUMBER(INDEX(상세표[종료],$U322)),TEXT(INDEX(상세표[종료],$U322),"yyyy-mm-dd hh:mm"),INDEX(상세표[종료],$U322)&amp;""))</f>
        <v/>
      </c>
      <c r="P322" s="20">
        <f>IF($U322="","",INDEX(상세표[06~07시],$U322))</f>
        <v/>
      </c>
      <c r="Q322" s="20">
        <f>IF($U322="","",INDEX(상세표[07~18시],$U322))</f>
        <v/>
      </c>
      <c r="R322" s="20">
        <f>IF($U322="","",INDEX(상세표[18~22시],$U322))</f>
        <v/>
      </c>
      <c r="S322" s="20">
        <f>IF($U322="","",INDEX(상세표[22~06시],$U322))</f>
        <v/>
      </c>
      <c r="T322" s="20">
        <f>IF($U322="","",INDEX(상세표[기록 시간외],$U322))</f>
        <v/>
      </c>
      <c r="U322" s="4">
        <f>IFERROR(MATCH(317,상세표[발송순번],0),"")</f>
        <v/>
      </c>
    </row>
    <row r="323">
      <c r="J323">
        <f>IF($U323="","",INDEX(상세표[사번],$U323)&amp;"")</f>
        <v/>
      </c>
      <c r="K323">
        <f>IF($U323="","",INDEX(상세표[성명],$U323)&amp;"")</f>
        <v/>
      </c>
      <c r="L323">
        <f>IF($U323="","",INDEX(상세표[직위],$U323)&amp;"")</f>
        <v/>
      </c>
      <c r="M323">
        <f>IF($U323="","",IF(ISNUMBER(INDEX(상세표[근무일자],$U323)),TEXT(INDEX(상세표[근무일자],$U323),"yyyy-mm-dd"),INDEX(상세표[근무일자],$U323)&amp;""))</f>
        <v/>
      </c>
      <c r="N323">
        <f>IF($U323="","",IF(ISNUMBER(INDEX(상세표[시작],$U323)),TEXT(INDEX(상세표[시작],$U323),"yyyy-mm-dd hh:mm"),INDEX(상세표[시작],$U323)&amp;""))</f>
        <v/>
      </c>
      <c r="O323">
        <f>IF($U323="","",IF(ISNUMBER(INDEX(상세표[종료],$U323)),TEXT(INDEX(상세표[종료],$U323),"yyyy-mm-dd hh:mm"),INDEX(상세표[종료],$U323)&amp;""))</f>
        <v/>
      </c>
      <c r="P323" s="20">
        <f>IF($U323="","",INDEX(상세표[06~07시],$U323))</f>
        <v/>
      </c>
      <c r="Q323" s="20">
        <f>IF($U323="","",INDEX(상세표[07~18시],$U323))</f>
        <v/>
      </c>
      <c r="R323" s="20">
        <f>IF($U323="","",INDEX(상세표[18~22시],$U323))</f>
        <v/>
      </c>
      <c r="S323" s="20">
        <f>IF($U323="","",INDEX(상세표[22~06시],$U323))</f>
        <v/>
      </c>
      <c r="T323" s="20">
        <f>IF($U323="","",INDEX(상세표[기록 시간외],$U323))</f>
        <v/>
      </c>
      <c r="U323" s="4">
        <f>IFERROR(MATCH(318,상세표[발송순번],0),"")</f>
        <v/>
      </c>
    </row>
    <row r="324">
      <c r="J324">
        <f>IF($U324="","",INDEX(상세표[사번],$U324)&amp;"")</f>
        <v/>
      </c>
      <c r="K324">
        <f>IF($U324="","",INDEX(상세표[성명],$U324)&amp;"")</f>
        <v/>
      </c>
      <c r="L324">
        <f>IF($U324="","",INDEX(상세표[직위],$U324)&amp;"")</f>
        <v/>
      </c>
      <c r="M324">
        <f>IF($U324="","",IF(ISNUMBER(INDEX(상세표[근무일자],$U324)),TEXT(INDEX(상세표[근무일자],$U324),"yyyy-mm-dd"),INDEX(상세표[근무일자],$U324)&amp;""))</f>
        <v/>
      </c>
      <c r="N324">
        <f>IF($U324="","",IF(ISNUMBER(INDEX(상세표[시작],$U324)),TEXT(INDEX(상세표[시작],$U324),"yyyy-mm-dd hh:mm"),INDEX(상세표[시작],$U324)&amp;""))</f>
        <v/>
      </c>
      <c r="O324">
        <f>IF($U324="","",IF(ISNUMBER(INDEX(상세표[종료],$U324)),TEXT(INDEX(상세표[종료],$U324),"yyyy-mm-dd hh:mm"),INDEX(상세표[종료],$U324)&amp;""))</f>
        <v/>
      </c>
      <c r="P324" s="20">
        <f>IF($U324="","",INDEX(상세표[06~07시],$U324))</f>
        <v/>
      </c>
      <c r="Q324" s="20">
        <f>IF($U324="","",INDEX(상세표[07~18시],$U324))</f>
        <v/>
      </c>
      <c r="R324" s="20">
        <f>IF($U324="","",INDEX(상세표[18~22시],$U324))</f>
        <v/>
      </c>
      <c r="S324" s="20">
        <f>IF($U324="","",INDEX(상세표[22~06시],$U324))</f>
        <v/>
      </c>
      <c r="T324" s="20">
        <f>IF($U324="","",INDEX(상세표[기록 시간외],$U324))</f>
        <v/>
      </c>
      <c r="U324" s="4">
        <f>IFERROR(MATCH(319,상세표[발송순번],0),"")</f>
        <v/>
      </c>
    </row>
    <row r="325">
      <c r="J325">
        <f>IF($U325="","",INDEX(상세표[사번],$U325)&amp;"")</f>
        <v/>
      </c>
      <c r="K325">
        <f>IF($U325="","",INDEX(상세표[성명],$U325)&amp;"")</f>
        <v/>
      </c>
      <c r="L325">
        <f>IF($U325="","",INDEX(상세표[직위],$U325)&amp;"")</f>
        <v/>
      </c>
      <c r="M325">
        <f>IF($U325="","",IF(ISNUMBER(INDEX(상세표[근무일자],$U325)),TEXT(INDEX(상세표[근무일자],$U325),"yyyy-mm-dd"),INDEX(상세표[근무일자],$U325)&amp;""))</f>
        <v/>
      </c>
      <c r="N325">
        <f>IF($U325="","",IF(ISNUMBER(INDEX(상세표[시작],$U325)),TEXT(INDEX(상세표[시작],$U325),"yyyy-mm-dd hh:mm"),INDEX(상세표[시작],$U325)&amp;""))</f>
        <v/>
      </c>
      <c r="O325">
        <f>IF($U325="","",IF(ISNUMBER(INDEX(상세표[종료],$U325)),TEXT(INDEX(상세표[종료],$U325),"yyyy-mm-dd hh:mm"),INDEX(상세표[종료],$U325)&amp;""))</f>
        <v/>
      </c>
      <c r="P325" s="20">
        <f>IF($U325="","",INDEX(상세표[06~07시],$U325))</f>
        <v/>
      </c>
      <c r="Q325" s="20">
        <f>IF($U325="","",INDEX(상세표[07~18시],$U325))</f>
        <v/>
      </c>
      <c r="R325" s="20">
        <f>IF($U325="","",INDEX(상세표[18~22시],$U325))</f>
        <v/>
      </c>
      <c r="S325" s="20">
        <f>IF($U325="","",INDEX(상세표[22~06시],$U325))</f>
        <v/>
      </c>
      <c r="T325" s="20">
        <f>IF($U325="","",INDEX(상세표[기록 시간외],$U325))</f>
        <v/>
      </c>
      <c r="U325" s="4">
        <f>IFERROR(MATCH(320,상세표[발송순번],0),"")</f>
        <v/>
      </c>
    </row>
    <row r="326">
      <c r="J326">
        <f>IF($U326="","",INDEX(상세표[사번],$U326)&amp;"")</f>
        <v/>
      </c>
      <c r="K326">
        <f>IF($U326="","",INDEX(상세표[성명],$U326)&amp;"")</f>
        <v/>
      </c>
      <c r="L326">
        <f>IF($U326="","",INDEX(상세표[직위],$U326)&amp;"")</f>
        <v/>
      </c>
      <c r="M326">
        <f>IF($U326="","",IF(ISNUMBER(INDEX(상세표[근무일자],$U326)),TEXT(INDEX(상세표[근무일자],$U326),"yyyy-mm-dd"),INDEX(상세표[근무일자],$U326)&amp;""))</f>
        <v/>
      </c>
      <c r="N326">
        <f>IF($U326="","",IF(ISNUMBER(INDEX(상세표[시작],$U326)),TEXT(INDEX(상세표[시작],$U326),"yyyy-mm-dd hh:mm"),INDEX(상세표[시작],$U326)&amp;""))</f>
        <v/>
      </c>
      <c r="O326">
        <f>IF($U326="","",IF(ISNUMBER(INDEX(상세표[종료],$U326)),TEXT(INDEX(상세표[종료],$U326),"yyyy-mm-dd hh:mm"),INDEX(상세표[종료],$U326)&amp;""))</f>
        <v/>
      </c>
      <c r="P326" s="20">
        <f>IF($U326="","",INDEX(상세표[06~07시],$U326))</f>
        <v/>
      </c>
      <c r="Q326" s="20">
        <f>IF($U326="","",INDEX(상세표[07~18시],$U326))</f>
        <v/>
      </c>
      <c r="R326" s="20">
        <f>IF($U326="","",INDEX(상세표[18~22시],$U326))</f>
        <v/>
      </c>
      <c r="S326" s="20">
        <f>IF($U326="","",INDEX(상세표[22~06시],$U326))</f>
        <v/>
      </c>
      <c r="T326" s="20">
        <f>IF($U326="","",INDEX(상세표[기록 시간외],$U326))</f>
        <v/>
      </c>
      <c r="U326" s="4">
        <f>IFERROR(MATCH(321,상세표[발송순번],0),"")</f>
        <v/>
      </c>
    </row>
    <row r="327">
      <c r="J327">
        <f>IF($U327="","",INDEX(상세표[사번],$U327)&amp;"")</f>
        <v/>
      </c>
      <c r="K327">
        <f>IF($U327="","",INDEX(상세표[성명],$U327)&amp;"")</f>
        <v/>
      </c>
      <c r="L327">
        <f>IF($U327="","",INDEX(상세표[직위],$U327)&amp;"")</f>
        <v/>
      </c>
      <c r="M327">
        <f>IF($U327="","",IF(ISNUMBER(INDEX(상세표[근무일자],$U327)),TEXT(INDEX(상세표[근무일자],$U327),"yyyy-mm-dd"),INDEX(상세표[근무일자],$U327)&amp;""))</f>
        <v/>
      </c>
      <c r="N327">
        <f>IF($U327="","",IF(ISNUMBER(INDEX(상세표[시작],$U327)),TEXT(INDEX(상세표[시작],$U327),"yyyy-mm-dd hh:mm"),INDEX(상세표[시작],$U327)&amp;""))</f>
        <v/>
      </c>
      <c r="O327">
        <f>IF($U327="","",IF(ISNUMBER(INDEX(상세표[종료],$U327)),TEXT(INDEX(상세표[종료],$U327),"yyyy-mm-dd hh:mm"),INDEX(상세표[종료],$U327)&amp;""))</f>
        <v/>
      </c>
      <c r="P327" s="20">
        <f>IF($U327="","",INDEX(상세표[06~07시],$U327))</f>
        <v/>
      </c>
      <c r="Q327" s="20">
        <f>IF($U327="","",INDEX(상세표[07~18시],$U327))</f>
        <v/>
      </c>
      <c r="R327" s="20">
        <f>IF($U327="","",INDEX(상세표[18~22시],$U327))</f>
        <v/>
      </c>
      <c r="S327" s="20">
        <f>IF($U327="","",INDEX(상세표[22~06시],$U327))</f>
        <v/>
      </c>
      <c r="T327" s="20">
        <f>IF($U327="","",INDEX(상세표[기록 시간외],$U327))</f>
        <v/>
      </c>
      <c r="U327" s="4">
        <f>IFERROR(MATCH(322,상세표[발송순번],0),"")</f>
        <v/>
      </c>
    </row>
    <row r="328">
      <c r="J328">
        <f>IF($U328="","",INDEX(상세표[사번],$U328)&amp;"")</f>
        <v/>
      </c>
      <c r="K328">
        <f>IF($U328="","",INDEX(상세표[성명],$U328)&amp;"")</f>
        <v/>
      </c>
      <c r="L328">
        <f>IF($U328="","",INDEX(상세표[직위],$U328)&amp;"")</f>
        <v/>
      </c>
      <c r="M328">
        <f>IF($U328="","",IF(ISNUMBER(INDEX(상세표[근무일자],$U328)),TEXT(INDEX(상세표[근무일자],$U328),"yyyy-mm-dd"),INDEX(상세표[근무일자],$U328)&amp;""))</f>
        <v/>
      </c>
      <c r="N328">
        <f>IF($U328="","",IF(ISNUMBER(INDEX(상세표[시작],$U328)),TEXT(INDEX(상세표[시작],$U328),"yyyy-mm-dd hh:mm"),INDEX(상세표[시작],$U328)&amp;""))</f>
        <v/>
      </c>
      <c r="O328">
        <f>IF($U328="","",IF(ISNUMBER(INDEX(상세표[종료],$U328)),TEXT(INDEX(상세표[종료],$U328),"yyyy-mm-dd hh:mm"),INDEX(상세표[종료],$U328)&amp;""))</f>
        <v/>
      </c>
      <c r="P328" s="20">
        <f>IF($U328="","",INDEX(상세표[06~07시],$U328))</f>
        <v/>
      </c>
      <c r="Q328" s="20">
        <f>IF($U328="","",INDEX(상세표[07~18시],$U328))</f>
        <v/>
      </c>
      <c r="R328" s="20">
        <f>IF($U328="","",INDEX(상세표[18~22시],$U328))</f>
        <v/>
      </c>
      <c r="S328" s="20">
        <f>IF($U328="","",INDEX(상세표[22~06시],$U328))</f>
        <v/>
      </c>
      <c r="T328" s="20">
        <f>IF($U328="","",INDEX(상세표[기록 시간외],$U328))</f>
        <v/>
      </c>
      <c r="U328" s="4">
        <f>IFERROR(MATCH(323,상세표[발송순번],0),"")</f>
        <v/>
      </c>
    </row>
    <row r="329">
      <c r="J329">
        <f>IF($U329="","",INDEX(상세표[사번],$U329)&amp;"")</f>
        <v/>
      </c>
      <c r="K329">
        <f>IF($U329="","",INDEX(상세표[성명],$U329)&amp;"")</f>
        <v/>
      </c>
      <c r="L329">
        <f>IF($U329="","",INDEX(상세표[직위],$U329)&amp;"")</f>
        <v/>
      </c>
      <c r="M329">
        <f>IF($U329="","",IF(ISNUMBER(INDEX(상세표[근무일자],$U329)),TEXT(INDEX(상세표[근무일자],$U329),"yyyy-mm-dd"),INDEX(상세표[근무일자],$U329)&amp;""))</f>
        <v/>
      </c>
      <c r="N329">
        <f>IF($U329="","",IF(ISNUMBER(INDEX(상세표[시작],$U329)),TEXT(INDEX(상세표[시작],$U329),"yyyy-mm-dd hh:mm"),INDEX(상세표[시작],$U329)&amp;""))</f>
        <v/>
      </c>
      <c r="O329">
        <f>IF($U329="","",IF(ISNUMBER(INDEX(상세표[종료],$U329)),TEXT(INDEX(상세표[종료],$U329),"yyyy-mm-dd hh:mm"),INDEX(상세표[종료],$U329)&amp;""))</f>
        <v/>
      </c>
      <c r="P329" s="20">
        <f>IF($U329="","",INDEX(상세표[06~07시],$U329))</f>
        <v/>
      </c>
      <c r="Q329" s="20">
        <f>IF($U329="","",INDEX(상세표[07~18시],$U329))</f>
        <v/>
      </c>
      <c r="R329" s="20">
        <f>IF($U329="","",INDEX(상세표[18~22시],$U329))</f>
        <v/>
      </c>
      <c r="S329" s="20">
        <f>IF($U329="","",INDEX(상세표[22~06시],$U329))</f>
        <v/>
      </c>
      <c r="T329" s="20">
        <f>IF($U329="","",INDEX(상세표[기록 시간외],$U329))</f>
        <v/>
      </c>
      <c r="U329" s="4">
        <f>IFERROR(MATCH(324,상세표[발송순번],0),"")</f>
        <v/>
      </c>
    </row>
    <row r="330">
      <c r="J330">
        <f>IF($U330="","",INDEX(상세표[사번],$U330)&amp;"")</f>
        <v/>
      </c>
      <c r="K330">
        <f>IF($U330="","",INDEX(상세표[성명],$U330)&amp;"")</f>
        <v/>
      </c>
      <c r="L330">
        <f>IF($U330="","",INDEX(상세표[직위],$U330)&amp;"")</f>
        <v/>
      </c>
      <c r="M330">
        <f>IF($U330="","",IF(ISNUMBER(INDEX(상세표[근무일자],$U330)),TEXT(INDEX(상세표[근무일자],$U330),"yyyy-mm-dd"),INDEX(상세표[근무일자],$U330)&amp;""))</f>
        <v/>
      </c>
      <c r="N330">
        <f>IF($U330="","",IF(ISNUMBER(INDEX(상세표[시작],$U330)),TEXT(INDEX(상세표[시작],$U330),"yyyy-mm-dd hh:mm"),INDEX(상세표[시작],$U330)&amp;""))</f>
        <v/>
      </c>
      <c r="O330">
        <f>IF($U330="","",IF(ISNUMBER(INDEX(상세표[종료],$U330)),TEXT(INDEX(상세표[종료],$U330),"yyyy-mm-dd hh:mm"),INDEX(상세표[종료],$U330)&amp;""))</f>
        <v/>
      </c>
      <c r="P330" s="20">
        <f>IF($U330="","",INDEX(상세표[06~07시],$U330))</f>
        <v/>
      </c>
      <c r="Q330" s="20">
        <f>IF($U330="","",INDEX(상세표[07~18시],$U330))</f>
        <v/>
      </c>
      <c r="R330" s="20">
        <f>IF($U330="","",INDEX(상세표[18~22시],$U330))</f>
        <v/>
      </c>
      <c r="S330" s="20">
        <f>IF($U330="","",INDEX(상세표[22~06시],$U330))</f>
        <v/>
      </c>
      <c r="T330" s="20">
        <f>IF($U330="","",INDEX(상세표[기록 시간외],$U330))</f>
        <v/>
      </c>
      <c r="U330" s="4">
        <f>IFERROR(MATCH(325,상세표[발송순번],0),"")</f>
        <v/>
      </c>
    </row>
    <row r="331">
      <c r="J331">
        <f>IF($U331="","",INDEX(상세표[사번],$U331)&amp;"")</f>
        <v/>
      </c>
      <c r="K331">
        <f>IF($U331="","",INDEX(상세표[성명],$U331)&amp;"")</f>
        <v/>
      </c>
      <c r="L331">
        <f>IF($U331="","",INDEX(상세표[직위],$U331)&amp;"")</f>
        <v/>
      </c>
      <c r="M331">
        <f>IF($U331="","",IF(ISNUMBER(INDEX(상세표[근무일자],$U331)),TEXT(INDEX(상세표[근무일자],$U331),"yyyy-mm-dd"),INDEX(상세표[근무일자],$U331)&amp;""))</f>
        <v/>
      </c>
      <c r="N331">
        <f>IF($U331="","",IF(ISNUMBER(INDEX(상세표[시작],$U331)),TEXT(INDEX(상세표[시작],$U331),"yyyy-mm-dd hh:mm"),INDEX(상세표[시작],$U331)&amp;""))</f>
        <v/>
      </c>
      <c r="O331">
        <f>IF($U331="","",IF(ISNUMBER(INDEX(상세표[종료],$U331)),TEXT(INDEX(상세표[종료],$U331),"yyyy-mm-dd hh:mm"),INDEX(상세표[종료],$U331)&amp;""))</f>
        <v/>
      </c>
      <c r="P331" s="20">
        <f>IF($U331="","",INDEX(상세표[06~07시],$U331))</f>
        <v/>
      </c>
      <c r="Q331" s="20">
        <f>IF($U331="","",INDEX(상세표[07~18시],$U331))</f>
        <v/>
      </c>
      <c r="R331" s="20">
        <f>IF($U331="","",INDEX(상세표[18~22시],$U331))</f>
        <v/>
      </c>
      <c r="S331" s="20">
        <f>IF($U331="","",INDEX(상세표[22~06시],$U331))</f>
        <v/>
      </c>
      <c r="T331" s="20">
        <f>IF($U331="","",INDEX(상세표[기록 시간외],$U331))</f>
        <v/>
      </c>
      <c r="U331" s="4">
        <f>IFERROR(MATCH(326,상세표[발송순번],0),"")</f>
        <v/>
      </c>
    </row>
    <row r="332">
      <c r="J332">
        <f>IF($U332="","",INDEX(상세표[사번],$U332)&amp;"")</f>
        <v/>
      </c>
      <c r="K332">
        <f>IF($U332="","",INDEX(상세표[성명],$U332)&amp;"")</f>
        <v/>
      </c>
      <c r="L332">
        <f>IF($U332="","",INDEX(상세표[직위],$U332)&amp;"")</f>
        <v/>
      </c>
      <c r="M332">
        <f>IF($U332="","",IF(ISNUMBER(INDEX(상세표[근무일자],$U332)),TEXT(INDEX(상세표[근무일자],$U332),"yyyy-mm-dd"),INDEX(상세표[근무일자],$U332)&amp;""))</f>
        <v/>
      </c>
      <c r="N332">
        <f>IF($U332="","",IF(ISNUMBER(INDEX(상세표[시작],$U332)),TEXT(INDEX(상세표[시작],$U332),"yyyy-mm-dd hh:mm"),INDEX(상세표[시작],$U332)&amp;""))</f>
        <v/>
      </c>
      <c r="O332">
        <f>IF($U332="","",IF(ISNUMBER(INDEX(상세표[종료],$U332)),TEXT(INDEX(상세표[종료],$U332),"yyyy-mm-dd hh:mm"),INDEX(상세표[종료],$U332)&amp;""))</f>
        <v/>
      </c>
      <c r="P332" s="20">
        <f>IF($U332="","",INDEX(상세표[06~07시],$U332))</f>
        <v/>
      </c>
      <c r="Q332" s="20">
        <f>IF($U332="","",INDEX(상세표[07~18시],$U332))</f>
        <v/>
      </c>
      <c r="R332" s="20">
        <f>IF($U332="","",INDEX(상세표[18~22시],$U332))</f>
        <v/>
      </c>
      <c r="S332" s="20">
        <f>IF($U332="","",INDEX(상세표[22~06시],$U332))</f>
        <v/>
      </c>
      <c r="T332" s="20">
        <f>IF($U332="","",INDEX(상세표[기록 시간외],$U332))</f>
        <v/>
      </c>
      <c r="U332" s="4">
        <f>IFERROR(MATCH(327,상세표[발송순번],0),"")</f>
        <v/>
      </c>
    </row>
    <row r="333">
      <c r="J333">
        <f>IF($U333="","",INDEX(상세표[사번],$U333)&amp;"")</f>
        <v/>
      </c>
      <c r="K333">
        <f>IF($U333="","",INDEX(상세표[성명],$U333)&amp;"")</f>
        <v/>
      </c>
      <c r="L333">
        <f>IF($U333="","",INDEX(상세표[직위],$U333)&amp;"")</f>
        <v/>
      </c>
      <c r="M333">
        <f>IF($U333="","",IF(ISNUMBER(INDEX(상세표[근무일자],$U333)),TEXT(INDEX(상세표[근무일자],$U333),"yyyy-mm-dd"),INDEX(상세표[근무일자],$U333)&amp;""))</f>
        <v/>
      </c>
      <c r="N333">
        <f>IF($U333="","",IF(ISNUMBER(INDEX(상세표[시작],$U333)),TEXT(INDEX(상세표[시작],$U333),"yyyy-mm-dd hh:mm"),INDEX(상세표[시작],$U333)&amp;""))</f>
        <v/>
      </c>
      <c r="O333">
        <f>IF($U333="","",IF(ISNUMBER(INDEX(상세표[종료],$U333)),TEXT(INDEX(상세표[종료],$U333),"yyyy-mm-dd hh:mm"),INDEX(상세표[종료],$U333)&amp;""))</f>
        <v/>
      </c>
      <c r="P333" s="20">
        <f>IF($U333="","",INDEX(상세표[06~07시],$U333))</f>
        <v/>
      </c>
      <c r="Q333" s="20">
        <f>IF($U333="","",INDEX(상세표[07~18시],$U333))</f>
        <v/>
      </c>
      <c r="R333" s="20">
        <f>IF($U333="","",INDEX(상세표[18~22시],$U333))</f>
        <v/>
      </c>
      <c r="S333" s="20">
        <f>IF($U333="","",INDEX(상세표[22~06시],$U333))</f>
        <v/>
      </c>
      <c r="T333" s="20">
        <f>IF($U333="","",INDEX(상세표[기록 시간외],$U333))</f>
        <v/>
      </c>
      <c r="U333" s="4">
        <f>IFERROR(MATCH(328,상세표[발송순번],0),"")</f>
        <v/>
      </c>
    </row>
    <row r="334">
      <c r="J334">
        <f>IF($U334="","",INDEX(상세표[사번],$U334)&amp;"")</f>
        <v/>
      </c>
      <c r="K334">
        <f>IF($U334="","",INDEX(상세표[성명],$U334)&amp;"")</f>
        <v/>
      </c>
      <c r="L334">
        <f>IF($U334="","",INDEX(상세표[직위],$U334)&amp;"")</f>
        <v/>
      </c>
      <c r="M334">
        <f>IF($U334="","",IF(ISNUMBER(INDEX(상세표[근무일자],$U334)),TEXT(INDEX(상세표[근무일자],$U334),"yyyy-mm-dd"),INDEX(상세표[근무일자],$U334)&amp;""))</f>
        <v/>
      </c>
      <c r="N334">
        <f>IF($U334="","",IF(ISNUMBER(INDEX(상세표[시작],$U334)),TEXT(INDEX(상세표[시작],$U334),"yyyy-mm-dd hh:mm"),INDEX(상세표[시작],$U334)&amp;""))</f>
        <v/>
      </c>
      <c r="O334">
        <f>IF($U334="","",IF(ISNUMBER(INDEX(상세표[종료],$U334)),TEXT(INDEX(상세표[종료],$U334),"yyyy-mm-dd hh:mm"),INDEX(상세표[종료],$U334)&amp;""))</f>
        <v/>
      </c>
      <c r="P334" s="20">
        <f>IF($U334="","",INDEX(상세표[06~07시],$U334))</f>
        <v/>
      </c>
      <c r="Q334" s="20">
        <f>IF($U334="","",INDEX(상세표[07~18시],$U334))</f>
        <v/>
      </c>
      <c r="R334" s="20">
        <f>IF($U334="","",INDEX(상세표[18~22시],$U334))</f>
        <v/>
      </c>
      <c r="S334" s="20">
        <f>IF($U334="","",INDEX(상세표[22~06시],$U334))</f>
        <v/>
      </c>
      <c r="T334" s="20">
        <f>IF($U334="","",INDEX(상세표[기록 시간외],$U334))</f>
        <v/>
      </c>
      <c r="U334" s="4">
        <f>IFERROR(MATCH(329,상세표[발송순번],0),"")</f>
        <v/>
      </c>
    </row>
    <row r="335">
      <c r="J335">
        <f>IF($U335="","",INDEX(상세표[사번],$U335)&amp;"")</f>
        <v/>
      </c>
      <c r="K335">
        <f>IF($U335="","",INDEX(상세표[성명],$U335)&amp;"")</f>
        <v/>
      </c>
      <c r="L335">
        <f>IF($U335="","",INDEX(상세표[직위],$U335)&amp;"")</f>
        <v/>
      </c>
      <c r="M335">
        <f>IF($U335="","",IF(ISNUMBER(INDEX(상세표[근무일자],$U335)),TEXT(INDEX(상세표[근무일자],$U335),"yyyy-mm-dd"),INDEX(상세표[근무일자],$U335)&amp;""))</f>
        <v/>
      </c>
      <c r="N335">
        <f>IF($U335="","",IF(ISNUMBER(INDEX(상세표[시작],$U335)),TEXT(INDEX(상세표[시작],$U335),"yyyy-mm-dd hh:mm"),INDEX(상세표[시작],$U335)&amp;""))</f>
        <v/>
      </c>
      <c r="O335">
        <f>IF($U335="","",IF(ISNUMBER(INDEX(상세표[종료],$U335)),TEXT(INDEX(상세표[종료],$U335),"yyyy-mm-dd hh:mm"),INDEX(상세표[종료],$U335)&amp;""))</f>
        <v/>
      </c>
      <c r="P335" s="20">
        <f>IF($U335="","",INDEX(상세표[06~07시],$U335))</f>
        <v/>
      </c>
      <c r="Q335" s="20">
        <f>IF($U335="","",INDEX(상세표[07~18시],$U335))</f>
        <v/>
      </c>
      <c r="R335" s="20">
        <f>IF($U335="","",INDEX(상세표[18~22시],$U335))</f>
        <v/>
      </c>
      <c r="S335" s="20">
        <f>IF($U335="","",INDEX(상세표[22~06시],$U335))</f>
        <v/>
      </c>
      <c r="T335" s="20">
        <f>IF($U335="","",INDEX(상세표[기록 시간외],$U335))</f>
        <v/>
      </c>
      <c r="U335" s="4">
        <f>IFERROR(MATCH(330,상세표[발송순번],0),"")</f>
        <v/>
      </c>
    </row>
    <row r="336">
      <c r="J336">
        <f>IF($U336="","",INDEX(상세표[사번],$U336)&amp;"")</f>
        <v/>
      </c>
      <c r="K336">
        <f>IF($U336="","",INDEX(상세표[성명],$U336)&amp;"")</f>
        <v/>
      </c>
      <c r="L336">
        <f>IF($U336="","",INDEX(상세표[직위],$U336)&amp;"")</f>
        <v/>
      </c>
      <c r="M336">
        <f>IF($U336="","",IF(ISNUMBER(INDEX(상세표[근무일자],$U336)),TEXT(INDEX(상세표[근무일자],$U336),"yyyy-mm-dd"),INDEX(상세표[근무일자],$U336)&amp;""))</f>
        <v/>
      </c>
      <c r="N336">
        <f>IF($U336="","",IF(ISNUMBER(INDEX(상세표[시작],$U336)),TEXT(INDEX(상세표[시작],$U336),"yyyy-mm-dd hh:mm"),INDEX(상세표[시작],$U336)&amp;""))</f>
        <v/>
      </c>
      <c r="O336">
        <f>IF($U336="","",IF(ISNUMBER(INDEX(상세표[종료],$U336)),TEXT(INDEX(상세표[종료],$U336),"yyyy-mm-dd hh:mm"),INDEX(상세표[종료],$U336)&amp;""))</f>
        <v/>
      </c>
      <c r="P336" s="20">
        <f>IF($U336="","",INDEX(상세표[06~07시],$U336))</f>
        <v/>
      </c>
      <c r="Q336" s="20">
        <f>IF($U336="","",INDEX(상세표[07~18시],$U336))</f>
        <v/>
      </c>
      <c r="R336" s="20">
        <f>IF($U336="","",INDEX(상세표[18~22시],$U336))</f>
        <v/>
      </c>
      <c r="S336" s="20">
        <f>IF($U336="","",INDEX(상세표[22~06시],$U336))</f>
        <v/>
      </c>
      <c r="T336" s="20">
        <f>IF($U336="","",INDEX(상세표[기록 시간외],$U336))</f>
        <v/>
      </c>
      <c r="U336" s="4">
        <f>IFERROR(MATCH(331,상세표[발송순번],0),"")</f>
        <v/>
      </c>
    </row>
    <row r="337">
      <c r="J337">
        <f>IF($U337="","",INDEX(상세표[사번],$U337)&amp;"")</f>
        <v/>
      </c>
      <c r="K337">
        <f>IF($U337="","",INDEX(상세표[성명],$U337)&amp;"")</f>
        <v/>
      </c>
      <c r="L337">
        <f>IF($U337="","",INDEX(상세표[직위],$U337)&amp;"")</f>
        <v/>
      </c>
      <c r="M337">
        <f>IF($U337="","",IF(ISNUMBER(INDEX(상세표[근무일자],$U337)),TEXT(INDEX(상세표[근무일자],$U337),"yyyy-mm-dd"),INDEX(상세표[근무일자],$U337)&amp;""))</f>
        <v/>
      </c>
      <c r="N337">
        <f>IF($U337="","",IF(ISNUMBER(INDEX(상세표[시작],$U337)),TEXT(INDEX(상세표[시작],$U337),"yyyy-mm-dd hh:mm"),INDEX(상세표[시작],$U337)&amp;""))</f>
        <v/>
      </c>
      <c r="O337">
        <f>IF($U337="","",IF(ISNUMBER(INDEX(상세표[종료],$U337)),TEXT(INDEX(상세표[종료],$U337),"yyyy-mm-dd hh:mm"),INDEX(상세표[종료],$U337)&amp;""))</f>
        <v/>
      </c>
      <c r="P337" s="20">
        <f>IF($U337="","",INDEX(상세표[06~07시],$U337))</f>
        <v/>
      </c>
      <c r="Q337" s="20">
        <f>IF($U337="","",INDEX(상세표[07~18시],$U337))</f>
        <v/>
      </c>
      <c r="R337" s="20">
        <f>IF($U337="","",INDEX(상세표[18~22시],$U337))</f>
        <v/>
      </c>
      <c r="S337" s="20">
        <f>IF($U337="","",INDEX(상세표[22~06시],$U337))</f>
        <v/>
      </c>
      <c r="T337" s="20">
        <f>IF($U337="","",INDEX(상세표[기록 시간외],$U337))</f>
        <v/>
      </c>
      <c r="U337" s="4">
        <f>IFERROR(MATCH(332,상세표[발송순번],0),"")</f>
        <v/>
      </c>
    </row>
    <row r="338">
      <c r="J338">
        <f>IF($U338="","",INDEX(상세표[사번],$U338)&amp;"")</f>
        <v/>
      </c>
      <c r="K338">
        <f>IF($U338="","",INDEX(상세표[성명],$U338)&amp;"")</f>
        <v/>
      </c>
      <c r="L338">
        <f>IF($U338="","",INDEX(상세표[직위],$U338)&amp;"")</f>
        <v/>
      </c>
      <c r="M338">
        <f>IF($U338="","",IF(ISNUMBER(INDEX(상세표[근무일자],$U338)),TEXT(INDEX(상세표[근무일자],$U338),"yyyy-mm-dd"),INDEX(상세표[근무일자],$U338)&amp;""))</f>
        <v/>
      </c>
      <c r="N338">
        <f>IF($U338="","",IF(ISNUMBER(INDEX(상세표[시작],$U338)),TEXT(INDEX(상세표[시작],$U338),"yyyy-mm-dd hh:mm"),INDEX(상세표[시작],$U338)&amp;""))</f>
        <v/>
      </c>
      <c r="O338">
        <f>IF($U338="","",IF(ISNUMBER(INDEX(상세표[종료],$U338)),TEXT(INDEX(상세표[종료],$U338),"yyyy-mm-dd hh:mm"),INDEX(상세표[종료],$U338)&amp;""))</f>
        <v/>
      </c>
      <c r="P338" s="20">
        <f>IF($U338="","",INDEX(상세표[06~07시],$U338))</f>
        <v/>
      </c>
      <c r="Q338" s="20">
        <f>IF($U338="","",INDEX(상세표[07~18시],$U338))</f>
        <v/>
      </c>
      <c r="R338" s="20">
        <f>IF($U338="","",INDEX(상세표[18~22시],$U338))</f>
        <v/>
      </c>
      <c r="S338" s="20">
        <f>IF($U338="","",INDEX(상세표[22~06시],$U338))</f>
        <v/>
      </c>
      <c r="T338" s="20">
        <f>IF($U338="","",INDEX(상세표[기록 시간외],$U338))</f>
        <v/>
      </c>
      <c r="U338" s="4">
        <f>IFERROR(MATCH(333,상세표[발송순번],0),"")</f>
        <v/>
      </c>
    </row>
    <row r="339">
      <c r="J339">
        <f>IF($U339="","",INDEX(상세표[사번],$U339)&amp;"")</f>
        <v/>
      </c>
      <c r="K339">
        <f>IF($U339="","",INDEX(상세표[성명],$U339)&amp;"")</f>
        <v/>
      </c>
      <c r="L339">
        <f>IF($U339="","",INDEX(상세표[직위],$U339)&amp;"")</f>
        <v/>
      </c>
      <c r="M339">
        <f>IF($U339="","",IF(ISNUMBER(INDEX(상세표[근무일자],$U339)),TEXT(INDEX(상세표[근무일자],$U339),"yyyy-mm-dd"),INDEX(상세표[근무일자],$U339)&amp;""))</f>
        <v/>
      </c>
      <c r="N339">
        <f>IF($U339="","",IF(ISNUMBER(INDEX(상세표[시작],$U339)),TEXT(INDEX(상세표[시작],$U339),"yyyy-mm-dd hh:mm"),INDEX(상세표[시작],$U339)&amp;""))</f>
        <v/>
      </c>
      <c r="O339">
        <f>IF($U339="","",IF(ISNUMBER(INDEX(상세표[종료],$U339)),TEXT(INDEX(상세표[종료],$U339),"yyyy-mm-dd hh:mm"),INDEX(상세표[종료],$U339)&amp;""))</f>
        <v/>
      </c>
      <c r="P339" s="20">
        <f>IF($U339="","",INDEX(상세표[06~07시],$U339))</f>
        <v/>
      </c>
      <c r="Q339" s="20">
        <f>IF($U339="","",INDEX(상세표[07~18시],$U339))</f>
        <v/>
      </c>
      <c r="R339" s="20">
        <f>IF($U339="","",INDEX(상세표[18~22시],$U339))</f>
        <v/>
      </c>
      <c r="S339" s="20">
        <f>IF($U339="","",INDEX(상세표[22~06시],$U339))</f>
        <v/>
      </c>
      <c r="T339" s="20">
        <f>IF($U339="","",INDEX(상세표[기록 시간외],$U339))</f>
        <v/>
      </c>
      <c r="U339" s="4">
        <f>IFERROR(MATCH(334,상세표[발송순번],0),"")</f>
        <v/>
      </c>
    </row>
    <row r="340">
      <c r="J340">
        <f>IF($U340="","",INDEX(상세표[사번],$U340)&amp;"")</f>
        <v/>
      </c>
      <c r="K340">
        <f>IF($U340="","",INDEX(상세표[성명],$U340)&amp;"")</f>
        <v/>
      </c>
      <c r="L340">
        <f>IF($U340="","",INDEX(상세표[직위],$U340)&amp;"")</f>
        <v/>
      </c>
      <c r="M340">
        <f>IF($U340="","",IF(ISNUMBER(INDEX(상세표[근무일자],$U340)),TEXT(INDEX(상세표[근무일자],$U340),"yyyy-mm-dd"),INDEX(상세표[근무일자],$U340)&amp;""))</f>
        <v/>
      </c>
      <c r="N340">
        <f>IF($U340="","",IF(ISNUMBER(INDEX(상세표[시작],$U340)),TEXT(INDEX(상세표[시작],$U340),"yyyy-mm-dd hh:mm"),INDEX(상세표[시작],$U340)&amp;""))</f>
        <v/>
      </c>
      <c r="O340">
        <f>IF($U340="","",IF(ISNUMBER(INDEX(상세표[종료],$U340)),TEXT(INDEX(상세표[종료],$U340),"yyyy-mm-dd hh:mm"),INDEX(상세표[종료],$U340)&amp;""))</f>
        <v/>
      </c>
      <c r="P340" s="20">
        <f>IF($U340="","",INDEX(상세표[06~07시],$U340))</f>
        <v/>
      </c>
      <c r="Q340" s="20">
        <f>IF($U340="","",INDEX(상세표[07~18시],$U340))</f>
        <v/>
      </c>
      <c r="R340" s="20">
        <f>IF($U340="","",INDEX(상세표[18~22시],$U340))</f>
        <v/>
      </c>
      <c r="S340" s="20">
        <f>IF($U340="","",INDEX(상세표[22~06시],$U340))</f>
        <v/>
      </c>
      <c r="T340" s="20">
        <f>IF($U340="","",INDEX(상세표[기록 시간외],$U340))</f>
        <v/>
      </c>
      <c r="U340" s="4">
        <f>IFERROR(MATCH(335,상세표[발송순번],0),"")</f>
        <v/>
      </c>
    </row>
    <row r="341">
      <c r="J341">
        <f>IF($U341="","",INDEX(상세표[사번],$U341)&amp;"")</f>
        <v/>
      </c>
      <c r="K341">
        <f>IF($U341="","",INDEX(상세표[성명],$U341)&amp;"")</f>
        <v/>
      </c>
      <c r="L341">
        <f>IF($U341="","",INDEX(상세표[직위],$U341)&amp;"")</f>
        <v/>
      </c>
      <c r="M341">
        <f>IF($U341="","",IF(ISNUMBER(INDEX(상세표[근무일자],$U341)),TEXT(INDEX(상세표[근무일자],$U341),"yyyy-mm-dd"),INDEX(상세표[근무일자],$U341)&amp;""))</f>
        <v/>
      </c>
      <c r="N341">
        <f>IF($U341="","",IF(ISNUMBER(INDEX(상세표[시작],$U341)),TEXT(INDEX(상세표[시작],$U341),"yyyy-mm-dd hh:mm"),INDEX(상세표[시작],$U341)&amp;""))</f>
        <v/>
      </c>
      <c r="O341">
        <f>IF($U341="","",IF(ISNUMBER(INDEX(상세표[종료],$U341)),TEXT(INDEX(상세표[종료],$U341),"yyyy-mm-dd hh:mm"),INDEX(상세표[종료],$U341)&amp;""))</f>
        <v/>
      </c>
      <c r="P341" s="20">
        <f>IF($U341="","",INDEX(상세표[06~07시],$U341))</f>
        <v/>
      </c>
      <c r="Q341" s="20">
        <f>IF($U341="","",INDEX(상세표[07~18시],$U341))</f>
        <v/>
      </c>
      <c r="R341" s="20">
        <f>IF($U341="","",INDEX(상세표[18~22시],$U341))</f>
        <v/>
      </c>
      <c r="S341" s="20">
        <f>IF($U341="","",INDEX(상세표[22~06시],$U341))</f>
        <v/>
      </c>
      <c r="T341" s="20">
        <f>IF($U341="","",INDEX(상세표[기록 시간외],$U341))</f>
        <v/>
      </c>
      <c r="U341" s="4">
        <f>IFERROR(MATCH(336,상세표[발송순번],0),"")</f>
        <v/>
      </c>
    </row>
    <row r="342">
      <c r="J342">
        <f>IF($U342="","",INDEX(상세표[사번],$U342)&amp;"")</f>
        <v/>
      </c>
      <c r="K342">
        <f>IF($U342="","",INDEX(상세표[성명],$U342)&amp;"")</f>
        <v/>
      </c>
      <c r="L342">
        <f>IF($U342="","",INDEX(상세표[직위],$U342)&amp;"")</f>
        <v/>
      </c>
      <c r="M342">
        <f>IF($U342="","",IF(ISNUMBER(INDEX(상세표[근무일자],$U342)),TEXT(INDEX(상세표[근무일자],$U342),"yyyy-mm-dd"),INDEX(상세표[근무일자],$U342)&amp;""))</f>
        <v/>
      </c>
      <c r="N342">
        <f>IF($U342="","",IF(ISNUMBER(INDEX(상세표[시작],$U342)),TEXT(INDEX(상세표[시작],$U342),"yyyy-mm-dd hh:mm"),INDEX(상세표[시작],$U342)&amp;""))</f>
        <v/>
      </c>
      <c r="O342">
        <f>IF($U342="","",IF(ISNUMBER(INDEX(상세표[종료],$U342)),TEXT(INDEX(상세표[종료],$U342),"yyyy-mm-dd hh:mm"),INDEX(상세표[종료],$U342)&amp;""))</f>
        <v/>
      </c>
      <c r="P342" s="20">
        <f>IF($U342="","",INDEX(상세표[06~07시],$U342))</f>
        <v/>
      </c>
      <c r="Q342" s="20">
        <f>IF($U342="","",INDEX(상세표[07~18시],$U342))</f>
        <v/>
      </c>
      <c r="R342" s="20">
        <f>IF($U342="","",INDEX(상세표[18~22시],$U342))</f>
        <v/>
      </c>
      <c r="S342" s="20">
        <f>IF($U342="","",INDEX(상세표[22~06시],$U342))</f>
        <v/>
      </c>
      <c r="T342" s="20">
        <f>IF($U342="","",INDEX(상세표[기록 시간외],$U342))</f>
        <v/>
      </c>
      <c r="U342" s="4">
        <f>IFERROR(MATCH(337,상세표[발송순번],0),"")</f>
        <v/>
      </c>
    </row>
    <row r="343">
      <c r="J343">
        <f>IF($U343="","",INDEX(상세표[사번],$U343)&amp;"")</f>
        <v/>
      </c>
      <c r="K343">
        <f>IF($U343="","",INDEX(상세표[성명],$U343)&amp;"")</f>
        <v/>
      </c>
      <c r="L343">
        <f>IF($U343="","",INDEX(상세표[직위],$U343)&amp;"")</f>
        <v/>
      </c>
      <c r="M343">
        <f>IF($U343="","",IF(ISNUMBER(INDEX(상세표[근무일자],$U343)),TEXT(INDEX(상세표[근무일자],$U343),"yyyy-mm-dd"),INDEX(상세표[근무일자],$U343)&amp;""))</f>
        <v/>
      </c>
      <c r="N343">
        <f>IF($U343="","",IF(ISNUMBER(INDEX(상세표[시작],$U343)),TEXT(INDEX(상세표[시작],$U343),"yyyy-mm-dd hh:mm"),INDEX(상세표[시작],$U343)&amp;""))</f>
        <v/>
      </c>
      <c r="O343">
        <f>IF($U343="","",IF(ISNUMBER(INDEX(상세표[종료],$U343)),TEXT(INDEX(상세표[종료],$U343),"yyyy-mm-dd hh:mm"),INDEX(상세표[종료],$U343)&amp;""))</f>
        <v/>
      </c>
      <c r="P343" s="20">
        <f>IF($U343="","",INDEX(상세표[06~07시],$U343))</f>
        <v/>
      </c>
      <c r="Q343" s="20">
        <f>IF($U343="","",INDEX(상세표[07~18시],$U343))</f>
        <v/>
      </c>
      <c r="R343" s="20">
        <f>IF($U343="","",INDEX(상세표[18~22시],$U343))</f>
        <v/>
      </c>
      <c r="S343" s="20">
        <f>IF($U343="","",INDEX(상세표[22~06시],$U343))</f>
        <v/>
      </c>
      <c r="T343" s="20">
        <f>IF($U343="","",INDEX(상세표[기록 시간외],$U343))</f>
        <v/>
      </c>
      <c r="U343" s="4">
        <f>IFERROR(MATCH(338,상세표[발송순번],0),"")</f>
        <v/>
      </c>
    </row>
    <row r="344">
      <c r="J344">
        <f>IF($U344="","",INDEX(상세표[사번],$U344)&amp;"")</f>
        <v/>
      </c>
      <c r="K344">
        <f>IF($U344="","",INDEX(상세표[성명],$U344)&amp;"")</f>
        <v/>
      </c>
      <c r="L344">
        <f>IF($U344="","",INDEX(상세표[직위],$U344)&amp;"")</f>
        <v/>
      </c>
      <c r="M344">
        <f>IF($U344="","",IF(ISNUMBER(INDEX(상세표[근무일자],$U344)),TEXT(INDEX(상세표[근무일자],$U344),"yyyy-mm-dd"),INDEX(상세표[근무일자],$U344)&amp;""))</f>
        <v/>
      </c>
      <c r="N344">
        <f>IF($U344="","",IF(ISNUMBER(INDEX(상세표[시작],$U344)),TEXT(INDEX(상세표[시작],$U344),"yyyy-mm-dd hh:mm"),INDEX(상세표[시작],$U344)&amp;""))</f>
        <v/>
      </c>
      <c r="O344">
        <f>IF($U344="","",IF(ISNUMBER(INDEX(상세표[종료],$U344)),TEXT(INDEX(상세표[종료],$U344),"yyyy-mm-dd hh:mm"),INDEX(상세표[종료],$U344)&amp;""))</f>
        <v/>
      </c>
      <c r="P344" s="20">
        <f>IF($U344="","",INDEX(상세표[06~07시],$U344))</f>
        <v/>
      </c>
      <c r="Q344" s="20">
        <f>IF($U344="","",INDEX(상세표[07~18시],$U344))</f>
        <v/>
      </c>
      <c r="R344" s="20">
        <f>IF($U344="","",INDEX(상세표[18~22시],$U344))</f>
        <v/>
      </c>
      <c r="S344" s="20">
        <f>IF($U344="","",INDEX(상세표[22~06시],$U344))</f>
        <v/>
      </c>
      <c r="T344" s="20">
        <f>IF($U344="","",INDEX(상세표[기록 시간외],$U344))</f>
        <v/>
      </c>
      <c r="U344" s="4">
        <f>IFERROR(MATCH(339,상세표[발송순번],0),"")</f>
        <v/>
      </c>
    </row>
    <row r="345">
      <c r="J345">
        <f>IF($U345="","",INDEX(상세표[사번],$U345)&amp;"")</f>
        <v/>
      </c>
      <c r="K345">
        <f>IF($U345="","",INDEX(상세표[성명],$U345)&amp;"")</f>
        <v/>
      </c>
      <c r="L345">
        <f>IF($U345="","",INDEX(상세표[직위],$U345)&amp;"")</f>
        <v/>
      </c>
      <c r="M345">
        <f>IF($U345="","",IF(ISNUMBER(INDEX(상세표[근무일자],$U345)),TEXT(INDEX(상세표[근무일자],$U345),"yyyy-mm-dd"),INDEX(상세표[근무일자],$U345)&amp;""))</f>
        <v/>
      </c>
      <c r="N345">
        <f>IF($U345="","",IF(ISNUMBER(INDEX(상세표[시작],$U345)),TEXT(INDEX(상세표[시작],$U345),"yyyy-mm-dd hh:mm"),INDEX(상세표[시작],$U345)&amp;""))</f>
        <v/>
      </c>
      <c r="O345">
        <f>IF($U345="","",IF(ISNUMBER(INDEX(상세표[종료],$U345)),TEXT(INDEX(상세표[종료],$U345),"yyyy-mm-dd hh:mm"),INDEX(상세표[종료],$U345)&amp;""))</f>
        <v/>
      </c>
      <c r="P345" s="20">
        <f>IF($U345="","",INDEX(상세표[06~07시],$U345))</f>
        <v/>
      </c>
      <c r="Q345" s="20">
        <f>IF($U345="","",INDEX(상세표[07~18시],$U345))</f>
        <v/>
      </c>
      <c r="R345" s="20">
        <f>IF($U345="","",INDEX(상세표[18~22시],$U345))</f>
        <v/>
      </c>
      <c r="S345" s="20">
        <f>IF($U345="","",INDEX(상세표[22~06시],$U345))</f>
        <v/>
      </c>
      <c r="T345" s="20">
        <f>IF($U345="","",INDEX(상세표[기록 시간외],$U345))</f>
        <v/>
      </c>
      <c r="U345" s="4">
        <f>IFERROR(MATCH(340,상세표[발송순번],0),"")</f>
        <v/>
      </c>
    </row>
    <row r="346">
      <c r="J346">
        <f>IF($U346="","",INDEX(상세표[사번],$U346)&amp;"")</f>
        <v/>
      </c>
      <c r="K346">
        <f>IF($U346="","",INDEX(상세표[성명],$U346)&amp;"")</f>
        <v/>
      </c>
      <c r="L346">
        <f>IF($U346="","",INDEX(상세표[직위],$U346)&amp;"")</f>
        <v/>
      </c>
      <c r="M346">
        <f>IF($U346="","",IF(ISNUMBER(INDEX(상세표[근무일자],$U346)),TEXT(INDEX(상세표[근무일자],$U346),"yyyy-mm-dd"),INDEX(상세표[근무일자],$U346)&amp;""))</f>
        <v/>
      </c>
      <c r="N346">
        <f>IF($U346="","",IF(ISNUMBER(INDEX(상세표[시작],$U346)),TEXT(INDEX(상세표[시작],$U346),"yyyy-mm-dd hh:mm"),INDEX(상세표[시작],$U346)&amp;""))</f>
        <v/>
      </c>
      <c r="O346">
        <f>IF($U346="","",IF(ISNUMBER(INDEX(상세표[종료],$U346)),TEXT(INDEX(상세표[종료],$U346),"yyyy-mm-dd hh:mm"),INDEX(상세표[종료],$U346)&amp;""))</f>
        <v/>
      </c>
      <c r="P346" s="20">
        <f>IF($U346="","",INDEX(상세표[06~07시],$U346))</f>
        <v/>
      </c>
      <c r="Q346" s="20">
        <f>IF($U346="","",INDEX(상세표[07~18시],$U346))</f>
        <v/>
      </c>
      <c r="R346" s="20">
        <f>IF($U346="","",INDEX(상세표[18~22시],$U346))</f>
        <v/>
      </c>
      <c r="S346" s="20">
        <f>IF($U346="","",INDEX(상세표[22~06시],$U346))</f>
        <v/>
      </c>
      <c r="T346" s="20">
        <f>IF($U346="","",INDEX(상세표[기록 시간외],$U346))</f>
        <v/>
      </c>
      <c r="U346" s="4">
        <f>IFERROR(MATCH(341,상세표[발송순번],0),"")</f>
        <v/>
      </c>
    </row>
    <row r="347">
      <c r="J347">
        <f>IF($U347="","",INDEX(상세표[사번],$U347)&amp;"")</f>
        <v/>
      </c>
      <c r="K347">
        <f>IF($U347="","",INDEX(상세표[성명],$U347)&amp;"")</f>
        <v/>
      </c>
      <c r="L347">
        <f>IF($U347="","",INDEX(상세표[직위],$U347)&amp;"")</f>
        <v/>
      </c>
      <c r="M347">
        <f>IF($U347="","",IF(ISNUMBER(INDEX(상세표[근무일자],$U347)),TEXT(INDEX(상세표[근무일자],$U347),"yyyy-mm-dd"),INDEX(상세표[근무일자],$U347)&amp;""))</f>
        <v/>
      </c>
      <c r="N347">
        <f>IF($U347="","",IF(ISNUMBER(INDEX(상세표[시작],$U347)),TEXT(INDEX(상세표[시작],$U347),"yyyy-mm-dd hh:mm"),INDEX(상세표[시작],$U347)&amp;""))</f>
        <v/>
      </c>
      <c r="O347">
        <f>IF($U347="","",IF(ISNUMBER(INDEX(상세표[종료],$U347)),TEXT(INDEX(상세표[종료],$U347),"yyyy-mm-dd hh:mm"),INDEX(상세표[종료],$U347)&amp;""))</f>
        <v/>
      </c>
      <c r="P347" s="20">
        <f>IF($U347="","",INDEX(상세표[06~07시],$U347))</f>
        <v/>
      </c>
      <c r="Q347" s="20">
        <f>IF($U347="","",INDEX(상세표[07~18시],$U347))</f>
        <v/>
      </c>
      <c r="R347" s="20">
        <f>IF($U347="","",INDEX(상세표[18~22시],$U347))</f>
        <v/>
      </c>
      <c r="S347" s="20">
        <f>IF($U347="","",INDEX(상세표[22~06시],$U347))</f>
        <v/>
      </c>
      <c r="T347" s="20">
        <f>IF($U347="","",INDEX(상세표[기록 시간외],$U347))</f>
        <v/>
      </c>
      <c r="U347" s="4">
        <f>IFERROR(MATCH(342,상세표[발송순번],0),"")</f>
        <v/>
      </c>
    </row>
    <row r="348">
      <c r="J348">
        <f>IF($U348="","",INDEX(상세표[사번],$U348)&amp;"")</f>
        <v/>
      </c>
      <c r="K348">
        <f>IF($U348="","",INDEX(상세표[성명],$U348)&amp;"")</f>
        <v/>
      </c>
      <c r="L348">
        <f>IF($U348="","",INDEX(상세표[직위],$U348)&amp;"")</f>
        <v/>
      </c>
      <c r="M348">
        <f>IF($U348="","",IF(ISNUMBER(INDEX(상세표[근무일자],$U348)),TEXT(INDEX(상세표[근무일자],$U348),"yyyy-mm-dd"),INDEX(상세표[근무일자],$U348)&amp;""))</f>
        <v/>
      </c>
      <c r="N348">
        <f>IF($U348="","",IF(ISNUMBER(INDEX(상세표[시작],$U348)),TEXT(INDEX(상세표[시작],$U348),"yyyy-mm-dd hh:mm"),INDEX(상세표[시작],$U348)&amp;""))</f>
        <v/>
      </c>
      <c r="O348">
        <f>IF($U348="","",IF(ISNUMBER(INDEX(상세표[종료],$U348)),TEXT(INDEX(상세표[종료],$U348),"yyyy-mm-dd hh:mm"),INDEX(상세표[종료],$U348)&amp;""))</f>
        <v/>
      </c>
      <c r="P348" s="20">
        <f>IF($U348="","",INDEX(상세표[06~07시],$U348))</f>
        <v/>
      </c>
      <c r="Q348" s="20">
        <f>IF($U348="","",INDEX(상세표[07~18시],$U348))</f>
        <v/>
      </c>
      <c r="R348" s="20">
        <f>IF($U348="","",INDEX(상세표[18~22시],$U348))</f>
        <v/>
      </c>
      <c r="S348" s="20">
        <f>IF($U348="","",INDEX(상세표[22~06시],$U348))</f>
        <v/>
      </c>
      <c r="T348" s="20">
        <f>IF($U348="","",INDEX(상세표[기록 시간외],$U348))</f>
        <v/>
      </c>
      <c r="U348" s="4">
        <f>IFERROR(MATCH(343,상세표[발송순번],0),"")</f>
        <v/>
      </c>
    </row>
    <row r="349">
      <c r="J349">
        <f>IF($U349="","",INDEX(상세표[사번],$U349)&amp;"")</f>
        <v/>
      </c>
      <c r="K349">
        <f>IF($U349="","",INDEX(상세표[성명],$U349)&amp;"")</f>
        <v/>
      </c>
      <c r="L349">
        <f>IF($U349="","",INDEX(상세표[직위],$U349)&amp;"")</f>
        <v/>
      </c>
      <c r="M349">
        <f>IF($U349="","",IF(ISNUMBER(INDEX(상세표[근무일자],$U349)),TEXT(INDEX(상세표[근무일자],$U349),"yyyy-mm-dd"),INDEX(상세표[근무일자],$U349)&amp;""))</f>
        <v/>
      </c>
      <c r="N349">
        <f>IF($U349="","",IF(ISNUMBER(INDEX(상세표[시작],$U349)),TEXT(INDEX(상세표[시작],$U349),"yyyy-mm-dd hh:mm"),INDEX(상세표[시작],$U349)&amp;""))</f>
        <v/>
      </c>
      <c r="O349">
        <f>IF($U349="","",IF(ISNUMBER(INDEX(상세표[종료],$U349)),TEXT(INDEX(상세표[종료],$U349),"yyyy-mm-dd hh:mm"),INDEX(상세표[종료],$U349)&amp;""))</f>
        <v/>
      </c>
      <c r="P349" s="20">
        <f>IF($U349="","",INDEX(상세표[06~07시],$U349))</f>
        <v/>
      </c>
      <c r="Q349" s="20">
        <f>IF($U349="","",INDEX(상세표[07~18시],$U349))</f>
        <v/>
      </c>
      <c r="R349" s="20">
        <f>IF($U349="","",INDEX(상세표[18~22시],$U349))</f>
        <v/>
      </c>
      <c r="S349" s="20">
        <f>IF($U349="","",INDEX(상세표[22~06시],$U349))</f>
        <v/>
      </c>
      <c r="T349" s="20">
        <f>IF($U349="","",INDEX(상세표[기록 시간외],$U349))</f>
        <v/>
      </c>
      <c r="U349" s="4">
        <f>IFERROR(MATCH(344,상세표[발송순번],0),"")</f>
        <v/>
      </c>
    </row>
    <row r="350">
      <c r="J350">
        <f>IF($U350="","",INDEX(상세표[사번],$U350)&amp;"")</f>
        <v/>
      </c>
      <c r="K350">
        <f>IF($U350="","",INDEX(상세표[성명],$U350)&amp;"")</f>
        <v/>
      </c>
      <c r="L350">
        <f>IF($U350="","",INDEX(상세표[직위],$U350)&amp;"")</f>
        <v/>
      </c>
      <c r="M350">
        <f>IF($U350="","",IF(ISNUMBER(INDEX(상세표[근무일자],$U350)),TEXT(INDEX(상세표[근무일자],$U350),"yyyy-mm-dd"),INDEX(상세표[근무일자],$U350)&amp;""))</f>
        <v/>
      </c>
      <c r="N350">
        <f>IF($U350="","",IF(ISNUMBER(INDEX(상세표[시작],$U350)),TEXT(INDEX(상세표[시작],$U350),"yyyy-mm-dd hh:mm"),INDEX(상세표[시작],$U350)&amp;""))</f>
        <v/>
      </c>
      <c r="O350">
        <f>IF($U350="","",IF(ISNUMBER(INDEX(상세표[종료],$U350)),TEXT(INDEX(상세표[종료],$U350),"yyyy-mm-dd hh:mm"),INDEX(상세표[종료],$U350)&amp;""))</f>
        <v/>
      </c>
      <c r="P350" s="20">
        <f>IF($U350="","",INDEX(상세표[06~07시],$U350))</f>
        <v/>
      </c>
      <c r="Q350" s="20">
        <f>IF($U350="","",INDEX(상세표[07~18시],$U350))</f>
        <v/>
      </c>
      <c r="R350" s="20">
        <f>IF($U350="","",INDEX(상세표[18~22시],$U350))</f>
        <v/>
      </c>
      <c r="S350" s="20">
        <f>IF($U350="","",INDEX(상세표[22~06시],$U350))</f>
        <v/>
      </c>
      <c r="T350" s="20">
        <f>IF($U350="","",INDEX(상세표[기록 시간외],$U350))</f>
        <v/>
      </c>
      <c r="U350" s="4">
        <f>IFERROR(MATCH(345,상세표[발송순번],0),"")</f>
        <v/>
      </c>
    </row>
    <row r="351">
      <c r="J351">
        <f>IF($U351="","",INDEX(상세표[사번],$U351)&amp;"")</f>
        <v/>
      </c>
      <c r="K351">
        <f>IF($U351="","",INDEX(상세표[성명],$U351)&amp;"")</f>
        <v/>
      </c>
      <c r="L351">
        <f>IF($U351="","",INDEX(상세표[직위],$U351)&amp;"")</f>
        <v/>
      </c>
      <c r="M351">
        <f>IF($U351="","",IF(ISNUMBER(INDEX(상세표[근무일자],$U351)),TEXT(INDEX(상세표[근무일자],$U351),"yyyy-mm-dd"),INDEX(상세표[근무일자],$U351)&amp;""))</f>
        <v/>
      </c>
      <c r="N351">
        <f>IF($U351="","",IF(ISNUMBER(INDEX(상세표[시작],$U351)),TEXT(INDEX(상세표[시작],$U351),"yyyy-mm-dd hh:mm"),INDEX(상세표[시작],$U351)&amp;""))</f>
        <v/>
      </c>
      <c r="O351">
        <f>IF($U351="","",IF(ISNUMBER(INDEX(상세표[종료],$U351)),TEXT(INDEX(상세표[종료],$U351),"yyyy-mm-dd hh:mm"),INDEX(상세표[종료],$U351)&amp;""))</f>
        <v/>
      </c>
      <c r="P351" s="20">
        <f>IF($U351="","",INDEX(상세표[06~07시],$U351))</f>
        <v/>
      </c>
      <c r="Q351" s="20">
        <f>IF($U351="","",INDEX(상세표[07~18시],$U351))</f>
        <v/>
      </c>
      <c r="R351" s="20">
        <f>IF($U351="","",INDEX(상세표[18~22시],$U351))</f>
        <v/>
      </c>
      <c r="S351" s="20">
        <f>IF($U351="","",INDEX(상세표[22~06시],$U351))</f>
        <v/>
      </c>
      <c r="T351" s="20">
        <f>IF($U351="","",INDEX(상세표[기록 시간외],$U351))</f>
        <v/>
      </c>
      <c r="U351" s="4">
        <f>IFERROR(MATCH(346,상세표[발송순번],0),"")</f>
        <v/>
      </c>
    </row>
    <row r="352">
      <c r="J352">
        <f>IF($U352="","",INDEX(상세표[사번],$U352)&amp;"")</f>
        <v/>
      </c>
      <c r="K352">
        <f>IF($U352="","",INDEX(상세표[성명],$U352)&amp;"")</f>
        <v/>
      </c>
      <c r="L352">
        <f>IF($U352="","",INDEX(상세표[직위],$U352)&amp;"")</f>
        <v/>
      </c>
      <c r="M352">
        <f>IF($U352="","",IF(ISNUMBER(INDEX(상세표[근무일자],$U352)),TEXT(INDEX(상세표[근무일자],$U352),"yyyy-mm-dd"),INDEX(상세표[근무일자],$U352)&amp;""))</f>
        <v/>
      </c>
      <c r="N352">
        <f>IF($U352="","",IF(ISNUMBER(INDEX(상세표[시작],$U352)),TEXT(INDEX(상세표[시작],$U352),"yyyy-mm-dd hh:mm"),INDEX(상세표[시작],$U352)&amp;""))</f>
        <v/>
      </c>
      <c r="O352">
        <f>IF($U352="","",IF(ISNUMBER(INDEX(상세표[종료],$U352)),TEXT(INDEX(상세표[종료],$U352),"yyyy-mm-dd hh:mm"),INDEX(상세표[종료],$U352)&amp;""))</f>
        <v/>
      </c>
      <c r="P352" s="20">
        <f>IF($U352="","",INDEX(상세표[06~07시],$U352))</f>
        <v/>
      </c>
      <c r="Q352" s="20">
        <f>IF($U352="","",INDEX(상세표[07~18시],$U352))</f>
        <v/>
      </c>
      <c r="R352" s="20">
        <f>IF($U352="","",INDEX(상세표[18~22시],$U352))</f>
        <v/>
      </c>
      <c r="S352" s="20">
        <f>IF($U352="","",INDEX(상세표[22~06시],$U352))</f>
        <v/>
      </c>
      <c r="T352" s="20">
        <f>IF($U352="","",INDEX(상세표[기록 시간외],$U352))</f>
        <v/>
      </c>
      <c r="U352" s="4">
        <f>IFERROR(MATCH(347,상세표[발송순번],0),"")</f>
        <v/>
      </c>
    </row>
    <row r="353">
      <c r="J353">
        <f>IF($U353="","",INDEX(상세표[사번],$U353)&amp;"")</f>
        <v/>
      </c>
      <c r="K353">
        <f>IF($U353="","",INDEX(상세표[성명],$U353)&amp;"")</f>
        <v/>
      </c>
      <c r="L353">
        <f>IF($U353="","",INDEX(상세표[직위],$U353)&amp;"")</f>
        <v/>
      </c>
      <c r="M353">
        <f>IF($U353="","",IF(ISNUMBER(INDEX(상세표[근무일자],$U353)),TEXT(INDEX(상세표[근무일자],$U353),"yyyy-mm-dd"),INDEX(상세표[근무일자],$U353)&amp;""))</f>
        <v/>
      </c>
      <c r="N353">
        <f>IF($U353="","",IF(ISNUMBER(INDEX(상세표[시작],$U353)),TEXT(INDEX(상세표[시작],$U353),"yyyy-mm-dd hh:mm"),INDEX(상세표[시작],$U353)&amp;""))</f>
        <v/>
      </c>
      <c r="O353">
        <f>IF($U353="","",IF(ISNUMBER(INDEX(상세표[종료],$U353)),TEXT(INDEX(상세표[종료],$U353),"yyyy-mm-dd hh:mm"),INDEX(상세표[종료],$U353)&amp;""))</f>
        <v/>
      </c>
      <c r="P353" s="20">
        <f>IF($U353="","",INDEX(상세표[06~07시],$U353))</f>
        <v/>
      </c>
      <c r="Q353" s="20">
        <f>IF($U353="","",INDEX(상세표[07~18시],$U353))</f>
        <v/>
      </c>
      <c r="R353" s="20">
        <f>IF($U353="","",INDEX(상세표[18~22시],$U353))</f>
        <v/>
      </c>
      <c r="S353" s="20">
        <f>IF($U353="","",INDEX(상세표[22~06시],$U353))</f>
        <v/>
      </c>
      <c r="T353" s="20">
        <f>IF($U353="","",INDEX(상세표[기록 시간외],$U353))</f>
        <v/>
      </c>
      <c r="U353" s="4">
        <f>IFERROR(MATCH(348,상세표[발송순번],0),"")</f>
        <v/>
      </c>
    </row>
    <row r="354">
      <c r="J354">
        <f>IF($U354="","",INDEX(상세표[사번],$U354)&amp;"")</f>
        <v/>
      </c>
      <c r="K354">
        <f>IF($U354="","",INDEX(상세표[성명],$U354)&amp;"")</f>
        <v/>
      </c>
      <c r="L354">
        <f>IF($U354="","",INDEX(상세표[직위],$U354)&amp;"")</f>
        <v/>
      </c>
      <c r="M354">
        <f>IF($U354="","",IF(ISNUMBER(INDEX(상세표[근무일자],$U354)),TEXT(INDEX(상세표[근무일자],$U354),"yyyy-mm-dd"),INDEX(상세표[근무일자],$U354)&amp;""))</f>
        <v/>
      </c>
      <c r="N354">
        <f>IF($U354="","",IF(ISNUMBER(INDEX(상세표[시작],$U354)),TEXT(INDEX(상세표[시작],$U354),"yyyy-mm-dd hh:mm"),INDEX(상세표[시작],$U354)&amp;""))</f>
        <v/>
      </c>
      <c r="O354">
        <f>IF($U354="","",IF(ISNUMBER(INDEX(상세표[종료],$U354)),TEXT(INDEX(상세표[종료],$U354),"yyyy-mm-dd hh:mm"),INDEX(상세표[종료],$U354)&amp;""))</f>
        <v/>
      </c>
      <c r="P354" s="20">
        <f>IF($U354="","",INDEX(상세표[06~07시],$U354))</f>
        <v/>
      </c>
      <c r="Q354" s="20">
        <f>IF($U354="","",INDEX(상세표[07~18시],$U354))</f>
        <v/>
      </c>
      <c r="R354" s="20">
        <f>IF($U354="","",INDEX(상세표[18~22시],$U354))</f>
        <v/>
      </c>
      <c r="S354" s="20">
        <f>IF($U354="","",INDEX(상세표[22~06시],$U354))</f>
        <v/>
      </c>
      <c r="T354" s="20">
        <f>IF($U354="","",INDEX(상세표[기록 시간외],$U354))</f>
        <v/>
      </c>
      <c r="U354" s="4">
        <f>IFERROR(MATCH(349,상세표[발송순번],0),"")</f>
        <v/>
      </c>
    </row>
    <row r="355">
      <c r="J355">
        <f>IF($U355="","",INDEX(상세표[사번],$U355)&amp;"")</f>
        <v/>
      </c>
      <c r="K355">
        <f>IF($U355="","",INDEX(상세표[성명],$U355)&amp;"")</f>
        <v/>
      </c>
      <c r="L355">
        <f>IF($U355="","",INDEX(상세표[직위],$U355)&amp;"")</f>
        <v/>
      </c>
      <c r="M355">
        <f>IF($U355="","",IF(ISNUMBER(INDEX(상세표[근무일자],$U355)),TEXT(INDEX(상세표[근무일자],$U355),"yyyy-mm-dd"),INDEX(상세표[근무일자],$U355)&amp;""))</f>
        <v/>
      </c>
      <c r="N355">
        <f>IF($U355="","",IF(ISNUMBER(INDEX(상세표[시작],$U355)),TEXT(INDEX(상세표[시작],$U355),"yyyy-mm-dd hh:mm"),INDEX(상세표[시작],$U355)&amp;""))</f>
        <v/>
      </c>
      <c r="O355">
        <f>IF($U355="","",IF(ISNUMBER(INDEX(상세표[종료],$U355)),TEXT(INDEX(상세표[종료],$U355),"yyyy-mm-dd hh:mm"),INDEX(상세표[종료],$U355)&amp;""))</f>
        <v/>
      </c>
      <c r="P355" s="20">
        <f>IF($U355="","",INDEX(상세표[06~07시],$U355))</f>
        <v/>
      </c>
      <c r="Q355" s="20">
        <f>IF($U355="","",INDEX(상세표[07~18시],$U355))</f>
        <v/>
      </c>
      <c r="R355" s="20">
        <f>IF($U355="","",INDEX(상세표[18~22시],$U355))</f>
        <v/>
      </c>
      <c r="S355" s="20">
        <f>IF($U355="","",INDEX(상세표[22~06시],$U355))</f>
        <v/>
      </c>
      <c r="T355" s="20">
        <f>IF($U355="","",INDEX(상세표[기록 시간외],$U355))</f>
        <v/>
      </c>
      <c r="U355" s="4">
        <f>IFERROR(MATCH(350,상세표[발송순번],0),"")</f>
        <v/>
      </c>
    </row>
    <row r="356">
      <c r="J356">
        <f>IF($U356="","",INDEX(상세표[사번],$U356)&amp;"")</f>
        <v/>
      </c>
      <c r="K356">
        <f>IF($U356="","",INDEX(상세표[성명],$U356)&amp;"")</f>
        <v/>
      </c>
      <c r="L356">
        <f>IF($U356="","",INDEX(상세표[직위],$U356)&amp;"")</f>
        <v/>
      </c>
      <c r="M356">
        <f>IF($U356="","",IF(ISNUMBER(INDEX(상세표[근무일자],$U356)),TEXT(INDEX(상세표[근무일자],$U356),"yyyy-mm-dd"),INDEX(상세표[근무일자],$U356)&amp;""))</f>
        <v/>
      </c>
      <c r="N356">
        <f>IF($U356="","",IF(ISNUMBER(INDEX(상세표[시작],$U356)),TEXT(INDEX(상세표[시작],$U356),"yyyy-mm-dd hh:mm"),INDEX(상세표[시작],$U356)&amp;""))</f>
        <v/>
      </c>
      <c r="O356">
        <f>IF($U356="","",IF(ISNUMBER(INDEX(상세표[종료],$U356)),TEXT(INDEX(상세표[종료],$U356),"yyyy-mm-dd hh:mm"),INDEX(상세표[종료],$U356)&amp;""))</f>
        <v/>
      </c>
      <c r="P356" s="20">
        <f>IF($U356="","",INDEX(상세표[06~07시],$U356))</f>
        <v/>
      </c>
      <c r="Q356" s="20">
        <f>IF($U356="","",INDEX(상세표[07~18시],$U356))</f>
        <v/>
      </c>
      <c r="R356" s="20">
        <f>IF($U356="","",INDEX(상세표[18~22시],$U356))</f>
        <v/>
      </c>
      <c r="S356" s="20">
        <f>IF($U356="","",INDEX(상세표[22~06시],$U356))</f>
        <v/>
      </c>
      <c r="T356" s="20">
        <f>IF($U356="","",INDEX(상세표[기록 시간외],$U356))</f>
        <v/>
      </c>
      <c r="U356" s="4">
        <f>IFERROR(MATCH(351,상세표[발송순번],0),"")</f>
        <v/>
      </c>
    </row>
    <row r="357">
      <c r="J357">
        <f>IF($U357="","",INDEX(상세표[사번],$U357)&amp;"")</f>
        <v/>
      </c>
      <c r="K357">
        <f>IF($U357="","",INDEX(상세표[성명],$U357)&amp;"")</f>
        <v/>
      </c>
      <c r="L357">
        <f>IF($U357="","",INDEX(상세표[직위],$U357)&amp;"")</f>
        <v/>
      </c>
      <c r="M357">
        <f>IF($U357="","",IF(ISNUMBER(INDEX(상세표[근무일자],$U357)),TEXT(INDEX(상세표[근무일자],$U357),"yyyy-mm-dd"),INDEX(상세표[근무일자],$U357)&amp;""))</f>
        <v/>
      </c>
      <c r="N357">
        <f>IF($U357="","",IF(ISNUMBER(INDEX(상세표[시작],$U357)),TEXT(INDEX(상세표[시작],$U357),"yyyy-mm-dd hh:mm"),INDEX(상세표[시작],$U357)&amp;""))</f>
        <v/>
      </c>
      <c r="O357">
        <f>IF($U357="","",IF(ISNUMBER(INDEX(상세표[종료],$U357)),TEXT(INDEX(상세표[종료],$U357),"yyyy-mm-dd hh:mm"),INDEX(상세표[종료],$U357)&amp;""))</f>
        <v/>
      </c>
      <c r="P357" s="20">
        <f>IF($U357="","",INDEX(상세표[06~07시],$U357))</f>
        <v/>
      </c>
      <c r="Q357" s="20">
        <f>IF($U357="","",INDEX(상세표[07~18시],$U357))</f>
        <v/>
      </c>
      <c r="R357" s="20">
        <f>IF($U357="","",INDEX(상세표[18~22시],$U357))</f>
        <v/>
      </c>
      <c r="S357" s="20">
        <f>IF($U357="","",INDEX(상세표[22~06시],$U357))</f>
        <v/>
      </c>
      <c r="T357" s="20">
        <f>IF($U357="","",INDEX(상세표[기록 시간외],$U357))</f>
        <v/>
      </c>
      <c r="U357" s="4">
        <f>IFERROR(MATCH(352,상세표[발송순번],0),"")</f>
        <v/>
      </c>
    </row>
    <row r="358">
      <c r="J358">
        <f>IF($U358="","",INDEX(상세표[사번],$U358)&amp;"")</f>
        <v/>
      </c>
      <c r="K358">
        <f>IF($U358="","",INDEX(상세표[성명],$U358)&amp;"")</f>
        <v/>
      </c>
      <c r="L358">
        <f>IF($U358="","",INDEX(상세표[직위],$U358)&amp;"")</f>
        <v/>
      </c>
      <c r="M358">
        <f>IF($U358="","",IF(ISNUMBER(INDEX(상세표[근무일자],$U358)),TEXT(INDEX(상세표[근무일자],$U358),"yyyy-mm-dd"),INDEX(상세표[근무일자],$U358)&amp;""))</f>
        <v/>
      </c>
      <c r="N358">
        <f>IF($U358="","",IF(ISNUMBER(INDEX(상세표[시작],$U358)),TEXT(INDEX(상세표[시작],$U358),"yyyy-mm-dd hh:mm"),INDEX(상세표[시작],$U358)&amp;""))</f>
        <v/>
      </c>
      <c r="O358">
        <f>IF($U358="","",IF(ISNUMBER(INDEX(상세표[종료],$U358)),TEXT(INDEX(상세표[종료],$U358),"yyyy-mm-dd hh:mm"),INDEX(상세표[종료],$U358)&amp;""))</f>
        <v/>
      </c>
      <c r="P358" s="20">
        <f>IF($U358="","",INDEX(상세표[06~07시],$U358))</f>
        <v/>
      </c>
      <c r="Q358" s="20">
        <f>IF($U358="","",INDEX(상세표[07~18시],$U358))</f>
        <v/>
      </c>
      <c r="R358" s="20">
        <f>IF($U358="","",INDEX(상세표[18~22시],$U358))</f>
        <v/>
      </c>
      <c r="S358" s="20">
        <f>IF($U358="","",INDEX(상세표[22~06시],$U358))</f>
        <v/>
      </c>
      <c r="T358" s="20">
        <f>IF($U358="","",INDEX(상세표[기록 시간외],$U358))</f>
        <v/>
      </c>
      <c r="U358" s="4">
        <f>IFERROR(MATCH(353,상세표[발송순번],0),"")</f>
        <v/>
      </c>
    </row>
    <row r="359">
      <c r="J359">
        <f>IF($U359="","",INDEX(상세표[사번],$U359)&amp;"")</f>
        <v/>
      </c>
      <c r="K359">
        <f>IF($U359="","",INDEX(상세표[성명],$U359)&amp;"")</f>
        <v/>
      </c>
      <c r="L359">
        <f>IF($U359="","",INDEX(상세표[직위],$U359)&amp;"")</f>
        <v/>
      </c>
      <c r="M359">
        <f>IF($U359="","",IF(ISNUMBER(INDEX(상세표[근무일자],$U359)),TEXT(INDEX(상세표[근무일자],$U359),"yyyy-mm-dd"),INDEX(상세표[근무일자],$U359)&amp;""))</f>
        <v/>
      </c>
      <c r="N359">
        <f>IF($U359="","",IF(ISNUMBER(INDEX(상세표[시작],$U359)),TEXT(INDEX(상세표[시작],$U359),"yyyy-mm-dd hh:mm"),INDEX(상세표[시작],$U359)&amp;""))</f>
        <v/>
      </c>
      <c r="O359">
        <f>IF($U359="","",IF(ISNUMBER(INDEX(상세표[종료],$U359)),TEXT(INDEX(상세표[종료],$U359),"yyyy-mm-dd hh:mm"),INDEX(상세표[종료],$U359)&amp;""))</f>
        <v/>
      </c>
      <c r="P359" s="20">
        <f>IF($U359="","",INDEX(상세표[06~07시],$U359))</f>
        <v/>
      </c>
      <c r="Q359" s="20">
        <f>IF($U359="","",INDEX(상세표[07~18시],$U359))</f>
        <v/>
      </c>
      <c r="R359" s="20">
        <f>IF($U359="","",INDEX(상세표[18~22시],$U359))</f>
        <v/>
      </c>
      <c r="S359" s="20">
        <f>IF($U359="","",INDEX(상세표[22~06시],$U359))</f>
        <v/>
      </c>
      <c r="T359" s="20">
        <f>IF($U359="","",INDEX(상세표[기록 시간외],$U359))</f>
        <v/>
      </c>
      <c r="U359" s="4">
        <f>IFERROR(MATCH(354,상세표[발송순번],0),"")</f>
        <v/>
      </c>
    </row>
    <row r="360">
      <c r="J360">
        <f>IF($U360="","",INDEX(상세표[사번],$U360)&amp;"")</f>
        <v/>
      </c>
      <c r="K360">
        <f>IF($U360="","",INDEX(상세표[성명],$U360)&amp;"")</f>
        <v/>
      </c>
      <c r="L360">
        <f>IF($U360="","",INDEX(상세표[직위],$U360)&amp;"")</f>
        <v/>
      </c>
      <c r="M360">
        <f>IF($U360="","",IF(ISNUMBER(INDEX(상세표[근무일자],$U360)),TEXT(INDEX(상세표[근무일자],$U360),"yyyy-mm-dd"),INDEX(상세표[근무일자],$U360)&amp;""))</f>
        <v/>
      </c>
      <c r="N360">
        <f>IF($U360="","",IF(ISNUMBER(INDEX(상세표[시작],$U360)),TEXT(INDEX(상세표[시작],$U360),"yyyy-mm-dd hh:mm"),INDEX(상세표[시작],$U360)&amp;""))</f>
        <v/>
      </c>
      <c r="O360">
        <f>IF($U360="","",IF(ISNUMBER(INDEX(상세표[종료],$U360)),TEXT(INDEX(상세표[종료],$U360),"yyyy-mm-dd hh:mm"),INDEX(상세표[종료],$U360)&amp;""))</f>
        <v/>
      </c>
      <c r="P360" s="20">
        <f>IF($U360="","",INDEX(상세표[06~07시],$U360))</f>
        <v/>
      </c>
      <c r="Q360" s="20">
        <f>IF($U360="","",INDEX(상세표[07~18시],$U360))</f>
        <v/>
      </c>
      <c r="R360" s="20">
        <f>IF($U360="","",INDEX(상세표[18~22시],$U360))</f>
        <v/>
      </c>
      <c r="S360" s="20">
        <f>IF($U360="","",INDEX(상세표[22~06시],$U360))</f>
        <v/>
      </c>
      <c r="T360" s="20">
        <f>IF($U360="","",INDEX(상세표[기록 시간외],$U360))</f>
        <v/>
      </c>
      <c r="U360" s="4">
        <f>IFERROR(MATCH(355,상세표[발송순번],0),"")</f>
        <v/>
      </c>
    </row>
    <row r="361">
      <c r="J361">
        <f>IF($U361="","",INDEX(상세표[사번],$U361)&amp;"")</f>
        <v/>
      </c>
      <c r="K361">
        <f>IF($U361="","",INDEX(상세표[성명],$U361)&amp;"")</f>
        <v/>
      </c>
      <c r="L361">
        <f>IF($U361="","",INDEX(상세표[직위],$U361)&amp;"")</f>
        <v/>
      </c>
      <c r="M361">
        <f>IF($U361="","",IF(ISNUMBER(INDEX(상세표[근무일자],$U361)),TEXT(INDEX(상세표[근무일자],$U361),"yyyy-mm-dd"),INDEX(상세표[근무일자],$U361)&amp;""))</f>
        <v/>
      </c>
      <c r="N361">
        <f>IF($U361="","",IF(ISNUMBER(INDEX(상세표[시작],$U361)),TEXT(INDEX(상세표[시작],$U361),"yyyy-mm-dd hh:mm"),INDEX(상세표[시작],$U361)&amp;""))</f>
        <v/>
      </c>
      <c r="O361">
        <f>IF($U361="","",IF(ISNUMBER(INDEX(상세표[종료],$U361)),TEXT(INDEX(상세표[종료],$U361),"yyyy-mm-dd hh:mm"),INDEX(상세표[종료],$U361)&amp;""))</f>
        <v/>
      </c>
      <c r="P361" s="20">
        <f>IF($U361="","",INDEX(상세표[06~07시],$U361))</f>
        <v/>
      </c>
      <c r="Q361" s="20">
        <f>IF($U361="","",INDEX(상세표[07~18시],$U361))</f>
        <v/>
      </c>
      <c r="R361" s="20">
        <f>IF($U361="","",INDEX(상세표[18~22시],$U361))</f>
        <v/>
      </c>
      <c r="S361" s="20">
        <f>IF($U361="","",INDEX(상세표[22~06시],$U361))</f>
        <v/>
      </c>
      <c r="T361" s="20">
        <f>IF($U361="","",INDEX(상세표[기록 시간외],$U361))</f>
        <v/>
      </c>
      <c r="U361" s="4">
        <f>IFERROR(MATCH(356,상세표[발송순번],0),"")</f>
        <v/>
      </c>
    </row>
    <row r="362">
      <c r="J362">
        <f>IF($U362="","",INDEX(상세표[사번],$U362)&amp;"")</f>
        <v/>
      </c>
      <c r="K362">
        <f>IF($U362="","",INDEX(상세표[성명],$U362)&amp;"")</f>
        <v/>
      </c>
      <c r="L362">
        <f>IF($U362="","",INDEX(상세표[직위],$U362)&amp;"")</f>
        <v/>
      </c>
      <c r="M362">
        <f>IF($U362="","",IF(ISNUMBER(INDEX(상세표[근무일자],$U362)),TEXT(INDEX(상세표[근무일자],$U362),"yyyy-mm-dd"),INDEX(상세표[근무일자],$U362)&amp;""))</f>
        <v/>
      </c>
      <c r="N362">
        <f>IF($U362="","",IF(ISNUMBER(INDEX(상세표[시작],$U362)),TEXT(INDEX(상세표[시작],$U362),"yyyy-mm-dd hh:mm"),INDEX(상세표[시작],$U362)&amp;""))</f>
        <v/>
      </c>
      <c r="O362">
        <f>IF($U362="","",IF(ISNUMBER(INDEX(상세표[종료],$U362)),TEXT(INDEX(상세표[종료],$U362),"yyyy-mm-dd hh:mm"),INDEX(상세표[종료],$U362)&amp;""))</f>
        <v/>
      </c>
      <c r="P362" s="20">
        <f>IF($U362="","",INDEX(상세표[06~07시],$U362))</f>
        <v/>
      </c>
      <c r="Q362" s="20">
        <f>IF($U362="","",INDEX(상세표[07~18시],$U362))</f>
        <v/>
      </c>
      <c r="R362" s="20">
        <f>IF($U362="","",INDEX(상세표[18~22시],$U362))</f>
        <v/>
      </c>
      <c r="S362" s="20">
        <f>IF($U362="","",INDEX(상세표[22~06시],$U362))</f>
        <v/>
      </c>
      <c r="T362" s="20">
        <f>IF($U362="","",INDEX(상세표[기록 시간외],$U362))</f>
        <v/>
      </c>
      <c r="U362" s="4">
        <f>IFERROR(MATCH(357,상세표[발송순번],0),"")</f>
        <v/>
      </c>
    </row>
    <row r="363">
      <c r="J363">
        <f>IF($U363="","",INDEX(상세표[사번],$U363)&amp;"")</f>
        <v/>
      </c>
      <c r="K363">
        <f>IF($U363="","",INDEX(상세표[성명],$U363)&amp;"")</f>
        <v/>
      </c>
      <c r="L363">
        <f>IF($U363="","",INDEX(상세표[직위],$U363)&amp;"")</f>
        <v/>
      </c>
      <c r="M363">
        <f>IF($U363="","",IF(ISNUMBER(INDEX(상세표[근무일자],$U363)),TEXT(INDEX(상세표[근무일자],$U363),"yyyy-mm-dd"),INDEX(상세표[근무일자],$U363)&amp;""))</f>
        <v/>
      </c>
      <c r="N363">
        <f>IF($U363="","",IF(ISNUMBER(INDEX(상세표[시작],$U363)),TEXT(INDEX(상세표[시작],$U363),"yyyy-mm-dd hh:mm"),INDEX(상세표[시작],$U363)&amp;""))</f>
        <v/>
      </c>
      <c r="O363">
        <f>IF($U363="","",IF(ISNUMBER(INDEX(상세표[종료],$U363)),TEXT(INDEX(상세표[종료],$U363),"yyyy-mm-dd hh:mm"),INDEX(상세표[종료],$U363)&amp;""))</f>
        <v/>
      </c>
      <c r="P363" s="20">
        <f>IF($U363="","",INDEX(상세표[06~07시],$U363))</f>
        <v/>
      </c>
      <c r="Q363" s="20">
        <f>IF($U363="","",INDEX(상세표[07~18시],$U363))</f>
        <v/>
      </c>
      <c r="R363" s="20">
        <f>IF($U363="","",INDEX(상세표[18~22시],$U363))</f>
        <v/>
      </c>
      <c r="S363" s="20">
        <f>IF($U363="","",INDEX(상세표[22~06시],$U363))</f>
        <v/>
      </c>
      <c r="T363" s="20">
        <f>IF($U363="","",INDEX(상세표[기록 시간외],$U363))</f>
        <v/>
      </c>
      <c r="U363" s="4">
        <f>IFERROR(MATCH(358,상세표[발송순번],0),"")</f>
        <v/>
      </c>
    </row>
    <row r="364">
      <c r="J364">
        <f>IF($U364="","",INDEX(상세표[사번],$U364)&amp;"")</f>
        <v/>
      </c>
      <c r="K364">
        <f>IF($U364="","",INDEX(상세표[성명],$U364)&amp;"")</f>
        <v/>
      </c>
      <c r="L364">
        <f>IF($U364="","",INDEX(상세표[직위],$U364)&amp;"")</f>
        <v/>
      </c>
      <c r="M364">
        <f>IF($U364="","",IF(ISNUMBER(INDEX(상세표[근무일자],$U364)),TEXT(INDEX(상세표[근무일자],$U364),"yyyy-mm-dd"),INDEX(상세표[근무일자],$U364)&amp;""))</f>
        <v/>
      </c>
      <c r="N364">
        <f>IF($U364="","",IF(ISNUMBER(INDEX(상세표[시작],$U364)),TEXT(INDEX(상세표[시작],$U364),"yyyy-mm-dd hh:mm"),INDEX(상세표[시작],$U364)&amp;""))</f>
        <v/>
      </c>
      <c r="O364">
        <f>IF($U364="","",IF(ISNUMBER(INDEX(상세표[종료],$U364)),TEXT(INDEX(상세표[종료],$U364),"yyyy-mm-dd hh:mm"),INDEX(상세표[종료],$U364)&amp;""))</f>
        <v/>
      </c>
      <c r="P364" s="20">
        <f>IF($U364="","",INDEX(상세표[06~07시],$U364))</f>
        <v/>
      </c>
      <c r="Q364" s="20">
        <f>IF($U364="","",INDEX(상세표[07~18시],$U364))</f>
        <v/>
      </c>
      <c r="R364" s="20">
        <f>IF($U364="","",INDEX(상세표[18~22시],$U364))</f>
        <v/>
      </c>
      <c r="S364" s="20">
        <f>IF($U364="","",INDEX(상세표[22~06시],$U364))</f>
        <v/>
      </c>
      <c r="T364" s="20">
        <f>IF($U364="","",INDEX(상세표[기록 시간외],$U364))</f>
        <v/>
      </c>
      <c r="U364" s="4">
        <f>IFERROR(MATCH(359,상세표[발송순번],0),"")</f>
        <v/>
      </c>
    </row>
    <row r="365">
      <c r="J365">
        <f>IF($U365="","",INDEX(상세표[사번],$U365)&amp;"")</f>
        <v/>
      </c>
      <c r="K365">
        <f>IF($U365="","",INDEX(상세표[성명],$U365)&amp;"")</f>
        <v/>
      </c>
      <c r="L365">
        <f>IF($U365="","",INDEX(상세표[직위],$U365)&amp;"")</f>
        <v/>
      </c>
      <c r="M365">
        <f>IF($U365="","",IF(ISNUMBER(INDEX(상세표[근무일자],$U365)),TEXT(INDEX(상세표[근무일자],$U365),"yyyy-mm-dd"),INDEX(상세표[근무일자],$U365)&amp;""))</f>
        <v/>
      </c>
      <c r="N365">
        <f>IF($U365="","",IF(ISNUMBER(INDEX(상세표[시작],$U365)),TEXT(INDEX(상세표[시작],$U365),"yyyy-mm-dd hh:mm"),INDEX(상세표[시작],$U365)&amp;""))</f>
        <v/>
      </c>
      <c r="O365">
        <f>IF($U365="","",IF(ISNUMBER(INDEX(상세표[종료],$U365)),TEXT(INDEX(상세표[종료],$U365),"yyyy-mm-dd hh:mm"),INDEX(상세표[종료],$U365)&amp;""))</f>
        <v/>
      </c>
      <c r="P365" s="20">
        <f>IF($U365="","",INDEX(상세표[06~07시],$U365))</f>
        <v/>
      </c>
      <c r="Q365" s="20">
        <f>IF($U365="","",INDEX(상세표[07~18시],$U365))</f>
        <v/>
      </c>
      <c r="R365" s="20">
        <f>IF($U365="","",INDEX(상세표[18~22시],$U365))</f>
        <v/>
      </c>
      <c r="S365" s="20">
        <f>IF($U365="","",INDEX(상세표[22~06시],$U365))</f>
        <v/>
      </c>
      <c r="T365" s="20">
        <f>IF($U365="","",INDEX(상세표[기록 시간외],$U365))</f>
        <v/>
      </c>
      <c r="U365" s="4">
        <f>IFERROR(MATCH(360,상세표[발송순번],0),"")</f>
        <v/>
      </c>
    </row>
    <row r="366">
      <c r="J366">
        <f>IF($U366="","",INDEX(상세표[사번],$U366)&amp;"")</f>
        <v/>
      </c>
      <c r="K366">
        <f>IF($U366="","",INDEX(상세표[성명],$U366)&amp;"")</f>
        <v/>
      </c>
      <c r="L366">
        <f>IF($U366="","",INDEX(상세표[직위],$U366)&amp;"")</f>
        <v/>
      </c>
      <c r="M366">
        <f>IF($U366="","",IF(ISNUMBER(INDEX(상세표[근무일자],$U366)),TEXT(INDEX(상세표[근무일자],$U366),"yyyy-mm-dd"),INDEX(상세표[근무일자],$U366)&amp;""))</f>
        <v/>
      </c>
      <c r="N366">
        <f>IF($U366="","",IF(ISNUMBER(INDEX(상세표[시작],$U366)),TEXT(INDEX(상세표[시작],$U366),"yyyy-mm-dd hh:mm"),INDEX(상세표[시작],$U366)&amp;""))</f>
        <v/>
      </c>
      <c r="O366">
        <f>IF($U366="","",IF(ISNUMBER(INDEX(상세표[종료],$U366)),TEXT(INDEX(상세표[종료],$U366),"yyyy-mm-dd hh:mm"),INDEX(상세표[종료],$U366)&amp;""))</f>
        <v/>
      </c>
      <c r="P366" s="20">
        <f>IF($U366="","",INDEX(상세표[06~07시],$U366))</f>
        <v/>
      </c>
      <c r="Q366" s="20">
        <f>IF($U366="","",INDEX(상세표[07~18시],$U366))</f>
        <v/>
      </c>
      <c r="R366" s="20">
        <f>IF($U366="","",INDEX(상세표[18~22시],$U366))</f>
        <v/>
      </c>
      <c r="S366" s="20">
        <f>IF($U366="","",INDEX(상세표[22~06시],$U366))</f>
        <v/>
      </c>
      <c r="T366" s="20">
        <f>IF($U366="","",INDEX(상세표[기록 시간외],$U366))</f>
        <v/>
      </c>
      <c r="U366" s="4">
        <f>IFERROR(MATCH(361,상세표[발송순번],0),"")</f>
        <v/>
      </c>
    </row>
    <row r="367">
      <c r="J367">
        <f>IF($U367="","",INDEX(상세표[사번],$U367)&amp;"")</f>
        <v/>
      </c>
      <c r="K367">
        <f>IF($U367="","",INDEX(상세표[성명],$U367)&amp;"")</f>
        <v/>
      </c>
      <c r="L367">
        <f>IF($U367="","",INDEX(상세표[직위],$U367)&amp;"")</f>
        <v/>
      </c>
      <c r="M367">
        <f>IF($U367="","",IF(ISNUMBER(INDEX(상세표[근무일자],$U367)),TEXT(INDEX(상세표[근무일자],$U367),"yyyy-mm-dd"),INDEX(상세표[근무일자],$U367)&amp;""))</f>
        <v/>
      </c>
      <c r="N367">
        <f>IF($U367="","",IF(ISNUMBER(INDEX(상세표[시작],$U367)),TEXT(INDEX(상세표[시작],$U367),"yyyy-mm-dd hh:mm"),INDEX(상세표[시작],$U367)&amp;""))</f>
        <v/>
      </c>
      <c r="O367">
        <f>IF($U367="","",IF(ISNUMBER(INDEX(상세표[종료],$U367)),TEXT(INDEX(상세표[종료],$U367),"yyyy-mm-dd hh:mm"),INDEX(상세표[종료],$U367)&amp;""))</f>
        <v/>
      </c>
      <c r="P367" s="20">
        <f>IF($U367="","",INDEX(상세표[06~07시],$U367))</f>
        <v/>
      </c>
      <c r="Q367" s="20">
        <f>IF($U367="","",INDEX(상세표[07~18시],$U367))</f>
        <v/>
      </c>
      <c r="R367" s="20">
        <f>IF($U367="","",INDEX(상세표[18~22시],$U367))</f>
        <v/>
      </c>
      <c r="S367" s="20">
        <f>IF($U367="","",INDEX(상세표[22~06시],$U367))</f>
        <v/>
      </c>
      <c r="T367" s="20">
        <f>IF($U367="","",INDEX(상세표[기록 시간외],$U367))</f>
        <v/>
      </c>
      <c r="U367" s="4">
        <f>IFERROR(MATCH(362,상세표[발송순번],0),"")</f>
        <v/>
      </c>
    </row>
    <row r="368">
      <c r="J368">
        <f>IF($U368="","",INDEX(상세표[사번],$U368)&amp;"")</f>
        <v/>
      </c>
      <c r="K368">
        <f>IF($U368="","",INDEX(상세표[성명],$U368)&amp;"")</f>
        <v/>
      </c>
      <c r="L368">
        <f>IF($U368="","",INDEX(상세표[직위],$U368)&amp;"")</f>
        <v/>
      </c>
      <c r="M368">
        <f>IF($U368="","",IF(ISNUMBER(INDEX(상세표[근무일자],$U368)),TEXT(INDEX(상세표[근무일자],$U368),"yyyy-mm-dd"),INDEX(상세표[근무일자],$U368)&amp;""))</f>
        <v/>
      </c>
      <c r="N368">
        <f>IF($U368="","",IF(ISNUMBER(INDEX(상세표[시작],$U368)),TEXT(INDEX(상세표[시작],$U368),"yyyy-mm-dd hh:mm"),INDEX(상세표[시작],$U368)&amp;""))</f>
        <v/>
      </c>
      <c r="O368">
        <f>IF($U368="","",IF(ISNUMBER(INDEX(상세표[종료],$U368)),TEXT(INDEX(상세표[종료],$U368),"yyyy-mm-dd hh:mm"),INDEX(상세표[종료],$U368)&amp;""))</f>
        <v/>
      </c>
      <c r="P368" s="20">
        <f>IF($U368="","",INDEX(상세표[06~07시],$U368))</f>
        <v/>
      </c>
      <c r="Q368" s="20">
        <f>IF($U368="","",INDEX(상세표[07~18시],$U368))</f>
        <v/>
      </c>
      <c r="R368" s="20">
        <f>IF($U368="","",INDEX(상세표[18~22시],$U368))</f>
        <v/>
      </c>
      <c r="S368" s="20">
        <f>IF($U368="","",INDEX(상세표[22~06시],$U368))</f>
        <v/>
      </c>
      <c r="T368" s="20">
        <f>IF($U368="","",INDEX(상세표[기록 시간외],$U368))</f>
        <v/>
      </c>
      <c r="U368" s="4">
        <f>IFERROR(MATCH(363,상세표[발송순번],0),"")</f>
        <v/>
      </c>
    </row>
    <row r="369">
      <c r="J369">
        <f>IF($U369="","",INDEX(상세표[사번],$U369)&amp;"")</f>
        <v/>
      </c>
      <c r="K369">
        <f>IF($U369="","",INDEX(상세표[성명],$U369)&amp;"")</f>
        <v/>
      </c>
      <c r="L369">
        <f>IF($U369="","",INDEX(상세표[직위],$U369)&amp;"")</f>
        <v/>
      </c>
      <c r="M369">
        <f>IF($U369="","",IF(ISNUMBER(INDEX(상세표[근무일자],$U369)),TEXT(INDEX(상세표[근무일자],$U369),"yyyy-mm-dd"),INDEX(상세표[근무일자],$U369)&amp;""))</f>
        <v/>
      </c>
      <c r="N369">
        <f>IF($U369="","",IF(ISNUMBER(INDEX(상세표[시작],$U369)),TEXT(INDEX(상세표[시작],$U369),"yyyy-mm-dd hh:mm"),INDEX(상세표[시작],$U369)&amp;""))</f>
        <v/>
      </c>
      <c r="O369">
        <f>IF($U369="","",IF(ISNUMBER(INDEX(상세표[종료],$U369)),TEXT(INDEX(상세표[종료],$U369),"yyyy-mm-dd hh:mm"),INDEX(상세표[종료],$U369)&amp;""))</f>
        <v/>
      </c>
      <c r="P369" s="20">
        <f>IF($U369="","",INDEX(상세표[06~07시],$U369))</f>
        <v/>
      </c>
      <c r="Q369" s="20">
        <f>IF($U369="","",INDEX(상세표[07~18시],$U369))</f>
        <v/>
      </c>
      <c r="R369" s="20">
        <f>IF($U369="","",INDEX(상세표[18~22시],$U369))</f>
        <v/>
      </c>
      <c r="S369" s="20">
        <f>IF($U369="","",INDEX(상세표[22~06시],$U369))</f>
        <v/>
      </c>
      <c r="T369" s="20">
        <f>IF($U369="","",INDEX(상세표[기록 시간외],$U369))</f>
        <v/>
      </c>
      <c r="U369" s="4">
        <f>IFERROR(MATCH(364,상세표[발송순번],0),"")</f>
        <v/>
      </c>
    </row>
    <row r="370">
      <c r="J370">
        <f>IF($U370="","",INDEX(상세표[사번],$U370)&amp;"")</f>
        <v/>
      </c>
      <c r="K370">
        <f>IF($U370="","",INDEX(상세표[성명],$U370)&amp;"")</f>
        <v/>
      </c>
      <c r="L370">
        <f>IF($U370="","",INDEX(상세표[직위],$U370)&amp;"")</f>
        <v/>
      </c>
      <c r="M370">
        <f>IF($U370="","",IF(ISNUMBER(INDEX(상세표[근무일자],$U370)),TEXT(INDEX(상세표[근무일자],$U370),"yyyy-mm-dd"),INDEX(상세표[근무일자],$U370)&amp;""))</f>
        <v/>
      </c>
      <c r="N370">
        <f>IF($U370="","",IF(ISNUMBER(INDEX(상세표[시작],$U370)),TEXT(INDEX(상세표[시작],$U370),"yyyy-mm-dd hh:mm"),INDEX(상세표[시작],$U370)&amp;""))</f>
        <v/>
      </c>
      <c r="O370">
        <f>IF($U370="","",IF(ISNUMBER(INDEX(상세표[종료],$U370)),TEXT(INDEX(상세표[종료],$U370),"yyyy-mm-dd hh:mm"),INDEX(상세표[종료],$U370)&amp;""))</f>
        <v/>
      </c>
      <c r="P370" s="20">
        <f>IF($U370="","",INDEX(상세표[06~07시],$U370))</f>
        <v/>
      </c>
      <c r="Q370" s="20">
        <f>IF($U370="","",INDEX(상세표[07~18시],$U370))</f>
        <v/>
      </c>
      <c r="R370" s="20">
        <f>IF($U370="","",INDEX(상세표[18~22시],$U370))</f>
        <v/>
      </c>
      <c r="S370" s="20">
        <f>IF($U370="","",INDEX(상세표[22~06시],$U370))</f>
        <v/>
      </c>
      <c r="T370" s="20">
        <f>IF($U370="","",INDEX(상세표[기록 시간외],$U370))</f>
        <v/>
      </c>
      <c r="U370" s="4">
        <f>IFERROR(MATCH(365,상세표[발송순번],0),"")</f>
        <v/>
      </c>
    </row>
    <row r="371">
      <c r="J371">
        <f>IF($U371="","",INDEX(상세표[사번],$U371)&amp;"")</f>
        <v/>
      </c>
      <c r="K371">
        <f>IF($U371="","",INDEX(상세표[성명],$U371)&amp;"")</f>
        <v/>
      </c>
      <c r="L371">
        <f>IF($U371="","",INDEX(상세표[직위],$U371)&amp;"")</f>
        <v/>
      </c>
      <c r="M371">
        <f>IF($U371="","",IF(ISNUMBER(INDEX(상세표[근무일자],$U371)),TEXT(INDEX(상세표[근무일자],$U371),"yyyy-mm-dd"),INDEX(상세표[근무일자],$U371)&amp;""))</f>
        <v/>
      </c>
      <c r="N371">
        <f>IF($U371="","",IF(ISNUMBER(INDEX(상세표[시작],$U371)),TEXT(INDEX(상세표[시작],$U371),"yyyy-mm-dd hh:mm"),INDEX(상세표[시작],$U371)&amp;""))</f>
        <v/>
      </c>
      <c r="O371">
        <f>IF($U371="","",IF(ISNUMBER(INDEX(상세표[종료],$U371)),TEXT(INDEX(상세표[종료],$U371),"yyyy-mm-dd hh:mm"),INDEX(상세표[종료],$U371)&amp;""))</f>
        <v/>
      </c>
      <c r="P371" s="20">
        <f>IF($U371="","",INDEX(상세표[06~07시],$U371))</f>
        <v/>
      </c>
      <c r="Q371" s="20">
        <f>IF($U371="","",INDEX(상세표[07~18시],$U371))</f>
        <v/>
      </c>
      <c r="R371" s="20">
        <f>IF($U371="","",INDEX(상세표[18~22시],$U371))</f>
        <v/>
      </c>
      <c r="S371" s="20">
        <f>IF($U371="","",INDEX(상세표[22~06시],$U371))</f>
        <v/>
      </c>
      <c r="T371" s="20">
        <f>IF($U371="","",INDEX(상세표[기록 시간외],$U371))</f>
        <v/>
      </c>
      <c r="U371" s="4">
        <f>IFERROR(MATCH(366,상세표[발송순번],0),"")</f>
        <v/>
      </c>
    </row>
    <row r="372">
      <c r="J372">
        <f>IF($U372="","",INDEX(상세표[사번],$U372)&amp;"")</f>
        <v/>
      </c>
      <c r="K372">
        <f>IF($U372="","",INDEX(상세표[성명],$U372)&amp;"")</f>
        <v/>
      </c>
      <c r="L372">
        <f>IF($U372="","",INDEX(상세표[직위],$U372)&amp;"")</f>
        <v/>
      </c>
      <c r="M372">
        <f>IF($U372="","",IF(ISNUMBER(INDEX(상세표[근무일자],$U372)),TEXT(INDEX(상세표[근무일자],$U372),"yyyy-mm-dd"),INDEX(상세표[근무일자],$U372)&amp;""))</f>
        <v/>
      </c>
      <c r="N372">
        <f>IF($U372="","",IF(ISNUMBER(INDEX(상세표[시작],$U372)),TEXT(INDEX(상세표[시작],$U372),"yyyy-mm-dd hh:mm"),INDEX(상세표[시작],$U372)&amp;""))</f>
        <v/>
      </c>
      <c r="O372">
        <f>IF($U372="","",IF(ISNUMBER(INDEX(상세표[종료],$U372)),TEXT(INDEX(상세표[종료],$U372),"yyyy-mm-dd hh:mm"),INDEX(상세표[종료],$U372)&amp;""))</f>
        <v/>
      </c>
      <c r="P372" s="20">
        <f>IF($U372="","",INDEX(상세표[06~07시],$U372))</f>
        <v/>
      </c>
      <c r="Q372" s="20">
        <f>IF($U372="","",INDEX(상세표[07~18시],$U372))</f>
        <v/>
      </c>
      <c r="R372" s="20">
        <f>IF($U372="","",INDEX(상세표[18~22시],$U372))</f>
        <v/>
      </c>
      <c r="S372" s="20">
        <f>IF($U372="","",INDEX(상세표[22~06시],$U372))</f>
        <v/>
      </c>
      <c r="T372" s="20">
        <f>IF($U372="","",INDEX(상세표[기록 시간외],$U372))</f>
        <v/>
      </c>
      <c r="U372" s="4">
        <f>IFERROR(MATCH(367,상세표[발송순번],0),"")</f>
        <v/>
      </c>
    </row>
    <row r="373">
      <c r="J373">
        <f>IF($U373="","",INDEX(상세표[사번],$U373)&amp;"")</f>
        <v/>
      </c>
      <c r="K373">
        <f>IF($U373="","",INDEX(상세표[성명],$U373)&amp;"")</f>
        <v/>
      </c>
      <c r="L373">
        <f>IF($U373="","",INDEX(상세표[직위],$U373)&amp;"")</f>
        <v/>
      </c>
      <c r="M373">
        <f>IF($U373="","",IF(ISNUMBER(INDEX(상세표[근무일자],$U373)),TEXT(INDEX(상세표[근무일자],$U373),"yyyy-mm-dd"),INDEX(상세표[근무일자],$U373)&amp;""))</f>
        <v/>
      </c>
      <c r="N373">
        <f>IF($U373="","",IF(ISNUMBER(INDEX(상세표[시작],$U373)),TEXT(INDEX(상세표[시작],$U373),"yyyy-mm-dd hh:mm"),INDEX(상세표[시작],$U373)&amp;""))</f>
        <v/>
      </c>
      <c r="O373">
        <f>IF($U373="","",IF(ISNUMBER(INDEX(상세표[종료],$U373)),TEXT(INDEX(상세표[종료],$U373),"yyyy-mm-dd hh:mm"),INDEX(상세표[종료],$U373)&amp;""))</f>
        <v/>
      </c>
      <c r="P373" s="20">
        <f>IF($U373="","",INDEX(상세표[06~07시],$U373))</f>
        <v/>
      </c>
      <c r="Q373" s="20">
        <f>IF($U373="","",INDEX(상세표[07~18시],$U373))</f>
        <v/>
      </c>
      <c r="R373" s="20">
        <f>IF($U373="","",INDEX(상세표[18~22시],$U373))</f>
        <v/>
      </c>
      <c r="S373" s="20">
        <f>IF($U373="","",INDEX(상세표[22~06시],$U373))</f>
        <v/>
      </c>
      <c r="T373" s="20">
        <f>IF($U373="","",INDEX(상세표[기록 시간외],$U373))</f>
        <v/>
      </c>
      <c r="U373" s="4">
        <f>IFERROR(MATCH(368,상세표[발송순번],0),"")</f>
        <v/>
      </c>
    </row>
    <row r="374">
      <c r="J374">
        <f>IF($U374="","",INDEX(상세표[사번],$U374)&amp;"")</f>
        <v/>
      </c>
      <c r="K374">
        <f>IF($U374="","",INDEX(상세표[성명],$U374)&amp;"")</f>
        <v/>
      </c>
      <c r="L374">
        <f>IF($U374="","",INDEX(상세표[직위],$U374)&amp;"")</f>
        <v/>
      </c>
      <c r="M374">
        <f>IF($U374="","",IF(ISNUMBER(INDEX(상세표[근무일자],$U374)),TEXT(INDEX(상세표[근무일자],$U374),"yyyy-mm-dd"),INDEX(상세표[근무일자],$U374)&amp;""))</f>
        <v/>
      </c>
      <c r="N374">
        <f>IF($U374="","",IF(ISNUMBER(INDEX(상세표[시작],$U374)),TEXT(INDEX(상세표[시작],$U374),"yyyy-mm-dd hh:mm"),INDEX(상세표[시작],$U374)&amp;""))</f>
        <v/>
      </c>
      <c r="O374">
        <f>IF($U374="","",IF(ISNUMBER(INDEX(상세표[종료],$U374)),TEXT(INDEX(상세표[종료],$U374),"yyyy-mm-dd hh:mm"),INDEX(상세표[종료],$U374)&amp;""))</f>
        <v/>
      </c>
      <c r="P374" s="20">
        <f>IF($U374="","",INDEX(상세표[06~07시],$U374))</f>
        <v/>
      </c>
      <c r="Q374" s="20">
        <f>IF($U374="","",INDEX(상세표[07~18시],$U374))</f>
        <v/>
      </c>
      <c r="R374" s="20">
        <f>IF($U374="","",INDEX(상세표[18~22시],$U374))</f>
        <v/>
      </c>
      <c r="S374" s="20">
        <f>IF($U374="","",INDEX(상세표[22~06시],$U374))</f>
        <v/>
      </c>
      <c r="T374" s="20">
        <f>IF($U374="","",INDEX(상세표[기록 시간외],$U374))</f>
        <v/>
      </c>
      <c r="U374" s="4">
        <f>IFERROR(MATCH(369,상세표[발송순번],0),"")</f>
        <v/>
      </c>
    </row>
    <row r="375">
      <c r="J375">
        <f>IF($U375="","",INDEX(상세표[사번],$U375)&amp;"")</f>
        <v/>
      </c>
      <c r="K375">
        <f>IF($U375="","",INDEX(상세표[성명],$U375)&amp;"")</f>
        <v/>
      </c>
      <c r="L375">
        <f>IF($U375="","",INDEX(상세표[직위],$U375)&amp;"")</f>
        <v/>
      </c>
      <c r="M375">
        <f>IF($U375="","",IF(ISNUMBER(INDEX(상세표[근무일자],$U375)),TEXT(INDEX(상세표[근무일자],$U375),"yyyy-mm-dd"),INDEX(상세표[근무일자],$U375)&amp;""))</f>
        <v/>
      </c>
      <c r="N375">
        <f>IF($U375="","",IF(ISNUMBER(INDEX(상세표[시작],$U375)),TEXT(INDEX(상세표[시작],$U375),"yyyy-mm-dd hh:mm"),INDEX(상세표[시작],$U375)&amp;""))</f>
        <v/>
      </c>
      <c r="O375">
        <f>IF($U375="","",IF(ISNUMBER(INDEX(상세표[종료],$U375)),TEXT(INDEX(상세표[종료],$U375),"yyyy-mm-dd hh:mm"),INDEX(상세표[종료],$U375)&amp;""))</f>
        <v/>
      </c>
      <c r="P375" s="20">
        <f>IF($U375="","",INDEX(상세표[06~07시],$U375))</f>
        <v/>
      </c>
      <c r="Q375" s="20">
        <f>IF($U375="","",INDEX(상세표[07~18시],$U375))</f>
        <v/>
      </c>
      <c r="R375" s="20">
        <f>IF($U375="","",INDEX(상세표[18~22시],$U375))</f>
        <v/>
      </c>
      <c r="S375" s="20">
        <f>IF($U375="","",INDEX(상세표[22~06시],$U375))</f>
        <v/>
      </c>
      <c r="T375" s="20">
        <f>IF($U375="","",INDEX(상세표[기록 시간외],$U375))</f>
        <v/>
      </c>
      <c r="U375" s="4">
        <f>IFERROR(MATCH(370,상세표[발송순번],0),"")</f>
        <v/>
      </c>
    </row>
    <row r="376">
      <c r="J376">
        <f>IF($U376="","",INDEX(상세표[사번],$U376)&amp;"")</f>
        <v/>
      </c>
      <c r="K376">
        <f>IF($U376="","",INDEX(상세표[성명],$U376)&amp;"")</f>
        <v/>
      </c>
      <c r="L376">
        <f>IF($U376="","",INDEX(상세표[직위],$U376)&amp;"")</f>
        <v/>
      </c>
      <c r="M376">
        <f>IF($U376="","",IF(ISNUMBER(INDEX(상세표[근무일자],$U376)),TEXT(INDEX(상세표[근무일자],$U376),"yyyy-mm-dd"),INDEX(상세표[근무일자],$U376)&amp;""))</f>
        <v/>
      </c>
      <c r="N376">
        <f>IF($U376="","",IF(ISNUMBER(INDEX(상세표[시작],$U376)),TEXT(INDEX(상세표[시작],$U376),"yyyy-mm-dd hh:mm"),INDEX(상세표[시작],$U376)&amp;""))</f>
        <v/>
      </c>
      <c r="O376">
        <f>IF($U376="","",IF(ISNUMBER(INDEX(상세표[종료],$U376)),TEXT(INDEX(상세표[종료],$U376),"yyyy-mm-dd hh:mm"),INDEX(상세표[종료],$U376)&amp;""))</f>
        <v/>
      </c>
      <c r="P376" s="20">
        <f>IF($U376="","",INDEX(상세표[06~07시],$U376))</f>
        <v/>
      </c>
      <c r="Q376" s="20">
        <f>IF($U376="","",INDEX(상세표[07~18시],$U376))</f>
        <v/>
      </c>
      <c r="R376" s="20">
        <f>IF($U376="","",INDEX(상세표[18~22시],$U376))</f>
        <v/>
      </c>
      <c r="S376" s="20">
        <f>IF($U376="","",INDEX(상세표[22~06시],$U376))</f>
        <v/>
      </c>
      <c r="T376" s="20">
        <f>IF($U376="","",INDEX(상세표[기록 시간외],$U376))</f>
        <v/>
      </c>
      <c r="U376" s="4">
        <f>IFERROR(MATCH(371,상세표[발송순번],0),"")</f>
        <v/>
      </c>
    </row>
    <row r="377">
      <c r="J377">
        <f>IF($U377="","",INDEX(상세표[사번],$U377)&amp;"")</f>
        <v/>
      </c>
      <c r="K377">
        <f>IF($U377="","",INDEX(상세표[성명],$U377)&amp;"")</f>
        <v/>
      </c>
      <c r="L377">
        <f>IF($U377="","",INDEX(상세표[직위],$U377)&amp;"")</f>
        <v/>
      </c>
      <c r="M377">
        <f>IF($U377="","",IF(ISNUMBER(INDEX(상세표[근무일자],$U377)),TEXT(INDEX(상세표[근무일자],$U377),"yyyy-mm-dd"),INDEX(상세표[근무일자],$U377)&amp;""))</f>
        <v/>
      </c>
      <c r="N377">
        <f>IF($U377="","",IF(ISNUMBER(INDEX(상세표[시작],$U377)),TEXT(INDEX(상세표[시작],$U377),"yyyy-mm-dd hh:mm"),INDEX(상세표[시작],$U377)&amp;""))</f>
        <v/>
      </c>
      <c r="O377">
        <f>IF($U377="","",IF(ISNUMBER(INDEX(상세표[종료],$U377)),TEXT(INDEX(상세표[종료],$U377),"yyyy-mm-dd hh:mm"),INDEX(상세표[종료],$U377)&amp;""))</f>
        <v/>
      </c>
      <c r="P377" s="20">
        <f>IF($U377="","",INDEX(상세표[06~07시],$U377))</f>
        <v/>
      </c>
      <c r="Q377" s="20">
        <f>IF($U377="","",INDEX(상세표[07~18시],$U377))</f>
        <v/>
      </c>
      <c r="R377" s="20">
        <f>IF($U377="","",INDEX(상세표[18~22시],$U377))</f>
        <v/>
      </c>
      <c r="S377" s="20">
        <f>IF($U377="","",INDEX(상세표[22~06시],$U377))</f>
        <v/>
      </c>
      <c r="T377" s="20">
        <f>IF($U377="","",INDEX(상세표[기록 시간외],$U377))</f>
        <v/>
      </c>
      <c r="U377" s="4">
        <f>IFERROR(MATCH(372,상세표[발송순번],0),"")</f>
        <v/>
      </c>
    </row>
    <row r="378">
      <c r="J378">
        <f>IF($U378="","",INDEX(상세표[사번],$U378)&amp;"")</f>
        <v/>
      </c>
      <c r="K378">
        <f>IF($U378="","",INDEX(상세표[성명],$U378)&amp;"")</f>
        <v/>
      </c>
      <c r="L378">
        <f>IF($U378="","",INDEX(상세표[직위],$U378)&amp;"")</f>
        <v/>
      </c>
      <c r="M378">
        <f>IF($U378="","",IF(ISNUMBER(INDEX(상세표[근무일자],$U378)),TEXT(INDEX(상세표[근무일자],$U378),"yyyy-mm-dd"),INDEX(상세표[근무일자],$U378)&amp;""))</f>
        <v/>
      </c>
      <c r="N378">
        <f>IF($U378="","",IF(ISNUMBER(INDEX(상세표[시작],$U378)),TEXT(INDEX(상세표[시작],$U378),"yyyy-mm-dd hh:mm"),INDEX(상세표[시작],$U378)&amp;""))</f>
        <v/>
      </c>
      <c r="O378">
        <f>IF($U378="","",IF(ISNUMBER(INDEX(상세표[종료],$U378)),TEXT(INDEX(상세표[종료],$U378),"yyyy-mm-dd hh:mm"),INDEX(상세표[종료],$U378)&amp;""))</f>
        <v/>
      </c>
      <c r="P378" s="20">
        <f>IF($U378="","",INDEX(상세표[06~07시],$U378))</f>
        <v/>
      </c>
      <c r="Q378" s="20">
        <f>IF($U378="","",INDEX(상세표[07~18시],$U378))</f>
        <v/>
      </c>
      <c r="R378" s="20">
        <f>IF($U378="","",INDEX(상세표[18~22시],$U378))</f>
        <v/>
      </c>
      <c r="S378" s="20">
        <f>IF($U378="","",INDEX(상세표[22~06시],$U378))</f>
        <v/>
      </c>
      <c r="T378" s="20">
        <f>IF($U378="","",INDEX(상세표[기록 시간외],$U378))</f>
        <v/>
      </c>
      <c r="U378" s="4">
        <f>IFERROR(MATCH(373,상세표[발송순번],0),"")</f>
        <v/>
      </c>
    </row>
    <row r="379">
      <c r="J379">
        <f>IF($U379="","",INDEX(상세표[사번],$U379)&amp;"")</f>
        <v/>
      </c>
      <c r="K379">
        <f>IF($U379="","",INDEX(상세표[성명],$U379)&amp;"")</f>
        <v/>
      </c>
      <c r="L379">
        <f>IF($U379="","",INDEX(상세표[직위],$U379)&amp;"")</f>
        <v/>
      </c>
      <c r="M379">
        <f>IF($U379="","",IF(ISNUMBER(INDEX(상세표[근무일자],$U379)),TEXT(INDEX(상세표[근무일자],$U379),"yyyy-mm-dd"),INDEX(상세표[근무일자],$U379)&amp;""))</f>
        <v/>
      </c>
      <c r="N379">
        <f>IF($U379="","",IF(ISNUMBER(INDEX(상세표[시작],$U379)),TEXT(INDEX(상세표[시작],$U379),"yyyy-mm-dd hh:mm"),INDEX(상세표[시작],$U379)&amp;""))</f>
        <v/>
      </c>
      <c r="O379">
        <f>IF($U379="","",IF(ISNUMBER(INDEX(상세표[종료],$U379)),TEXT(INDEX(상세표[종료],$U379),"yyyy-mm-dd hh:mm"),INDEX(상세표[종료],$U379)&amp;""))</f>
        <v/>
      </c>
      <c r="P379" s="20">
        <f>IF($U379="","",INDEX(상세표[06~07시],$U379))</f>
        <v/>
      </c>
      <c r="Q379" s="20">
        <f>IF($U379="","",INDEX(상세표[07~18시],$U379))</f>
        <v/>
      </c>
      <c r="R379" s="20">
        <f>IF($U379="","",INDEX(상세표[18~22시],$U379))</f>
        <v/>
      </c>
      <c r="S379" s="20">
        <f>IF($U379="","",INDEX(상세표[22~06시],$U379))</f>
        <v/>
      </c>
      <c r="T379" s="20">
        <f>IF($U379="","",INDEX(상세표[기록 시간외],$U379))</f>
        <v/>
      </c>
      <c r="U379" s="4">
        <f>IFERROR(MATCH(374,상세표[발송순번],0),"")</f>
        <v/>
      </c>
    </row>
    <row r="380">
      <c r="J380">
        <f>IF($U380="","",INDEX(상세표[사번],$U380)&amp;"")</f>
        <v/>
      </c>
      <c r="K380">
        <f>IF($U380="","",INDEX(상세표[성명],$U380)&amp;"")</f>
        <v/>
      </c>
      <c r="L380">
        <f>IF($U380="","",INDEX(상세표[직위],$U380)&amp;"")</f>
        <v/>
      </c>
      <c r="M380">
        <f>IF($U380="","",IF(ISNUMBER(INDEX(상세표[근무일자],$U380)),TEXT(INDEX(상세표[근무일자],$U380),"yyyy-mm-dd"),INDEX(상세표[근무일자],$U380)&amp;""))</f>
        <v/>
      </c>
      <c r="N380">
        <f>IF($U380="","",IF(ISNUMBER(INDEX(상세표[시작],$U380)),TEXT(INDEX(상세표[시작],$U380),"yyyy-mm-dd hh:mm"),INDEX(상세표[시작],$U380)&amp;""))</f>
        <v/>
      </c>
      <c r="O380">
        <f>IF($U380="","",IF(ISNUMBER(INDEX(상세표[종료],$U380)),TEXT(INDEX(상세표[종료],$U380),"yyyy-mm-dd hh:mm"),INDEX(상세표[종료],$U380)&amp;""))</f>
        <v/>
      </c>
      <c r="P380" s="20">
        <f>IF($U380="","",INDEX(상세표[06~07시],$U380))</f>
        <v/>
      </c>
      <c r="Q380" s="20">
        <f>IF($U380="","",INDEX(상세표[07~18시],$U380))</f>
        <v/>
      </c>
      <c r="R380" s="20">
        <f>IF($U380="","",INDEX(상세표[18~22시],$U380))</f>
        <v/>
      </c>
      <c r="S380" s="20">
        <f>IF($U380="","",INDEX(상세표[22~06시],$U380))</f>
        <v/>
      </c>
      <c r="T380" s="20">
        <f>IF($U380="","",INDEX(상세표[기록 시간외],$U380))</f>
        <v/>
      </c>
      <c r="U380" s="4">
        <f>IFERROR(MATCH(375,상세표[발송순번],0),"")</f>
        <v/>
      </c>
    </row>
    <row r="381">
      <c r="J381">
        <f>IF($U381="","",INDEX(상세표[사번],$U381)&amp;"")</f>
        <v/>
      </c>
      <c r="K381">
        <f>IF($U381="","",INDEX(상세표[성명],$U381)&amp;"")</f>
        <v/>
      </c>
      <c r="L381">
        <f>IF($U381="","",INDEX(상세표[직위],$U381)&amp;"")</f>
        <v/>
      </c>
      <c r="M381">
        <f>IF($U381="","",IF(ISNUMBER(INDEX(상세표[근무일자],$U381)),TEXT(INDEX(상세표[근무일자],$U381),"yyyy-mm-dd"),INDEX(상세표[근무일자],$U381)&amp;""))</f>
        <v/>
      </c>
      <c r="N381">
        <f>IF($U381="","",IF(ISNUMBER(INDEX(상세표[시작],$U381)),TEXT(INDEX(상세표[시작],$U381),"yyyy-mm-dd hh:mm"),INDEX(상세표[시작],$U381)&amp;""))</f>
        <v/>
      </c>
      <c r="O381">
        <f>IF($U381="","",IF(ISNUMBER(INDEX(상세표[종료],$U381)),TEXT(INDEX(상세표[종료],$U381),"yyyy-mm-dd hh:mm"),INDEX(상세표[종료],$U381)&amp;""))</f>
        <v/>
      </c>
      <c r="P381" s="20">
        <f>IF($U381="","",INDEX(상세표[06~07시],$U381))</f>
        <v/>
      </c>
      <c r="Q381" s="20">
        <f>IF($U381="","",INDEX(상세표[07~18시],$U381))</f>
        <v/>
      </c>
      <c r="R381" s="20">
        <f>IF($U381="","",INDEX(상세표[18~22시],$U381))</f>
        <v/>
      </c>
      <c r="S381" s="20">
        <f>IF($U381="","",INDEX(상세표[22~06시],$U381))</f>
        <v/>
      </c>
      <c r="T381" s="20">
        <f>IF($U381="","",INDEX(상세표[기록 시간외],$U381))</f>
        <v/>
      </c>
      <c r="U381" s="4">
        <f>IFERROR(MATCH(376,상세표[발송순번],0),"")</f>
        <v/>
      </c>
    </row>
    <row r="382">
      <c r="J382">
        <f>IF($U382="","",INDEX(상세표[사번],$U382)&amp;"")</f>
        <v/>
      </c>
      <c r="K382">
        <f>IF($U382="","",INDEX(상세표[성명],$U382)&amp;"")</f>
        <v/>
      </c>
      <c r="L382">
        <f>IF($U382="","",INDEX(상세표[직위],$U382)&amp;"")</f>
        <v/>
      </c>
      <c r="M382">
        <f>IF($U382="","",IF(ISNUMBER(INDEX(상세표[근무일자],$U382)),TEXT(INDEX(상세표[근무일자],$U382),"yyyy-mm-dd"),INDEX(상세표[근무일자],$U382)&amp;""))</f>
        <v/>
      </c>
      <c r="N382">
        <f>IF($U382="","",IF(ISNUMBER(INDEX(상세표[시작],$U382)),TEXT(INDEX(상세표[시작],$U382),"yyyy-mm-dd hh:mm"),INDEX(상세표[시작],$U382)&amp;""))</f>
        <v/>
      </c>
      <c r="O382">
        <f>IF($U382="","",IF(ISNUMBER(INDEX(상세표[종료],$U382)),TEXT(INDEX(상세표[종료],$U382),"yyyy-mm-dd hh:mm"),INDEX(상세표[종료],$U382)&amp;""))</f>
        <v/>
      </c>
      <c r="P382" s="20">
        <f>IF($U382="","",INDEX(상세표[06~07시],$U382))</f>
        <v/>
      </c>
      <c r="Q382" s="20">
        <f>IF($U382="","",INDEX(상세표[07~18시],$U382))</f>
        <v/>
      </c>
      <c r="R382" s="20">
        <f>IF($U382="","",INDEX(상세표[18~22시],$U382))</f>
        <v/>
      </c>
      <c r="S382" s="20">
        <f>IF($U382="","",INDEX(상세표[22~06시],$U382))</f>
        <v/>
      </c>
      <c r="T382" s="20">
        <f>IF($U382="","",INDEX(상세표[기록 시간외],$U382))</f>
        <v/>
      </c>
      <c r="U382" s="4">
        <f>IFERROR(MATCH(377,상세표[발송순번],0),"")</f>
        <v/>
      </c>
    </row>
    <row r="383">
      <c r="J383">
        <f>IF($U383="","",INDEX(상세표[사번],$U383)&amp;"")</f>
        <v/>
      </c>
      <c r="K383">
        <f>IF($U383="","",INDEX(상세표[성명],$U383)&amp;"")</f>
        <v/>
      </c>
      <c r="L383">
        <f>IF($U383="","",INDEX(상세표[직위],$U383)&amp;"")</f>
        <v/>
      </c>
      <c r="M383">
        <f>IF($U383="","",IF(ISNUMBER(INDEX(상세표[근무일자],$U383)),TEXT(INDEX(상세표[근무일자],$U383),"yyyy-mm-dd"),INDEX(상세표[근무일자],$U383)&amp;""))</f>
        <v/>
      </c>
      <c r="N383">
        <f>IF($U383="","",IF(ISNUMBER(INDEX(상세표[시작],$U383)),TEXT(INDEX(상세표[시작],$U383),"yyyy-mm-dd hh:mm"),INDEX(상세표[시작],$U383)&amp;""))</f>
        <v/>
      </c>
      <c r="O383">
        <f>IF($U383="","",IF(ISNUMBER(INDEX(상세표[종료],$U383)),TEXT(INDEX(상세표[종료],$U383),"yyyy-mm-dd hh:mm"),INDEX(상세표[종료],$U383)&amp;""))</f>
        <v/>
      </c>
      <c r="P383" s="20">
        <f>IF($U383="","",INDEX(상세표[06~07시],$U383))</f>
        <v/>
      </c>
      <c r="Q383" s="20">
        <f>IF($U383="","",INDEX(상세표[07~18시],$U383))</f>
        <v/>
      </c>
      <c r="R383" s="20">
        <f>IF($U383="","",INDEX(상세표[18~22시],$U383))</f>
        <v/>
      </c>
      <c r="S383" s="20">
        <f>IF($U383="","",INDEX(상세표[22~06시],$U383))</f>
        <v/>
      </c>
      <c r="T383" s="20">
        <f>IF($U383="","",INDEX(상세표[기록 시간외],$U383))</f>
        <v/>
      </c>
      <c r="U383" s="4">
        <f>IFERROR(MATCH(378,상세표[발송순번],0),"")</f>
        <v/>
      </c>
    </row>
    <row r="384">
      <c r="J384">
        <f>IF($U384="","",INDEX(상세표[사번],$U384)&amp;"")</f>
        <v/>
      </c>
      <c r="K384">
        <f>IF($U384="","",INDEX(상세표[성명],$U384)&amp;"")</f>
        <v/>
      </c>
      <c r="L384">
        <f>IF($U384="","",INDEX(상세표[직위],$U384)&amp;"")</f>
        <v/>
      </c>
      <c r="M384">
        <f>IF($U384="","",IF(ISNUMBER(INDEX(상세표[근무일자],$U384)),TEXT(INDEX(상세표[근무일자],$U384),"yyyy-mm-dd"),INDEX(상세표[근무일자],$U384)&amp;""))</f>
        <v/>
      </c>
      <c r="N384">
        <f>IF($U384="","",IF(ISNUMBER(INDEX(상세표[시작],$U384)),TEXT(INDEX(상세표[시작],$U384),"yyyy-mm-dd hh:mm"),INDEX(상세표[시작],$U384)&amp;""))</f>
        <v/>
      </c>
      <c r="O384">
        <f>IF($U384="","",IF(ISNUMBER(INDEX(상세표[종료],$U384)),TEXT(INDEX(상세표[종료],$U384),"yyyy-mm-dd hh:mm"),INDEX(상세표[종료],$U384)&amp;""))</f>
        <v/>
      </c>
      <c r="P384" s="20">
        <f>IF($U384="","",INDEX(상세표[06~07시],$U384))</f>
        <v/>
      </c>
      <c r="Q384" s="20">
        <f>IF($U384="","",INDEX(상세표[07~18시],$U384))</f>
        <v/>
      </c>
      <c r="R384" s="20">
        <f>IF($U384="","",INDEX(상세표[18~22시],$U384))</f>
        <v/>
      </c>
      <c r="S384" s="20">
        <f>IF($U384="","",INDEX(상세표[22~06시],$U384))</f>
        <v/>
      </c>
      <c r="T384" s="20">
        <f>IF($U384="","",INDEX(상세표[기록 시간외],$U384))</f>
        <v/>
      </c>
      <c r="U384" s="4">
        <f>IFERROR(MATCH(379,상세표[발송순번],0),"")</f>
        <v/>
      </c>
    </row>
    <row r="385">
      <c r="J385">
        <f>IF($U385="","",INDEX(상세표[사번],$U385)&amp;"")</f>
        <v/>
      </c>
      <c r="K385">
        <f>IF($U385="","",INDEX(상세표[성명],$U385)&amp;"")</f>
        <v/>
      </c>
      <c r="L385">
        <f>IF($U385="","",INDEX(상세표[직위],$U385)&amp;"")</f>
        <v/>
      </c>
      <c r="M385">
        <f>IF($U385="","",IF(ISNUMBER(INDEX(상세표[근무일자],$U385)),TEXT(INDEX(상세표[근무일자],$U385),"yyyy-mm-dd"),INDEX(상세표[근무일자],$U385)&amp;""))</f>
        <v/>
      </c>
      <c r="N385">
        <f>IF($U385="","",IF(ISNUMBER(INDEX(상세표[시작],$U385)),TEXT(INDEX(상세표[시작],$U385),"yyyy-mm-dd hh:mm"),INDEX(상세표[시작],$U385)&amp;""))</f>
        <v/>
      </c>
      <c r="O385">
        <f>IF($U385="","",IF(ISNUMBER(INDEX(상세표[종료],$U385)),TEXT(INDEX(상세표[종료],$U385),"yyyy-mm-dd hh:mm"),INDEX(상세표[종료],$U385)&amp;""))</f>
        <v/>
      </c>
      <c r="P385" s="20">
        <f>IF($U385="","",INDEX(상세표[06~07시],$U385))</f>
        <v/>
      </c>
      <c r="Q385" s="20">
        <f>IF($U385="","",INDEX(상세표[07~18시],$U385))</f>
        <v/>
      </c>
      <c r="R385" s="20">
        <f>IF($U385="","",INDEX(상세표[18~22시],$U385))</f>
        <v/>
      </c>
      <c r="S385" s="20">
        <f>IF($U385="","",INDEX(상세표[22~06시],$U385))</f>
        <v/>
      </c>
      <c r="T385" s="20">
        <f>IF($U385="","",INDEX(상세표[기록 시간외],$U385))</f>
        <v/>
      </c>
      <c r="U385" s="4">
        <f>IFERROR(MATCH(380,상세표[발송순번],0),"")</f>
        <v/>
      </c>
    </row>
    <row r="386">
      <c r="J386">
        <f>IF($U386="","",INDEX(상세표[사번],$U386)&amp;"")</f>
        <v/>
      </c>
      <c r="K386">
        <f>IF($U386="","",INDEX(상세표[성명],$U386)&amp;"")</f>
        <v/>
      </c>
      <c r="L386">
        <f>IF($U386="","",INDEX(상세표[직위],$U386)&amp;"")</f>
        <v/>
      </c>
      <c r="M386">
        <f>IF($U386="","",IF(ISNUMBER(INDEX(상세표[근무일자],$U386)),TEXT(INDEX(상세표[근무일자],$U386),"yyyy-mm-dd"),INDEX(상세표[근무일자],$U386)&amp;""))</f>
        <v/>
      </c>
      <c r="N386">
        <f>IF($U386="","",IF(ISNUMBER(INDEX(상세표[시작],$U386)),TEXT(INDEX(상세표[시작],$U386),"yyyy-mm-dd hh:mm"),INDEX(상세표[시작],$U386)&amp;""))</f>
        <v/>
      </c>
      <c r="O386">
        <f>IF($U386="","",IF(ISNUMBER(INDEX(상세표[종료],$U386)),TEXT(INDEX(상세표[종료],$U386),"yyyy-mm-dd hh:mm"),INDEX(상세표[종료],$U386)&amp;""))</f>
        <v/>
      </c>
      <c r="P386" s="20">
        <f>IF($U386="","",INDEX(상세표[06~07시],$U386))</f>
        <v/>
      </c>
      <c r="Q386" s="20">
        <f>IF($U386="","",INDEX(상세표[07~18시],$U386))</f>
        <v/>
      </c>
      <c r="R386" s="20">
        <f>IF($U386="","",INDEX(상세표[18~22시],$U386))</f>
        <v/>
      </c>
      <c r="S386" s="20">
        <f>IF($U386="","",INDEX(상세표[22~06시],$U386))</f>
        <v/>
      </c>
      <c r="T386" s="20">
        <f>IF($U386="","",INDEX(상세표[기록 시간외],$U386))</f>
        <v/>
      </c>
      <c r="U386" s="4">
        <f>IFERROR(MATCH(381,상세표[발송순번],0),"")</f>
        <v/>
      </c>
    </row>
    <row r="387">
      <c r="J387">
        <f>IF($U387="","",INDEX(상세표[사번],$U387)&amp;"")</f>
        <v/>
      </c>
      <c r="K387">
        <f>IF($U387="","",INDEX(상세표[성명],$U387)&amp;"")</f>
        <v/>
      </c>
      <c r="L387">
        <f>IF($U387="","",INDEX(상세표[직위],$U387)&amp;"")</f>
        <v/>
      </c>
      <c r="M387">
        <f>IF($U387="","",IF(ISNUMBER(INDEX(상세표[근무일자],$U387)),TEXT(INDEX(상세표[근무일자],$U387),"yyyy-mm-dd"),INDEX(상세표[근무일자],$U387)&amp;""))</f>
        <v/>
      </c>
      <c r="N387">
        <f>IF($U387="","",IF(ISNUMBER(INDEX(상세표[시작],$U387)),TEXT(INDEX(상세표[시작],$U387),"yyyy-mm-dd hh:mm"),INDEX(상세표[시작],$U387)&amp;""))</f>
        <v/>
      </c>
      <c r="O387">
        <f>IF($U387="","",IF(ISNUMBER(INDEX(상세표[종료],$U387)),TEXT(INDEX(상세표[종료],$U387),"yyyy-mm-dd hh:mm"),INDEX(상세표[종료],$U387)&amp;""))</f>
        <v/>
      </c>
      <c r="P387" s="20">
        <f>IF($U387="","",INDEX(상세표[06~07시],$U387))</f>
        <v/>
      </c>
      <c r="Q387" s="20">
        <f>IF($U387="","",INDEX(상세표[07~18시],$U387))</f>
        <v/>
      </c>
      <c r="R387" s="20">
        <f>IF($U387="","",INDEX(상세표[18~22시],$U387))</f>
        <v/>
      </c>
      <c r="S387" s="20">
        <f>IF($U387="","",INDEX(상세표[22~06시],$U387))</f>
        <v/>
      </c>
      <c r="T387" s="20">
        <f>IF($U387="","",INDEX(상세표[기록 시간외],$U387))</f>
        <v/>
      </c>
      <c r="U387" s="4">
        <f>IFERROR(MATCH(382,상세표[발송순번],0),"")</f>
        <v/>
      </c>
    </row>
    <row r="388">
      <c r="J388">
        <f>IF($U388="","",INDEX(상세표[사번],$U388)&amp;"")</f>
        <v/>
      </c>
      <c r="K388">
        <f>IF($U388="","",INDEX(상세표[성명],$U388)&amp;"")</f>
        <v/>
      </c>
      <c r="L388">
        <f>IF($U388="","",INDEX(상세표[직위],$U388)&amp;"")</f>
        <v/>
      </c>
      <c r="M388">
        <f>IF($U388="","",IF(ISNUMBER(INDEX(상세표[근무일자],$U388)),TEXT(INDEX(상세표[근무일자],$U388),"yyyy-mm-dd"),INDEX(상세표[근무일자],$U388)&amp;""))</f>
        <v/>
      </c>
      <c r="N388">
        <f>IF($U388="","",IF(ISNUMBER(INDEX(상세표[시작],$U388)),TEXT(INDEX(상세표[시작],$U388),"yyyy-mm-dd hh:mm"),INDEX(상세표[시작],$U388)&amp;""))</f>
        <v/>
      </c>
      <c r="O388">
        <f>IF($U388="","",IF(ISNUMBER(INDEX(상세표[종료],$U388)),TEXT(INDEX(상세표[종료],$U388),"yyyy-mm-dd hh:mm"),INDEX(상세표[종료],$U388)&amp;""))</f>
        <v/>
      </c>
      <c r="P388" s="20">
        <f>IF($U388="","",INDEX(상세표[06~07시],$U388))</f>
        <v/>
      </c>
      <c r="Q388" s="20">
        <f>IF($U388="","",INDEX(상세표[07~18시],$U388))</f>
        <v/>
      </c>
      <c r="R388" s="20">
        <f>IF($U388="","",INDEX(상세표[18~22시],$U388))</f>
        <v/>
      </c>
      <c r="S388" s="20">
        <f>IF($U388="","",INDEX(상세표[22~06시],$U388))</f>
        <v/>
      </c>
      <c r="T388" s="20">
        <f>IF($U388="","",INDEX(상세표[기록 시간외],$U388))</f>
        <v/>
      </c>
      <c r="U388" s="4">
        <f>IFERROR(MATCH(383,상세표[발송순번],0),"")</f>
        <v/>
      </c>
    </row>
    <row r="389">
      <c r="J389">
        <f>IF($U389="","",INDEX(상세표[사번],$U389)&amp;"")</f>
        <v/>
      </c>
      <c r="K389">
        <f>IF($U389="","",INDEX(상세표[성명],$U389)&amp;"")</f>
        <v/>
      </c>
      <c r="L389">
        <f>IF($U389="","",INDEX(상세표[직위],$U389)&amp;"")</f>
        <v/>
      </c>
      <c r="M389">
        <f>IF($U389="","",IF(ISNUMBER(INDEX(상세표[근무일자],$U389)),TEXT(INDEX(상세표[근무일자],$U389),"yyyy-mm-dd"),INDEX(상세표[근무일자],$U389)&amp;""))</f>
        <v/>
      </c>
      <c r="N389">
        <f>IF($U389="","",IF(ISNUMBER(INDEX(상세표[시작],$U389)),TEXT(INDEX(상세표[시작],$U389),"yyyy-mm-dd hh:mm"),INDEX(상세표[시작],$U389)&amp;""))</f>
        <v/>
      </c>
      <c r="O389">
        <f>IF($U389="","",IF(ISNUMBER(INDEX(상세표[종료],$U389)),TEXT(INDEX(상세표[종료],$U389),"yyyy-mm-dd hh:mm"),INDEX(상세표[종료],$U389)&amp;""))</f>
        <v/>
      </c>
      <c r="P389" s="20">
        <f>IF($U389="","",INDEX(상세표[06~07시],$U389))</f>
        <v/>
      </c>
      <c r="Q389" s="20">
        <f>IF($U389="","",INDEX(상세표[07~18시],$U389))</f>
        <v/>
      </c>
      <c r="R389" s="20">
        <f>IF($U389="","",INDEX(상세표[18~22시],$U389))</f>
        <v/>
      </c>
      <c r="S389" s="20">
        <f>IF($U389="","",INDEX(상세표[22~06시],$U389))</f>
        <v/>
      </c>
      <c r="T389" s="20">
        <f>IF($U389="","",INDEX(상세표[기록 시간외],$U389))</f>
        <v/>
      </c>
      <c r="U389" s="4">
        <f>IFERROR(MATCH(384,상세표[발송순번],0),"")</f>
        <v/>
      </c>
    </row>
    <row r="390">
      <c r="J390">
        <f>IF($U390="","",INDEX(상세표[사번],$U390)&amp;"")</f>
        <v/>
      </c>
      <c r="K390">
        <f>IF($U390="","",INDEX(상세표[성명],$U390)&amp;"")</f>
        <v/>
      </c>
      <c r="L390">
        <f>IF($U390="","",INDEX(상세표[직위],$U390)&amp;"")</f>
        <v/>
      </c>
      <c r="M390">
        <f>IF($U390="","",IF(ISNUMBER(INDEX(상세표[근무일자],$U390)),TEXT(INDEX(상세표[근무일자],$U390),"yyyy-mm-dd"),INDEX(상세표[근무일자],$U390)&amp;""))</f>
        <v/>
      </c>
      <c r="N390">
        <f>IF($U390="","",IF(ISNUMBER(INDEX(상세표[시작],$U390)),TEXT(INDEX(상세표[시작],$U390),"yyyy-mm-dd hh:mm"),INDEX(상세표[시작],$U390)&amp;""))</f>
        <v/>
      </c>
      <c r="O390">
        <f>IF($U390="","",IF(ISNUMBER(INDEX(상세표[종료],$U390)),TEXT(INDEX(상세표[종료],$U390),"yyyy-mm-dd hh:mm"),INDEX(상세표[종료],$U390)&amp;""))</f>
        <v/>
      </c>
      <c r="P390" s="20">
        <f>IF($U390="","",INDEX(상세표[06~07시],$U390))</f>
        <v/>
      </c>
      <c r="Q390" s="20">
        <f>IF($U390="","",INDEX(상세표[07~18시],$U390))</f>
        <v/>
      </c>
      <c r="R390" s="20">
        <f>IF($U390="","",INDEX(상세표[18~22시],$U390))</f>
        <v/>
      </c>
      <c r="S390" s="20">
        <f>IF($U390="","",INDEX(상세표[22~06시],$U390))</f>
        <v/>
      </c>
      <c r="T390" s="20">
        <f>IF($U390="","",INDEX(상세표[기록 시간외],$U390))</f>
        <v/>
      </c>
      <c r="U390" s="4">
        <f>IFERROR(MATCH(385,상세표[발송순번],0),"")</f>
        <v/>
      </c>
    </row>
    <row r="391">
      <c r="J391">
        <f>IF($U391="","",INDEX(상세표[사번],$U391)&amp;"")</f>
        <v/>
      </c>
      <c r="K391">
        <f>IF($U391="","",INDEX(상세표[성명],$U391)&amp;"")</f>
        <v/>
      </c>
      <c r="L391">
        <f>IF($U391="","",INDEX(상세표[직위],$U391)&amp;"")</f>
        <v/>
      </c>
      <c r="M391">
        <f>IF($U391="","",IF(ISNUMBER(INDEX(상세표[근무일자],$U391)),TEXT(INDEX(상세표[근무일자],$U391),"yyyy-mm-dd"),INDEX(상세표[근무일자],$U391)&amp;""))</f>
        <v/>
      </c>
      <c r="N391">
        <f>IF($U391="","",IF(ISNUMBER(INDEX(상세표[시작],$U391)),TEXT(INDEX(상세표[시작],$U391),"yyyy-mm-dd hh:mm"),INDEX(상세표[시작],$U391)&amp;""))</f>
        <v/>
      </c>
      <c r="O391">
        <f>IF($U391="","",IF(ISNUMBER(INDEX(상세표[종료],$U391)),TEXT(INDEX(상세표[종료],$U391),"yyyy-mm-dd hh:mm"),INDEX(상세표[종료],$U391)&amp;""))</f>
        <v/>
      </c>
      <c r="P391" s="20">
        <f>IF($U391="","",INDEX(상세표[06~07시],$U391))</f>
        <v/>
      </c>
      <c r="Q391" s="20">
        <f>IF($U391="","",INDEX(상세표[07~18시],$U391))</f>
        <v/>
      </c>
      <c r="R391" s="20">
        <f>IF($U391="","",INDEX(상세표[18~22시],$U391))</f>
        <v/>
      </c>
      <c r="S391" s="20">
        <f>IF($U391="","",INDEX(상세표[22~06시],$U391))</f>
        <v/>
      </c>
      <c r="T391" s="20">
        <f>IF($U391="","",INDEX(상세표[기록 시간외],$U391))</f>
        <v/>
      </c>
      <c r="U391" s="4">
        <f>IFERROR(MATCH(386,상세표[발송순번],0),"")</f>
        <v/>
      </c>
    </row>
    <row r="392">
      <c r="J392">
        <f>IF($U392="","",INDEX(상세표[사번],$U392)&amp;"")</f>
        <v/>
      </c>
      <c r="K392">
        <f>IF($U392="","",INDEX(상세표[성명],$U392)&amp;"")</f>
        <v/>
      </c>
      <c r="L392">
        <f>IF($U392="","",INDEX(상세표[직위],$U392)&amp;"")</f>
        <v/>
      </c>
      <c r="M392">
        <f>IF($U392="","",IF(ISNUMBER(INDEX(상세표[근무일자],$U392)),TEXT(INDEX(상세표[근무일자],$U392),"yyyy-mm-dd"),INDEX(상세표[근무일자],$U392)&amp;""))</f>
        <v/>
      </c>
      <c r="N392">
        <f>IF($U392="","",IF(ISNUMBER(INDEX(상세표[시작],$U392)),TEXT(INDEX(상세표[시작],$U392),"yyyy-mm-dd hh:mm"),INDEX(상세표[시작],$U392)&amp;""))</f>
        <v/>
      </c>
      <c r="O392">
        <f>IF($U392="","",IF(ISNUMBER(INDEX(상세표[종료],$U392)),TEXT(INDEX(상세표[종료],$U392),"yyyy-mm-dd hh:mm"),INDEX(상세표[종료],$U392)&amp;""))</f>
        <v/>
      </c>
      <c r="P392" s="20">
        <f>IF($U392="","",INDEX(상세표[06~07시],$U392))</f>
        <v/>
      </c>
      <c r="Q392" s="20">
        <f>IF($U392="","",INDEX(상세표[07~18시],$U392))</f>
        <v/>
      </c>
      <c r="R392" s="20">
        <f>IF($U392="","",INDEX(상세표[18~22시],$U392))</f>
        <v/>
      </c>
      <c r="S392" s="20">
        <f>IF($U392="","",INDEX(상세표[22~06시],$U392))</f>
        <v/>
      </c>
      <c r="T392" s="20">
        <f>IF($U392="","",INDEX(상세표[기록 시간외],$U392))</f>
        <v/>
      </c>
      <c r="U392" s="4">
        <f>IFERROR(MATCH(387,상세표[발송순번],0),"")</f>
        <v/>
      </c>
    </row>
    <row r="393">
      <c r="J393">
        <f>IF($U393="","",INDEX(상세표[사번],$U393)&amp;"")</f>
        <v/>
      </c>
      <c r="K393">
        <f>IF($U393="","",INDEX(상세표[성명],$U393)&amp;"")</f>
        <v/>
      </c>
      <c r="L393">
        <f>IF($U393="","",INDEX(상세표[직위],$U393)&amp;"")</f>
        <v/>
      </c>
      <c r="M393">
        <f>IF($U393="","",IF(ISNUMBER(INDEX(상세표[근무일자],$U393)),TEXT(INDEX(상세표[근무일자],$U393),"yyyy-mm-dd"),INDEX(상세표[근무일자],$U393)&amp;""))</f>
        <v/>
      </c>
      <c r="N393">
        <f>IF($U393="","",IF(ISNUMBER(INDEX(상세표[시작],$U393)),TEXT(INDEX(상세표[시작],$U393),"yyyy-mm-dd hh:mm"),INDEX(상세표[시작],$U393)&amp;""))</f>
        <v/>
      </c>
      <c r="O393">
        <f>IF($U393="","",IF(ISNUMBER(INDEX(상세표[종료],$U393)),TEXT(INDEX(상세표[종료],$U393),"yyyy-mm-dd hh:mm"),INDEX(상세표[종료],$U393)&amp;""))</f>
        <v/>
      </c>
      <c r="P393" s="20">
        <f>IF($U393="","",INDEX(상세표[06~07시],$U393))</f>
        <v/>
      </c>
      <c r="Q393" s="20">
        <f>IF($U393="","",INDEX(상세표[07~18시],$U393))</f>
        <v/>
      </c>
      <c r="R393" s="20">
        <f>IF($U393="","",INDEX(상세표[18~22시],$U393))</f>
        <v/>
      </c>
      <c r="S393" s="20">
        <f>IF($U393="","",INDEX(상세표[22~06시],$U393))</f>
        <v/>
      </c>
      <c r="T393" s="20">
        <f>IF($U393="","",INDEX(상세표[기록 시간외],$U393))</f>
        <v/>
      </c>
      <c r="U393" s="4">
        <f>IFERROR(MATCH(388,상세표[발송순번],0),"")</f>
        <v/>
      </c>
    </row>
    <row r="394">
      <c r="J394">
        <f>IF($U394="","",INDEX(상세표[사번],$U394)&amp;"")</f>
        <v/>
      </c>
      <c r="K394">
        <f>IF($U394="","",INDEX(상세표[성명],$U394)&amp;"")</f>
        <v/>
      </c>
      <c r="L394">
        <f>IF($U394="","",INDEX(상세표[직위],$U394)&amp;"")</f>
        <v/>
      </c>
      <c r="M394">
        <f>IF($U394="","",IF(ISNUMBER(INDEX(상세표[근무일자],$U394)),TEXT(INDEX(상세표[근무일자],$U394),"yyyy-mm-dd"),INDEX(상세표[근무일자],$U394)&amp;""))</f>
        <v/>
      </c>
      <c r="N394">
        <f>IF($U394="","",IF(ISNUMBER(INDEX(상세표[시작],$U394)),TEXT(INDEX(상세표[시작],$U394),"yyyy-mm-dd hh:mm"),INDEX(상세표[시작],$U394)&amp;""))</f>
        <v/>
      </c>
      <c r="O394">
        <f>IF($U394="","",IF(ISNUMBER(INDEX(상세표[종료],$U394)),TEXT(INDEX(상세표[종료],$U394),"yyyy-mm-dd hh:mm"),INDEX(상세표[종료],$U394)&amp;""))</f>
        <v/>
      </c>
      <c r="P394" s="20">
        <f>IF($U394="","",INDEX(상세표[06~07시],$U394))</f>
        <v/>
      </c>
      <c r="Q394" s="20">
        <f>IF($U394="","",INDEX(상세표[07~18시],$U394))</f>
        <v/>
      </c>
      <c r="R394" s="20">
        <f>IF($U394="","",INDEX(상세표[18~22시],$U394))</f>
        <v/>
      </c>
      <c r="S394" s="20">
        <f>IF($U394="","",INDEX(상세표[22~06시],$U394))</f>
        <v/>
      </c>
      <c r="T394" s="20">
        <f>IF($U394="","",INDEX(상세표[기록 시간외],$U394))</f>
        <v/>
      </c>
      <c r="U394" s="4">
        <f>IFERROR(MATCH(389,상세표[발송순번],0),"")</f>
        <v/>
      </c>
    </row>
    <row r="395">
      <c r="J395">
        <f>IF($U395="","",INDEX(상세표[사번],$U395)&amp;"")</f>
        <v/>
      </c>
      <c r="K395">
        <f>IF($U395="","",INDEX(상세표[성명],$U395)&amp;"")</f>
        <v/>
      </c>
      <c r="L395">
        <f>IF($U395="","",INDEX(상세표[직위],$U395)&amp;"")</f>
        <v/>
      </c>
      <c r="M395">
        <f>IF($U395="","",IF(ISNUMBER(INDEX(상세표[근무일자],$U395)),TEXT(INDEX(상세표[근무일자],$U395),"yyyy-mm-dd"),INDEX(상세표[근무일자],$U395)&amp;""))</f>
        <v/>
      </c>
      <c r="N395">
        <f>IF($U395="","",IF(ISNUMBER(INDEX(상세표[시작],$U395)),TEXT(INDEX(상세표[시작],$U395),"yyyy-mm-dd hh:mm"),INDEX(상세표[시작],$U395)&amp;""))</f>
        <v/>
      </c>
      <c r="O395">
        <f>IF($U395="","",IF(ISNUMBER(INDEX(상세표[종료],$U395)),TEXT(INDEX(상세표[종료],$U395),"yyyy-mm-dd hh:mm"),INDEX(상세표[종료],$U395)&amp;""))</f>
        <v/>
      </c>
      <c r="P395" s="20">
        <f>IF($U395="","",INDEX(상세표[06~07시],$U395))</f>
        <v/>
      </c>
      <c r="Q395" s="20">
        <f>IF($U395="","",INDEX(상세표[07~18시],$U395))</f>
        <v/>
      </c>
      <c r="R395" s="20">
        <f>IF($U395="","",INDEX(상세표[18~22시],$U395))</f>
        <v/>
      </c>
      <c r="S395" s="20">
        <f>IF($U395="","",INDEX(상세표[22~06시],$U395))</f>
        <v/>
      </c>
      <c r="T395" s="20">
        <f>IF($U395="","",INDEX(상세표[기록 시간외],$U395))</f>
        <v/>
      </c>
      <c r="U395" s="4">
        <f>IFERROR(MATCH(390,상세표[발송순번],0),"")</f>
        <v/>
      </c>
    </row>
    <row r="396">
      <c r="J396">
        <f>IF($U396="","",INDEX(상세표[사번],$U396)&amp;"")</f>
        <v/>
      </c>
      <c r="K396">
        <f>IF($U396="","",INDEX(상세표[성명],$U396)&amp;"")</f>
        <v/>
      </c>
      <c r="L396">
        <f>IF($U396="","",INDEX(상세표[직위],$U396)&amp;"")</f>
        <v/>
      </c>
      <c r="M396">
        <f>IF($U396="","",IF(ISNUMBER(INDEX(상세표[근무일자],$U396)),TEXT(INDEX(상세표[근무일자],$U396),"yyyy-mm-dd"),INDEX(상세표[근무일자],$U396)&amp;""))</f>
        <v/>
      </c>
      <c r="N396">
        <f>IF($U396="","",IF(ISNUMBER(INDEX(상세표[시작],$U396)),TEXT(INDEX(상세표[시작],$U396),"yyyy-mm-dd hh:mm"),INDEX(상세표[시작],$U396)&amp;""))</f>
        <v/>
      </c>
      <c r="O396">
        <f>IF($U396="","",IF(ISNUMBER(INDEX(상세표[종료],$U396)),TEXT(INDEX(상세표[종료],$U396),"yyyy-mm-dd hh:mm"),INDEX(상세표[종료],$U396)&amp;""))</f>
        <v/>
      </c>
      <c r="P396" s="20">
        <f>IF($U396="","",INDEX(상세표[06~07시],$U396))</f>
        <v/>
      </c>
      <c r="Q396" s="20">
        <f>IF($U396="","",INDEX(상세표[07~18시],$U396))</f>
        <v/>
      </c>
      <c r="R396" s="20">
        <f>IF($U396="","",INDEX(상세표[18~22시],$U396))</f>
        <v/>
      </c>
      <c r="S396" s="20">
        <f>IF($U396="","",INDEX(상세표[22~06시],$U396))</f>
        <v/>
      </c>
      <c r="T396" s="20">
        <f>IF($U396="","",INDEX(상세표[기록 시간외],$U396))</f>
        <v/>
      </c>
      <c r="U396" s="4">
        <f>IFERROR(MATCH(391,상세표[발송순번],0),"")</f>
        <v/>
      </c>
    </row>
    <row r="397">
      <c r="J397">
        <f>IF($U397="","",INDEX(상세표[사번],$U397)&amp;"")</f>
        <v/>
      </c>
      <c r="K397">
        <f>IF($U397="","",INDEX(상세표[성명],$U397)&amp;"")</f>
        <v/>
      </c>
      <c r="L397">
        <f>IF($U397="","",INDEX(상세표[직위],$U397)&amp;"")</f>
        <v/>
      </c>
      <c r="M397">
        <f>IF($U397="","",IF(ISNUMBER(INDEX(상세표[근무일자],$U397)),TEXT(INDEX(상세표[근무일자],$U397),"yyyy-mm-dd"),INDEX(상세표[근무일자],$U397)&amp;""))</f>
        <v/>
      </c>
      <c r="N397">
        <f>IF($U397="","",IF(ISNUMBER(INDEX(상세표[시작],$U397)),TEXT(INDEX(상세표[시작],$U397),"yyyy-mm-dd hh:mm"),INDEX(상세표[시작],$U397)&amp;""))</f>
        <v/>
      </c>
      <c r="O397">
        <f>IF($U397="","",IF(ISNUMBER(INDEX(상세표[종료],$U397)),TEXT(INDEX(상세표[종료],$U397),"yyyy-mm-dd hh:mm"),INDEX(상세표[종료],$U397)&amp;""))</f>
        <v/>
      </c>
      <c r="P397" s="20">
        <f>IF($U397="","",INDEX(상세표[06~07시],$U397))</f>
        <v/>
      </c>
      <c r="Q397" s="20">
        <f>IF($U397="","",INDEX(상세표[07~18시],$U397))</f>
        <v/>
      </c>
      <c r="R397" s="20">
        <f>IF($U397="","",INDEX(상세표[18~22시],$U397))</f>
        <v/>
      </c>
      <c r="S397" s="20">
        <f>IF($U397="","",INDEX(상세표[22~06시],$U397))</f>
        <v/>
      </c>
      <c r="T397" s="20">
        <f>IF($U397="","",INDEX(상세표[기록 시간외],$U397))</f>
        <v/>
      </c>
      <c r="U397" s="4">
        <f>IFERROR(MATCH(392,상세표[발송순번],0),"")</f>
        <v/>
      </c>
    </row>
    <row r="398">
      <c r="J398">
        <f>IF($U398="","",INDEX(상세표[사번],$U398)&amp;"")</f>
        <v/>
      </c>
      <c r="K398">
        <f>IF($U398="","",INDEX(상세표[성명],$U398)&amp;"")</f>
        <v/>
      </c>
      <c r="L398">
        <f>IF($U398="","",INDEX(상세표[직위],$U398)&amp;"")</f>
        <v/>
      </c>
      <c r="M398">
        <f>IF($U398="","",IF(ISNUMBER(INDEX(상세표[근무일자],$U398)),TEXT(INDEX(상세표[근무일자],$U398),"yyyy-mm-dd"),INDEX(상세표[근무일자],$U398)&amp;""))</f>
        <v/>
      </c>
      <c r="N398">
        <f>IF($U398="","",IF(ISNUMBER(INDEX(상세표[시작],$U398)),TEXT(INDEX(상세표[시작],$U398),"yyyy-mm-dd hh:mm"),INDEX(상세표[시작],$U398)&amp;""))</f>
        <v/>
      </c>
      <c r="O398">
        <f>IF($U398="","",IF(ISNUMBER(INDEX(상세표[종료],$U398)),TEXT(INDEX(상세표[종료],$U398),"yyyy-mm-dd hh:mm"),INDEX(상세표[종료],$U398)&amp;""))</f>
        <v/>
      </c>
      <c r="P398" s="20">
        <f>IF($U398="","",INDEX(상세표[06~07시],$U398))</f>
        <v/>
      </c>
      <c r="Q398" s="20">
        <f>IF($U398="","",INDEX(상세표[07~18시],$U398))</f>
        <v/>
      </c>
      <c r="R398" s="20">
        <f>IF($U398="","",INDEX(상세표[18~22시],$U398))</f>
        <v/>
      </c>
      <c r="S398" s="20">
        <f>IF($U398="","",INDEX(상세표[22~06시],$U398))</f>
        <v/>
      </c>
      <c r="T398" s="20">
        <f>IF($U398="","",INDEX(상세표[기록 시간외],$U398))</f>
        <v/>
      </c>
      <c r="U398" s="4">
        <f>IFERROR(MATCH(393,상세표[발송순번],0),"")</f>
        <v/>
      </c>
    </row>
    <row r="399">
      <c r="J399">
        <f>IF($U399="","",INDEX(상세표[사번],$U399)&amp;"")</f>
        <v/>
      </c>
      <c r="K399">
        <f>IF($U399="","",INDEX(상세표[성명],$U399)&amp;"")</f>
        <v/>
      </c>
      <c r="L399">
        <f>IF($U399="","",INDEX(상세표[직위],$U399)&amp;"")</f>
        <v/>
      </c>
      <c r="M399">
        <f>IF($U399="","",IF(ISNUMBER(INDEX(상세표[근무일자],$U399)),TEXT(INDEX(상세표[근무일자],$U399),"yyyy-mm-dd"),INDEX(상세표[근무일자],$U399)&amp;""))</f>
        <v/>
      </c>
      <c r="N399">
        <f>IF($U399="","",IF(ISNUMBER(INDEX(상세표[시작],$U399)),TEXT(INDEX(상세표[시작],$U399),"yyyy-mm-dd hh:mm"),INDEX(상세표[시작],$U399)&amp;""))</f>
        <v/>
      </c>
      <c r="O399">
        <f>IF($U399="","",IF(ISNUMBER(INDEX(상세표[종료],$U399)),TEXT(INDEX(상세표[종료],$U399),"yyyy-mm-dd hh:mm"),INDEX(상세표[종료],$U399)&amp;""))</f>
        <v/>
      </c>
      <c r="P399" s="20">
        <f>IF($U399="","",INDEX(상세표[06~07시],$U399))</f>
        <v/>
      </c>
      <c r="Q399" s="20">
        <f>IF($U399="","",INDEX(상세표[07~18시],$U399))</f>
        <v/>
      </c>
      <c r="R399" s="20">
        <f>IF($U399="","",INDEX(상세표[18~22시],$U399))</f>
        <v/>
      </c>
      <c r="S399" s="20">
        <f>IF($U399="","",INDEX(상세표[22~06시],$U399))</f>
        <v/>
      </c>
      <c r="T399" s="20">
        <f>IF($U399="","",INDEX(상세표[기록 시간외],$U399))</f>
        <v/>
      </c>
      <c r="U399" s="4">
        <f>IFERROR(MATCH(394,상세표[발송순번],0),"")</f>
        <v/>
      </c>
    </row>
    <row r="400">
      <c r="J400">
        <f>IF($U400="","",INDEX(상세표[사번],$U400)&amp;"")</f>
        <v/>
      </c>
      <c r="K400">
        <f>IF($U400="","",INDEX(상세표[성명],$U400)&amp;"")</f>
        <v/>
      </c>
      <c r="L400">
        <f>IF($U400="","",INDEX(상세표[직위],$U400)&amp;"")</f>
        <v/>
      </c>
      <c r="M400">
        <f>IF($U400="","",IF(ISNUMBER(INDEX(상세표[근무일자],$U400)),TEXT(INDEX(상세표[근무일자],$U400),"yyyy-mm-dd"),INDEX(상세표[근무일자],$U400)&amp;""))</f>
        <v/>
      </c>
      <c r="N400">
        <f>IF($U400="","",IF(ISNUMBER(INDEX(상세표[시작],$U400)),TEXT(INDEX(상세표[시작],$U400),"yyyy-mm-dd hh:mm"),INDEX(상세표[시작],$U400)&amp;""))</f>
        <v/>
      </c>
      <c r="O400">
        <f>IF($U400="","",IF(ISNUMBER(INDEX(상세표[종료],$U400)),TEXT(INDEX(상세표[종료],$U400),"yyyy-mm-dd hh:mm"),INDEX(상세표[종료],$U400)&amp;""))</f>
        <v/>
      </c>
      <c r="P400" s="20">
        <f>IF($U400="","",INDEX(상세표[06~07시],$U400))</f>
        <v/>
      </c>
      <c r="Q400" s="20">
        <f>IF($U400="","",INDEX(상세표[07~18시],$U400))</f>
        <v/>
      </c>
      <c r="R400" s="20">
        <f>IF($U400="","",INDEX(상세표[18~22시],$U400))</f>
        <v/>
      </c>
      <c r="S400" s="20">
        <f>IF($U400="","",INDEX(상세표[22~06시],$U400))</f>
        <v/>
      </c>
      <c r="T400" s="20">
        <f>IF($U400="","",INDEX(상세표[기록 시간외],$U400))</f>
        <v/>
      </c>
      <c r="U400" s="4">
        <f>IFERROR(MATCH(395,상세표[발송순번],0),"")</f>
        <v/>
      </c>
    </row>
    <row r="401">
      <c r="J401">
        <f>IF($U401="","",INDEX(상세표[사번],$U401)&amp;"")</f>
        <v/>
      </c>
      <c r="K401">
        <f>IF($U401="","",INDEX(상세표[성명],$U401)&amp;"")</f>
        <v/>
      </c>
      <c r="L401">
        <f>IF($U401="","",INDEX(상세표[직위],$U401)&amp;"")</f>
        <v/>
      </c>
      <c r="M401">
        <f>IF($U401="","",IF(ISNUMBER(INDEX(상세표[근무일자],$U401)),TEXT(INDEX(상세표[근무일자],$U401),"yyyy-mm-dd"),INDEX(상세표[근무일자],$U401)&amp;""))</f>
        <v/>
      </c>
      <c r="N401">
        <f>IF($U401="","",IF(ISNUMBER(INDEX(상세표[시작],$U401)),TEXT(INDEX(상세표[시작],$U401),"yyyy-mm-dd hh:mm"),INDEX(상세표[시작],$U401)&amp;""))</f>
        <v/>
      </c>
      <c r="O401">
        <f>IF($U401="","",IF(ISNUMBER(INDEX(상세표[종료],$U401)),TEXT(INDEX(상세표[종료],$U401),"yyyy-mm-dd hh:mm"),INDEX(상세표[종료],$U401)&amp;""))</f>
        <v/>
      </c>
      <c r="P401" s="20">
        <f>IF($U401="","",INDEX(상세표[06~07시],$U401))</f>
        <v/>
      </c>
      <c r="Q401" s="20">
        <f>IF($U401="","",INDEX(상세표[07~18시],$U401))</f>
        <v/>
      </c>
      <c r="R401" s="20">
        <f>IF($U401="","",INDEX(상세표[18~22시],$U401))</f>
        <v/>
      </c>
      <c r="S401" s="20">
        <f>IF($U401="","",INDEX(상세표[22~06시],$U401))</f>
        <v/>
      </c>
      <c r="T401" s="20">
        <f>IF($U401="","",INDEX(상세표[기록 시간외],$U401))</f>
        <v/>
      </c>
      <c r="U401" s="4">
        <f>IFERROR(MATCH(396,상세표[발송순번],0),"")</f>
        <v/>
      </c>
    </row>
    <row r="402">
      <c r="J402">
        <f>IF($U402="","",INDEX(상세표[사번],$U402)&amp;"")</f>
        <v/>
      </c>
      <c r="K402">
        <f>IF($U402="","",INDEX(상세표[성명],$U402)&amp;"")</f>
        <v/>
      </c>
      <c r="L402">
        <f>IF($U402="","",INDEX(상세표[직위],$U402)&amp;"")</f>
        <v/>
      </c>
      <c r="M402">
        <f>IF($U402="","",IF(ISNUMBER(INDEX(상세표[근무일자],$U402)),TEXT(INDEX(상세표[근무일자],$U402),"yyyy-mm-dd"),INDEX(상세표[근무일자],$U402)&amp;""))</f>
        <v/>
      </c>
      <c r="N402">
        <f>IF($U402="","",IF(ISNUMBER(INDEX(상세표[시작],$U402)),TEXT(INDEX(상세표[시작],$U402),"yyyy-mm-dd hh:mm"),INDEX(상세표[시작],$U402)&amp;""))</f>
        <v/>
      </c>
      <c r="O402">
        <f>IF($U402="","",IF(ISNUMBER(INDEX(상세표[종료],$U402)),TEXT(INDEX(상세표[종료],$U402),"yyyy-mm-dd hh:mm"),INDEX(상세표[종료],$U402)&amp;""))</f>
        <v/>
      </c>
      <c r="P402" s="20">
        <f>IF($U402="","",INDEX(상세표[06~07시],$U402))</f>
        <v/>
      </c>
      <c r="Q402" s="20">
        <f>IF($U402="","",INDEX(상세표[07~18시],$U402))</f>
        <v/>
      </c>
      <c r="R402" s="20">
        <f>IF($U402="","",INDEX(상세표[18~22시],$U402))</f>
        <v/>
      </c>
      <c r="S402" s="20">
        <f>IF($U402="","",INDEX(상세표[22~06시],$U402))</f>
        <v/>
      </c>
      <c r="T402" s="20">
        <f>IF($U402="","",INDEX(상세표[기록 시간외],$U402))</f>
        <v/>
      </c>
      <c r="U402" s="4">
        <f>IFERROR(MATCH(397,상세표[발송순번],0),"")</f>
        <v/>
      </c>
    </row>
    <row r="403">
      <c r="J403">
        <f>IF($U403="","",INDEX(상세표[사번],$U403)&amp;"")</f>
        <v/>
      </c>
      <c r="K403">
        <f>IF($U403="","",INDEX(상세표[성명],$U403)&amp;"")</f>
        <v/>
      </c>
      <c r="L403">
        <f>IF($U403="","",INDEX(상세표[직위],$U403)&amp;"")</f>
        <v/>
      </c>
      <c r="M403">
        <f>IF($U403="","",IF(ISNUMBER(INDEX(상세표[근무일자],$U403)),TEXT(INDEX(상세표[근무일자],$U403),"yyyy-mm-dd"),INDEX(상세표[근무일자],$U403)&amp;""))</f>
        <v/>
      </c>
      <c r="N403">
        <f>IF($U403="","",IF(ISNUMBER(INDEX(상세표[시작],$U403)),TEXT(INDEX(상세표[시작],$U403),"yyyy-mm-dd hh:mm"),INDEX(상세표[시작],$U403)&amp;""))</f>
        <v/>
      </c>
      <c r="O403">
        <f>IF($U403="","",IF(ISNUMBER(INDEX(상세표[종료],$U403)),TEXT(INDEX(상세표[종료],$U403),"yyyy-mm-dd hh:mm"),INDEX(상세표[종료],$U403)&amp;""))</f>
        <v/>
      </c>
      <c r="P403" s="20">
        <f>IF($U403="","",INDEX(상세표[06~07시],$U403))</f>
        <v/>
      </c>
      <c r="Q403" s="20">
        <f>IF($U403="","",INDEX(상세표[07~18시],$U403))</f>
        <v/>
      </c>
      <c r="R403" s="20">
        <f>IF($U403="","",INDEX(상세표[18~22시],$U403))</f>
        <v/>
      </c>
      <c r="S403" s="20">
        <f>IF($U403="","",INDEX(상세표[22~06시],$U403))</f>
        <v/>
      </c>
      <c r="T403" s="20">
        <f>IF($U403="","",INDEX(상세표[기록 시간외],$U403))</f>
        <v/>
      </c>
      <c r="U403" s="4">
        <f>IFERROR(MATCH(398,상세표[발송순번],0),"")</f>
        <v/>
      </c>
    </row>
    <row r="404">
      <c r="J404">
        <f>IF($U404="","",INDEX(상세표[사번],$U404)&amp;"")</f>
        <v/>
      </c>
      <c r="K404">
        <f>IF($U404="","",INDEX(상세표[성명],$U404)&amp;"")</f>
        <v/>
      </c>
      <c r="L404">
        <f>IF($U404="","",INDEX(상세표[직위],$U404)&amp;"")</f>
        <v/>
      </c>
      <c r="M404">
        <f>IF($U404="","",IF(ISNUMBER(INDEX(상세표[근무일자],$U404)),TEXT(INDEX(상세표[근무일자],$U404),"yyyy-mm-dd"),INDEX(상세표[근무일자],$U404)&amp;""))</f>
        <v/>
      </c>
      <c r="N404">
        <f>IF($U404="","",IF(ISNUMBER(INDEX(상세표[시작],$U404)),TEXT(INDEX(상세표[시작],$U404),"yyyy-mm-dd hh:mm"),INDEX(상세표[시작],$U404)&amp;""))</f>
        <v/>
      </c>
      <c r="O404">
        <f>IF($U404="","",IF(ISNUMBER(INDEX(상세표[종료],$U404)),TEXT(INDEX(상세표[종료],$U404),"yyyy-mm-dd hh:mm"),INDEX(상세표[종료],$U404)&amp;""))</f>
        <v/>
      </c>
      <c r="P404" s="20">
        <f>IF($U404="","",INDEX(상세표[06~07시],$U404))</f>
        <v/>
      </c>
      <c r="Q404" s="20">
        <f>IF($U404="","",INDEX(상세표[07~18시],$U404))</f>
        <v/>
      </c>
      <c r="R404" s="20">
        <f>IF($U404="","",INDEX(상세표[18~22시],$U404))</f>
        <v/>
      </c>
      <c r="S404" s="20">
        <f>IF($U404="","",INDEX(상세표[22~06시],$U404))</f>
        <v/>
      </c>
      <c r="T404" s="20">
        <f>IF($U404="","",INDEX(상세표[기록 시간외],$U404))</f>
        <v/>
      </c>
      <c r="U404" s="4">
        <f>IFERROR(MATCH(399,상세표[발송순번],0),"")</f>
        <v/>
      </c>
    </row>
    <row r="405">
      <c r="J405">
        <f>IF($U405="","",INDEX(상세표[사번],$U405)&amp;"")</f>
        <v/>
      </c>
      <c r="K405">
        <f>IF($U405="","",INDEX(상세표[성명],$U405)&amp;"")</f>
        <v/>
      </c>
      <c r="L405">
        <f>IF($U405="","",INDEX(상세표[직위],$U405)&amp;"")</f>
        <v/>
      </c>
      <c r="M405">
        <f>IF($U405="","",IF(ISNUMBER(INDEX(상세표[근무일자],$U405)),TEXT(INDEX(상세표[근무일자],$U405),"yyyy-mm-dd"),INDEX(상세표[근무일자],$U405)&amp;""))</f>
        <v/>
      </c>
      <c r="N405">
        <f>IF($U405="","",IF(ISNUMBER(INDEX(상세표[시작],$U405)),TEXT(INDEX(상세표[시작],$U405),"yyyy-mm-dd hh:mm"),INDEX(상세표[시작],$U405)&amp;""))</f>
        <v/>
      </c>
      <c r="O405">
        <f>IF($U405="","",IF(ISNUMBER(INDEX(상세표[종료],$U405)),TEXT(INDEX(상세표[종료],$U405),"yyyy-mm-dd hh:mm"),INDEX(상세표[종료],$U405)&amp;""))</f>
        <v/>
      </c>
      <c r="P405" s="20">
        <f>IF($U405="","",INDEX(상세표[06~07시],$U405))</f>
        <v/>
      </c>
      <c r="Q405" s="20">
        <f>IF($U405="","",INDEX(상세표[07~18시],$U405))</f>
        <v/>
      </c>
      <c r="R405" s="20">
        <f>IF($U405="","",INDEX(상세표[18~22시],$U405))</f>
        <v/>
      </c>
      <c r="S405" s="20">
        <f>IF($U405="","",INDEX(상세표[22~06시],$U405))</f>
        <v/>
      </c>
      <c r="T405" s="20">
        <f>IF($U405="","",INDEX(상세표[기록 시간외],$U405))</f>
        <v/>
      </c>
      <c r="U405" s="4">
        <f>IFERROR(MATCH(400,상세표[발송순번],0),"")</f>
        <v/>
      </c>
    </row>
    <row r="406">
      <c r="J406">
        <f>IF($U406="","",INDEX(상세표[사번],$U406)&amp;"")</f>
        <v/>
      </c>
      <c r="K406">
        <f>IF($U406="","",INDEX(상세표[성명],$U406)&amp;"")</f>
        <v/>
      </c>
      <c r="L406">
        <f>IF($U406="","",INDEX(상세표[직위],$U406)&amp;"")</f>
        <v/>
      </c>
      <c r="M406">
        <f>IF($U406="","",IF(ISNUMBER(INDEX(상세표[근무일자],$U406)),TEXT(INDEX(상세표[근무일자],$U406),"yyyy-mm-dd"),INDEX(상세표[근무일자],$U406)&amp;""))</f>
        <v/>
      </c>
      <c r="N406">
        <f>IF($U406="","",IF(ISNUMBER(INDEX(상세표[시작],$U406)),TEXT(INDEX(상세표[시작],$U406),"yyyy-mm-dd hh:mm"),INDEX(상세표[시작],$U406)&amp;""))</f>
        <v/>
      </c>
      <c r="O406">
        <f>IF($U406="","",IF(ISNUMBER(INDEX(상세표[종료],$U406)),TEXT(INDEX(상세표[종료],$U406),"yyyy-mm-dd hh:mm"),INDEX(상세표[종료],$U406)&amp;""))</f>
        <v/>
      </c>
      <c r="P406" s="20">
        <f>IF($U406="","",INDEX(상세표[06~07시],$U406))</f>
        <v/>
      </c>
      <c r="Q406" s="20">
        <f>IF($U406="","",INDEX(상세표[07~18시],$U406))</f>
        <v/>
      </c>
      <c r="R406" s="20">
        <f>IF($U406="","",INDEX(상세표[18~22시],$U406))</f>
        <v/>
      </c>
      <c r="S406" s="20">
        <f>IF($U406="","",INDEX(상세표[22~06시],$U406))</f>
        <v/>
      </c>
      <c r="T406" s="20">
        <f>IF($U406="","",INDEX(상세표[기록 시간외],$U406))</f>
        <v/>
      </c>
      <c r="U406" s="4">
        <f>IFERROR(MATCH(401,상세표[발송순번],0),"")</f>
        <v/>
      </c>
    </row>
    <row r="407">
      <c r="J407">
        <f>IF($U407="","",INDEX(상세표[사번],$U407)&amp;"")</f>
        <v/>
      </c>
      <c r="K407">
        <f>IF($U407="","",INDEX(상세표[성명],$U407)&amp;"")</f>
        <v/>
      </c>
      <c r="L407">
        <f>IF($U407="","",INDEX(상세표[직위],$U407)&amp;"")</f>
        <v/>
      </c>
      <c r="M407">
        <f>IF($U407="","",IF(ISNUMBER(INDEX(상세표[근무일자],$U407)),TEXT(INDEX(상세표[근무일자],$U407),"yyyy-mm-dd"),INDEX(상세표[근무일자],$U407)&amp;""))</f>
        <v/>
      </c>
      <c r="N407">
        <f>IF($U407="","",IF(ISNUMBER(INDEX(상세표[시작],$U407)),TEXT(INDEX(상세표[시작],$U407),"yyyy-mm-dd hh:mm"),INDEX(상세표[시작],$U407)&amp;""))</f>
        <v/>
      </c>
      <c r="O407">
        <f>IF($U407="","",IF(ISNUMBER(INDEX(상세표[종료],$U407)),TEXT(INDEX(상세표[종료],$U407),"yyyy-mm-dd hh:mm"),INDEX(상세표[종료],$U407)&amp;""))</f>
        <v/>
      </c>
      <c r="P407" s="20">
        <f>IF($U407="","",INDEX(상세표[06~07시],$U407))</f>
        <v/>
      </c>
      <c r="Q407" s="20">
        <f>IF($U407="","",INDEX(상세표[07~18시],$U407))</f>
        <v/>
      </c>
      <c r="R407" s="20">
        <f>IF($U407="","",INDEX(상세표[18~22시],$U407))</f>
        <v/>
      </c>
      <c r="S407" s="20">
        <f>IF($U407="","",INDEX(상세표[22~06시],$U407))</f>
        <v/>
      </c>
      <c r="T407" s="20">
        <f>IF($U407="","",INDEX(상세표[기록 시간외],$U407))</f>
        <v/>
      </c>
      <c r="U407" s="4">
        <f>IFERROR(MATCH(402,상세표[발송순번],0),"")</f>
        <v/>
      </c>
    </row>
    <row r="408">
      <c r="J408">
        <f>IF($U408="","",INDEX(상세표[사번],$U408)&amp;"")</f>
        <v/>
      </c>
      <c r="K408">
        <f>IF($U408="","",INDEX(상세표[성명],$U408)&amp;"")</f>
        <v/>
      </c>
      <c r="L408">
        <f>IF($U408="","",INDEX(상세표[직위],$U408)&amp;"")</f>
        <v/>
      </c>
      <c r="M408">
        <f>IF($U408="","",IF(ISNUMBER(INDEX(상세표[근무일자],$U408)),TEXT(INDEX(상세표[근무일자],$U408),"yyyy-mm-dd"),INDEX(상세표[근무일자],$U408)&amp;""))</f>
        <v/>
      </c>
      <c r="N408">
        <f>IF($U408="","",IF(ISNUMBER(INDEX(상세표[시작],$U408)),TEXT(INDEX(상세표[시작],$U408),"yyyy-mm-dd hh:mm"),INDEX(상세표[시작],$U408)&amp;""))</f>
        <v/>
      </c>
      <c r="O408">
        <f>IF($U408="","",IF(ISNUMBER(INDEX(상세표[종료],$U408)),TEXT(INDEX(상세표[종료],$U408),"yyyy-mm-dd hh:mm"),INDEX(상세표[종료],$U408)&amp;""))</f>
        <v/>
      </c>
      <c r="P408" s="20">
        <f>IF($U408="","",INDEX(상세표[06~07시],$U408))</f>
        <v/>
      </c>
      <c r="Q408" s="20">
        <f>IF($U408="","",INDEX(상세표[07~18시],$U408))</f>
        <v/>
      </c>
      <c r="R408" s="20">
        <f>IF($U408="","",INDEX(상세표[18~22시],$U408))</f>
        <v/>
      </c>
      <c r="S408" s="20">
        <f>IF($U408="","",INDEX(상세표[22~06시],$U408))</f>
        <v/>
      </c>
      <c r="T408" s="20">
        <f>IF($U408="","",INDEX(상세표[기록 시간외],$U408))</f>
        <v/>
      </c>
      <c r="U408" s="4">
        <f>IFERROR(MATCH(403,상세표[발송순번],0),"")</f>
        <v/>
      </c>
    </row>
    <row r="409">
      <c r="J409">
        <f>IF($U409="","",INDEX(상세표[사번],$U409)&amp;"")</f>
        <v/>
      </c>
      <c r="K409">
        <f>IF($U409="","",INDEX(상세표[성명],$U409)&amp;"")</f>
        <v/>
      </c>
      <c r="L409">
        <f>IF($U409="","",INDEX(상세표[직위],$U409)&amp;"")</f>
        <v/>
      </c>
      <c r="M409">
        <f>IF($U409="","",IF(ISNUMBER(INDEX(상세표[근무일자],$U409)),TEXT(INDEX(상세표[근무일자],$U409),"yyyy-mm-dd"),INDEX(상세표[근무일자],$U409)&amp;""))</f>
        <v/>
      </c>
      <c r="N409">
        <f>IF($U409="","",IF(ISNUMBER(INDEX(상세표[시작],$U409)),TEXT(INDEX(상세표[시작],$U409),"yyyy-mm-dd hh:mm"),INDEX(상세표[시작],$U409)&amp;""))</f>
        <v/>
      </c>
      <c r="O409">
        <f>IF($U409="","",IF(ISNUMBER(INDEX(상세표[종료],$U409)),TEXT(INDEX(상세표[종료],$U409),"yyyy-mm-dd hh:mm"),INDEX(상세표[종료],$U409)&amp;""))</f>
        <v/>
      </c>
      <c r="P409" s="20">
        <f>IF($U409="","",INDEX(상세표[06~07시],$U409))</f>
        <v/>
      </c>
      <c r="Q409" s="20">
        <f>IF($U409="","",INDEX(상세표[07~18시],$U409))</f>
        <v/>
      </c>
      <c r="R409" s="20">
        <f>IF($U409="","",INDEX(상세표[18~22시],$U409))</f>
        <v/>
      </c>
      <c r="S409" s="20">
        <f>IF($U409="","",INDEX(상세표[22~06시],$U409))</f>
        <v/>
      </c>
      <c r="T409" s="20">
        <f>IF($U409="","",INDEX(상세표[기록 시간외],$U409))</f>
        <v/>
      </c>
      <c r="U409" s="4">
        <f>IFERROR(MATCH(404,상세표[발송순번],0),"")</f>
        <v/>
      </c>
    </row>
    <row r="410">
      <c r="J410">
        <f>IF($U410="","",INDEX(상세표[사번],$U410)&amp;"")</f>
        <v/>
      </c>
      <c r="K410">
        <f>IF($U410="","",INDEX(상세표[성명],$U410)&amp;"")</f>
        <v/>
      </c>
      <c r="L410">
        <f>IF($U410="","",INDEX(상세표[직위],$U410)&amp;"")</f>
        <v/>
      </c>
      <c r="M410">
        <f>IF($U410="","",IF(ISNUMBER(INDEX(상세표[근무일자],$U410)),TEXT(INDEX(상세표[근무일자],$U410),"yyyy-mm-dd"),INDEX(상세표[근무일자],$U410)&amp;""))</f>
        <v/>
      </c>
      <c r="N410">
        <f>IF($U410="","",IF(ISNUMBER(INDEX(상세표[시작],$U410)),TEXT(INDEX(상세표[시작],$U410),"yyyy-mm-dd hh:mm"),INDEX(상세표[시작],$U410)&amp;""))</f>
        <v/>
      </c>
      <c r="O410">
        <f>IF($U410="","",IF(ISNUMBER(INDEX(상세표[종료],$U410)),TEXT(INDEX(상세표[종료],$U410),"yyyy-mm-dd hh:mm"),INDEX(상세표[종료],$U410)&amp;""))</f>
        <v/>
      </c>
      <c r="P410" s="20">
        <f>IF($U410="","",INDEX(상세표[06~07시],$U410))</f>
        <v/>
      </c>
      <c r="Q410" s="20">
        <f>IF($U410="","",INDEX(상세표[07~18시],$U410))</f>
        <v/>
      </c>
      <c r="R410" s="20">
        <f>IF($U410="","",INDEX(상세표[18~22시],$U410))</f>
        <v/>
      </c>
      <c r="S410" s="20">
        <f>IF($U410="","",INDEX(상세표[22~06시],$U410))</f>
        <v/>
      </c>
      <c r="T410" s="20">
        <f>IF($U410="","",INDEX(상세표[기록 시간외],$U410))</f>
        <v/>
      </c>
      <c r="U410" s="4">
        <f>IFERROR(MATCH(405,상세표[발송순번],0),"")</f>
        <v/>
      </c>
    </row>
    <row r="411">
      <c r="J411">
        <f>IF($U411="","",INDEX(상세표[사번],$U411)&amp;"")</f>
        <v/>
      </c>
      <c r="K411">
        <f>IF($U411="","",INDEX(상세표[성명],$U411)&amp;"")</f>
        <v/>
      </c>
      <c r="L411">
        <f>IF($U411="","",INDEX(상세표[직위],$U411)&amp;"")</f>
        <v/>
      </c>
      <c r="M411">
        <f>IF($U411="","",IF(ISNUMBER(INDEX(상세표[근무일자],$U411)),TEXT(INDEX(상세표[근무일자],$U411),"yyyy-mm-dd"),INDEX(상세표[근무일자],$U411)&amp;""))</f>
        <v/>
      </c>
      <c r="N411">
        <f>IF($U411="","",IF(ISNUMBER(INDEX(상세표[시작],$U411)),TEXT(INDEX(상세표[시작],$U411),"yyyy-mm-dd hh:mm"),INDEX(상세표[시작],$U411)&amp;""))</f>
        <v/>
      </c>
      <c r="O411">
        <f>IF($U411="","",IF(ISNUMBER(INDEX(상세표[종료],$U411)),TEXT(INDEX(상세표[종료],$U411),"yyyy-mm-dd hh:mm"),INDEX(상세표[종료],$U411)&amp;""))</f>
        <v/>
      </c>
      <c r="P411" s="20">
        <f>IF($U411="","",INDEX(상세표[06~07시],$U411))</f>
        <v/>
      </c>
      <c r="Q411" s="20">
        <f>IF($U411="","",INDEX(상세표[07~18시],$U411))</f>
        <v/>
      </c>
      <c r="R411" s="20">
        <f>IF($U411="","",INDEX(상세표[18~22시],$U411))</f>
        <v/>
      </c>
      <c r="S411" s="20">
        <f>IF($U411="","",INDEX(상세표[22~06시],$U411))</f>
        <v/>
      </c>
      <c r="T411" s="20">
        <f>IF($U411="","",INDEX(상세표[기록 시간외],$U411))</f>
        <v/>
      </c>
      <c r="U411" s="4">
        <f>IFERROR(MATCH(406,상세표[발송순번],0),"")</f>
        <v/>
      </c>
    </row>
    <row r="412">
      <c r="J412">
        <f>IF($U412="","",INDEX(상세표[사번],$U412)&amp;"")</f>
        <v/>
      </c>
      <c r="K412">
        <f>IF($U412="","",INDEX(상세표[성명],$U412)&amp;"")</f>
        <v/>
      </c>
      <c r="L412">
        <f>IF($U412="","",INDEX(상세표[직위],$U412)&amp;"")</f>
        <v/>
      </c>
      <c r="M412">
        <f>IF($U412="","",IF(ISNUMBER(INDEX(상세표[근무일자],$U412)),TEXT(INDEX(상세표[근무일자],$U412),"yyyy-mm-dd"),INDEX(상세표[근무일자],$U412)&amp;""))</f>
        <v/>
      </c>
      <c r="N412">
        <f>IF($U412="","",IF(ISNUMBER(INDEX(상세표[시작],$U412)),TEXT(INDEX(상세표[시작],$U412),"yyyy-mm-dd hh:mm"),INDEX(상세표[시작],$U412)&amp;""))</f>
        <v/>
      </c>
      <c r="O412">
        <f>IF($U412="","",IF(ISNUMBER(INDEX(상세표[종료],$U412)),TEXT(INDEX(상세표[종료],$U412),"yyyy-mm-dd hh:mm"),INDEX(상세표[종료],$U412)&amp;""))</f>
        <v/>
      </c>
      <c r="P412" s="20">
        <f>IF($U412="","",INDEX(상세표[06~07시],$U412))</f>
        <v/>
      </c>
      <c r="Q412" s="20">
        <f>IF($U412="","",INDEX(상세표[07~18시],$U412))</f>
        <v/>
      </c>
      <c r="R412" s="20">
        <f>IF($U412="","",INDEX(상세표[18~22시],$U412))</f>
        <v/>
      </c>
      <c r="S412" s="20">
        <f>IF($U412="","",INDEX(상세표[22~06시],$U412))</f>
        <v/>
      </c>
      <c r="T412" s="20">
        <f>IF($U412="","",INDEX(상세표[기록 시간외],$U412))</f>
        <v/>
      </c>
      <c r="U412" s="4">
        <f>IFERROR(MATCH(407,상세표[발송순번],0),"")</f>
        <v/>
      </c>
    </row>
    <row r="413">
      <c r="J413">
        <f>IF($U413="","",INDEX(상세표[사번],$U413)&amp;"")</f>
        <v/>
      </c>
      <c r="K413">
        <f>IF($U413="","",INDEX(상세표[성명],$U413)&amp;"")</f>
        <v/>
      </c>
      <c r="L413">
        <f>IF($U413="","",INDEX(상세표[직위],$U413)&amp;"")</f>
        <v/>
      </c>
      <c r="M413">
        <f>IF($U413="","",IF(ISNUMBER(INDEX(상세표[근무일자],$U413)),TEXT(INDEX(상세표[근무일자],$U413),"yyyy-mm-dd"),INDEX(상세표[근무일자],$U413)&amp;""))</f>
        <v/>
      </c>
      <c r="N413">
        <f>IF($U413="","",IF(ISNUMBER(INDEX(상세표[시작],$U413)),TEXT(INDEX(상세표[시작],$U413),"yyyy-mm-dd hh:mm"),INDEX(상세표[시작],$U413)&amp;""))</f>
        <v/>
      </c>
      <c r="O413">
        <f>IF($U413="","",IF(ISNUMBER(INDEX(상세표[종료],$U413)),TEXT(INDEX(상세표[종료],$U413),"yyyy-mm-dd hh:mm"),INDEX(상세표[종료],$U413)&amp;""))</f>
        <v/>
      </c>
      <c r="P413" s="20">
        <f>IF($U413="","",INDEX(상세표[06~07시],$U413))</f>
        <v/>
      </c>
      <c r="Q413" s="20">
        <f>IF($U413="","",INDEX(상세표[07~18시],$U413))</f>
        <v/>
      </c>
      <c r="R413" s="20">
        <f>IF($U413="","",INDEX(상세표[18~22시],$U413))</f>
        <v/>
      </c>
      <c r="S413" s="20">
        <f>IF($U413="","",INDEX(상세표[22~06시],$U413))</f>
        <v/>
      </c>
      <c r="T413" s="20">
        <f>IF($U413="","",INDEX(상세표[기록 시간외],$U413))</f>
        <v/>
      </c>
      <c r="U413" s="4">
        <f>IFERROR(MATCH(408,상세표[발송순번],0),"")</f>
        <v/>
      </c>
    </row>
    <row r="414">
      <c r="J414">
        <f>IF($U414="","",INDEX(상세표[사번],$U414)&amp;"")</f>
        <v/>
      </c>
      <c r="K414">
        <f>IF($U414="","",INDEX(상세표[성명],$U414)&amp;"")</f>
        <v/>
      </c>
      <c r="L414">
        <f>IF($U414="","",INDEX(상세표[직위],$U414)&amp;"")</f>
        <v/>
      </c>
      <c r="M414">
        <f>IF($U414="","",IF(ISNUMBER(INDEX(상세표[근무일자],$U414)),TEXT(INDEX(상세표[근무일자],$U414),"yyyy-mm-dd"),INDEX(상세표[근무일자],$U414)&amp;""))</f>
        <v/>
      </c>
      <c r="N414">
        <f>IF($U414="","",IF(ISNUMBER(INDEX(상세표[시작],$U414)),TEXT(INDEX(상세표[시작],$U414),"yyyy-mm-dd hh:mm"),INDEX(상세표[시작],$U414)&amp;""))</f>
        <v/>
      </c>
      <c r="O414">
        <f>IF($U414="","",IF(ISNUMBER(INDEX(상세표[종료],$U414)),TEXT(INDEX(상세표[종료],$U414),"yyyy-mm-dd hh:mm"),INDEX(상세표[종료],$U414)&amp;""))</f>
        <v/>
      </c>
      <c r="P414" s="20">
        <f>IF($U414="","",INDEX(상세표[06~07시],$U414))</f>
        <v/>
      </c>
      <c r="Q414" s="20">
        <f>IF($U414="","",INDEX(상세표[07~18시],$U414))</f>
        <v/>
      </c>
      <c r="R414" s="20">
        <f>IF($U414="","",INDEX(상세표[18~22시],$U414))</f>
        <v/>
      </c>
      <c r="S414" s="20">
        <f>IF($U414="","",INDEX(상세표[22~06시],$U414))</f>
        <v/>
      </c>
      <c r="T414" s="20">
        <f>IF($U414="","",INDEX(상세표[기록 시간외],$U414))</f>
        <v/>
      </c>
      <c r="U414" s="4">
        <f>IFERROR(MATCH(409,상세표[발송순번],0),"")</f>
        <v/>
      </c>
    </row>
    <row r="415">
      <c r="J415">
        <f>IF($U415="","",INDEX(상세표[사번],$U415)&amp;"")</f>
        <v/>
      </c>
      <c r="K415">
        <f>IF($U415="","",INDEX(상세표[성명],$U415)&amp;"")</f>
        <v/>
      </c>
      <c r="L415">
        <f>IF($U415="","",INDEX(상세표[직위],$U415)&amp;"")</f>
        <v/>
      </c>
      <c r="M415">
        <f>IF($U415="","",IF(ISNUMBER(INDEX(상세표[근무일자],$U415)),TEXT(INDEX(상세표[근무일자],$U415),"yyyy-mm-dd"),INDEX(상세표[근무일자],$U415)&amp;""))</f>
        <v/>
      </c>
      <c r="N415">
        <f>IF($U415="","",IF(ISNUMBER(INDEX(상세표[시작],$U415)),TEXT(INDEX(상세표[시작],$U415),"yyyy-mm-dd hh:mm"),INDEX(상세표[시작],$U415)&amp;""))</f>
        <v/>
      </c>
      <c r="O415">
        <f>IF($U415="","",IF(ISNUMBER(INDEX(상세표[종료],$U415)),TEXT(INDEX(상세표[종료],$U415),"yyyy-mm-dd hh:mm"),INDEX(상세표[종료],$U415)&amp;""))</f>
        <v/>
      </c>
      <c r="P415" s="20">
        <f>IF($U415="","",INDEX(상세표[06~07시],$U415))</f>
        <v/>
      </c>
      <c r="Q415" s="20">
        <f>IF($U415="","",INDEX(상세표[07~18시],$U415))</f>
        <v/>
      </c>
      <c r="R415" s="20">
        <f>IF($U415="","",INDEX(상세표[18~22시],$U415))</f>
        <v/>
      </c>
      <c r="S415" s="20">
        <f>IF($U415="","",INDEX(상세표[22~06시],$U415))</f>
        <v/>
      </c>
      <c r="T415" s="20">
        <f>IF($U415="","",INDEX(상세표[기록 시간외],$U415))</f>
        <v/>
      </c>
      <c r="U415" s="4">
        <f>IFERROR(MATCH(410,상세표[발송순번],0),"")</f>
        <v/>
      </c>
    </row>
    <row r="416">
      <c r="J416">
        <f>IF($U416="","",INDEX(상세표[사번],$U416)&amp;"")</f>
        <v/>
      </c>
      <c r="K416">
        <f>IF($U416="","",INDEX(상세표[성명],$U416)&amp;"")</f>
        <v/>
      </c>
      <c r="L416">
        <f>IF($U416="","",INDEX(상세표[직위],$U416)&amp;"")</f>
        <v/>
      </c>
      <c r="M416">
        <f>IF($U416="","",IF(ISNUMBER(INDEX(상세표[근무일자],$U416)),TEXT(INDEX(상세표[근무일자],$U416),"yyyy-mm-dd"),INDEX(상세표[근무일자],$U416)&amp;""))</f>
        <v/>
      </c>
      <c r="N416">
        <f>IF($U416="","",IF(ISNUMBER(INDEX(상세표[시작],$U416)),TEXT(INDEX(상세표[시작],$U416),"yyyy-mm-dd hh:mm"),INDEX(상세표[시작],$U416)&amp;""))</f>
        <v/>
      </c>
      <c r="O416">
        <f>IF($U416="","",IF(ISNUMBER(INDEX(상세표[종료],$U416)),TEXT(INDEX(상세표[종료],$U416),"yyyy-mm-dd hh:mm"),INDEX(상세표[종료],$U416)&amp;""))</f>
        <v/>
      </c>
      <c r="P416" s="20">
        <f>IF($U416="","",INDEX(상세표[06~07시],$U416))</f>
        <v/>
      </c>
      <c r="Q416" s="20">
        <f>IF($U416="","",INDEX(상세표[07~18시],$U416))</f>
        <v/>
      </c>
      <c r="R416" s="20">
        <f>IF($U416="","",INDEX(상세표[18~22시],$U416))</f>
        <v/>
      </c>
      <c r="S416" s="20">
        <f>IF($U416="","",INDEX(상세표[22~06시],$U416))</f>
        <v/>
      </c>
      <c r="T416" s="20">
        <f>IF($U416="","",INDEX(상세표[기록 시간외],$U416))</f>
        <v/>
      </c>
      <c r="U416" s="4">
        <f>IFERROR(MATCH(411,상세표[발송순번],0),"")</f>
        <v/>
      </c>
    </row>
    <row r="417">
      <c r="J417">
        <f>IF($U417="","",INDEX(상세표[사번],$U417)&amp;"")</f>
        <v/>
      </c>
      <c r="K417">
        <f>IF($U417="","",INDEX(상세표[성명],$U417)&amp;"")</f>
        <v/>
      </c>
      <c r="L417">
        <f>IF($U417="","",INDEX(상세표[직위],$U417)&amp;"")</f>
        <v/>
      </c>
      <c r="M417">
        <f>IF($U417="","",IF(ISNUMBER(INDEX(상세표[근무일자],$U417)),TEXT(INDEX(상세표[근무일자],$U417),"yyyy-mm-dd"),INDEX(상세표[근무일자],$U417)&amp;""))</f>
        <v/>
      </c>
      <c r="N417">
        <f>IF($U417="","",IF(ISNUMBER(INDEX(상세표[시작],$U417)),TEXT(INDEX(상세표[시작],$U417),"yyyy-mm-dd hh:mm"),INDEX(상세표[시작],$U417)&amp;""))</f>
        <v/>
      </c>
      <c r="O417">
        <f>IF($U417="","",IF(ISNUMBER(INDEX(상세표[종료],$U417)),TEXT(INDEX(상세표[종료],$U417),"yyyy-mm-dd hh:mm"),INDEX(상세표[종료],$U417)&amp;""))</f>
        <v/>
      </c>
      <c r="P417" s="20">
        <f>IF($U417="","",INDEX(상세표[06~07시],$U417))</f>
        <v/>
      </c>
      <c r="Q417" s="20">
        <f>IF($U417="","",INDEX(상세표[07~18시],$U417))</f>
        <v/>
      </c>
      <c r="R417" s="20">
        <f>IF($U417="","",INDEX(상세표[18~22시],$U417))</f>
        <v/>
      </c>
      <c r="S417" s="20">
        <f>IF($U417="","",INDEX(상세표[22~06시],$U417))</f>
        <v/>
      </c>
      <c r="T417" s="20">
        <f>IF($U417="","",INDEX(상세표[기록 시간외],$U417))</f>
        <v/>
      </c>
      <c r="U417" s="4">
        <f>IFERROR(MATCH(412,상세표[발송순번],0),"")</f>
        <v/>
      </c>
    </row>
    <row r="418">
      <c r="J418">
        <f>IF($U418="","",INDEX(상세표[사번],$U418)&amp;"")</f>
        <v/>
      </c>
      <c r="K418">
        <f>IF($U418="","",INDEX(상세표[성명],$U418)&amp;"")</f>
        <v/>
      </c>
      <c r="L418">
        <f>IF($U418="","",INDEX(상세표[직위],$U418)&amp;"")</f>
        <v/>
      </c>
      <c r="M418">
        <f>IF($U418="","",IF(ISNUMBER(INDEX(상세표[근무일자],$U418)),TEXT(INDEX(상세표[근무일자],$U418),"yyyy-mm-dd"),INDEX(상세표[근무일자],$U418)&amp;""))</f>
        <v/>
      </c>
      <c r="N418">
        <f>IF($U418="","",IF(ISNUMBER(INDEX(상세표[시작],$U418)),TEXT(INDEX(상세표[시작],$U418),"yyyy-mm-dd hh:mm"),INDEX(상세표[시작],$U418)&amp;""))</f>
        <v/>
      </c>
      <c r="O418">
        <f>IF($U418="","",IF(ISNUMBER(INDEX(상세표[종료],$U418)),TEXT(INDEX(상세표[종료],$U418),"yyyy-mm-dd hh:mm"),INDEX(상세표[종료],$U418)&amp;""))</f>
        <v/>
      </c>
      <c r="P418" s="20">
        <f>IF($U418="","",INDEX(상세표[06~07시],$U418))</f>
        <v/>
      </c>
      <c r="Q418" s="20">
        <f>IF($U418="","",INDEX(상세표[07~18시],$U418))</f>
        <v/>
      </c>
      <c r="R418" s="20">
        <f>IF($U418="","",INDEX(상세표[18~22시],$U418))</f>
        <v/>
      </c>
      <c r="S418" s="20">
        <f>IF($U418="","",INDEX(상세표[22~06시],$U418))</f>
        <v/>
      </c>
      <c r="T418" s="20">
        <f>IF($U418="","",INDEX(상세표[기록 시간외],$U418))</f>
        <v/>
      </c>
      <c r="U418" s="4">
        <f>IFERROR(MATCH(413,상세표[발송순번],0),"")</f>
        <v/>
      </c>
    </row>
    <row r="419">
      <c r="J419">
        <f>IF($U419="","",INDEX(상세표[사번],$U419)&amp;"")</f>
        <v/>
      </c>
      <c r="K419">
        <f>IF($U419="","",INDEX(상세표[성명],$U419)&amp;"")</f>
        <v/>
      </c>
      <c r="L419">
        <f>IF($U419="","",INDEX(상세표[직위],$U419)&amp;"")</f>
        <v/>
      </c>
      <c r="M419">
        <f>IF($U419="","",IF(ISNUMBER(INDEX(상세표[근무일자],$U419)),TEXT(INDEX(상세표[근무일자],$U419),"yyyy-mm-dd"),INDEX(상세표[근무일자],$U419)&amp;""))</f>
        <v/>
      </c>
      <c r="N419">
        <f>IF($U419="","",IF(ISNUMBER(INDEX(상세표[시작],$U419)),TEXT(INDEX(상세표[시작],$U419),"yyyy-mm-dd hh:mm"),INDEX(상세표[시작],$U419)&amp;""))</f>
        <v/>
      </c>
      <c r="O419">
        <f>IF($U419="","",IF(ISNUMBER(INDEX(상세표[종료],$U419)),TEXT(INDEX(상세표[종료],$U419),"yyyy-mm-dd hh:mm"),INDEX(상세표[종료],$U419)&amp;""))</f>
        <v/>
      </c>
      <c r="P419" s="20">
        <f>IF($U419="","",INDEX(상세표[06~07시],$U419))</f>
        <v/>
      </c>
      <c r="Q419" s="20">
        <f>IF($U419="","",INDEX(상세표[07~18시],$U419))</f>
        <v/>
      </c>
      <c r="R419" s="20">
        <f>IF($U419="","",INDEX(상세표[18~22시],$U419))</f>
        <v/>
      </c>
      <c r="S419" s="20">
        <f>IF($U419="","",INDEX(상세표[22~06시],$U419))</f>
        <v/>
      </c>
      <c r="T419" s="20">
        <f>IF($U419="","",INDEX(상세표[기록 시간외],$U419))</f>
        <v/>
      </c>
      <c r="U419" s="4">
        <f>IFERROR(MATCH(414,상세표[발송순번],0),"")</f>
        <v/>
      </c>
    </row>
    <row r="420">
      <c r="J420">
        <f>IF($U420="","",INDEX(상세표[사번],$U420)&amp;"")</f>
        <v/>
      </c>
      <c r="K420">
        <f>IF($U420="","",INDEX(상세표[성명],$U420)&amp;"")</f>
        <v/>
      </c>
      <c r="L420">
        <f>IF($U420="","",INDEX(상세표[직위],$U420)&amp;"")</f>
        <v/>
      </c>
      <c r="M420">
        <f>IF($U420="","",IF(ISNUMBER(INDEX(상세표[근무일자],$U420)),TEXT(INDEX(상세표[근무일자],$U420),"yyyy-mm-dd"),INDEX(상세표[근무일자],$U420)&amp;""))</f>
        <v/>
      </c>
      <c r="N420">
        <f>IF($U420="","",IF(ISNUMBER(INDEX(상세표[시작],$U420)),TEXT(INDEX(상세표[시작],$U420),"yyyy-mm-dd hh:mm"),INDEX(상세표[시작],$U420)&amp;""))</f>
        <v/>
      </c>
      <c r="O420">
        <f>IF($U420="","",IF(ISNUMBER(INDEX(상세표[종료],$U420)),TEXT(INDEX(상세표[종료],$U420),"yyyy-mm-dd hh:mm"),INDEX(상세표[종료],$U420)&amp;""))</f>
        <v/>
      </c>
      <c r="P420" s="20">
        <f>IF($U420="","",INDEX(상세표[06~07시],$U420))</f>
        <v/>
      </c>
      <c r="Q420" s="20">
        <f>IF($U420="","",INDEX(상세표[07~18시],$U420))</f>
        <v/>
      </c>
      <c r="R420" s="20">
        <f>IF($U420="","",INDEX(상세표[18~22시],$U420))</f>
        <v/>
      </c>
      <c r="S420" s="20">
        <f>IF($U420="","",INDEX(상세표[22~06시],$U420))</f>
        <v/>
      </c>
      <c r="T420" s="20">
        <f>IF($U420="","",INDEX(상세표[기록 시간외],$U420))</f>
        <v/>
      </c>
      <c r="U420" s="4">
        <f>IFERROR(MATCH(415,상세표[발송순번],0),"")</f>
        <v/>
      </c>
    </row>
    <row r="421">
      <c r="J421">
        <f>IF($U421="","",INDEX(상세표[사번],$U421)&amp;"")</f>
        <v/>
      </c>
      <c r="K421">
        <f>IF($U421="","",INDEX(상세표[성명],$U421)&amp;"")</f>
        <v/>
      </c>
      <c r="L421">
        <f>IF($U421="","",INDEX(상세표[직위],$U421)&amp;"")</f>
        <v/>
      </c>
      <c r="M421">
        <f>IF($U421="","",IF(ISNUMBER(INDEX(상세표[근무일자],$U421)),TEXT(INDEX(상세표[근무일자],$U421),"yyyy-mm-dd"),INDEX(상세표[근무일자],$U421)&amp;""))</f>
        <v/>
      </c>
      <c r="N421">
        <f>IF($U421="","",IF(ISNUMBER(INDEX(상세표[시작],$U421)),TEXT(INDEX(상세표[시작],$U421),"yyyy-mm-dd hh:mm"),INDEX(상세표[시작],$U421)&amp;""))</f>
        <v/>
      </c>
      <c r="O421">
        <f>IF($U421="","",IF(ISNUMBER(INDEX(상세표[종료],$U421)),TEXT(INDEX(상세표[종료],$U421),"yyyy-mm-dd hh:mm"),INDEX(상세표[종료],$U421)&amp;""))</f>
        <v/>
      </c>
      <c r="P421" s="20">
        <f>IF($U421="","",INDEX(상세표[06~07시],$U421))</f>
        <v/>
      </c>
      <c r="Q421" s="20">
        <f>IF($U421="","",INDEX(상세표[07~18시],$U421))</f>
        <v/>
      </c>
      <c r="R421" s="20">
        <f>IF($U421="","",INDEX(상세표[18~22시],$U421))</f>
        <v/>
      </c>
      <c r="S421" s="20">
        <f>IF($U421="","",INDEX(상세표[22~06시],$U421))</f>
        <v/>
      </c>
      <c r="T421" s="20">
        <f>IF($U421="","",INDEX(상세표[기록 시간외],$U421))</f>
        <v/>
      </c>
      <c r="U421" s="4">
        <f>IFERROR(MATCH(416,상세표[발송순번],0),"")</f>
        <v/>
      </c>
    </row>
    <row r="422">
      <c r="J422">
        <f>IF($U422="","",INDEX(상세표[사번],$U422)&amp;"")</f>
        <v/>
      </c>
      <c r="K422">
        <f>IF($U422="","",INDEX(상세표[성명],$U422)&amp;"")</f>
        <v/>
      </c>
      <c r="L422">
        <f>IF($U422="","",INDEX(상세표[직위],$U422)&amp;"")</f>
        <v/>
      </c>
      <c r="M422">
        <f>IF($U422="","",IF(ISNUMBER(INDEX(상세표[근무일자],$U422)),TEXT(INDEX(상세표[근무일자],$U422),"yyyy-mm-dd"),INDEX(상세표[근무일자],$U422)&amp;""))</f>
        <v/>
      </c>
      <c r="N422">
        <f>IF($U422="","",IF(ISNUMBER(INDEX(상세표[시작],$U422)),TEXT(INDEX(상세표[시작],$U422),"yyyy-mm-dd hh:mm"),INDEX(상세표[시작],$U422)&amp;""))</f>
        <v/>
      </c>
      <c r="O422">
        <f>IF($U422="","",IF(ISNUMBER(INDEX(상세표[종료],$U422)),TEXT(INDEX(상세표[종료],$U422),"yyyy-mm-dd hh:mm"),INDEX(상세표[종료],$U422)&amp;""))</f>
        <v/>
      </c>
      <c r="P422" s="20">
        <f>IF($U422="","",INDEX(상세표[06~07시],$U422))</f>
        <v/>
      </c>
      <c r="Q422" s="20">
        <f>IF($U422="","",INDEX(상세표[07~18시],$U422))</f>
        <v/>
      </c>
      <c r="R422" s="20">
        <f>IF($U422="","",INDEX(상세표[18~22시],$U422))</f>
        <v/>
      </c>
      <c r="S422" s="20">
        <f>IF($U422="","",INDEX(상세표[22~06시],$U422))</f>
        <v/>
      </c>
      <c r="T422" s="20">
        <f>IF($U422="","",INDEX(상세표[기록 시간외],$U422))</f>
        <v/>
      </c>
      <c r="U422" s="4">
        <f>IFERROR(MATCH(417,상세표[발송순번],0),"")</f>
        <v/>
      </c>
    </row>
    <row r="423">
      <c r="J423">
        <f>IF($U423="","",INDEX(상세표[사번],$U423)&amp;"")</f>
        <v/>
      </c>
      <c r="K423">
        <f>IF($U423="","",INDEX(상세표[성명],$U423)&amp;"")</f>
        <v/>
      </c>
      <c r="L423">
        <f>IF($U423="","",INDEX(상세표[직위],$U423)&amp;"")</f>
        <v/>
      </c>
      <c r="M423">
        <f>IF($U423="","",IF(ISNUMBER(INDEX(상세표[근무일자],$U423)),TEXT(INDEX(상세표[근무일자],$U423),"yyyy-mm-dd"),INDEX(상세표[근무일자],$U423)&amp;""))</f>
        <v/>
      </c>
      <c r="N423">
        <f>IF($U423="","",IF(ISNUMBER(INDEX(상세표[시작],$U423)),TEXT(INDEX(상세표[시작],$U423),"yyyy-mm-dd hh:mm"),INDEX(상세표[시작],$U423)&amp;""))</f>
        <v/>
      </c>
      <c r="O423">
        <f>IF($U423="","",IF(ISNUMBER(INDEX(상세표[종료],$U423)),TEXT(INDEX(상세표[종료],$U423),"yyyy-mm-dd hh:mm"),INDEX(상세표[종료],$U423)&amp;""))</f>
        <v/>
      </c>
      <c r="P423" s="20">
        <f>IF($U423="","",INDEX(상세표[06~07시],$U423))</f>
        <v/>
      </c>
      <c r="Q423" s="20">
        <f>IF($U423="","",INDEX(상세표[07~18시],$U423))</f>
        <v/>
      </c>
      <c r="R423" s="20">
        <f>IF($U423="","",INDEX(상세표[18~22시],$U423))</f>
        <v/>
      </c>
      <c r="S423" s="20">
        <f>IF($U423="","",INDEX(상세표[22~06시],$U423))</f>
        <v/>
      </c>
      <c r="T423" s="20">
        <f>IF($U423="","",INDEX(상세표[기록 시간외],$U423))</f>
        <v/>
      </c>
      <c r="U423" s="4">
        <f>IFERROR(MATCH(418,상세표[발송순번],0),"")</f>
        <v/>
      </c>
    </row>
    <row r="424">
      <c r="J424">
        <f>IF($U424="","",INDEX(상세표[사번],$U424)&amp;"")</f>
        <v/>
      </c>
      <c r="K424">
        <f>IF($U424="","",INDEX(상세표[성명],$U424)&amp;"")</f>
        <v/>
      </c>
      <c r="L424">
        <f>IF($U424="","",INDEX(상세표[직위],$U424)&amp;"")</f>
        <v/>
      </c>
      <c r="M424">
        <f>IF($U424="","",IF(ISNUMBER(INDEX(상세표[근무일자],$U424)),TEXT(INDEX(상세표[근무일자],$U424),"yyyy-mm-dd"),INDEX(상세표[근무일자],$U424)&amp;""))</f>
        <v/>
      </c>
      <c r="N424">
        <f>IF($U424="","",IF(ISNUMBER(INDEX(상세표[시작],$U424)),TEXT(INDEX(상세표[시작],$U424),"yyyy-mm-dd hh:mm"),INDEX(상세표[시작],$U424)&amp;""))</f>
        <v/>
      </c>
      <c r="O424">
        <f>IF($U424="","",IF(ISNUMBER(INDEX(상세표[종료],$U424)),TEXT(INDEX(상세표[종료],$U424),"yyyy-mm-dd hh:mm"),INDEX(상세표[종료],$U424)&amp;""))</f>
        <v/>
      </c>
      <c r="P424" s="20">
        <f>IF($U424="","",INDEX(상세표[06~07시],$U424))</f>
        <v/>
      </c>
      <c r="Q424" s="20">
        <f>IF($U424="","",INDEX(상세표[07~18시],$U424))</f>
        <v/>
      </c>
      <c r="R424" s="20">
        <f>IF($U424="","",INDEX(상세표[18~22시],$U424))</f>
        <v/>
      </c>
      <c r="S424" s="20">
        <f>IF($U424="","",INDEX(상세표[22~06시],$U424))</f>
        <v/>
      </c>
      <c r="T424" s="20">
        <f>IF($U424="","",INDEX(상세표[기록 시간외],$U424))</f>
        <v/>
      </c>
      <c r="U424" s="4">
        <f>IFERROR(MATCH(419,상세표[발송순번],0),"")</f>
        <v/>
      </c>
    </row>
    <row r="425">
      <c r="J425">
        <f>IF($U425="","",INDEX(상세표[사번],$U425)&amp;"")</f>
        <v/>
      </c>
      <c r="K425">
        <f>IF($U425="","",INDEX(상세표[성명],$U425)&amp;"")</f>
        <v/>
      </c>
      <c r="L425">
        <f>IF($U425="","",INDEX(상세표[직위],$U425)&amp;"")</f>
        <v/>
      </c>
      <c r="M425">
        <f>IF($U425="","",IF(ISNUMBER(INDEX(상세표[근무일자],$U425)),TEXT(INDEX(상세표[근무일자],$U425),"yyyy-mm-dd"),INDEX(상세표[근무일자],$U425)&amp;""))</f>
        <v/>
      </c>
      <c r="N425">
        <f>IF($U425="","",IF(ISNUMBER(INDEX(상세표[시작],$U425)),TEXT(INDEX(상세표[시작],$U425),"yyyy-mm-dd hh:mm"),INDEX(상세표[시작],$U425)&amp;""))</f>
        <v/>
      </c>
      <c r="O425">
        <f>IF($U425="","",IF(ISNUMBER(INDEX(상세표[종료],$U425)),TEXT(INDEX(상세표[종료],$U425),"yyyy-mm-dd hh:mm"),INDEX(상세표[종료],$U425)&amp;""))</f>
        <v/>
      </c>
      <c r="P425" s="20">
        <f>IF($U425="","",INDEX(상세표[06~07시],$U425))</f>
        <v/>
      </c>
      <c r="Q425" s="20">
        <f>IF($U425="","",INDEX(상세표[07~18시],$U425))</f>
        <v/>
      </c>
      <c r="R425" s="20">
        <f>IF($U425="","",INDEX(상세표[18~22시],$U425))</f>
        <v/>
      </c>
      <c r="S425" s="20">
        <f>IF($U425="","",INDEX(상세표[22~06시],$U425))</f>
        <v/>
      </c>
      <c r="T425" s="20">
        <f>IF($U425="","",INDEX(상세표[기록 시간외],$U425))</f>
        <v/>
      </c>
      <c r="U425" s="4">
        <f>IFERROR(MATCH(420,상세표[발송순번],0),"")</f>
        <v/>
      </c>
    </row>
    <row r="426">
      <c r="J426">
        <f>IF($U426="","",INDEX(상세표[사번],$U426)&amp;"")</f>
        <v/>
      </c>
      <c r="K426">
        <f>IF($U426="","",INDEX(상세표[성명],$U426)&amp;"")</f>
        <v/>
      </c>
      <c r="L426">
        <f>IF($U426="","",INDEX(상세표[직위],$U426)&amp;"")</f>
        <v/>
      </c>
      <c r="M426">
        <f>IF($U426="","",IF(ISNUMBER(INDEX(상세표[근무일자],$U426)),TEXT(INDEX(상세표[근무일자],$U426),"yyyy-mm-dd"),INDEX(상세표[근무일자],$U426)&amp;""))</f>
        <v/>
      </c>
      <c r="N426">
        <f>IF($U426="","",IF(ISNUMBER(INDEX(상세표[시작],$U426)),TEXT(INDEX(상세표[시작],$U426),"yyyy-mm-dd hh:mm"),INDEX(상세표[시작],$U426)&amp;""))</f>
        <v/>
      </c>
      <c r="O426">
        <f>IF($U426="","",IF(ISNUMBER(INDEX(상세표[종료],$U426)),TEXT(INDEX(상세표[종료],$U426),"yyyy-mm-dd hh:mm"),INDEX(상세표[종료],$U426)&amp;""))</f>
        <v/>
      </c>
      <c r="P426" s="20">
        <f>IF($U426="","",INDEX(상세표[06~07시],$U426))</f>
        <v/>
      </c>
      <c r="Q426" s="20">
        <f>IF($U426="","",INDEX(상세표[07~18시],$U426))</f>
        <v/>
      </c>
      <c r="R426" s="20">
        <f>IF($U426="","",INDEX(상세표[18~22시],$U426))</f>
        <v/>
      </c>
      <c r="S426" s="20">
        <f>IF($U426="","",INDEX(상세표[22~06시],$U426))</f>
        <v/>
      </c>
      <c r="T426" s="20">
        <f>IF($U426="","",INDEX(상세표[기록 시간외],$U426))</f>
        <v/>
      </c>
      <c r="U426" s="4">
        <f>IFERROR(MATCH(421,상세표[발송순번],0),"")</f>
        <v/>
      </c>
    </row>
    <row r="427">
      <c r="J427">
        <f>IF($U427="","",INDEX(상세표[사번],$U427)&amp;"")</f>
        <v/>
      </c>
      <c r="K427">
        <f>IF($U427="","",INDEX(상세표[성명],$U427)&amp;"")</f>
        <v/>
      </c>
      <c r="L427">
        <f>IF($U427="","",INDEX(상세표[직위],$U427)&amp;"")</f>
        <v/>
      </c>
      <c r="M427">
        <f>IF($U427="","",IF(ISNUMBER(INDEX(상세표[근무일자],$U427)),TEXT(INDEX(상세표[근무일자],$U427),"yyyy-mm-dd"),INDEX(상세표[근무일자],$U427)&amp;""))</f>
        <v/>
      </c>
      <c r="N427">
        <f>IF($U427="","",IF(ISNUMBER(INDEX(상세표[시작],$U427)),TEXT(INDEX(상세표[시작],$U427),"yyyy-mm-dd hh:mm"),INDEX(상세표[시작],$U427)&amp;""))</f>
        <v/>
      </c>
      <c r="O427">
        <f>IF($U427="","",IF(ISNUMBER(INDEX(상세표[종료],$U427)),TEXT(INDEX(상세표[종료],$U427),"yyyy-mm-dd hh:mm"),INDEX(상세표[종료],$U427)&amp;""))</f>
        <v/>
      </c>
      <c r="P427" s="20">
        <f>IF($U427="","",INDEX(상세표[06~07시],$U427))</f>
        <v/>
      </c>
      <c r="Q427" s="20">
        <f>IF($U427="","",INDEX(상세표[07~18시],$U427))</f>
        <v/>
      </c>
      <c r="R427" s="20">
        <f>IF($U427="","",INDEX(상세표[18~22시],$U427))</f>
        <v/>
      </c>
      <c r="S427" s="20">
        <f>IF($U427="","",INDEX(상세표[22~06시],$U427))</f>
        <v/>
      </c>
      <c r="T427" s="20">
        <f>IF($U427="","",INDEX(상세표[기록 시간외],$U427))</f>
        <v/>
      </c>
      <c r="U427" s="4">
        <f>IFERROR(MATCH(422,상세표[발송순번],0),"")</f>
        <v/>
      </c>
    </row>
    <row r="428">
      <c r="J428">
        <f>IF($U428="","",INDEX(상세표[사번],$U428)&amp;"")</f>
        <v/>
      </c>
      <c r="K428">
        <f>IF($U428="","",INDEX(상세표[성명],$U428)&amp;"")</f>
        <v/>
      </c>
      <c r="L428">
        <f>IF($U428="","",INDEX(상세표[직위],$U428)&amp;"")</f>
        <v/>
      </c>
      <c r="M428">
        <f>IF($U428="","",IF(ISNUMBER(INDEX(상세표[근무일자],$U428)),TEXT(INDEX(상세표[근무일자],$U428),"yyyy-mm-dd"),INDEX(상세표[근무일자],$U428)&amp;""))</f>
        <v/>
      </c>
      <c r="N428">
        <f>IF($U428="","",IF(ISNUMBER(INDEX(상세표[시작],$U428)),TEXT(INDEX(상세표[시작],$U428),"yyyy-mm-dd hh:mm"),INDEX(상세표[시작],$U428)&amp;""))</f>
        <v/>
      </c>
      <c r="O428">
        <f>IF($U428="","",IF(ISNUMBER(INDEX(상세표[종료],$U428)),TEXT(INDEX(상세표[종료],$U428),"yyyy-mm-dd hh:mm"),INDEX(상세표[종료],$U428)&amp;""))</f>
        <v/>
      </c>
      <c r="P428" s="20">
        <f>IF($U428="","",INDEX(상세표[06~07시],$U428))</f>
        <v/>
      </c>
      <c r="Q428" s="20">
        <f>IF($U428="","",INDEX(상세표[07~18시],$U428))</f>
        <v/>
      </c>
      <c r="R428" s="20">
        <f>IF($U428="","",INDEX(상세표[18~22시],$U428))</f>
        <v/>
      </c>
      <c r="S428" s="20">
        <f>IF($U428="","",INDEX(상세표[22~06시],$U428))</f>
        <v/>
      </c>
      <c r="T428" s="20">
        <f>IF($U428="","",INDEX(상세표[기록 시간외],$U428))</f>
        <v/>
      </c>
      <c r="U428" s="4">
        <f>IFERROR(MATCH(423,상세표[발송순번],0),"")</f>
        <v/>
      </c>
    </row>
    <row r="429">
      <c r="J429">
        <f>IF($U429="","",INDEX(상세표[사번],$U429)&amp;"")</f>
        <v/>
      </c>
      <c r="K429">
        <f>IF($U429="","",INDEX(상세표[성명],$U429)&amp;"")</f>
        <v/>
      </c>
      <c r="L429">
        <f>IF($U429="","",INDEX(상세표[직위],$U429)&amp;"")</f>
        <v/>
      </c>
      <c r="M429">
        <f>IF($U429="","",IF(ISNUMBER(INDEX(상세표[근무일자],$U429)),TEXT(INDEX(상세표[근무일자],$U429),"yyyy-mm-dd"),INDEX(상세표[근무일자],$U429)&amp;""))</f>
        <v/>
      </c>
      <c r="N429">
        <f>IF($U429="","",IF(ISNUMBER(INDEX(상세표[시작],$U429)),TEXT(INDEX(상세표[시작],$U429),"yyyy-mm-dd hh:mm"),INDEX(상세표[시작],$U429)&amp;""))</f>
        <v/>
      </c>
      <c r="O429">
        <f>IF($U429="","",IF(ISNUMBER(INDEX(상세표[종료],$U429)),TEXT(INDEX(상세표[종료],$U429),"yyyy-mm-dd hh:mm"),INDEX(상세표[종료],$U429)&amp;""))</f>
        <v/>
      </c>
      <c r="P429" s="20">
        <f>IF($U429="","",INDEX(상세표[06~07시],$U429))</f>
        <v/>
      </c>
      <c r="Q429" s="20">
        <f>IF($U429="","",INDEX(상세표[07~18시],$U429))</f>
        <v/>
      </c>
      <c r="R429" s="20">
        <f>IF($U429="","",INDEX(상세표[18~22시],$U429))</f>
        <v/>
      </c>
      <c r="S429" s="20">
        <f>IF($U429="","",INDEX(상세표[22~06시],$U429))</f>
        <v/>
      </c>
      <c r="T429" s="20">
        <f>IF($U429="","",INDEX(상세표[기록 시간외],$U429))</f>
        <v/>
      </c>
      <c r="U429" s="4">
        <f>IFERROR(MATCH(424,상세표[발송순번],0),"")</f>
        <v/>
      </c>
    </row>
    <row r="430">
      <c r="J430">
        <f>IF($U430="","",INDEX(상세표[사번],$U430)&amp;"")</f>
        <v/>
      </c>
      <c r="K430">
        <f>IF($U430="","",INDEX(상세표[성명],$U430)&amp;"")</f>
        <v/>
      </c>
      <c r="L430">
        <f>IF($U430="","",INDEX(상세표[직위],$U430)&amp;"")</f>
        <v/>
      </c>
      <c r="M430">
        <f>IF($U430="","",IF(ISNUMBER(INDEX(상세표[근무일자],$U430)),TEXT(INDEX(상세표[근무일자],$U430),"yyyy-mm-dd"),INDEX(상세표[근무일자],$U430)&amp;""))</f>
        <v/>
      </c>
      <c r="N430">
        <f>IF($U430="","",IF(ISNUMBER(INDEX(상세표[시작],$U430)),TEXT(INDEX(상세표[시작],$U430),"yyyy-mm-dd hh:mm"),INDEX(상세표[시작],$U430)&amp;""))</f>
        <v/>
      </c>
      <c r="O430">
        <f>IF($U430="","",IF(ISNUMBER(INDEX(상세표[종료],$U430)),TEXT(INDEX(상세표[종료],$U430),"yyyy-mm-dd hh:mm"),INDEX(상세표[종료],$U430)&amp;""))</f>
        <v/>
      </c>
      <c r="P430" s="20">
        <f>IF($U430="","",INDEX(상세표[06~07시],$U430))</f>
        <v/>
      </c>
      <c r="Q430" s="20">
        <f>IF($U430="","",INDEX(상세표[07~18시],$U430))</f>
        <v/>
      </c>
      <c r="R430" s="20">
        <f>IF($U430="","",INDEX(상세표[18~22시],$U430))</f>
        <v/>
      </c>
      <c r="S430" s="20">
        <f>IF($U430="","",INDEX(상세표[22~06시],$U430))</f>
        <v/>
      </c>
      <c r="T430" s="20">
        <f>IF($U430="","",INDEX(상세표[기록 시간외],$U430))</f>
        <v/>
      </c>
      <c r="U430" s="4">
        <f>IFERROR(MATCH(425,상세표[발송순번],0),"")</f>
        <v/>
      </c>
    </row>
    <row r="431">
      <c r="J431">
        <f>IF($U431="","",INDEX(상세표[사번],$U431)&amp;"")</f>
        <v/>
      </c>
      <c r="K431">
        <f>IF($U431="","",INDEX(상세표[성명],$U431)&amp;"")</f>
        <v/>
      </c>
      <c r="L431">
        <f>IF($U431="","",INDEX(상세표[직위],$U431)&amp;"")</f>
        <v/>
      </c>
      <c r="M431">
        <f>IF($U431="","",IF(ISNUMBER(INDEX(상세표[근무일자],$U431)),TEXT(INDEX(상세표[근무일자],$U431),"yyyy-mm-dd"),INDEX(상세표[근무일자],$U431)&amp;""))</f>
        <v/>
      </c>
      <c r="N431">
        <f>IF($U431="","",IF(ISNUMBER(INDEX(상세표[시작],$U431)),TEXT(INDEX(상세표[시작],$U431),"yyyy-mm-dd hh:mm"),INDEX(상세표[시작],$U431)&amp;""))</f>
        <v/>
      </c>
      <c r="O431">
        <f>IF($U431="","",IF(ISNUMBER(INDEX(상세표[종료],$U431)),TEXT(INDEX(상세표[종료],$U431),"yyyy-mm-dd hh:mm"),INDEX(상세표[종료],$U431)&amp;""))</f>
        <v/>
      </c>
      <c r="P431" s="20">
        <f>IF($U431="","",INDEX(상세표[06~07시],$U431))</f>
        <v/>
      </c>
      <c r="Q431" s="20">
        <f>IF($U431="","",INDEX(상세표[07~18시],$U431))</f>
        <v/>
      </c>
      <c r="R431" s="20">
        <f>IF($U431="","",INDEX(상세표[18~22시],$U431))</f>
        <v/>
      </c>
      <c r="S431" s="20">
        <f>IF($U431="","",INDEX(상세표[22~06시],$U431))</f>
        <v/>
      </c>
      <c r="T431" s="20">
        <f>IF($U431="","",INDEX(상세표[기록 시간외],$U431))</f>
        <v/>
      </c>
      <c r="U431" s="4">
        <f>IFERROR(MATCH(426,상세표[발송순번],0),"")</f>
        <v/>
      </c>
    </row>
    <row r="432">
      <c r="J432">
        <f>IF($U432="","",INDEX(상세표[사번],$U432)&amp;"")</f>
        <v/>
      </c>
      <c r="K432">
        <f>IF($U432="","",INDEX(상세표[성명],$U432)&amp;"")</f>
        <v/>
      </c>
      <c r="L432">
        <f>IF($U432="","",INDEX(상세표[직위],$U432)&amp;"")</f>
        <v/>
      </c>
      <c r="M432">
        <f>IF($U432="","",IF(ISNUMBER(INDEX(상세표[근무일자],$U432)),TEXT(INDEX(상세표[근무일자],$U432),"yyyy-mm-dd"),INDEX(상세표[근무일자],$U432)&amp;""))</f>
        <v/>
      </c>
      <c r="N432">
        <f>IF($U432="","",IF(ISNUMBER(INDEX(상세표[시작],$U432)),TEXT(INDEX(상세표[시작],$U432),"yyyy-mm-dd hh:mm"),INDEX(상세표[시작],$U432)&amp;""))</f>
        <v/>
      </c>
      <c r="O432">
        <f>IF($U432="","",IF(ISNUMBER(INDEX(상세표[종료],$U432)),TEXT(INDEX(상세표[종료],$U432),"yyyy-mm-dd hh:mm"),INDEX(상세표[종료],$U432)&amp;""))</f>
        <v/>
      </c>
      <c r="P432" s="20">
        <f>IF($U432="","",INDEX(상세표[06~07시],$U432))</f>
        <v/>
      </c>
      <c r="Q432" s="20">
        <f>IF($U432="","",INDEX(상세표[07~18시],$U432))</f>
        <v/>
      </c>
      <c r="R432" s="20">
        <f>IF($U432="","",INDEX(상세표[18~22시],$U432))</f>
        <v/>
      </c>
      <c r="S432" s="20">
        <f>IF($U432="","",INDEX(상세표[22~06시],$U432))</f>
        <v/>
      </c>
      <c r="T432" s="20">
        <f>IF($U432="","",INDEX(상세표[기록 시간외],$U432))</f>
        <v/>
      </c>
      <c r="U432" s="4">
        <f>IFERROR(MATCH(427,상세표[발송순번],0),"")</f>
        <v/>
      </c>
    </row>
    <row r="433">
      <c r="J433">
        <f>IF($U433="","",INDEX(상세표[사번],$U433)&amp;"")</f>
        <v/>
      </c>
      <c r="K433">
        <f>IF($U433="","",INDEX(상세표[성명],$U433)&amp;"")</f>
        <v/>
      </c>
      <c r="L433">
        <f>IF($U433="","",INDEX(상세표[직위],$U433)&amp;"")</f>
        <v/>
      </c>
      <c r="M433">
        <f>IF($U433="","",IF(ISNUMBER(INDEX(상세표[근무일자],$U433)),TEXT(INDEX(상세표[근무일자],$U433),"yyyy-mm-dd"),INDEX(상세표[근무일자],$U433)&amp;""))</f>
        <v/>
      </c>
      <c r="N433">
        <f>IF($U433="","",IF(ISNUMBER(INDEX(상세표[시작],$U433)),TEXT(INDEX(상세표[시작],$U433),"yyyy-mm-dd hh:mm"),INDEX(상세표[시작],$U433)&amp;""))</f>
        <v/>
      </c>
      <c r="O433">
        <f>IF($U433="","",IF(ISNUMBER(INDEX(상세표[종료],$U433)),TEXT(INDEX(상세표[종료],$U433),"yyyy-mm-dd hh:mm"),INDEX(상세표[종료],$U433)&amp;""))</f>
        <v/>
      </c>
      <c r="P433" s="20">
        <f>IF($U433="","",INDEX(상세표[06~07시],$U433))</f>
        <v/>
      </c>
      <c r="Q433" s="20">
        <f>IF($U433="","",INDEX(상세표[07~18시],$U433))</f>
        <v/>
      </c>
      <c r="R433" s="20">
        <f>IF($U433="","",INDEX(상세표[18~22시],$U433))</f>
        <v/>
      </c>
      <c r="S433" s="20">
        <f>IF($U433="","",INDEX(상세표[22~06시],$U433))</f>
        <v/>
      </c>
      <c r="T433" s="20">
        <f>IF($U433="","",INDEX(상세표[기록 시간외],$U433))</f>
        <v/>
      </c>
      <c r="U433" s="4">
        <f>IFERROR(MATCH(428,상세표[발송순번],0),"")</f>
        <v/>
      </c>
    </row>
    <row r="434">
      <c r="J434">
        <f>IF($U434="","",INDEX(상세표[사번],$U434)&amp;"")</f>
        <v/>
      </c>
      <c r="K434">
        <f>IF($U434="","",INDEX(상세표[성명],$U434)&amp;"")</f>
        <v/>
      </c>
      <c r="L434">
        <f>IF($U434="","",INDEX(상세표[직위],$U434)&amp;"")</f>
        <v/>
      </c>
      <c r="M434">
        <f>IF($U434="","",IF(ISNUMBER(INDEX(상세표[근무일자],$U434)),TEXT(INDEX(상세표[근무일자],$U434),"yyyy-mm-dd"),INDEX(상세표[근무일자],$U434)&amp;""))</f>
        <v/>
      </c>
      <c r="N434">
        <f>IF($U434="","",IF(ISNUMBER(INDEX(상세표[시작],$U434)),TEXT(INDEX(상세표[시작],$U434),"yyyy-mm-dd hh:mm"),INDEX(상세표[시작],$U434)&amp;""))</f>
        <v/>
      </c>
      <c r="O434">
        <f>IF($U434="","",IF(ISNUMBER(INDEX(상세표[종료],$U434)),TEXT(INDEX(상세표[종료],$U434),"yyyy-mm-dd hh:mm"),INDEX(상세표[종료],$U434)&amp;""))</f>
        <v/>
      </c>
      <c r="P434" s="20">
        <f>IF($U434="","",INDEX(상세표[06~07시],$U434))</f>
        <v/>
      </c>
      <c r="Q434" s="20">
        <f>IF($U434="","",INDEX(상세표[07~18시],$U434))</f>
        <v/>
      </c>
      <c r="R434" s="20">
        <f>IF($U434="","",INDEX(상세표[18~22시],$U434))</f>
        <v/>
      </c>
      <c r="S434" s="20">
        <f>IF($U434="","",INDEX(상세표[22~06시],$U434))</f>
        <v/>
      </c>
      <c r="T434" s="20">
        <f>IF($U434="","",INDEX(상세표[기록 시간외],$U434))</f>
        <v/>
      </c>
      <c r="U434" s="4">
        <f>IFERROR(MATCH(429,상세표[발송순번],0),"")</f>
        <v/>
      </c>
    </row>
    <row r="435">
      <c r="J435">
        <f>IF($U435="","",INDEX(상세표[사번],$U435)&amp;"")</f>
        <v/>
      </c>
      <c r="K435">
        <f>IF($U435="","",INDEX(상세표[성명],$U435)&amp;"")</f>
        <v/>
      </c>
      <c r="L435">
        <f>IF($U435="","",INDEX(상세표[직위],$U435)&amp;"")</f>
        <v/>
      </c>
      <c r="M435">
        <f>IF($U435="","",IF(ISNUMBER(INDEX(상세표[근무일자],$U435)),TEXT(INDEX(상세표[근무일자],$U435),"yyyy-mm-dd"),INDEX(상세표[근무일자],$U435)&amp;""))</f>
        <v/>
      </c>
      <c r="N435">
        <f>IF($U435="","",IF(ISNUMBER(INDEX(상세표[시작],$U435)),TEXT(INDEX(상세표[시작],$U435),"yyyy-mm-dd hh:mm"),INDEX(상세표[시작],$U435)&amp;""))</f>
        <v/>
      </c>
      <c r="O435">
        <f>IF($U435="","",IF(ISNUMBER(INDEX(상세표[종료],$U435)),TEXT(INDEX(상세표[종료],$U435),"yyyy-mm-dd hh:mm"),INDEX(상세표[종료],$U435)&amp;""))</f>
        <v/>
      </c>
      <c r="P435" s="20">
        <f>IF($U435="","",INDEX(상세표[06~07시],$U435))</f>
        <v/>
      </c>
      <c r="Q435" s="20">
        <f>IF($U435="","",INDEX(상세표[07~18시],$U435))</f>
        <v/>
      </c>
      <c r="R435" s="20">
        <f>IF($U435="","",INDEX(상세표[18~22시],$U435))</f>
        <v/>
      </c>
      <c r="S435" s="20">
        <f>IF($U435="","",INDEX(상세표[22~06시],$U435))</f>
        <v/>
      </c>
      <c r="T435" s="20">
        <f>IF($U435="","",INDEX(상세표[기록 시간외],$U435))</f>
        <v/>
      </c>
      <c r="U435" s="4">
        <f>IFERROR(MATCH(430,상세표[발송순번],0),"")</f>
        <v/>
      </c>
    </row>
    <row r="436">
      <c r="J436">
        <f>IF($U436="","",INDEX(상세표[사번],$U436)&amp;"")</f>
        <v/>
      </c>
      <c r="K436">
        <f>IF($U436="","",INDEX(상세표[성명],$U436)&amp;"")</f>
        <v/>
      </c>
      <c r="L436">
        <f>IF($U436="","",INDEX(상세표[직위],$U436)&amp;"")</f>
        <v/>
      </c>
      <c r="M436">
        <f>IF($U436="","",IF(ISNUMBER(INDEX(상세표[근무일자],$U436)),TEXT(INDEX(상세표[근무일자],$U436),"yyyy-mm-dd"),INDEX(상세표[근무일자],$U436)&amp;""))</f>
        <v/>
      </c>
      <c r="N436">
        <f>IF($U436="","",IF(ISNUMBER(INDEX(상세표[시작],$U436)),TEXT(INDEX(상세표[시작],$U436),"yyyy-mm-dd hh:mm"),INDEX(상세표[시작],$U436)&amp;""))</f>
        <v/>
      </c>
      <c r="O436">
        <f>IF($U436="","",IF(ISNUMBER(INDEX(상세표[종료],$U436)),TEXT(INDEX(상세표[종료],$U436),"yyyy-mm-dd hh:mm"),INDEX(상세표[종료],$U436)&amp;""))</f>
        <v/>
      </c>
      <c r="P436" s="20">
        <f>IF($U436="","",INDEX(상세표[06~07시],$U436))</f>
        <v/>
      </c>
      <c r="Q436" s="20">
        <f>IF($U436="","",INDEX(상세표[07~18시],$U436))</f>
        <v/>
      </c>
      <c r="R436" s="20">
        <f>IF($U436="","",INDEX(상세표[18~22시],$U436))</f>
        <v/>
      </c>
      <c r="S436" s="20">
        <f>IF($U436="","",INDEX(상세표[22~06시],$U436))</f>
        <v/>
      </c>
      <c r="T436" s="20">
        <f>IF($U436="","",INDEX(상세표[기록 시간외],$U436))</f>
        <v/>
      </c>
      <c r="U436" s="4">
        <f>IFERROR(MATCH(431,상세표[발송순번],0),"")</f>
        <v/>
      </c>
    </row>
    <row r="437">
      <c r="J437">
        <f>IF($U437="","",INDEX(상세표[사번],$U437)&amp;"")</f>
        <v/>
      </c>
      <c r="K437">
        <f>IF($U437="","",INDEX(상세표[성명],$U437)&amp;"")</f>
        <v/>
      </c>
      <c r="L437">
        <f>IF($U437="","",INDEX(상세표[직위],$U437)&amp;"")</f>
        <v/>
      </c>
      <c r="M437">
        <f>IF($U437="","",IF(ISNUMBER(INDEX(상세표[근무일자],$U437)),TEXT(INDEX(상세표[근무일자],$U437),"yyyy-mm-dd"),INDEX(상세표[근무일자],$U437)&amp;""))</f>
        <v/>
      </c>
      <c r="N437">
        <f>IF($U437="","",IF(ISNUMBER(INDEX(상세표[시작],$U437)),TEXT(INDEX(상세표[시작],$U437),"yyyy-mm-dd hh:mm"),INDEX(상세표[시작],$U437)&amp;""))</f>
        <v/>
      </c>
      <c r="O437">
        <f>IF($U437="","",IF(ISNUMBER(INDEX(상세표[종료],$U437)),TEXT(INDEX(상세표[종료],$U437),"yyyy-mm-dd hh:mm"),INDEX(상세표[종료],$U437)&amp;""))</f>
        <v/>
      </c>
      <c r="P437" s="20">
        <f>IF($U437="","",INDEX(상세표[06~07시],$U437))</f>
        <v/>
      </c>
      <c r="Q437" s="20">
        <f>IF($U437="","",INDEX(상세표[07~18시],$U437))</f>
        <v/>
      </c>
      <c r="R437" s="20">
        <f>IF($U437="","",INDEX(상세표[18~22시],$U437))</f>
        <v/>
      </c>
      <c r="S437" s="20">
        <f>IF($U437="","",INDEX(상세표[22~06시],$U437))</f>
        <v/>
      </c>
      <c r="T437" s="20">
        <f>IF($U437="","",INDEX(상세표[기록 시간외],$U437))</f>
        <v/>
      </c>
      <c r="U437" s="4">
        <f>IFERROR(MATCH(432,상세표[발송순번],0),"")</f>
        <v/>
      </c>
    </row>
    <row r="438">
      <c r="J438">
        <f>IF($U438="","",INDEX(상세표[사번],$U438)&amp;"")</f>
        <v/>
      </c>
      <c r="K438">
        <f>IF($U438="","",INDEX(상세표[성명],$U438)&amp;"")</f>
        <v/>
      </c>
      <c r="L438">
        <f>IF($U438="","",INDEX(상세표[직위],$U438)&amp;"")</f>
        <v/>
      </c>
      <c r="M438">
        <f>IF($U438="","",IF(ISNUMBER(INDEX(상세표[근무일자],$U438)),TEXT(INDEX(상세표[근무일자],$U438),"yyyy-mm-dd"),INDEX(상세표[근무일자],$U438)&amp;""))</f>
        <v/>
      </c>
      <c r="N438">
        <f>IF($U438="","",IF(ISNUMBER(INDEX(상세표[시작],$U438)),TEXT(INDEX(상세표[시작],$U438),"yyyy-mm-dd hh:mm"),INDEX(상세표[시작],$U438)&amp;""))</f>
        <v/>
      </c>
      <c r="O438">
        <f>IF($U438="","",IF(ISNUMBER(INDEX(상세표[종료],$U438)),TEXT(INDEX(상세표[종료],$U438),"yyyy-mm-dd hh:mm"),INDEX(상세표[종료],$U438)&amp;""))</f>
        <v/>
      </c>
      <c r="P438" s="20">
        <f>IF($U438="","",INDEX(상세표[06~07시],$U438))</f>
        <v/>
      </c>
      <c r="Q438" s="20">
        <f>IF($U438="","",INDEX(상세표[07~18시],$U438))</f>
        <v/>
      </c>
      <c r="R438" s="20">
        <f>IF($U438="","",INDEX(상세표[18~22시],$U438))</f>
        <v/>
      </c>
      <c r="S438" s="20">
        <f>IF($U438="","",INDEX(상세표[22~06시],$U438))</f>
        <v/>
      </c>
      <c r="T438" s="20">
        <f>IF($U438="","",INDEX(상세표[기록 시간외],$U438))</f>
        <v/>
      </c>
      <c r="U438" s="4">
        <f>IFERROR(MATCH(433,상세표[발송순번],0),"")</f>
        <v/>
      </c>
    </row>
    <row r="439">
      <c r="J439">
        <f>IF($U439="","",INDEX(상세표[사번],$U439)&amp;"")</f>
        <v/>
      </c>
      <c r="K439">
        <f>IF($U439="","",INDEX(상세표[성명],$U439)&amp;"")</f>
        <v/>
      </c>
      <c r="L439">
        <f>IF($U439="","",INDEX(상세표[직위],$U439)&amp;"")</f>
        <v/>
      </c>
      <c r="M439">
        <f>IF($U439="","",IF(ISNUMBER(INDEX(상세표[근무일자],$U439)),TEXT(INDEX(상세표[근무일자],$U439),"yyyy-mm-dd"),INDEX(상세표[근무일자],$U439)&amp;""))</f>
        <v/>
      </c>
      <c r="N439">
        <f>IF($U439="","",IF(ISNUMBER(INDEX(상세표[시작],$U439)),TEXT(INDEX(상세표[시작],$U439),"yyyy-mm-dd hh:mm"),INDEX(상세표[시작],$U439)&amp;""))</f>
        <v/>
      </c>
      <c r="O439">
        <f>IF($U439="","",IF(ISNUMBER(INDEX(상세표[종료],$U439)),TEXT(INDEX(상세표[종료],$U439),"yyyy-mm-dd hh:mm"),INDEX(상세표[종료],$U439)&amp;""))</f>
        <v/>
      </c>
      <c r="P439" s="20">
        <f>IF($U439="","",INDEX(상세표[06~07시],$U439))</f>
        <v/>
      </c>
      <c r="Q439" s="20">
        <f>IF($U439="","",INDEX(상세표[07~18시],$U439))</f>
        <v/>
      </c>
      <c r="R439" s="20">
        <f>IF($U439="","",INDEX(상세표[18~22시],$U439))</f>
        <v/>
      </c>
      <c r="S439" s="20">
        <f>IF($U439="","",INDEX(상세표[22~06시],$U439))</f>
        <v/>
      </c>
      <c r="T439" s="20">
        <f>IF($U439="","",INDEX(상세표[기록 시간외],$U439))</f>
        <v/>
      </c>
      <c r="U439" s="4">
        <f>IFERROR(MATCH(434,상세표[발송순번],0),"")</f>
        <v/>
      </c>
    </row>
    <row r="440">
      <c r="J440">
        <f>IF($U440="","",INDEX(상세표[사번],$U440)&amp;"")</f>
        <v/>
      </c>
      <c r="K440">
        <f>IF($U440="","",INDEX(상세표[성명],$U440)&amp;"")</f>
        <v/>
      </c>
      <c r="L440">
        <f>IF($U440="","",INDEX(상세표[직위],$U440)&amp;"")</f>
        <v/>
      </c>
      <c r="M440">
        <f>IF($U440="","",IF(ISNUMBER(INDEX(상세표[근무일자],$U440)),TEXT(INDEX(상세표[근무일자],$U440),"yyyy-mm-dd"),INDEX(상세표[근무일자],$U440)&amp;""))</f>
        <v/>
      </c>
      <c r="N440">
        <f>IF($U440="","",IF(ISNUMBER(INDEX(상세표[시작],$U440)),TEXT(INDEX(상세표[시작],$U440),"yyyy-mm-dd hh:mm"),INDEX(상세표[시작],$U440)&amp;""))</f>
        <v/>
      </c>
      <c r="O440">
        <f>IF($U440="","",IF(ISNUMBER(INDEX(상세표[종료],$U440)),TEXT(INDEX(상세표[종료],$U440),"yyyy-mm-dd hh:mm"),INDEX(상세표[종료],$U440)&amp;""))</f>
        <v/>
      </c>
      <c r="P440" s="20">
        <f>IF($U440="","",INDEX(상세표[06~07시],$U440))</f>
        <v/>
      </c>
      <c r="Q440" s="20">
        <f>IF($U440="","",INDEX(상세표[07~18시],$U440))</f>
        <v/>
      </c>
      <c r="R440" s="20">
        <f>IF($U440="","",INDEX(상세표[18~22시],$U440))</f>
        <v/>
      </c>
      <c r="S440" s="20">
        <f>IF($U440="","",INDEX(상세표[22~06시],$U440))</f>
        <v/>
      </c>
      <c r="T440" s="20">
        <f>IF($U440="","",INDEX(상세표[기록 시간외],$U440))</f>
        <v/>
      </c>
      <c r="U440" s="4">
        <f>IFERROR(MATCH(435,상세표[발송순번],0),"")</f>
        <v/>
      </c>
    </row>
    <row r="441">
      <c r="J441">
        <f>IF($U441="","",INDEX(상세표[사번],$U441)&amp;"")</f>
        <v/>
      </c>
      <c r="K441">
        <f>IF($U441="","",INDEX(상세표[성명],$U441)&amp;"")</f>
        <v/>
      </c>
      <c r="L441">
        <f>IF($U441="","",INDEX(상세표[직위],$U441)&amp;"")</f>
        <v/>
      </c>
      <c r="M441">
        <f>IF($U441="","",IF(ISNUMBER(INDEX(상세표[근무일자],$U441)),TEXT(INDEX(상세표[근무일자],$U441),"yyyy-mm-dd"),INDEX(상세표[근무일자],$U441)&amp;""))</f>
        <v/>
      </c>
      <c r="N441">
        <f>IF($U441="","",IF(ISNUMBER(INDEX(상세표[시작],$U441)),TEXT(INDEX(상세표[시작],$U441),"yyyy-mm-dd hh:mm"),INDEX(상세표[시작],$U441)&amp;""))</f>
        <v/>
      </c>
      <c r="O441">
        <f>IF($U441="","",IF(ISNUMBER(INDEX(상세표[종료],$U441)),TEXT(INDEX(상세표[종료],$U441),"yyyy-mm-dd hh:mm"),INDEX(상세표[종료],$U441)&amp;""))</f>
        <v/>
      </c>
      <c r="P441" s="20">
        <f>IF($U441="","",INDEX(상세표[06~07시],$U441))</f>
        <v/>
      </c>
      <c r="Q441" s="20">
        <f>IF($U441="","",INDEX(상세표[07~18시],$U441))</f>
        <v/>
      </c>
      <c r="R441" s="20">
        <f>IF($U441="","",INDEX(상세표[18~22시],$U441))</f>
        <v/>
      </c>
      <c r="S441" s="20">
        <f>IF($U441="","",INDEX(상세표[22~06시],$U441))</f>
        <v/>
      </c>
      <c r="T441" s="20">
        <f>IF($U441="","",INDEX(상세표[기록 시간외],$U441))</f>
        <v/>
      </c>
      <c r="U441" s="4">
        <f>IFERROR(MATCH(436,상세표[발송순번],0),"")</f>
        <v/>
      </c>
    </row>
    <row r="442">
      <c r="J442">
        <f>IF($U442="","",INDEX(상세표[사번],$U442)&amp;"")</f>
        <v/>
      </c>
      <c r="K442">
        <f>IF($U442="","",INDEX(상세표[성명],$U442)&amp;"")</f>
        <v/>
      </c>
      <c r="L442">
        <f>IF($U442="","",INDEX(상세표[직위],$U442)&amp;"")</f>
        <v/>
      </c>
      <c r="M442">
        <f>IF($U442="","",IF(ISNUMBER(INDEX(상세표[근무일자],$U442)),TEXT(INDEX(상세표[근무일자],$U442),"yyyy-mm-dd"),INDEX(상세표[근무일자],$U442)&amp;""))</f>
        <v/>
      </c>
      <c r="N442">
        <f>IF($U442="","",IF(ISNUMBER(INDEX(상세표[시작],$U442)),TEXT(INDEX(상세표[시작],$U442),"yyyy-mm-dd hh:mm"),INDEX(상세표[시작],$U442)&amp;""))</f>
        <v/>
      </c>
      <c r="O442">
        <f>IF($U442="","",IF(ISNUMBER(INDEX(상세표[종료],$U442)),TEXT(INDEX(상세표[종료],$U442),"yyyy-mm-dd hh:mm"),INDEX(상세표[종료],$U442)&amp;""))</f>
        <v/>
      </c>
      <c r="P442" s="20">
        <f>IF($U442="","",INDEX(상세표[06~07시],$U442))</f>
        <v/>
      </c>
      <c r="Q442" s="20">
        <f>IF($U442="","",INDEX(상세표[07~18시],$U442))</f>
        <v/>
      </c>
      <c r="R442" s="20">
        <f>IF($U442="","",INDEX(상세표[18~22시],$U442))</f>
        <v/>
      </c>
      <c r="S442" s="20">
        <f>IF($U442="","",INDEX(상세표[22~06시],$U442))</f>
        <v/>
      </c>
      <c r="T442" s="20">
        <f>IF($U442="","",INDEX(상세표[기록 시간외],$U442))</f>
        <v/>
      </c>
      <c r="U442" s="4">
        <f>IFERROR(MATCH(437,상세표[발송순번],0),"")</f>
        <v/>
      </c>
    </row>
    <row r="443">
      <c r="J443">
        <f>IF($U443="","",INDEX(상세표[사번],$U443)&amp;"")</f>
        <v/>
      </c>
      <c r="K443">
        <f>IF($U443="","",INDEX(상세표[성명],$U443)&amp;"")</f>
        <v/>
      </c>
      <c r="L443">
        <f>IF($U443="","",INDEX(상세표[직위],$U443)&amp;"")</f>
        <v/>
      </c>
      <c r="M443">
        <f>IF($U443="","",IF(ISNUMBER(INDEX(상세표[근무일자],$U443)),TEXT(INDEX(상세표[근무일자],$U443),"yyyy-mm-dd"),INDEX(상세표[근무일자],$U443)&amp;""))</f>
        <v/>
      </c>
      <c r="N443">
        <f>IF($U443="","",IF(ISNUMBER(INDEX(상세표[시작],$U443)),TEXT(INDEX(상세표[시작],$U443),"yyyy-mm-dd hh:mm"),INDEX(상세표[시작],$U443)&amp;""))</f>
        <v/>
      </c>
      <c r="O443">
        <f>IF($U443="","",IF(ISNUMBER(INDEX(상세표[종료],$U443)),TEXT(INDEX(상세표[종료],$U443),"yyyy-mm-dd hh:mm"),INDEX(상세표[종료],$U443)&amp;""))</f>
        <v/>
      </c>
      <c r="P443" s="20">
        <f>IF($U443="","",INDEX(상세표[06~07시],$U443))</f>
        <v/>
      </c>
      <c r="Q443" s="20">
        <f>IF($U443="","",INDEX(상세표[07~18시],$U443))</f>
        <v/>
      </c>
      <c r="R443" s="20">
        <f>IF($U443="","",INDEX(상세표[18~22시],$U443))</f>
        <v/>
      </c>
      <c r="S443" s="20">
        <f>IF($U443="","",INDEX(상세표[22~06시],$U443))</f>
        <v/>
      </c>
      <c r="T443" s="20">
        <f>IF($U443="","",INDEX(상세표[기록 시간외],$U443))</f>
        <v/>
      </c>
      <c r="U443" s="4">
        <f>IFERROR(MATCH(438,상세표[발송순번],0),"")</f>
        <v/>
      </c>
    </row>
    <row r="444">
      <c r="J444">
        <f>IF($U444="","",INDEX(상세표[사번],$U444)&amp;"")</f>
        <v/>
      </c>
      <c r="K444">
        <f>IF($U444="","",INDEX(상세표[성명],$U444)&amp;"")</f>
        <v/>
      </c>
      <c r="L444">
        <f>IF($U444="","",INDEX(상세표[직위],$U444)&amp;"")</f>
        <v/>
      </c>
      <c r="M444">
        <f>IF($U444="","",IF(ISNUMBER(INDEX(상세표[근무일자],$U444)),TEXT(INDEX(상세표[근무일자],$U444),"yyyy-mm-dd"),INDEX(상세표[근무일자],$U444)&amp;""))</f>
        <v/>
      </c>
      <c r="N444">
        <f>IF($U444="","",IF(ISNUMBER(INDEX(상세표[시작],$U444)),TEXT(INDEX(상세표[시작],$U444),"yyyy-mm-dd hh:mm"),INDEX(상세표[시작],$U444)&amp;""))</f>
        <v/>
      </c>
      <c r="O444">
        <f>IF($U444="","",IF(ISNUMBER(INDEX(상세표[종료],$U444)),TEXT(INDEX(상세표[종료],$U444),"yyyy-mm-dd hh:mm"),INDEX(상세표[종료],$U444)&amp;""))</f>
        <v/>
      </c>
      <c r="P444" s="20">
        <f>IF($U444="","",INDEX(상세표[06~07시],$U444))</f>
        <v/>
      </c>
      <c r="Q444" s="20">
        <f>IF($U444="","",INDEX(상세표[07~18시],$U444))</f>
        <v/>
      </c>
      <c r="R444" s="20">
        <f>IF($U444="","",INDEX(상세표[18~22시],$U444))</f>
        <v/>
      </c>
      <c r="S444" s="20">
        <f>IF($U444="","",INDEX(상세표[22~06시],$U444))</f>
        <v/>
      </c>
      <c r="T444" s="20">
        <f>IF($U444="","",INDEX(상세표[기록 시간외],$U444))</f>
        <v/>
      </c>
      <c r="U444" s="4">
        <f>IFERROR(MATCH(439,상세표[발송순번],0),"")</f>
        <v/>
      </c>
    </row>
    <row r="445">
      <c r="J445">
        <f>IF($U445="","",INDEX(상세표[사번],$U445)&amp;"")</f>
        <v/>
      </c>
      <c r="K445">
        <f>IF($U445="","",INDEX(상세표[성명],$U445)&amp;"")</f>
        <v/>
      </c>
      <c r="L445">
        <f>IF($U445="","",INDEX(상세표[직위],$U445)&amp;"")</f>
        <v/>
      </c>
      <c r="M445">
        <f>IF($U445="","",IF(ISNUMBER(INDEX(상세표[근무일자],$U445)),TEXT(INDEX(상세표[근무일자],$U445),"yyyy-mm-dd"),INDEX(상세표[근무일자],$U445)&amp;""))</f>
        <v/>
      </c>
      <c r="N445">
        <f>IF($U445="","",IF(ISNUMBER(INDEX(상세표[시작],$U445)),TEXT(INDEX(상세표[시작],$U445),"yyyy-mm-dd hh:mm"),INDEX(상세표[시작],$U445)&amp;""))</f>
        <v/>
      </c>
      <c r="O445">
        <f>IF($U445="","",IF(ISNUMBER(INDEX(상세표[종료],$U445)),TEXT(INDEX(상세표[종료],$U445),"yyyy-mm-dd hh:mm"),INDEX(상세표[종료],$U445)&amp;""))</f>
        <v/>
      </c>
      <c r="P445" s="20">
        <f>IF($U445="","",INDEX(상세표[06~07시],$U445))</f>
        <v/>
      </c>
      <c r="Q445" s="20">
        <f>IF($U445="","",INDEX(상세표[07~18시],$U445))</f>
        <v/>
      </c>
      <c r="R445" s="20">
        <f>IF($U445="","",INDEX(상세표[18~22시],$U445))</f>
        <v/>
      </c>
      <c r="S445" s="20">
        <f>IF($U445="","",INDEX(상세표[22~06시],$U445))</f>
        <v/>
      </c>
      <c r="T445" s="20">
        <f>IF($U445="","",INDEX(상세표[기록 시간외],$U445))</f>
        <v/>
      </c>
      <c r="U445" s="4">
        <f>IFERROR(MATCH(440,상세표[발송순번],0),"")</f>
        <v/>
      </c>
    </row>
    <row r="446">
      <c r="J446">
        <f>IF($U446="","",INDEX(상세표[사번],$U446)&amp;"")</f>
        <v/>
      </c>
      <c r="K446">
        <f>IF($U446="","",INDEX(상세표[성명],$U446)&amp;"")</f>
        <v/>
      </c>
      <c r="L446">
        <f>IF($U446="","",INDEX(상세표[직위],$U446)&amp;"")</f>
        <v/>
      </c>
      <c r="M446">
        <f>IF($U446="","",IF(ISNUMBER(INDEX(상세표[근무일자],$U446)),TEXT(INDEX(상세표[근무일자],$U446),"yyyy-mm-dd"),INDEX(상세표[근무일자],$U446)&amp;""))</f>
        <v/>
      </c>
      <c r="N446">
        <f>IF($U446="","",IF(ISNUMBER(INDEX(상세표[시작],$U446)),TEXT(INDEX(상세표[시작],$U446),"yyyy-mm-dd hh:mm"),INDEX(상세표[시작],$U446)&amp;""))</f>
        <v/>
      </c>
      <c r="O446">
        <f>IF($U446="","",IF(ISNUMBER(INDEX(상세표[종료],$U446)),TEXT(INDEX(상세표[종료],$U446),"yyyy-mm-dd hh:mm"),INDEX(상세표[종료],$U446)&amp;""))</f>
        <v/>
      </c>
      <c r="P446" s="20">
        <f>IF($U446="","",INDEX(상세표[06~07시],$U446))</f>
        <v/>
      </c>
      <c r="Q446" s="20">
        <f>IF($U446="","",INDEX(상세표[07~18시],$U446))</f>
        <v/>
      </c>
      <c r="R446" s="20">
        <f>IF($U446="","",INDEX(상세표[18~22시],$U446))</f>
        <v/>
      </c>
      <c r="S446" s="20">
        <f>IF($U446="","",INDEX(상세표[22~06시],$U446))</f>
        <v/>
      </c>
      <c r="T446" s="20">
        <f>IF($U446="","",INDEX(상세표[기록 시간외],$U446))</f>
        <v/>
      </c>
      <c r="U446" s="4">
        <f>IFERROR(MATCH(441,상세표[발송순번],0),"")</f>
        <v/>
      </c>
    </row>
    <row r="447">
      <c r="J447">
        <f>IF($U447="","",INDEX(상세표[사번],$U447)&amp;"")</f>
        <v/>
      </c>
      <c r="K447">
        <f>IF($U447="","",INDEX(상세표[성명],$U447)&amp;"")</f>
        <v/>
      </c>
      <c r="L447">
        <f>IF($U447="","",INDEX(상세표[직위],$U447)&amp;"")</f>
        <v/>
      </c>
      <c r="M447">
        <f>IF($U447="","",IF(ISNUMBER(INDEX(상세표[근무일자],$U447)),TEXT(INDEX(상세표[근무일자],$U447),"yyyy-mm-dd"),INDEX(상세표[근무일자],$U447)&amp;""))</f>
        <v/>
      </c>
      <c r="N447">
        <f>IF($U447="","",IF(ISNUMBER(INDEX(상세표[시작],$U447)),TEXT(INDEX(상세표[시작],$U447),"yyyy-mm-dd hh:mm"),INDEX(상세표[시작],$U447)&amp;""))</f>
        <v/>
      </c>
      <c r="O447">
        <f>IF($U447="","",IF(ISNUMBER(INDEX(상세표[종료],$U447)),TEXT(INDEX(상세표[종료],$U447),"yyyy-mm-dd hh:mm"),INDEX(상세표[종료],$U447)&amp;""))</f>
        <v/>
      </c>
      <c r="P447" s="20">
        <f>IF($U447="","",INDEX(상세표[06~07시],$U447))</f>
        <v/>
      </c>
      <c r="Q447" s="20">
        <f>IF($U447="","",INDEX(상세표[07~18시],$U447))</f>
        <v/>
      </c>
      <c r="R447" s="20">
        <f>IF($U447="","",INDEX(상세표[18~22시],$U447))</f>
        <v/>
      </c>
      <c r="S447" s="20">
        <f>IF($U447="","",INDEX(상세표[22~06시],$U447))</f>
        <v/>
      </c>
      <c r="T447" s="20">
        <f>IF($U447="","",INDEX(상세표[기록 시간외],$U447))</f>
        <v/>
      </c>
      <c r="U447" s="4">
        <f>IFERROR(MATCH(442,상세표[발송순번],0),"")</f>
        <v/>
      </c>
    </row>
    <row r="448">
      <c r="J448">
        <f>IF($U448="","",INDEX(상세표[사번],$U448)&amp;"")</f>
        <v/>
      </c>
      <c r="K448">
        <f>IF($U448="","",INDEX(상세표[성명],$U448)&amp;"")</f>
        <v/>
      </c>
      <c r="L448">
        <f>IF($U448="","",INDEX(상세표[직위],$U448)&amp;"")</f>
        <v/>
      </c>
      <c r="M448">
        <f>IF($U448="","",IF(ISNUMBER(INDEX(상세표[근무일자],$U448)),TEXT(INDEX(상세표[근무일자],$U448),"yyyy-mm-dd"),INDEX(상세표[근무일자],$U448)&amp;""))</f>
        <v/>
      </c>
      <c r="N448">
        <f>IF($U448="","",IF(ISNUMBER(INDEX(상세표[시작],$U448)),TEXT(INDEX(상세표[시작],$U448),"yyyy-mm-dd hh:mm"),INDEX(상세표[시작],$U448)&amp;""))</f>
        <v/>
      </c>
      <c r="O448">
        <f>IF($U448="","",IF(ISNUMBER(INDEX(상세표[종료],$U448)),TEXT(INDEX(상세표[종료],$U448),"yyyy-mm-dd hh:mm"),INDEX(상세표[종료],$U448)&amp;""))</f>
        <v/>
      </c>
      <c r="P448" s="20">
        <f>IF($U448="","",INDEX(상세표[06~07시],$U448))</f>
        <v/>
      </c>
      <c r="Q448" s="20">
        <f>IF($U448="","",INDEX(상세표[07~18시],$U448))</f>
        <v/>
      </c>
      <c r="R448" s="20">
        <f>IF($U448="","",INDEX(상세표[18~22시],$U448))</f>
        <v/>
      </c>
      <c r="S448" s="20">
        <f>IF($U448="","",INDEX(상세표[22~06시],$U448))</f>
        <v/>
      </c>
      <c r="T448" s="20">
        <f>IF($U448="","",INDEX(상세표[기록 시간외],$U448))</f>
        <v/>
      </c>
      <c r="U448" s="4">
        <f>IFERROR(MATCH(443,상세표[발송순번],0),"")</f>
        <v/>
      </c>
    </row>
    <row r="449">
      <c r="J449">
        <f>IF($U449="","",INDEX(상세표[사번],$U449)&amp;"")</f>
        <v/>
      </c>
      <c r="K449">
        <f>IF($U449="","",INDEX(상세표[성명],$U449)&amp;"")</f>
        <v/>
      </c>
      <c r="L449">
        <f>IF($U449="","",INDEX(상세표[직위],$U449)&amp;"")</f>
        <v/>
      </c>
      <c r="M449">
        <f>IF($U449="","",IF(ISNUMBER(INDEX(상세표[근무일자],$U449)),TEXT(INDEX(상세표[근무일자],$U449),"yyyy-mm-dd"),INDEX(상세표[근무일자],$U449)&amp;""))</f>
        <v/>
      </c>
      <c r="N449">
        <f>IF($U449="","",IF(ISNUMBER(INDEX(상세표[시작],$U449)),TEXT(INDEX(상세표[시작],$U449),"yyyy-mm-dd hh:mm"),INDEX(상세표[시작],$U449)&amp;""))</f>
        <v/>
      </c>
      <c r="O449">
        <f>IF($U449="","",IF(ISNUMBER(INDEX(상세표[종료],$U449)),TEXT(INDEX(상세표[종료],$U449),"yyyy-mm-dd hh:mm"),INDEX(상세표[종료],$U449)&amp;""))</f>
        <v/>
      </c>
      <c r="P449" s="20">
        <f>IF($U449="","",INDEX(상세표[06~07시],$U449))</f>
        <v/>
      </c>
      <c r="Q449" s="20">
        <f>IF($U449="","",INDEX(상세표[07~18시],$U449))</f>
        <v/>
      </c>
      <c r="R449" s="20">
        <f>IF($U449="","",INDEX(상세표[18~22시],$U449))</f>
        <v/>
      </c>
      <c r="S449" s="20">
        <f>IF($U449="","",INDEX(상세표[22~06시],$U449))</f>
        <v/>
      </c>
      <c r="T449" s="20">
        <f>IF($U449="","",INDEX(상세표[기록 시간외],$U449))</f>
        <v/>
      </c>
      <c r="U449" s="4">
        <f>IFERROR(MATCH(444,상세표[발송순번],0),"")</f>
        <v/>
      </c>
    </row>
    <row r="450">
      <c r="J450">
        <f>IF($U450="","",INDEX(상세표[사번],$U450)&amp;"")</f>
        <v/>
      </c>
      <c r="K450">
        <f>IF($U450="","",INDEX(상세표[성명],$U450)&amp;"")</f>
        <v/>
      </c>
      <c r="L450">
        <f>IF($U450="","",INDEX(상세표[직위],$U450)&amp;"")</f>
        <v/>
      </c>
      <c r="M450">
        <f>IF($U450="","",IF(ISNUMBER(INDEX(상세표[근무일자],$U450)),TEXT(INDEX(상세표[근무일자],$U450),"yyyy-mm-dd"),INDEX(상세표[근무일자],$U450)&amp;""))</f>
        <v/>
      </c>
      <c r="N450">
        <f>IF($U450="","",IF(ISNUMBER(INDEX(상세표[시작],$U450)),TEXT(INDEX(상세표[시작],$U450),"yyyy-mm-dd hh:mm"),INDEX(상세표[시작],$U450)&amp;""))</f>
        <v/>
      </c>
      <c r="O450">
        <f>IF($U450="","",IF(ISNUMBER(INDEX(상세표[종료],$U450)),TEXT(INDEX(상세표[종료],$U450),"yyyy-mm-dd hh:mm"),INDEX(상세표[종료],$U450)&amp;""))</f>
        <v/>
      </c>
      <c r="P450" s="20">
        <f>IF($U450="","",INDEX(상세표[06~07시],$U450))</f>
        <v/>
      </c>
      <c r="Q450" s="20">
        <f>IF($U450="","",INDEX(상세표[07~18시],$U450))</f>
        <v/>
      </c>
      <c r="R450" s="20">
        <f>IF($U450="","",INDEX(상세표[18~22시],$U450))</f>
        <v/>
      </c>
      <c r="S450" s="20">
        <f>IF($U450="","",INDEX(상세표[22~06시],$U450))</f>
        <v/>
      </c>
      <c r="T450" s="20">
        <f>IF($U450="","",INDEX(상세표[기록 시간외],$U450))</f>
        <v/>
      </c>
      <c r="U450" s="4">
        <f>IFERROR(MATCH(445,상세표[발송순번],0),"")</f>
        <v/>
      </c>
    </row>
    <row r="451">
      <c r="J451">
        <f>IF($U451="","",INDEX(상세표[사번],$U451)&amp;"")</f>
        <v/>
      </c>
      <c r="K451">
        <f>IF($U451="","",INDEX(상세표[성명],$U451)&amp;"")</f>
        <v/>
      </c>
      <c r="L451">
        <f>IF($U451="","",INDEX(상세표[직위],$U451)&amp;"")</f>
        <v/>
      </c>
      <c r="M451">
        <f>IF($U451="","",IF(ISNUMBER(INDEX(상세표[근무일자],$U451)),TEXT(INDEX(상세표[근무일자],$U451),"yyyy-mm-dd"),INDEX(상세표[근무일자],$U451)&amp;""))</f>
        <v/>
      </c>
      <c r="N451">
        <f>IF($U451="","",IF(ISNUMBER(INDEX(상세표[시작],$U451)),TEXT(INDEX(상세표[시작],$U451),"yyyy-mm-dd hh:mm"),INDEX(상세표[시작],$U451)&amp;""))</f>
        <v/>
      </c>
      <c r="O451">
        <f>IF($U451="","",IF(ISNUMBER(INDEX(상세표[종료],$U451)),TEXT(INDEX(상세표[종료],$U451),"yyyy-mm-dd hh:mm"),INDEX(상세표[종료],$U451)&amp;""))</f>
        <v/>
      </c>
      <c r="P451" s="20">
        <f>IF($U451="","",INDEX(상세표[06~07시],$U451))</f>
        <v/>
      </c>
      <c r="Q451" s="20">
        <f>IF($U451="","",INDEX(상세표[07~18시],$U451))</f>
        <v/>
      </c>
      <c r="R451" s="20">
        <f>IF($U451="","",INDEX(상세표[18~22시],$U451))</f>
        <v/>
      </c>
      <c r="S451" s="20">
        <f>IF($U451="","",INDEX(상세표[22~06시],$U451))</f>
        <v/>
      </c>
      <c r="T451" s="20">
        <f>IF($U451="","",INDEX(상세표[기록 시간외],$U451))</f>
        <v/>
      </c>
      <c r="U451" s="4">
        <f>IFERROR(MATCH(446,상세표[발송순번],0),"")</f>
        <v/>
      </c>
    </row>
    <row r="452">
      <c r="J452">
        <f>IF($U452="","",INDEX(상세표[사번],$U452)&amp;"")</f>
        <v/>
      </c>
      <c r="K452">
        <f>IF($U452="","",INDEX(상세표[성명],$U452)&amp;"")</f>
        <v/>
      </c>
      <c r="L452">
        <f>IF($U452="","",INDEX(상세표[직위],$U452)&amp;"")</f>
        <v/>
      </c>
      <c r="M452">
        <f>IF($U452="","",IF(ISNUMBER(INDEX(상세표[근무일자],$U452)),TEXT(INDEX(상세표[근무일자],$U452),"yyyy-mm-dd"),INDEX(상세표[근무일자],$U452)&amp;""))</f>
        <v/>
      </c>
      <c r="N452">
        <f>IF($U452="","",IF(ISNUMBER(INDEX(상세표[시작],$U452)),TEXT(INDEX(상세표[시작],$U452),"yyyy-mm-dd hh:mm"),INDEX(상세표[시작],$U452)&amp;""))</f>
        <v/>
      </c>
      <c r="O452">
        <f>IF($U452="","",IF(ISNUMBER(INDEX(상세표[종료],$U452)),TEXT(INDEX(상세표[종료],$U452),"yyyy-mm-dd hh:mm"),INDEX(상세표[종료],$U452)&amp;""))</f>
        <v/>
      </c>
      <c r="P452" s="20">
        <f>IF($U452="","",INDEX(상세표[06~07시],$U452))</f>
        <v/>
      </c>
      <c r="Q452" s="20">
        <f>IF($U452="","",INDEX(상세표[07~18시],$U452))</f>
        <v/>
      </c>
      <c r="R452" s="20">
        <f>IF($U452="","",INDEX(상세표[18~22시],$U452))</f>
        <v/>
      </c>
      <c r="S452" s="20">
        <f>IF($U452="","",INDEX(상세표[22~06시],$U452))</f>
        <v/>
      </c>
      <c r="T452" s="20">
        <f>IF($U452="","",INDEX(상세표[기록 시간외],$U452))</f>
        <v/>
      </c>
      <c r="U452" s="4">
        <f>IFERROR(MATCH(447,상세표[발송순번],0),"")</f>
        <v/>
      </c>
    </row>
    <row r="453">
      <c r="J453">
        <f>IF($U453="","",INDEX(상세표[사번],$U453)&amp;"")</f>
        <v/>
      </c>
      <c r="K453">
        <f>IF($U453="","",INDEX(상세표[성명],$U453)&amp;"")</f>
        <v/>
      </c>
      <c r="L453">
        <f>IF($U453="","",INDEX(상세표[직위],$U453)&amp;"")</f>
        <v/>
      </c>
      <c r="M453">
        <f>IF($U453="","",IF(ISNUMBER(INDEX(상세표[근무일자],$U453)),TEXT(INDEX(상세표[근무일자],$U453),"yyyy-mm-dd"),INDEX(상세표[근무일자],$U453)&amp;""))</f>
        <v/>
      </c>
      <c r="N453">
        <f>IF($U453="","",IF(ISNUMBER(INDEX(상세표[시작],$U453)),TEXT(INDEX(상세표[시작],$U453),"yyyy-mm-dd hh:mm"),INDEX(상세표[시작],$U453)&amp;""))</f>
        <v/>
      </c>
      <c r="O453">
        <f>IF($U453="","",IF(ISNUMBER(INDEX(상세표[종료],$U453)),TEXT(INDEX(상세표[종료],$U453),"yyyy-mm-dd hh:mm"),INDEX(상세표[종료],$U453)&amp;""))</f>
        <v/>
      </c>
      <c r="P453" s="20">
        <f>IF($U453="","",INDEX(상세표[06~07시],$U453))</f>
        <v/>
      </c>
      <c r="Q453" s="20">
        <f>IF($U453="","",INDEX(상세표[07~18시],$U453))</f>
        <v/>
      </c>
      <c r="R453" s="20">
        <f>IF($U453="","",INDEX(상세표[18~22시],$U453))</f>
        <v/>
      </c>
      <c r="S453" s="20">
        <f>IF($U453="","",INDEX(상세표[22~06시],$U453))</f>
        <v/>
      </c>
      <c r="T453" s="20">
        <f>IF($U453="","",INDEX(상세표[기록 시간외],$U453))</f>
        <v/>
      </c>
      <c r="U453" s="4">
        <f>IFERROR(MATCH(448,상세표[발송순번],0),"")</f>
        <v/>
      </c>
    </row>
    <row r="454">
      <c r="J454">
        <f>IF($U454="","",INDEX(상세표[사번],$U454)&amp;"")</f>
        <v/>
      </c>
      <c r="K454">
        <f>IF($U454="","",INDEX(상세표[성명],$U454)&amp;"")</f>
        <v/>
      </c>
      <c r="L454">
        <f>IF($U454="","",INDEX(상세표[직위],$U454)&amp;"")</f>
        <v/>
      </c>
      <c r="M454">
        <f>IF($U454="","",IF(ISNUMBER(INDEX(상세표[근무일자],$U454)),TEXT(INDEX(상세표[근무일자],$U454),"yyyy-mm-dd"),INDEX(상세표[근무일자],$U454)&amp;""))</f>
        <v/>
      </c>
      <c r="N454">
        <f>IF($U454="","",IF(ISNUMBER(INDEX(상세표[시작],$U454)),TEXT(INDEX(상세표[시작],$U454),"yyyy-mm-dd hh:mm"),INDEX(상세표[시작],$U454)&amp;""))</f>
        <v/>
      </c>
      <c r="O454">
        <f>IF($U454="","",IF(ISNUMBER(INDEX(상세표[종료],$U454)),TEXT(INDEX(상세표[종료],$U454),"yyyy-mm-dd hh:mm"),INDEX(상세표[종료],$U454)&amp;""))</f>
        <v/>
      </c>
      <c r="P454" s="20">
        <f>IF($U454="","",INDEX(상세표[06~07시],$U454))</f>
        <v/>
      </c>
      <c r="Q454" s="20">
        <f>IF($U454="","",INDEX(상세표[07~18시],$U454))</f>
        <v/>
      </c>
      <c r="R454" s="20">
        <f>IF($U454="","",INDEX(상세표[18~22시],$U454))</f>
        <v/>
      </c>
      <c r="S454" s="20">
        <f>IF($U454="","",INDEX(상세표[22~06시],$U454))</f>
        <v/>
      </c>
      <c r="T454" s="20">
        <f>IF($U454="","",INDEX(상세표[기록 시간외],$U454))</f>
        <v/>
      </c>
      <c r="U454" s="4">
        <f>IFERROR(MATCH(449,상세표[발송순번],0),"")</f>
        <v/>
      </c>
    </row>
    <row r="455">
      <c r="J455">
        <f>IF($U455="","",INDEX(상세표[사번],$U455)&amp;"")</f>
        <v/>
      </c>
      <c r="K455">
        <f>IF($U455="","",INDEX(상세표[성명],$U455)&amp;"")</f>
        <v/>
      </c>
      <c r="L455">
        <f>IF($U455="","",INDEX(상세표[직위],$U455)&amp;"")</f>
        <v/>
      </c>
      <c r="M455">
        <f>IF($U455="","",IF(ISNUMBER(INDEX(상세표[근무일자],$U455)),TEXT(INDEX(상세표[근무일자],$U455),"yyyy-mm-dd"),INDEX(상세표[근무일자],$U455)&amp;""))</f>
        <v/>
      </c>
      <c r="N455">
        <f>IF($U455="","",IF(ISNUMBER(INDEX(상세표[시작],$U455)),TEXT(INDEX(상세표[시작],$U455),"yyyy-mm-dd hh:mm"),INDEX(상세표[시작],$U455)&amp;""))</f>
        <v/>
      </c>
      <c r="O455">
        <f>IF($U455="","",IF(ISNUMBER(INDEX(상세표[종료],$U455)),TEXT(INDEX(상세표[종료],$U455),"yyyy-mm-dd hh:mm"),INDEX(상세표[종료],$U455)&amp;""))</f>
        <v/>
      </c>
      <c r="P455" s="20">
        <f>IF($U455="","",INDEX(상세표[06~07시],$U455))</f>
        <v/>
      </c>
      <c r="Q455" s="20">
        <f>IF($U455="","",INDEX(상세표[07~18시],$U455))</f>
        <v/>
      </c>
      <c r="R455" s="20">
        <f>IF($U455="","",INDEX(상세표[18~22시],$U455))</f>
        <v/>
      </c>
      <c r="S455" s="20">
        <f>IF($U455="","",INDEX(상세표[22~06시],$U455))</f>
        <v/>
      </c>
      <c r="T455" s="20">
        <f>IF($U455="","",INDEX(상세표[기록 시간외],$U455))</f>
        <v/>
      </c>
      <c r="U455" s="4">
        <f>IFERROR(MATCH(450,상세표[발송순번],0),"")</f>
        <v/>
      </c>
    </row>
    <row r="456">
      <c r="J456">
        <f>IF($U456="","",INDEX(상세표[사번],$U456)&amp;"")</f>
        <v/>
      </c>
      <c r="K456">
        <f>IF($U456="","",INDEX(상세표[성명],$U456)&amp;"")</f>
        <v/>
      </c>
      <c r="L456">
        <f>IF($U456="","",INDEX(상세표[직위],$U456)&amp;"")</f>
        <v/>
      </c>
      <c r="M456">
        <f>IF($U456="","",IF(ISNUMBER(INDEX(상세표[근무일자],$U456)),TEXT(INDEX(상세표[근무일자],$U456),"yyyy-mm-dd"),INDEX(상세표[근무일자],$U456)&amp;""))</f>
        <v/>
      </c>
      <c r="N456">
        <f>IF($U456="","",IF(ISNUMBER(INDEX(상세표[시작],$U456)),TEXT(INDEX(상세표[시작],$U456),"yyyy-mm-dd hh:mm"),INDEX(상세표[시작],$U456)&amp;""))</f>
        <v/>
      </c>
      <c r="O456">
        <f>IF($U456="","",IF(ISNUMBER(INDEX(상세표[종료],$U456)),TEXT(INDEX(상세표[종료],$U456),"yyyy-mm-dd hh:mm"),INDEX(상세표[종료],$U456)&amp;""))</f>
        <v/>
      </c>
      <c r="P456" s="20">
        <f>IF($U456="","",INDEX(상세표[06~07시],$U456))</f>
        <v/>
      </c>
      <c r="Q456" s="20">
        <f>IF($U456="","",INDEX(상세표[07~18시],$U456))</f>
        <v/>
      </c>
      <c r="R456" s="20">
        <f>IF($U456="","",INDEX(상세표[18~22시],$U456))</f>
        <v/>
      </c>
      <c r="S456" s="20">
        <f>IF($U456="","",INDEX(상세표[22~06시],$U456))</f>
        <v/>
      </c>
      <c r="T456" s="20">
        <f>IF($U456="","",INDEX(상세표[기록 시간외],$U456))</f>
        <v/>
      </c>
      <c r="U456" s="4">
        <f>IFERROR(MATCH(451,상세표[발송순번],0),"")</f>
        <v/>
      </c>
    </row>
    <row r="457">
      <c r="J457">
        <f>IF($U457="","",INDEX(상세표[사번],$U457)&amp;"")</f>
        <v/>
      </c>
      <c r="K457">
        <f>IF($U457="","",INDEX(상세표[성명],$U457)&amp;"")</f>
        <v/>
      </c>
      <c r="L457">
        <f>IF($U457="","",INDEX(상세표[직위],$U457)&amp;"")</f>
        <v/>
      </c>
      <c r="M457">
        <f>IF($U457="","",IF(ISNUMBER(INDEX(상세표[근무일자],$U457)),TEXT(INDEX(상세표[근무일자],$U457),"yyyy-mm-dd"),INDEX(상세표[근무일자],$U457)&amp;""))</f>
        <v/>
      </c>
      <c r="N457">
        <f>IF($U457="","",IF(ISNUMBER(INDEX(상세표[시작],$U457)),TEXT(INDEX(상세표[시작],$U457),"yyyy-mm-dd hh:mm"),INDEX(상세표[시작],$U457)&amp;""))</f>
        <v/>
      </c>
      <c r="O457">
        <f>IF($U457="","",IF(ISNUMBER(INDEX(상세표[종료],$U457)),TEXT(INDEX(상세표[종료],$U457),"yyyy-mm-dd hh:mm"),INDEX(상세표[종료],$U457)&amp;""))</f>
        <v/>
      </c>
      <c r="P457" s="20">
        <f>IF($U457="","",INDEX(상세표[06~07시],$U457))</f>
        <v/>
      </c>
      <c r="Q457" s="20">
        <f>IF($U457="","",INDEX(상세표[07~18시],$U457))</f>
        <v/>
      </c>
      <c r="R457" s="20">
        <f>IF($U457="","",INDEX(상세표[18~22시],$U457))</f>
        <v/>
      </c>
      <c r="S457" s="20">
        <f>IF($U457="","",INDEX(상세표[22~06시],$U457))</f>
        <v/>
      </c>
      <c r="T457" s="20">
        <f>IF($U457="","",INDEX(상세표[기록 시간외],$U457))</f>
        <v/>
      </c>
      <c r="U457" s="4">
        <f>IFERROR(MATCH(452,상세표[발송순번],0),"")</f>
        <v/>
      </c>
    </row>
    <row r="458">
      <c r="J458">
        <f>IF($U458="","",INDEX(상세표[사번],$U458)&amp;"")</f>
        <v/>
      </c>
      <c r="K458">
        <f>IF($U458="","",INDEX(상세표[성명],$U458)&amp;"")</f>
        <v/>
      </c>
      <c r="L458">
        <f>IF($U458="","",INDEX(상세표[직위],$U458)&amp;"")</f>
        <v/>
      </c>
      <c r="M458">
        <f>IF($U458="","",IF(ISNUMBER(INDEX(상세표[근무일자],$U458)),TEXT(INDEX(상세표[근무일자],$U458),"yyyy-mm-dd"),INDEX(상세표[근무일자],$U458)&amp;""))</f>
        <v/>
      </c>
      <c r="N458">
        <f>IF($U458="","",IF(ISNUMBER(INDEX(상세표[시작],$U458)),TEXT(INDEX(상세표[시작],$U458),"yyyy-mm-dd hh:mm"),INDEX(상세표[시작],$U458)&amp;""))</f>
        <v/>
      </c>
      <c r="O458">
        <f>IF($U458="","",IF(ISNUMBER(INDEX(상세표[종료],$U458)),TEXT(INDEX(상세표[종료],$U458),"yyyy-mm-dd hh:mm"),INDEX(상세표[종료],$U458)&amp;""))</f>
        <v/>
      </c>
      <c r="P458" s="20">
        <f>IF($U458="","",INDEX(상세표[06~07시],$U458))</f>
        <v/>
      </c>
      <c r="Q458" s="20">
        <f>IF($U458="","",INDEX(상세표[07~18시],$U458))</f>
        <v/>
      </c>
      <c r="R458" s="20">
        <f>IF($U458="","",INDEX(상세표[18~22시],$U458))</f>
        <v/>
      </c>
      <c r="S458" s="20">
        <f>IF($U458="","",INDEX(상세표[22~06시],$U458))</f>
        <v/>
      </c>
      <c r="T458" s="20">
        <f>IF($U458="","",INDEX(상세표[기록 시간외],$U458))</f>
        <v/>
      </c>
      <c r="U458" s="4">
        <f>IFERROR(MATCH(453,상세표[발송순번],0),"")</f>
        <v/>
      </c>
    </row>
    <row r="459">
      <c r="J459">
        <f>IF($U459="","",INDEX(상세표[사번],$U459)&amp;"")</f>
        <v/>
      </c>
      <c r="K459">
        <f>IF($U459="","",INDEX(상세표[성명],$U459)&amp;"")</f>
        <v/>
      </c>
      <c r="L459">
        <f>IF($U459="","",INDEX(상세표[직위],$U459)&amp;"")</f>
        <v/>
      </c>
      <c r="M459">
        <f>IF($U459="","",IF(ISNUMBER(INDEX(상세표[근무일자],$U459)),TEXT(INDEX(상세표[근무일자],$U459),"yyyy-mm-dd"),INDEX(상세표[근무일자],$U459)&amp;""))</f>
        <v/>
      </c>
      <c r="N459">
        <f>IF($U459="","",IF(ISNUMBER(INDEX(상세표[시작],$U459)),TEXT(INDEX(상세표[시작],$U459),"yyyy-mm-dd hh:mm"),INDEX(상세표[시작],$U459)&amp;""))</f>
        <v/>
      </c>
      <c r="O459">
        <f>IF($U459="","",IF(ISNUMBER(INDEX(상세표[종료],$U459)),TEXT(INDEX(상세표[종료],$U459),"yyyy-mm-dd hh:mm"),INDEX(상세표[종료],$U459)&amp;""))</f>
        <v/>
      </c>
      <c r="P459" s="20">
        <f>IF($U459="","",INDEX(상세표[06~07시],$U459))</f>
        <v/>
      </c>
      <c r="Q459" s="20">
        <f>IF($U459="","",INDEX(상세표[07~18시],$U459))</f>
        <v/>
      </c>
      <c r="R459" s="20">
        <f>IF($U459="","",INDEX(상세표[18~22시],$U459))</f>
        <v/>
      </c>
      <c r="S459" s="20">
        <f>IF($U459="","",INDEX(상세표[22~06시],$U459))</f>
        <v/>
      </c>
      <c r="T459" s="20">
        <f>IF($U459="","",INDEX(상세표[기록 시간외],$U459))</f>
        <v/>
      </c>
      <c r="U459" s="4">
        <f>IFERROR(MATCH(454,상세표[발송순번],0),"")</f>
        <v/>
      </c>
    </row>
    <row r="460">
      <c r="J460">
        <f>IF($U460="","",INDEX(상세표[사번],$U460)&amp;"")</f>
        <v/>
      </c>
      <c r="K460">
        <f>IF($U460="","",INDEX(상세표[성명],$U460)&amp;"")</f>
        <v/>
      </c>
      <c r="L460">
        <f>IF($U460="","",INDEX(상세표[직위],$U460)&amp;"")</f>
        <v/>
      </c>
      <c r="M460">
        <f>IF($U460="","",IF(ISNUMBER(INDEX(상세표[근무일자],$U460)),TEXT(INDEX(상세표[근무일자],$U460),"yyyy-mm-dd"),INDEX(상세표[근무일자],$U460)&amp;""))</f>
        <v/>
      </c>
      <c r="N460">
        <f>IF($U460="","",IF(ISNUMBER(INDEX(상세표[시작],$U460)),TEXT(INDEX(상세표[시작],$U460),"yyyy-mm-dd hh:mm"),INDEX(상세표[시작],$U460)&amp;""))</f>
        <v/>
      </c>
      <c r="O460">
        <f>IF($U460="","",IF(ISNUMBER(INDEX(상세표[종료],$U460)),TEXT(INDEX(상세표[종료],$U460),"yyyy-mm-dd hh:mm"),INDEX(상세표[종료],$U460)&amp;""))</f>
        <v/>
      </c>
      <c r="P460" s="20">
        <f>IF($U460="","",INDEX(상세표[06~07시],$U460))</f>
        <v/>
      </c>
      <c r="Q460" s="20">
        <f>IF($U460="","",INDEX(상세표[07~18시],$U460))</f>
        <v/>
      </c>
      <c r="R460" s="20">
        <f>IF($U460="","",INDEX(상세표[18~22시],$U460))</f>
        <v/>
      </c>
      <c r="S460" s="20">
        <f>IF($U460="","",INDEX(상세표[22~06시],$U460))</f>
        <v/>
      </c>
      <c r="T460" s="20">
        <f>IF($U460="","",INDEX(상세표[기록 시간외],$U460))</f>
        <v/>
      </c>
      <c r="U460" s="4">
        <f>IFERROR(MATCH(455,상세표[발송순번],0),"")</f>
        <v/>
      </c>
    </row>
    <row r="461">
      <c r="J461">
        <f>IF($U461="","",INDEX(상세표[사번],$U461)&amp;"")</f>
        <v/>
      </c>
      <c r="K461">
        <f>IF($U461="","",INDEX(상세표[성명],$U461)&amp;"")</f>
        <v/>
      </c>
      <c r="L461">
        <f>IF($U461="","",INDEX(상세표[직위],$U461)&amp;"")</f>
        <v/>
      </c>
      <c r="M461">
        <f>IF($U461="","",IF(ISNUMBER(INDEX(상세표[근무일자],$U461)),TEXT(INDEX(상세표[근무일자],$U461),"yyyy-mm-dd"),INDEX(상세표[근무일자],$U461)&amp;""))</f>
        <v/>
      </c>
      <c r="N461">
        <f>IF($U461="","",IF(ISNUMBER(INDEX(상세표[시작],$U461)),TEXT(INDEX(상세표[시작],$U461),"yyyy-mm-dd hh:mm"),INDEX(상세표[시작],$U461)&amp;""))</f>
        <v/>
      </c>
      <c r="O461">
        <f>IF($U461="","",IF(ISNUMBER(INDEX(상세표[종료],$U461)),TEXT(INDEX(상세표[종료],$U461),"yyyy-mm-dd hh:mm"),INDEX(상세표[종료],$U461)&amp;""))</f>
        <v/>
      </c>
      <c r="P461" s="20">
        <f>IF($U461="","",INDEX(상세표[06~07시],$U461))</f>
        <v/>
      </c>
      <c r="Q461" s="20">
        <f>IF($U461="","",INDEX(상세표[07~18시],$U461))</f>
        <v/>
      </c>
      <c r="R461" s="20">
        <f>IF($U461="","",INDEX(상세표[18~22시],$U461))</f>
        <v/>
      </c>
      <c r="S461" s="20">
        <f>IF($U461="","",INDEX(상세표[22~06시],$U461))</f>
        <v/>
      </c>
      <c r="T461" s="20">
        <f>IF($U461="","",INDEX(상세표[기록 시간외],$U461))</f>
        <v/>
      </c>
      <c r="U461" s="4">
        <f>IFERROR(MATCH(456,상세표[발송순번],0),"")</f>
        <v/>
      </c>
    </row>
    <row r="462">
      <c r="J462">
        <f>IF($U462="","",INDEX(상세표[사번],$U462)&amp;"")</f>
        <v/>
      </c>
      <c r="K462">
        <f>IF($U462="","",INDEX(상세표[성명],$U462)&amp;"")</f>
        <v/>
      </c>
      <c r="L462">
        <f>IF($U462="","",INDEX(상세표[직위],$U462)&amp;"")</f>
        <v/>
      </c>
      <c r="M462">
        <f>IF($U462="","",IF(ISNUMBER(INDEX(상세표[근무일자],$U462)),TEXT(INDEX(상세표[근무일자],$U462),"yyyy-mm-dd"),INDEX(상세표[근무일자],$U462)&amp;""))</f>
        <v/>
      </c>
      <c r="N462">
        <f>IF($U462="","",IF(ISNUMBER(INDEX(상세표[시작],$U462)),TEXT(INDEX(상세표[시작],$U462),"yyyy-mm-dd hh:mm"),INDEX(상세표[시작],$U462)&amp;""))</f>
        <v/>
      </c>
      <c r="O462">
        <f>IF($U462="","",IF(ISNUMBER(INDEX(상세표[종료],$U462)),TEXT(INDEX(상세표[종료],$U462),"yyyy-mm-dd hh:mm"),INDEX(상세표[종료],$U462)&amp;""))</f>
        <v/>
      </c>
      <c r="P462" s="20">
        <f>IF($U462="","",INDEX(상세표[06~07시],$U462))</f>
        <v/>
      </c>
      <c r="Q462" s="20">
        <f>IF($U462="","",INDEX(상세표[07~18시],$U462))</f>
        <v/>
      </c>
      <c r="R462" s="20">
        <f>IF($U462="","",INDEX(상세표[18~22시],$U462))</f>
        <v/>
      </c>
      <c r="S462" s="20">
        <f>IF($U462="","",INDEX(상세표[22~06시],$U462))</f>
        <v/>
      </c>
      <c r="T462" s="20">
        <f>IF($U462="","",INDEX(상세표[기록 시간외],$U462))</f>
        <v/>
      </c>
      <c r="U462" s="4">
        <f>IFERROR(MATCH(457,상세표[발송순번],0),"")</f>
        <v/>
      </c>
    </row>
    <row r="463">
      <c r="J463">
        <f>IF($U463="","",INDEX(상세표[사번],$U463)&amp;"")</f>
        <v/>
      </c>
      <c r="K463">
        <f>IF($U463="","",INDEX(상세표[성명],$U463)&amp;"")</f>
        <v/>
      </c>
      <c r="L463">
        <f>IF($U463="","",INDEX(상세표[직위],$U463)&amp;"")</f>
        <v/>
      </c>
      <c r="M463">
        <f>IF($U463="","",IF(ISNUMBER(INDEX(상세표[근무일자],$U463)),TEXT(INDEX(상세표[근무일자],$U463),"yyyy-mm-dd"),INDEX(상세표[근무일자],$U463)&amp;""))</f>
        <v/>
      </c>
      <c r="N463">
        <f>IF($U463="","",IF(ISNUMBER(INDEX(상세표[시작],$U463)),TEXT(INDEX(상세표[시작],$U463),"yyyy-mm-dd hh:mm"),INDEX(상세표[시작],$U463)&amp;""))</f>
        <v/>
      </c>
      <c r="O463">
        <f>IF($U463="","",IF(ISNUMBER(INDEX(상세표[종료],$U463)),TEXT(INDEX(상세표[종료],$U463),"yyyy-mm-dd hh:mm"),INDEX(상세표[종료],$U463)&amp;""))</f>
        <v/>
      </c>
      <c r="P463" s="20">
        <f>IF($U463="","",INDEX(상세표[06~07시],$U463))</f>
        <v/>
      </c>
      <c r="Q463" s="20">
        <f>IF($U463="","",INDEX(상세표[07~18시],$U463))</f>
        <v/>
      </c>
      <c r="R463" s="20">
        <f>IF($U463="","",INDEX(상세표[18~22시],$U463))</f>
        <v/>
      </c>
      <c r="S463" s="20">
        <f>IF($U463="","",INDEX(상세표[22~06시],$U463))</f>
        <v/>
      </c>
      <c r="T463" s="20">
        <f>IF($U463="","",INDEX(상세표[기록 시간외],$U463))</f>
        <v/>
      </c>
      <c r="U463" s="4">
        <f>IFERROR(MATCH(458,상세표[발송순번],0),"")</f>
        <v/>
      </c>
    </row>
    <row r="464">
      <c r="J464">
        <f>IF($U464="","",INDEX(상세표[사번],$U464)&amp;"")</f>
        <v/>
      </c>
      <c r="K464">
        <f>IF($U464="","",INDEX(상세표[성명],$U464)&amp;"")</f>
        <v/>
      </c>
      <c r="L464">
        <f>IF($U464="","",INDEX(상세표[직위],$U464)&amp;"")</f>
        <v/>
      </c>
      <c r="M464">
        <f>IF($U464="","",IF(ISNUMBER(INDEX(상세표[근무일자],$U464)),TEXT(INDEX(상세표[근무일자],$U464),"yyyy-mm-dd"),INDEX(상세표[근무일자],$U464)&amp;""))</f>
        <v/>
      </c>
      <c r="N464">
        <f>IF($U464="","",IF(ISNUMBER(INDEX(상세표[시작],$U464)),TEXT(INDEX(상세표[시작],$U464),"yyyy-mm-dd hh:mm"),INDEX(상세표[시작],$U464)&amp;""))</f>
        <v/>
      </c>
      <c r="O464">
        <f>IF($U464="","",IF(ISNUMBER(INDEX(상세표[종료],$U464)),TEXT(INDEX(상세표[종료],$U464),"yyyy-mm-dd hh:mm"),INDEX(상세표[종료],$U464)&amp;""))</f>
        <v/>
      </c>
      <c r="P464" s="20">
        <f>IF($U464="","",INDEX(상세표[06~07시],$U464))</f>
        <v/>
      </c>
      <c r="Q464" s="20">
        <f>IF($U464="","",INDEX(상세표[07~18시],$U464))</f>
        <v/>
      </c>
      <c r="R464" s="20">
        <f>IF($U464="","",INDEX(상세표[18~22시],$U464))</f>
        <v/>
      </c>
      <c r="S464" s="20">
        <f>IF($U464="","",INDEX(상세표[22~06시],$U464))</f>
        <v/>
      </c>
      <c r="T464" s="20">
        <f>IF($U464="","",INDEX(상세표[기록 시간외],$U464))</f>
        <v/>
      </c>
      <c r="U464" s="4">
        <f>IFERROR(MATCH(459,상세표[발송순번],0),"")</f>
        <v/>
      </c>
    </row>
    <row r="465">
      <c r="J465">
        <f>IF($U465="","",INDEX(상세표[사번],$U465)&amp;"")</f>
        <v/>
      </c>
      <c r="K465">
        <f>IF($U465="","",INDEX(상세표[성명],$U465)&amp;"")</f>
        <v/>
      </c>
      <c r="L465">
        <f>IF($U465="","",INDEX(상세표[직위],$U465)&amp;"")</f>
        <v/>
      </c>
      <c r="M465">
        <f>IF($U465="","",IF(ISNUMBER(INDEX(상세표[근무일자],$U465)),TEXT(INDEX(상세표[근무일자],$U465),"yyyy-mm-dd"),INDEX(상세표[근무일자],$U465)&amp;""))</f>
        <v/>
      </c>
      <c r="N465">
        <f>IF($U465="","",IF(ISNUMBER(INDEX(상세표[시작],$U465)),TEXT(INDEX(상세표[시작],$U465),"yyyy-mm-dd hh:mm"),INDEX(상세표[시작],$U465)&amp;""))</f>
        <v/>
      </c>
      <c r="O465">
        <f>IF($U465="","",IF(ISNUMBER(INDEX(상세표[종료],$U465)),TEXT(INDEX(상세표[종료],$U465),"yyyy-mm-dd hh:mm"),INDEX(상세표[종료],$U465)&amp;""))</f>
        <v/>
      </c>
      <c r="P465" s="20">
        <f>IF($U465="","",INDEX(상세표[06~07시],$U465))</f>
        <v/>
      </c>
      <c r="Q465" s="20">
        <f>IF($U465="","",INDEX(상세표[07~18시],$U465))</f>
        <v/>
      </c>
      <c r="R465" s="20">
        <f>IF($U465="","",INDEX(상세표[18~22시],$U465))</f>
        <v/>
      </c>
      <c r="S465" s="20">
        <f>IF($U465="","",INDEX(상세표[22~06시],$U465))</f>
        <v/>
      </c>
      <c r="T465" s="20">
        <f>IF($U465="","",INDEX(상세표[기록 시간외],$U465))</f>
        <v/>
      </c>
      <c r="U465" s="4">
        <f>IFERROR(MATCH(460,상세표[발송순번],0),"")</f>
        <v/>
      </c>
    </row>
    <row r="466">
      <c r="J466">
        <f>IF($U466="","",INDEX(상세표[사번],$U466)&amp;"")</f>
        <v/>
      </c>
      <c r="K466">
        <f>IF($U466="","",INDEX(상세표[성명],$U466)&amp;"")</f>
        <v/>
      </c>
      <c r="L466">
        <f>IF($U466="","",INDEX(상세표[직위],$U466)&amp;"")</f>
        <v/>
      </c>
      <c r="M466">
        <f>IF($U466="","",IF(ISNUMBER(INDEX(상세표[근무일자],$U466)),TEXT(INDEX(상세표[근무일자],$U466),"yyyy-mm-dd"),INDEX(상세표[근무일자],$U466)&amp;""))</f>
        <v/>
      </c>
      <c r="N466">
        <f>IF($U466="","",IF(ISNUMBER(INDEX(상세표[시작],$U466)),TEXT(INDEX(상세표[시작],$U466),"yyyy-mm-dd hh:mm"),INDEX(상세표[시작],$U466)&amp;""))</f>
        <v/>
      </c>
      <c r="O466">
        <f>IF($U466="","",IF(ISNUMBER(INDEX(상세표[종료],$U466)),TEXT(INDEX(상세표[종료],$U466),"yyyy-mm-dd hh:mm"),INDEX(상세표[종료],$U466)&amp;""))</f>
        <v/>
      </c>
      <c r="P466" s="20">
        <f>IF($U466="","",INDEX(상세표[06~07시],$U466))</f>
        <v/>
      </c>
      <c r="Q466" s="20">
        <f>IF($U466="","",INDEX(상세표[07~18시],$U466))</f>
        <v/>
      </c>
      <c r="R466" s="20">
        <f>IF($U466="","",INDEX(상세표[18~22시],$U466))</f>
        <v/>
      </c>
      <c r="S466" s="20">
        <f>IF($U466="","",INDEX(상세표[22~06시],$U466))</f>
        <v/>
      </c>
      <c r="T466" s="20">
        <f>IF($U466="","",INDEX(상세표[기록 시간외],$U466))</f>
        <v/>
      </c>
      <c r="U466" s="4">
        <f>IFERROR(MATCH(461,상세표[발송순번],0),"")</f>
        <v/>
      </c>
    </row>
    <row r="467">
      <c r="J467">
        <f>IF($U467="","",INDEX(상세표[사번],$U467)&amp;"")</f>
        <v/>
      </c>
      <c r="K467">
        <f>IF($U467="","",INDEX(상세표[성명],$U467)&amp;"")</f>
        <v/>
      </c>
      <c r="L467">
        <f>IF($U467="","",INDEX(상세표[직위],$U467)&amp;"")</f>
        <v/>
      </c>
      <c r="M467">
        <f>IF($U467="","",IF(ISNUMBER(INDEX(상세표[근무일자],$U467)),TEXT(INDEX(상세표[근무일자],$U467),"yyyy-mm-dd"),INDEX(상세표[근무일자],$U467)&amp;""))</f>
        <v/>
      </c>
      <c r="N467">
        <f>IF($U467="","",IF(ISNUMBER(INDEX(상세표[시작],$U467)),TEXT(INDEX(상세표[시작],$U467),"yyyy-mm-dd hh:mm"),INDEX(상세표[시작],$U467)&amp;""))</f>
        <v/>
      </c>
      <c r="O467">
        <f>IF($U467="","",IF(ISNUMBER(INDEX(상세표[종료],$U467)),TEXT(INDEX(상세표[종료],$U467),"yyyy-mm-dd hh:mm"),INDEX(상세표[종료],$U467)&amp;""))</f>
        <v/>
      </c>
      <c r="P467" s="20">
        <f>IF($U467="","",INDEX(상세표[06~07시],$U467))</f>
        <v/>
      </c>
      <c r="Q467" s="20">
        <f>IF($U467="","",INDEX(상세표[07~18시],$U467))</f>
        <v/>
      </c>
      <c r="R467" s="20">
        <f>IF($U467="","",INDEX(상세표[18~22시],$U467))</f>
        <v/>
      </c>
      <c r="S467" s="20">
        <f>IF($U467="","",INDEX(상세표[22~06시],$U467))</f>
        <v/>
      </c>
      <c r="T467" s="20">
        <f>IF($U467="","",INDEX(상세표[기록 시간외],$U467))</f>
        <v/>
      </c>
      <c r="U467" s="4">
        <f>IFERROR(MATCH(462,상세표[발송순번],0),"")</f>
        <v/>
      </c>
    </row>
    <row r="468">
      <c r="J468">
        <f>IF($U468="","",INDEX(상세표[사번],$U468)&amp;"")</f>
        <v/>
      </c>
      <c r="K468">
        <f>IF($U468="","",INDEX(상세표[성명],$U468)&amp;"")</f>
        <v/>
      </c>
      <c r="L468">
        <f>IF($U468="","",INDEX(상세표[직위],$U468)&amp;"")</f>
        <v/>
      </c>
      <c r="M468">
        <f>IF($U468="","",IF(ISNUMBER(INDEX(상세표[근무일자],$U468)),TEXT(INDEX(상세표[근무일자],$U468),"yyyy-mm-dd"),INDEX(상세표[근무일자],$U468)&amp;""))</f>
        <v/>
      </c>
      <c r="N468">
        <f>IF($U468="","",IF(ISNUMBER(INDEX(상세표[시작],$U468)),TEXT(INDEX(상세표[시작],$U468),"yyyy-mm-dd hh:mm"),INDEX(상세표[시작],$U468)&amp;""))</f>
        <v/>
      </c>
      <c r="O468">
        <f>IF($U468="","",IF(ISNUMBER(INDEX(상세표[종료],$U468)),TEXT(INDEX(상세표[종료],$U468),"yyyy-mm-dd hh:mm"),INDEX(상세표[종료],$U468)&amp;""))</f>
        <v/>
      </c>
      <c r="P468" s="20">
        <f>IF($U468="","",INDEX(상세표[06~07시],$U468))</f>
        <v/>
      </c>
      <c r="Q468" s="20">
        <f>IF($U468="","",INDEX(상세표[07~18시],$U468))</f>
        <v/>
      </c>
      <c r="R468" s="20">
        <f>IF($U468="","",INDEX(상세표[18~22시],$U468))</f>
        <v/>
      </c>
      <c r="S468" s="20">
        <f>IF($U468="","",INDEX(상세표[22~06시],$U468))</f>
        <v/>
      </c>
      <c r="T468" s="20">
        <f>IF($U468="","",INDEX(상세표[기록 시간외],$U468))</f>
        <v/>
      </c>
      <c r="U468" s="4">
        <f>IFERROR(MATCH(463,상세표[발송순번],0),"")</f>
        <v/>
      </c>
    </row>
    <row r="469">
      <c r="J469">
        <f>IF($U469="","",INDEX(상세표[사번],$U469)&amp;"")</f>
        <v/>
      </c>
      <c r="K469">
        <f>IF($U469="","",INDEX(상세표[성명],$U469)&amp;"")</f>
        <v/>
      </c>
      <c r="L469">
        <f>IF($U469="","",INDEX(상세표[직위],$U469)&amp;"")</f>
        <v/>
      </c>
      <c r="M469">
        <f>IF($U469="","",IF(ISNUMBER(INDEX(상세표[근무일자],$U469)),TEXT(INDEX(상세표[근무일자],$U469),"yyyy-mm-dd"),INDEX(상세표[근무일자],$U469)&amp;""))</f>
        <v/>
      </c>
      <c r="N469">
        <f>IF($U469="","",IF(ISNUMBER(INDEX(상세표[시작],$U469)),TEXT(INDEX(상세표[시작],$U469),"yyyy-mm-dd hh:mm"),INDEX(상세표[시작],$U469)&amp;""))</f>
        <v/>
      </c>
      <c r="O469">
        <f>IF($U469="","",IF(ISNUMBER(INDEX(상세표[종료],$U469)),TEXT(INDEX(상세표[종료],$U469),"yyyy-mm-dd hh:mm"),INDEX(상세표[종료],$U469)&amp;""))</f>
        <v/>
      </c>
      <c r="P469" s="20">
        <f>IF($U469="","",INDEX(상세표[06~07시],$U469))</f>
        <v/>
      </c>
      <c r="Q469" s="20">
        <f>IF($U469="","",INDEX(상세표[07~18시],$U469))</f>
        <v/>
      </c>
      <c r="R469" s="20">
        <f>IF($U469="","",INDEX(상세표[18~22시],$U469))</f>
        <v/>
      </c>
      <c r="S469" s="20">
        <f>IF($U469="","",INDEX(상세표[22~06시],$U469))</f>
        <v/>
      </c>
      <c r="T469" s="20">
        <f>IF($U469="","",INDEX(상세표[기록 시간외],$U469))</f>
        <v/>
      </c>
      <c r="U469" s="4">
        <f>IFERROR(MATCH(464,상세표[발송순번],0),"")</f>
        <v/>
      </c>
    </row>
    <row r="470">
      <c r="J470">
        <f>IF($U470="","",INDEX(상세표[사번],$U470)&amp;"")</f>
        <v/>
      </c>
      <c r="K470">
        <f>IF($U470="","",INDEX(상세표[성명],$U470)&amp;"")</f>
        <v/>
      </c>
      <c r="L470">
        <f>IF($U470="","",INDEX(상세표[직위],$U470)&amp;"")</f>
        <v/>
      </c>
      <c r="M470">
        <f>IF($U470="","",IF(ISNUMBER(INDEX(상세표[근무일자],$U470)),TEXT(INDEX(상세표[근무일자],$U470),"yyyy-mm-dd"),INDEX(상세표[근무일자],$U470)&amp;""))</f>
        <v/>
      </c>
      <c r="N470">
        <f>IF($U470="","",IF(ISNUMBER(INDEX(상세표[시작],$U470)),TEXT(INDEX(상세표[시작],$U470),"yyyy-mm-dd hh:mm"),INDEX(상세표[시작],$U470)&amp;""))</f>
        <v/>
      </c>
      <c r="O470">
        <f>IF($U470="","",IF(ISNUMBER(INDEX(상세표[종료],$U470)),TEXT(INDEX(상세표[종료],$U470),"yyyy-mm-dd hh:mm"),INDEX(상세표[종료],$U470)&amp;""))</f>
        <v/>
      </c>
      <c r="P470" s="20">
        <f>IF($U470="","",INDEX(상세표[06~07시],$U470))</f>
        <v/>
      </c>
      <c r="Q470" s="20">
        <f>IF($U470="","",INDEX(상세표[07~18시],$U470))</f>
        <v/>
      </c>
      <c r="R470" s="20">
        <f>IF($U470="","",INDEX(상세표[18~22시],$U470))</f>
        <v/>
      </c>
      <c r="S470" s="20">
        <f>IF($U470="","",INDEX(상세표[22~06시],$U470))</f>
        <v/>
      </c>
      <c r="T470" s="20">
        <f>IF($U470="","",INDEX(상세표[기록 시간외],$U470))</f>
        <v/>
      </c>
      <c r="U470" s="4">
        <f>IFERROR(MATCH(465,상세표[발송순번],0),"")</f>
        <v/>
      </c>
    </row>
    <row r="471">
      <c r="J471">
        <f>IF($U471="","",INDEX(상세표[사번],$U471)&amp;"")</f>
        <v/>
      </c>
      <c r="K471">
        <f>IF($U471="","",INDEX(상세표[성명],$U471)&amp;"")</f>
        <v/>
      </c>
      <c r="L471">
        <f>IF($U471="","",INDEX(상세표[직위],$U471)&amp;"")</f>
        <v/>
      </c>
      <c r="M471">
        <f>IF($U471="","",IF(ISNUMBER(INDEX(상세표[근무일자],$U471)),TEXT(INDEX(상세표[근무일자],$U471),"yyyy-mm-dd"),INDEX(상세표[근무일자],$U471)&amp;""))</f>
        <v/>
      </c>
      <c r="N471">
        <f>IF($U471="","",IF(ISNUMBER(INDEX(상세표[시작],$U471)),TEXT(INDEX(상세표[시작],$U471),"yyyy-mm-dd hh:mm"),INDEX(상세표[시작],$U471)&amp;""))</f>
        <v/>
      </c>
      <c r="O471">
        <f>IF($U471="","",IF(ISNUMBER(INDEX(상세표[종료],$U471)),TEXT(INDEX(상세표[종료],$U471),"yyyy-mm-dd hh:mm"),INDEX(상세표[종료],$U471)&amp;""))</f>
        <v/>
      </c>
      <c r="P471" s="20">
        <f>IF($U471="","",INDEX(상세표[06~07시],$U471))</f>
        <v/>
      </c>
      <c r="Q471" s="20">
        <f>IF($U471="","",INDEX(상세표[07~18시],$U471))</f>
        <v/>
      </c>
      <c r="R471" s="20">
        <f>IF($U471="","",INDEX(상세표[18~22시],$U471))</f>
        <v/>
      </c>
      <c r="S471" s="20">
        <f>IF($U471="","",INDEX(상세표[22~06시],$U471))</f>
        <v/>
      </c>
      <c r="T471" s="20">
        <f>IF($U471="","",INDEX(상세표[기록 시간외],$U471))</f>
        <v/>
      </c>
      <c r="U471" s="4">
        <f>IFERROR(MATCH(466,상세표[발송순번],0),"")</f>
        <v/>
      </c>
    </row>
    <row r="472">
      <c r="J472">
        <f>IF($U472="","",INDEX(상세표[사번],$U472)&amp;"")</f>
        <v/>
      </c>
      <c r="K472">
        <f>IF($U472="","",INDEX(상세표[성명],$U472)&amp;"")</f>
        <v/>
      </c>
      <c r="L472">
        <f>IF($U472="","",INDEX(상세표[직위],$U472)&amp;"")</f>
        <v/>
      </c>
      <c r="M472">
        <f>IF($U472="","",IF(ISNUMBER(INDEX(상세표[근무일자],$U472)),TEXT(INDEX(상세표[근무일자],$U472),"yyyy-mm-dd"),INDEX(상세표[근무일자],$U472)&amp;""))</f>
        <v/>
      </c>
      <c r="N472">
        <f>IF($U472="","",IF(ISNUMBER(INDEX(상세표[시작],$U472)),TEXT(INDEX(상세표[시작],$U472),"yyyy-mm-dd hh:mm"),INDEX(상세표[시작],$U472)&amp;""))</f>
        <v/>
      </c>
      <c r="O472">
        <f>IF($U472="","",IF(ISNUMBER(INDEX(상세표[종료],$U472)),TEXT(INDEX(상세표[종료],$U472),"yyyy-mm-dd hh:mm"),INDEX(상세표[종료],$U472)&amp;""))</f>
        <v/>
      </c>
      <c r="P472" s="20">
        <f>IF($U472="","",INDEX(상세표[06~07시],$U472))</f>
        <v/>
      </c>
      <c r="Q472" s="20">
        <f>IF($U472="","",INDEX(상세표[07~18시],$U472))</f>
        <v/>
      </c>
      <c r="R472" s="20">
        <f>IF($U472="","",INDEX(상세표[18~22시],$U472))</f>
        <v/>
      </c>
      <c r="S472" s="20">
        <f>IF($U472="","",INDEX(상세표[22~06시],$U472))</f>
        <v/>
      </c>
      <c r="T472" s="20">
        <f>IF($U472="","",INDEX(상세표[기록 시간외],$U472))</f>
        <v/>
      </c>
      <c r="U472" s="4">
        <f>IFERROR(MATCH(467,상세표[발송순번],0),"")</f>
        <v/>
      </c>
    </row>
    <row r="473">
      <c r="J473">
        <f>IF($U473="","",INDEX(상세표[사번],$U473)&amp;"")</f>
        <v/>
      </c>
      <c r="K473">
        <f>IF($U473="","",INDEX(상세표[성명],$U473)&amp;"")</f>
        <v/>
      </c>
      <c r="L473">
        <f>IF($U473="","",INDEX(상세표[직위],$U473)&amp;"")</f>
        <v/>
      </c>
      <c r="M473">
        <f>IF($U473="","",IF(ISNUMBER(INDEX(상세표[근무일자],$U473)),TEXT(INDEX(상세표[근무일자],$U473),"yyyy-mm-dd"),INDEX(상세표[근무일자],$U473)&amp;""))</f>
        <v/>
      </c>
      <c r="N473">
        <f>IF($U473="","",IF(ISNUMBER(INDEX(상세표[시작],$U473)),TEXT(INDEX(상세표[시작],$U473),"yyyy-mm-dd hh:mm"),INDEX(상세표[시작],$U473)&amp;""))</f>
        <v/>
      </c>
      <c r="O473">
        <f>IF($U473="","",IF(ISNUMBER(INDEX(상세표[종료],$U473)),TEXT(INDEX(상세표[종료],$U473),"yyyy-mm-dd hh:mm"),INDEX(상세표[종료],$U473)&amp;""))</f>
        <v/>
      </c>
      <c r="P473" s="20">
        <f>IF($U473="","",INDEX(상세표[06~07시],$U473))</f>
        <v/>
      </c>
      <c r="Q473" s="20">
        <f>IF($U473="","",INDEX(상세표[07~18시],$U473))</f>
        <v/>
      </c>
      <c r="R473" s="20">
        <f>IF($U473="","",INDEX(상세표[18~22시],$U473))</f>
        <v/>
      </c>
      <c r="S473" s="20">
        <f>IF($U473="","",INDEX(상세표[22~06시],$U473))</f>
        <v/>
      </c>
      <c r="T473" s="20">
        <f>IF($U473="","",INDEX(상세표[기록 시간외],$U473))</f>
        <v/>
      </c>
      <c r="U473" s="4">
        <f>IFERROR(MATCH(468,상세표[발송순번],0),"")</f>
        <v/>
      </c>
    </row>
    <row r="474">
      <c r="J474">
        <f>IF($U474="","",INDEX(상세표[사번],$U474)&amp;"")</f>
        <v/>
      </c>
      <c r="K474">
        <f>IF($U474="","",INDEX(상세표[성명],$U474)&amp;"")</f>
        <v/>
      </c>
      <c r="L474">
        <f>IF($U474="","",INDEX(상세표[직위],$U474)&amp;"")</f>
        <v/>
      </c>
      <c r="M474">
        <f>IF($U474="","",IF(ISNUMBER(INDEX(상세표[근무일자],$U474)),TEXT(INDEX(상세표[근무일자],$U474),"yyyy-mm-dd"),INDEX(상세표[근무일자],$U474)&amp;""))</f>
        <v/>
      </c>
      <c r="N474">
        <f>IF($U474="","",IF(ISNUMBER(INDEX(상세표[시작],$U474)),TEXT(INDEX(상세표[시작],$U474),"yyyy-mm-dd hh:mm"),INDEX(상세표[시작],$U474)&amp;""))</f>
        <v/>
      </c>
      <c r="O474">
        <f>IF($U474="","",IF(ISNUMBER(INDEX(상세표[종료],$U474)),TEXT(INDEX(상세표[종료],$U474),"yyyy-mm-dd hh:mm"),INDEX(상세표[종료],$U474)&amp;""))</f>
        <v/>
      </c>
      <c r="P474" s="20">
        <f>IF($U474="","",INDEX(상세표[06~07시],$U474))</f>
        <v/>
      </c>
      <c r="Q474" s="20">
        <f>IF($U474="","",INDEX(상세표[07~18시],$U474))</f>
        <v/>
      </c>
      <c r="R474" s="20">
        <f>IF($U474="","",INDEX(상세표[18~22시],$U474))</f>
        <v/>
      </c>
      <c r="S474" s="20">
        <f>IF($U474="","",INDEX(상세표[22~06시],$U474))</f>
        <v/>
      </c>
      <c r="T474" s="20">
        <f>IF($U474="","",INDEX(상세표[기록 시간외],$U474))</f>
        <v/>
      </c>
      <c r="U474" s="4">
        <f>IFERROR(MATCH(469,상세표[발송순번],0),"")</f>
        <v/>
      </c>
    </row>
    <row r="475">
      <c r="J475">
        <f>IF($U475="","",INDEX(상세표[사번],$U475)&amp;"")</f>
        <v/>
      </c>
      <c r="K475">
        <f>IF($U475="","",INDEX(상세표[성명],$U475)&amp;"")</f>
        <v/>
      </c>
      <c r="L475">
        <f>IF($U475="","",INDEX(상세표[직위],$U475)&amp;"")</f>
        <v/>
      </c>
      <c r="M475">
        <f>IF($U475="","",IF(ISNUMBER(INDEX(상세표[근무일자],$U475)),TEXT(INDEX(상세표[근무일자],$U475),"yyyy-mm-dd"),INDEX(상세표[근무일자],$U475)&amp;""))</f>
        <v/>
      </c>
      <c r="N475">
        <f>IF($U475="","",IF(ISNUMBER(INDEX(상세표[시작],$U475)),TEXT(INDEX(상세표[시작],$U475),"yyyy-mm-dd hh:mm"),INDEX(상세표[시작],$U475)&amp;""))</f>
        <v/>
      </c>
      <c r="O475">
        <f>IF($U475="","",IF(ISNUMBER(INDEX(상세표[종료],$U475)),TEXT(INDEX(상세표[종료],$U475),"yyyy-mm-dd hh:mm"),INDEX(상세표[종료],$U475)&amp;""))</f>
        <v/>
      </c>
      <c r="P475" s="20">
        <f>IF($U475="","",INDEX(상세표[06~07시],$U475))</f>
        <v/>
      </c>
      <c r="Q475" s="20">
        <f>IF($U475="","",INDEX(상세표[07~18시],$U475))</f>
        <v/>
      </c>
      <c r="R475" s="20">
        <f>IF($U475="","",INDEX(상세표[18~22시],$U475))</f>
        <v/>
      </c>
      <c r="S475" s="20">
        <f>IF($U475="","",INDEX(상세표[22~06시],$U475))</f>
        <v/>
      </c>
      <c r="T475" s="20">
        <f>IF($U475="","",INDEX(상세표[기록 시간외],$U475))</f>
        <v/>
      </c>
      <c r="U475" s="4">
        <f>IFERROR(MATCH(470,상세표[발송순번],0),"")</f>
        <v/>
      </c>
    </row>
    <row r="476">
      <c r="J476">
        <f>IF($U476="","",INDEX(상세표[사번],$U476)&amp;"")</f>
        <v/>
      </c>
      <c r="K476">
        <f>IF($U476="","",INDEX(상세표[성명],$U476)&amp;"")</f>
        <v/>
      </c>
      <c r="L476">
        <f>IF($U476="","",INDEX(상세표[직위],$U476)&amp;"")</f>
        <v/>
      </c>
      <c r="M476">
        <f>IF($U476="","",IF(ISNUMBER(INDEX(상세표[근무일자],$U476)),TEXT(INDEX(상세표[근무일자],$U476),"yyyy-mm-dd"),INDEX(상세표[근무일자],$U476)&amp;""))</f>
        <v/>
      </c>
      <c r="N476">
        <f>IF($U476="","",IF(ISNUMBER(INDEX(상세표[시작],$U476)),TEXT(INDEX(상세표[시작],$U476),"yyyy-mm-dd hh:mm"),INDEX(상세표[시작],$U476)&amp;""))</f>
        <v/>
      </c>
      <c r="O476">
        <f>IF($U476="","",IF(ISNUMBER(INDEX(상세표[종료],$U476)),TEXT(INDEX(상세표[종료],$U476),"yyyy-mm-dd hh:mm"),INDEX(상세표[종료],$U476)&amp;""))</f>
        <v/>
      </c>
      <c r="P476" s="20">
        <f>IF($U476="","",INDEX(상세표[06~07시],$U476))</f>
        <v/>
      </c>
      <c r="Q476" s="20">
        <f>IF($U476="","",INDEX(상세표[07~18시],$U476))</f>
        <v/>
      </c>
      <c r="R476" s="20">
        <f>IF($U476="","",INDEX(상세표[18~22시],$U476))</f>
        <v/>
      </c>
      <c r="S476" s="20">
        <f>IF($U476="","",INDEX(상세표[22~06시],$U476))</f>
        <v/>
      </c>
      <c r="T476" s="20">
        <f>IF($U476="","",INDEX(상세표[기록 시간외],$U476))</f>
        <v/>
      </c>
      <c r="U476" s="4">
        <f>IFERROR(MATCH(471,상세표[발송순번],0),"")</f>
        <v/>
      </c>
    </row>
    <row r="477">
      <c r="J477">
        <f>IF($U477="","",INDEX(상세표[사번],$U477)&amp;"")</f>
        <v/>
      </c>
      <c r="K477">
        <f>IF($U477="","",INDEX(상세표[성명],$U477)&amp;"")</f>
        <v/>
      </c>
      <c r="L477">
        <f>IF($U477="","",INDEX(상세표[직위],$U477)&amp;"")</f>
        <v/>
      </c>
      <c r="M477">
        <f>IF($U477="","",IF(ISNUMBER(INDEX(상세표[근무일자],$U477)),TEXT(INDEX(상세표[근무일자],$U477),"yyyy-mm-dd"),INDEX(상세표[근무일자],$U477)&amp;""))</f>
        <v/>
      </c>
      <c r="N477">
        <f>IF($U477="","",IF(ISNUMBER(INDEX(상세표[시작],$U477)),TEXT(INDEX(상세표[시작],$U477),"yyyy-mm-dd hh:mm"),INDEX(상세표[시작],$U477)&amp;""))</f>
        <v/>
      </c>
      <c r="O477">
        <f>IF($U477="","",IF(ISNUMBER(INDEX(상세표[종료],$U477)),TEXT(INDEX(상세표[종료],$U477),"yyyy-mm-dd hh:mm"),INDEX(상세표[종료],$U477)&amp;""))</f>
        <v/>
      </c>
      <c r="P477" s="20">
        <f>IF($U477="","",INDEX(상세표[06~07시],$U477))</f>
        <v/>
      </c>
      <c r="Q477" s="20">
        <f>IF($U477="","",INDEX(상세표[07~18시],$U477))</f>
        <v/>
      </c>
      <c r="R477" s="20">
        <f>IF($U477="","",INDEX(상세표[18~22시],$U477))</f>
        <v/>
      </c>
      <c r="S477" s="20">
        <f>IF($U477="","",INDEX(상세표[22~06시],$U477))</f>
        <v/>
      </c>
      <c r="T477" s="20">
        <f>IF($U477="","",INDEX(상세표[기록 시간외],$U477))</f>
        <v/>
      </c>
      <c r="U477" s="4">
        <f>IFERROR(MATCH(472,상세표[발송순번],0),"")</f>
        <v/>
      </c>
    </row>
    <row r="478">
      <c r="J478">
        <f>IF($U478="","",INDEX(상세표[사번],$U478)&amp;"")</f>
        <v/>
      </c>
      <c r="K478">
        <f>IF($U478="","",INDEX(상세표[성명],$U478)&amp;"")</f>
        <v/>
      </c>
      <c r="L478">
        <f>IF($U478="","",INDEX(상세표[직위],$U478)&amp;"")</f>
        <v/>
      </c>
      <c r="M478">
        <f>IF($U478="","",IF(ISNUMBER(INDEX(상세표[근무일자],$U478)),TEXT(INDEX(상세표[근무일자],$U478),"yyyy-mm-dd"),INDEX(상세표[근무일자],$U478)&amp;""))</f>
        <v/>
      </c>
      <c r="N478">
        <f>IF($U478="","",IF(ISNUMBER(INDEX(상세표[시작],$U478)),TEXT(INDEX(상세표[시작],$U478),"yyyy-mm-dd hh:mm"),INDEX(상세표[시작],$U478)&amp;""))</f>
        <v/>
      </c>
      <c r="O478">
        <f>IF($U478="","",IF(ISNUMBER(INDEX(상세표[종료],$U478)),TEXT(INDEX(상세표[종료],$U478),"yyyy-mm-dd hh:mm"),INDEX(상세표[종료],$U478)&amp;""))</f>
        <v/>
      </c>
      <c r="P478" s="20">
        <f>IF($U478="","",INDEX(상세표[06~07시],$U478))</f>
        <v/>
      </c>
      <c r="Q478" s="20">
        <f>IF($U478="","",INDEX(상세표[07~18시],$U478))</f>
        <v/>
      </c>
      <c r="R478" s="20">
        <f>IF($U478="","",INDEX(상세표[18~22시],$U478))</f>
        <v/>
      </c>
      <c r="S478" s="20">
        <f>IF($U478="","",INDEX(상세표[22~06시],$U478))</f>
        <v/>
      </c>
      <c r="T478" s="20">
        <f>IF($U478="","",INDEX(상세표[기록 시간외],$U478))</f>
        <v/>
      </c>
      <c r="U478" s="4">
        <f>IFERROR(MATCH(473,상세표[발송순번],0),"")</f>
        <v/>
      </c>
    </row>
    <row r="479">
      <c r="J479">
        <f>IF($U479="","",INDEX(상세표[사번],$U479)&amp;"")</f>
        <v/>
      </c>
      <c r="K479">
        <f>IF($U479="","",INDEX(상세표[성명],$U479)&amp;"")</f>
        <v/>
      </c>
      <c r="L479">
        <f>IF($U479="","",INDEX(상세표[직위],$U479)&amp;"")</f>
        <v/>
      </c>
      <c r="M479">
        <f>IF($U479="","",IF(ISNUMBER(INDEX(상세표[근무일자],$U479)),TEXT(INDEX(상세표[근무일자],$U479),"yyyy-mm-dd"),INDEX(상세표[근무일자],$U479)&amp;""))</f>
        <v/>
      </c>
      <c r="N479">
        <f>IF($U479="","",IF(ISNUMBER(INDEX(상세표[시작],$U479)),TEXT(INDEX(상세표[시작],$U479),"yyyy-mm-dd hh:mm"),INDEX(상세표[시작],$U479)&amp;""))</f>
        <v/>
      </c>
      <c r="O479">
        <f>IF($U479="","",IF(ISNUMBER(INDEX(상세표[종료],$U479)),TEXT(INDEX(상세표[종료],$U479),"yyyy-mm-dd hh:mm"),INDEX(상세표[종료],$U479)&amp;""))</f>
        <v/>
      </c>
      <c r="P479" s="20">
        <f>IF($U479="","",INDEX(상세표[06~07시],$U479))</f>
        <v/>
      </c>
      <c r="Q479" s="20">
        <f>IF($U479="","",INDEX(상세표[07~18시],$U479))</f>
        <v/>
      </c>
      <c r="R479" s="20">
        <f>IF($U479="","",INDEX(상세표[18~22시],$U479))</f>
        <v/>
      </c>
      <c r="S479" s="20">
        <f>IF($U479="","",INDEX(상세표[22~06시],$U479))</f>
        <v/>
      </c>
      <c r="T479" s="20">
        <f>IF($U479="","",INDEX(상세표[기록 시간외],$U479))</f>
        <v/>
      </c>
      <c r="U479" s="4">
        <f>IFERROR(MATCH(474,상세표[발송순번],0),"")</f>
        <v/>
      </c>
    </row>
    <row r="480">
      <c r="J480">
        <f>IF($U480="","",INDEX(상세표[사번],$U480)&amp;"")</f>
        <v/>
      </c>
      <c r="K480">
        <f>IF($U480="","",INDEX(상세표[성명],$U480)&amp;"")</f>
        <v/>
      </c>
      <c r="L480">
        <f>IF($U480="","",INDEX(상세표[직위],$U480)&amp;"")</f>
        <v/>
      </c>
      <c r="M480">
        <f>IF($U480="","",IF(ISNUMBER(INDEX(상세표[근무일자],$U480)),TEXT(INDEX(상세표[근무일자],$U480),"yyyy-mm-dd"),INDEX(상세표[근무일자],$U480)&amp;""))</f>
        <v/>
      </c>
      <c r="N480">
        <f>IF($U480="","",IF(ISNUMBER(INDEX(상세표[시작],$U480)),TEXT(INDEX(상세표[시작],$U480),"yyyy-mm-dd hh:mm"),INDEX(상세표[시작],$U480)&amp;""))</f>
        <v/>
      </c>
      <c r="O480">
        <f>IF($U480="","",IF(ISNUMBER(INDEX(상세표[종료],$U480)),TEXT(INDEX(상세표[종료],$U480),"yyyy-mm-dd hh:mm"),INDEX(상세표[종료],$U480)&amp;""))</f>
        <v/>
      </c>
      <c r="P480" s="20">
        <f>IF($U480="","",INDEX(상세표[06~07시],$U480))</f>
        <v/>
      </c>
      <c r="Q480" s="20">
        <f>IF($U480="","",INDEX(상세표[07~18시],$U480))</f>
        <v/>
      </c>
      <c r="R480" s="20">
        <f>IF($U480="","",INDEX(상세표[18~22시],$U480))</f>
        <v/>
      </c>
      <c r="S480" s="20">
        <f>IF($U480="","",INDEX(상세표[22~06시],$U480))</f>
        <v/>
      </c>
      <c r="T480" s="20">
        <f>IF($U480="","",INDEX(상세표[기록 시간외],$U480))</f>
        <v/>
      </c>
      <c r="U480" s="4">
        <f>IFERROR(MATCH(475,상세표[발송순번],0),"")</f>
        <v/>
      </c>
    </row>
    <row r="481">
      <c r="J481">
        <f>IF($U481="","",INDEX(상세표[사번],$U481)&amp;"")</f>
        <v/>
      </c>
      <c r="K481">
        <f>IF($U481="","",INDEX(상세표[성명],$U481)&amp;"")</f>
        <v/>
      </c>
      <c r="L481">
        <f>IF($U481="","",INDEX(상세표[직위],$U481)&amp;"")</f>
        <v/>
      </c>
      <c r="M481">
        <f>IF($U481="","",IF(ISNUMBER(INDEX(상세표[근무일자],$U481)),TEXT(INDEX(상세표[근무일자],$U481),"yyyy-mm-dd"),INDEX(상세표[근무일자],$U481)&amp;""))</f>
        <v/>
      </c>
      <c r="N481">
        <f>IF($U481="","",IF(ISNUMBER(INDEX(상세표[시작],$U481)),TEXT(INDEX(상세표[시작],$U481),"yyyy-mm-dd hh:mm"),INDEX(상세표[시작],$U481)&amp;""))</f>
        <v/>
      </c>
      <c r="O481">
        <f>IF($U481="","",IF(ISNUMBER(INDEX(상세표[종료],$U481)),TEXT(INDEX(상세표[종료],$U481),"yyyy-mm-dd hh:mm"),INDEX(상세표[종료],$U481)&amp;""))</f>
        <v/>
      </c>
      <c r="P481" s="20">
        <f>IF($U481="","",INDEX(상세표[06~07시],$U481))</f>
        <v/>
      </c>
      <c r="Q481" s="20">
        <f>IF($U481="","",INDEX(상세표[07~18시],$U481))</f>
        <v/>
      </c>
      <c r="R481" s="20">
        <f>IF($U481="","",INDEX(상세표[18~22시],$U481))</f>
        <v/>
      </c>
      <c r="S481" s="20">
        <f>IF($U481="","",INDEX(상세표[22~06시],$U481))</f>
        <v/>
      </c>
      <c r="T481" s="20">
        <f>IF($U481="","",INDEX(상세표[기록 시간외],$U481))</f>
        <v/>
      </c>
      <c r="U481" s="4">
        <f>IFERROR(MATCH(476,상세표[발송순번],0),"")</f>
        <v/>
      </c>
    </row>
    <row r="482">
      <c r="J482">
        <f>IF($U482="","",INDEX(상세표[사번],$U482)&amp;"")</f>
        <v/>
      </c>
      <c r="K482">
        <f>IF($U482="","",INDEX(상세표[성명],$U482)&amp;"")</f>
        <v/>
      </c>
      <c r="L482">
        <f>IF($U482="","",INDEX(상세표[직위],$U482)&amp;"")</f>
        <v/>
      </c>
      <c r="M482">
        <f>IF($U482="","",IF(ISNUMBER(INDEX(상세표[근무일자],$U482)),TEXT(INDEX(상세표[근무일자],$U482),"yyyy-mm-dd"),INDEX(상세표[근무일자],$U482)&amp;""))</f>
        <v/>
      </c>
      <c r="N482">
        <f>IF($U482="","",IF(ISNUMBER(INDEX(상세표[시작],$U482)),TEXT(INDEX(상세표[시작],$U482),"yyyy-mm-dd hh:mm"),INDEX(상세표[시작],$U482)&amp;""))</f>
        <v/>
      </c>
      <c r="O482">
        <f>IF($U482="","",IF(ISNUMBER(INDEX(상세표[종료],$U482)),TEXT(INDEX(상세표[종료],$U482),"yyyy-mm-dd hh:mm"),INDEX(상세표[종료],$U482)&amp;""))</f>
        <v/>
      </c>
      <c r="P482" s="20">
        <f>IF($U482="","",INDEX(상세표[06~07시],$U482))</f>
        <v/>
      </c>
      <c r="Q482" s="20">
        <f>IF($U482="","",INDEX(상세표[07~18시],$U482))</f>
        <v/>
      </c>
      <c r="R482" s="20">
        <f>IF($U482="","",INDEX(상세표[18~22시],$U482))</f>
        <v/>
      </c>
      <c r="S482" s="20">
        <f>IF($U482="","",INDEX(상세표[22~06시],$U482))</f>
        <v/>
      </c>
      <c r="T482" s="20">
        <f>IF($U482="","",INDEX(상세표[기록 시간외],$U482))</f>
        <v/>
      </c>
      <c r="U482" s="4">
        <f>IFERROR(MATCH(477,상세표[발송순번],0),"")</f>
        <v/>
      </c>
    </row>
    <row r="483">
      <c r="J483">
        <f>IF($U483="","",INDEX(상세표[사번],$U483)&amp;"")</f>
        <v/>
      </c>
      <c r="K483">
        <f>IF($U483="","",INDEX(상세표[성명],$U483)&amp;"")</f>
        <v/>
      </c>
      <c r="L483">
        <f>IF($U483="","",INDEX(상세표[직위],$U483)&amp;"")</f>
        <v/>
      </c>
      <c r="M483">
        <f>IF($U483="","",IF(ISNUMBER(INDEX(상세표[근무일자],$U483)),TEXT(INDEX(상세표[근무일자],$U483),"yyyy-mm-dd"),INDEX(상세표[근무일자],$U483)&amp;""))</f>
        <v/>
      </c>
      <c r="N483">
        <f>IF($U483="","",IF(ISNUMBER(INDEX(상세표[시작],$U483)),TEXT(INDEX(상세표[시작],$U483),"yyyy-mm-dd hh:mm"),INDEX(상세표[시작],$U483)&amp;""))</f>
        <v/>
      </c>
      <c r="O483">
        <f>IF($U483="","",IF(ISNUMBER(INDEX(상세표[종료],$U483)),TEXT(INDEX(상세표[종료],$U483),"yyyy-mm-dd hh:mm"),INDEX(상세표[종료],$U483)&amp;""))</f>
        <v/>
      </c>
      <c r="P483" s="20">
        <f>IF($U483="","",INDEX(상세표[06~07시],$U483))</f>
        <v/>
      </c>
      <c r="Q483" s="20">
        <f>IF($U483="","",INDEX(상세표[07~18시],$U483))</f>
        <v/>
      </c>
      <c r="R483" s="20">
        <f>IF($U483="","",INDEX(상세표[18~22시],$U483))</f>
        <v/>
      </c>
      <c r="S483" s="20">
        <f>IF($U483="","",INDEX(상세표[22~06시],$U483))</f>
        <v/>
      </c>
      <c r="T483" s="20">
        <f>IF($U483="","",INDEX(상세표[기록 시간외],$U483))</f>
        <v/>
      </c>
      <c r="U483" s="4">
        <f>IFERROR(MATCH(478,상세표[발송순번],0),"")</f>
        <v/>
      </c>
    </row>
    <row r="484">
      <c r="J484">
        <f>IF($U484="","",INDEX(상세표[사번],$U484)&amp;"")</f>
        <v/>
      </c>
      <c r="K484">
        <f>IF($U484="","",INDEX(상세표[성명],$U484)&amp;"")</f>
        <v/>
      </c>
      <c r="L484">
        <f>IF($U484="","",INDEX(상세표[직위],$U484)&amp;"")</f>
        <v/>
      </c>
      <c r="M484">
        <f>IF($U484="","",IF(ISNUMBER(INDEX(상세표[근무일자],$U484)),TEXT(INDEX(상세표[근무일자],$U484),"yyyy-mm-dd"),INDEX(상세표[근무일자],$U484)&amp;""))</f>
        <v/>
      </c>
      <c r="N484">
        <f>IF($U484="","",IF(ISNUMBER(INDEX(상세표[시작],$U484)),TEXT(INDEX(상세표[시작],$U484),"yyyy-mm-dd hh:mm"),INDEX(상세표[시작],$U484)&amp;""))</f>
        <v/>
      </c>
      <c r="O484">
        <f>IF($U484="","",IF(ISNUMBER(INDEX(상세표[종료],$U484)),TEXT(INDEX(상세표[종료],$U484),"yyyy-mm-dd hh:mm"),INDEX(상세표[종료],$U484)&amp;""))</f>
        <v/>
      </c>
      <c r="P484" s="20">
        <f>IF($U484="","",INDEX(상세표[06~07시],$U484))</f>
        <v/>
      </c>
      <c r="Q484" s="20">
        <f>IF($U484="","",INDEX(상세표[07~18시],$U484))</f>
        <v/>
      </c>
      <c r="R484" s="20">
        <f>IF($U484="","",INDEX(상세표[18~22시],$U484))</f>
        <v/>
      </c>
      <c r="S484" s="20">
        <f>IF($U484="","",INDEX(상세표[22~06시],$U484))</f>
        <v/>
      </c>
      <c r="T484" s="20">
        <f>IF($U484="","",INDEX(상세표[기록 시간외],$U484))</f>
        <v/>
      </c>
      <c r="U484" s="4">
        <f>IFERROR(MATCH(479,상세표[발송순번],0),"")</f>
        <v/>
      </c>
    </row>
    <row r="485">
      <c r="J485">
        <f>IF($U485="","",INDEX(상세표[사번],$U485)&amp;"")</f>
        <v/>
      </c>
      <c r="K485">
        <f>IF($U485="","",INDEX(상세표[성명],$U485)&amp;"")</f>
        <v/>
      </c>
      <c r="L485">
        <f>IF($U485="","",INDEX(상세표[직위],$U485)&amp;"")</f>
        <v/>
      </c>
      <c r="M485">
        <f>IF($U485="","",IF(ISNUMBER(INDEX(상세표[근무일자],$U485)),TEXT(INDEX(상세표[근무일자],$U485),"yyyy-mm-dd"),INDEX(상세표[근무일자],$U485)&amp;""))</f>
        <v/>
      </c>
      <c r="N485">
        <f>IF($U485="","",IF(ISNUMBER(INDEX(상세표[시작],$U485)),TEXT(INDEX(상세표[시작],$U485),"yyyy-mm-dd hh:mm"),INDEX(상세표[시작],$U485)&amp;""))</f>
        <v/>
      </c>
      <c r="O485">
        <f>IF($U485="","",IF(ISNUMBER(INDEX(상세표[종료],$U485)),TEXT(INDEX(상세표[종료],$U485),"yyyy-mm-dd hh:mm"),INDEX(상세표[종료],$U485)&amp;""))</f>
        <v/>
      </c>
      <c r="P485" s="20">
        <f>IF($U485="","",INDEX(상세표[06~07시],$U485))</f>
        <v/>
      </c>
      <c r="Q485" s="20">
        <f>IF($U485="","",INDEX(상세표[07~18시],$U485))</f>
        <v/>
      </c>
      <c r="R485" s="20">
        <f>IF($U485="","",INDEX(상세표[18~22시],$U485))</f>
        <v/>
      </c>
      <c r="S485" s="20">
        <f>IF($U485="","",INDEX(상세표[22~06시],$U485))</f>
        <v/>
      </c>
      <c r="T485" s="20">
        <f>IF($U485="","",INDEX(상세표[기록 시간외],$U485))</f>
        <v/>
      </c>
      <c r="U485" s="4">
        <f>IFERROR(MATCH(480,상세표[발송순번],0),"")</f>
        <v/>
      </c>
    </row>
    <row r="486">
      <c r="J486">
        <f>IF($U486="","",INDEX(상세표[사번],$U486)&amp;"")</f>
        <v/>
      </c>
      <c r="K486">
        <f>IF($U486="","",INDEX(상세표[성명],$U486)&amp;"")</f>
        <v/>
      </c>
      <c r="L486">
        <f>IF($U486="","",INDEX(상세표[직위],$U486)&amp;"")</f>
        <v/>
      </c>
      <c r="M486">
        <f>IF($U486="","",IF(ISNUMBER(INDEX(상세표[근무일자],$U486)),TEXT(INDEX(상세표[근무일자],$U486),"yyyy-mm-dd"),INDEX(상세표[근무일자],$U486)&amp;""))</f>
        <v/>
      </c>
      <c r="N486">
        <f>IF($U486="","",IF(ISNUMBER(INDEX(상세표[시작],$U486)),TEXT(INDEX(상세표[시작],$U486),"yyyy-mm-dd hh:mm"),INDEX(상세표[시작],$U486)&amp;""))</f>
        <v/>
      </c>
      <c r="O486">
        <f>IF($U486="","",IF(ISNUMBER(INDEX(상세표[종료],$U486)),TEXT(INDEX(상세표[종료],$U486),"yyyy-mm-dd hh:mm"),INDEX(상세표[종료],$U486)&amp;""))</f>
        <v/>
      </c>
      <c r="P486" s="20">
        <f>IF($U486="","",INDEX(상세표[06~07시],$U486))</f>
        <v/>
      </c>
      <c r="Q486" s="20">
        <f>IF($U486="","",INDEX(상세표[07~18시],$U486))</f>
        <v/>
      </c>
      <c r="R486" s="20">
        <f>IF($U486="","",INDEX(상세표[18~22시],$U486))</f>
        <v/>
      </c>
      <c r="S486" s="20">
        <f>IF($U486="","",INDEX(상세표[22~06시],$U486))</f>
        <v/>
      </c>
      <c r="T486" s="20">
        <f>IF($U486="","",INDEX(상세표[기록 시간외],$U486))</f>
        <v/>
      </c>
      <c r="U486" s="4">
        <f>IFERROR(MATCH(481,상세표[발송순번],0),"")</f>
        <v/>
      </c>
    </row>
    <row r="487">
      <c r="J487">
        <f>IF($U487="","",INDEX(상세표[사번],$U487)&amp;"")</f>
        <v/>
      </c>
      <c r="K487">
        <f>IF($U487="","",INDEX(상세표[성명],$U487)&amp;"")</f>
        <v/>
      </c>
      <c r="L487">
        <f>IF($U487="","",INDEX(상세표[직위],$U487)&amp;"")</f>
        <v/>
      </c>
      <c r="M487">
        <f>IF($U487="","",IF(ISNUMBER(INDEX(상세표[근무일자],$U487)),TEXT(INDEX(상세표[근무일자],$U487),"yyyy-mm-dd"),INDEX(상세표[근무일자],$U487)&amp;""))</f>
        <v/>
      </c>
      <c r="N487">
        <f>IF($U487="","",IF(ISNUMBER(INDEX(상세표[시작],$U487)),TEXT(INDEX(상세표[시작],$U487),"yyyy-mm-dd hh:mm"),INDEX(상세표[시작],$U487)&amp;""))</f>
        <v/>
      </c>
      <c r="O487">
        <f>IF($U487="","",IF(ISNUMBER(INDEX(상세표[종료],$U487)),TEXT(INDEX(상세표[종료],$U487),"yyyy-mm-dd hh:mm"),INDEX(상세표[종료],$U487)&amp;""))</f>
        <v/>
      </c>
      <c r="P487" s="20">
        <f>IF($U487="","",INDEX(상세표[06~07시],$U487))</f>
        <v/>
      </c>
      <c r="Q487" s="20">
        <f>IF($U487="","",INDEX(상세표[07~18시],$U487))</f>
        <v/>
      </c>
      <c r="R487" s="20">
        <f>IF($U487="","",INDEX(상세표[18~22시],$U487))</f>
        <v/>
      </c>
      <c r="S487" s="20">
        <f>IF($U487="","",INDEX(상세표[22~06시],$U487))</f>
        <v/>
      </c>
      <c r="T487" s="20">
        <f>IF($U487="","",INDEX(상세표[기록 시간외],$U487))</f>
        <v/>
      </c>
      <c r="U487" s="4">
        <f>IFERROR(MATCH(482,상세표[발송순번],0),"")</f>
        <v/>
      </c>
    </row>
    <row r="488">
      <c r="J488">
        <f>IF($U488="","",INDEX(상세표[사번],$U488)&amp;"")</f>
        <v/>
      </c>
      <c r="K488">
        <f>IF($U488="","",INDEX(상세표[성명],$U488)&amp;"")</f>
        <v/>
      </c>
      <c r="L488">
        <f>IF($U488="","",INDEX(상세표[직위],$U488)&amp;"")</f>
        <v/>
      </c>
      <c r="M488">
        <f>IF($U488="","",IF(ISNUMBER(INDEX(상세표[근무일자],$U488)),TEXT(INDEX(상세표[근무일자],$U488),"yyyy-mm-dd"),INDEX(상세표[근무일자],$U488)&amp;""))</f>
        <v/>
      </c>
      <c r="N488">
        <f>IF($U488="","",IF(ISNUMBER(INDEX(상세표[시작],$U488)),TEXT(INDEX(상세표[시작],$U488),"yyyy-mm-dd hh:mm"),INDEX(상세표[시작],$U488)&amp;""))</f>
        <v/>
      </c>
      <c r="O488">
        <f>IF($U488="","",IF(ISNUMBER(INDEX(상세표[종료],$U488)),TEXT(INDEX(상세표[종료],$U488),"yyyy-mm-dd hh:mm"),INDEX(상세표[종료],$U488)&amp;""))</f>
        <v/>
      </c>
      <c r="P488" s="20">
        <f>IF($U488="","",INDEX(상세표[06~07시],$U488))</f>
        <v/>
      </c>
      <c r="Q488" s="20">
        <f>IF($U488="","",INDEX(상세표[07~18시],$U488))</f>
        <v/>
      </c>
      <c r="R488" s="20">
        <f>IF($U488="","",INDEX(상세표[18~22시],$U488))</f>
        <v/>
      </c>
      <c r="S488" s="20">
        <f>IF($U488="","",INDEX(상세표[22~06시],$U488))</f>
        <v/>
      </c>
      <c r="T488" s="20">
        <f>IF($U488="","",INDEX(상세표[기록 시간외],$U488))</f>
        <v/>
      </c>
      <c r="U488" s="4">
        <f>IFERROR(MATCH(483,상세표[발송순번],0),"")</f>
        <v/>
      </c>
    </row>
    <row r="489">
      <c r="J489">
        <f>IF($U489="","",INDEX(상세표[사번],$U489)&amp;"")</f>
        <v/>
      </c>
      <c r="K489">
        <f>IF($U489="","",INDEX(상세표[성명],$U489)&amp;"")</f>
        <v/>
      </c>
      <c r="L489">
        <f>IF($U489="","",INDEX(상세표[직위],$U489)&amp;"")</f>
        <v/>
      </c>
      <c r="M489">
        <f>IF($U489="","",IF(ISNUMBER(INDEX(상세표[근무일자],$U489)),TEXT(INDEX(상세표[근무일자],$U489),"yyyy-mm-dd"),INDEX(상세표[근무일자],$U489)&amp;""))</f>
        <v/>
      </c>
      <c r="N489">
        <f>IF($U489="","",IF(ISNUMBER(INDEX(상세표[시작],$U489)),TEXT(INDEX(상세표[시작],$U489),"yyyy-mm-dd hh:mm"),INDEX(상세표[시작],$U489)&amp;""))</f>
        <v/>
      </c>
      <c r="O489">
        <f>IF($U489="","",IF(ISNUMBER(INDEX(상세표[종료],$U489)),TEXT(INDEX(상세표[종료],$U489),"yyyy-mm-dd hh:mm"),INDEX(상세표[종료],$U489)&amp;""))</f>
        <v/>
      </c>
      <c r="P489" s="20">
        <f>IF($U489="","",INDEX(상세표[06~07시],$U489))</f>
        <v/>
      </c>
      <c r="Q489" s="20">
        <f>IF($U489="","",INDEX(상세표[07~18시],$U489))</f>
        <v/>
      </c>
      <c r="R489" s="20">
        <f>IF($U489="","",INDEX(상세표[18~22시],$U489))</f>
        <v/>
      </c>
      <c r="S489" s="20">
        <f>IF($U489="","",INDEX(상세표[22~06시],$U489))</f>
        <v/>
      </c>
      <c r="T489" s="20">
        <f>IF($U489="","",INDEX(상세표[기록 시간외],$U489))</f>
        <v/>
      </c>
      <c r="U489" s="4">
        <f>IFERROR(MATCH(484,상세표[발송순번],0),"")</f>
        <v/>
      </c>
    </row>
    <row r="490">
      <c r="J490">
        <f>IF($U490="","",INDEX(상세표[사번],$U490)&amp;"")</f>
        <v/>
      </c>
      <c r="K490">
        <f>IF($U490="","",INDEX(상세표[성명],$U490)&amp;"")</f>
        <v/>
      </c>
      <c r="L490">
        <f>IF($U490="","",INDEX(상세표[직위],$U490)&amp;"")</f>
        <v/>
      </c>
      <c r="M490">
        <f>IF($U490="","",IF(ISNUMBER(INDEX(상세표[근무일자],$U490)),TEXT(INDEX(상세표[근무일자],$U490),"yyyy-mm-dd"),INDEX(상세표[근무일자],$U490)&amp;""))</f>
        <v/>
      </c>
      <c r="N490">
        <f>IF($U490="","",IF(ISNUMBER(INDEX(상세표[시작],$U490)),TEXT(INDEX(상세표[시작],$U490),"yyyy-mm-dd hh:mm"),INDEX(상세표[시작],$U490)&amp;""))</f>
        <v/>
      </c>
      <c r="O490">
        <f>IF($U490="","",IF(ISNUMBER(INDEX(상세표[종료],$U490)),TEXT(INDEX(상세표[종료],$U490),"yyyy-mm-dd hh:mm"),INDEX(상세표[종료],$U490)&amp;""))</f>
        <v/>
      </c>
      <c r="P490" s="20">
        <f>IF($U490="","",INDEX(상세표[06~07시],$U490))</f>
        <v/>
      </c>
      <c r="Q490" s="20">
        <f>IF($U490="","",INDEX(상세표[07~18시],$U490))</f>
        <v/>
      </c>
      <c r="R490" s="20">
        <f>IF($U490="","",INDEX(상세표[18~22시],$U490))</f>
        <v/>
      </c>
      <c r="S490" s="20">
        <f>IF($U490="","",INDEX(상세표[22~06시],$U490))</f>
        <v/>
      </c>
      <c r="T490" s="20">
        <f>IF($U490="","",INDEX(상세표[기록 시간외],$U490))</f>
        <v/>
      </c>
      <c r="U490" s="4">
        <f>IFERROR(MATCH(485,상세표[발송순번],0),"")</f>
        <v/>
      </c>
    </row>
    <row r="491">
      <c r="J491">
        <f>IF($U491="","",INDEX(상세표[사번],$U491)&amp;"")</f>
        <v/>
      </c>
      <c r="K491">
        <f>IF($U491="","",INDEX(상세표[성명],$U491)&amp;"")</f>
        <v/>
      </c>
      <c r="L491">
        <f>IF($U491="","",INDEX(상세표[직위],$U491)&amp;"")</f>
        <v/>
      </c>
      <c r="M491">
        <f>IF($U491="","",IF(ISNUMBER(INDEX(상세표[근무일자],$U491)),TEXT(INDEX(상세표[근무일자],$U491),"yyyy-mm-dd"),INDEX(상세표[근무일자],$U491)&amp;""))</f>
        <v/>
      </c>
      <c r="N491">
        <f>IF($U491="","",IF(ISNUMBER(INDEX(상세표[시작],$U491)),TEXT(INDEX(상세표[시작],$U491),"yyyy-mm-dd hh:mm"),INDEX(상세표[시작],$U491)&amp;""))</f>
        <v/>
      </c>
      <c r="O491">
        <f>IF($U491="","",IF(ISNUMBER(INDEX(상세표[종료],$U491)),TEXT(INDEX(상세표[종료],$U491),"yyyy-mm-dd hh:mm"),INDEX(상세표[종료],$U491)&amp;""))</f>
        <v/>
      </c>
      <c r="P491" s="20">
        <f>IF($U491="","",INDEX(상세표[06~07시],$U491))</f>
        <v/>
      </c>
      <c r="Q491" s="20">
        <f>IF($U491="","",INDEX(상세표[07~18시],$U491))</f>
        <v/>
      </c>
      <c r="R491" s="20">
        <f>IF($U491="","",INDEX(상세표[18~22시],$U491))</f>
        <v/>
      </c>
      <c r="S491" s="20">
        <f>IF($U491="","",INDEX(상세표[22~06시],$U491))</f>
        <v/>
      </c>
      <c r="T491" s="20">
        <f>IF($U491="","",INDEX(상세표[기록 시간외],$U491))</f>
        <v/>
      </c>
      <c r="U491" s="4">
        <f>IFERROR(MATCH(486,상세표[발송순번],0),"")</f>
        <v/>
      </c>
    </row>
    <row r="492">
      <c r="J492">
        <f>IF($U492="","",INDEX(상세표[사번],$U492)&amp;"")</f>
        <v/>
      </c>
      <c r="K492">
        <f>IF($U492="","",INDEX(상세표[성명],$U492)&amp;"")</f>
        <v/>
      </c>
      <c r="L492">
        <f>IF($U492="","",INDEX(상세표[직위],$U492)&amp;"")</f>
        <v/>
      </c>
      <c r="M492">
        <f>IF($U492="","",IF(ISNUMBER(INDEX(상세표[근무일자],$U492)),TEXT(INDEX(상세표[근무일자],$U492),"yyyy-mm-dd"),INDEX(상세표[근무일자],$U492)&amp;""))</f>
        <v/>
      </c>
      <c r="N492">
        <f>IF($U492="","",IF(ISNUMBER(INDEX(상세표[시작],$U492)),TEXT(INDEX(상세표[시작],$U492),"yyyy-mm-dd hh:mm"),INDEX(상세표[시작],$U492)&amp;""))</f>
        <v/>
      </c>
      <c r="O492">
        <f>IF($U492="","",IF(ISNUMBER(INDEX(상세표[종료],$U492)),TEXT(INDEX(상세표[종료],$U492),"yyyy-mm-dd hh:mm"),INDEX(상세표[종료],$U492)&amp;""))</f>
        <v/>
      </c>
      <c r="P492" s="20">
        <f>IF($U492="","",INDEX(상세표[06~07시],$U492))</f>
        <v/>
      </c>
      <c r="Q492" s="20">
        <f>IF($U492="","",INDEX(상세표[07~18시],$U492))</f>
        <v/>
      </c>
      <c r="R492" s="20">
        <f>IF($U492="","",INDEX(상세표[18~22시],$U492))</f>
        <v/>
      </c>
      <c r="S492" s="20">
        <f>IF($U492="","",INDEX(상세표[22~06시],$U492))</f>
        <v/>
      </c>
      <c r="T492" s="20">
        <f>IF($U492="","",INDEX(상세표[기록 시간외],$U492))</f>
        <v/>
      </c>
      <c r="U492" s="4">
        <f>IFERROR(MATCH(487,상세표[발송순번],0),"")</f>
        <v/>
      </c>
    </row>
    <row r="493">
      <c r="J493">
        <f>IF($U493="","",INDEX(상세표[사번],$U493)&amp;"")</f>
        <v/>
      </c>
      <c r="K493">
        <f>IF($U493="","",INDEX(상세표[성명],$U493)&amp;"")</f>
        <v/>
      </c>
      <c r="L493">
        <f>IF($U493="","",INDEX(상세표[직위],$U493)&amp;"")</f>
        <v/>
      </c>
      <c r="M493">
        <f>IF($U493="","",IF(ISNUMBER(INDEX(상세표[근무일자],$U493)),TEXT(INDEX(상세표[근무일자],$U493),"yyyy-mm-dd"),INDEX(상세표[근무일자],$U493)&amp;""))</f>
        <v/>
      </c>
      <c r="N493">
        <f>IF($U493="","",IF(ISNUMBER(INDEX(상세표[시작],$U493)),TEXT(INDEX(상세표[시작],$U493),"yyyy-mm-dd hh:mm"),INDEX(상세표[시작],$U493)&amp;""))</f>
        <v/>
      </c>
      <c r="O493">
        <f>IF($U493="","",IF(ISNUMBER(INDEX(상세표[종료],$U493)),TEXT(INDEX(상세표[종료],$U493),"yyyy-mm-dd hh:mm"),INDEX(상세표[종료],$U493)&amp;""))</f>
        <v/>
      </c>
      <c r="P493" s="20">
        <f>IF($U493="","",INDEX(상세표[06~07시],$U493))</f>
        <v/>
      </c>
      <c r="Q493" s="20">
        <f>IF($U493="","",INDEX(상세표[07~18시],$U493))</f>
        <v/>
      </c>
      <c r="R493" s="20">
        <f>IF($U493="","",INDEX(상세표[18~22시],$U493))</f>
        <v/>
      </c>
      <c r="S493" s="20">
        <f>IF($U493="","",INDEX(상세표[22~06시],$U493))</f>
        <v/>
      </c>
      <c r="T493" s="20">
        <f>IF($U493="","",INDEX(상세표[기록 시간외],$U493))</f>
        <v/>
      </c>
      <c r="U493" s="4">
        <f>IFERROR(MATCH(488,상세표[발송순번],0),"")</f>
        <v/>
      </c>
    </row>
    <row r="494">
      <c r="J494">
        <f>IF($U494="","",INDEX(상세표[사번],$U494)&amp;"")</f>
        <v/>
      </c>
      <c r="K494">
        <f>IF($U494="","",INDEX(상세표[성명],$U494)&amp;"")</f>
        <v/>
      </c>
      <c r="L494">
        <f>IF($U494="","",INDEX(상세표[직위],$U494)&amp;"")</f>
        <v/>
      </c>
      <c r="M494">
        <f>IF($U494="","",IF(ISNUMBER(INDEX(상세표[근무일자],$U494)),TEXT(INDEX(상세표[근무일자],$U494),"yyyy-mm-dd"),INDEX(상세표[근무일자],$U494)&amp;""))</f>
        <v/>
      </c>
      <c r="N494">
        <f>IF($U494="","",IF(ISNUMBER(INDEX(상세표[시작],$U494)),TEXT(INDEX(상세표[시작],$U494),"yyyy-mm-dd hh:mm"),INDEX(상세표[시작],$U494)&amp;""))</f>
        <v/>
      </c>
      <c r="O494">
        <f>IF($U494="","",IF(ISNUMBER(INDEX(상세표[종료],$U494)),TEXT(INDEX(상세표[종료],$U494),"yyyy-mm-dd hh:mm"),INDEX(상세표[종료],$U494)&amp;""))</f>
        <v/>
      </c>
      <c r="P494" s="20">
        <f>IF($U494="","",INDEX(상세표[06~07시],$U494))</f>
        <v/>
      </c>
      <c r="Q494" s="20">
        <f>IF($U494="","",INDEX(상세표[07~18시],$U494))</f>
        <v/>
      </c>
      <c r="R494" s="20">
        <f>IF($U494="","",INDEX(상세표[18~22시],$U494))</f>
        <v/>
      </c>
      <c r="S494" s="20">
        <f>IF($U494="","",INDEX(상세표[22~06시],$U494))</f>
        <v/>
      </c>
      <c r="T494" s="20">
        <f>IF($U494="","",INDEX(상세표[기록 시간외],$U494))</f>
        <v/>
      </c>
      <c r="U494" s="4">
        <f>IFERROR(MATCH(489,상세표[발송순번],0),"")</f>
        <v/>
      </c>
    </row>
    <row r="495">
      <c r="J495">
        <f>IF($U495="","",INDEX(상세표[사번],$U495)&amp;"")</f>
        <v/>
      </c>
      <c r="K495">
        <f>IF($U495="","",INDEX(상세표[성명],$U495)&amp;"")</f>
        <v/>
      </c>
      <c r="L495">
        <f>IF($U495="","",INDEX(상세표[직위],$U495)&amp;"")</f>
        <v/>
      </c>
      <c r="M495">
        <f>IF($U495="","",IF(ISNUMBER(INDEX(상세표[근무일자],$U495)),TEXT(INDEX(상세표[근무일자],$U495),"yyyy-mm-dd"),INDEX(상세표[근무일자],$U495)&amp;""))</f>
        <v/>
      </c>
      <c r="N495">
        <f>IF($U495="","",IF(ISNUMBER(INDEX(상세표[시작],$U495)),TEXT(INDEX(상세표[시작],$U495),"yyyy-mm-dd hh:mm"),INDEX(상세표[시작],$U495)&amp;""))</f>
        <v/>
      </c>
      <c r="O495">
        <f>IF($U495="","",IF(ISNUMBER(INDEX(상세표[종료],$U495)),TEXT(INDEX(상세표[종료],$U495),"yyyy-mm-dd hh:mm"),INDEX(상세표[종료],$U495)&amp;""))</f>
        <v/>
      </c>
      <c r="P495" s="20">
        <f>IF($U495="","",INDEX(상세표[06~07시],$U495))</f>
        <v/>
      </c>
      <c r="Q495" s="20">
        <f>IF($U495="","",INDEX(상세표[07~18시],$U495))</f>
        <v/>
      </c>
      <c r="R495" s="20">
        <f>IF($U495="","",INDEX(상세표[18~22시],$U495))</f>
        <v/>
      </c>
      <c r="S495" s="20">
        <f>IF($U495="","",INDEX(상세표[22~06시],$U495))</f>
        <v/>
      </c>
      <c r="T495" s="20">
        <f>IF($U495="","",INDEX(상세표[기록 시간외],$U495))</f>
        <v/>
      </c>
      <c r="U495" s="4">
        <f>IFERROR(MATCH(490,상세표[발송순번],0),"")</f>
        <v/>
      </c>
    </row>
    <row r="496">
      <c r="J496">
        <f>IF($U496="","",INDEX(상세표[사번],$U496)&amp;"")</f>
        <v/>
      </c>
      <c r="K496">
        <f>IF($U496="","",INDEX(상세표[성명],$U496)&amp;"")</f>
        <v/>
      </c>
      <c r="L496">
        <f>IF($U496="","",INDEX(상세표[직위],$U496)&amp;"")</f>
        <v/>
      </c>
      <c r="M496">
        <f>IF($U496="","",IF(ISNUMBER(INDEX(상세표[근무일자],$U496)),TEXT(INDEX(상세표[근무일자],$U496),"yyyy-mm-dd"),INDEX(상세표[근무일자],$U496)&amp;""))</f>
        <v/>
      </c>
      <c r="N496">
        <f>IF($U496="","",IF(ISNUMBER(INDEX(상세표[시작],$U496)),TEXT(INDEX(상세표[시작],$U496),"yyyy-mm-dd hh:mm"),INDEX(상세표[시작],$U496)&amp;""))</f>
        <v/>
      </c>
      <c r="O496">
        <f>IF($U496="","",IF(ISNUMBER(INDEX(상세표[종료],$U496)),TEXT(INDEX(상세표[종료],$U496),"yyyy-mm-dd hh:mm"),INDEX(상세표[종료],$U496)&amp;""))</f>
        <v/>
      </c>
      <c r="P496" s="20">
        <f>IF($U496="","",INDEX(상세표[06~07시],$U496))</f>
        <v/>
      </c>
      <c r="Q496" s="20">
        <f>IF($U496="","",INDEX(상세표[07~18시],$U496))</f>
        <v/>
      </c>
      <c r="R496" s="20">
        <f>IF($U496="","",INDEX(상세표[18~22시],$U496))</f>
        <v/>
      </c>
      <c r="S496" s="20">
        <f>IF($U496="","",INDEX(상세표[22~06시],$U496))</f>
        <v/>
      </c>
      <c r="T496" s="20">
        <f>IF($U496="","",INDEX(상세표[기록 시간외],$U496))</f>
        <v/>
      </c>
      <c r="U496" s="4">
        <f>IFERROR(MATCH(491,상세표[발송순번],0),"")</f>
        <v/>
      </c>
    </row>
    <row r="497">
      <c r="J497">
        <f>IF($U497="","",INDEX(상세표[사번],$U497)&amp;"")</f>
        <v/>
      </c>
      <c r="K497">
        <f>IF($U497="","",INDEX(상세표[성명],$U497)&amp;"")</f>
        <v/>
      </c>
      <c r="L497">
        <f>IF($U497="","",INDEX(상세표[직위],$U497)&amp;"")</f>
        <v/>
      </c>
      <c r="M497">
        <f>IF($U497="","",IF(ISNUMBER(INDEX(상세표[근무일자],$U497)),TEXT(INDEX(상세표[근무일자],$U497),"yyyy-mm-dd"),INDEX(상세표[근무일자],$U497)&amp;""))</f>
        <v/>
      </c>
      <c r="N497">
        <f>IF($U497="","",IF(ISNUMBER(INDEX(상세표[시작],$U497)),TEXT(INDEX(상세표[시작],$U497),"yyyy-mm-dd hh:mm"),INDEX(상세표[시작],$U497)&amp;""))</f>
        <v/>
      </c>
      <c r="O497">
        <f>IF($U497="","",IF(ISNUMBER(INDEX(상세표[종료],$U497)),TEXT(INDEX(상세표[종료],$U497),"yyyy-mm-dd hh:mm"),INDEX(상세표[종료],$U497)&amp;""))</f>
        <v/>
      </c>
      <c r="P497" s="20">
        <f>IF($U497="","",INDEX(상세표[06~07시],$U497))</f>
        <v/>
      </c>
      <c r="Q497" s="20">
        <f>IF($U497="","",INDEX(상세표[07~18시],$U497))</f>
        <v/>
      </c>
      <c r="R497" s="20">
        <f>IF($U497="","",INDEX(상세표[18~22시],$U497))</f>
        <v/>
      </c>
      <c r="S497" s="20">
        <f>IF($U497="","",INDEX(상세표[22~06시],$U497))</f>
        <v/>
      </c>
      <c r="T497" s="20">
        <f>IF($U497="","",INDEX(상세표[기록 시간외],$U497))</f>
        <v/>
      </c>
      <c r="U497" s="4">
        <f>IFERROR(MATCH(492,상세표[발송순번],0),"")</f>
        <v/>
      </c>
    </row>
    <row r="498">
      <c r="J498">
        <f>IF($U498="","",INDEX(상세표[사번],$U498)&amp;"")</f>
        <v/>
      </c>
      <c r="K498">
        <f>IF($U498="","",INDEX(상세표[성명],$U498)&amp;"")</f>
        <v/>
      </c>
      <c r="L498">
        <f>IF($U498="","",INDEX(상세표[직위],$U498)&amp;"")</f>
        <v/>
      </c>
      <c r="M498">
        <f>IF($U498="","",IF(ISNUMBER(INDEX(상세표[근무일자],$U498)),TEXT(INDEX(상세표[근무일자],$U498),"yyyy-mm-dd"),INDEX(상세표[근무일자],$U498)&amp;""))</f>
        <v/>
      </c>
      <c r="N498">
        <f>IF($U498="","",IF(ISNUMBER(INDEX(상세표[시작],$U498)),TEXT(INDEX(상세표[시작],$U498),"yyyy-mm-dd hh:mm"),INDEX(상세표[시작],$U498)&amp;""))</f>
        <v/>
      </c>
      <c r="O498">
        <f>IF($U498="","",IF(ISNUMBER(INDEX(상세표[종료],$U498)),TEXT(INDEX(상세표[종료],$U498),"yyyy-mm-dd hh:mm"),INDEX(상세표[종료],$U498)&amp;""))</f>
        <v/>
      </c>
      <c r="P498" s="20">
        <f>IF($U498="","",INDEX(상세표[06~07시],$U498))</f>
        <v/>
      </c>
      <c r="Q498" s="20">
        <f>IF($U498="","",INDEX(상세표[07~18시],$U498))</f>
        <v/>
      </c>
      <c r="R498" s="20">
        <f>IF($U498="","",INDEX(상세표[18~22시],$U498))</f>
        <v/>
      </c>
      <c r="S498" s="20">
        <f>IF($U498="","",INDEX(상세표[22~06시],$U498))</f>
        <v/>
      </c>
      <c r="T498" s="20">
        <f>IF($U498="","",INDEX(상세표[기록 시간외],$U498))</f>
        <v/>
      </c>
      <c r="U498" s="4">
        <f>IFERROR(MATCH(493,상세표[발송순번],0),"")</f>
        <v/>
      </c>
    </row>
    <row r="499">
      <c r="J499">
        <f>IF($U499="","",INDEX(상세표[사번],$U499)&amp;"")</f>
        <v/>
      </c>
      <c r="K499">
        <f>IF($U499="","",INDEX(상세표[성명],$U499)&amp;"")</f>
        <v/>
      </c>
      <c r="L499">
        <f>IF($U499="","",INDEX(상세표[직위],$U499)&amp;"")</f>
        <v/>
      </c>
      <c r="M499">
        <f>IF($U499="","",IF(ISNUMBER(INDEX(상세표[근무일자],$U499)),TEXT(INDEX(상세표[근무일자],$U499),"yyyy-mm-dd"),INDEX(상세표[근무일자],$U499)&amp;""))</f>
        <v/>
      </c>
      <c r="N499">
        <f>IF($U499="","",IF(ISNUMBER(INDEX(상세표[시작],$U499)),TEXT(INDEX(상세표[시작],$U499),"yyyy-mm-dd hh:mm"),INDEX(상세표[시작],$U499)&amp;""))</f>
        <v/>
      </c>
      <c r="O499">
        <f>IF($U499="","",IF(ISNUMBER(INDEX(상세표[종료],$U499)),TEXT(INDEX(상세표[종료],$U499),"yyyy-mm-dd hh:mm"),INDEX(상세표[종료],$U499)&amp;""))</f>
        <v/>
      </c>
      <c r="P499" s="20">
        <f>IF($U499="","",INDEX(상세표[06~07시],$U499))</f>
        <v/>
      </c>
      <c r="Q499" s="20">
        <f>IF($U499="","",INDEX(상세표[07~18시],$U499))</f>
        <v/>
      </c>
      <c r="R499" s="20">
        <f>IF($U499="","",INDEX(상세표[18~22시],$U499))</f>
        <v/>
      </c>
      <c r="S499" s="20">
        <f>IF($U499="","",INDEX(상세표[22~06시],$U499))</f>
        <v/>
      </c>
      <c r="T499" s="20">
        <f>IF($U499="","",INDEX(상세표[기록 시간외],$U499))</f>
        <v/>
      </c>
      <c r="U499" s="4">
        <f>IFERROR(MATCH(494,상세표[발송순번],0),"")</f>
        <v/>
      </c>
    </row>
    <row r="500">
      <c r="J500">
        <f>IF($U500="","",INDEX(상세표[사번],$U500)&amp;"")</f>
        <v/>
      </c>
      <c r="K500">
        <f>IF($U500="","",INDEX(상세표[성명],$U500)&amp;"")</f>
        <v/>
      </c>
      <c r="L500">
        <f>IF($U500="","",INDEX(상세표[직위],$U500)&amp;"")</f>
        <v/>
      </c>
      <c r="M500">
        <f>IF($U500="","",IF(ISNUMBER(INDEX(상세표[근무일자],$U500)),TEXT(INDEX(상세표[근무일자],$U500),"yyyy-mm-dd"),INDEX(상세표[근무일자],$U500)&amp;""))</f>
        <v/>
      </c>
      <c r="N500">
        <f>IF($U500="","",IF(ISNUMBER(INDEX(상세표[시작],$U500)),TEXT(INDEX(상세표[시작],$U500),"yyyy-mm-dd hh:mm"),INDEX(상세표[시작],$U500)&amp;""))</f>
        <v/>
      </c>
      <c r="O500">
        <f>IF($U500="","",IF(ISNUMBER(INDEX(상세표[종료],$U500)),TEXT(INDEX(상세표[종료],$U500),"yyyy-mm-dd hh:mm"),INDEX(상세표[종료],$U500)&amp;""))</f>
        <v/>
      </c>
      <c r="P500" s="20">
        <f>IF($U500="","",INDEX(상세표[06~07시],$U500))</f>
        <v/>
      </c>
      <c r="Q500" s="20">
        <f>IF($U500="","",INDEX(상세표[07~18시],$U500))</f>
        <v/>
      </c>
      <c r="R500" s="20">
        <f>IF($U500="","",INDEX(상세표[18~22시],$U500))</f>
        <v/>
      </c>
      <c r="S500" s="20">
        <f>IF($U500="","",INDEX(상세표[22~06시],$U500))</f>
        <v/>
      </c>
      <c r="T500" s="20">
        <f>IF($U500="","",INDEX(상세표[기록 시간외],$U500))</f>
        <v/>
      </c>
      <c r="U500" s="4">
        <f>IFERROR(MATCH(495,상세표[발송순번],0),"")</f>
        <v/>
      </c>
    </row>
    <row r="501">
      <c r="J501">
        <f>IF($U501="","",INDEX(상세표[사번],$U501)&amp;"")</f>
        <v/>
      </c>
      <c r="K501">
        <f>IF($U501="","",INDEX(상세표[성명],$U501)&amp;"")</f>
        <v/>
      </c>
      <c r="L501">
        <f>IF($U501="","",INDEX(상세표[직위],$U501)&amp;"")</f>
        <v/>
      </c>
      <c r="M501">
        <f>IF($U501="","",IF(ISNUMBER(INDEX(상세표[근무일자],$U501)),TEXT(INDEX(상세표[근무일자],$U501),"yyyy-mm-dd"),INDEX(상세표[근무일자],$U501)&amp;""))</f>
        <v/>
      </c>
      <c r="N501">
        <f>IF($U501="","",IF(ISNUMBER(INDEX(상세표[시작],$U501)),TEXT(INDEX(상세표[시작],$U501),"yyyy-mm-dd hh:mm"),INDEX(상세표[시작],$U501)&amp;""))</f>
        <v/>
      </c>
      <c r="O501">
        <f>IF($U501="","",IF(ISNUMBER(INDEX(상세표[종료],$U501)),TEXT(INDEX(상세표[종료],$U501),"yyyy-mm-dd hh:mm"),INDEX(상세표[종료],$U501)&amp;""))</f>
        <v/>
      </c>
      <c r="P501" s="20">
        <f>IF($U501="","",INDEX(상세표[06~07시],$U501))</f>
        <v/>
      </c>
      <c r="Q501" s="20">
        <f>IF($U501="","",INDEX(상세표[07~18시],$U501))</f>
        <v/>
      </c>
      <c r="R501" s="20">
        <f>IF($U501="","",INDEX(상세표[18~22시],$U501))</f>
        <v/>
      </c>
      <c r="S501" s="20">
        <f>IF($U501="","",INDEX(상세표[22~06시],$U501))</f>
        <v/>
      </c>
      <c r="T501" s="20">
        <f>IF($U501="","",INDEX(상세표[기록 시간외],$U501))</f>
        <v/>
      </c>
      <c r="U501" s="4">
        <f>IFERROR(MATCH(496,상세표[발송순번],0),"")</f>
        <v/>
      </c>
    </row>
    <row r="502">
      <c r="J502">
        <f>IF($U502="","",INDEX(상세표[사번],$U502)&amp;"")</f>
        <v/>
      </c>
      <c r="K502">
        <f>IF($U502="","",INDEX(상세표[성명],$U502)&amp;"")</f>
        <v/>
      </c>
      <c r="L502">
        <f>IF($U502="","",INDEX(상세표[직위],$U502)&amp;"")</f>
        <v/>
      </c>
      <c r="M502">
        <f>IF($U502="","",IF(ISNUMBER(INDEX(상세표[근무일자],$U502)),TEXT(INDEX(상세표[근무일자],$U502),"yyyy-mm-dd"),INDEX(상세표[근무일자],$U502)&amp;""))</f>
        <v/>
      </c>
      <c r="N502">
        <f>IF($U502="","",IF(ISNUMBER(INDEX(상세표[시작],$U502)),TEXT(INDEX(상세표[시작],$U502),"yyyy-mm-dd hh:mm"),INDEX(상세표[시작],$U502)&amp;""))</f>
        <v/>
      </c>
      <c r="O502">
        <f>IF($U502="","",IF(ISNUMBER(INDEX(상세표[종료],$U502)),TEXT(INDEX(상세표[종료],$U502),"yyyy-mm-dd hh:mm"),INDEX(상세표[종료],$U502)&amp;""))</f>
        <v/>
      </c>
      <c r="P502" s="20">
        <f>IF($U502="","",INDEX(상세표[06~07시],$U502))</f>
        <v/>
      </c>
      <c r="Q502" s="20">
        <f>IF($U502="","",INDEX(상세표[07~18시],$U502))</f>
        <v/>
      </c>
      <c r="R502" s="20">
        <f>IF($U502="","",INDEX(상세표[18~22시],$U502))</f>
        <v/>
      </c>
      <c r="S502" s="20">
        <f>IF($U502="","",INDEX(상세표[22~06시],$U502))</f>
        <v/>
      </c>
      <c r="T502" s="20">
        <f>IF($U502="","",INDEX(상세표[기록 시간외],$U502))</f>
        <v/>
      </c>
      <c r="U502" s="4">
        <f>IFERROR(MATCH(497,상세표[발송순번],0),"")</f>
        <v/>
      </c>
    </row>
    <row r="503">
      <c r="J503">
        <f>IF($U503="","",INDEX(상세표[사번],$U503)&amp;"")</f>
        <v/>
      </c>
      <c r="K503">
        <f>IF($U503="","",INDEX(상세표[성명],$U503)&amp;"")</f>
        <v/>
      </c>
      <c r="L503">
        <f>IF($U503="","",INDEX(상세표[직위],$U503)&amp;"")</f>
        <v/>
      </c>
      <c r="M503">
        <f>IF($U503="","",IF(ISNUMBER(INDEX(상세표[근무일자],$U503)),TEXT(INDEX(상세표[근무일자],$U503),"yyyy-mm-dd"),INDEX(상세표[근무일자],$U503)&amp;""))</f>
        <v/>
      </c>
      <c r="N503">
        <f>IF($U503="","",IF(ISNUMBER(INDEX(상세표[시작],$U503)),TEXT(INDEX(상세표[시작],$U503),"yyyy-mm-dd hh:mm"),INDEX(상세표[시작],$U503)&amp;""))</f>
        <v/>
      </c>
      <c r="O503">
        <f>IF($U503="","",IF(ISNUMBER(INDEX(상세표[종료],$U503)),TEXT(INDEX(상세표[종료],$U503),"yyyy-mm-dd hh:mm"),INDEX(상세표[종료],$U503)&amp;""))</f>
        <v/>
      </c>
      <c r="P503" s="20">
        <f>IF($U503="","",INDEX(상세표[06~07시],$U503))</f>
        <v/>
      </c>
      <c r="Q503" s="20">
        <f>IF($U503="","",INDEX(상세표[07~18시],$U503))</f>
        <v/>
      </c>
      <c r="R503" s="20">
        <f>IF($U503="","",INDEX(상세표[18~22시],$U503))</f>
        <v/>
      </c>
      <c r="S503" s="20">
        <f>IF($U503="","",INDEX(상세표[22~06시],$U503))</f>
        <v/>
      </c>
      <c r="T503" s="20">
        <f>IF($U503="","",INDEX(상세표[기록 시간외],$U503))</f>
        <v/>
      </c>
      <c r="U503" s="4">
        <f>IFERROR(MATCH(498,상세표[발송순번],0),"")</f>
        <v/>
      </c>
    </row>
    <row r="504">
      <c r="J504">
        <f>IF($U504="","",INDEX(상세표[사번],$U504)&amp;"")</f>
        <v/>
      </c>
      <c r="K504">
        <f>IF($U504="","",INDEX(상세표[성명],$U504)&amp;"")</f>
        <v/>
      </c>
      <c r="L504">
        <f>IF($U504="","",INDEX(상세표[직위],$U504)&amp;"")</f>
        <v/>
      </c>
      <c r="M504">
        <f>IF($U504="","",IF(ISNUMBER(INDEX(상세표[근무일자],$U504)),TEXT(INDEX(상세표[근무일자],$U504),"yyyy-mm-dd"),INDEX(상세표[근무일자],$U504)&amp;""))</f>
        <v/>
      </c>
      <c r="N504">
        <f>IF($U504="","",IF(ISNUMBER(INDEX(상세표[시작],$U504)),TEXT(INDEX(상세표[시작],$U504),"yyyy-mm-dd hh:mm"),INDEX(상세표[시작],$U504)&amp;""))</f>
        <v/>
      </c>
      <c r="O504">
        <f>IF($U504="","",IF(ISNUMBER(INDEX(상세표[종료],$U504)),TEXT(INDEX(상세표[종료],$U504),"yyyy-mm-dd hh:mm"),INDEX(상세표[종료],$U504)&amp;""))</f>
        <v/>
      </c>
      <c r="P504" s="20">
        <f>IF($U504="","",INDEX(상세표[06~07시],$U504))</f>
        <v/>
      </c>
      <c r="Q504" s="20">
        <f>IF($U504="","",INDEX(상세표[07~18시],$U504))</f>
        <v/>
      </c>
      <c r="R504" s="20">
        <f>IF($U504="","",INDEX(상세표[18~22시],$U504))</f>
        <v/>
      </c>
      <c r="S504" s="20">
        <f>IF($U504="","",INDEX(상세표[22~06시],$U504))</f>
        <v/>
      </c>
      <c r="T504" s="20">
        <f>IF($U504="","",INDEX(상세표[기록 시간외],$U504))</f>
        <v/>
      </c>
      <c r="U504" s="4">
        <f>IFERROR(MATCH(499,상세표[발송순번],0),"")</f>
        <v/>
      </c>
    </row>
    <row r="505">
      <c r="J505">
        <f>IF($U505="","",INDEX(상세표[사번],$U505)&amp;"")</f>
        <v/>
      </c>
      <c r="K505">
        <f>IF($U505="","",INDEX(상세표[성명],$U505)&amp;"")</f>
        <v/>
      </c>
      <c r="L505">
        <f>IF($U505="","",INDEX(상세표[직위],$U505)&amp;"")</f>
        <v/>
      </c>
      <c r="M505">
        <f>IF($U505="","",IF(ISNUMBER(INDEX(상세표[근무일자],$U505)),TEXT(INDEX(상세표[근무일자],$U505),"yyyy-mm-dd"),INDEX(상세표[근무일자],$U505)&amp;""))</f>
        <v/>
      </c>
      <c r="N505">
        <f>IF($U505="","",IF(ISNUMBER(INDEX(상세표[시작],$U505)),TEXT(INDEX(상세표[시작],$U505),"yyyy-mm-dd hh:mm"),INDEX(상세표[시작],$U505)&amp;""))</f>
        <v/>
      </c>
      <c r="O505">
        <f>IF($U505="","",IF(ISNUMBER(INDEX(상세표[종료],$U505)),TEXT(INDEX(상세표[종료],$U505),"yyyy-mm-dd hh:mm"),INDEX(상세표[종료],$U505)&amp;""))</f>
        <v/>
      </c>
      <c r="P505" s="20">
        <f>IF($U505="","",INDEX(상세표[06~07시],$U505))</f>
        <v/>
      </c>
      <c r="Q505" s="20">
        <f>IF($U505="","",INDEX(상세표[07~18시],$U505))</f>
        <v/>
      </c>
      <c r="R505" s="20">
        <f>IF($U505="","",INDEX(상세표[18~22시],$U505))</f>
        <v/>
      </c>
      <c r="S505" s="20">
        <f>IF($U505="","",INDEX(상세표[22~06시],$U505))</f>
        <v/>
      </c>
      <c r="T505" s="20">
        <f>IF($U505="","",INDEX(상세표[기록 시간외],$U505))</f>
        <v/>
      </c>
      <c r="U505" s="4">
        <f>IFERROR(MATCH(500,상세표[발송순번],0),"")</f>
        <v/>
      </c>
    </row>
    <row r="506">
      <c r="J506">
        <f>IF($U506="","",INDEX(상세표[사번],$U506)&amp;"")</f>
        <v/>
      </c>
      <c r="K506">
        <f>IF($U506="","",INDEX(상세표[성명],$U506)&amp;"")</f>
        <v/>
      </c>
      <c r="L506">
        <f>IF($U506="","",INDEX(상세표[직위],$U506)&amp;"")</f>
        <v/>
      </c>
      <c r="M506">
        <f>IF($U506="","",IF(ISNUMBER(INDEX(상세표[근무일자],$U506)),TEXT(INDEX(상세표[근무일자],$U506),"yyyy-mm-dd"),INDEX(상세표[근무일자],$U506)&amp;""))</f>
        <v/>
      </c>
      <c r="N506">
        <f>IF($U506="","",IF(ISNUMBER(INDEX(상세표[시작],$U506)),TEXT(INDEX(상세표[시작],$U506),"yyyy-mm-dd hh:mm"),INDEX(상세표[시작],$U506)&amp;""))</f>
        <v/>
      </c>
      <c r="O506">
        <f>IF($U506="","",IF(ISNUMBER(INDEX(상세표[종료],$U506)),TEXT(INDEX(상세표[종료],$U506),"yyyy-mm-dd hh:mm"),INDEX(상세표[종료],$U506)&amp;""))</f>
        <v/>
      </c>
      <c r="P506" s="20">
        <f>IF($U506="","",INDEX(상세표[06~07시],$U506))</f>
        <v/>
      </c>
      <c r="Q506" s="20">
        <f>IF($U506="","",INDEX(상세표[07~18시],$U506))</f>
        <v/>
      </c>
      <c r="R506" s="20">
        <f>IF($U506="","",INDEX(상세표[18~22시],$U506))</f>
        <v/>
      </c>
      <c r="S506" s="20">
        <f>IF($U506="","",INDEX(상세표[22~06시],$U506))</f>
        <v/>
      </c>
      <c r="T506" s="20">
        <f>IF($U506="","",INDEX(상세표[기록 시간외],$U506))</f>
        <v/>
      </c>
      <c r="U506" s="4">
        <f>IFERROR(MATCH(501,상세표[발송순번],0),"")</f>
        <v/>
      </c>
    </row>
    <row r="507">
      <c r="J507">
        <f>IF($U507="","",INDEX(상세표[사번],$U507)&amp;"")</f>
        <v/>
      </c>
      <c r="K507">
        <f>IF($U507="","",INDEX(상세표[성명],$U507)&amp;"")</f>
        <v/>
      </c>
      <c r="L507">
        <f>IF($U507="","",INDEX(상세표[직위],$U507)&amp;"")</f>
        <v/>
      </c>
      <c r="M507">
        <f>IF($U507="","",IF(ISNUMBER(INDEX(상세표[근무일자],$U507)),TEXT(INDEX(상세표[근무일자],$U507),"yyyy-mm-dd"),INDEX(상세표[근무일자],$U507)&amp;""))</f>
        <v/>
      </c>
      <c r="N507">
        <f>IF($U507="","",IF(ISNUMBER(INDEX(상세표[시작],$U507)),TEXT(INDEX(상세표[시작],$U507),"yyyy-mm-dd hh:mm"),INDEX(상세표[시작],$U507)&amp;""))</f>
        <v/>
      </c>
      <c r="O507">
        <f>IF($U507="","",IF(ISNUMBER(INDEX(상세표[종료],$U507)),TEXT(INDEX(상세표[종료],$U507),"yyyy-mm-dd hh:mm"),INDEX(상세표[종료],$U507)&amp;""))</f>
        <v/>
      </c>
      <c r="P507" s="20">
        <f>IF($U507="","",INDEX(상세표[06~07시],$U507))</f>
        <v/>
      </c>
      <c r="Q507" s="20">
        <f>IF($U507="","",INDEX(상세표[07~18시],$U507))</f>
        <v/>
      </c>
      <c r="R507" s="20">
        <f>IF($U507="","",INDEX(상세표[18~22시],$U507))</f>
        <v/>
      </c>
      <c r="S507" s="20">
        <f>IF($U507="","",INDEX(상세표[22~06시],$U507))</f>
        <v/>
      </c>
      <c r="T507" s="20">
        <f>IF($U507="","",INDEX(상세표[기록 시간외],$U507))</f>
        <v/>
      </c>
      <c r="U507" s="4">
        <f>IFERROR(MATCH(502,상세표[발송순번],0),"")</f>
        <v/>
      </c>
    </row>
    <row r="508">
      <c r="J508">
        <f>IF($U508="","",INDEX(상세표[사번],$U508)&amp;"")</f>
        <v/>
      </c>
      <c r="K508">
        <f>IF($U508="","",INDEX(상세표[성명],$U508)&amp;"")</f>
        <v/>
      </c>
      <c r="L508">
        <f>IF($U508="","",INDEX(상세표[직위],$U508)&amp;"")</f>
        <v/>
      </c>
      <c r="M508">
        <f>IF($U508="","",IF(ISNUMBER(INDEX(상세표[근무일자],$U508)),TEXT(INDEX(상세표[근무일자],$U508),"yyyy-mm-dd"),INDEX(상세표[근무일자],$U508)&amp;""))</f>
        <v/>
      </c>
      <c r="N508">
        <f>IF($U508="","",IF(ISNUMBER(INDEX(상세표[시작],$U508)),TEXT(INDEX(상세표[시작],$U508),"yyyy-mm-dd hh:mm"),INDEX(상세표[시작],$U508)&amp;""))</f>
        <v/>
      </c>
      <c r="O508">
        <f>IF($U508="","",IF(ISNUMBER(INDEX(상세표[종료],$U508)),TEXT(INDEX(상세표[종료],$U508),"yyyy-mm-dd hh:mm"),INDEX(상세표[종료],$U508)&amp;""))</f>
        <v/>
      </c>
      <c r="P508" s="20">
        <f>IF($U508="","",INDEX(상세표[06~07시],$U508))</f>
        <v/>
      </c>
      <c r="Q508" s="20">
        <f>IF($U508="","",INDEX(상세표[07~18시],$U508))</f>
        <v/>
      </c>
      <c r="R508" s="20">
        <f>IF($U508="","",INDEX(상세표[18~22시],$U508))</f>
        <v/>
      </c>
      <c r="S508" s="20">
        <f>IF($U508="","",INDEX(상세표[22~06시],$U508))</f>
        <v/>
      </c>
      <c r="T508" s="20">
        <f>IF($U508="","",INDEX(상세표[기록 시간외],$U508))</f>
        <v/>
      </c>
      <c r="U508" s="4">
        <f>IFERROR(MATCH(503,상세표[발송순번],0),"")</f>
        <v/>
      </c>
    </row>
    <row r="509">
      <c r="J509">
        <f>IF($U509="","",INDEX(상세표[사번],$U509)&amp;"")</f>
        <v/>
      </c>
      <c r="K509">
        <f>IF($U509="","",INDEX(상세표[성명],$U509)&amp;"")</f>
        <v/>
      </c>
      <c r="L509">
        <f>IF($U509="","",INDEX(상세표[직위],$U509)&amp;"")</f>
        <v/>
      </c>
      <c r="M509">
        <f>IF($U509="","",IF(ISNUMBER(INDEX(상세표[근무일자],$U509)),TEXT(INDEX(상세표[근무일자],$U509),"yyyy-mm-dd"),INDEX(상세표[근무일자],$U509)&amp;""))</f>
        <v/>
      </c>
      <c r="N509">
        <f>IF($U509="","",IF(ISNUMBER(INDEX(상세표[시작],$U509)),TEXT(INDEX(상세표[시작],$U509),"yyyy-mm-dd hh:mm"),INDEX(상세표[시작],$U509)&amp;""))</f>
        <v/>
      </c>
      <c r="O509">
        <f>IF($U509="","",IF(ISNUMBER(INDEX(상세표[종료],$U509)),TEXT(INDEX(상세표[종료],$U509),"yyyy-mm-dd hh:mm"),INDEX(상세표[종료],$U509)&amp;""))</f>
        <v/>
      </c>
      <c r="P509" s="20">
        <f>IF($U509="","",INDEX(상세표[06~07시],$U509))</f>
        <v/>
      </c>
      <c r="Q509" s="20">
        <f>IF($U509="","",INDEX(상세표[07~18시],$U509))</f>
        <v/>
      </c>
      <c r="R509" s="20">
        <f>IF($U509="","",INDEX(상세표[18~22시],$U509))</f>
        <v/>
      </c>
      <c r="S509" s="20">
        <f>IF($U509="","",INDEX(상세표[22~06시],$U509))</f>
        <v/>
      </c>
      <c r="T509" s="20">
        <f>IF($U509="","",INDEX(상세표[기록 시간외],$U509))</f>
        <v/>
      </c>
      <c r="U509" s="4">
        <f>IFERROR(MATCH(504,상세표[발송순번],0),"")</f>
        <v/>
      </c>
    </row>
    <row r="510">
      <c r="J510">
        <f>IF($U510="","",INDEX(상세표[사번],$U510)&amp;"")</f>
        <v/>
      </c>
      <c r="K510">
        <f>IF($U510="","",INDEX(상세표[성명],$U510)&amp;"")</f>
        <v/>
      </c>
      <c r="L510">
        <f>IF($U510="","",INDEX(상세표[직위],$U510)&amp;"")</f>
        <v/>
      </c>
      <c r="M510">
        <f>IF($U510="","",IF(ISNUMBER(INDEX(상세표[근무일자],$U510)),TEXT(INDEX(상세표[근무일자],$U510),"yyyy-mm-dd"),INDEX(상세표[근무일자],$U510)&amp;""))</f>
        <v/>
      </c>
      <c r="N510">
        <f>IF($U510="","",IF(ISNUMBER(INDEX(상세표[시작],$U510)),TEXT(INDEX(상세표[시작],$U510),"yyyy-mm-dd hh:mm"),INDEX(상세표[시작],$U510)&amp;""))</f>
        <v/>
      </c>
      <c r="O510">
        <f>IF($U510="","",IF(ISNUMBER(INDEX(상세표[종료],$U510)),TEXT(INDEX(상세표[종료],$U510),"yyyy-mm-dd hh:mm"),INDEX(상세표[종료],$U510)&amp;""))</f>
        <v/>
      </c>
      <c r="P510" s="20">
        <f>IF($U510="","",INDEX(상세표[06~07시],$U510))</f>
        <v/>
      </c>
      <c r="Q510" s="20">
        <f>IF($U510="","",INDEX(상세표[07~18시],$U510))</f>
        <v/>
      </c>
      <c r="R510" s="20">
        <f>IF($U510="","",INDEX(상세표[18~22시],$U510))</f>
        <v/>
      </c>
      <c r="S510" s="20">
        <f>IF($U510="","",INDEX(상세표[22~06시],$U510))</f>
        <v/>
      </c>
      <c r="T510" s="20">
        <f>IF($U510="","",INDEX(상세표[기록 시간외],$U510))</f>
        <v/>
      </c>
      <c r="U510" s="4">
        <f>IFERROR(MATCH(505,상세표[발송순번],0),"")</f>
        <v/>
      </c>
    </row>
    <row r="511">
      <c r="J511">
        <f>IF($U511="","",INDEX(상세표[사번],$U511)&amp;"")</f>
        <v/>
      </c>
      <c r="K511">
        <f>IF($U511="","",INDEX(상세표[성명],$U511)&amp;"")</f>
        <v/>
      </c>
      <c r="L511">
        <f>IF($U511="","",INDEX(상세표[직위],$U511)&amp;"")</f>
        <v/>
      </c>
      <c r="M511">
        <f>IF($U511="","",IF(ISNUMBER(INDEX(상세표[근무일자],$U511)),TEXT(INDEX(상세표[근무일자],$U511),"yyyy-mm-dd"),INDEX(상세표[근무일자],$U511)&amp;""))</f>
        <v/>
      </c>
      <c r="N511">
        <f>IF($U511="","",IF(ISNUMBER(INDEX(상세표[시작],$U511)),TEXT(INDEX(상세표[시작],$U511),"yyyy-mm-dd hh:mm"),INDEX(상세표[시작],$U511)&amp;""))</f>
        <v/>
      </c>
      <c r="O511">
        <f>IF($U511="","",IF(ISNUMBER(INDEX(상세표[종료],$U511)),TEXT(INDEX(상세표[종료],$U511),"yyyy-mm-dd hh:mm"),INDEX(상세표[종료],$U511)&amp;""))</f>
        <v/>
      </c>
      <c r="P511" s="20">
        <f>IF($U511="","",INDEX(상세표[06~07시],$U511))</f>
        <v/>
      </c>
      <c r="Q511" s="20">
        <f>IF($U511="","",INDEX(상세표[07~18시],$U511))</f>
        <v/>
      </c>
      <c r="R511" s="20">
        <f>IF($U511="","",INDEX(상세표[18~22시],$U511))</f>
        <v/>
      </c>
      <c r="S511" s="20">
        <f>IF($U511="","",INDEX(상세표[22~06시],$U511))</f>
        <v/>
      </c>
      <c r="T511" s="20">
        <f>IF($U511="","",INDEX(상세표[기록 시간외],$U511))</f>
        <v/>
      </c>
      <c r="U511" s="4">
        <f>IFERROR(MATCH(506,상세표[발송순번],0),"")</f>
        <v/>
      </c>
    </row>
    <row r="512">
      <c r="J512">
        <f>IF($U512="","",INDEX(상세표[사번],$U512)&amp;"")</f>
        <v/>
      </c>
      <c r="K512">
        <f>IF($U512="","",INDEX(상세표[성명],$U512)&amp;"")</f>
        <v/>
      </c>
      <c r="L512">
        <f>IF($U512="","",INDEX(상세표[직위],$U512)&amp;"")</f>
        <v/>
      </c>
      <c r="M512">
        <f>IF($U512="","",IF(ISNUMBER(INDEX(상세표[근무일자],$U512)),TEXT(INDEX(상세표[근무일자],$U512),"yyyy-mm-dd"),INDEX(상세표[근무일자],$U512)&amp;""))</f>
        <v/>
      </c>
      <c r="N512">
        <f>IF($U512="","",IF(ISNUMBER(INDEX(상세표[시작],$U512)),TEXT(INDEX(상세표[시작],$U512),"yyyy-mm-dd hh:mm"),INDEX(상세표[시작],$U512)&amp;""))</f>
        <v/>
      </c>
      <c r="O512">
        <f>IF($U512="","",IF(ISNUMBER(INDEX(상세표[종료],$U512)),TEXT(INDEX(상세표[종료],$U512),"yyyy-mm-dd hh:mm"),INDEX(상세표[종료],$U512)&amp;""))</f>
        <v/>
      </c>
      <c r="P512" s="20">
        <f>IF($U512="","",INDEX(상세표[06~07시],$U512))</f>
        <v/>
      </c>
      <c r="Q512" s="20">
        <f>IF($U512="","",INDEX(상세표[07~18시],$U512))</f>
        <v/>
      </c>
      <c r="R512" s="20">
        <f>IF($U512="","",INDEX(상세표[18~22시],$U512))</f>
        <v/>
      </c>
      <c r="S512" s="20">
        <f>IF($U512="","",INDEX(상세표[22~06시],$U512))</f>
        <v/>
      </c>
      <c r="T512" s="20">
        <f>IF($U512="","",INDEX(상세표[기록 시간외],$U512))</f>
        <v/>
      </c>
      <c r="U512" s="4">
        <f>IFERROR(MATCH(507,상세표[발송순번],0),"")</f>
        <v/>
      </c>
    </row>
    <row r="513">
      <c r="J513">
        <f>IF($U513="","",INDEX(상세표[사번],$U513)&amp;"")</f>
        <v/>
      </c>
      <c r="K513">
        <f>IF($U513="","",INDEX(상세표[성명],$U513)&amp;"")</f>
        <v/>
      </c>
      <c r="L513">
        <f>IF($U513="","",INDEX(상세표[직위],$U513)&amp;"")</f>
        <v/>
      </c>
      <c r="M513">
        <f>IF($U513="","",IF(ISNUMBER(INDEX(상세표[근무일자],$U513)),TEXT(INDEX(상세표[근무일자],$U513),"yyyy-mm-dd"),INDEX(상세표[근무일자],$U513)&amp;""))</f>
        <v/>
      </c>
      <c r="N513">
        <f>IF($U513="","",IF(ISNUMBER(INDEX(상세표[시작],$U513)),TEXT(INDEX(상세표[시작],$U513),"yyyy-mm-dd hh:mm"),INDEX(상세표[시작],$U513)&amp;""))</f>
        <v/>
      </c>
      <c r="O513">
        <f>IF($U513="","",IF(ISNUMBER(INDEX(상세표[종료],$U513)),TEXT(INDEX(상세표[종료],$U513),"yyyy-mm-dd hh:mm"),INDEX(상세표[종료],$U513)&amp;""))</f>
        <v/>
      </c>
      <c r="P513" s="20">
        <f>IF($U513="","",INDEX(상세표[06~07시],$U513))</f>
        <v/>
      </c>
      <c r="Q513" s="20">
        <f>IF($U513="","",INDEX(상세표[07~18시],$U513))</f>
        <v/>
      </c>
      <c r="R513" s="20">
        <f>IF($U513="","",INDEX(상세표[18~22시],$U513))</f>
        <v/>
      </c>
      <c r="S513" s="20">
        <f>IF($U513="","",INDEX(상세표[22~06시],$U513))</f>
        <v/>
      </c>
      <c r="T513" s="20">
        <f>IF($U513="","",INDEX(상세표[기록 시간외],$U513))</f>
        <v/>
      </c>
      <c r="U513" s="4">
        <f>IFERROR(MATCH(508,상세표[발송순번],0),"")</f>
        <v/>
      </c>
    </row>
    <row r="514">
      <c r="J514">
        <f>IF($U514="","",INDEX(상세표[사번],$U514)&amp;"")</f>
        <v/>
      </c>
      <c r="K514">
        <f>IF($U514="","",INDEX(상세표[성명],$U514)&amp;"")</f>
        <v/>
      </c>
      <c r="L514">
        <f>IF($U514="","",INDEX(상세표[직위],$U514)&amp;"")</f>
        <v/>
      </c>
      <c r="M514">
        <f>IF($U514="","",IF(ISNUMBER(INDEX(상세표[근무일자],$U514)),TEXT(INDEX(상세표[근무일자],$U514),"yyyy-mm-dd"),INDEX(상세표[근무일자],$U514)&amp;""))</f>
        <v/>
      </c>
      <c r="N514">
        <f>IF($U514="","",IF(ISNUMBER(INDEX(상세표[시작],$U514)),TEXT(INDEX(상세표[시작],$U514),"yyyy-mm-dd hh:mm"),INDEX(상세표[시작],$U514)&amp;""))</f>
        <v/>
      </c>
      <c r="O514">
        <f>IF($U514="","",IF(ISNUMBER(INDEX(상세표[종료],$U514)),TEXT(INDEX(상세표[종료],$U514),"yyyy-mm-dd hh:mm"),INDEX(상세표[종료],$U514)&amp;""))</f>
        <v/>
      </c>
      <c r="P514" s="20">
        <f>IF($U514="","",INDEX(상세표[06~07시],$U514))</f>
        <v/>
      </c>
      <c r="Q514" s="20">
        <f>IF($U514="","",INDEX(상세표[07~18시],$U514))</f>
        <v/>
      </c>
      <c r="R514" s="20">
        <f>IF($U514="","",INDEX(상세표[18~22시],$U514))</f>
        <v/>
      </c>
      <c r="S514" s="20">
        <f>IF($U514="","",INDEX(상세표[22~06시],$U514))</f>
        <v/>
      </c>
      <c r="T514" s="20">
        <f>IF($U514="","",INDEX(상세표[기록 시간외],$U514))</f>
        <v/>
      </c>
      <c r="U514" s="4">
        <f>IFERROR(MATCH(509,상세표[발송순번],0),"")</f>
        <v/>
      </c>
    </row>
    <row r="515">
      <c r="J515">
        <f>IF($U515="","",INDEX(상세표[사번],$U515)&amp;"")</f>
        <v/>
      </c>
      <c r="K515">
        <f>IF($U515="","",INDEX(상세표[성명],$U515)&amp;"")</f>
        <v/>
      </c>
      <c r="L515">
        <f>IF($U515="","",INDEX(상세표[직위],$U515)&amp;"")</f>
        <v/>
      </c>
      <c r="M515">
        <f>IF($U515="","",IF(ISNUMBER(INDEX(상세표[근무일자],$U515)),TEXT(INDEX(상세표[근무일자],$U515),"yyyy-mm-dd"),INDEX(상세표[근무일자],$U515)&amp;""))</f>
        <v/>
      </c>
      <c r="N515">
        <f>IF($U515="","",IF(ISNUMBER(INDEX(상세표[시작],$U515)),TEXT(INDEX(상세표[시작],$U515),"yyyy-mm-dd hh:mm"),INDEX(상세표[시작],$U515)&amp;""))</f>
        <v/>
      </c>
      <c r="O515">
        <f>IF($U515="","",IF(ISNUMBER(INDEX(상세표[종료],$U515)),TEXT(INDEX(상세표[종료],$U515),"yyyy-mm-dd hh:mm"),INDEX(상세표[종료],$U515)&amp;""))</f>
        <v/>
      </c>
      <c r="P515" s="20">
        <f>IF($U515="","",INDEX(상세표[06~07시],$U515))</f>
        <v/>
      </c>
      <c r="Q515" s="20">
        <f>IF($U515="","",INDEX(상세표[07~18시],$U515))</f>
        <v/>
      </c>
      <c r="R515" s="20">
        <f>IF($U515="","",INDEX(상세표[18~22시],$U515))</f>
        <v/>
      </c>
      <c r="S515" s="20">
        <f>IF($U515="","",INDEX(상세표[22~06시],$U515))</f>
        <v/>
      </c>
      <c r="T515" s="20">
        <f>IF($U515="","",INDEX(상세표[기록 시간외],$U515))</f>
        <v/>
      </c>
      <c r="U515" s="4">
        <f>IFERROR(MATCH(510,상세표[발송순번],0),"")</f>
        <v/>
      </c>
    </row>
    <row r="516">
      <c r="J516">
        <f>IF($U516="","",INDEX(상세표[사번],$U516)&amp;"")</f>
        <v/>
      </c>
      <c r="K516">
        <f>IF($U516="","",INDEX(상세표[성명],$U516)&amp;"")</f>
        <v/>
      </c>
      <c r="L516">
        <f>IF($U516="","",INDEX(상세표[직위],$U516)&amp;"")</f>
        <v/>
      </c>
      <c r="M516">
        <f>IF($U516="","",IF(ISNUMBER(INDEX(상세표[근무일자],$U516)),TEXT(INDEX(상세표[근무일자],$U516),"yyyy-mm-dd"),INDEX(상세표[근무일자],$U516)&amp;""))</f>
        <v/>
      </c>
      <c r="N516">
        <f>IF($U516="","",IF(ISNUMBER(INDEX(상세표[시작],$U516)),TEXT(INDEX(상세표[시작],$U516),"yyyy-mm-dd hh:mm"),INDEX(상세표[시작],$U516)&amp;""))</f>
        <v/>
      </c>
      <c r="O516">
        <f>IF($U516="","",IF(ISNUMBER(INDEX(상세표[종료],$U516)),TEXT(INDEX(상세표[종료],$U516),"yyyy-mm-dd hh:mm"),INDEX(상세표[종료],$U516)&amp;""))</f>
        <v/>
      </c>
      <c r="P516" s="20">
        <f>IF($U516="","",INDEX(상세표[06~07시],$U516))</f>
        <v/>
      </c>
      <c r="Q516" s="20">
        <f>IF($U516="","",INDEX(상세표[07~18시],$U516))</f>
        <v/>
      </c>
      <c r="R516" s="20">
        <f>IF($U516="","",INDEX(상세표[18~22시],$U516))</f>
        <v/>
      </c>
      <c r="S516" s="20">
        <f>IF($U516="","",INDEX(상세표[22~06시],$U516))</f>
        <v/>
      </c>
      <c r="T516" s="20">
        <f>IF($U516="","",INDEX(상세표[기록 시간외],$U516))</f>
        <v/>
      </c>
      <c r="U516" s="4">
        <f>IFERROR(MATCH(511,상세표[발송순번],0),"")</f>
        <v/>
      </c>
    </row>
    <row r="517">
      <c r="J517">
        <f>IF($U517="","",INDEX(상세표[사번],$U517)&amp;"")</f>
        <v/>
      </c>
      <c r="K517">
        <f>IF($U517="","",INDEX(상세표[성명],$U517)&amp;"")</f>
        <v/>
      </c>
      <c r="L517">
        <f>IF($U517="","",INDEX(상세표[직위],$U517)&amp;"")</f>
        <v/>
      </c>
      <c r="M517">
        <f>IF($U517="","",IF(ISNUMBER(INDEX(상세표[근무일자],$U517)),TEXT(INDEX(상세표[근무일자],$U517),"yyyy-mm-dd"),INDEX(상세표[근무일자],$U517)&amp;""))</f>
        <v/>
      </c>
      <c r="N517">
        <f>IF($U517="","",IF(ISNUMBER(INDEX(상세표[시작],$U517)),TEXT(INDEX(상세표[시작],$U517),"yyyy-mm-dd hh:mm"),INDEX(상세표[시작],$U517)&amp;""))</f>
        <v/>
      </c>
      <c r="O517">
        <f>IF($U517="","",IF(ISNUMBER(INDEX(상세표[종료],$U517)),TEXT(INDEX(상세표[종료],$U517),"yyyy-mm-dd hh:mm"),INDEX(상세표[종료],$U517)&amp;""))</f>
        <v/>
      </c>
      <c r="P517" s="20">
        <f>IF($U517="","",INDEX(상세표[06~07시],$U517))</f>
        <v/>
      </c>
      <c r="Q517" s="20">
        <f>IF($U517="","",INDEX(상세표[07~18시],$U517))</f>
        <v/>
      </c>
      <c r="R517" s="20">
        <f>IF($U517="","",INDEX(상세표[18~22시],$U517))</f>
        <v/>
      </c>
      <c r="S517" s="20">
        <f>IF($U517="","",INDEX(상세표[22~06시],$U517))</f>
        <v/>
      </c>
      <c r="T517" s="20">
        <f>IF($U517="","",INDEX(상세표[기록 시간외],$U517))</f>
        <v/>
      </c>
      <c r="U517" s="4">
        <f>IFERROR(MATCH(512,상세표[발송순번],0),"")</f>
        <v/>
      </c>
    </row>
    <row r="518">
      <c r="J518">
        <f>IF($U518="","",INDEX(상세표[사번],$U518)&amp;"")</f>
        <v/>
      </c>
      <c r="K518">
        <f>IF($U518="","",INDEX(상세표[성명],$U518)&amp;"")</f>
        <v/>
      </c>
      <c r="L518">
        <f>IF($U518="","",INDEX(상세표[직위],$U518)&amp;"")</f>
        <v/>
      </c>
      <c r="M518">
        <f>IF($U518="","",IF(ISNUMBER(INDEX(상세표[근무일자],$U518)),TEXT(INDEX(상세표[근무일자],$U518),"yyyy-mm-dd"),INDEX(상세표[근무일자],$U518)&amp;""))</f>
        <v/>
      </c>
      <c r="N518">
        <f>IF($U518="","",IF(ISNUMBER(INDEX(상세표[시작],$U518)),TEXT(INDEX(상세표[시작],$U518),"yyyy-mm-dd hh:mm"),INDEX(상세표[시작],$U518)&amp;""))</f>
        <v/>
      </c>
      <c r="O518">
        <f>IF($U518="","",IF(ISNUMBER(INDEX(상세표[종료],$U518)),TEXT(INDEX(상세표[종료],$U518),"yyyy-mm-dd hh:mm"),INDEX(상세표[종료],$U518)&amp;""))</f>
        <v/>
      </c>
      <c r="P518" s="20">
        <f>IF($U518="","",INDEX(상세표[06~07시],$U518))</f>
        <v/>
      </c>
      <c r="Q518" s="20">
        <f>IF($U518="","",INDEX(상세표[07~18시],$U518))</f>
        <v/>
      </c>
      <c r="R518" s="20">
        <f>IF($U518="","",INDEX(상세표[18~22시],$U518))</f>
        <v/>
      </c>
      <c r="S518" s="20">
        <f>IF($U518="","",INDEX(상세표[22~06시],$U518))</f>
        <v/>
      </c>
      <c r="T518" s="20">
        <f>IF($U518="","",INDEX(상세표[기록 시간외],$U518))</f>
        <v/>
      </c>
      <c r="U518" s="4">
        <f>IFERROR(MATCH(513,상세표[발송순번],0),"")</f>
        <v/>
      </c>
    </row>
    <row r="519">
      <c r="J519">
        <f>IF($U519="","",INDEX(상세표[사번],$U519)&amp;"")</f>
        <v/>
      </c>
      <c r="K519">
        <f>IF($U519="","",INDEX(상세표[성명],$U519)&amp;"")</f>
        <v/>
      </c>
      <c r="L519">
        <f>IF($U519="","",INDEX(상세표[직위],$U519)&amp;"")</f>
        <v/>
      </c>
      <c r="M519">
        <f>IF($U519="","",IF(ISNUMBER(INDEX(상세표[근무일자],$U519)),TEXT(INDEX(상세표[근무일자],$U519),"yyyy-mm-dd"),INDEX(상세표[근무일자],$U519)&amp;""))</f>
        <v/>
      </c>
      <c r="N519">
        <f>IF($U519="","",IF(ISNUMBER(INDEX(상세표[시작],$U519)),TEXT(INDEX(상세표[시작],$U519),"yyyy-mm-dd hh:mm"),INDEX(상세표[시작],$U519)&amp;""))</f>
        <v/>
      </c>
      <c r="O519">
        <f>IF($U519="","",IF(ISNUMBER(INDEX(상세표[종료],$U519)),TEXT(INDEX(상세표[종료],$U519),"yyyy-mm-dd hh:mm"),INDEX(상세표[종료],$U519)&amp;""))</f>
        <v/>
      </c>
      <c r="P519" s="20">
        <f>IF($U519="","",INDEX(상세표[06~07시],$U519))</f>
        <v/>
      </c>
      <c r="Q519" s="20">
        <f>IF($U519="","",INDEX(상세표[07~18시],$U519))</f>
        <v/>
      </c>
      <c r="R519" s="20">
        <f>IF($U519="","",INDEX(상세표[18~22시],$U519))</f>
        <v/>
      </c>
      <c r="S519" s="20">
        <f>IF($U519="","",INDEX(상세표[22~06시],$U519))</f>
        <v/>
      </c>
      <c r="T519" s="20">
        <f>IF($U519="","",INDEX(상세표[기록 시간외],$U519))</f>
        <v/>
      </c>
      <c r="U519" s="4">
        <f>IFERROR(MATCH(514,상세표[발송순번],0),"")</f>
        <v/>
      </c>
    </row>
    <row r="520">
      <c r="J520">
        <f>IF($U520="","",INDEX(상세표[사번],$U520)&amp;"")</f>
        <v/>
      </c>
      <c r="K520">
        <f>IF($U520="","",INDEX(상세표[성명],$U520)&amp;"")</f>
        <v/>
      </c>
      <c r="L520">
        <f>IF($U520="","",INDEX(상세표[직위],$U520)&amp;"")</f>
        <v/>
      </c>
      <c r="M520">
        <f>IF($U520="","",IF(ISNUMBER(INDEX(상세표[근무일자],$U520)),TEXT(INDEX(상세표[근무일자],$U520),"yyyy-mm-dd"),INDEX(상세표[근무일자],$U520)&amp;""))</f>
        <v/>
      </c>
      <c r="N520">
        <f>IF($U520="","",IF(ISNUMBER(INDEX(상세표[시작],$U520)),TEXT(INDEX(상세표[시작],$U520),"yyyy-mm-dd hh:mm"),INDEX(상세표[시작],$U520)&amp;""))</f>
        <v/>
      </c>
      <c r="O520">
        <f>IF($U520="","",IF(ISNUMBER(INDEX(상세표[종료],$U520)),TEXT(INDEX(상세표[종료],$U520),"yyyy-mm-dd hh:mm"),INDEX(상세표[종료],$U520)&amp;""))</f>
        <v/>
      </c>
      <c r="P520" s="20">
        <f>IF($U520="","",INDEX(상세표[06~07시],$U520))</f>
        <v/>
      </c>
      <c r="Q520" s="20">
        <f>IF($U520="","",INDEX(상세표[07~18시],$U520))</f>
        <v/>
      </c>
      <c r="R520" s="20">
        <f>IF($U520="","",INDEX(상세표[18~22시],$U520))</f>
        <v/>
      </c>
      <c r="S520" s="20">
        <f>IF($U520="","",INDEX(상세표[22~06시],$U520))</f>
        <v/>
      </c>
      <c r="T520" s="20">
        <f>IF($U520="","",INDEX(상세표[기록 시간외],$U520))</f>
        <v/>
      </c>
      <c r="U520" s="4">
        <f>IFERROR(MATCH(515,상세표[발송순번],0),"")</f>
        <v/>
      </c>
    </row>
    <row r="521">
      <c r="J521">
        <f>IF($U521="","",INDEX(상세표[사번],$U521)&amp;"")</f>
        <v/>
      </c>
      <c r="K521">
        <f>IF($U521="","",INDEX(상세표[성명],$U521)&amp;"")</f>
        <v/>
      </c>
      <c r="L521">
        <f>IF($U521="","",INDEX(상세표[직위],$U521)&amp;"")</f>
        <v/>
      </c>
      <c r="M521">
        <f>IF($U521="","",IF(ISNUMBER(INDEX(상세표[근무일자],$U521)),TEXT(INDEX(상세표[근무일자],$U521),"yyyy-mm-dd"),INDEX(상세표[근무일자],$U521)&amp;""))</f>
        <v/>
      </c>
      <c r="N521">
        <f>IF($U521="","",IF(ISNUMBER(INDEX(상세표[시작],$U521)),TEXT(INDEX(상세표[시작],$U521),"yyyy-mm-dd hh:mm"),INDEX(상세표[시작],$U521)&amp;""))</f>
        <v/>
      </c>
      <c r="O521">
        <f>IF($U521="","",IF(ISNUMBER(INDEX(상세표[종료],$U521)),TEXT(INDEX(상세표[종료],$U521),"yyyy-mm-dd hh:mm"),INDEX(상세표[종료],$U521)&amp;""))</f>
        <v/>
      </c>
      <c r="P521" s="20">
        <f>IF($U521="","",INDEX(상세표[06~07시],$U521))</f>
        <v/>
      </c>
      <c r="Q521" s="20">
        <f>IF($U521="","",INDEX(상세표[07~18시],$U521))</f>
        <v/>
      </c>
      <c r="R521" s="20">
        <f>IF($U521="","",INDEX(상세표[18~22시],$U521))</f>
        <v/>
      </c>
      <c r="S521" s="20">
        <f>IF($U521="","",INDEX(상세표[22~06시],$U521))</f>
        <v/>
      </c>
      <c r="T521" s="20">
        <f>IF($U521="","",INDEX(상세표[기록 시간외],$U521))</f>
        <v/>
      </c>
      <c r="U521" s="4">
        <f>IFERROR(MATCH(516,상세표[발송순번],0),"")</f>
        <v/>
      </c>
    </row>
    <row r="522">
      <c r="J522">
        <f>IF($U522="","",INDEX(상세표[사번],$U522)&amp;"")</f>
        <v/>
      </c>
      <c r="K522">
        <f>IF($U522="","",INDEX(상세표[성명],$U522)&amp;"")</f>
        <v/>
      </c>
      <c r="L522">
        <f>IF($U522="","",INDEX(상세표[직위],$U522)&amp;"")</f>
        <v/>
      </c>
      <c r="M522">
        <f>IF($U522="","",IF(ISNUMBER(INDEX(상세표[근무일자],$U522)),TEXT(INDEX(상세표[근무일자],$U522),"yyyy-mm-dd"),INDEX(상세표[근무일자],$U522)&amp;""))</f>
        <v/>
      </c>
      <c r="N522">
        <f>IF($U522="","",IF(ISNUMBER(INDEX(상세표[시작],$U522)),TEXT(INDEX(상세표[시작],$U522),"yyyy-mm-dd hh:mm"),INDEX(상세표[시작],$U522)&amp;""))</f>
        <v/>
      </c>
      <c r="O522">
        <f>IF($U522="","",IF(ISNUMBER(INDEX(상세표[종료],$U522)),TEXT(INDEX(상세표[종료],$U522),"yyyy-mm-dd hh:mm"),INDEX(상세표[종료],$U522)&amp;""))</f>
        <v/>
      </c>
      <c r="P522" s="20">
        <f>IF($U522="","",INDEX(상세표[06~07시],$U522))</f>
        <v/>
      </c>
      <c r="Q522" s="20">
        <f>IF($U522="","",INDEX(상세표[07~18시],$U522))</f>
        <v/>
      </c>
      <c r="R522" s="20">
        <f>IF($U522="","",INDEX(상세표[18~22시],$U522))</f>
        <v/>
      </c>
      <c r="S522" s="20">
        <f>IF($U522="","",INDEX(상세표[22~06시],$U522))</f>
        <v/>
      </c>
      <c r="T522" s="20">
        <f>IF($U522="","",INDEX(상세표[기록 시간외],$U522))</f>
        <v/>
      </c>
      <c r="U522" s="4">
        <f>IFERROR(MATCH(517,상세표[발송순번],0),"")</f>
        <v/>
      </c>
    </row>
    <row r="523">
      <c r="J523">
        <f>IF($U523="","",INDEX(상세표[사번],$U523)&amp;"")</f>
        <v/>
      </c>
      <c r="K523">
        <f>IF($U523="","",INDEX(상세표[성명],$U523)&amp;"")</f>
        <v/>
      </c>
      <c r="L523">
        <f>IF($U523="","",INDEX(상세표[직위],$U523)&amp;"")</f>
        <v/>
      </c>
      <c r="M523">
        <f>IF($U523="","",IF(ISNUMBER(INDEX(상세표[근무일자],$U523)),TEXT(INDEX(상세표[근무일자],$U523),"yyyy-mm-dd"),INDEX(상세표[근무일자],$U523)&amp;""))</f>
        <v/>
      </c>
      <c r="N523">
        <f>IF($U523="","",IF(ISNUMBER(INDEX(상세표[시작],$U523)),TEXT(INDEX(상세표[시작],$U523),"yyyy-mm-dd hh:mm"),INDEX(상세표[시작],$U523)&amp;""))</f>
        <v/>
      </c>
      <c r="O523">
        <f>IF($U523="","",IF(ISNUMBER(INDEX(상세표[종료],$U523)),TEXT(INDEX(상세표[종료],$U523),"yyyy-mm-dd hh:mm"),INDEX(상세표[종료],$U523)&amp;""))</f>
        <v/>
      </c>
      <c r="P523" s="20">
        <f>IF($U523="","",INDEX(상세표[06~07시],$U523))</f>
        <v/>
      </c>
      <c r="Q523" s="20">
        <f>IF($U523="","",INDEX(상세표[07~18시],$U523))</f>
        <v/>
      </c>
      <c r="R523" s="20">
        <f>IF($U523="","",INDEX(상세표[18~22시],$U523))</f>
        <v/>
      </c>
      <c r="S523" s="20">
        <f>IF($U523="","",INDEX(상세표[22~06시],$U523))</f>
        <v/>
      </c>
      <c r="T523" s="20">
        <f>IF($U523="","",INDEX(상세표[기록 시간외],$U523))</f>
        <v/>
      </c>
      <c r="U523" s="4">
        <f>IFERROR(MATCH(518,상세표[발송순번],0),"")</f>
        <v/>
      </c>
    </row>
    <row r="524">
      <c r="J524">
        <f>IF($U524="","",INDEX(상세표[사번],$U524)&amp;"")</f>
        <v/>
      </c>
      <c r="K524">
        <f>IF($U524="","",INDEX(상세표[성명],$U524)&amp;"")</f>
        <v/>
      </c>
      <c r="L524">
        <f>IF($U524="","",INDEX(상세표[직위],$U524)&amp;"")</f>
        <v/>
      </c>
      <c r="M524">
        <f>IF($U524="","",IF(ISNUMBER(INDEX(상세표[근무일자],$U524)),TEXT(INDEX(상세표[근무일자],$U524),"yyyy-mm-dd"),INDEX(상세표[근무일자],$U524)&amp;""))</f>
        <v/>
      </c>
      <c r="N524">
        <f>IF($U524="","",IF(ISNUMBER(INDEX(상세표[시작],$U524)),TEXT(INDEX(상세표[시작],$U524),"yyyy-mm-dd hh:mm"),INDEX(상세표[시작],$U524)&amp;""))</f>
        <v/>
      </c>
      <c r="O524">
        <f>IF($U524="","",IF(ISNUMBER(INDEX(상세표[종료],$U524)),TEXT(INDEX(상세표[종료],$U524),"yyyy-mm-dd hh:mm"),INDEX(상세표[종료],$U524)&amp;""))</f>
        <v/>
      </c>
      <c r="P524" s="20">
        <f>IF($U524="","",INDEX(상세표[06~07시],$U524))</f>
        <v/>
      </c>
      <c r="Q524" s="20">
        <f>IF($U524="","",INDEX(상세표[07~18시],$U524))</f>
        <v/>
      </c>
      <c r="R524" s="20">
        <f>IF($U524="","",INDEX(상세표[18~22시],$U524))</f>
        <v/>
      </c>
      <c r="S524" s="20">
        <f>IF($U524="","",INDEX(상세표[22~06시],$U524))</f>
        <v/>
      </c>
      <c r="T524" s="20">
        <f>IF($U524="","",INDEX(상세표[기록 시간외],$U524))</f>
        <v/>
      </c>
      <c r="U524" s="4">
        <f>IFERROR(MATCH(519,상세표[발송순번],0),"")</f>
        <v/>
      </c>
    </row>
    <row r="525">
      <c r="J525">
        <f>IF($U525="","",INDEX(상세표[사번],$U525)&amp;"")</f>
        <v/>
      </c>
      <c r="K525">
        <f>IF($U525="","",INDEX(상세표[성명],$U525)&amp;"")</f>
        <v/>
      </c>
      <c r="L525">
        <f>IF($U525="","",INDEX(상세표[직위],$U525)&amp;"")</f>
        <v/>
      </c>
      <c r="M525">
        <f>IF($U525="","",IF(ISNUMBER(INDEX(상세표[근무일자],$U525)),TEXT(INDEX(상세표[근무일자],$U525),"yyyy-mm-dd"),INDEX(상세표[근무일자],$U525)&amp;""))</f>
        <v/>
      </c>
      <c r="N525">
        <f>IF($U525="","",IF(ISNUMBER(INDEX(상세표[시작],$U525)),TEXT(INDEX(상세표[시작],$U525),"yyyy-mm-dd hh:mm"),INDEX(상세표[시작],$U525)&amp;""))</f>
        <v/>
      </c>
      <c r="O525">
        <f>IF($U525="","",IF(ISNUMBER(INDEX(상세표[종료],$U525)),TEXT(INDEX(상세표[종료],$U525),"yyyy-mm-dd hh:mm"),INDEX(상세표[종료],$U525)&amp;""))</f>
        <v/>
      </c>
      <c r="P525" s="20">
        <f>IF($U525="","",INDEX(상세표[06~07시],$U525))</f>
        <v/>
      </c>
      <c r="Q525" s="20">
        <f>IF($U525="","",INDEX(상세표[07~18시],$U525))</f>
        <v/>
      </c>
      <c r="R525" s="20">
        <f>IF($U525="","",INDEX(상세표[18~22시],$U525))</f>
        <v/>
      </c>
      <c r="S525" s="20">
        <f>IF($U525="","",INDEX(상세표[22~06시],$U525))</f>
        <v/>
      </c>
      <c r="T525" s="20">
        <f>IF($U525="","",INDEX(상세표[기록 시간외],$U525))</f>
        <v/>
      </c>
      <c r="U525" s="4">
        <f>IFERROR(MATCH(520,상세표[발송순번],0),"")</f>
        <v/>
      </c>
    </row>
    <row r="526">
      <c r="J526">
        <f>IF($U526="","",INDEX(상세표[사번],$U526)&amp;"")</f>
        <v/>
      </c>
      <c r="K526">
        <f>IF($U526="","",INDEX(상세표[성명],$U526)&amp;"")</f>
        <v/>
      </c>
      <c r="L526">
        <f>IF($U526="","",INDEX(상세표[직위],$U526)&amp;"")</f>
        <v/>
      </c>
      <c r="M526">
        <f>IF($U526="","",IF(ISNUMBER(INDEX(상세표[근무일자],$U526)),TEXT(INDEX(상세표[근무일자],$U526),"yyyy-mm-dd"),INDEX(상세표[근무일자],$U526)&amp;""))</f>
        <v/>
      </c>
      <c r="N526">
        <f>IF($U526="","",IF(ISNUMBER(INDEX(상세표[시작],$U526)),TEXT(INDEX(상세표[시작],$U526),"yyyy-mm-dd hh:mm"),INDEX(상세표[시작],$U526)&amp;""))</f>
        <v/>
      </c>
      <c r="O526">
        <f>IF($U526="","",IF(ISNUMBER(INDEX(상세표[종료],$U526)),TEXT(INDEX(상세표[종료],$U526),"yyyy-mm-dd hh:mm"),INDEX(상세표[종료],$U526)&amp;""))</f>
        <v/>
      </c>
      <c r="P526" s="20">
        <f>IF($U526="","",INDEX(상세표[06~07시],$U526))</f>
        <v/>
      </c>
      <c r="Q526" s="20">
        <f>IF($U526="","",INDEX(상세표[07~18시],$U526))</f>
        <v/>
      </c>
      <c r="R526" s="20">
        <f>IF($U526="","",INDEX(상세표[18~22시],$U526))</f>
        <v/>
      </c>
      <c r="S526" s="20">
        <f>IF($U526="","",INDEX(상세표[22~06시],$U526))</f>
        <v/>
      </c>
      <c r="T526" s="20">
        <f>IF($U526="","",INDEX(상세표[기록 시간외],$U526))</f>
        <v/>
      </c>
      <c r="U526" s="4">
        <f>IFERROR(MATCH(521,상세표[발송순번],0),"")</f>
        <v/>
      </c>
    </row>
    <row r="527">
      <c r="J527">
        <f>IF($U527="","",INDEX(상세표[사번],$U527)&amp;"")</f>
        <v/>
      </c>
      <c r="K527">
        <f>IF($U527="","",INDEX(상세표[성명],$U527)&amp;"")</f>
        <v/>
      </c>
      <c r="L527">
        <f>IF($U527="","",INDEX(상세표[직위],$U527)&amp;"")</f>
        <v/>
      </c>
      <c r="M527">
        <f>IF($U527="","",IF(ISNUMBER(INDEX(상세표[근무일자],$U527)),TEXT(INDEX(상세표[근무일자],$U527),"yyyy-mm-dd"),INDEX(상세표[근무일자],$U527)&amp;""))</f>
        <v/>
      </c>
      <c r="N527">
        <f>IF($U527="","",IF(ISNUMBER(INDEX(상세표[시작],$U527)),TEXT(INDEX(상세표[시작],$U527),"yyyy-mm-dd hh:mm"),INDEX(상세표[시작],$U527)&amp;""))</f>
        <v/>
      </c>
      <c r="O527">
        <f>IF($U527="","",IF(ISNUMBER(INDEX(상세표[종료],$U527)),TEXT(INDEX(상세표[종료],$U527),"yyyy-mm-dd hh:mm"),INDEX(상세표[종료],$U527)&amp;""))</f>
        <v/>
      </c>
      <c r="P527" s="20">
        <f>IF($U527="","",INDEX(상세표[06~07시],$U527))</f>
        <v/>
      </c>
      <c r="Q527" s="20">
        <f>IF($U527="","",INDEX(상세표[07~18시],$U527))</f>
        <v/>
      </c>
      <c r="R527" s="20">
        <f>IF($U527="","",INDEX(상세표[18~22시],$U527))</f>
        <v/>
      </c>
      <c r="S527" s="20">
        <f>IF($U527="","",INDEX(상세표[22~06시],$U527))</f>
        <v/>
      </c>
      <c r="T527" s="20">
        <f>IF($U527="","",INDEX(상세표[기록 시간외],$U527))</f>
        <v/>
      </c>
      <c r="U527" s="4">
        <f>IFERROR(MATCH(522,상세표[발송순번],0),"")</f>
        <v/>
      </c>
    </row>
    <row r="528">
      <c r="J528">
        <f>IF($U528="","",INDEX(상세표[사번],$U528)&amp;"")</f>
        <v/>
      </c>
      <c r="K528">
        <f>IF($U528="","",INDEX(상세표[성명],$U528)&amp;"")</f>
        <v/>
      </c>
      <c r="L528">
        <f>IF($U528="","",INDEX(상세표[직위],$U528)&amp;"")</f>
        <v/>
      </c>
      <c r="M528">
        <f>IF($U528="","",IF(ISNUMBER(INDEX(상세표[근무일자],$U528)),TEXT(INDEX(상세표[근무일자],$U528),"yyyy-mm-dd"),INDEX(상세표[근무일자],$U528)&amp;""))</f>
        <v/>
      </c>
      <c r="N528">
        <f>IF($U528="","",IF(ISNUMBER(INDEX(상세표[시작],$U528)),TEXT(INDEX(상세표[시작],$U528),"yyyy-mm-dd hh:mm"),INDEX(상세표[시작],$U528)&amp;""))</f>
        <v/>
      </c>
      <c r="O528">
        <f>IF($U528="","",IF(ISNUMBER(INDEX(상세표[종료],$U528)),TEXT(INDEX(상세표[종료],$U528),"yyyy-mm-dd hh:mm"),INDEX(상세표[종료],$U528)&amp;""))</f>
        <v/>
      </c>
      <c r="P528" s="20">
        <f>IF($U528="","",INDEX(상세표[06~07시],$U528))</f>
        <v/>
      </c>
      <c r="Q528" s="20">
        <f>IF($U528="","",INDEX(상세표[07~18시],$U528))</f>
        <v/>
      </c>
      <c r="R528" s="20">
        <f>IF($U528="","",INDEX(상세표[18~22시],$U528))</f>
        <v/>
      </c>
      <c r="S528" s="20">
        <f>IF($U528="","",INDEX(상세표[22~06시],$U528))</f>
        <v/>
      </c>
      <c r="T528" s="20">
        <f>IF($U528="","",INDEX(상세표[기록 시간외],$U528))</f>
        <v/>
      </c>
      <c r="U528" s="4">
        <f>IFERROR(MATCH(523,상세표[발송순번],0),"")</f>
        <v/>
      </c>
    </row>
    <row r="529">
      <c r="J529">
        <f>IF($U529="","",INDEX(상세표[사번],$U529)&amp;"")</f>
        <v/>
      </c>
      <c r="K529">
        <f>IF($U529="","",INDEX(상세표[성명],$U529)&amp;"")</f>
        <v/>
      </c>
      <c r="L529">
        <f>IF($U529="","",INDEX(상세표[직위],$U529)&amp;"")</f>
        <v/>
      </c>
      <c r="M529">
        <f>IF($U529="","",IF(ISNUMBER(INDEX(상세표[근무일자],$U529)),TEXT(INDEX(상세표[근무일자],$U529),"yyyy-mm-dd"),INDEX(상세표[근무일자],$U529)&amp;""))</f>
        <v/>
      </c>
      <c r="N529">
        <f>IF($U529="","",IF(ISNUMBER(INDEX(상세표[시작],$U529)),TEXT(INDEX(상세표[시작],$U529),"yyyy-mm-dd hh:mm"),INDEX(상세표[시작],$U529)&amp;""))</f>
        <v/>
      </c>
      <c r="O529">
        <f>IF($U529="","",IF(ISNUMBER(INDEX(상세표[종료],$U529)),TEXT(INDEX(상세표[종료],$U529),"yyyy-mm-dd hh:mm"),INDEX(상세표[종료],$U529)&amp;""))</f>
        <v/>
      </c>
      <c r="P529" s="20">
        <f>IF($U529="","",INDEX(상세표[06~07시],$U529))</f>
        <v/>
      </c>
      <c r="Q529" s="20">
        <f>IF($U529="","",INDEX(상세표[07~18시],$U529))</f>
        <v/>
      </c>
      <c r="R529" s="20">
        <f>IF($U529="","",INDEX(상세표[18~22시],$U529))</f>
        <v/>
      </c>
      <c r="S529" s="20">
        <f>IF($U529="","",INDEX(상세표[22~06시],$U529))</f>
        <v/>
      </c>
      <c r="T529" s="20">
        <f>IF($U529="","",INDEX(상세표[기록 시간외],$U529))</f>
        <v/>
      </c>
      <c r="U529" s="4">
        <f>IFERROR(MATCH(524,상세표[발송순번],0),"")</f>
        <v/>
      </c>
    </row>
    <row r="530">
      <c r="J530">
        <f>IF($U530="","",INDEX(상세표[사번],$U530)&amp;"")</f>
        <v/>
      </c>
      <c r="K530">
        <f>IF($U530="","",INDEX(상세표[성명],$U530)&amp;"")</f>
        <v/>
      </c>
      <c r="L530">
        <f>IF($U530="","",INDEX(상세표[직위],$U530)&amp;"")</f>
        <v/>
      </c>
      <c r="M530">
        <f>IF($U530="","",IF(ISNUMBER(INDEX(상세표[근무일자],$U530)),TEXT(INDEX(상세표[근무일자],$U530),"yyyy-mm-dd"),INDEX(상세표[근무일자],$U530)&amp;""))</f>
        <v/>
      </c>
      <c r="N530">
        <f>IF($U530="","",IF(ISNUMBER(INDEX(상세표[시작],$U530)),TEXT(INDEX(상세표[시작],$U530),"yyyy-mm-dd hh:mm"),INDEX(상세표[시작],$U530)&amp;""))</f>
        <v/>
      </c>
      <c r="O530">
        <f>IF($U530="","",IF(ISNUMBER(INDEX(상세표[종료],$U530)),TEXT(INDEX(상세표[종료],$U530),"yyyy-mm-dd hh:mm"),INDEX(상세표[종료],$U530)&amp;""))</f>
        <v/>
      </c>
      <c r="P530" s="20">
        <f>IF($U530="","",INDEX(상세표[06~07시],$U530))</f>
        <v/>
      </c>
      <c r="Q530" s="20">
        <f>IF($U530="","",INDEX(상세표[07~18시],$U530))</f>
        <v/>
      </c>
      <c r="R530" s="20">
        <f>IF($U530="","",INDEX(상세표[18~22시],$U530))</f>
        <v/>
      </c>
      <c r="S530" s="20">
        <f>IF($U530="","",INDEX(상세표[22~06시],$U530))</f>
        <v/>
      </c>
      <c r="T530" s="20">
        <f>IF($U530="","",INDEX(상세표[기록 시간외],$U530))</f>
        <v/>
      </c>
      <c r="U530" s="4">
        <f>IFERROR(MATCH(525,상세표[발송순번],0),"")</f>
        <v/>
      </c>
    </row>
    <row r="531">
      <c r="J531">
        <f>IF($U531="","",INDEX(상세표[사번],$U531)&amp;"")</f>
        <v/>
      </c>
      <c r="K531">
        <f>IF($U531="","",INDEX(상세표[성명],$U531)&amp;"")</f>
        <v/>
      </c>
      <c r="L531">
        <f>IF($U531="","",INDEX(상세표[직위],$U531)&amp;"")</f>
        <v/>
      </c>
      <c r="M531">
        <f>IF($U531="","",IF(ISNUMBER(INDEX(상세표[근무일자],$U531)),TEXT(INDEX(상세표[근무일자],$U531),"yyyy-mm-dd"),INDEX(상세표[근무일자],$U531)&amp;""))</f>
        <v/>
      </c>
      <c r="N531">
        <f>IF($U531="","",IF(ISNUMBER(INDEX(상세표[시작],$U531)),TEXT(INDEX(상세표[시작],$U531),"yyyy-mm-dd hh:mm"),INDEX(상세표[시작],$U531)&amp;""))</f>
        <v/>
      </c>
      <c r="O531">
        <f>IF($U531="","",IF(ISNUMBER(INDEX(상세표[종료],$U531)),TEXT(INDEX(상세표[종료],$U531),"yyyy-mm-dd hh:mm"),INDEX(상세표[종료],$U531)&amp;""))</f>
        <v/>
      </c>
      <c r="P531" s="20">
        <f>IF($U531="","",INDEX(상세표[06~07시],$U531))</f>
        <v/>
      </c>
      <c r="Q531" s="20">
        <f>IF($U531="","",INDEX(상세표[07~18시],$U531))</f>
        <v/>
      </c>
      <c r="R531" s="20">
        <f>IF($U531="","",INDEX(상세표[18~22시],$U531))</f>
        <v/>
      </c>
      <c r="S531" s="20">
        <f>IF($U531="","",INDEX(상세표[22~06시],$U531))</f>
        <v/>
      </c>
      <c r="T531" s="20">
        <f>IF($U531="","",INDEX(상세표[기록 시간외],$U531))</f>
        <v/>
      </c>
      <c r="U531" s="4">
        <f>IFERROR(MATCH(526,상세표[발송순번],0),"")</f>
        <v/>
      </c>
    </row>
    <row r="532">
      <c r="J532">
        <f>IF($U532="","",INDEX(상세표[사번],$U532)&amp;"")</f>
        <v/>
      </c>
      <c r="K532">
        <f>IF($U532="","",INDEX(상세표[성명],$U532)&amp;"")</f>
        <v/>
      </c>
      <c r="L532">
        <f>IF($U532="","",INDEX(상세표[직위],$U532)&amp;"")</f>
        <v/>
      </c>
      <c r="M532">
        <f>IF($U532="","",IF(ISNUMBER(INDEX(상세표[근무일자],$U532)),TEXT(INDEX(상세표[근무일자],$U532),"yyyy-mm-dd"),INDEX(상세표[근무일자],$U532)&amp;""))</f>
        <v/>
      </c>
      <c r="N532">
        <f>IF($U532="","",IF(ISNUMBER(INDEX(상세표[시작],$U532)),TEXT(INDEX(상세표[시작],$U532),"yyyy-mm-dd hh:mm"),INDEX(상세표[시작],$U532)&amp;""))</f>
        <v/>
      </c>
      <c r="O532">
        <f>IF($U532="","",IF(ISNUMBER(INDEX(상세표[종료],$U532)),TEXT(INDEX(상세표[종료],$U532),"yyyy-mm-dd hh:mm"),INDEX(상세표[종료],$U532)&amp;""))</f>
        <v/>
      </c>
      <c r="P532" s="20">
        <f>IF($U532="","",INDEX(상세표[06~07시],$U532))</f>
        <v/>
      </c>
      <c r="Q532" s="20">
        <f>IF($U532="","",INDEX(상세표[07~18시],$U532))</f>
        <v/>
      </c>
      <c r="R532" s="20">
        <f>IF($U532="","",INDEX(상세표[18~22시],$U532))</f>
        <v/>
      </c>
      <c r="S532" s="20">
        <f>IF($U532="","",INDEX(상세표[22~06시],$U532))</f>
        <v/>
      </c>
      <c r="T532" s="20">
        <f>IF($U532="","",INDEX(상세표[기록 시간외],$U532))</f>
        <v/>
      </c>
      <c r="U532" s="4">
        <f>IFERROR(MATCH(527,상세표[발송순번],0),"")</f>
        <v/>
      </c>
    </row>
    <row r="533">
      <c r="J533">
        <f>IF($U533="","",INDEX(상세표[사번],$U533)&amp;"")</f>
        <v/>
      </c>
      <c r="K533">
        <f>IF($U533="","",INDEX(상세표[성명],$U533)&amp;"")</f>
        <v/>
      </c>
      <c r="L533">
        <f>IF($U533="","",INDEX(상세표[직위],$U533)&amp;"")</f>
        <v/>
      </c>
      <c r="M533">
        <f>IF($U533="","",IF(ISNUMBER(INDEX(상세표[근무일자],$U533)),TEXT(INDEX(상세표[근무일자],$U533),"yyyy-mm-dd"),INDEX(상세표[근무일자],$U533)&amp;""))</f>
        <v/>
      </c>
      <c r="N533">
        <f>IF($U533="","",IF(ISNUMBER(INDEX(상세표[시작],$U533)),TEXT(INDEX(상세표[시작],$U533),"yyyy-mm-dd hh:mm"),INDEX(상세표[시작],$U533)&amp;""))</f>
        <v/>
      </c>
      <c r="O533">
        <f>IF($U533="","",IF(ISNUMBER(INDEX(상세표[종료],$U533)),TEXT(INDEX(상세표[종료],$U533),"yyyy-mm-dd hh:mm"),INDEX(상세표[종료],$U533)&amp;""))</f>
        <v/>
      </c>
      <c r="P533" s="20">
        <f>IF($U533="","",INDEX(상세표[06~07시],$U533))</f>
        <v/>
      </c>
      <c r="Q533" s="20">
        <f>IF($U533="","",INDEX(상세표[07~18시],$U533))</f>
        <v/>
      </c>
      <c r="R533" s="20">
        <f>IF($U533="","",INDEX(상세표[18~22시],$U533))</f>
        <v/>
      </c>
      <c r="S533" s="20">
        <f>IF($U533="","",INDEX(상세표[22~06시],$U533))</f>
        <v/>
      </c>
      <c r="T533" s="20">
        <f>IF($U533="","",INDEX(상세표[기록 시간외],$U533))</f>
        <v/>
      </c>
      <c r="U533" s="4">
        <f>IFERROR(MATCH(528,상세표[발송순번],0),"")</f>
        <v/>
      </c>
    </row>
    <row r="534">
      <c r="J534">
        <f>IF($U534="","",INDEX(상세표[사번],$U534)&amp;"")</f>
        <v/>
      </c>
      <c r="K534">
        <f>IF($U534="","",INDEX(상세표[성명],$U534)&amp;"")</f>
        <v/>
      </c>
      <c r="L534">
        <f>IF($U534="","",INDEX(상세표[직위],$U534)&amp;"")</f>
        <v/>
      </c>
      <c r="M534">
        <f>IF($U534="","",IF(ISNUMBER(INDEX(상세표[근무일자],$U534)),TEXT(INDEX(상세표[근무일자],$U534),"yyyy-mm-dd"),INDEX(상세표[근무일자],$U534)&amp;""))</f>
        <v/>
      </c>
      <c r="N534">
        <f>IF($U534="","",IF(ISNUMBER(INDEX(상세표[시작],$U534)),TEXT(INDEX(상세표[시작],$U534),"yyyy-mm-dd hh:mm"),INDEX(상세표[시작],$U534)&amp;""))</f>
        <v/>
      </c>
      <c r="O534">
        <f>IF($U534="","",IF(ISNUMBER(INDEX(상세표[종료],$U534)),TEXT(INDEX(상세표[종료],$U534),"yyyy-mm-dd hh:mm"),INDEX(상세표[종료],$U534)&amp;""))</f>
        <v/>
      </c>
      <c r="P534" s="20">
        <f>IF($U534="","",INDEX(상세표[06~07시],$U534))</f>
        <v/>
      </c>
      <c r="Q534" s="20">
        <f>IF($U534="","",INDEX(상세표[07~18시],$U534))</f>
        <v/>
      </c>
      <c r="R534" s="20">
        <f>IF($U534="","",INDEX(상세표[18~22시],$U534))</f>
        <v/>
      </c>
      <c r="S534" s="20">
        <f>IF($U534="","",INDEX(상세표[22~06시],$U534))</f>
        <v/>
      </c>
      <c r="T534" s="20">
        <f>IF($U534="","",INDEX(상세표[기록 시간외],$U534))</f>
        <v/>
      </c>
      <c r="U534" s="4">
        <f>IFERROR(MATCH(529,상세표[발송순번],0),"")</f>
        <v/>
      </c>
    </row>
    <row r="535">
      <c r="J535">
        <f>IF($U535="","",INDEX(상세표[사번],$U535)&amp;"")</f>
        <v/>
      </c>
      <c r="K535">
        <f>IF($U535="","",INDEX(상세표[성명],$U535)&amp;"")</f>
        <v/>
      </c>
      <c r="L535">
        <f>IF($U535="","",INDEX(상세표[직위],$U535)&amp;"")</f>
        <v/>
      </c>
      <c r="M535">
        <f>IF($U535="","",IF(ISNUMBER(INDEX(상세표[근무일자],$U535)),TEXT(INDEX(상세표[근무일자],$U535),"yyyy-mm-dd"),INDEX(상세표[근무일자],$U535)&amp;""))</f>
        <v/>
      </c>
      <c r="N535">
        <f>IF($U535="","",IF(ISNUMBER(INDEX(상세표[시작],$U535)),TEXT(INDEX(상세표[시작],$U535),"yyyy-mm-dd hh:mm"),INDEX(상세표[시작],$U535)&amp;""))</f>
        <v/>
      </c>
      <c r="O535">
        <f>IF($U535="","",IF(ISNUMBER(INDEX(상세표[종료],$U535)),TEXT(INDEX(상세표[종료],$U535),"yyyy-mm-dd hh:mm"),INDEX(상세표[종료],$U535)&amp;""))</f>
        <v/>
      </c>
      <c r="P535" s="20">
        <f>IF($U535="","",INDEX(상세표[06~07시],$U535))</f>
        <v/>
      </c>
      <c r="Q535" s="20">
        <f>IF($U535="","",INDEX(상세표[07~18시],$U535))</f>
        <v/>
      </c>
      <c r="R535" s="20">
        <f>IF($U535="","",INDEX(상세표[18~22시],$U535))</f>
        <v/>
      </c>
      <c r="S535" s="20">
        <f>IF($U535="","",INDEX(상세표[22~06시],$U535))</f>
        <v/>
      </c>
      <c r="T535" s="20">
        <f>IF($U535="","",INDEX(상세표[기록 시간외],$U535))</f>
        <v/>
      </c>
      <c r="U535" s="4">
        <f>IFERROR(MATCH(530,상세표[발송순번],0),"")</f>
        <v/>
      </c>
    </row>
    <row r="536">
      <c r="J536">
        <f>IF($U536="","",INDEX(상세표[사번],$U536)&amp;"")</f>
        <v/>
      </c>
      <c r="K536">
        <f>IF($U536="","",INDEX(상세표[성명],$U536)&amp;"")</f>
        <v/>
      </c>
      <c r="L536">
        <f>IF($U536="","",INDEX(상세표[직위],$U536)&amp;"")</f>
        <v/>
      </c>
      <c r="M536">
        <f>IF($U536="","",IF(ISNUMBER(INDEX(상세표[근무일자],$U536)),TEXT(INDEX(상세표[근무일자],$U536),"yyyy-mm-dd"),INDEX(상세표[근무일자],$U536)&amp;""))</f>
        <v/>
      </c>
      <c r="N536">
        <f>IF($U536="","",IF(ISNUMBER(INDEX(상세표[시작],$U536)),TEXT(INDEX(상세표[시작],$U536),"yyyy-mm-dd hh:mm"),INDEX(상세표[시작],$U536)&amp;""))</f>
        <v/>
      </c>
      <c r="O536">
        <f>IF($U536="","",IF(ISNUMBER(INDEX(상세표[종료],$U536)),TEXT(INDEX(상세표[종료],$U536),"yyyy-mm-dd hh:mm"),INDEX(상세표[종료],$U536)&amp;""))</f>
        <v/>
      </c>
      <c r="P536" s="20">
        <f>IF($U536="","",INDEX(상세표[06~07시],$U536))</f>
        <v/>
      </c>
      <c r="Q536" s="20">
        <f>IF($U536="","",INDEX(상세표[07~18시],$U536))</f>
        <v/>
      </c>
      <c r="R536" s="20">
        <f>IF($U536="","",INDEX(상세표[18~22시],$U536))</f>
        <v/>
      </c>
      <c r="S536" s="20">
        <f>IF($U536="","",INDEX(상세표[22~06시],$U536))</f>
        <v/>
      </c>
      <c r="T536" s="20">
        <f>IF($U536="","",INDEX(상세표[기록 시간외],$U536))</f>
        <v/>
      </c>
      <c r="U536" s="4">
        <f>IFERROR(MATCH(531,상세표[발송순번],0),"")</f>
        <v/>
      </c>
    </row>
    <row r="537">
      <c r="J537">
        <f>IF($U537="","",INDEX(상세표[사번],$U537)&amp;"")</f>
        <v/>
      </c>
      <c r="K537">
        <f>IF($U537="","",INDEX(상세표[성명],$U537)&amp;"")</f>
        <v/>
      </c>
      <c r="L537">
        <f>IF($U537="","",INDEX(상세표[직위],$U537)&amp;"")</f>
        <v/>
      </c>
      <c r="M537">
        <f>IF($U537="","",IF(ISNUMBER(INDEX(상세표[근무일자],$U537)),TEXT(INDEX(상세표[근무일자],$U537),"yyyy-mm-dd"),INDEX(상세표[근무일자],$U537)&amp;""))</f>
        <v/>
      </c>
      <c r="N537">
        <f>IF($U537="","",IF(ISNUMBER(INDEX(상세표[시작],$U537)),TEXT(INDEX(상세표[시작],$U537),"yyyy-mm-dd hh:mm"),INDEX(상세표[시작],$U537)&amp;""))</f>
        <v/>
      </c>
      <c r="O537">
        <f>IF($U537="","",IF(ISNUMBER(INDEX(상세표[종료],$U537)),TEXT(INDEX(상세표[종료],$U537),"yyyy-mm-dd hh:mm"),INDEX(상세표[종료],$U537)&amp;""))</f>
        <v/>
      </c>
      <c r="P537" s="20">
        <f>IF($U537="","",INDEX(상세표[06~07시],$U537))</f>
        <v/>
      </c>
      <c r="Q537" s="20">
        <f>IF($U537="","",INDEX(상세표[07~18시],$U537))</f>
        <v/>
      </c>
      <c r="R537" s="20">
        <f>IF($U537="","",INDEX(상세표[18~22시],$U537))</f>
        <v/>
      </c>
      <c r="S537" s="20">
        <f>IF($U537="","",INDEX(상세표[22~06시],$U537))</f>
        <v/>
      </c>
      <c r="T537" s="20">
        <f>IF($U537="","",INDEX(상세표[기록 시간외],$U537))</f>
        <v/>
      </c>
      <c r="U537" s="4">
        <f>IFERROR(MATCH(532,상세표[발송순번],0),"")</f>
        <v/>
      </c>
    </row>
    <row r="538">
      <c r="J538">
        <f>IF($U538="","",INDEX(상세표[사번],$U538)&amp;"")</f>
        <v/>
      </c>
      <c r="K538">
        <f>IF($U538="","",INDEX(상세표[성명],$U538)&amp;"")</f>
        <v/>
      </c>
      <c r="L538">
        <f>IF($U538="","",INDEX(상세표[직위],$U538)&amp;"")</f>
        <v/>
      </c>
      <c r="M538">
        <f>IF($U538="","",IF(ISNUMBER(INDEX(상세표[근무일자],$U538)),TEXT(INDEX(상세표[근무일자],$U538),"yyyy-mm-dd"),INDEX(상세표[근무일자],$U538)&amp;""))</f>
        <v/>
      </c>
      <c r="N538">
        <f>IF($U538="","",IF(ISNUMBER(INDEX(상세표[시작],$U538)),TEXT(INDEX(상세표[시작],$U538),"yyyy-mm-dd hh:mm"),INDEX(상세표[시작],$U538)&amp;""))</f>
        <v/>
      </c>
      <c r="O538">
        <f>IF($U538="","",IF(ISNUMBER(INDEX(상세표[종료],$U538)),TEXT(INDEX(상세표[종료],$U538),"yyyy-mm-dd hh:mm"),INDEX(상세표[종료],$U538)&amp;""))</f>
        <v/>
      </c>
      <c r="P538" s="20">
        <f>IF($U538="","",INDEX(상세표[06~07시],$U538))</f>
        <v/>
      </c>
      <c r="Q538" s="20">
        <f>IF($U538="","",INDEX(상세표[07~18시],$U538))</f>
        <v/>
      </c>
      <c r="R538" s="20">
        <f>IF($U538="","",INDEX(상세표[18~22시],$U538))</f>
        <v/>
      </c>
      <c r="S538" s="20">
        <f>IF($U538="","",INDEX(상세표[22~06시],$U538))</f>
        <v/>
      </c>
      <c r="T538" s="20">
        <f>IF($U538="","",INDEX(상세표[기록 시간외],$U538))</f>
        <v/>
      </c>
      <c r="U538" s="4">
        <f>IFERROR(MATCH(533,상세표[발송순번],0),"")</f>
        <v/>
      </c>
    </row>
    <row r="539">
      <c r="J539">
        <f>IF($U539="","",INDEX(상세표[사번],$U539)&amp;"")</f>
        <v/>
      </c>
      <c r="K539">
        <f>IF($U539="","",INDEX(상세표[성명],$U539)&amp;"")</f>
        <v/>
      </c>
      <c r="L539">
        <f>IF($U539="","",INDEX(상세표[직위],$U539)&amp;"")</f>
        <v/>
      </c>
      <c r="M539">
        <f>IF($U539="","",IF(ISNUMBER(INDEX(상세표[근무일자],$U539)),TEXT(INDEX(상세표[근무일자],$U539),"yyyy-mm-dd"),INDEX(상세표[근무일자],$U539)&amp;""))</f>
        <v/>
      </c>
      <c r="N539">
        <f>IF($U539="","",IF(ISNUMBER(INDEX(상세표[시작],$U539)),TEXT(INDEX(상세표[시작],$U539),"yyyy-mm-dd hh:mm"),INDEX(상세표[시작],$U539)&amp;""))</f>
        <v/>
      </c>
      <c r="O539">
        <f>IF($U539="","",IF(ISNUMBER(INDEX(상세표[종료],$U539)),TEXT(INDEX(상세표[종료],$U539),"yyyy-mm-dd hh:mm"),INDEX(상세표[종료],$U539)&amp;""))</f>
        <v/>
      </c>
      <c r="P539" s="20">
        <f>IF($U539="","",INDEX(상세표[06~07시],$U539))</f>
        <v/>
      </c>
      <c r="Q539" s="20">
        <f>IF($U539="","",INDEX(상세표[07~18시],$U539))</f>
        <v/>
      </c>
      <c r="R539" s="20">
        <f>IF($U539="","",INDEX(상세표[18~22시],$U539))</f>
        <v/>
      </c>
      <c r="S539" s="20">
        <f>IF($U539="","",INDEX(상세표[22~06시],$U539))</f>
        <v/>
      </c>
      <c r="T539" s="20">
        <f>IF($U539="","",INDEX(상세표[기록 시간외],$U539))</f>
        <v/>
      </c>
      <c r="U539" s="4">
        <f>IFERROR(MATCH(534,상세표[발송순번],0),"")</f>
        <v/>
      </c>
    </row>
    <row r="540">
      <c r="J540">
        <f>IF($U540="","",INDEX(상세표[사번],$U540)&amp;"")</f>
        <v/>
      </c>
      <c r="K540">
        <f>IF($U540="","",INDEX(상세표[성명],$U540)&amp;"")</f>
        <v/>
      </c>
      <c r="L540">
        <f>IF($U540="","",INDEX(상세표[직위],$U540)&amp;"")</f>
        <v/>
      </c>
      <c r="M540">
        <f>IF($U540="","",IF(ISNUMBER(INDEX(상세표[근무일자],$U540)),TEXT(INDEX(상세표[근무일자],$U540),"yyyy-mm-dd"),INDEX(상세표[근무일자],$U540)&amp;""))</f>
        <v/>
      </c>
      <c r="N540">
        <f>IF($U540="","",IF(ISNUMBER(INDEX(상세표[시작],$U540)),TEXT(INDEX(상세표[시작],$U540),"yyyy-mm-dd hh:mm"),INDEX(상세표[시작],$U540)&amp;""))</f>
        <v/>
      </c>
      <c r="O540">
        <f>IF($U540="","",IF(ISNUMBER(INDEX(상세표[종료],$U540)),TEXT(INDEX(상세표[종료],$U540),"yyyy-mm-dd hh:mm"),INDEX(상세표[종료],$U540)&amp;""))</f>
        <v/>
      </c>
      <c r="P540" s="20">
        <f>IF($U540="","",INDEX(상세표[06~07시],$U540))</f>
        <v/>
      </c>
      <c r="Q540" s="20">
        <f>IF($U540="","",INDEX(상세표[07~18시],$U540))</f>
        <v/>
      </c>
      <c r="R540" s="20">
        <f>IF($U540="","",INDEX(상세표[18~22시],$U540))</f>
        <v/>
      </c>
      <c r="S540" s="20">
        <f>IF($U540="","",INDEX(상세표[22~06시],$U540))</f>
        <v/>
      </c>
      <c r="T540" s="20">
        <f>IF($U540="","",INDEX(상세표[기록 시간외],$U540))</f>
        <v/>
      </c>
      <c r="U540" s="4">
        <f>IFERROR(MATCH(535,상세표[발송순번],0),"")</f>
        <v/>
      </c>
    </row>
    <row r="541">
      <c r="J541">
        <f>IF($U541="","",INDEX(상세표[사번],$U541)&amp;"")</f>
        <v/>
      </c>
      <c r="K541">
        <f>IF($U541="","",INDEX(상세표[성명],$U541)&amp;"")</f>
        <v/>
      </c>
      <c r="L541">
        <f>IF($U541="","",INDEX(상세표[직위],$U541)&amp;"")</f>
        <v/>
      </c>
      <c r="M541">
        <f>IF($U541="","",IF(ISNUMBER(INDEX(상세표[근무일자],$U541)),TEXT(INDEX(상세표[근무일자],$U541),"yyyy-mm-dd"),INDEX(상세표[근무일자],$U541)&amp;""))</f>
        <v/>
      </c>
      <c r="N541">
        <f>IF($U541="","",IF(ISNUMBER(INDEX(상세표[시작],$U541)),TEXT(INDEX(상세표[시작],$U541),"yyyy-mm-dd hh:mm"),INDEX(상세표[시작],$U541)&amp;""))</f>
        <v/>
      </c>
      <c r="O541">
        <f>IF($U541="","",IF(ISNUMBER(INDEX(상세표[종료],$U541)),TEXT(INDEX(상세표[종료],$U541),"yyyy-mm-dd hh:mm"),INDEX(상세표[종료],$U541)&amp;""))</f>
        <v/>
      </c>
      <c r="P541" s="20">
        <f>IF($U541="","",INDEX(상세표[06~07시],$U541))</f>
        <v/>
      </c>
      <c r="Q541" s="20">
        <f>IF($U541="","",INDEX(상세표[07~18시],$U541))</f>
        <v/>
      </c>
      <c r="R541" s="20">
        <f>IF($U541="","",INDEX(상세표[18~22시],$U541))</f>
        <v/>
      </c>
      <c r="S541" s="20">
        <f>IF($U541="","",INDEX(상세표[22~06시],$U541))</f>
        <v/>
      </c>
      <c r="T541" s="20">
        <f>IF($U541="","",INDEX(상세표[기록 시간외],$U541))</f>
        <v/>
      </c>
      <c r="U541" s="4">
        <f>IFERROR(MATCH(536,상세표[발송순번],0),"")</f>
        <v/>
      </c>
    </row>
    <row r="542">
      <c r="J542">
        <f>IF($U542="","",INDEX(상세표[사번],$U542)&amp;"")</f>
        <v/>
      </c>
      <c r="K542">
        <f>IF($U542="","",INDEX(상세표[성명],$U542)&amp;"")</f>
        <v/>
      </c>
      <c r="L542">
        <f>IF($U542="","",INDEX(상세표[직위],$U542)&amp;"")</f>
        <v/>
      </c>
      <c r="M542">
        <f>IF($U542="","",IF(ISNUMBER(INDEX(상세표[근무일자],$U542)),TEXT(INDEX(상세표[근무일자],$U542),"yyyy-mm-dd"),INDEX(상세표[근무일자],$U542)&amp;""))</f>
        <v/>
      </c>
      <c r="N542">
        <f>IF($U542="","",IF(ISNUMBER(INDEX(상세표[시작],$U542)),TEXT(INDEX(상세표[시작],$U542),"yyyy-mm-dd hh:mm"),INDEX(상세표[시작],$U542)&amp;""))</f>
        <v/>
      </c>
      <c r="O542">
        <f>IF($U542="","",IF(ISNUMBER(INDEX(상세표[종료],$U542)),TEXT(INDEX(상세표[종료],$U542),"yyyy-mm-dd hh:mm"),INDEX(상세표[종료],$U542)&amp;""))</f>
        <v/>
      </c>
      <c r="P542" s="20">
        <f>IF($U542="","",INDEX(상세표[06~07시],$U542))</f>
        <v/>
      </c>
      <c r="Q542" s="20">
        <f>IF($U542="","",INDEX(상세표[07~18시],$U542))</f>
        <v/>
      </c>
      <c r="R542" s="20">
        <f>IF($U542="","",INDEX(상세표[18~22시],$U542))</f>
        <v/>
      </c>
      <c r="S542" s="20">
        <f>IF($U542="","",INDEX(상세표[22~06시],$U542))</f>
        <v/>
      </c>
      <c r="T542" s="20">
        <f>IF($U542="","",INDEX(상세표[기록 시간외],$U542))</f>
        <v/>
      </c>
      <c r="U542" s="4">
        <f>IFERROR(MATCH(537,상세표[발송순번],0),"")</f>
        <v/>
      </c>
    </row>
    <row r="543">
      <c r="J543">
        <f>IF($U543="","",INDEX(상세표[사번],$U543)&amp;"")</f>
        <v/>
      </c>
      <c r="K543">
        <f>IF($U543="","",INDEX(상세표[성명],$U543)&amp;"")</f>
        <v/>
      </c>
      <c r="L543">
        <f>IF($U543="","",INDEX(상세표[직위],$U543)&amp;"")</f>
        <v/>
      </c>
      <c r="M543">
        <f>IF($U543="","",IF(ISNUMBER(INDEX(상세표[근무일자],$U543)),TEXT(INDEX(상세표[근무일자],$U543),"yyyy-mm-dd"),INDEX(상세표[근무일자],$U543)&amp;""))</f>
        <v/>
      </c>
      <c r="N543">
        <f>IF($U543="","",IF(ISNUMBER(INDEX(상세표[시작],$U543)),TEXT(INDEX(상세표[시작],$U543),"yyyy-mm-dd hh:mm"),INDEX(상세표[시작],$U543)&amp;""))</f>
        <v/>
      </c>
      <c r="O543">
        <f>IF($U543="","",IF(ISNUMBER(INDEX(상세표[종료],$U543)),TEXT(INDEX(상세표[종료],$U543),"yyyy-mm-dd hh:mm"),INDEX(상세표[종료],$U543)&amp;""))</f>
        <v/>
      </c>
      <c r="P543" s="20">
        <f>IF($U543="","",INDEX(상세표[06~07시],$U543))</f>
        <v/>
      </c>
      <c r="Q543" s="20">
        <f>IF($U543="","",INDEX(상세표[07~18시],$U543))</f>
        <v/>
      </c>
      <c r="R543" s="20">
        <f>IF($U543="","",INDEX(상세표[18~22시],$U543))</f>
        <v/>
      </c>
      <c r="S543" s="20">
        <f>IF($U543="","",INDEX(상세표[22~06시],$U543))</f>
        <v/>
      </c>
      <c r="T543" s="20">
        <f>IF($U543="","",INDEX(상세표[기록 시간외],$U543))</f>
        <v/>
      </c>
      <c r="U543" s="4">
        <f>IFERROR(MATCH(538,상세표[발송순번],0),"")</f>
        <v/>
      </c>
    </row>
    <row r="544">
      <c r="J544">
        <f>IF($U544="","",INDEX(상세표[사번],$U544)&amp;"")</f>
        <v/>
      </c>
      <c r="K544">
        <f>IF($U544="","",INDEX(상세표[성명],$U544)&amp;"")</f>
        <v/>
      </c>
      <c r="L544">
        <f>IF($U544="","",INDEX(상세표[직위],$U544)&amp;"")</f>
        <v/>
      </c>
      <c r="M544">
        <f>IF($U544="","",IF(ISNUMBER(INDEX(상세표[근무일자],$U544)),TEXT(INDEX(상세표[근무일자],$U544),"yyyy-mm-dd"),INDEX(상세표[근무일자],$U544)&amp;""))</f>
        <v/>
      </c>
      <c r="N544">
        <f>IF($U544="","",IF(ISNUMBER(INDEX(상세표[시작],$U544)),TEXT(INDEX(상세표[시작],$U544),"yyyy-mm-dd hh:mm"),INDEX(상세표[시작],$U544)&amp;""))</f>
        <v/>
      </c>
      <c r="O544">
        <f>IF($U544="","",IF(ISNUMBER(INDEX(상세표[종료],$U544)),TEXT(INDEX(상세표[종료],$U544),"yyyy-mm-dd hh:mm"),INDEX(상세표[종료],$U544)&amp;""))</f>
        <v/>
      </c>
      <c r="P544" s="20">
        <f>IF($U544="","",INDEX(상세표[06~07시],$U544))</f>
        <v/>
      </c>
      <c r="Q544" s="20">
        <f>IF($U544="","",INDEX(상세표[07~18시],$U544))</f>
        <v/>
      </c>
      <c r="R544" s="20">
        <f>IF($U544="","",INDEX(상세표[18~22시],$U544))</f>
        <v/>
      </c>
      <c r="S544" s="20">
        <f>IF($U544="","",INDEX(상세표[22~06시],$U544))</f>
        <v/>
      </c>
      <c r="T544" s="20">
        <f>IF($U544="","",INDEX(상세표[기록 시간외],$U544))</f>
        <v/>
      </c>
      <c r="U544" s="4">
        <f>IFERROR(MATCH(539,상세표[발송순번],0),"")</f>
        <v/>
      </c>
    </row>
    <row r="545">
      <c r="J545">
        <f>IF($U545="","",INDEX(상세표[사번],$U545)&amp;"")</f>
        <v/>
      </c>
      <c r="K545">
        <f>IF($U545="","",INDEX(상세표[성명],$U545)&amp;"")</f>
        <v/>
      </c>
      <c r="L545">
        <f>IF($U545="","",INDEX(상세표[직위],$U545)&amp;"")</f>
        <v/>
      </c>
      <c r="M545">
        <f>IF($U545="","",IF(ISNUMBER(INDEX(상세표[근무일자],$U545)),TEXT(INDEX(상세표[근무일자],$U545),"yyyy-mm-dd"),INDEX(상세표[근무일자],$U545)&amp;""))</f>
        <v/>
      </c>
      <c r="N545">
        <f>IF($U545="","",IF(ISNUMBER(INDEX(상세표[시작],$U545)),TEXT(INDEX(상세표[시작],$U545),"yyyy-mm-dd hh:mm"),INDEX(상세표[시작],$U545)&amp;""))</f>
        <v/>
      </c>
      <c r="O545">
        <f>IF($U545="","",IF(ISNUMBER(INDEX(상세표[종료],$U545)),TEXT(INDEX(상세표[종료],$U545),"yyyy-mm-dd hh:mm"),INDEX(상세표[종료],$U545)&amp;""))</f>
        <v/>
      </c>
      <c r="P545" s="20">
        <f>IF($U545="","",INDEX(상세표[06~07시],$U545))</f>
        <v/>
      </c>
      <c r="Q545" s="20">
        <f>IF($U545="","",INDEX(상세표[07~18시],$U545))</f>
        <v/>
      </c>
      <c r="R545" s="20">
        <f>IF($U545="","",INDEX(상세표[18~22시],$U545))</f>
        <v/>
      </c>
      <c r="S545" s="20">
        <f>IF($U545="","",INDEX(상세표[22~06시],$U545))</f>
        <v/>
      </c>
      <c r="T545" s="20">
        <f>IF($U545="","",INDEX(상세표[기록 시간외],$U545))</f>
        <v/>
      </c>
      <c r="U545" s="4">
        <f>IFERROR(MATCH(540,상세표[발송순번],0),"")</f>
        <v/>
      </c>
    </row>
    <row r="546">
      <c r="J546">
        <f>IF($U546="","",INDEX(상세표[사번],$U546)&amp;"")</f>
        <v/>
      </c>
      <c r="K546">
        <f>IF($U546="","",INDEX(상세표[성명],$U546)&amp;"")</f>
        <v/>
      </c>
      <c r="L546">
        <f>IF($U546="","",INDEX(상세표[직위],$U546)&amp;"")</f>
        <v/>
      </c>
      <c r="M546">
        <f>IF($U546="","",IF(ISNUMBER(INDEX(상세표[근무일자],$U546)),TEXT(INDEX(상세표[근무일자],$U546),"yyyy-mm-dd"),INDEX(상세표[근무일자],$U546)&amp;""))</f>
        <v/>
      </c>
      <c r="N546">
        <f>IF($U546="","",IF(ISNUMBER(INDEX(상세표[시작],$U546)),TEXT(INDEX(상세표[시작],$U546),"yyyy-mm-dd hh:mm"),INDEX(상세표[시작],$U546)&amp;""))</f>
        <v/>
      </c>
      <c r="O546">
        <f>IF($U546="","",IF(ISNUMBER(INDEX(상세표[종료],$U546)),TEXT(INDEX(상세표[종료],$U546),"yyyy-mm-dd hh:mm"),INDEX(상세표[종료],$U546)&amp;""))</f>
        <v/>
      </c>
      <c r="P546" s="20">
        <f>IF($U546="","",INDEX(상세표[06~07시],$U546))</f>
        <v/>
      </c>
      <c r="Q546" s="20">
        <f>IF($U546="","",INDEX(상세표[07~18시],$U546))</f>
        <v/>
      </c>
      <c r="R546" s="20">
        <f>IF($U546="","",INDEX(상세표[18~22시],$U546))</f>
        <v/>
      </c>
      <c r="S546" s="20">
        <f>IF($U546="","",INDEX(상세표[22~06시],$U546))</f>
        <v/>
      </c>
      <c r="T546" s="20">
        <f>IF($U546="","",INDEX(상세표[기록 시간외],$U546))</f>
        <v/>
      </c>
      <c r="U546" s="4">
        <f>IFERROR(MATCH(541,상세표[발송순번],0),"")</f>
        <v/>
      </c>
    </row>
    <row r="547">
      <c r="J547">
        <f>IF($U547="","",INDEX(상세표[사번],$U547)&amp;"")</f>
        <v/>
      </c>
      <c r="K547">
        <f>IF($U547="","",INDEX(상세표[성명],$U547)&amp;"")</f>
        <v/>
      </c>
      <c r="L547">
        <f>IF($U547="","",INDEX(상세표[직위],$U547)&amp;"")</f>
        <v/>
      </c>
      <c r="M547">
        <f>IF($U547="","",IF(ISNUMBER(INDEX(상세표[근무일자],$U547)),TEXT(INDEX(상세표[근무일자],$U547),"yyyy-mm-dd"),INDEX(상세표[근무일자],$U547)&amp;""))</f>
        <v/>
      </c>
      <c r="N547">
        <f>IF($U547="","",IF(ISNUMBER(INDEX(상세표[시작],$U547)),TEXT(INDEX(상세표[시작],$U547),"yyyy-mm-dd hh:mm"),INDEX(상세표[시작],$U547)&amp;""))</f>
        <v/>
      </c>
      <c r="O547">
        <f>IF($U547="","",IF(ISNUMBER(INDEX(상세표[종료],$U547)),TEXT(INDEX(상세표[종료],$U547),"yyyy-mm-dd hh:mm"),INDEX(상세표[종료],$U547)&amp;""))</f>
        <v/>
      </c>
      <c r="P547" s="20">
        <f>IF($U547="","",INDEX(상세표[06~07시],$U547))</f>
        <v/>
      </c>
      <c r="Q547" s="20">
        <f>IF($U547="","",INDEX(상세표[07~18시],$U547))</f>
        <v/>
      </c>
      <c r="R547" s="20">
        <f>IF($U547="","",INDEX(상세표[18~22시],$U547))</f>
        <v/>
      </c>
      <c r="S547" s="20">
        <f>IF($U547="","",INDEX(상세표[22~06시],$U547))</f>
        <v/>
      </c>
      <c r="T547" s="20">
        <f>IF($U547="","",INDEX(상세표[기록 시간외],$U547))</f>
        <v/>
      </c>
      <c r="U547" s="4">
        <f>IFERROR(MATCH(542,상세표[발송순번],0),"")</f>
        <v/>
      </c>
    </row>
    <row r="548">
      <c r="J548">
        <f>IF($U548="","",INDEX(상세표[사번],$U548)&amp;"")</f>
        <v/>
      </c>
      <c r="K548">
        <f>IF($U548="","",INDEX(상세표[성명],$U548)&amp;"")</f>
        <v/>
      </c>
      <c r="L548">
        <f>IF($U548="","",INDEX(상세표[직위],$U548)&amp;"")</f>
        <v/>
      </c>
      <c r="M548">
        <f>IF($U548="","",IF(ISNUMBER(INDEX(상세표[근무일자],$U548)),TEXT(INDEX(상세표[근무일자],$U548),"yyyy-mm-dd"),INDEX(상세표[근무일자],$U548)&amp;""))</f>
        <v/>
      </c>
      <c r="N548">
        <f>IF($U548="","",IF(ISNUMBER(INDEX(상세표[시작],$U548)),TEXT(INDEX(상세표[시작],$U548),"yyyy-mm-dd hh:mm"),INDEX(상세표[시작],$U548)&amp;""))</f>
        <v/>
      </c>
      <c r="O548">
        <f>IF($U548="","",IF(ISNUMBER(INDEX(상세표[종료],$U548)),TEXT(INDEX(상세표[종료],$U548),"yyyy-mm-dd hh:mm"),INDEX(상세표[종료],$U548)&amp;""))</f>
        <v/>
      </c>
      <c r="P548" s="20">
        <f>IF($U548="","",INDEX(상세표[06~07시],$U548))</f>
        <v/>
      </c>
      <c r="Q548" s="20">
        <f>IF($U548="","",INDEX(상세표[07~18시],$U548))</f>
        <v/>
      </c>
      <c r="R548" s="20">
        <f>IF($U548="","",INDEX(상세표[18~22시],$U548))</f>
        <v/>
      </c>
      <c r="S548" s="20">
        <f>IF($U548="","",INDEX(상세표[22~06시],$U548))</f>
        <v/>
      </c>
      <c r="T548" s="20">
        <f>IF($U548="","",INDEX(상세표[기록 시간외],$U548))</f>
        <v/>
      </c>
      <c r="U548" s="4">
        <f>IFERROR(MATCH(543,상세표[발송순번],0),"")</f>
        <v/>
      </c>
    </row>
    <row r="549">
      <c r="J549">
        <f>IF($U549="","",INDEX(상세표[사번],$U549)&amp;"")</f>
        <v/>
      </c>
      <c r="K549">
        <f>IF($U549="","",INDEX(상세표[성명],$U549)&amp;"")</f>
        <v/>
      </c>
      <c r="L549">
        <f>IF($U549="","",INDEX(상세표[직위],$U549)&amp;"")</f>
        <v/>
      </c>
      <c r="M549">
        <f>IF($U549="","",IF(ISNUMBER(INDEX(상세표[근무일자],$U549)),TEXT(INDEX(상세표[근무일자],$U549),"yyyy-mm-dd"),INDEX(상세표[근무일자],$U549)&amp;""))</f>
        <v/>
      </c>
      <c r="N549">
        <f>IF($U549="","",IF(ISNUMBER(INDEX(상세표[시작],$U549)),TEXT(INDEX(상세표[시작],$U549),"yyyy-mm-dd hh:mm"),INDEX(상세표[시작],$U549)&amp;""))</f>
        <v/>
      </c>
      <c r="O549">
        <f>IF($U549="","",IF(ISNUMBER(INDEX(상세표[종료],$U549)),TEXT(INDEX(상세표[종료],$U549),"yyyy-mm-dd hh:mm"),INDEX(상세표[종료],$U549)&amp;""))</f>
        <v/>
      </c>
      <c r="P549" s="20">
        <f>IF($U549="","",INDEX(상세표[06~07시],$U549))</f>
        <v/>
      </c>
      <c r="Q549" s="20">
        <f>IF($U549="","",INDEX(상세표[07~18시],$U549))</f>
        <v/>
      </c>
      <c r="R549" s="20">
        <f>IF($U549="","",INDEX(상세표[18~22시],$U549))</f>
        <v/>
      </c>
      <c r="S549" s="20">
        <f>IF($U549="","",INDEX(상세표[22~06시],$U549))</f>
        <v/>
      </c>
      <c r="T549" s="20">
        <f>IF($U549="","",INDEX(상세표[기록 시간외],$U549))</f>
        <v/>
      </c>
      <c r="U549" s="4">
        <f>IFERROR(MATCH(544,상세표[발송순번],0),"")</f>
        <v/>
      </c>
    </row>
    <row r="550">
      <c r="J550">
        <f>IF($U550="","",INDEX(상세표[사번],$U550)&amp;"")</f>
        <v/>
      </c>
      <c r="K550">
        <f>IF($U550="","",INDEX(상세표[성명],$U550)&amp;"")</f>
        <v/>
      </c>
      <c r="L550">
        <f>IF($U550="","",INDEX(상세표[직위],$U550)&amp;"")</f>
        <v/>
      </c>
      <c r="M550">
        <f>IF($U550="","",IF(ISNUMBER(INDEX(상세표[근무일자],$U550)),TEXT(INDEX(상세표[근무일자],$U550),"yyyy-mm-dd"),INDEX(상세표[근무일자],$U550)&amp;""))</f>
        <v/>
      </c>
      <c r="N550">
        <f>IF($U550="","",IF(ISNUMBER(INDEX(상세표[시작],$U550)),TEXT(INDEX(상세표[시작],$U550),"yyyy-mm-dd hh:mm"),INDEX(상세표[시작],$U550)&amp;""))</f>
        <v/>
      </c>
      <c r="O550">
        <f>IF($U550="","",IF(ISNUMBER(INDEX(상세표[종료],$U550)),TEXT(INDEX(상세표[종료],$U550),"yyyy-mm-dd hh:mm"),INDEX(상세표[종료],$U550)&amp;""))</f>
        <v/>
      </c>
      <c r="P550" s="20">
        <f>IF($U550="","",INDEX(상세표[06~07시],$U550))</f>
        <v/>
      </c>
      <c r="Q550" s="20">
        <f>IF($U550="","",INDEX(상세표[07~18시],$U550))</f>
        <v/>
      </c>
      <c r="R550" s="20">
        <f>IF($U550="","",INDEX(상세표[18~22시],$U550))</f>
        <v/>
      </c>
      <c r="S550" s="20">
        <f>IF($U550="","",INDEX(상세표[22~06시],$U550))</f>
        <v/>
      </c>
      <c r="T550" s="20">
        <f>IF($U550="","",INDEX(상세표[기록 시간외],$U550))</f>
        <v/>
      </c>
      <c r="U550" s="4">
        <f>IFERROR(MATCH(545,상세표[발송순번],0),"")</f>
        <v/>
      </c>
    </row>
    <row r="551">
      <c r="J551">
        <f>IF($U551="","",INDEX(상세표[사번],$U551)&amp;"")</f>
        <v/>
      </c>
      <c r="K551">
        <f>IF($U551="","",INDEX(상세표[성명],$U551)&amp;"")</f>
        <v/>
      </c>
      <c r="L551">
        <f>IF($U551="","",INDEX(상세표[직위],$U551)&amp;"")</f>
        <v/>
      </c>
      <c r="M551">
        <f>IF($U551="","",IF(ISNUMBER(INDEX(상세표[근무일자],$U551)),TEXT(INDEX(상세표[근무일자],$U551),"yyyy-mm-dd"),INDEX(상세표[근무일자],$U551)&amp;""))</f>
        <v/>
      </c>
      <c r="N551">
        <f>IF($U551="","",IF(ISNUMBER(INDEX(상세표[시작],$U551)),TEXT(INDEX(상세표[시작],$U551),"yyyy-mm-dd hh:mm"),INDEX(상세표[시작],$U551)&amp;""))</f>
        <v/>
      </c>
      <c r="O551">
        <f>IF($U551="","",IF(ISNUMBER(INDEX(상세표[종료],$U551)),TEXT(INDEX(상세표[종료],$U551),"yyyy-mm-dd hh:mm"),INDEX(상세표[종료],$U551)&amp;""))</f>
        <v/>
      </c>
      <c r="P551" s="20">
        <f>IF($U551="","",INDEX(상세표[06~07시],$U551))</f>
        <v/>
      </c>
      <c r="Q551" s="20">
        <f>IF($U551="","",INDEX(상세표[07~18시],$U551))</f>
        <v/>
      </c>
      <c r="R551" s="20">
        <f>IF($U551="","",INDEX(상세표[18~22시],$U551))</f>
        <v/>
      </c>
      <c r="S551" s="20">
        <f>IF($U551="","",INDEX(상세표[22~06시],$U551))</f>
        <v/>
      </c>
      <c r="T551" s="20">
        <f>IF($U551="","",INDEX(상세표[기록 시간외],$U551))</f>
        <v/>
      </c>
      <c r="U551" s="4">
        <f>IFERROR(MATCH(546,상세표[발송순번],0),"")</f>
        <v/>
      </c>
    </row>
    <row r="552">
      <c r="J552">
        <f>IF($U552="","",INDEX(상세표[사번],$U552)&amp;"")</f>
        <v/>
      </c>
      <c r="K552">
        <f>IF($U552="","",INDEX(상세표[성명],$U552)&amp;"")</f>
        <v/>
      </c>
      <c r="L552">
        <f>IF($U552="","",INDEX(상세표[직위],$U552)&amp;"")</f>
        <v/>
      </c>
      <c r="M552">
        <f>IF($U552="","",IF(ISNUMBER(INDEX(상세표[근무일자],$U552)),TEXT(INDEX(상세표[근무일자],$U552),"yyyy-mm-dd"),INDEX(상세표[근무일자],$U552)&amp;""))</f>
        <v/>
      </c>
      <c r="N552">
        <f>IF($U552="","",IF(ISNUMBER(INDEX(상세표[시작],$U552)),TEXT(INDEX(상세표[시작],$U552),"yyyy-mm-dd hh:mm"),INDEX(상세표[시작],$U552)&amp;""))</f>
        <v/>
      </c>
      <c r="O552">
        <f>IF($U552="","",IF(ISNUMBER(INDEX(상세표[종료],$U552)),TEXT(INDEX(상세표[종료],$U552),"yyyy-mm-dd hh:mm"),INDEX(상세표[종료],$U552)&amp;""))</f>
        <v/>
      </c>
      <c r="P552" s="20">
        <f>IF($U552="","",INDEX(상세표[06~07시],$U552))</f>
        <v/>
      </c>
      <c r="Q552" s="20">
        <f>IF($U552="","",INDEX(상세표[07~18시],$U552))</f>
        <v/>
      </c>
      <c r="R552" s="20">
        <f>IF($U552="","",INDEX(상세표[18~22시],$U552))</f>
        <v/>
      </c>
      <c r="S552" s="20">
        <f>IF($U552="","",INDEX(상세표[22~06시],$U552))</f>
        <v/>
      </c>
      <c r="T552" s="20">
        <f>IF($U552="","",INDEX(상세표[기록 시간외],$U552))</f>
        <v/>
      </c>
      <c r="U552" s="4">
        <f>IFERROR(MATCH(547,상세표[발송순번],0),"")</f>
        <v/>
      </c>
    </row>
    <row r="553">
      <c r="J553">
        <f>IF($U553="","",INDEX(상세표[사번],$U553)&amp;"")</f>
        <v/>
      </c>
      <c r="K553">
        <f>IF($U553="","",INDEX(상세표[성명],$U553)&amp;"")</f>
        <v/>
      </c>
      <c r="L553">
        <f>IF($U553="","",INDEX(상세표[직위],$U553)&amp;"")</f>
        <v/>
      </c>
      <c r="M553">
        <f>IF($U553="","",IF(ISNUMBER(INDEX(상세표[근무일자],$U553)),TEXT(INDEX(상세표[근무일자],$U553),"yyyy-mm-dd"),INDEX(상세표[근무일자],$U553)&amp;""))</f>
        <v/>
      </c>
      <c r="N553">
        <f>IF($U553="","",IF(ISNUMBER(INDEX(상세표[시작],$U553)),TEXT(INDEX(상세표[시작],$U553),"yyyy-mm-dd hh:mm"),INDEX(상세표[시작],$U553)&amp;""))</f>
        <v/>
      </c>
      <c r="O553">
        <f>IF($U553="","",IF(ISNUMBER(INDEX(상세표[종료],$U553)),TEXT(INDEX(상세표[종료],$U553),"yyyy-mm-dd hh:mm"),INDEX(상세표[종료],$U553)&amp;""))</f>
        <v/>
      </c>
      <c r="P553" s="20">
        <f>IF($U553="","",INDEX(상세표[06~07시],$U553))</f>
        <v/>
      </c>
      <c r="Q553" s="20">
        <f>IF($U553="","",INDEX(상세표[07~18시],$U553))</f>
        <v/>
      </c>
      <c r="R553" s="20">
        <f>IF($U553="","",INDEX(상세표[18~22시],$U553))</f>
        <v/>
      </c>
      <c r="S553" s="20">
        <f>IF($U553="","",INDEX(상세표[22~06시],$U553))</f>
        <v/>
      </c>
      <c r="T553" s="20">
        <f>IF($U553="","",INDEX(상세표[기록 시간외],$U553))</f>
        <v/>
      </c>
      <c r="U553" s="4">
        <f>IFERROR(MATCH(548,상세표[발송순번],0),"")</f>
        <v/>
      </c>
    </row>
    <row r="554">
      <c r="J554">
        <f>IF($U554="","",INDEX(상세표[사번],$U554)&amp;"")</f>
        <v/>
      </c>
      <c r="K554">
        <f>IF($U554="","",INDEX(상세표[성명],$U554)&amp;"")</f>
        <v/>
      </c>
      <c r="L554">
        <f>IF($U554="","",INDEX(상세표[직위],$U554)&amp;"")</f>
        <v/>
      </c>
      <c r="M554">
        <f>IF($U554="","",IF(ISNUMBER(INDEX(상세표[근무일자],$U554)),TEXT(INDEX(상세표[근무일자],$U554),"yyyy-mm-dd"),INDEX(상세표[근무일자],$U554)&amp;""))</f>
        <v/>
      </c>
      <c r="N554">
        <f>IF($U554="","",IF(ISNUMBER(INDEX(상세표[시작],$U554)),TEXT(INDEX(상세표[시작],$U554),"yyyy-mm-dd hh:mm"),INDEX(상세표[시작],$U554)&amp;""))</f>
        <v/>
      </c>
      <c r="O554">
        <f>IF($U554="","",IF(ISNUMBER(INDEX(상세표[종료],$U554)),TEXT(INDEX(상세표[종료],$U554),"yyyy-mm-dd hh:mm"),INDEX(상세표[종료],$U554)&amp;""))</f>
        <v/>
      </c>
      <c r="P554" s="20">
        <f>IF($U554="","",INDEX(상세표[06~07시],$U554))</f>
        <v/>
      </c>
      <c r="Q554" s="20">
        <f>IF($U554="","",INDEX(상세표[07~18시],$U554))</f>
        <v/>
      </c>
      <c r="R554" s="20">
        <f>IF($U554="","",INDEX(상세표[18~22시],$U554))</f>
        <v/>
      </c>
      <c r="S554" s="20">
        <f>IF($U554="","",INDEX(상세표[22~06시],$U554))</f>
        <v/>
      </c>
      <c r="T554" s="20">
        <f>IF($U554="","",INDEX(상세표[기록 시간외],$U554))</f>
        <v/>
      </c>
      <c r="U554" s="4">
        <f>IFERROR(MATCH(549,상세표[발송순번],0),"")</f>
        <v/>
      </c>
    </row>
    <row r="555">
      <c r="J555">
        <f>IF($U555="","",INDEX(상세표[사번],$U555)&amp;"")</f>
        <v/>
      </c>
      <c r="K555">
        <f>IF($U555="","",INDEX(상세표[성명],$U555)&amp;"")</f>
        <v/>
      </c>
      <c r="L555">
        <f>IF($U555="","",INDEX(상세표[직위],$U555)&amp;"")</f>
        <v/>
      </c>
      <c r="M555">
        <f>IF($U555="","",IF(ISNUMBER(INDEX(상세표[근무일자],$U555)),TEXT(INDEX(상세표[근무일자],$U555),"yyyy-mm-dd"),INDEX(상세표[근무일자],$U555)&amp;""))</f>
        <v/>
      </c>
      <c r="N555">
        <f>IF($U555="","",IF(ISNUMBER(INDEX(상세표[시작],$U555)),TEXT(INDEX(상세표[시작],$U555),"yyyy-mm-dd hh:mm"),INDEX(상세표[시작],$U555)&amp;""))</f>
        <v/>
      </c>
      <c r="O555">
        <f>IF($U555="","",IF(ISNUMBER(INDEX(상세표[종료],$U555)),TEXT(INDEX(상세표[종료],$U555),"yyyy-mm-dd hh:mm"),INDEX(상세표[종료],$U555)&amp;""))</f>
        <v/>
      </c>
      <c r="P555" s="20">
        <f>IF($U555="","",INDEX(상세표[06~07시],$U555))</f>
        <v/>
      </c>
      <c r="Q555" s="20">
        <f>IF($U555="","",INDEX(상세표[07~18시],$U555))</f>
        <v/>
      </c>
      <c r="R555" s="20">
        <f>IF($U555="","",INDEX(상세표[18~22시],$U555))</f>
        <v/>
      </c>
      <c r="S555" s="20">
        <f>IF($U555="","",INDEX(상세표[22~06시],$U555))</f>
        <v/>
      </c>
      <c r="T555" s="20">
        <f>IF($U555="","",INDEX(상세표[기록 시간외],$U555))</f>
        <v/>
      </c>
      <c r="U555" s="4">
        <f>IFERROR(MATCH(550,상세표[발송순번],0),"")</f>
        <v/>
      </c>
    </row>
    <row r="556">
      <c r="J556">
        <f>IF($U556="","",INDEX(상세표[사번],$U556)&amp;"")</f>
        <v/>
      </c>
      <c r="K556">
        <f>IF($U556="","",INDEX(상세표[성명],$U556)&amp;"")</f>
        <v/>
      </c>
      <c r="L556">
        <f>IF($U556="","",INDEX(상세표[직위],$U556)&amp;"")</f>
        <v/>
      </c>
      <c r="M556">
        <f>IF($U556="","",IF(ISNUMBER(INDEX(상세표[근무일자],$U556)),TEXT(INDEX(상세표[근무일자],$U556),"yyyy-mm-dd"),INDEX(상세표[근무일자],$U556)&amp;""))</f>
        <v/>
      </c>
      <c r="N556">
        <f>IF($U556="","",IF(ISNUMBER(INDEX(상세표[시작],$U556)),TEXT(INDEX(상세표[시작],$U556),"yyyy-mm-dd hh:mm"),INDEX(상세표[시작],$U556)&amp;""))</f>
        <v/>
      </c>
      <c r="O556">
        <f>IF($U556="","",IF(ISNUMBER(INDEX(상세표[종료],$U556)),TEXT(INDEX(상세표[종료],$U556),"yyyy-mm-dd hh:mm"),INDEX(상세표[종료],$U556)&amp;""))</f>
        <v/>
      </c>
      <c r="P556" s="20">
        <f>IF($U556="","",INDEX(상세표[06~07시],$U556))</f>
        <v/>
      </c>
      <c r="Q556" s="20">
        <f>IF($U556="","",INDEX(상세표[07~18시],$U556))</f>
        <v/>
      </c>
      <c r="R556" s="20">
        <f>IF($U556="","",INDEX(상세표[18~22시],$U556))</f>
        <v/>
      </c>
      <c r="S556" s="20">
        <f>IF($U556="","",INDEX(상세표[22~06시],$U556))</f>
        <v/>
      </c>
      <c r="T556" s="20">
        <f>IF($U556="","",INDEX(상세표[기록 시간외],$U556))</f>
        <v/>
      </c>
      <c r="U556" s="4">
        <f>IFERROR(MATCH(551,상세표[발송순번],0),"")</f>
        <v/>
      </c>
    </row>
    <row r="557">
      <c r="J557">
        <f>IF($U557="","",INDEX(상세표[사번],$U557)&amp;"")</f>
        <v/>
      </c>
      <c r="K557">
        <f>IF($U557="","",INDEX(상세표[성명],$U557)&amp;"")</f>
        <v/>
      </c>
      <c r="L557">
        <f>IF($U557="","",INDEX(상세표[직위],$U557)&amp;"")</f>
        <v/>
      </c>
      <c r="M557">
        <f>IF($U557="","",IF(ISNUMBER(INDEX(상세표[근무일자],$U557)),TEXT(INDEX(상세표[근무일자],$U557),"yyyy-mm-dd"),INDEX(상세표[근무일자],$U557)&amp;""))</f>
        <v/>
      </c>
      <c r="N557">
        <f>IF($U557="","",IF(ISNUMBER(INDEX(상세표[시작],$U557)),TEXT(INDEX(상세표[시작],$U557),"yyyy-mm-dd hh:mm"),INDEX(상세표[시작],$U557)&amp;""))</f>
        <v/>
      </c>
      <c r="O557">
        <f>IF($U557="","",IF(ISNUMBER(INDEX(상세표[종료],$U557)),TEXT(INDEX(상세표[종료],$U557),"yyyy-mm-dd hh:mm"),INDEX(상세표[종료],$U557)&amp;""))</f>
        <v/>
      </c>
      <c r="P557" s="20">
        <f>IF($U557="","",INDEX(상세표[06~07시],$U557))</f>
        <v/>
      </c>
      <c r="Q557" s="20">
        <f>IF($U557="","",INDEX(상세표[07~18시],$U557))</f>
        <v/>
      </c>
      <c r="R557" s="20">
        <f>IF($U557="","",INDEX(상세표[18~22시],$U557))</f>
        <v/>
      </c>
      <c r="S557" s="20">
        <f>IF($U557="","",INDEX(상세표[22~06시],$U557))</f>
        <v/>
      </c>
      <c r="T557" s="20">
        <f>IF($U557="","",INDEX(상세표[기록 시간외],$U557))</f>
        <v/>
      </c>
      <c r="U557" s="4">
        <f>IFERROR(MATCH(552,상세표[발송순번],0),"")</f>
        <v/>
      </c>
    </row>
    <row r="558">
      <c r="J558">
        <f>IF($U558="","",INDEX(상세표[사번],$U558)&amp;"")</f>
        <v/>
      </c>
      <c r="K558">
        <f>IF($U558="","",INDEX(상세표[성명],$U558)&amp;"")</f>
        <v/>
      </c>
      <c r="L558">
        <f>IF($U558="","",INDEX(상세표[직위],$U558)&amp;"")</f>
        <v/>
      </c>
      <c r="M558">
        <f>IF($U558="","",IF(ISNUMBER(INDEX(상세표[근무일자],$U558)),TEXT(INDEX(상세표[근무일자],$U558),"yyyy-mm-dd"),INDEX(상세표[근무일자],$U558)&amp;""))</f>
        <v/>
      </c>
      <c r="N558">
        <f>IF($U558="","",IF(ISNUMBER(INDEX(상세표[시작],$U558)),TEXT(INDEX(상세표[시작],$U558),"yyyy-mm-dd hh:mm"),INDEX(상세표[시작],$U558)&amp;""))</f>
        <v/>
      </c>
      <c r="O558">
        <f>IF($U558="","",IF(ISNUMBER(INDEX(상세표[종료],$U558)),TEXT(INDEX(상세표[종료],$U558),"yyyy-mm-dd hh:mm"),INDEX(상세표[종료],$U558)&amp;""))</f>
        <v/>
      </c>
      <c r="P558" s="20">
        <f>IF($U558="","",INDEX(상세표[06~07시],$U558))</f>
        <v/>
      </c>
      <c r="Q558" s="20">
        <f>IF($U558="","",INDEX(상세표[07~18시],$U558))</f>
        <v/>
      </c>
      <c r="R558" s="20">
        <f>IF($U558="","",INDEX(상세표[18~22시],$U558))</f>
        <v/>
      </c>
      <c r="S558" s="20">
        <f>IF($U558="","",INDEX(상세표[22~06시],$U558))</f>
        <v/>
      </c>
      <c r="T558" s="20">
        <f>IF($U558="","",INDEX(상세표[기록 시간외],$U558))</f>
        <v/>
      </c>
      <c r="U558" s="4">
        <f>IFERROR(MATCH(553,상세표[발송순번],0),"")</f>
        <v/>
      </c>
    </row>
    <row r="559">
      <c r="J559">
        <f>IF($U559="","",INDEX(상세표[사번],$U559)&amp;"")</f>
        <v/>
      </c>
      <c r="K559">
        <f>IF($U559="","",INDEX(상세표[성명],$U559)&amp;"")</f>
        <v/>
      </c>
      <c r="L559">
        <f>IF($U559="","",INDEX(상세표[직위],$U559)&amp;"")</f>
        <v/>
      </c>
      <c r="M559">
        <f>IF($U559="","",IF(ISNUMBER(INDEX(상세표[근무일자],$U559)),TEXT(INDEX(상세표[근무일자],$U559),"yyyy-mm-dd"),INDEX(상세표[근무일자],$U559)&amp;""))</f>
        <v/>
      </c>
      <c r="N559">
        <f>IF($U559="","",IF(ISNUMBER(INDEX(상세표[시작],$U559)),TEXT(INDEX(상세표[시작],$U559),"yyyy-mm-dd hh:mm"),INDEX(상세표[시작],$U559)&amp;""))</f>
        <v/>
      </c>
      <c r="O559">
        <f>IF($U559="","",IF(ISNUMBER(INDEX(상세표[종료],$U559)),TEXT(INDEX(상세표[종료],$U559),"yyyy-mm-dd hh:mm"),INDEX(상세표[종료],$U559)&amp;""))</f>
        <v/>
      </c>
      <c r="P559" s="20">
        <f>IF($U559="","",INDEX(상세표[06~07시],$U559))</f>
        <v/>
      </c>
      <c r="Q559" s="20">
        <f>IF($U559="","",INDEX(상세표[07~18시],$U559))</f>
        <v/>
      </c>
      <c r="R559" s="20">
        <f>IF($U559="","",INDEX(상세표[18~22시],$U559))</f>
        <v/>
      </c>
      <c r="S559" s="20">
        <f>IF($U559="","",INDEX(상세표[22~06시],$U559))</f>
        <v/>
      </c>
      <c r="T559" s="20">
        <f>IF($U559="","",INDEX(상세표[기록 시간외],$U559))</f>
        <v/>
      </c>
      <c r="U559" s="4">
        <f>IFERROR(MATCH(554,상세표[발송순번],0),"")</f>
        <v/>
      </c>
    </row>
    <row r="560">
      <c r="J560">
        <f>IF($U560="","",INDEX(상세표[사번],$U560)&amp;"")</f>
        <v/>
      </c>
      <c r="K560">
        <f>IF($U560="","",INDEX(상세표[성명],$U560)&amp;"")</f>
        <v/>
      </c>
      <c r="L560">
        <f>IF($U560="","",INDEX(상세표[직위],$U560)&amp;"")</f>
        <v/>
      </c>
      <c r="M560">
        <f>IF($U560="","",IF(ISNUMBER(INDEX(상세표[근무일자],$U560)),TEXT(INDEX(상세표[근무일자],$U560),"yyyy-mm-dd"),INDEX(상세표[근무일자],$U560)&amp;""))</f>
        <v/>
      </c>
      <c r="N560">
        <f>IF($U560="","",IF(ISNUMBER(INDEX(상세표[시작],$U560)),TEXT(INDEX(상세표[시작],$U560),"yyyy-mm-dd hh:mm"),INDEX(상세표[시작],$U560)&amp;""))</f>
        <v/>
      </c>
      <c r="O560">
        <f>IF($U560="","",IF(ISNUMBER(INDEX(상세표[종료],$U560)),TEXT(INDEX(상세표[종료],$U560),"yyyy-mm-dd hh:mm"),INDEX(상세표[종료],$U560)&amp;""))</f>
        <v/>
      </c>
      <c r="P560" s="20">
        <f>IF($U560="","",INDEX(상세표[06~07시],$U560))</f>
        <v/>
      </c>
      <c r="Q560" s="20">
        <f>IF($U560="","",INDEX(상세표[07~18시],$U560))</f>
        <v/>
      </c>
      <c r="R560" s="20">
        <f>IF($U560="","",INDEX(상세표[18~22시],$U560))</f>
        <v/>
      </c>
      <c r="S560" s="20">
        <f>IF($U560="","",INDEX(상세표[22~06시],$U560))</f>
        <v/>
      </c>
      <c r="T560" s="20">
        <f>IF($U560="","",INDEX(상세표[기록 시간외],$U560))</f>
        <v/>
      </c>
      <c r="U560" s="4">
        <f>IFERROR(MATCH(555,상세표[발송순번],0),"")</f>
        <v/>
      </c>
    </row>
    <row r="561">
      <c r="J561">
        <f>IF($U561="","",INDEX(상세표[사번],$U561)&amp;"")</f>
        <v/>
      </c>
      <c r="K561">
        <f>IF($U561="","",INDEX(상세표[성명],$U561)&amp;"")</f>
        <v/>
      </c>
      <c r="L561">
        <f>IF($U561="","",INDEX(상세표[직위],$U561)&amp;"")</f>
        <v/>
      </c>
      <c r="M561">
        <f>IF($U561="","",IF(ISNUMBER(INDEX(상세표[근무일자],$U561)),TEXT(INDEX(상세표[근무일자],$U561),"yyyy-mm-dd"),INDEX(상세표[근무일자],$U561)&amp;""))</f>
        <v/>
      </c>
      <c r="N561">
        <f>IF($U561="","",IF(ISNUMBER(INDEX(상세표[시작],$U561)),TEXT(INDEX(상세표[시작],$U561),"yyyy-mm-dd hh:mm"),INDEX(상세표[시작],$U561)&amp;""))</f>
        <v/>
      </c>
      <c r="O561">
        <f>IF($U561="","",IF(ISNUMBER(INDEX(상세표[종료],$U561)),TEXT(INDEX(상세표[종료],$U561),"yyyy-mm-dd hh:mm"),INDEX(상세표[종료],$U561)&amp;""))</f>
        <v/>
      </c>
      <c r="P561" s="20">
        <f>IF($U561="","",INDEX(상세표[06~07시],$U561))</f>
        <v/>
      </c>
      <c r="Q561" s="20">
        <f>IF($U561="","",INDEX(상세표[07~18시],$U561))</f>
        <v/>
      </c>
      <c r="R561" s="20">
        <f>IF($U561="","",INDEX(상세표[18~22시],$U561))</f>
        <v/>
      </c>
      <c r="S561" s="20">
        <f>IF($U561="","",INDEX(상세표[22~06시],$U561))</f>
        <v/>
      </c>
      <c r="T561" s="20">
        <f>IF($U561="","",INDEX(상세표[기록 시간외],$U561))</f>
        <v/>
      </c>
      <c r="U561" s="4">
        <f>IFERROR(MATCH(556,상세표[발송순번],0),"")</f>
        <v/>
      </c>
    </row>
    <row r="562">
      <c r="J562">
        <f>IF($U562="","",INDEX(상세표[사번],$U562)&amp;"")</f>
        <v/>
      </c>
      <c r="K562">
        <f>IF($U562="","",INDEX(상세표[성명],$U562)&amp;"")</f>
        <v/>
      </c>
      <c r="L562">
        <f>IF($U562="","",INDEX(상세표[직위],$U562)&amp;"")</f>
        <v/>
      </c>
      <c r="M562">
        <f>IF($U562="","",IF(ISNUMBER(INDEX(상세표[근무일자],$U562)),TEXT(INDEX(상세표[근무일자],$U562),"yyyy-mm-dd"),INDEX(상세표[근무일자],$U562)&amp;""))</f>
        <v/>
      </c>
      <c r="N562">
        <f>IF($U562="","",IF(ISNUMBER(INDEX(상세표[시작],$U562)),TEXT(INDEX(상세표[시작],$U562),"yyyy-mm-dd hh:mm"),INDEX(상세표[시작],$U562)&amp;""))</f>
        <v/>
      </c>
      <c r="O562">
        <f>IF($U562="","",IF(ISNUMBER(INDEX(상세표[종료],$U562)),TEXT(INDEX(상세표[종료],$U562),"yyyy-mm-dd hh:mm"),INDEX(상세표[종료],$U562)&amp;""))</f>
        <v/>
      </c>
      <c r="P562" s="20">
        <f>IF($U562="","",INDEX(상세표[06~07시],$U562))</f>
        <v/>
      </c>
      <c r="Q562" s="20">
        <f>IF($U562="","",INDEX(상세표[07~18시],$U562))</f>
        <v/>
      </c>
      <c r="R562" s="20">
        <f>IF($U562="","",INDEX(상세표[18~22시],$U562))</f>
        <v/>
      </c>
      <c r="S562" s="20">
        <f>IF($U562="","",INDEX(상세표[22~06시],$U562))</f>
        <v/>
      </c>
      <c r="T562" s="20">
        <f>IF($U562="","",INDEX(상세표[기록 시간외],$U562))</f>
        <v/>
      </c>
      <c r="U562" s="4">
        <f>IFERROR(MATCH(557,상세표[발송순번],0),"")</f>
        <v/>
      </c>
    </row>
    <row r="563">
      <c r="J563">
        <f>IF($U563="","",INDEX(상세표[사번],$U563)&amp;"")</f>
        <v/>
      </c>
      <c r="K563">
        <f>IF($U563="","",INDEX(상세표[성명],$U563)&amp;"")</f>
        <v/>
      </c>
      <c r="L563">
        <f>IF($U563="","",INDEX(상세표[직위],$U563)&amp;"")</f>
        <v/>
      </c>
      <c r="M563">
        <f>IF($U563="","",IF(ISNUMBER(INDEX(상세표[근무일자],$U563)),TEXT(INDEX(상세표[근무일자],$U563),"yyyy-mm-dd"),INDEX(상세표[근무일자],$U563)&amp;""))</f>
        <v/>
      </c>
      <c r="N563">
        <f>IF($U563="","",IF(ISNUMBER(INDEX(상세표[시작],$U563)),TEXT(INDEX(상세표[시작],$U563),"yyyy-mm-dd hh:mm"),INDEX(상세표[시작],$U563)&amp;""))</f>
        <v/>
      </c>
      <c r="O563">
        <f>IF($U563="","",IF(ISNUMBER(INDEX(상세표[종료],$U563)),TEXT(INDEX(상세표[종료],$U563),"yyyy-mm-dd hh:mm"),INDEX(상세표[종료],$U563)&amp;""))</f>
        <v/>
      </c>
      <c r="P563" s="20">
        <f>IF($U563="","",INDEX(상세표[06~07시],$U563))</f>
        <v/>
      </c>
      <c r="Q563" s="20">
        <f>IF($U563="","",INDEX(상세표[07~18시],$U563))</f>
        <v/>
      </c>
      <c r="R563" s="20">
        <f>IF($U563="","",INDEX(상세표[18~22시],$U563))</f>
        <v/>
      </c>
      <c r="S563" s="20">
        <f>IF($U563="","",INDEX(상세표[22~06시],$U563))</f>
        <v/>
      </c>
      <c r="T563" s="20">
        <f>IF($U563="","",INDEX(상세표[기록 시간외],$U563))</f>
        <v/>
      </c>
      <c r="U563" s="4">
        <f>IFERROR(MATCH(558,상세표[발송순번],0),"")</f>
        <v/>
      </c>
    </row>
    <row r="564">
      <c r="J564">
        <f>IF($U564="","",INDEX(상세표[사번],$U564)&amp;"")</f>
        <v/>
      </c>
      <c r="K564">
        <f>IF($U564="","",INDEX(상세표[성명],$U564)&amp;"")</f>
        <v/>
      </c>
      <c r="L564">
        <f>IF($U564="","",INDEX(상세표[직위],$U564)&amp;"")</f>
        <v/>
      </c>
      <c r="M564">
        <f>IF($U564="","",IF(ISNUMBER(INDEX(상세표[근무일자],$U564)),TEXT(INDEX(상세표[근무일자],$U564),"yyyy-mm-dd"),INDEX(상세표[근무일자],$U564)&amp;""))</f>
        <v/>
      </c>
      <c r="N564">
        <f>IF($U564="","",IF(ISNUMBER(INDEX(상세표[시작],$U564)),TEXT(INDEX(상세표[시작],$U564),"yyyy-mm-dd hh:mm"),INDEX(상세표[시작],$U564)&amp;""))</f>
        <v/>
      </c>
      <c r="O564">
        <f>IF($U564="","",IF(ISNUMBER(INDEX(상세표[종료],$U564)),TEXT(INDEX(상세표[종료],$U564),"yyyy-mm-dd hh:mm"),INDEX(상세표[종료],$U564)&amp;""))</f>
        <v/>
      </c>
      <c r="P564" s="20">
        <f>IF($U564="","",INDEX(상세표[06~07시],$U564))</f>
        <v/>
      </c>
      <c r="Q564" s="20">
        <f>IF($U564="","",INDEX(상세표[07~18시],$U564))</f>
        <v/>
      </c>
      <c r="R564" s="20">
        <f>IF($U564="","",INDEX(상세표[18~22시],$U564))</f>
        <v/>
      </c>
      <c r="S564" s="20">
        <f>IF($U564="","",INDEX(상세표[22~06시],$U564))</f>
        <v/>
      </c>
      <c r="T564" s="20">
        <f>IF($U564="","",INDEX(상세표[기록 시간외],$U564))</f>
        <v/>
      </c>
      <c r="U564" s="4">
        <f>IFERROR(MATCH(559,상세표[발송순번],0),"")</f>
        <v/>
      </c>
    </row>
    <row r="565">
      <c r="J565">
        <f>IF($U565="","",INDEX(상세표[사번],$U565)&amp;"")</f>
        <v/>
      </c>
      <c r="K565">
        <f>IF($U565="","",INDEX(상세표[성명],$U565)&amp;"")</f>
        <v/>
      </c>
      <c r="L565">
        <f>IF($U565="","",INDEX(상세표[직위],$U565)&amp;"")</f>
        <v/>
      </c>
      <c r="M565">
        <f>IF($U565="","",IF(ISNUMBER(INDEX(상세표[근무일자],$U565)),TEXT(INDEX(상세표[근무일자],$U565),"yyyy-mm-dd"),INDEX(상세표[근무일자],$U565)&amp;""))</f>
        <v/>
      </c>
      <c r="N565">
        <f>IF($U565="","",IF(ISNUMBER(INDEX(상세표[시작],$U565)),TEXT(INDEX(상세표[시작],$U565),"yyyy-mm-dd hh:mm"),INDEX(상세표[시작],$U565)&amp;""))</f>
        <v/>
      </c>
      <c r="O565">
        <f>IF($U565="","",IF(ISNUMBER(INDEX(상세표[종료],$U565)),TEXT(INDEX(상세표[종료],$U565),"yyyy-mm-dd hh:mm"),INDEX(상세표[종료],$U565)&amp;""))</f>
        <v/>
      </c>
      <c r="P565" s="20">
        <f>IF($U565="","",INDEX(상세표[06~07시],$U565))</f>
        <v/>
      </c>
      <c r="Q565" s="20">
        <f>IF($U565="","",INDEX(상세표[07~18시],$U565))</f>
        <v/>
      </c>
      <c r="R565" s="20">
        <f>IF($U565="","",INDEX(상세표[18~22시],$U565))</f>
        <v/>
      </c>
      <c r="S565" s="20">
        <f>IF($U565="","",INDEX(상세표[22~06시],$U565))</f>
        <v/>
      </c>
      <c r="T565" s="20">
        <f>IF($U565="","",INDEX(상세표[기록 시간외],$U565))</f>
        <v/>
      </c>
      <c r="U565" s="4">
        <f>IFERROR(MATCH(560,상세표[발송순번],0),"")</f>
        <v/>
      </c>
    </row>
    <row r="566">
      <c r="J566">
        <f>IF($U566="","",INDEX(상세표[사번],$U566)&amp;"")</f>
        <v/>
      </c>
      <c r="K566">
        <f>IF($U566="","",INDEX(상세표[성명],$U566)&amp;"")</f>
        <v/>
      </c>
      <c r="L566">
        <f>IF($U566="","",INDEX(상세표[직위],$U566)&amp;"")</f>
        <v/>
      </c>
      <c r="M566">
        <f>IF($U566="","",IF(ISNUMBER(INDEX(상세표[근무일자],$U566)),TEXT(INDEX(상세표[근무일자],$U566),"yyyy-mm-dd"),INDEX(상세표[근무일자],$U566)&amp;""))</f>
        <v/>
      </c>
      <c r="N566">
        <f>IF($U566="","",IF(ISNUMBER(INDEX(상세표[시작],$U566)),TEXT(INDEX(상세표[시작],$U566),"yyyy-mm-dd hh:mm"),INDEX(상세표[시작],$U566)&amp;""))</f>
        <v/>
      </c>
      <c r="O566">
        <f>IF($U566="","",IF(ISNUMBER(INDEX(상세표[종료],$U566)),TEXT(INDEX(상세표[종료],$U566),"yyyy-mm-dd hh:mm"),INDEX(상세표[종료],$U566)&amp;""))</f>
        <v/>
      </c>
      <c r="P566" s="20">
        <f>IF($U566="","",INDEX(상세표[06~07시],$U566))</f>
        <v/>
      </c>
      <c r="Q566" s="20">
        <f>IF($U566="","",INDEX(상세표[07~18시],$U566))</f>
        <v/>
      </c>
      <c r="R566" s="20">
        <f>IF($U566="","",INDEX(상세표[18~22시],$U566))</f>
        <v/>
      </c>
      <c r="S566" s="20">
        <f>IF($U566="","",INDEX(상세표[22~06시],$U566))</f>
        <v/>
      </c>
      <c r="T566" s="20">
        <f>IF($U566="","",INDEX(상세표[기록 시간외],$U566))</f>
        <v/>
      </c>
      <c r="U566" s="4">
        <f>IFERROR(MATCH(561,상세표[발송순번],0),"")</f>
        <v/>
      </c>
    </row>
    <row r="567">
      <c r="J567">
        <f>IF($U567="","",INDEX(상세표[사번],$U567)&amp;"")</f>
        <v/>
      </c>
      <c r="K567">
        <f>IF($U567="","",INDEX(상세표[성명],$U567)&amp;"")</f>
        <v/>
      </c>
      <c r="L567">
        <f>IF($U567="","",INDEX(상세표[직위],$U567)&amp;"")</f>
        <v/>
      </c>
      <c r="M567">
        <f>IF($U567="","",IF(ISNUMBER(INDEX(상세표[근무일자],$U567)),TEXT(INDEX(상세표[근무일자],$U567),"yyyy-mm-dd"),INDEX(상세표[근무일자],$U567)&amp;""))</f>
        <v/>
      </c>
      <c r="N567">
        <f>IF($U567="","",IF(ISNUMBER(INDEX(상세표[시작],$U567)),TEXT(INDEX(상세표[시작],$U567),"yyyy-mm-dd hh:mm"),INDEX(상세표[시작],$U567)&amp;""))</f>
        <v/>
      </c>
      <c r="O567">
        <f>IF($U567="","",IF(ISNUMBER(INDEX(상세표[종료],$U567)),TEXT(INDEX(상세표[종료],$U567),"yyyy-mm-dd hh:mm"),INDEX(상세표[종료],$U567)&amp;""))</f>
        <v/>
      </c>
      <c r="P567" s="20">
        <f>IF($U567="","",INDEX(상세표[06~07시],$U567))</f>
        <v/>
      </c>
      <c r="Q567" s="20">
        <f>IF($U567="","",INDEX(상세표[07~18시],$U567))</f>
        <v/>
      </c>
      <c r="R567" s="20">
        <f>IF($U567="","",INDEX(상세표[18~22시],$U567))</f>
        <v/>
      </c>
      <c r="S567" s="20">
        <f>IF($U567="","",INDEX(상세표[22~06시],$U567))</f>
        <v/>
      </c>
      <c r="T567" s="20">
        <f>IF($U567="","",INDEX(상세표[기록 시간외],$U567))</f>
        <v/>
      </c>
      <c r="U567" s="4">
        <f>IFERROR(MATCH(562,상세표[발송순번],0),"")</f>
        <v/>
      </c>
    </row>
    <row r="568">
      <c r="J568">
        <f>IF($U568="","",INDEX(상세표[사번],$U568)&amp;"")</f>
        <v/>
      </c>
      <c r="K568">
        <f>IF($U568="","",INDEX(상세표[성명],$U568)&amp;"")</f>
        <v/>
      </c>
      <c r="L568">
        <f>IF($U568="","",INDEX(상세표[직위],$U568)&amp;"")</f>
        <v/>
      </c>
      <c r="M568">
        <f>IF($U568="","",IF(ISNUMBER(INDEX(상세표[근무일자],$U568)),TEXT(INDEX(상세표[근무일자],$U568),"yyyy-mm-dd"),INDEX(상세표[근무일자],$U568)&amp;""))</f>
        <v/>
      </c>
      <c r="N568">
        <f>IF($U568="","",IF(ISNUMBER(INDEX(상세표[시작],$U568)),TEXT(INDEX(상세표[시작],$U568),"yyyy-mm-dd hh:mm"),INDEX(상세표[시작],$U568)&amp;""))</f>
        <v/>
      </c>
      <c r="O568">
        <f>IF($U568="","",IF(ISNUMBER(INDEX(상세표[종료],$U568)),TEXT(INDEX(상세표[종료],$U568),"yyyy-mm-dd hh:mm"),INDEX(상세표[종료],$U568)&amp;""))</f>
        <v/>
      </c>
      <c r="P568" s="20">
        <f>IF($U568="","",INDEX(상세표[06~07시],$U568))</f>
        <v/>
      </c>
      <c r="Q568" s="20">
        <f>IF($U568="","",INDEX(상세표[07~18시],$U568))</f>
        <v/>
      </c>
      <c r="R568" s="20">
        <f>IF($U568="","",INDEX(상세표[18~22시],$U568))</f>
        <v/>
      </c>
      <c r="S568" s="20">
        <f>IF($U568="","",INDEX(상세표[22~06시],$U568))</f>
        <v/>
      </c>
      <c r="T568" s="20">
        <f>IF($U568="","",INDEX(상세표[기록 시간외],$U568))</f>
        <v/>
      </c>
      <c r="U568" s="4">
        <f>IFERROR(MATCH(563,상세표[발송순번],0),"")</f>
        <v/>
      </c>
    </row>
    <row r="569">
      <c r="J569">
        <f>IF($U569="","",INDEX(상세표[사번],$U569)&amp;"")</f>
        <v/>
      </c>
      <c r="K569">
        <f>IF($U569="","",INDEX(상세표[성명],$U569)&amp;"")</f>
        <v/>
      </c>
      <c r="L569">
        <f>IF($U569="","",INDEX(상세표[직위],$U569)&amp;"")</f>
        <v/>
      </c>
      <c r="M569">
        <f>IF($U569="","",IF(ISNUMBER(INDEX(상세표[근무일자],$U569)),TEXT(INDEX(상세표[근무일자],$U569),"yyyy-mm-dd"),INDEX(상세표[근무일자],$U569)&amp;""))</f>
        <v/>
      </c>
      <c r="N569">
        <f>IF($U569="","",IF(ISNUMBER(INDEX(상세표[시작],$U569)),TEXT(INDEX(상세표[시작],$U569),"yyyy-mm-dd hh:mm"),INDEX(상세표[시작],$U569)&amp;""))</f>
        <v/>
      </c>
      <c r="O569">
        <f>IF($U569="","",IF(ISNUMBER(INDEX(상세표[종료],$U569)),TEXT(INDEX(상세표[종료],$U569),"yyyy-mm-dd hh:mm"),INDEX(상세표[종료],$U569)&amp;""))</f>
        <v/>
      </c>
      <c r="P569" s="20">
        <f>IF($U569="","",INDEX(상세표[06~07시],$U569))</f>
        <v/>
      </c>
      <c r="Q569" s="20">
        <f>IF($U569="","",INDEX(상세표[07~18시],$U569))</f>
        <v/>
      </c>
      <c r="R569" s="20">
        <f>IF($U569="","",INDEX(상세표[18~22시],$U569))</f>
        <v/>
      </c>
      <c r="S569" s="20">
        <f>IF($U569="","",INDEX(상세표[22~06시],$U569))</f>
        <v/>
      </c>
      <c r="T569" s="20">
        <f>IF($U569="","",INDEX(상세표[기록 시간외],$U569))</f>
        <v/>
      </c>
      <c r="U569" s="4">
        <f>IFERROR(MATCH(564,상세표[발송순번],0),"")</f>
        <v/>
      </c>
    </row>
    <row r="570">
      <c r="J570">
        <f>IF($U570="","",INDEX(상세표[사번],$U570)&amp;"")</f>
        <v/>
      </c>
      <c r="K570">
        <f>IF($U570="","",INDEX(상세표[성명],$U570)&amp;"")</f>
        <v/>
      </c>
      <c r="L570">
        <f>IF($U570="","",INDEX(상세표[직위],$U570)&amp;"")</f>
        <v/>
      </c>
      <c r="M570">
        <f>IF($U570="","",IF(ISNUMBER(INDEX(상세표[근무일자],$U570)),TEXT(INDEX(상세표[근무일자],$U570),"yyyy-mm-dd"),INDEX(상세표[근무일자],$U570)&amp;""))</f>
        <v/>
      </c>
      <c r="N570">
        <f>IF($U570="","",IF(ISNUMBER(INDEX(상세표[시작],$U570)),TEXT(INDEX(상세표[시작],$U570),"yyyy-mm-dd hh:mm"),INDEX(상세표[시작],$U570)&amp;""))</f>
        <v/>
      </c>
      <c r="O570">
        <f>IF($U570="","",IF(ISNUMBER(INDEX(상세표[종료],$U570)),TEXT(INDEX(상세표[종료],$U570),"yyyy-mm-dd hh:mm"),INDEX(상세표[종료],$U570)&amp;""))</f>
        <v/>
      </c>
      <c r="P570" s="20">
        <f>IF($U570="","",INDEX(상세표[06~07시],$U570))</f>
        <v/>
      </c>
      <c r="Q570" s="20">
        <f>IF($U570="","",INDEX(상세표[07~18시],$U570))</f>
        <v/>
      </c>
      <c r="R570" s="20">
        <f>IF($U570="","",INDEX(상세표[18~22시],$U570))</f>
        <v/>
      </c>
      <c r="S570" s="20">
        <f>IF($U570="","",INDEX(상세표[22~06시],$U570))</f>
        <v/>
      </c>
      <c r="T570" s="20">
        <f>IF($U570="","",INDEX(상세표[기록 시간외],$U570))</f>
        <v/>
      </c>
      <c r="U570" s="4">
        <f>IFERROR(MATCH(565,상세표[발송순번],0),"")</f>
        <v/>
      </c>
    </row>
    <row r="571">
      <c r="J571">
        <f>IF($U571="","",INDEX(상세표[사번],$U571)&amp;"")</f>
        <v/>
      </c>
      <c r="K571">
        <f>IF($U571="","",INDEX(상세표[성명],$U571)&amp;"")</f>
        <v/>
      </c>
      <c r="L571">
        <f>IF($U571="","",INDEX(상세표[직위],$U571)&amp;"")</f>
        <v/>
      </c>
      <c r="M571">
        <f>IF($U571="","",IF(ISNUMBER(INDEX(상세표[근무일자],$U571)),TEXT(INDEX(상세표[근무일자],$U571),"yyyy-mm-dd"),INDEX(상세표[근무일자],$U571)&amp;""))</f>
        <v/>
      </c>
      <c r="N571">
        <f>IF($U571="","",IF(ISNUMBER(INDEX(상세표[시작],$U571)),TEXT(INDEX(상세표[시작],$U571),"yyyy-mm-dd hh:mm"),INDEX(상세표[시작],$U571)&amp;""))</f>
        <v/>
      </c>
      <c r="O571">
        <f>IF($U571="","",IF(ISNUMBER(INDEX(상세표[종료],$U571)),TEXT(INDEX(상세표[종료],$U571),"yyyy-mm-dd hh:mm"),INDEX(상세표[종료],$U571)&amp;""))</f>
        <v/>
      </c>
      <c r="P571" s="20">
        <f>IF($U571="","",INDEX(상세표[06~07시],$U571))</f>
        <v/>
      </c>
      <c r="Q571" s="20">
        <f>IF($U571="","",INDEX(상세표[07~18시],$U571))</f>
        <v/>
      </c>
      <c r="R571" s="20">
        <f>IF($U571="","",INDEX(상세표[18~22시],$U571))</f>
        <v/>
      </c>
      <c r="S571" s="20">
        <f>IF($U571="","",INDEX(상세표[22~06시],$U571))</f>
        <v/>
      </c>
      <c r="T571" s="20">
        <f>IF($U571="","",INDEX(상세표[기록 시간외],$U571))</f>
        <v/>
      </c>
      <c r="U571" s="4">
        <f>IFERROR(MATCH(566,상세표[발송순번],0),"")</f>
        <v/>
      </c>
    </row>
    <row r="572">
      <c r="J572">
        <f>IF($U572="","",INDEX(상세표[사번],$U572)&amp;"")</f>
        <v/>
      </c>
      <c r="K572">
        <f>IF($U572="","",INDEX(상세표[성명],$U572)&amp;"")</f>
        <v/>
      </c>
      <c r="L572">
        <f>IF($U572="","",INDEX(상세표[직위],$U572)&amp;"")</f>
        <v/>
      </c>
      <c r="M572">
        <f>IF($U572="","",IF(ISNUMBER(INDEX(상세표[근무일자],$U572)),TEXT(INDEX(상세표[근무일자],$U572),"yyyy-mm-dd"),INDEX(상세표[근무일자],$U572)&amp;""))</f>
        <v/>
      </c>
      <c r="N572">
        <f>IF($U572="","",IF(ISNUMBER(INDEX(상세표[시작],$U572)),TEXT(INDEX(상세표[시작],$U572),"yyyy-mm-dd hh:mm"),INDEX(상세표[시작],$U572)&amp;""))</f>
        <v/>
      </c>
      <c r="O572">
        <f>IF($U572="","",IF(ISNUMBER(INDEX(상세표[종료],$U572)),TEXT(INDEX(상세표[종료],$U572),"yyyy-mm-dd hh:mm"),INDEX(상세표[종료],$U572)&amp;""))</f>
        <v/>
      </c>
      <c r="P572" s="20">
        <f>IF($U572="","",INDEX(상세표[06~07시],$U572))</f>
        <v/>
      </c>
      <c r="Q572" s="20">
        <f>IF($U572="","",INDEX(상세표[07~18시],$U572))</f>
        <v/>
      </c>
      <c r="R572" s="20">
        <f>IF($U572="","",INDEX(상세표[18~22시],$U572))</f>
        <v/>
      </c>
      <c r="S572" s="20">
        <f>IF($U572="","",INDEX(상세표[22~06시],$U572))</f>
        <v/>
      </c>
      <c r="T572" s="20">
        <f>IF($U572="","",INDEX(상세표[기록 시간외],$U572))</f>
        <v/>
      </c>
      <c r="U572" s="4">
        <f>IFERROR(MATCH(567,상세표[발송순번],0),"")</f>
        <v/>
      </c>
    </row>
    <row r="573">
      <c r="J573">
        <f>IF($U573="","",INDEX(상세표[사번],$U573)&amp;"")</f>
        <v/>
      </c>
      <c r="K573">
        <f>IF($U573="","",INDEX(상세표[성명],$U573)&amp;"")</f>
        <v/>
      </c>
      <c r="L573">
        <f>IF($U573="","",INDEX(상세표[직위],$U573)&amp;"")</f>
        <v/>
      </c>
      <c r="M573">
        <f>IF($U573="","",IF(ISNUMBER(INDEX(상세표[근무일자],$U573)),TEXT(INDEX(상세표[근무일자],$U573),"yyyy-mm-dd"),INDEX(상세표[근무일자],$U573)&amp;""))</f>
        <v/>
      </c>
      <c r="N573">
        <f>IF($U573="","",IF(ISNUMBER(INDEX(상세표[시작],$U573)),TEXT(INDEX(상세표[시작],$U573),"yyyy-mm-dd hh:mm"),INDEX(상세표[시작],$U573)&amp;""))</f>
        <v/>
      </c>
      <c r="O573">
        <f>IF($U573="","",IF(ISNUMBER(INDEX(상세표[종료],$U573)),TEXT(INDEX(상세표[종료],$U573),"yyyy-mm-dd hh:mm"),INDEX(상세표[종료],$U573)&amp;""))</f>
        <v/>
      </c>
      <c r="P573" s="20">
        <f>IF($U573="","",INDEX(상세표[06~07시],$U573))</f>
        <v/>
      </c>
      <c r="Q573" s="20">
        <f>IF($U573="","",INDEX(상세표[07~18시],$U573))</f>
        <v/>
      </c>
      <c r="R573" s="20">
        <f>IF($U573="","",INDEX(상세표[18~22시],$U573))</f>
        <v/>
      </c>
      <c r="S573" s="20">
        <f>IF($U573="","",INDEX(상세표[22~06시],$U573))</f>
        <v/>
      </c>
      <c r="T573" s="20">
        <f>IF($U573="","",INDEX(상세표[기록 시간외],$U573))</f>
        <v/>
      </c>
      <c r="U573" s="4">
        <f>IFERROR(MATCH(568,상세표[발송순번],0),"")</f>
        <v/>
      </c>
    </row>
    <row r="574">
      <c r="J574">
        <f>IF($U574="","",INDEX(상세표[사번],$U574)&amp;"")</f>
        <v/>
      </c>
      <c r="K574">
        <f>IF($U574="","",INDEX(상세표[성명],$U574)&amp;"")</f>
        <v/>
      </c>
      <c r="L574">
        <f>IF($U574="","",INDEX(상세표[직위],$U574)&amp;"")</f>
        <v/>
      </c>
      <c r="M574">
        <f>IF($U574="","",IF(ISNUMBER(INDEX(상세표[근무일자],$U574)),TEXT(INDEX(상세표[근무일자],$U574),"yyyy-mm-dd"),INDEX(상세표[근무일자],$U574)&amp;""))</f>
        <v/>
      </c>
      <c r="N574">
        <f>IF($U574="","",IF(ISNUMBER(INDEX(상세표[시작],$U574)),TEXT(INDEX(상세표[시작],$U574),"yyyy-mm-dd hh:mm"),INDEX(상세표[시작],$U574)&amp;""))</f>
        <v/>
      </c>
      <c r="O574">
        <f>IF($U574="","",IF(ISNUMBER(INDEX(상세표[종료],$U574)),TEXT(INDEX(상세표[종료],$U574),"yyyy-mm-dd hh:mm"),INDEX(상세표[종료],$U574)&amp;""))</f>
        <v/>
      </c>
      <c r="P574" s="20">
        <f>IF($U574="","",INDEX(상세표[06~07시],$U574))</f>
        <v/>
      </c>
      <c r="Q574" s="20">
        <f>IF($U574="","",INDEX(상세표[07~18시],$U574))</f>
        <v/>
      </c>
      <c r="R574" s="20">
        <f>IF($U574="","",INDEX(상세표[18~22시],$U574))</f>
        <v/>
      </c>
      <c r="S574" s="20">
        <f>IF($U574="","",INDEX(상세표[22~06시],$U574))</f>
        <v/>
      </c>
      <c r="T574" s="20">
        <f>IF($U574="","",INDEX(상세표[기록 시간외],$U574))</f>
        <v/>
      </c>
      <c r="U574" s="4">
        <f>IFERROR(MATCH(569,상세표[발송순번],0),"")</f>
        <v/>
      </c>
    </row>
    <row r="575">
      <c r="J575">
        <f>IF($U575="","",INDEX(상세표[사번],$U575)&amp;"")</f>
        <v/>
      </c>
      <c r="K575">
        <f>IF($U575="","",INDEX(상세표[성명],$U575)&amp;"")</f>
        <v/>
      </c>
      <c r="L575">
        <f>IF($U575="","",INDEX(상세표[직위],$U575)&amp;"")</f>
        <v/>
      </c>
      <c r="M575">
        <f>IF($U575="","",IF(ISNUMBER(INDEX(상세표[근무일자],$U575)),TEXT(INDEX(상세표[근무일자],$U575),"yyyy-mm-dd"),INDEX(상세표[근무일자],$U575)&amp;""))</f>
        <v/>
      </c>
      <c r="N575">
        <f>IF($U575="","",IF(ISNUMBER(INDEX(상세표[시작],$U575)),TEXT(INDEX(상세표[시작],$U575),"yyyy-mm-dd hh:mm"),INDEX(상세표[시작],$U575)&amp;""))</f>
        <v/>
      </c>
      <c r="O575">
        <f>IF($U575="","",IF(ISNUMBER(INDEX(상세표[종료],$U575)),TEXT(INDEX(상세표[종료],$U575),"yyyy-mm-dd hh:mm"),INDEX(상세표[종료],$U575)&amp;""))</f>
        <v/>
      </c>
      <c r="P575" s="20">
        <f>IF($U575="","",INDEX(상세표[06~07시],$U575))</f>
        <v/>
      </c>
      <c r="Q575" s="20">
        <f>IF($U575="","",INDEX(상세표[07~18시],$U575))</f>
        <v/>
      </c>
      <c r="R575" s="20">
        <f>IF($U575="","",INDEX(상세표[18~22시],$U575))</f>
        <v/>
      </c>
      <c r="S575" s="20">
        <f>IF($U575="","",INDEX(상세표[22~06시],$U575))</f>
        <v/>
      </c>
      <c r="T575" s="20">
        <f>IF($U575="","",INDEX(상세표[기록 시간외],$U575))</f>
        <v/>
      </c>
      <c r="U575" s="4">
        <f>IFERROR(MATCH(570,상세표[발송순번],0),"")</f>
        <v/>
      </c>
    </row>
    <row r="576">
      <c r="J576">
        <f>IF($U576="","",INDEX(상세표[사번],$U576)&amp;"")</f>
        <v/>
      </c>
      <c r="K576">
        <f>IF($U576="","",INDEX(상세표[성명],$U576)&amp;"")</f>
        <v/>
      </c>
      <c r="L576">
        <f>IF($U576="","",INDEX(상세표[직위],$U576)&amp;"")</f>
        <v/>
      </c>
      <c r="M576">
        <f>IF($U576="","",IF(ISNUMBER(INDEX(상세표[근무일자],$U576)),TEXT(INDEX(상세표[근무일자],$U576),"yyyy-mm-dd"),INDEX(상세표[근무일자],$U576)&amp;""))</f>
        <v/>
      </c>
      <c r="N576">
        <f>IF($U576="","",IF(ISNUMBER(INDEX(상세표[시작],$U576)),TEXT(INDEX(상세표[시작],$U576),"yyyy-mm-dd hh:mm"),INDEX(상세표[시작],$U576)&amp;""))</f>
        <v/>
      </c>
      <c r="O576">
        <f>IF($U576="","",IF(ISNUMBER(INDEX(상세표[종료],$U576)),TEXT(INDEX(상세표[종료],$U576),"yyyy-mm-dd hh:mm"),INDEX(상세표[종료],$U576)&amp;""))</f>
        <v/>
      </c>
      <c r="P576" s="20">
        <f>IF($U576="","",INDEX(상세표[06~07시],$U576))</f>
        <v/>
      </c>
      <c r="Q576" s="20">
        <f>IF($U576="","",INDEX(상세표[07~18시],$U576))</f>
        <v/>
      </c>
      <c r="R576" s="20">
        <f>IF($U576="","",INDEX(상세표[18~22시],$U576))</f>
        <v/>
      </c>
      <c r="S576" s="20">
        <f>IF($U576="","",INDEX(상세표[22~06시],$U576))</f>
        <v/>
      </c>
      <c r="T576" s="20">
        <f>IF($U576="","",INDEX(상세표[기록 시간외],$U576))</f>
        <v/>
      </c>
      <c r="U576" s="4">
        <f>IFERROR(MATCH(571,상세표[발송순번],0),"")</f>
        <v/>
      </c>
    </row>
    <row r="577">
      <c r="J577">
        <f>IF($U577="","",INDEX(상세표[사번],$U577)&amp;"")</f>
        <v/>
      </c>
      <c r="K577">
        <f>IF($U577="","",INDEX(상세표[성명],$U577)&amp;"")</f>
        <v/>
      </c>
      <c r="L577">
        <f>IF($U577="","",INDEX(상세표[직위],$U577)&amp;"")</f>
        <v/>
      </c>
      <c r="M577">
        <f>IF($U577="","",IF(ISNUMBER(INDEX(상세표[근무일자],$U577)),TEXT(INDEX(상세표[근무일자],$U577),"yyyy-mm-dd"),INDEX(상세표[근무일자],$U577)&amp;""))</f>
        <v/>
      </c>
      <c r="N577">
        <f>IF($U577="","",IF(ISNUMBER(INDEX(상세표[시작],$U577)),TEXT(INDEX(상세표[시작],$U577),"yyyy-mm-dd hh:mm"),INDEX(상세표[시작],$U577)&amp;""))</f>
        <v/>
      </c>
      <c r="O577">
        <f>IF($U577="","",IF(ISNUMBER(INDEX(상세표[종료],$U577)),TEXT(INDEX(상세표[종료],$U577),"yyyy-mm-dd hh:mm"),INDEX(상세표[종료],$U577)&amp;""))</f>
        <v/>
      </c>
      <c r="P577" s="20">
        <f>IF($U577="","",INDEX(상세표[06~07시],$U577))</f>
        <v/>
      </c>
      <c r="Q577" s="20">
        <f>IF($U577="","",INDEX(상세표[07~18시],$U577))</f>
        <v/>
      </c>
      <c r="R577" s="20">
        <f>IF($U577="","",INDEX(상세표[18~22시],$U577))</f>
        <v/>
      </c>
      <c r="S577" s="20">
        <f>IF($U577="","",INDEX(상세표[22~06시],$U577))</f>
        <v/>
      </c>
      <c r="T577" s="20">
        <f>IF($U577="","",INDEX(상세표[기록 시간외],$U577))</f>
        <v/>
      </c>
      <c r="U577" s="4">
        <f>IFERROR(MATCH(572,상세표[발송순번],0),"")</f>
        <v/>
      </c>
    </row>
    <row r="578">
      <c r="J578">
        <f>IF($U578="","",INDEX(상세표[사번],$U578)&amp;"")</f>
        <v/>
      </c>
      <c r="K578">
        <f>IF($U578="","",INDEX(상세표[성명],$U578)&amp;"")</f>
        <v/>
      </c>
      <c r="L578">
        <f>IF($U578="","",INDEX(상세표[직위],$U578)&amp;"")</f>
        <v/>
      </c>
      <c r="M578">
        <f>IF($U578="","",IF(ISNUMBER(INDEX(상세표[근무일자],$U578)),TEXT(INDEX(상세표[근무일자],$U578),"yyyy-mm-dd"),INDEX(상세표[근무일자],$U578)&amp;""))</f>
        <v/>
      </c>
      <c r="N578">
        <f>IF($U578="","",IF(ISNUMBER(INDEX(상세표[시작],$U578)),TEXT(INDEX(상세표[시작],$U578),"yyyy-mm-dd hh:mm"),INDEX(상세표[시작],$U578)&amp;""))</f>
        <v/>
      </c>
      <c r="O578">
        <f>IF($U578="","",IF(ISNUMBER(INDEX(상세표[종료],$U578)),TEXT(INDEX(상세표[종료],$U578),"yyyy-mm-dd hh:mm"),INDEX(상세표[종료],$U578)&amp;""))</f>
        <v/>
      </c>
      <c r="P578" s="20">
        <f>IF($U578="","",INDEX(상세표[06~07시],$U578))</f>
        <v/>
      </c>
      <c r="Q578" s="20">
        <f>IF($U578="","",INDEX(상세표[07~18시],$U578))</f>
        <v/>
      </c>
      <c r="R578" s="20">
        <f>IF($U578="","",INDEX(상세표[18~22시],$U578))</f>
        <v/>
      </c>
      <c r="S578" s="20">
        <f>IF($U578="","",INDEX(상세표[22~06시],$U578))</f>
        <v/>
      </c>
      <c r="T578" s="20">
        <f>IF($U578="","",INDEX(상세표[기록 시간외],$U578))</f>
        <v/>
      </c>
      <c r="U578" s="4">
        <f>IFERROR(MATCH(573,상세표[발송순번],0),"")</f>
        <v/>
      </c>
    </row>
    <row r="579">
      <c r="J579">
        <f>IF($U579="","",INDEX(상세표[사번],$U579)&amp;"")</f>
        <v/>
      </c>
      <c r="K579">
        <f>IF($U579="","",INDEX(상세표[성명],$U579)&amp;"")</f>
        <v/>
      </c>
      <c r="L579">
        <f>IF($U579="","",INDEX(상세표[직위],$U579)&amp;"")</f>
        <v/>
      </c>
      <c r="M579">
        <f>IF($U579="","",IF(ISNUMBER(INDEX(상세표[근무일자],$U579)),TEXT(INDEX(상세표[근무일자],$U579),"yyyy-mm-dd"),INDEX(상세표[근무일자],$U579)&amp;""))</f>
        <v/>
      </c>
      <c r="N579">
        <f>IF($U579="","",IF(ISNUMBER(INDEX(상세표[시작],$U579)),TEXT(INDEX(상세표[시작],$U579),"yyyy-mm-dd hh:mm"),INDEX(상세표[시작],$U579)&amp;""))</f>
        <v/>
      </c>
      <c r="O579">
        <f>IF($U579="","",IF(ISNUMBER(INDEX(상세표[종료],$U579)),TEXT(INDEX(상세표[종료],$U579),"yyyy-mm-dd hh:mm"),INDEX(상세표[종료],$U579)&amp;""))</f>
        <v/>
      </c>
      <c r="P579" s="20">
        <f>IF($U579="","",INDEX(상세표[06~07시],$U579))</f>
        <v/>
      </c>
      <c r="Q579" s="20">
        <f>IF($U579="","",INDEX(상세표[07~18시],$U579))</f>
        <v/>
      </c>
      <c r="R579" s="20">
        <f>IF($U579="","",INDEX(상세표[18~22시],$U579))</f>
        <v/>
      </c>
      <c r="S579" s="20">
        <f>IF($U579="","",INDEX(상세표[22~06시],$U579))</f>
        <v/>
      </c>
      <c r="T579" s="20">
        <f>IF($U579="","",INDEX(상세표[기록 시간외],$U579))</f>
        <v/>
      </c>
      <c r="U579" s="4">
        <f>IFERROR(MATCH(574,상세표[발송순번],0),"")</f>
        <v/>
      </c>
    </row>
    <row r="580">
      <c r="J580">
        <f>IF($U580="","",INDEX(상세표[사번],$U580)&amp;"")</f>
        <v/>
      </c>
      <c r="K580">
        <f>IF($U580="","",INDEX(상세표[성명],$U580)&amp;"")</f>
        <v/>
      </c>
      <c r="L580">
        <f>IF($U580="","",INDEX(상세표[직위],$U580)&amp;"")</f>
        <v/>
      </c>
      <c r="M580">
        <f>IF($U580="","",IF(ISNUMBER(INDEX(상세표[근무일자],$U580)),TEXT(INDEX(상세표[근무일자],$U580),"yyyy-mm-dd"),INDEX(상세표[근무일자],$U580)&amp;""))</f>
        <v/>
      </c>
      <c r="N580">
        <f>IF($U580="","",IF(ISNUMBER(INDEX(상세표[시작],$U580)),TEXT(INDEX(상세표[시작],$U580),"yyyy-mm-dd hh:mm"),INDEX(상세표[시작],$U580)&amp;""))</f>
        <v/>
      </c>
      <c r="O580">
        <f>IF($U580="","",IF(ISNUMBER(INDEX(상세표[종료],$U580)),TEXT(INDEX(상세표[종료],$U580),"yyyy-mm-dd hh:mm"),INDEX(상세표[종료],$U580)&amp;""))</f>
        <v/>
      </c>
      <c r="P580" s="20">
        <f>IF($U580="","",INDEX(상세표[06~07시],$U580))</f>
        <v/>
      </c>
      <c r="Q580" s="20">
        <f>IF($U580="","",INDEX(상세표[07~18시],$U580))</f>
        <v/>
      </c>
      <c r="R580" s="20">
        <f>IF($U580="","",INDEX(상세표[18~22시],$U580))</f>
        <v/>
      </c>
      <c r="S580" s="20">
        <f>IF($U580="","",INDEX(상세표[22~06시],$U580))</f>
        <v/>
      </c>
      <c r="T580" s="20">
        <f>IF($U580="","",INDEX(상세표[기록 시간외],$U580))</f>
        <v/>
      </c>
      <c r="U580" s="4">
        <f>IFERROR(MATCH(575,상세표[발송순번],0),"")</f>
        <v/>
      </c>
    </row>
    <row r="581">
      <c r="J581">
        <f>IF($U581="","",INDEX(상세표[사번],$U581)&amp;"")</f>
        <v/>
      </c>
      <c r="K581">
        <f>IF($U581="","",INDEX(상세표[성명],$U581)&amp;"")</f>
        <v/>
      </c>
      <c r="L581">
        <f>IF($U581="","",INDEX(상세표[직위],$U581)&amp;"")</f>
        <v/>
      </c>
      <c r="M581">
        <f>IF($U581="","",IF(ISNUMBER(INDEX(상세표[근무일자],$U581)),TEXT(INDEX(상세표[근무일자],$U581),"yyyy-mm-dd"),INDEX(상세표[근무일자],$U581)&amp;""))</f>
        <v/>
      </c>
      <c r="N581">
        <f>IF($U581="","",IF(ISNUMBER(INDEX(상세표[시작],$U581)),TEXT(INDEX(상세표[시작],$U581),"yyyy-mm-dd hh:mm"),INDEX(상세표[시작],$U581)&amp;""))</f>
        <v/>
      </c>
      <c r="O581">
        <f>IF($U581="","",IF(ISNUMBER(INDEX(상세표[종료],$U581)),TEXT(INDEX(상세표[종료],$U581),"yyyy-mm-dd hh:mm"),INDEX(상세표[종료],$U581)&amp;""))</f>
        <v/>
      </c>
      <c r="P581" s="20">
        <f>IF($U581="","",INDEX(상세표[06~07시],$U581))</f>
        <v/>
      </c>
      <c r="Q581" s="20">
        <f>IF($U581="","",INDEX(상세표[07~18시],$U581))</f>
        <v/>
      </c>
      <c r="R581" s="20">
        <f>IF($U581="","",INDEX(상세표[18~22시],$U581))</f>
        <v/>
      </c>
      <c r="S581" s="20">
        <f>IF($U581="","",INDEX(상세표[22~06시],$U581))</f>
        <v/>
      </c>
      <c r="T581" s="20">
        <f>IF($U581="","",INDEX(상세표[기록 시간외],$U581))</f>
        <v/>
      </c>
      <c r="U581" s="4">
        <f>IFERROR(MATCH(576,상세표[발송순번],0),"")</f>
        <v/>
      </c>
    </row>
    <row r="582">
      <c r="J582">
        <f>IF($U582="","",INDEX(상세표[사번],$U582)&amp;"")</f>
        <v/>
      </c>
      <c r="K582">
        <f>IF($U582="","",INDEX(상세표[성명],$U582)&amp;"")</f>
        <v/>
      </c>
      <c r="L582">
        <f>IF($U582="","",INDEX(상세표[직위],$U582)&amp;"")</f>
        <v/>
      </c>
      <c r="M582">
        <f>IF($U582="","",IF(ISNUMBER(INDEX(상세표[근무일자],$U582)),TEXT(INDEX(상세표[근무일자],$U582),"yyyy-mm-dd"),INDEX(상세표[근무일자],$U582)&amp;""))</f>
        <v/>
      </c>
      <c r="N582">
        <f>IF($U582="","",IF(ISNUMBER(INDEX(상세표[시작],$U582)),TEXT(INDEX(상세표[시작],$U582),"yyyy-mm-dd hh:mm"),INDEX(상세표[시작],$U582)&amp;""))</f>
        <v/>
      </c>
      <c r="O582">
        <f>IF($U582="","",IF(ISNUMBER(INDEX(상세표[종료],$U582)),TEXT(INDEX(상세표[종료],$U582),"yyyy-mm-dd hh:mm"),INDEX(상세표[종료],$U582)&amp;""))</f>
        <v/>
      </c>
      <c r="P582" s="20">
        <f>IF($U582="","",INDEX(상세표[06~07시],$U582))</f>
        <v/>
      </c>
      <c r="Q582" s="20">
        <f>IF($U582="","",INDEX(상세표[07~18시],$U582))</f>
        <v/>
      </c>
      <c r="R582" s="20">
        <f>IF($U582="","",INDEX(상세표[18~22시],$U582))</f>
        <v/>
      </c>
      <c r="S582" s="20">
        <f>IF($U582="","",INDEX(상세표[22~06시],$U582))</f>
        <v/>
      </c>
      <c r="T582" s="20">
        <f>IF($U582="","",INDEX(상세표[기록 시간외],$U582))</f>
        <v/>
      </c>
      <c r="U582" s="4">
        <f>IFERROR(MATCH(577,상세표[발송순번],0),"")</f>
        <v/>
      </c>
    </row>
    <row r="583">
      <c r="J583">
        <f>IF($U583="","",INDEX(상세표[사번],$U583)&amp;"")</f>
        <v/>
      </c>
      <c r="K583">
        <f>IF($U583="","",INDEX(상세표[성명],$U583)&amp;"")</f>
        <v/>
      </c>
      <c r="L583">
        <f>IF($U583="","",INDEX(상세표[직위],$U583)&amp;"")</f>
        <v/>
      </c>
      <c r="M583">
        <f>IF($U583="","",IF(ISNUMBER(INDEX(상세표[근무일자],$U583)),TEXT(INDEX(상세표[근무일자],$U583),"yyyy-mm-dd"),INDEX(상세표[근무일자],$U583)&amp;""))</f>
        <v/>
      </c>
      <c r="N583">
        <f>IF($U583="","",IF(ISNUMBER(INDEX(상세표[시작],$U583)),TEXT(INDEX(상세표[시작],$U583),"yyyy-mm-dd hh:mm"),INDEX(상세표[시작],$U583)&amp;""))</f>
        <v/>
      </c>
      <c r="O583">
        <f>IF($U583="","",IF(ISNUMBER(INDEX(상세표[종료],$U583)),TEXT(INDEX(상세표[종료],$U583),"yyyy-mm-dd hh:mm"),INDEX(상세표[종료],$U583)&amp;""))</f>
        <v/>
      </c>
      <c r="P583" s="20">
        <f>IF($U583="","",INDEX(상세표[06~07시],$U583))</f>
        <v/>
      </c>
      <c r="Q583" s="20">
        <f>IF($U583="","",INDEX(상세표[07~18시],$U583))</f>
        <v/>
      </c>
      <c r="R583" s="20">
        <f>IF($U583="","",INDEX(상세표[18~22시],$U583))</f>
        <v/>
      </c>
      <c r="S583" s="20">
        <f>IF($U583="","",INDEX(상세표[22~06시],$U583))</f>
        <v/>
      </c>
      <c r="T583" s="20">
        <f>IF($U583="","",INDEX(상세표[기록 시간외],$U583))</f>
        <v/>
      </c>
      <c r="U583" s="4">
        <f>IFERROR(MATCH(578,상세표[발송순번],0),"")</f>
        <v/>
      </c>
    </row>
    <row r="584">
      <c r="J584">
        <f>IF($U584="","",INDEX(상세표[사번],$U584)&amp;"")</f>
        <v/>
      </c>
      <c r="K584">
        <f>IF($U584="","",INDEX(상세표[성명],$U584)&amp;"")</f>
        <v/>
      </c>
      <c r="L584">
        <f>IF($U584="","",INDEX(상세표[직위],$U584)&amp;"")</f>
        <v/>
      </c>
      <c r="M584">
        <f>IF($U584="","",IF(ISNUMBER(INDEX(상세표[근무일자],$U584)),TEXT(INDEX(상세표[근무일자],$U584),"yyyy-mm-dd"),INDEX(상세표[근무일자],$U584)&amp;""))</f>
        <v/>
      </c>
      <c r="N584">
        <f>IF($U584="","",IF(ISNUMBER(INDEX(상세표[시작],$U584)),TEXT(INDEX(상세표[시작],$U584),"yyyy-mm-dd hh:mm"),INDEX(상세표[시작],$U584)&amp;""))</f>
        <v/>
      </c>
      <c r="O584">
        <f>IF($U584="","",IF(ISNUMBER(INDEX(상세표[종료],$U584)),TEXT(INDEX(상세표[종료],$U584),"yyyy-mm-dd hh:mm"),INDEX(상세표[종료],$U584)&amp;""))</f>
        <v/>
      </c>
      <c r="P584" s="20">
        <f>IF($U584="","",INDEX(상세표[06~07시],$U584))</f>
        <v/>
      </c>
      <c r="Q584" s="20">
        <f>IF($U584="","",INDEX(상세표[07~18시],$U584))</f>
        <v/>
      </c>
      <c r="R584" s="20">
        <f>IF($U584="","",INDEX(상세표[18~22시],$U584))</f>
        <v/>
      </c>
      <c r="S584" s="20">
        <f>IF($U584="","",INDEX(상세표[22~06시],$U584))</f>
        <v/>
      </c>
      <c r="T584" s="20">
        <f>IF($U584="","",INDEX(상세표[기록 시간외],$U584))</f>
        <v/>
      </c>
      <c r="U584" s="4">
        <f>IFERROR(MATCH(579,상세표[발송순번],0),"")</f>
        <v/>
      </c>
    </row>
    <row r="585">
      <c r="J585">
        <f>IF($U585="","",INDEX(상세표[사번],$U585)&amp;"")</f>
        <v/>
      </c>
      <c r="K585">
        <f>IF($U585="","",INDEX(상세표[성명],$U585)&amp;"")</f>
        <v/>
      </c>
      <c r="L585">
        <f>IF($U585="","",INDEX(상세표[직위],$U585)&amp;"")</f>
        <v/>
      </c>
      <c r="M585">
        <f>IF($U585="","",IF(ISNUMBER(INDEX(상세표[근무일자],$U585)),TEXT(INDEX(상세표[근무일자],$U585),"yyyy-mm-dd"),INDEX(상세표[근무일자],$U585)&amp;""))</f>
        <v/>
      </c>
      <c r="N585">
        <f>IF($U585="","",IF(ISNUMBER(INDEX(상세표[시작],$U585)),TEXT(INDEX(상세표[시작],$U585),"yyyy-mm-dd hh:mm"),INDEX(상세표[시작],$U585)&amp;""))</f>
        <v/>
      </c>
      <c r="O585">
        <f>IF($U585="","",IF(ISNUMBER(INDEX(상세표[종료],$U585)),TEXT(INDEX(상세표[종료],$U585),"yyyy-mm-dd hh:mm"),INDEX(상세표[종료],$U585)&amp;""))</f>
        <v/>
      </c>
      <c r="P585" s="20">
        <f>IF($U585="","",INDEX(상세표[06~07시],$U585))</f>
        <v/>
      </c>
      <c r="Q585" s="20">
        <f>IF($U585="","",INDEX(상세표[07~18시],$U585))</f>
        <v/>
      </c>
      <c r="R585" s="20">
        <f>IF($U585="","",INDEX(상세표[18~22시],$U585))</f>
        <v/>
      </c>
      <c r="S585" s="20">
        <f>IF($U585="","",INDEX(상세표[22~06시],$U585))</f>
        <v/>
      </c>
      <c r="T585" s="20">
        <f>IF($U585="","",INDEX(상세표[기록 시간외],$U585))</f>
        <v/>
      </c>
      <c r="U585" s="4">
        <f>IFERROR(MATCH(580,상세표[발송순번],0),"")</f>
        <v/>
      </c>
    </row>
    <row r="586">
      <c r="J586">
        <f>IF($U586="","",INDEX(상세표[사번],$U586)&amp;"")</f>
        <v/>
      </c>
      <c r="K586">
        <f>IF($U586="","",INDEX(상세표[성명],$U586)&amp;"")</f>
        <v/>
      </c>
      <c r="L586">
        <f>IF($U586="","",INDEX(상세표[직위],$U586)&amp;"")</f>
        <v/>
      </c>
      <c r="M586">
        <f>IF($U586="","",IF(ISNUMBER(INDEX(상세표[근무일자],$U586)),TEXT(INDEX(상세표[근무일자],$U586),"yyyy-mm-dd"),INDEX(상세표[근무일자],$U586)&amp;""))</f>
        <v/>
      </c>
      <c r="N586">
        <f>IF($U586="","",IF(ISNUMBER(INDEX(상세표[시작],$U586)),TEXT(INDEX(상세표[시작],$U586),"yyyy-mm-dd hh:mm"),INDEX(상세표[시작],$U586)&amp;""))</f>
        <v/>
      </c>
      <c r="O586">
        <f>IF($U586="","",IF(ISNUMBER(INDEX(상세표[종료],$U586)),TEXT(INDEX(상세표[종료],$U586),"yyyy-mm-dd hh:mm"),INDEX(상세표[종료],$U586)&amp;""))</f>
        <v/>
      </c>
      <c r="P586" s="20">
        <f>IF($U586="","",INDEX(상세표[06~07시],$U586))</f>
        <v/>
      </c>
      <c r="Q586" s="20">
        <f>IF($U586="","",INDEX(상세표[07~18시],$U586))</f>
        <v/>
      </c>
      <c r="R586" s="20">
        <f>IF($U586="","",INDEX(상세표[18~22시],$U586))</f>
        <v/>
      </c>
      <c r="S586" s="20">
        <f>IF($U586="","",INDEX(상세표[22~06시],$U586))</f>
        <v/>
      </c>
      <c r="T586" s="20">
        <f>IF($U586="","",INDEX(상세표[기록 시간외],$U586))</f>
        <v/>
      </c>
      <c r="U586" s="4">
        <f>IFERROR(MATCH(581,상세표[발송순번],0),"")</f>
        <v/>
      </c>
    </row>
    <row r="587">
      <c r="J587">
        <f>IF($U587="","",INDEX(상세표[사번],$U587)&amp;"")</f>
        <v/>
      </c>
      <c r="K587">
        <f>IF($U587="","",INDEX(상세표[성명],$U587)&amp;"")</f>
        <v/>
      </c>
      <c r="L587">
        <f>IF($U587="","",INDEX(상세표[직위],$U587)&amp;"")</f>
        <v/>
      </c>
      <c r="M587">
        <f>IF($U587="","",IF(ISNUMBER(INDEX(상세표[근무일자],$U587)),TEXT(INDEX(상세표[근무일자],$U587),"yyyy-mm-dd"),INDEX(상세표[근무일자],$U587)&amp;""))</f>
        <v/>
      </c>
      <c r="N587">
        <f>IF($U587="","",IF(ISNUMBER(INDEX(상세표[시작],$U587)),TEXT(INDEX(상세표[시작],$U587),"yyyy-mm-dd hh:mm"),INDEX(상세표[시작],$U587)&amp;""))</f>
        <v/>
      </c>
      <c r="O587">
        <f>IF($U587="","",IF(ISNUMBER(INDEX(상세표[종료],$U587)),TEXT(INDEX(상세표[종료],$U587),"yyyy-mm-dd hh:mm"),INDEX(상세표[종료],$U587)&amp;""))</f>
        <v/>
      </c>
      <c r="P587" s="20">
        <f>IF($U587="","",INDEX(상세표[06~07시],$U587))</f>
        <v/>
      </c>
      <c r="Q587" s="20">
        <f>IF($U587="","",INDEX(상세표[07~18시],$U587))</f>
        <v/>
      </c>
      <c r="R587" s="20">
        <f>IF($U587="","",INDEX(상세표[18~22시],$U587))</f>
        <v/>
      </c>
      <c r="S587" s="20">
        <f>IF($U587="","",INDEX(상세표[22~06시],$U587))</f>
        <v/>
      </c>
      <c r="T587" s="20">
        <f>IF($U587="","",INDEX(상세표[기록 시간외],$U587))</f>
        <v/>
      </c>
      <c r="U587" s="4">
        <f>IFERROR(MATCH(582,상세표[발송순번],0),"")</f>
        <v/>
      </c>
    </row>
    <row r="588">
      <c r="J588">
        <f>IF($U588="","",INDEX(상세표[사번],$U588)&amp;"")</f>
        <v/>
      </c>
      <c r="K588">
        <f>IF($U588="","",INDEX(상세표[성명],$U588)&amp;"")</f>
        <v/>
      </c>
      <c r="L588">
        <f>IF($U588="","",INDEX(상세표[직위],$U588)&amp;"")</f>
        <v/>
      </c>
      <c r="M588">
        <f>IF($U588="","",IF(ISNUMBER(INDEX(상세표[근무일자],$U588)),TEXT(INDEX(상세표[근무일자],$U588),"yyyy-mm-dd"),INDEX(상세표[근무일자],$U588)&amp;""))</f>
        <v/>
      </c>
      <c r="N588">
        <f>IF($U588="","",IF(ISNUMBER(INDEX(상세표[시작],$U588)),TEXT(INDEX(상세표[시작],$U588),"yyyy-mm-dd hh:mm"),INDEX(상세표[시작],$U588)&amp;""))</f>
        <v/>
      </c>
      <c r="O588">
        <f>IF($U588="","",IF(ISNUMBER(INDEX(상세표[종료],$U588)),TEXT(INDEX(상세표[종료],$U588),"yyyy-mm-dd hh:mm"),INDEX(상세표[종료],$U588)&amp;""))</f>
        <v/>
      </c>
      <c r="P588" s="20">
        <f>IF($U588="","",INDEX(상세표[06~07시],$U588))</f>
        <v/>
      </c>
      <c r="Q588" s="20">
        <f>IF($U588="","",INDEX(상세표[07~18시],$U588))</f>
        <v/>
      </c>
      <c r="R588" s="20">
        <f>IF($U588="","",INDEX(상세표[18~22시],$U588))</f>
        <v/>
      </c>
      <c r="S588" s="20">
        <f>IF($U588="","",INDEX(상세표[22~06시],$U588))</f>
        <v/>
      </c>
      <c r="T588" s="20">
        <f>IF($U588="","",INDEX(상세표[기록 시간외],$U588))</f>
        <v/>
      </c>
      <c r="U588" s="4">
        <f>IFERROR(MATCH(583,상세표[발송순번],0),"")</f>
        <v/>
      </c>
    </row>
    <row r="589">
      <c r="J589">
        <f>IF($U589="","",INDEX(상세표[사번],$U589)&amp;"")</f>
        <v/>
      </c>
      <c r="K589">
        <f>IF($U589="","",INDEX(상세표[성명],$U589)&amp;"")</f>
        <v/>
      </c>
      <c r="L589">
        <f>IF($U589="","",INDEX(상세표[직위],$U589)&amp;"")</f>
        <v/>
      </c>
      <c r="M589">
        <f>IF($U589="","",IF(ISNUMBER(INDEX(상세표[근무일자],$U589)),TEXT(INDEX(상세표[근무일자],$U589),"yyyy-mm-dd"),INDEX(상세표[근무일자],$U589)&amp;""))</f>
        <v/>
      </c>
      <c r="N589">
        <f>IF($U589="","",IF(ISNUMBER(INDEX(상세표[시작],$U589)),TEXT(INDEX(상세표[시작],$U589),"yyyy-mm-dd hh:mm"),INDEX(상세표[시작],$U589)&amp;""))</f>
        <v/>
      </c>
      <c r="O589">
        <f>IF($U589="","",IF(ISNUMBER(INDEX(상세표[종료],$U589)),TEXT(INDEX(상세표[종료],$U589),"yyyy-mm-dd hh:mm"),INDEX(상세표[종료],$U589)&amp;""))</f>
        <v/>
      </c>
      <c r="P589" s="20">
        <f>IF($U589="","",INDEX(상세표[06~07시],$U589))</f>
        <v/>
      </c>
      <c r="Q589" s="20">
        <f>IF($U589="","",INDEX(상세표[07~18시],$U589))</f>
        <v/>
      </c>
      <c r="R589" s="20">
        <f>IF($U589="","",INDEX(상세표[18~22시],$U589))</f>
        <v/>
      </c>
      <c r="S589" s="20">
        <f>IF($U589="","",INDEX(상세표[22~06시],$U589))</f>
        <v/>
      </c>
      <c r="T589" s="20">
        <f>IF($U589="","",INDEX(상세표[기록 시간외],$U589))</f>
        <v/>
      </c>
      <c r="U589" s="4">
        <f>IFERROR(MATCH(584,상세표[발송순번],0),"")</f>
        <v/>
      </c>
    </row>
    <row r="590">
      <c r="J590">
        <f>IF($U590="","",INDEX(상세표[사번],$U590)&amp;"")</f>
        <v/>
      </c>
      <c r="K590">
        <f>IF($U590="","",INDEX(상세표[성명],$U590)&amp;"")</f>
        <v/>
      </c>
      <c r="L590">
        <f>IF($U590="","",INDEX(상세표[직위],$U590)&amp;"")</f>
        <v/>
      </c>
      <c r="M590">
        <f>IF($U590="","",IF(ISNUMBER(INDEX(상세표[근무일자],$U590)),TEXT(INDEX(상세표[근무일자],$U590),"yyyy-mm-dd"),INDEX(상세표[근무일자],$U590)&amp;""))</f>
        <v/>
      </c>
      <c r="N590">
        <f>IF($U590="","",IF(ISNUMBER(INDEX(상세표[시작],$U590)),TEXT(INDEX(상세표[시작],$U590),"yyyy-mm-dd hh:mm"),INDEX(상세표[시작],$U590)&amp;""))</f>
        <v/>
      </c>
      <c r="O590">
        <f>IF($U590="","",IF(ISNUMBER(INDEX(상세표[종료],$U590)),TEXT(INDEX(상세표[종료],$U590),"yyyy-mm-dd hh:mm"),INDEX(상세표[종료],$U590)&amp;""))</f>
        <v/>
      </c>
      <c r="P590" s="20">
        <f>IF($U590="","",INDEX(상세표[06~07시],$U590))</f>
        <v/>
      </c>
      <c r="Q590" s="20">
        <f>IF($U590="","",INDEX(상세표[07~18시],$U590))</f>
        <v/>
      </c>
      <c r="R590" s="20">
        <f>IF($U590="","",INDEX(상세표[18~22시],$U590))</f>
        <v/>
      </c>
      <c r="S590" s="20">
        <f>IF($U590="","",INDEX(상세표[22~06시],$U590))</f>
        <v/>
      </c>
      <c r="T590" s="20">
        <f>IF($U590="","",INDEX(상세표[기록 시간외],$U590))</f>
        <v/>
      </c>
      <c r="U590" s="4">
        <f>IFERROR(MATCH(585,상세표[발송순번],0),"")</f>
        <v/>
      </c>
    </row>
    <row r="591">
      <c r="J591">
        <f>IF($U591="","",INDEX(상세표[사번],$U591)&amp;"")</f>
        <v/>
      </c>
      <c r="K591">
        <f>IF($U591="","",INDEX(상세표[성명],$U591)&amp;"")</f>
        <v/>
      </c>
      <c r="L591">
        <f>IF($U591="","",INDEX(상세표[직위],$U591)&amp;"")</f>
        <v/>
      </c>
      <c r="M591">
        <f>IF($U591="","",IF(ISNUMBER(INDEX(상세표[근무일자],$U591)),TEXT(INDEX(상세표[근무일자],$U591),"yyyy-mm-dd"),INDEX(상세표[근무일자],$U591)&amp;""))</f>
        <v/>
      </c>
      <c r="N591">
        <f>IF($U591="","",IF(ISNUMBER(INDEX(상세표[시작],$U591)),TEXT(INDEX(상세표[시작],$U591),"yyyy-mm-dd hh:mm"),INDEX(상세표[시작],$U591)&amp;""))</f>
        <v/>
      </c>
      <c r="O591">
        <f>IF($U591="","",IF(ISNUMBER(INDEX(상세표[종료],$U591)),TEXT(INDEX(상세표[종료],$U591),"yyyy-mm-dd hh:mm"),INDEX(상세표[종료],$U591)&amp;""))</f>
        <v/>
      </c>
      <c r="P591" s="20">
        <f>IF($U591="","",INDEX(상세표[06~07시],$U591))</f>
        <v/>
      </c>
      <c r="Q591" s="20">
        <f>IF($U591="","",INDEX(상세표[07~18시],$U591))</f>
        <v/>
      </c>
      <c r="R591" s="20">
        <f>IF($U591="","",INDEX(상세표[18~22시],$U591))</f>
        <v/>
      </c>
      <c r="S591" s="20">
        <f>IF($U591="","",INDEX(상세표[22~06시],$U591))</f>
        <v/>
      </c>
      <c r="T591" s="20">
        <f>IF($U591="","",INDEX(상세표[기록 시간외],$U591))</f>
        <v/>
      </c>
      <c r="U591" s="4">
        <f>IFERROR(MATCH(586,상세표[발송순번],0),"")</f>
        <v/>
      </c>
    </row>
    <row r="592">
      <c r="J592">
        <f>IF($U592="","",INDEX(상세표[사번],$U592)&amp;"")</f>
        <v/>
      </c>
      <c r="K592">
        <f>IF($U592="","",INDEX(상세표[성명],$U592)&amp;"")</f>
        <v/>
      </c>
      <c r="L592">
        <f>IF($U592="","",INDEX(상세표[직위],$U592)&amp;"")</f>
        <v/>
      </c>
      <c r="M592">
        <f>IF($U592="","",IF(ISNUMBER(INDEX(상세표[근무일자],$U592)),TEXT(INDEX(상세표[근무일자],$U592),"yyyy-mm-dd"),INDEX(상세표[근무일자],$U592)&amp;""))</f>
        <v/>
      </c>
      <c r="N592">
        <f>IF($U592="","",IF(ISNUMBER(INDEX(상세표[시작],$U592)),TEXT(INDEX(상세표[시작],$U592),"yyyy-mm-dd hh:mm"),INDEX(상세표[시작],$U592)&amp;""))</f>
        <v/>
      </c>
      <c r="O592">
        <f>IF($U592="","",IF(ISNUMBER(INDEX(상세표[종료],$U592)),TEXT(INDEX(상세표[종료],$U592),"yyyy-mm-dd hh:mm"),INDEX(상세표[종료],$U592)&amp;""))</f>
        <v/>
      </c>
      <c r="P592" s="20">
        <f>IF($U592="","",INDEX(상세표[06~07시],$U592))</f>
        <v/>
      </c>
      <c r="Q592" s="20">
        <f>IF($U592="","",INDEX(상세표[07~18시],$U592))</f>
        <v/>
      </c>
      <c r="R592" s="20">
        <f>IF($U592="","",INDEX(상세표[18~22시],$U592))</f>
        <v/>
      </c>
      <c r="S592" s="20">
        <f>IF($U592="","",INDEX(상세표[22~06시],$U592))</f>
        <v/>
      </c>
      <c r="T592" s="20">
        <f>IF($U592="","",INDEX(상세표[기록 시간외],$U592))</f>
        <v/>
      </c>
      <c r="U592" s="4">
        <f>IFERROR(MATCH(587,상세표[발송순번],0),"")</f>
        <v/>
      </c>
    </row>
    <row r="593">
      <c r="J593">
        <f>IF($U593="","",INDEX(상세표[사번],$U593)&amp;"")</f>
        <v/>
      </c>
      <c r="K593">
        <f>IF($U593="","",INDEX(상세표[성명],$U593)&amp;"")</f>
        <v/>
      </c>
      <c r="L593">
        <f>IF($U593="","",INDEX(상세표[직위],$U593)&amp;"")</f>
        <v/>
      </c>
      <c r="M593">
        <f>IF($U593="","",IF(ISNUMBER(INDEX(상세표[근무일자],$U593)),TEXT(INDEX(상세표[근무일자],$U593),"yyyy-mm-dd"),INDEX(상세표[근무일자],$U593)&amp;""))</f>
        <v/>
      </c>
      <c r="N593">
        <f>IF($U593="","",IF(ISNUMBER(INDEX(상세표[시작],$U593)),TEXT(INDEX(상세표[시작],$U593),"yyyy-mm-dd hh:mm"),INDEX(상세표[시작],$U593)&amp;""))</f>
        <v/>
      </c>
      <c r="O593">
        <f>IF($U593="","",IF(ISNUMBER(INDEX(상세표[종료],$U593)),TEXT(INDEX(상세표[종료],$U593),"yyyy-mm-dd hh:mm"),INDEX(상세표[종료],$U593)&amp;""))</f>
        <v/>
      </c>
      <c r="P593" s="20">
        <f>IF($U593="","",INDEX(상세표[06~07시],$U593))</f>
        <v/>
      </c>
      <c r="Q593" s="20">
        <f>IF($U593="","",INDEX(상세표[07~18시],$U593))</f>
        <v/>
      </c>
      <c r="R593" s="20">
        <f>IF($U593="","",INDEX(상세표[18~22시],$U593))</f>
        <v/>
      </c>
      <c r="S593" s="20">
        <f>IF($U593="","",INDEX(상세표[22~06시],$U593))</f>
        <v/>
      </c>
      <c r="T593" s="20">
        <f>IF($U593="","",INDEX(상세표[기록 시간외],$U593))</f>
        <v/>
      </c>
      <c r="U593" s="4">
        <f>IFERROR(MATCH(588,상세표[발송순번],0),"")</f>
        <v/>
      </c>
    </row>
    <row r="594">
      <c r="J594">
        <f>IF($U594="","",INDEX(상세표[사번],$U594)&amp;"")</f>
        <v/>
      </c>
      <c r="K594">
        <f>IF($U594="","",INDEX(상세표[성명],$U594)&amp;"")</f>
        <v/>
      </c>
      <c r="L594">
        <f>IF($U594="","",INDEX(상세표[직위],$U594)&amp;"")</f>
        <v/>
      </c>
      <c r="M594">
        <f>IF($U594="","",IF(ISNUMBER(INDEX(상세표[근무일자],$U594)),TEXT(INDEX(상세표[근무일자],$U594),"yyyy-mm-dd"),INDEX(상세표[근무일자],$U594)&amp;""))</f>
        <v/>
      </c>
      <c r="N594">
        <f>IF($U594="","",IF(ISNUMBER(INDEX(상세표[시작],$U594)),TEXT(INDEX(상세표[시작],$U594),"yyyy-mm-dd hh:mm"),INDEX(상세표[시작],$U594)&amp;""))</f>
        <v/>
      </c>
      <c r="O594">
        <f>IF($U594="","",IF(ISNUMBER(INDEX(상세표[종료],$U594)),TEXT(INDEX(상세표[종료],$U594),"yyyy-mm-dd hh:mm"),INDEX(상세표[종료],$U594)&amp;""))</f>
        <v/>
      </c>
      <c r="P594" s="20">
        <f>IF($U594="","",INDEX(상세표[06~07시],$U594))</f>
        <v/>
      </c>
      <c r="Q594" s="20">
        <f>IF($U594="","",INDEX(상세표[07~18시],$U594))</f>
        <v/>
      </c>
      <c r="R594" s="20">
        <f>IF($U594="","",INDEX(상세표[18~22시],$U594))</f>
        <v/>
      </c>
      <c r="S594" s="20">
        <f>IF($U594="","",INDEX(상세표[22~06시],$U594))</f>
        <v/>
      </c>
      <c r="T594" s="20">
        <f>IF($U594="","",INDEX(상세표[기록 시간외],$U594))</f>
        <v/>
      </c>
      <c r="U594" s="4">
        <f>IFERROR(MATCH(589,상세표[발송순번],0),"")</f>
        <v/>
      </c>
    </row>
    <row r="595">
      <c r="J595">
        <f>IF($U595="","",INDEX(상세표[사번],$U595)&amp;"")</f>
        <v/>
      </c>
      <c r="K595">
        <f>IF($U595="","",INDEX(상세표[성명],$U595)&amp;"")</f>
        <v/>
      </c>
      <c r="L595">
        <f>IF($U595="","",INDEX(상세표[직위],$U595)&amp;"")</f>
        <v/>
      </c>
      <c r="M595">
        <f>IF($U595="","",IF(ISNUMBER(INDEX(상세표[근무일자],$U595)),TEXT(INDEX(상세표[근무일자],$U595),"yyyy-mm-dd"),INDEX(상세표[근무일자],$U595)&amp;""))</f>
        <v/>
      </c>
      <c r="N595">
        <f>IF($U595="","",IF(ISNUMBER(INDEX(상세표[시작],$U595)),TEXT(INDEX(상세표[시작],$U595),"yyyy-mm-dd hh:mm"),INDEX(상세표[시작],$U595)&amp;""))</f>
        <v/>
      </c>
      <c r="O595">
        <f>IF($U595="","",IF(ISNUMBER(INDEX(상세표[종료],$U595)),TEXT(INDEX(상세표[종료],$U595),"yyyy-mm-dd hh:mm"),INDEX(상세표[종료],$U595)&amp;""))</f>
        <v/>
      </c>
      <c r="P595" s="20">
        <f>IF($U595="","",INDEX(상세표[06~07시],$U595))</f>
        <v/>
      </c>
      <c r="Q595" s="20">
        <f>IF($U595="","",INDEX(상세표[07~18시],$U595))</f>
        <v/>
      </c>
      <c r="R595" s="20">
        <f>IF($U595="","",INDEX(상세표[18~22시],$U595))</f>
        <v/>
      </c>
      <c r="S595" s="20">
        <f>IF($U595="","",INDEX(상세표[22~06시],$U595))</f>
        <v/>
      </c>
      <c r="T595" s="20">
        <f>IF($U595="","",INDEX(상세표[기록 시간외],$U595))</f>
        <v/>
      </c>
      <c r="U595" s="4">
        <f>IFERROR(MATCH(590,상세표[발송순번],0),"")</f>
        <v/>
      </c>
    </row>
    <row r="596">
      <c r="J596">
        <f>IF($U596="","",INDEX(상세표[사번],$U596)&amp;"")</f>
        <v/>
      </c>
      <c r="K596">
        <f>IF($U596="","",INDEX(상세표[성명],$U596)&amp;"")</f>
        <v/>
      </c>
      <c r="L596">
        <f>IF($U596="","",INDEX(상세표[직위],$U596)&amp;"")</f>
        <v/>
      </c>
      <c r="M596">
        <f>IF($U596="","",IF(ISNUMBER(INDEX(상세표[근무일자],$U596)),TEXT(INDEX(상세표[근무일자],$U596),"yyyy-mm-dd"),INDEX(상세표[근무일자],$U596)&amp;""))</f>
        <v/>
      </c>
      <c r="N596">
        <f>IF($U596="","",IF(ISNUMBER(INDEX(상세표[시작],$U596)),TEXT(INDEX(상세표[시작],$U596),"yyyy-mm-dd hh:mm"),INDEX(상세표[시작],$U596)&amp;""))</f>
        <v/>
      </c>
      <c r="O596">
        <f>IF($U596="","",IF(ISNUMBER(INDEX(상세표[종료],$U596)),TEXT(INDEX(상세표[종료],$U596),"yyyy-mm-dd hh:mm"),INDEX(상세표[종료],$U596)&amp;""))</f>
        <v/>
      </c>
      <c r="P596" s="20">
        <f>IF($U596="","",INDEX(상세표[06~07시],$U596))</f>
        <v/>
      </c>
      <c r="Q596" s="20">
        <f>IF($U596="","",INDEX(상세표[07~18시],$U596))</f>
        <v/>
      </c>
      <c r="R596" s="20">
        <f>IF($U596="","",INDEX(상세표[18~22시],$U596))</f>
        <v/>
      </c>
      <c r="S596" s="20">
        <f>IF($U596="","",INDEX(상세표[22~06시],$U596))</f>
        <v/>
      </c>
      <c r="T596" s="20">
        <f>IF($U596="","",INDEX(상세표[기록 시간외],$U596))</f>
        <v/>
      </c>
      <c r="U596" s="4">
        <f>IFERROR(MATCH(591,상세표[발송순번],0),"")</f>
        <v/>
      </c>
    </row>
    <row r="597">
      <c r="J597">
        <f>IF($U597="","",INDEX(상세표[사번],$U597)&amp;"")</f>
        <v/>
      </c>
      <c r="K597">
        <f>IF($U597="","",INDEX(상세표[성명],$U597)&amp;"")</f>
        <v/>
      </c>
      <c r="L597">
        <f>IF($U597="","",INDEX(상세표[직위],$U597)&amp;"")</f>
        <v/>
      </c>
      <c r="M597">
        <f>IF($U597="","",IF(ISNUMBER(INDEX(상세표[근무일자],$U597)),TEXT(INDEX(상세표[근무일자],$U597),"yyyy-mm-dd"),INDEX(상세표[근무일자],$U597)&amp;""))</f>
        <v/>
      </c>
      <c r="N597">
        <f>IF($U597="","",IF(ISNUMBER(INDEX(상세표[시작],$U597)),TEXT(INDEX(상세표[시작],$U597),"yyyy-mm-dd hh:mm"),INDEX(상세표[시작],$U597)&amp;""))</f>
        <v/>
      </c>
      <c r="O597">
        <f>IF($U597="","",IF(ISNUMBER(INDEX(상세표[종료],$U597)),TEXT(INDEX(상세표[종료],$U597),"yyyy-mm-dd hh:mm"),INDEX(상세표[종료],$U597)&amp;""))</f>
        <v/>
      </c>
      <c r="P597" s="20">
        <f>IF($U597="","",INDEX(상세표[06~07시],$U597))</f>
        <v/>
      </c>
      <c r="Q597" s="20">
        <f>IF($U597="","",INDEX(상세표[07~18시],$U597))</f>
        <v/>
      </c>
      <c r="R597" s="20">
        <f>IF($U597="","",INDEX(상세표[18~22시],$U597))</f>
        <v/>
      </c>
      <c r="S597" s="20">
        <f>IF($U597="","",INDEX(상세표[22~06시],$U597))</f>
        <v/>
      </c>
      <c r="T597" s="20">
        <f>IF($U597="","",INDEX(상세표[기록 시간외],$U597))</f>
        <v/>
      </c>
      <c r="U597" s="4">
        <f>IFERROR(MATCH(592,상세표[발송순번],0),"")</f>
        <v/>
      </c>
    </row>
    <row r="598">
      <c r="J598">
        <f>IF($U598="","",INDEX(상세표[사번],$U598)&amp;"")</f>
        <v/>
      </c>
      <c r="K598">
        <f>IF($U598="","",INDEX(상세표[성명],$U598)&amp;"")</f>
        <v/>
      </c>
      <c r="L598">
        <f>IF($U598="","",INDEX(상세표[직위],$U598)&amp;"")</f>
        <v/>
      </c>
      <c r="M598">
        <f>IF($U598="","",IF(ISNUMBER(INDEX(상세표[근무일자],$U598)),TEXT(INDEX(상세표[근무일자],$U598),"yyyy-mm-dd"),INDEX(상세표[근무일자],$U598)&amp;""))</f>
        <v/>
      </c>
      <c r="N598">
        <f>IF($U598="","",IF(ISNUMBER(INDEX(상세표[시작],$U598)),TEXT(INDEX(상세표[시작],$U598),"yyyy-mm-dd hh:mm"),INDEX(상세표[시작],$U598)&amp;""))</f>
        <v/>
      </c>
      <c r="O598">
        <f>IF($U598="","",IF(ISNUMBER(INDEX(상세표[종료],$U598)),TEXT(INDEX(상세표[종료],$U598),"yyyy-mm-dd hh:mm"),INDEX(상세표[종료],$U598)&amp;""))</f>
        <v/>
      </c>
      <c r="P598" s="20">
        <f>IF($U598="","",INDEX(상세표[06~07시],$U598))</f>
        <v/>
      </c>
      <c r="Q598" s="20">
        <f>IF($U598="","",INDEX(상세표[07~18시],$U598))</f>
        <v/>
      </c>
      <c r="R598" s="20">
        <f>IF($U598="","",INDEX(상세표[18~22시],$U598))</f>
        <v/>
      </c>
      <c r="S598" s="20">
        <f>IF($U598="","",INDEX(상세표[22~06시],$U598))</f>
        <v/>
      </c>
      <c r="T598" s="20">
        <f>IF($U598="","",INDEX(상세표[기록 시간외],$U598))</f>
        <v/>
      </c>
      <c r="U598" s="4">
        <f>IFERROR(MATCH(593,상세표[발송순번],0),"")</f>
        <v/>
      </c>
    </row>
    <row r="599">
      <c r="J599">
        <f>IF($U599="","",INDEX(상세표[사번],$U599)&amp;"")</f>
        <v/>
      </c>
      <c r="K599">
        <f>IF($U599="","",INDEX(상세표[성명],$U599)&amp;"")</f>
        <v/>
      </c>
      <c r="L599">
        <f>IF($U599="","",INDEX(상세표[직위],$U599)&amp;"")</f>
        <v/>
      </c>
      <c r="M599">
        <f>IF($U599="","",IF(ISNUMBER(INDEX(상세표[근무일자],$U599)),TEXT(INDEX(상세표[근무일자],$U599),"yyyy-mm-dd"),INDEX(상세표[근무일자],$U599)&amp;""))</f>
        <v/>
      </c>
      <c r="N599">
        <f>IF($U599="","",IF(ISNUMBER(INDEX(상세표[시작],$U599)),TEXT(INDEX(상세표[시작],$U599),"yyyy-mm-dd hh:mm"),INDEX(상세표[시작],$U599)&amp;""))</f>
        <v/>
      </c>
      <c r="O599">
        <f>IF($U599="","",IF(ISNUMBER(INDEX(상세표[종료],$U599)),TEXT(INDEX(상세표[종료],$U599),"yyyy-mm-dd hh:mm"),INDEX(상세표[종료],$U599)&amp;""))</f>
        <v/>
      </c>
      <c r="P599" s="20">
        <f>IF($U599="","",INDEX(상세표[06~07시],$U599))</f>
        <v/>
      </c>
      <c r="Q599" s="20">
        <f>IF($U599="","",INDEX(상세표[07~18시],$U599))</f>
        <v/>
      </c>
      <c r="R599" s="20">
        <f>IF($U599="","",INDEX(상세표[18~22시],$U599))</f>
        <v/>
      </c>
      <c r="S599" s="20">
        <f>IF($U599="","",INDEX(상세표[22~06시],$U599))</f>
        <v/>
      </c>
      <c r="T599" s="20">
        <f>IF($U599="","",INDEX(상세표[기록 시간외],$U599))</f>
        <v/>
      </c>
      <c r="U599" s="4">
        <f>IFERROR(MATCH(594,상세표[발송순번],0),"")</f>
        <v/>
      </c>
    </row>
    <row r="600">
      <c r="J600">
        <f>IF($U600="","",INDEX(상세표[사번],$U600)&amp;"")</f>
        <v/>
      </c>
      <c r="K600">
        <f>IF($U600="","",INDEX(상세표[성명],$U600)&amp;"")</f>
        <v/>
      </c>
      <c r="L600">
        <f>IF($U600="","",INDEX(상세표[직위],$U600)&amp;"")</f>
        <v/>
      </c>
      <c r="M600">
        <f>IF($U600="","",IF(ISNUMBER(INDEX(상세표[근무일자],$U600)),TEXT(INDEX(상세표[근무일자],$U600),"yyyy-mm-dd"),INDEX(상세표[근무일자],$U600)&amp;""))</f>
        <v/>
      </c>
      <c r="N600">
        <f>IF($U600="","",IF(ISNUMBER(INDEX(상세표[시작],$U600)),TEXT(INDEX(상세표[시작],$U600),"yyyy-mm-dd hh:mm"),INDEX(상세표[시작],$U600)&amp;""))</f>
        <v/>
      </c>
      <c r="O600">
        <f>IF($U600="","",IF(ISNUMBER(INDEX(상세표[종료],$U600)),TEXT(INDEX(상세표[종료],$U600),"yyyy-mm-dd hh:mm"),INDEX(상세표[종료],$U600)&amp;""))</f>
        <v/>
      </c>
      <c r="P600" s="20">
        <f>IF($U600="","",INDEX(상세표[06~07시],$U600))</f>
        <v/>
      </c>
      <c r="Q600" s="20">
        <f>IF($U600="","",INDEX(상세표[07~18시],$U600))</f>
        <v/>
      </c>
      <c r="R600" s="20">
        <f>IF($U600="","",INDEX(상세표[18~22시],$U600))</f>
        <v/>
      </c>
      <c r="S600" s="20">
        <f>IF($U600="","",INDEX(상세표[22~06시],$U600))</f>
        <v/>
      </c>
      <c r="T600" s="20">
        <f>IF($U600="","",INDEX(상세표[기록 시간외],$U600))</f>
        <v/>
      </c>
      <c r="U600" s="4">
        <f>IFERROR(MATCH(595,상세표[발송순번],0),"")</f>
        <v/>
      </c>
    </row>
    <row r="601">
      <c r="J601">
        <f>IF($U601="","",INDEX(상세표[사번],$U601)&amp;"")</f>
        <v/>
      </c>
      <c r="K601">
        <f>IF($U601="","",INDEX(상세표[성명],$U601)&amp;"")</f>
        <v/>
      </c>
      <c r="L601">
        <f>IF($U601="","",INDEX(상세표[직위],$U601)&amp;"")</f>
        <v/>
      </c>
      <c r="M601">
        <f>IF($U601="","",IF(ISNUMBER(INDEX(상세표[근무일자],$U601)),TEXT(INDEX(상세표[근무일자],$U601),"yyyy-mm-dd"),INDEX(상세표[근무일자],$U601)&amp;""))</f>
        <v/>
      </c>
      <c r="N601">
        <f>IF($U601="","",IF(ISNUMBER(INDEX(상세표[시작],$U601)),TEXT(INDEX(상세표[시작],$U601),"yyyy-mm-dd hh:mm"),INDEX(상세표[시작],$U601)&amp;""))</f>
        <v/>
      </c>
      <c r="O601">
        <f>IF($U601="","",IF(ISNUMBER(INDEX(상세표[종료],$U601)),TEXT(INDEX(상세표[종료],$U601),"yyyy-mm-dd hh:mm"),INDEX(상세표[종료],$U601)&amp;""))</f>
        <v/>
      </c>
      <c r="P601" s="20">
        <f>IF($U601="","",INDEX(상세표[06~07시],$U601))</f>
        <v/>
      </c>
      <c r="Q601" s="20">
        <f>IF($U601="","",INDEX(상세표[07~18시],$U601))</f>
        <v/>
      </c>
      <c r="R601" s="20">
        <f>IF($U601="","",INDEX(상세표[18~22시],$U601))</f>
        <v/>
      </c>
      <c r="S601" s="20">
        <f>IF($U601="","",INDEX(상세표[22~06시],$U601))</f>
        <v/>
      </c>
      <c r="T601" s="20">
        <f>IF($U601="","",INDEX(상세표[기록 시간외],$U601))</f>
        <v/>
      </c>
      <c r="U601" s="4">
        <f>IFERROR(MATCH(596,상세표[발송순번],0),"")</f>
        <v/>
      </c>
    </row>
    <row r="602">
      <c r="J602">
        <f>IF($U602="","",INDEX(상세표[사번],$U602)&amp;"")</f>
        <v/>
      </c>
      <c r="K602">
        <f>IF($U602="","",INDEX(상세표[성명],$U602)&amp;"")</f>
        <v/>
      </c>
      <c r="L602">
        <f>IF($U602="","",INDEX(상세표[직위],$U602)&amp;"")</f>
        <v/>
      </c>
      <c r="M602">
        <f>IF($U602="","",IF(ISNUMBER(INDEX(상세표[근무일자],$U602)),TEXT(INDEX(상세표[근무일자],$U602),"yyyy-mm-dd"),INDEX(상세표[근무일자],$U602)&amp;""))</f>
        <v/>
      </c>
      <c r="N602">
        <f>IF($U602="","",IF(ISNUMBER(INDEX(상세표[시작],$U602)),TEXT(INDEX(상세표[시작],$U602),"yyyy-mm-dd hh:mm"),INDEX(상세표[시작],$U602)&amp;""))</f>
        <v/>
      </c>
      <c r="O602">
        <f>IF($U602="","",IF(ISNUMBER(INDEX(상세표[종료],$U602)),TEXT(INDEX(상세표[종료],$U602),"yyyy-mm-dd hh:mm"),INDEX(상세표[종료],$U602)&amp;""))</f>
        <v/>
      </c>
      <c r="P602" s="20">
        <f>IF($U602="","",INDEX(상세표[06~07시],$U602))</f>
        <v/>
      </c>
      <c r="Q602" s="20">
        <f>IF($U602="","",INDEX(상세표[07~18시],$U602))</f>
        <v/>
      </c>
      <c r="R602" s="20">
        <f>IF($U602="","",INDEX(상세표[18~22시],$U602))</f>
        <v/>
      </c>
      <c r="S602" s="20">
        <f>IF($U602="","",INDEX(상세표[22~06시],$U602))</f>
        <v/>
      </c>
      <c r="T602" s="20">
        <f>IF($U602="","",INDEX(상세표[기록 시간외],$U602))</f>
        <v/>
      </c>
      <c r="U602" s="4">
        <f>IFERROR(MATCH(597,상세표[발송순번],0),"")</f>
        <v/>
      </c>
    </row>
    <row r="603">
      <c r="J603">
        <f>IF($U603="","",INDEX(상세표[사번],$U603)&amp;"")</f>
        <v/>
      </c>
      <c r="K603">
        <f>IF($U603="","",INDEX(상세표[성명],$U603)&amp;"")</f>
        <v/>
      </c>
      <c r="L603">
        <f>IF($U603="","",INDEX(상세표[직위],$U603)&amp;"")</f>
        <v/>
      </c>
      <c r="M603">
        <f>IF($U603="","",IF(ISNUMBER(INDEX(상세표[근무일자],$U603)),TEXT(INDEX(상세표[근무일자],$U603),"yyyy-mm-dd"),INDEX(상세표[근무일자],$U603)&amp;""))</f>
        <v/>
      </c>
      <c r="N603">
        <f>IF($U603="","",IF(ISNUMBER(INDEX(상세표[시작],$U603)),TEXT(INDEX(상세표[시작],$U603),"yyyy-mm-dd hh:mm"),INDEX(상세표[시작],$U603)&amp;""))</f>
        <v/>
      </c>
      <c r="O603">
        <f>IF($U603="","",IF(ISNUMBER(INDEX(상세표[종료],$U603)),TEXT(INDEX(상세표[종료],$U603),"yyyy-mm-dd hh:mm"),INDEX(상세표[종료],$U603)&amp;""))</f>
        <v/>
      </c>
      <c r="P603" s="20">
        <f>IF($U603="","",INDEX(상세표[06~07시],$U603))</f>
        <v/>
      </c>
      <c r="Q603" s="20">
        <f>IF($U603="","",INDEX(상세표[07~18시],$U603))</f>
        <v/>
      </c>
      <c r="R603" s="20">
        <f>IF($U603="","",INDEX(상세표[18~22시],$U603))</f>
        <v/>
      </c>
      <c r="S603" s="20">
        <f>IF($U603="","",INDEX(상세표[22~06시],$U603))</f>
        <v/>
      </c>
      <c r="T603" s="20">
        <f>IF($U603="","",INDEX(상세표[기록 시간외],$U603))</f>
        <v/>
      </c>
      <c r="U603" s="4">
        <f>IFERROR(MATCH(598,상세표[발송순번],0),"")</f>
        <v/>
      </c>
    </row>
    <row r="604">
      <c r="J604">
        <f>IF($U604="","",INDEX(상세표[사번],$U604)&amp;"")</f>
        <v/>
      </c>
      <c r="K604">
        <f>IF($U604="","",INDEX(상세표[성명],$U604)&amp;"")</f>
        <v/>
      </c>
      <c r="L604">
        <f>IF($U604="","",INDEX(상세표[직위],$U604)&amp;"")</f>
        <v/>
      </c>
      <c r="M604">
        <f>IF($U604="","",IF(ISNUMBER(INDEX(상세표[근무일자],$U604)),TEXT(INDEX(상세표[근무일자],$U604),"yyyy-mm-dd"),INDEX(상세표[근무일자],$U604)&amp;""))</f>
        <v/>
      </c>
      <c r="N604">
        <f>IF($U604="","",IF(ISNUMBER(INDEX(상세표[시작],$U604)),TEXT(INDEX(상세표[시작],$U604),"yyyy-mm-dd hh:mm"),INDEX(상세표[시작],$U604)&amp;""))</f>
        <v/>
      </c>
      <c r="O604">
        <f>IF($U604="","",IF(ISNUMBER(INDEX(상세표[종료],$U604)),TEXT(INDEX(상세표[종료],$U604),"yyyy-mm-dd hh:mm"),INDEX(상세표[종료],$U604)&amp;""))</f>
        <v/>
      </c>
      <c r="P604" s="20">
        <f>IF($U604="","",INDEX(상세표[06~07시],$U604))</f>
        <v/>
      </c>
      <c r="Q604" s="20">
        <f>IF($U604="","",INDEX(상세표[07~18시],$U604))</f>
        <v/>
      </c>
      <c r="R604" s="20">
        <f>IF($U604="","",INDEX(상세표[18~22시],$U604))</f>
        <v/>
      </c>
      <c r="S604" s="20">
        <f>IF($U604="","",INDEX(상세표[22~06시],$U604))</f>
        <v/>
      </c>
      <c r="T604" s="20">
        <f>IF($U604="","",INDEX(상세표[기록 시간외],$U604))</f>
        <v/>
      </c>
      <c r="U604" s="4">
        <f>IFERROR(MATCH(599,상세표[발송순번],0),"")</f>
        <v/>
      </c>
    </row>
    <row r="605">
      <c r="J605">
        <f>IF($U605="","",INDEX(상세표[사번],$U605)&amp;"")</f>
        <v/>
      </c>
      <c r="K605">
        <f>IF($U605="","",INDEX(상세표[성명],$U605)&amp;"")</f>
        <v/>
      </c>
      <c r="L605">
        <f>IF($U605="","",INDEX(상세표[직위],$U605)&amp;"")</f>
        <v/>
      </c>
      <c r="M605">
        <f>IF($U605="","",IF(ISNUMBER(INDEX(상세표[근무일자],$U605)),TEXT(INDEX(상세표[근무일자],$U605),"yyyy-mm-dd"),INDEX(상세표[근무일자],$U605)&amp;""))</f>
        <v/>
      </c>
      <c r="N605">
        <f>IF($U605="","",IF(ISNUMBER(INDEX(상세표[시작],$U605)),TEXT(INDEX(상세표[시작],$U605),"yyyy-mm-dd hh:mm"),INDEX(상세표[시작],$U605)&amp;""))</f>
        <v/>
      </c>
      <c r="O605">
        <f>IF($U605="","",IF(ISNUMBER(INDEX(상세표[종료],$U605)),TEXT(INDEX(상세표[종료],$U605),"yyyy-mm-dd hh:mm"),INDEX(상세표[종료],$U605)&amp;""))</f>
        <v/>
      </c>
      <c r="P605" s="20">
        <f>IF($U605="","",INDEX(상세표[06~07시],$U605))</f>
        <v/>
      </c>
      <c r="Q605" s="20">
        <f>IF($U605="","",INDEX(상세표[07~18시],$U605))</f>
        <v/>
      </c>
      <c r="R605" s="20">
        <f>IF($U605="","",INDEX(상세표[18~22시],$U605))</f>
        <v/>
      </c>
      <c r="S605" s="20">
        <f>IF($U605="","",INDEX(상세표[22~06시],$U605))</f>
        <v/>
      </c>
      <c r="T605" s="20">
        <f>IF($U605="","",INDEX(상세표[기록 시간외],$U605))</f>
        <v/>
      </c>
      <c r="U605" s="4">
        <f>IFERROR(MATCH(600,상세표[발송순번],0),"")</f>
        <v/>
      </c>
    </row>
    <row r="606">
      <c r="J606">
        <f>IF($U606="","",INDEX(상세표[사번],$U606)&amp;"")</f>
        <v/>
      </c>
      <c r="K606">
        <f>IF($U606="","",INDEX(상세표[성명],$U606)&amp;"")</f>
        <v/>
      </c>
      <c r="L606">
        <f>IF($U606="","",INDEX(상세표[직위],$U606)&amp;"")</f>
        <v/>
      </c>
      <c r="M606">
        <f>IF($U606="","",IF(ISNUMBER(INDEX(상세표[근무일자],$U606)),TEXT(INDEX(상세표[근무일자],$U606),"yyyy-mm-dd"),INDEX(상세표[근무일자],$U606)&amp;""))</f>
        <v/>
      </c>
      <c r="N606">
        <f>IF($U606="","",IF(ISNUMBER(INDEX(상세표[시작],$U606)),TEXT(INDEX(상세표[시작],$U606),"yyyy-mm-dd hh:mm"),INDEX(상세표[시작],$U606)&amp;""))</f>
        <v/>
      </c>
      <c r="O606">
        <f>IF($U606="","",IF(ISNUMBER(INDEX(상세표[종료],$U606)),TEXT(INDEX(상세표[종료],$U606),"yyyy-mm-dd hh:mm"),INDEX(상세표[종료],$U606)&amp;""))</f>
        <v/>
      </c>
      <c r="P606" s="20">
        <f>IF($U606="","",INDEX(상세표[06~07시],$U606))</f>
        <v/>
      </c>
      <c r="Q606" s="20">
        <f>IF($U606="","",INDEX(상세표[07~18시],$U606))</f>
        <v/>
      </c>
      <c r="R606" s="20">
        <f>IF($U606="","",INDEX(상세표[18~22시],$U606))</f>
        <v/>
      </c>
      <c r="S606" s="20">
        <f>IF($U606="","",INDEX(상세표[22~06시],$U606))</f>
        <v/>
      </c>
      <c r="T606" s="20">
        <f>IF($U606="","",INDEX(상세표[기록 시간외],$U606))</f>
        <v/>
      </c>
      <c r="U606" s="4">
        <f>IFERROR(MATCH(601,상세표[발송순번],0),"")</f>
        <v/>
      </c>
    </row>
    <row r="607">
      <c r="J607">
        <f>IF($U607="","",INDEX(상세표[사번],$U607)&amp;"")</f>
        <v/>
      </c>
      <c r="K607">
        <f>IF($U607="","",INDEX(상세표[성명],$U607)&amp;"")</f>
        <v/>
      </c>
      <c r="L607">
        <f>IF($U607="","",INDEX(상세표[직위],$U607)&amp;"")</f>
        <v/>
      </c>
      <c r="M607">
        <f>IF($U607="","",IF(ISNUMBER(INDEX(상세표[근무일자],$U607)),TEXT(INDEX(상세표[근무일자],$U607),"yyyy-mm-dd"),INDEX(상세표[근무일자],$U607)&amp;""))</f>
        <v/>
      </c>
      <c r="N607">
        <f>IF($U607="","",IF(ISNUMBER(INDEX(상세표[시작],$U607)),TEXT(INDEX(상세표[시작],$U607),"yyyy-mm-dd hh:mm"),INDEX(상세표[시작],$U607)&amp;""))</f>
        <v/>
      </c>
      <c r="O607">
        <f>IF($U607="","",IF(ISNUMBER(INDEX(상세표[종료],$U607)),TEXT(INDEX(상세표[종료],$U607),"yyyy-mm-dd hh:mm"),INDEX(상세표[종료],$U607)&amp;""))</f>
        <v/>
      </c>
      <c r="P607" s="20">
        <f>IF($U607="","",INDEX(상세표[06~07시],$U607))</f>
        <v/>
      </c>
      <c r="Q607" s="20">
        <f>IF($U607="","",INDEX(상세표[07~18시],$U607))</f>
        <v/>
      </c>
      <c r="R607" s="20">
        <f>IF($U607="","",INDEX(상세표[18~22시],$U607))</f>
        <v/>
      </c>
      <c r="S607" s="20">
        <f>IF($U607="","",INDEX(상세표[22~06시],$U607))</f>
        <v/>
      </c>
      <c r="T607" s="20">
        <f>IF($U607="","",INDEX(상세표[기록 시간외],$U607))</f>
        <v/>
      </c>
      <c r="U607" s="4">
        <f>IFERROR(MATCH(602,상세표[발송순번],0),"")</f>
        <v/>
      </c>
    </row>
    <row r="608">
      <c r="J608">
        <f>IF($U608="","",INDEX(상세표[사번],$U608)&amp;"")</f>
        <v/>
      </c>
      <c r="K608">
        <f>IF($U608="","",INDEX(상세표[성명],$U608)&amp;"")</f>
        <v/>
      </c>
      <c r="L608">
        <f>IF($U608="","",INDEX(상세표[직위],$U608)&amp;"")</f>
        <v/>
      </c>
      <c r="M608">
        <f>IF($U608="","",IF(ISNUMBER(INDEX(상세표[근무일자],$U608)),TEXT(INDEX(상세표[근무일자],$U608),"yyyy-mm-dd"),INDEX(상세표[근무일자],$U608)&amp;""))</f>
        <v/>
      </c>
      <c r="N608">
        <f>IF($U608="","",IF(ISNUMBER(INDEX(상세표[시작],$U608)),TEXT(INDEX(상세표[시작],$U608),"yyyy-mm-dd hh:mm"),INDEX(상세표[시작],$U608)&amp;""))</f>
        <v/>
      </c>
      <c r="O608">
        <f>IF($U608="","",IF(ISNUMBER(INDEX(상세표[종료],$U608)),TEXT(INDEX(상세표[종료],$U608),"yyyy-mm-dd hh:mm"),INDEX(상세표[종료],$U608)&amp;""))</f>
        <v/>
      </c>
      <c r="P608" s="20">
        <f>IF($U608="","",INDEX(상세표[06~07시],$U608))</f>
        <v/>
      </c>
      <c r="Q608" s="20">
        <f>IF($U608="","",INDEX(상세표[07~18시],$U608))</f>
        <v/>
      </c>
      <c r="R608" s="20">
        <f>IF($U608="","",INDEX(상세표[18~22시],$U608))</f>
        <v/>
      </c>
      <c r="S608" s="20">
        <f>IF($U608="","",INDEX(상세표[22~06시],$U608))</f>
        <v/>
      </c>
      <c r="T608" s="20">
        <f>IF($U608="","",INDEX(상세표[기록 시간외],$U608))</f>
        <v/>
      </c>
      <c r="U608" s="4">
        <f>IFERROR(MATCH(603,상세표[발송순번],0),"")</f>
        <v/>
      </c>
    </row>
    <row r="609">
      <c r="J609">
        <f>IF($U609="","",INDEX(상세표[사번],$U609)&amp;"")</f>
        <v/>
      </c>
      <c r="K609">
        <f>IF($U609="","",INDEX(상세표[성명],$U609)&amp;"")</f>
        <v/>
      </c>
      <c r="L609">
        <f>IF($U609="","",INDEX(상세표[직위],$U609)&amp;"")</f>
        <v/>
      </c>
      <c r="M609">
        <f>IF($U609="","",IF(ISNUMBER(INDEX(상세표[근무일자],$U609)),TEXT(INDEX(상세표[근무일자],$U609),"yyyy-mm-dd"),INDEX(상세표[근무일자],$U609)&amp;""))</f>
        <v/>
      </c>
      <c r="N609">
        <f>IF($U609="","",IF(ISNUMBER(INDEX(상세표[시작],$U609)),TEXT(INDEX(상세표[시작],$U609),"yyyy-mm-dd hh:mm"),INDEX(상세표[시작],$U609)&amp;""))</f>
        <v/>
      </c>
      <c r="O609">
        <f>IF($U609="","",IF(ISNUMBER(INDEX(상세표[종료],$U609)),TEXT(INDEX(상세표[종료],$U609),"yyyy-mm-dd hh:mm"),INDEX(상세표[종료],$U609)&amp;""))</f>
        <v/>
      </c>
      <c r="P609" s="20">
        <f>IF($U609="","",INDEX(상세표[06~07시],$U609))</f>
        <v/>
      </c>
      <c r="Q609" s="20">
        <f>IF($U609="","",INDEX(상세표[07~18시],$U609))</f>
        <v/>
      </c>
      <c r="R609" s="20">
        <f>IF($U609="","",INDEX(상세표[18~22시],$U609))</f>
        <v/>
      </c>
      <c r="S609" s="20">
        <f>IF($U609="","",INDEX(상세표[22~06시],$U609))</f>
        <v/>
      </c>
      <c r="T609" s="20">
        <f>IF($U609="","",INDEX(상세표[기록 시간외],$U609))</f>
        <v/>
      </c>
      <c r="U609" s="4">
        <f>IFERROR(MATCH(604,상세표[발송순번],0),"")</f>
        <v/>
      </c>
    </row>
    <row r="610">
      <c r="J610">
        <f>IF($U610="","",INDEX(상세표[사번],$U610)&amp;"")</f>
        <v/>
      </c>
      <c r="K610">
        <f>IF($U610="","",INDEX(상세표[성명],$U610)&amp;"")</f>
        <v/>
      </c>
      <c r="L610">
        <f>IF($U610="","",INDEX(상세표[직위],$U610)&amp;"")</f>
        <v/>
      </c>
      <c r="M610">
        <f>IF($U610="","",IF(ISNUMBER(INDEX(상세표[근무일자],$U610)),TEXT(INDEX(상세표[근무일자],$U610),"yyyy-mm-dd"),INDEX(상세표[근무일자],$U610)&amp;""))</f>
        <v/>
      </c>
      <c r="N610">
        <f>IF($U610="","",IF(ISNUMBER(INDEX(상세표[시작],$U610)),TEXT(INDEX(상세표[시작],$U610),"yyyy-mm-dd hh:mm"),INDEX(상세표[시작],$U610)&amp;""))</f>
        <v/>
      </c>
      <c r="O610">
        <f>IF($U610="","",IF(ISNUMBER(INDEX(상세표[종료],$U610)),TEXT(INDEX(상세표[종료],$U610),"yyyy-mm-dd hh:mm"),INDEX(상세표[종료],$U610)&amp;""))</f>
        <v/>
      </c>
      <c r="P610" s="20">
        <f>IF($U610="","",INDEX(상세표[06~07시],$U610))</f>
        <v/>
      </c>
      <c r="Q610" s="20">
        <f>IF($U610="","",INDEX(상세표[07~18시],$U610))</f>
        <v/>
      </c>
      <c r="R610" s="20">
        <f>IF($U610="","",INDEX(상세표[18~22시],$U610))</f>
        <v/>
      </c>
      <c r="S610" s="20">
        <f>IF($U610="","",INDEX(상세표[22~06시],$U610))</f>
        <v/>
      </c>
      <c r="T610" s="20">
        <f>IF($U610="","",INDEX(상세표[기록 시간외],$U610))</f>
        <v/>
      </c>
      <c r="U610" s="4">
        <f>IFERROR(MATCH(605,상세표[발송순번],0),"")</f>
        <v/>
      </c>
    </row>
    <row r="611">
      <c r="J611">
        <f>IF($U611="","",INDEX(상세표[사번],$U611)&amp;"")</f>
        <v/>
      </c>
      <c r="K611">
        <f>IF($U611="","",INDEX(상세표[성명],$U611)&amp;"")</f>
        <v/>
      </c>
      <c r="L611">
        <f>IF($U611="","",INDEX(상세표[직위],$U611)&amp;"")</f>
        <v/>
      </c>
      <c r="M611">
        <f>IF($U611="","",IF(ISNUMBER(INDEX(상세표[근무일자],$U611)),TEXT(INDEX(상세표[근무일자],$U611),"yyyy-mm-dd"),INDEX(상세표[근무일자],$U611)&amp;""))</f>
        <v/>
      </c>
      <c r="N611">
        <f>IF($U611="","",IF(ISNUMBER(INDEX(상세표[시작],$U611)),TEXT(INDEX(상세표[시작],$U611),"yyyy-mm-dd hh:mm"),INDEX(상세표[시작],$U611)&amp;""))</f>
        <v/>
      </c>
      <c r="O611">
        <f>IF($U611="","",IF(ISNUMBER(INDEX(상세표[종료],$U611)),TEXT(INDEX(상세표[종료],$U611),"yyyy-mm-dd hh:mm"),INDEX(상세표[종료],$U611)&amp;""))</f>
        <v/>
      </c>
      <c r="P611" s="20">
        <f>IF($U611="","",INDEX(상세표[06~07시],$U611))</f>
        <v/>
      </c>
      <c r="Q611" s="20">
        <f>IF($U611="","",INDEX(상세표[07~18시],$U611))</f>
        <v/>
      </c>
      <c r="R611" s="20">
        <f>IF($U611="","",INDEX(상세표[18~22시],$U611))</f>
        <v/>
      </c>
      <c r="S611" s="20">
        <f>IF($U611="","",INDEX(상세표[22~06시],$U611))</f>
        <v/>
      </c>
      <c r="T611" s="20">
        <f>IF($U611="","",INDEX(상세표[기록 시간외],$U611))</f>
        <v/>
      </c>
      <c r="U611" s="4">
        <f>IFERROR(MATCH(606,상세표[발송순번],0),"")</f>
        <v/>
      </c>
    </row>
    <row r="612">
      <c r="J612">
        <f>IF($U612="","",INDEX(상세표[사번],$U612)&amp;"")</f>
        <v/>
      </c>
      <c r="K612">
        <f>IF($U612="","",INDEX(상세표[성명],$U612)&amp;"")</f>
        <v/>
      </c>
      <c r="L612">
        <f>IF($U612="","",INDEX(상세표[직위],$U612)&amp;"")</f>
        <v/>
      </c>
      <c r="M612">
        <f>IF($U612="","",IF(ISNUMBER(INDEX(상세표[근무일자],$U612)),TEXT(INDEX(상세표[근무일자],$U612),"yyyy-mm-dd"),INDEX(상세표[근무일자],$U612)&amp;""))</f>
        <v/>
      </c>
      <c r="N612">
        <f>IF($U612="","",IF(ISNUMBER(INDEX(상세표[시작],$U612)),TEXT(INDEX(상세표[시작],$U612),"yyyy-mm-dd hh:mm"),INDEX(상세표[시작],$U612)&amp;""))</f>
        <v/>
      </c>
      <c r="O612">
        <f>IF($U612="","",IF(ISNUMBER(INDEX(상세표[종료],$U612)),TEXT(INDEX(상세표[종료],$U612),"yyyy-mm-dd hh:mm"),INDEX(상세표[종료],$U612)&amp;""))</f>
        <v/>
      </c>
      <c r="P612" s="20">
        <f>IF($U612="","",INDEX(상세표[06~07시],$U612))</f>
        <v/>
      </c>
      <c r="Q612" s="20">
        <f>IF($U612="","",INDEX(상세표[07~18시],$U612))</f>
        <v/>
      </c>
      <c r="R612" s="20">
        <f>IF($U612="","",INDEX(상세표[18~22시],$U612))</f>
        <v/>
      </c>
      <c r="S612" s="20">
        <f>IF($U612="","",INDEX(상세표[22~06시],$U612))</f>
        <v/>
      </c>
      <c r="T612" s="20">
        <f>IF($U612="","",INDEX(상세표[기록 시간외],$U612))</f>
        <v/>
      </c>
      <c r="U612" s="4">
        <f>IFERROR(MATCH(607,상세표[발송순번],0),"")</f>
        <v/>
      </c>
    </row>
    <row r="613">
      <c r="J613">
        <f>IF($U613="","",INDEX(상세표[사번],$U613)&amp;"")</f>
        <v/>
      </c>
      <c r="K613">
        <f>IF($U613="","",INDEX(상세표[성명],$U613)&amp;"")</f>
        <v/>
      </c>
      <c r="L613">
        <f>IF($U613="","",INDEX(상세표[직위],$U613)&amp;"")</f>
        <v/>
      </c>
      <c r="M613">
        <f>IF($U613="","",IF(ISNUMBER(INDEX(상세표[근무일자],$U613)),TEXT(INDEX(상세표[근무일자],$U613),"yyyy-mm-dd"),INDEX(상세표[근무일자],$U613)&amp;""))</f>
        <v/>
      </c>
      <c r="N613">
        <f>IF($U613="","",IF(ISNUMBER(INDEX(상세표[시작],$U613)),TEXT(INDEX(상세표[시작],$U613),"yyyy-mm-dd hh:mm"),INDEX(상세표[시작],$U613)&amp;""))</f>
        <v/>
      </c>
      <c r="O613">
        <f>IF($U613="","",IF(ISNUMBER(INDEX(상세표[종료],$U613)),TEXT(INDEX(상세표[종료],$U613),"yyyy-mm-dd hh:mm"),INDEX(상세표[종료],$U613)&amp;""))</f>
        <v/>
      </c>
      <c r="P613" s="20">
        <f>IF($U613="","",INDEX(상세표[06~07시],$U613))</f>
        <v/>
      </c>
      <c r="Q613" s="20">
        <f>IF($U613="","",INDEX(상세표[07~18시],$U613))</f>
        <v/>
      </c>
      <c r="R613" s="20">
        <f>IF($U613="","",INDEX(상세표[18~22시],$U613))</f>
        <v/>
      </c>
      <c r="S613" s="20">
        <f>IF($U613="","",INDEX(상세표[22~06시],$U613))</f>
        <v/>
      </c>
      <c r="T613" s="20">
        <f>IF($U613="","",INDEX(상세표[기록 시간외],$U613))</f>
        <v/>
      </c>
      <c r="U613" s="4">
        <f>IFERROR(MATCH(608,상세표[발송순번],0),"")</f>
        <v/>
      </c>
    </row>
    <row r="614">
      <c r="J614">
        <f>IF($U614="","",INDEX(상세표[사번],$U614)&amp;"")</f>
        <v/>
      </c>
      <c r="K614">
        <f>IF($U614="","",INDEX(상세표[성명],$U614)&amp;"")</f>
        <v/>
      </c>
      <c r="L614">
        <f>IF($U614="","",INDEX(상세표[직위],$U614)&amp;"")</f>
        <v/>
      </c>
      <c r="M614">
        <f>IF($U614="","",IF(ISNUMBER(INDEX(상세표[근무일자],$U614)),TEXT(INDEX(상세표[근무일자],$U614),"yyyy-mm-dd"),INDEX(상세표[근무일자],$U614)&amp;""))</f>
        <v/>
      </c>
      <c r="N614">
        <f>IF($U614="","",IF(ISNUMBER(INDEX(상세표[시작],$U614)),TEXT(INDEX(상세표[시작],$U614),"yyyy-mm-dd hh:mm"),INDEX(상세표[시작],$U614)&amp;""))</f>
        <v/>
      </c>
      <c r="O614">
        <f>IF($U614="","",IF(ISNUMBER(INDEX(상세표[종료],$U614)),TEXT(INDEX(상세표[종료],$U614),"yyyy-mm-dd hh:mm"),INDEX(상세표[종료],$U614)&amp;""))</f>
        <v/>
      </c>
      <c r="P614" s="20">
        <f>IF($U614="","",INDEX(상세표[06~07시],$U614))</f>
        <v/>
      </c>
      <c r="Q614" s="20">
        <f>IF($U614="","",INDEX(상세표[07~18시],$U614))</f>
        <v/>
      </c>
      <c r="R614" s="20">
        <f>IF($U614="","",INDEX(상세표[18~22시],$U614))</f>
        <v/>
      </c>
      <c r="S614" s="20">
        <f>IF($U614="","",INDEX(상세표[22~06시],$U614))</f>
        <v/>
      </c>
      <c r="T614" s="20">
        <f>IF($U614="","",INDEX(상세표[기록 시간외],$U614))</f>
        <v/>
      </c>
      <c r="U614" s="4">
        <f>IFERROR(MATCH(609,상세표[발송순번],0),"")</f>
        <v/>
      </c>
    </row>
    <row r="615">
      <c r="J615">
        <f>IF($U615="","",INDEX(상세표[사번],$U615)&amp;"")</f>
        <v/>
      </c>
      <c r="K615">
        <f>IF($U615="","",INDEX(상세표[성명],$U615)&amp;"")</f>
        <v/>
      </c>
      <c r="L615">
        <f>IF($U615="","",INDEX(상세표[직위],$U615)&amp;"")</f>
        <v/>
      </c>
      <c r="M615">
        <f>IF($U615="","",IF(ISNUMBER(INDEX(상세표[근무일자],$U615)),TEXT(INDEX(상세표[근무일자],$U615),"yyyy-mm-dd"),INDEX(상세표[근무일자],$U615)&amp;""))</f>
        <v/>
      </c>
      <c r="N615">
        <f>IF($U615="","",IF(ISNUMBER(INDEX(상세표[시작],$U615)),TEXT(INDEX(상세표[시작],$U615),"yyyy-mm-dd hh:mm"),INDEX(상세표[시작],$U615)&amp;""))</f>
        <v/>
      </c>
      <c r="O615">
        <f>IF($U615="","",IF(ISNUMBER(INDEX(상세표[종료],$U615)),TEXT(INDEX(상세표[종료],$U615),"yyyy-mm-dd hh:mm"),INDEX(상세표[종료],$U615)&amp;""))</f>
        <v/>
      </c>
      <c r="P615" s="20">
        <f>IF($U615="","",INDEX(상세표[06~07시],$U615))</f>
        <v/>
      </c>
      <c r="Q615" s="20">
        <f>IF($U615="","",INDEX(상세표[07~18시],$U615))</f>
        <v/>
      </c>
      <c r="R615" s="20">
        <f>IF($U615="","",INDEX(상세표[18~22시],$U615))</f>
        <v/>
      </c>
      <c r="S615" s="20">
        <f>IF($U615="","",INDEX(상세표[22~06시],$U615))</f>
        <v/>
      </c>
      <c r="T615" s="20">
        <f>IF($U615="","",INDEX(상세표[기록 시간외],$U615))</f>
        <v/>
      </c>
      <c r="U615" s="4">
        <f>IFERROR(MATCH(610,상세표[발송순번],0),"")</f>
        <v/>
      </c>
    </row>
    <row r="616">
      <c r="J616">
        <f>IF($U616="","",INDEX(상세표[사번],$U616)&amp;"")</f>
        <v/>
      </c>
      <c r="K616">
        <f>IF($U616="","",INDEX(상세표[성명],$U616)&amp;"")</f>
        <v/>
      </c>
      <c r="L616">
        <f>IF($U616="","",INDEX(상세표[직위],$U616)&amp;"")</f>
        <v/>
      </c>
      <c r="M616">
        <f>IF($U616="","",IF(ISNUMBER(INDEX(상세표[근무일자],$U616)),TEXT(INDEX(상세표[근무일자],$U616),"yyyy-mm-dd"),INDEX(상세표[근무일자],$U616)&amp;""))</f>
        <v/>
      </c>
      <c r="N616">
        <f>IF($U616="","",IF(ISNUMBER(INDEX(상세표[시작],$U616)),TEXT(INDEX(상세표[시작],$U616),"yyyy-mm-dd hh:mm"),INDEX(상세표[시작],$U616)&amp;""))</f>
        <v/>
      </c>
      <c r="O616">
        <f>IF($U616="","",IF(ISNUMBER(INDEX(상세표[종료],$U616)),TEXT(INDEX(상세표[종료],$U616),"yyyy-mm-dd hh:mm"),INDEX(상세표[종료],$U616)&amp;""))</f>
        <v/>
      </c>
      <c r="P616" s="20">
        <f>IF($U616="","",INDEX(상세표[06~07시],$U616))</f>
        <v/>
      </c>
      <c r="Q616" s="20">
        <f>IF($U616="","",INDEX(상세표[07~18시],$U616))</f>
        <v/>
      </c>
      <c r="R616" s="20">
        <f>IF($U616="","",INDEX(상세표[18~22시],$U616))</f>
        <v/>
      </c>
      <c r="S616" s="20">
        <f>IF($U616="","",INDEX(상세표[22~06시],$U616))</f>
        <v/>
      </c>
      <c r="T616" s="20">
        <f>IF($U616="","",INDEX(상세표[기록 시간외],$U616))</f>
        <v/>
      </c>
      <c r="U616" s="4">
        <f>IFERROR(MATCH(611,상세표[발송순번],0),"")</f>
        <v/>
      </c>
    </row>
    <row r="617">
      <c r="J617">
        <f>IF($U617="","",INDEX(상세표[사번],$U617)&amp;"")</f>
        <v/>
      </c>
      <c r="K617">
        <f>IF($U617="","",INDEX(상세표[성명],$U617)&amp;"")</f>
        <v/>
      </c>
      <c r="L617">
        <f>IF($U617="","",INDEX(상세표[직위],$U617)&amp;"")</f>
        <v/>
      </c>
      <c r="M617">
        <f>IF($U617="","",IF(ISNUMBER(INDEX(상세표[근무일자],$U617)),TEXT(INDEX(상세표[근무일자],$U617),"yyyy-mm-dd"),INDEX(상세표[근무일자],$U617)&amp;""))</f>
        <v/>
      </c>
      <c r="N617">
        <f>IF($U617="","",IF(ISNUMBER(INDEX(상세표[시작],$U617)),TEXT(INDEX(상세표[시작],$U617),"yyyy-mm-dd hh:mm"),INDEX(상세표[시작],$U617)&amp;""))</f>
        <v/>
      </c>
      <c r="O617">
        <f>IF($U617="","",IF(ISNUMBER(INDEX(상세표[종료],$U617)),TEXT(INDEX(상세표[종료],$U617),"yyyy-mm-dd hh:mm"),INDEX(상세표[종료],$U617)&amp;""))</f>
        <v/>
      </c>
      <c r="P617" s="20">
        <f>IF($U617="","",INDEX(상세표[06~07시],$U617))</f>
        <v/>
      </c>
      <c r="Q617" s="20">
        <f>IF($U617="","",INDEX(상세표[07~18시],$U617))</f>
        <v/>
      </c>
      <c r="R617" s="20">
        <f>IF($U617="","",INDEX(상세표[18~22시],$U617))</f>
        <v/>
      </c>
      <c r="S617" s="20">
        <f>IF($U617="","",INDEX(상세표[22~06시],$U617))</f>
        <v/>
      </c>
      <c r="T617" s="20">
        <f>IF($U617="","",INDEX(상세표[기록 시간외],$U617))</f>
        <v/>
      </c>
      <c r="U617" s="4">
        <f>IFERROR(MATCH(612,상세표[발송순번],0),"")</f>
        <v/>
      </c>
    </row>
    <row r="618">
      <c r="J618">
        <f>IF($U618="","",INDEX(상세표[사번],$U618)&amp;"")</f>
        <v/>
      </c>
      <c r="K618">
        <f>IF($U618="","",INDEX(상세표[성명],$U618)&amp;"")</f>
        <v/>
      </c>
      <c r="L618">
        <f>IF($U618="","",INDEX(상세표[직위],$U618)&amp;"")</f>
        <v/>
      </c>
      <c r="M618">
        <f>IF($U618="","",IF(ISNUMBER(INDEX(상세표[근무일자],$U618)),TEXT(INDEX(상세표[근무일자],$U618),"yyyy-mm-dd"),INDEX(상세표[근무일자],$U618)&amp;""))</f>
        <v/>
      </c>
      <c r="N618">
        <f>IF($U618="","",IF(ISNUMBER(INDEX(상세표[시작],$U618)),TEXT(INDEX(상세표[시작],$U618),"yyyy-mm-dd hh:mm"),INDEX(상세표[시작],$U618)&amp;""))</f>
        <v/>
      </c>
      <c r="O618">
        <f>IF($U618="","",IF(ISNUMBER(INDEX(상세표[종료],$U618)),TEXT(INDEX(상세표[종료],$U618),"yyyy-mm-dd hh:mm"),INDEX(상세표[종료],$U618)&amp;""))</f>
        <v/>
      </c>
      <c r="P618" s="20">
        <f>IF($U618="","",INDEX(상세표[06~07시],$U618))</f>
        <v/>
      </c>
      <c r="Q618" s="20">
        <f>IF($U618="","",INDEX(상세표[07~18시],$U618))</f>
        <v/>
      </c>
      <c r="R618" s="20">
        <f>IF($U618="","",INDEX(상세표[18~22시],$U618))</f>
        <v/>
      </c>
      <c r="S618" s="20">
        <f>IF($U618="","",INDEX(상세표[22~06시],$U618))</f>
        <v/>
      </c>
      <c r="T618" s="20">
        <f>IF($U618="","",INDEX(상세표[기록 시간외],$U618))</f>
        <v/>
      </c>
      <c r="U618" s="4">
        <f>IFERROR(MATCH(613,상세표[발송순번],0),"")</f>
        <v/>
      </c>
    </row>
    <row r="619">
      <c r="J619">
        <f>IF($U619="","",INDEX(상세표[사번],$U619)&amp;"")</f>
        <v/>
      </c>
      <c r="K619">
        <f>IF($U619="","",INDEX(상세표[성명],$U619)&amp;"")</f>
        <v/>
      </c>
      <c r="L619">
        <f>IF($U619="","",INDEX(상세표[직위],$U619)&amp;"")</f>
        <v/>
      </c>
      <c r="M619">
        <f>IF($U619="","",IF(ISNUMBER(INDEX(상세표[근무일자],$U619)),TEXT(INDEX(상세표[근무일자],$U619),"yyyy-mm-dd"),INDEX(상세표[근무일자],$U619)&amp;""))</f>
        <v/>
      </c>
      <c r="N619">
        <f>IF($U619="","",IF(ISNUMBER(INDEX(상세표[시작],$U619)),TEXT(INDEX(상세표[시작],$U619),"yyyy-mm-dd hh:mm"),INDEX(상세표[시작],$U619)&amp;""))</f>
        <v/>
      </c>
      <c r="O619">
        <f>IF($U619="","",IF(ISNUMBER(INDEX(상세표[종료],$U619)),TEXT(INDEX(상세표[종료],$U619),"yyyy-mm-dd hh:mm"),INDEX(상세표[종료],$U619)&amp;""))</f>
        <v/>
      </c>
      <c r="P619" s="20">
        <f>IF($U619="","",INDEX(상세표[06~07시],$U619))</f>
        <v/>
      </c>
      <c r="Q619" s="20">
        <f>IF($U619="","",INDEX(상세표[07~18시],$U619))</f>
        <v/>
      </c>
      <c r="R619" s="20">
        <f>IF($U619="","",INDEX(상세표[18~22시],$U619))</f>
        <v/>
      </c>
      <c r="S619" s="20">
        <f>IF($U619="","",INDEX(상세표[22~06시],$U619))</f>
        <v/>
      </c>
      <c r="T619" s="20">
        <f>IF($U619="","",INDEX(상세표[기록 시간외],$U619))</f>
        <v/>
      </c>
      <c r="U619" s="4">
        <f>IFERROR(MATCH(614,상세표[발송순번],0),"")</f>
        <v/>
      </c>
    </row>
    <row r="620">
      <c r="J620">
        <f>IF($U620="","",INDEX(상세표[사번],$U620)&amp;"")</f>
        <v/>
      </c>
      <c r="K620">
        <f>IF($U620="","",INDEX(상세표[성명],$U620)&amp;"")</f>
        <v/>
      </c>
      <c r="L620">
        <f>IF($U620="","",INDEX(상세표[직위],$U620)&amp;"")</f>
        <v/>
      </c>
      <c r="M620">
        <f>IF($U620="","",IF(ISNUMBER(INDEX(상세표[근무일자],$U620)),TEXT(INDEX(상세표[근무일자],$U620),"yyyy-mm-dd"),INDEX(상세표[근무일자],$U620)&amp;""))</f>
        <v/>
      </c>
      <c r="N620">
        <f>IF($U620="","",IF(ISNUMBER(INDEX(상세표[시작],$U620)),TEXT(INDEX(상세표[시작],$U620),"yyyy-mm-dd hh:mm"),INDEX(상세표[시작],$U620)&amp;""))</f>
        <v/>
      </c>
      <c r="O620">
        <f>IF($U620="","",IF(ISNUMBER(INDEX(상세표[종료],$U620)),TEXT(INDEX(상세표[종료],$U620),"yyyy-mm-dd hh:mm"),INDEX(상세표[종료],$U620)&amp;""))</f>
        <v/>
      </c>
      <c r="P620" s="20">
        <f>IF($U620="","",INDEX(상세표[06~07시],$U620))</f>
        <v/>
      </c>
      <c r="Q620" s="20">
        <f>IF($U620="","",INDEX(상세표[07~18시],$U620))</f>
        <v/>
      </c>
      <c r="R620" s="20">
        <f>IF($U620="","",INDEX(상세표[18~22시],$U620))</f>
        <v/>
      </c>
      <c r="S620" s="20">
        <f>IF($U620="","",INDEX(상세표[22~06시],$U620))</f>
        <v/>
      </c>
      <c r="T620" s="20">
        <f>IF($U620="","",INDEX(상세표[기록 시간외],$U620))</f>
        <v/>
      </c>
      <c r="U620" s="4">
        <f>IFERROR(MATCH(615,상세표[발송순번],0),"")</f>
        <v/>
      </c>
    </row>
    <row r="621">
      <c r="J621">
        <f>IF($U621="","",INDEX(상세표[사번],$U621)&amp;"")</f>
        <v/>
      </c>
      <c r="K621">
        <f>IF($U621="","",INDEX(상세표[성명],$U621)&amp;"")</f>
        <v/>
      </c>
      <c r="L621">
        <f>IF($U621="","",INDEX(상세표[직위],$U621)&amp;"")</f>
        <v/>
      </c>
      <c r="M621">
        <f>IF($U621="","",IF(ISNUMBER(INDEX(상세표[근무일자],$U621)),TEXT(INDEX(상세표[근무일자],$U621),"yyyy-mm-dd"),INDEX(상세표[근무일자],$U621)&amp;""))</f>
        <v/>
      </c>
      <c r="N621">
        <f>IF($U621="","",IF(ISNUMBER(INDEX(상세표[시작],$U621)),TEXT(INDEX(상세표[시작],$U621),"yyyy-mm-dd hh:mm"),INDEX(상세표[시작],$U621)&amp;""))</f>
        <v/>
      </c>
      <c r="O621">
        <f>IF($U621="","",IF(ISNUMBER(INDEX(상세표[종료],$U621)),TEXT(INDEX(상세표[종료],$U621),"yyyy-mm-dd hh:mm"),INDEX(상세표[종료],$U621)&amp;""))</f>
        <v/>
      </c>
      <c r="P621" s="20">
        <f>IF($U621="","",INDEX(상세표[06~07시],$U621))</f>
        <v/>
      </c>
      <c r="Q621" s="20">
        <f>IF($U621="","",INDEX(상세표[07~18시],$U621))</f>
        <v/>
      </c>
      <c r="R621" s="20">
        <f>IF($U621="","",INDEX(상세표[18~22시],$U621))</f>
        <v/>
      </c>
      <c r="S621" s="20">
        <f>IF($U621="","",INDEX(상세표[22~06시],$U621))</f>
        <v/>
      </c>
      <c r="T621" s="20">
        <f>IF($U621="","",INDEX(상세표[기록 시간외],$U621))</f>
        <v/>
      </c>
      <c r="U621" s="4">
        <f>IFERROR(MATCH(616,상세표[발송순번],0),"")</f>
        <v/>
      </c>
    </row>
    <row r="622">
      <c r="J622">
        <f>IF($U622="","",INDEX(상세표[사번],$U622)&amp;"")</f>
        <v/>
      </c>
      <c r="K622">
        <f>IF($U622="","",INDEX(상세표[성명],$U622)&amp;"")</f>
        <v/>
      </c>
      <c r="L622">
        <f>IF($U622="","",INDEX(상세표[직위],$U622)&amp;"")</f>
        <v/>
      </c>
      <c r="M622">
        <f>IF($U622="","",IF(ISNUMBER(INDEX(상세표[근무일자],$U622)),TEXT(INDEX(상세표[근무일자],$U622),"yyyy-mm-dd"),INDEX(상세표[근무일자],$U622)&amp;""))</f>
        <v/>
      </c>
      <c r="N622">
        <f>IF($U622="","",IF(ISNUMBER(INDEX(상세표[시작],$U622)),TEXT(INDEX(상세표[시작],$U622),"yyyy-mm-dd hh:mm"),INDEX(상세표[시작],$U622)&amp;""))</f>
        <v/>
      </c>
      <c r="O622">
        <f>IF($U622="","",IF(ISNUMBER(INDEX(상세표[종료],$U622)),TEXT(INDEX(상세표[종료],$U622),"yyyy-mm-dd hh:mm"),INDEX(상세표[종료],$U622)&amp;""))</f>
        <v/>
      </c>
      <c r="P622" s="20">
        <f>IF($U622="","",INDEX(상세표[06~07시],$U622))</f>
        <v/>
      </c>
      <c r="Q622" s="20">
        <f>IF($U622="","",INDEX(상세표[07~18시],$U622))</f>
        <v/>
      </c>
      <c r="R622" s="20">
        <f>IF($U622="","",INDEX(상세표[18~22시],$U622))</f>
        <v/>
      </c>
      <c r="S622" s="20">
        <f>IF($U622="","",INDEX(상세표[22~06시],$U622))</f>
        <v/>
      </c>
      <c r="T622" s="20">
        <f>IF($U622="","",INDEX(상세표[기록 시간외],$U622))</f>
        <v/>
      </c>
      <c r="U622" s="4">
        <f>IFERROR(MATCH(617,상세표[발송순번],0),"")</f>
        <v/>
      </c>
    </row>
    <row r="623">
      <c r="J623">
        <f>IF($U623="","",INDEX(상세표[사번],$U623)&amp;"")</f>
        <v/>
      </c>
      <c r="K623">
        <f>IF($U623="","",INDEX(상세표[성명],$U623)&amp;"")</f>
        <v/>
      </c>
      <c r="L623">
        <f>IF($U623="","",INDEX(상세표[직위],$U623)&amp;"")</f>
        <v/>
      </c>
      <c r="M623">
        <f>IF($U623="","",IF(ISNUMBER(INDEX(상세표[근무일자],$U623)),TEXT(INDEX(상세표[근무일자],$U623),"yyyy-mm-dd"),INDEX(상세표[근무일자],$U623)&amp;""))</f>
        <v/>
      </c>
      <c r="N623">
        <f>IF($U623="","",IF(ISNUMBER(INDEX(상세표[시작],$U623)),TEXT(INDEX(상세표[시작],$U623),"yyyy-mm-dd hh:mm"),INDEX(상세표[시작],$U623)&amp;""))</f>
        <v/>
      </c>
      <c r="O623">
        <f>IF($U623="","",IF(ISNUMBER(INDEX(상세표[종료],$U623)),TEXT(INDEX(상세표[종료],$U623),"yyyy-mm-dd hh:mm"),INDEX(상세표[종료],$U623)&amp;""))</f>
        <v/>
      </c>
      <c r="P623" s="20">
        <f>IF($U623="","",INDEX(상세표[06~07시],$U623))</f>
        <v/>
      </c>
      <c r="Q623" s="20">
        <f>IF($U623="","",INDEX(상세표[07~18시],$U623))</f>
        <v/>
      </c>
      <c r="R623" s="20">
        <f>IF($U623="","",INDEX(상세표[18~22시],$U623))</f>
        <v/>
      </c>
      <c r="S623" s="20">
        <f>IF($U623="","",INDEX(상세표[22~06시],$U623))</f>
        <v/>
      </c>
      <c r="T623" s="20">
        <f>IF($U623="","",INDEX(상세표[기록 시간외],$U623))</f>
        <v/>
      </c>
      <c r="U623" s="4">
        <f>IFERROR(MATCH(618,상세표[발송순번],0),"")</f>
        <v/>
      </c>
    </row>
    <row r="624">
      <c r="J624">
        <f>IF($U624="","",INDEX(상세표[사번],$U624)&amp;"")</f>
        <v/>
      </c>
      <c r="K624">
        <f>IF($U624="","",INDEX(상세표[성명],$U624)&amp;"")</f>
        <v/>
      </c>
      <c r="L624">
        <f>IF($U624="","",INDEX(상세표[직위],$U624)&amp;"")</f>
        <v/>
      </c>
      <c r="M624">
        <f>IF($U624="","",IF(ISNUMBER(INDEX(상세표[근무일자],$U624)),TEXT(INDEX(상세표[근무일자],$U624),"yyyy-mm-dd"),INDEX(상세표[근무일자],$U624)&amp;""))</f>
        <v/>
      </c>
      <c r="N624">
        <f>IF($U624="","",IF(ISNUMBER(INDEX(상세표[시작],$U624)),TEXT(INDEX(상세표[시작],$U624),"yyyy-mm-dd hh:mm"),INDEX(상세표[시작],$U624)&amp;""))</f>
        <v/>
      </c>
      <c r="O624">
        <f>IF($U624="","",IF(ISNUMBER(INDEX(상세표[종료],$U624)),TEXT(INDEX(상세표[종료],$U624),"yyyy-mm-dd hh:mm"),INDEX(상세표[종료],$U624)&amp;""))</f>
        <v/>
      </c>
      <c r="P624" s="20">
        <f>IF($U624="","",INDEX(상세표[06~07시],$U624))</f>
        <v/>
      </c>
      <c r="Q624" s="20">
        <f>IF($U624="","",INDEX(상세표[07~18시],$U624))</f>
        <v/>
      </c>
      <c r="R624" s="20">
        <f>IF($U624="","",INDEX(상세표[18~22시],$U624))</f>
        <v/>
      </c>
      <c r="S624" s="20">
        <f>IF($U624="","",INDEX(상세표[22~06시],$U624))</f>
        <v/>
      </c>
      <c r="T624" s="20">
        <f>IF($U624="","",INDEX(상세표[기록 시간외],$U624))</f>
        <v/>
      </c>
      <c r="U624" s="4">
        <f>IFERROR(MATCH(619,상세표[발송순번],0),"")</f>
        <v/>
      </c>
    </row>
    <row r="625">
      <c r="J625">
        <f>IF($U625="","",INDEX(상세표[사번],$U625)&amp;"")</f>
        <v/>
      </c>
      <c r="K625">
        <f>IF($U625="","",INDEX(상세표[성명],$U625)&amp;"")</f>
        <v/>
      </c>
      <c r="L625">
        <f>IF($U625="","",INDEX(상세표[직위],$U625)&amp;"")</f>
        <v/>
      </c>
      <c r="M625">
        <f>IF($U625="","",IF(ISNUMBER(INDEX(상세표[근무일자],$U625)),TEXT(INDEX(상세표[근무일자],$U625),"yyyy-mm-dd"),INDEX(상세표[근무일자],$U625)&amp;""))</f>
        <v/>
      </c>
      <c r="N625">
        <f>IF($U625="","",IF(ISNUMBER(INDEX(상세표[시작],$U625)),TEXT(INDEX(상세표[시작],$U625),"yyyy-mm-dd hh:mm"),INDEX(상세표[시작],$U625)&amp;""))</f>
        <v/>
      </c>
      <c r="O625">
        <f>IF($U625="","",IF(ISNUMBER(INDEX(상세표[종료],$U625)),TEXT(INDEX(상세표[종료],$U625),"yyyy-mm-dd hh:mm"),INDEX(상세표[종료],$U625)&amp;""))</f>
        <v/>
      </c>
      <c r="P625" s="20">
        <f>IF($U625="","",INDEX(상세표[06~07시],$U625))</f>
        <v/>
      </c>
      <c r="Q625" s="20">
        <f>IF($U625="","",INDEX(상세표[07~18시],$U625))</f>
        <v/>
      </c>
      <c r="R625" s="20">
        <f>IF($U625="","",INDEX(상세표[18~22시],$U625))</f>
        <v/>
      </c>
      <c r="S625" s="20">
        <f>IF($U625="","",INDEX(상세표[22~06시],$U625))</f>
        <v/>
      </c>
      <c r="T625" s="20">
        <f>IF($U625="","",INDEX(상세표[기록 시간외],$U625))</f>
        <v/>
      </c>
      <c r="U625" s="4">
        <f>IFERROR(MATCH(620,상세표[발송순번],0),"")</f>
        <v/>
      </c>
    </row>
    <row r="626">
      <c r="J626">
        <f>IF($U626="","",INDEX(상세표[사번],$U626)&amp;"")</f>
        <v/>
      </c>
      <c r="K626">
        <f>IF($U626="","",INDEX(상세표[성명],$U626)&amp;"")</f>
        <v/>
      </c>
      <c r="L626">
        <f>IF($U626="","",INDEX(상세표[직위],$U626)&amp;"")</f>
        <v/>
      </c>
      <c r="M626">
        <f>IF($U626="","",IF(ISNUMBER(INDEX(상세표[근무일자],$U626)),TEXT(INDEX(상세표[근무일자],$U626),"yyyy-mm-dd"),INDEX(상세표[근무일자],$U626)&amp;""))</f>
        <v/>
      </c>
      <c r="N626">
        <f>IF($U626="","",IF(ISNUMBER(INDEX(상세표[시작],$U626)),TEXT(INDEX(상세표[시작],$U626),"yyyy-mm-dd hh:mm"),INDEX(상세표[시작],$U626)&amp;""))</f>
        <v/>
      </c>
      <c r="O626">
        <f>IF($U626="","",IF(ISNUMBER(INDEX(상세표[종료],$U626)),TEXT(INDEX(상세표[종료],$U626),"yyyy-mm-dd hh:mm"),INDEX(상세표[종료],$U626)&amp;""))</f>
        <v/>
      </c>
      <c r="P626" s="20">
        <f>IF($U626="","",INDEX(상세표[06~07시],$U626))</f>
        <v/>
      </c>
      <c r="Q626" s="20">
        <f>IF($U626="","",INDEX(상세표[07~18시],$U626))</f>
        <v/>
      </c>
      <c r="R626" s="20">
        <f>IF($U626="","",INDEX(상세표[18~22시],$U626))</f>
        <v/>
      </c>
      <c r="S626" s="20">
        <f>IF($U626="","",INDEX(상세표[22~06시],$U626))</f>
        <v/>
      </c>
      <c r="T626" s="20">
        <f>IF($U626="","",INDEX(상세표[기록 시간외],$U626))</f>
        <v/>
      </c>
      <c r="U626" s="4">
        <f>IFERROR(MATCH(621,상세표[발송순번],0),"")</f>
        <v/>
      </c>
    </row>
    <row r="627">
      <c r="J627">
        <f>IF($U627="","",INDEX(상세표[사번],$U627)&amp;"")</f>
        <v/>
      </c>
      <c r="K627">
        <f>IF($U627="","",INDEX(상세표[성명],$U627)&amp;"")</f>
        <v/>
      </c>
      <c r="L627">
        <f>IF($U627="","",INDEX(상세표[직위],$U627)&amp;"")</f>
        <v/>
      </c>
      <c r="M627">
        <f>IF($U627="","",IF(ISNUMBER(INDEX(상세표[근무일자],$U627)),TEXT(INDEX(상세표[근무일자],$U627),"yyyy-mm-dd"),INDEX(상세표[근무일자],$U627)&amp;""))</f>
        <v/>
      </c>
      <c r="N627">
        <f>IF($U627="","",IF(ISNUMBER(INDEX(상세표[시작],$U627)),TEXT(INDEX(상세표[시작],$U627),"yyyy-mm-dd hh:mm"),INDEX(상세표[시작],$U627)&amp;""))</f>
        <v/>
      </c>
      <c r="O627">
        <f>IF($U627="","",IF(ISNUMBER(INDEX(상세표[종료],$U627)),TEXT(INDEX(상세표[종료],$U627),"yyyy-mm-dd hh:mm"),INDEX(상세표[종료],$U627)&amp;""))</f>
        <v/>
      </c>
      <c r="P627" s="20">
        <f>IF($U627="","",INDEX(상세표[06~07시],$U627))</f>
        <v/>
      </c>
      <c r="Q627" s="20">
        <f>IF($U627="","",INDEX(상세표[07~18시],$U627))</f>
        <v/>
      </c>
      <c r="R627" s="20">
        <f>IF($U627="","",INDEX(상세표[18~22시],$U627))</f>
        <v/>
      </c>
      <c r="S627" s="20">
        <f>IF($U627="","",INDEX(상세표[22~06시],$U627))</f>
        <v/>
      </c>
      <c r="T627" s="20">
        <f>IF($U627="","",INDEX(상세표[기록 시간외],$U627))</f>
        <v/>
      </c>
      <c r="U627" s="4">
        <f>IFERROR(MATCH(622,상세표[발송순번],0),"")</f>
        <v/>
      </c>
    </row>
    <row r="628">
      <c r="J628">
        <f>IF($U628="","",INDEX(상세표[사번],$U628)&amp;"")</f>
        <v/>
      </c>
      <c r="K628">
        <f>IF($U628="","",INDEX(상세표[성명],$U628)&amp;"")</f>
        <v/>
      </c>
      <c r="L628">
        <f>IF($U628="","",INDEX(상세표[직위],$U628)&amp;"")</f>
        <v/>
      </c>
      <c r="M628">
        <f>IF($U628="","",IF(ISNUMBER(INDEX(상세표[근무일자],$U628)),TEXT(INDEX(상세표[근무일자],$U628),"yyyy-mm-dd"),INDEX(상세표[근무일자],$U628)&amp;""))</f>
        <v/>
      </c>
      <c r="N628">
        <f>IF($U628="","",IF(ISNUMBER(INDEX(상세표[시작],$U628)),TEXT(INDEX(상세표[시작],$U628),"yyyy-mm-dd hh:mm"),INDEX(상세표[시작],$U628)&amp;""))</f>
        <v/>
      </c>
      <c r="O628">
        <f>IF($U628="","",IF(ISNUMBER(INDEX(상세표[종료],$U628)),TEXT(INDEX(상세표[종료],$U628),"yyyy-mm-dd hh:mm"),INDEX(상세표[종료],$U628)&amp;""))</f>
        <v/>
      </c>
      <c r="P628" s="20">
        <f>IF($U628="","",INDEX(상세표[06~07시],$U628))</f>
        <v/>
      </c>
      <c r="Q628" s="20">
        <f>IF($U628="","",INDEX(상세표[07~18시],$U628))</f>
        <v/>
      </c>
      <c r="R628" s="20">
        <f>IF($U628="","",INDEX(상세표[18~22시],$U628))</f>
        <v/>
      </c>
      <c r="S628" s="20">
        <f>IF($U628="","",INDEX(상세표[22~06시],$U628))</f>
        <v/>
      </c>
      <c r="T628" s="20">
        <f>IF($U628="","",INDEX(상세표[기록 시간외],$U628))</f>
        <v/>
      </c>
      <c r="U628" s="4">
        <f>IFERROR(MATCH(623,상세표[발송순번],0),"")</f>
        <v/>
      </c>
    </row>
    <row r="629">
      <c r="J629">
        <f>IF($U629="","",INDEX(상세표[사번],$U629)&amp;"")</f>
        <v/>
      </c>
      <c r="K629">
        <f>IF($U629="","",INDEX(상세표[성명],$U629)&amp;"")</f>
        <v/>
      </c>
      <c r="L629">
        <f>IF($U629="","",INDEX(상세표[직위],$U629)&amp;"")</f>
        <v/>
      </c>
      <c r="M629">
        <f>IF($U629="","",IF(ISNUMBER(INDEX(상세표[근무일자],$U629)),TEXT(INDEX(상세표[근무일자],$U629),"yyyy-mm-dd"),INDEX(상세표[근무일자],$U629)&amp;""))</f>
        <v/>
      </c>
      <c r="N629">
        <f>IF($U629="","",IF(ISNUMBER(INDEX(상세표[시작],$U629)),TEXT(INDEX(상세표[시작],$U629),"yyyy-mm-dd hh:mm"),INDEX(상세표[시작],$U629)&amp;""))</f>
        <v/>
      </c>
      <c r="O629">
        <f>IF($U629="","",IF(ISNUMBER(INDEX(상세표[종료],$U629)),TEXT(INDEX(상세표[종료],$U629),"yyyy-mm-dd hh:mm"),INDEX(상세표[종료],$U629)&amp;""))</f>
        <v/>
      </c>
      <c r="P629" s="20">
        <f>IF($U629="","",INDEX(상세표[06~07시],$U629))</f>
        <v/>
      </c>
      <c r="Q629" s="20">
        <f>IF($U629="","",INDEX(상세표[07~18시],$U629))</f>
        <v/>
      </c>
      <c r="R629" s="20">
        <f>IF($U629="","",INDEX(상세표[18~22시],$U629))</f>
        <v/>
      </c>
      <c r="S629" s="20">
        <f>IF($U629="","",INDEX(상세표[22~06시],$U629))</f>
        <v/>
      </c>
      <c r="T629" s="20">
        <f>IF($U629="","",INDEX(상세표[기록 시간외],$U629))</f>
        <v/>
      </c>
      <c r="U629" s="4">
        <f>IFERROR(MATCH(624,상세표[발송순번],0),"")</f>
        <v/>
      </c>
    </row>
    <row r="630">
      <c r="J630">
        <f>IF($U630="","",INDEX(상세표[사번],$U630)&amp;"")</f>
        <v/>
      </c>
      <c r="K630">
        <f>IF($U630="","",INDEX(상세표[성명],$U630)&amp;"")</f>
        <v/>
      </c>
      <c r="L630">
        <f>IF($U630="","",INDEX(상세표[직위],$U630)&amp;"")</f>
        <v/>
      </c>
      <c r="M630">
        <f>IF($U630="","",IF(ISNUMBER(INDEX(상세표[근무일자],$U630)),TEXT(INDEX(상세표[근무일자],$U630),"yyyy-mm-dd"),INDEX(상세표[근무일자],$U630)&amp;""))</f>
        <v/>
      </c>
      <c r="N630">
        <f>IF($U630="","",IF(ISNUMBER(INDEX(상세표[시작],$U630)),TEXT(INDEX(상세표[시작],$U630),"yyyy-mm-dd hh:mm"),INDEX(상세표[시작],$U630)&amp;""))</f>
        <v/>
      </c>
      <c r="O630">
        <f>IF($U630="","",IF(ISNUMBER(INDEX(상세표[종료],$U630)),TEXT(INDEX(상세표[종료],$U630),"yyyy-mm-dd hh:mm"),INDEX(상세표[종료],$U630)&amp;""))</f>
        <v/>
      </c>
      <c r="P630" s="20">
        <f>IF($U630="","",INDEX(상세표[06~07시],$U630))</f>
        <v/>
      </c>
      <c r="Q630" s="20">
        <f>IF($U630="","",INDEX(상세표[07~18시],$U630))</f>
        <v/>
      </c>
      <c r="R630" s="20">
        <f>IF($U630="","",INDEX(상세표[18~22시],$U630))</f>
        <v/>
      </c>
      <c r="S630" s="20">
        <f>IF($U630="","",INDEX(상세표[22~06시],$U630))</f>
        <v/>
      </c>
      <c r="T630" s="20">
        <f>IF($U630="","",INDEX(상세표[기록 시간외],$U630))</f>
        <v/>
      </c>
      <c r="U630" s="4">
        <f>IFERROR(MATCH(625,상세표[발송순번],0),"")</f>
        <v/>
      </c>
    </row>
    <row r="631">
      <c r="J631">
        <f>IF($U631="","",INDEX(상세표[사번],$U631)&amp;"")</f>
        <v/>
      </c>
      <c r="K631">
        <f>IF($U631="","",INDEX(상세표[성명],$U631)&amp;"")</f>
        <v/>
      </c>
      <c r="L631">
        <f>IF($U631="","",INDEX(상세표[직위],$U631)&amp;"")</f>
        <v/>
      </c>
      <c r="M631">
        <f>IF($U631="","",IF(ISNUMBER(INDEX(상세표[근무일자],$U631)),TEXT(INDEX(상세표[근무일자],$U631),"yyyy-mm-dd"),INDEX(상세표[근무일자],$U631)&amp;""))</f>
        <v/>
      </c>
      <c r="N631">
        <f>IF($U631="","",IF(ISNUMBER(INDEX(상세표[시작],$U631)),TEXT(INDEX(상세표[시작],$U631),"yyyy-mm-dd hh:mm"),INDEX(상세표[시작],$U631)&amp;""))</f>
        <v/>
      </c>
      <c r="O631">
        <f>IF($U631="","",IF(ISNUMBER(INDEX(상세표[종료],$U631)),TEXT(INDEX(상세표[종료],$U631),"yyyy-mm-dd hh:mm"),INDEX(상세표[종료],$U631)&amp;""))</f>
        <v/>
      </c>
      <c r="P631" s="20">
        <f>IF($U631="","",INDEX(상세표[06~07시],$U631))</f>
        <v/>
      </c>
      <c r="Q631" s="20">
        <f>IF($U631="","",INDEX(상세표[07~18시],$U631))</f>
        <v/>
      </c>
      <c r="R631" s="20">
        <f>IF($U631="","",INDEX(상세표[18~22시],$U631))</f>
        <v/>
      </c>
      <c r="S631" s="20">
        <f>IF($U631="","",INDEX(상세표[22~06시],$U631))</f>
        <v/>
      </c>
      <c r="T631" s="20">
        <f>IF($U631="","",INDEX(상세표[기록 시간외],$U631))</f>
        <v/>
      </c>
      <c r="U631" s="4">
        <f>IFERROR(MATCH(626,상세표[발송순번],0),"")</f>
        <v/>
      </c>
    </row>
    <row r="632">
      <c r="J632">
        <f>IF($U632="","",INDEX(상세표[사번],$U632)&amp;"")</f>
        <v/>
      </c>
      <c r="K632">
        <f>IF($U632="","",INDEX(상세표[성명],$U632)&amp;"")</f>
        <v/>
      </c>
      <c r="L632">
        <f>IF($U632="","",INDEX(상세표[직위],$U632)&amp;"")</f>
        <v/>
      </c>
      <c r="M632">
        <f>IF($U632="","",IF(ISNUMBER(INDEX(상세표[근무일자],$U632)),TEXT(INDEX(상세표[근무일자],$U632),"yyyy-mm-dd"),INDEX(상세표[근무일자],$U632)&amp;""))</f>
        <v/>
      </c>
      <c r="N632">
        <f>IF($U632="","",IF(ISNUMBER(INDEX(상세표[시작],$U632)),TEXT(INDEX(상세표[시작],$U632),"yyyy-mm-dd hh:mm"),INDEX(상세표[시작],$U632)&amp;""))</f>
        <v/>
      </c>
      <c r="O632">
        <f>IF($U632="","",IF(ISNUMBER(INDEX(상세표[종료],$U632)),TEXT(INDEX(상세표[종료],$U632),"yyyy-mm-dd hh:mm"),INDEX(상세표[종료],$U632)&amp;""))</f>
        <v/>
      </c>
      <c r="P632" s="20">
        <f>IF($U632="","",INDEX(상세표[06~07시],$U632))</f>
        <v/>
      </c>
      <c r="Q632" s="20">
        <f>IF($U632="","",INDEX(상세표[07~18시],$U632))</f>
        <v/>
      </c>
      <c r="R632" s="20">
        <f>IF($U632="","",INDEX(상세표[18~22시],$U632))</f>
        <v/>
      </c>
      <c r="S632" s="20">
        <f>IF($U632="","",INDEX(상세표[22~06시],$U632))</f>
        <v/>
      </c>
      <c r="T632" s="20">
        <f>IF($U632="","",INDEX(상세표[기록 시간외],$U632))</f>
        <v/>
      </c>
      <c r="U632" s="4">
        <f>IFERROR(MATCH(627,상세표[발송순번],0),"")</f>
        <v/>
      </c>
    </row>
    <row r="633">
      <c r="J633">
        <f>IF($U633="","",INDEX(상세표[사번],$U633)&amp;"")</f>
        <v/>
      </c>
      <c r="K633">
        <f>IF($U633="","",INDEX(상세표[성명],$U633)&amp;"")</f>
        <v/>
      </c>
      <c r="L633">
        <f>IF($U633="","",INDEX(상세표[직위],$U633)&amp;"")</f>
        <v/>
      </c>
      <c r="M633">
        <f>IF($U633="","",IF(ISNUMBER(INDEX(상세표[근무일자],$U633)),TEXT(INDEX(상세표[근무일자],$U633),"yyyy-mm-dd"),INDEX(상세표[근무일자],$U633)&amp;""))</f>
        <v/>
      </c>
      <c r="N633">
        <f>IF($U633="","",IF(ISNUMBER(INDEX(상세표[시작],$U633)),TEXT(INDEX(상세표[시작],$U633),"yyyy-mm-dd hh:mm"),INDEX(상세표[시작],$U633)&amp;""))</f>
        <v/>
      </c>
      <c r="O633">
        <f>IF($U633="","",IF(ISNUMBER(INDEX(상세표[종료],$U633)),TEXT(INDEX(상세표[종료],$U633),"yyyy-mm-dd hh:mm"),INDEX(상세표[종료],$U633)&amp;""))</f>
        <v/>
      </c>
      <c r="P633" s="20">
        <f>IF($U633="","",INDEX(상세표[06~07시],$U633))</f>
        <v/>
      </c>
      <c r="Q633" s="20">
        <f>IF($U633="","",INDEX(상세표[07~18시],$U633))</f>
        <v/>
      </c>
      <c r="R633" s="20">
        <f>IF($U633="","",INDEX(상세표[18~22시],$U633))</f>
        <v/>
      </c>
      <c r="S633" s="20">
        <f>IF($U633="","",INDEX(상세표[22~06시],$U633))</f>
        <v/>
      </c>
      <c r="T633" s="20">
        <f>IF($U633="","",INDEX(상세표[기록 시간외],$U633))</f>
        <v/>
      </c>
      <c r="U633" s="4">
        <f>IFERROR(MATCH(628,상세표[발송순번],0),"")</f>
        <v/>
      </c>
    </row>
    <row r="634">
      <c r="J634">
        <f>IF($U634="","",INDEX(상세표[사번],$U634)&amp;"")</f>
        <v/>
      </c>
      <c r="K634">
        <f>IF($U634="","",INDEX(상세표[성명],$U634)&amp;"")</f>
        <v/>
      </c>
      <c r="L634">
        <f>IF($U634="","",INDEX(상세표[직위],$U634)&amp;"")</f>
        <v/>
      </c>
      <c r="M634">
        <f>IF($U634="","",IF(ISNUMBER(INDEX(상세표[근무일자],$U634)),TEXT(INDEX(상세표[근무일자],$U634),"yyyy-mm-dd"),INDEX(상세표[근무일자],$U634)&amp;""))</f>
        <v/>
      </c>
      <c r="N634">
        <f>IF($U634="","",IF(ISNUMBER(INDEX(상세표[시작],$U634)),TEXT(INDEX(상세표[시작],$U634),"yyyy-mm-dd hh:mm"),INDEX(상세표[시작],$U634)&amp;""))</f>
        <v/>
      </c>
      <c r="O634">
        <f>IF($U634="","",IF(ISNUMBER(INDEX(상세표[종료],$U634)),TEXT(INDEX(상세표[종료],$U634),"yyyy-mm-dd hh:mm"),INDEX(상세표[종료],$U634)&amp;""))</f>
        <v/>
      </c>
      <c r="P634" s="20">
        <f>IF($U634="","",INDEX(상세표[06~07시],$U634))</f>
        <v/>
      </c>
      <c r="Q634" s="20">
        <f>IF($U634="","",INDEX(상세표[07~18시],$U634))</f>
        <v/>
      </c>
      <c r="R634" s="20">
        <f>IF($U634="","",INDEX(상세표[18~22시],$U634))</f>
        <v/>
      </c>
      <c r="S634" s="20">
        <f>IF($U634="","",INDEX(상세표[22~06시],$U634))</f>
        <v/>
      </c>
      <c r="T634" s="20">
        <f>IF($U634="","",INDEX(상세표[기록 시간외],$U634))</f>
        <v/>
      </c>
      <c r="U634" s="4">
        <f>IFERROR(MATCH(629,상세표[발송순번],0),"")</f>
        <v/>
      </c>
    </row>
    <row r="635">
      <c r="J635">
        <f>IF($U635="","",INDEX(상세표[사번],$U635)&amp;"")</f>
        <v/>
      </c>
      <c r="K635">
        <f>IF($U635="","",INDEX(상세표[성명],$U635)&amp;"")</f>
        <v/>
      </c>
      <c r="L635">
        <f>IF($U635="","",INDEX(상세표[직위],$U635)&amp;"")</f>
        <v/>
      </c>
      <c r="M635">
        <f>IF($U635="","",IF(ISNUMBER(INDEX(상세표[근무일자],$U635)),TEXT(INDEX(상세표[근무일자],$U635),"yyyy-mm-dd"),INDEX(상세표[근무일자],$U635)&amp;""))</f>
        <v/>
      </c>
      <c r="N635">
        <f>IF($U635="","",IF(ISNUMBER(INDEX(상세표[시작],$U635)),TEXT(INDEX(상세표[시작],$U635),"yyyy-mm-dd hh:mm"),INDEX(상세표[시작],$U635)&amp;""))</f>
        <v/>
      </c>
      <c r="O635">
        <f>IF($U635="","",IF(ISNUMBER(INDEX(상세표[종료],$U635)),TEXT(INDEX(상세표[종료],$U635),"yyyy-mm-dd hh:mm"),INDEX(상세표[종료],$U635)&amp;""))</f>
        <v/>
      </c>
      <c r="P635" s="20">
        <f>IF($U635="","",INDEX(상세표[06~07시],$U635))</f>
        <v/>
      </c>
      <c r="Q635" s="20">
        <f>IF($U635="","",INDEX(상세표[07~18시],$U635))</f>
        <v/>
      </c>
      <c r="R635" s="20">
        <f>IF($U635="","",INDEX(상세표[18~22시],$U635))</f>
        <v/>
      </c>
      <c r="S635" s="20">
        <f>IF($U635="","",INDEX(상세표[22~06시],$U635))</f>
        <v/>
      </c>
      <c r="T635" s="20">
        <f>IF($U635="","",INDEX(상세표[기록 시간외],$U635))</f>
        <v/>
      </c>
      <c r="U635" s="4">
        <f>IFERROR(MATCH(630,상세표[발송순번],0),"")</f>
        <v/>
      </c>
    </row>
    <row r="636">
      <c r="J636">
        <f>IF($U636="","",INDEX(상세표[사번],$U636)&amp;"")</f>
        <v/>
      </c>
      <c r="K636">
        <f>IF($U636="","",INDEX(상세표[성명],$U636)&amp;"")</f>
        <v/>
      </c>
      <c r="L636">
        <f>IF($U636="","",INDEX(상세표[직위],$U636)&amp;"")</f>
        <v/>
      </c>
      <c r="M636">
        <f>IF($U636="","",IF(ISNUMBER(INDEX(상세표[근무일자],$U636)),TEXT(INDEX(상세표[근무일자],$U636),"yyyy-mm-dd"),INDEX(상세표[근무일자],$U636)&amp;""))</f>
        <v/>
      </c>
      <c r="N636">
        <f>IF($U636="","",IF(ISNUMBER(INDEX(상세표[시작],$U636)),TEXT(INDEX(상세표[시작],$U636),"yyyy-mm-dd hh:mm"),INDEX(상세표[시작],$U636)&amp;""))</f>
        <v/>
      </c>
      <c r="O636">
        <f>IF($U636="","",IF(ISNUMBER(INDEX(상세표[종료],$U636)),TEXT(INDEX(상세표[종료],$U636),"yyyy-mm-dd hh:mm"),INDEX(상세표[종료],$U636)&amp;""))</f>
        <v/>
      </c>
      <c r="P636" s="20">
        <f>IF($U636="","",INDEX(상세표[06~07시],$U636))</f>
        <v/>
      </c>
      <c r="Q636" s="20">
        <f>IF($U636="","",INDEX(상세표[07~18시],$U636))</f>
        <v/>
      </c>
      <c r="R636" s="20">
        <f>IF($U636="","",INDEX(상세표[18~22시],$U636))</f>
        <v/>
      </c>
      <c r="S636" s="20">
        <f>IF($U636="","",INDEX(상세표[22~06시],$U636))</f>
        <v/>
      </c>
      <c r="T636" s="20">
        <f>IF($U636="","",INDEX(상세표[기록 시간외],$U636))</f>
        <v/>
      </c>
      <c r="U636" s="4">
        <f>IFERROR(MATCH(631,상세표[발송순번],0),"")</f>
        <v/>
      </c>
    </row>
    <row r="637">
      <c r="J637">
        <f>IF($U637="","",INDEX(상세표[사번],$U637)&amp;"")</f>
        <v/>
      </c>
      <c r="K637">
        <f>IF($U637="","",INDEX(상세표[성명],$U637)&amp;"")</f>
        <v/>
      </c>
      <c r="L637">
        <f>IF($U637="","",INDEX(상세표[직위],$U637)&amp;"")</f>
        <v/>
      </c>
      <c r="M637">
        <f>IF($U637="","",IF(ISNUMBER(INDEX(상세표[근무일자],$U637)),TEXT(INDEX(상세표[근무일자],$U637),"yyyy-mm-dd"),INDEX(상세표[근무일자],$U637)&amp;""))</f>
        <v/>
      </c>
      <c r="N637">
        <f>IF($U637="","",IF(ISNUMBER(INDEX(상세표[시작],$U637)),TEXT(INDEX(상세표[시작],$U637),"yyyy-mm-dd hh:mm"),INDEX(상세표[시작],$U637)&amp;""))</f>
        <v/>
      </c>
      <c r="O637">
        <f>IF($U637="","",IF(ISNUMBER(INDEX(상세표[종료],$U637)),TEXT(INDEX(상세표[종료],$U637),"yyyy-mm-dd hh:mm"),INDEX(상세표[종료],$U637)&amp;""))</f>
        <v/>
      </c>
      <c r="P637" s="20">
        <f>IF($U637="","",INDEX(상세표[06~07시],$U637))</f>
        <v/>
      </c>
      <c r="Q637" s="20">
        <f>IF($U637="","",INDEX(상세표[07~18시],$U637))</f>
        <v/>
      </c>
      <c r="R637" s="20">
        <f>IF($U637="","",INDEX(상세표[18~22시],$U637))</f>
        <v/>
      </c>
      <c r="S637" s="20">
        <f>IF($U637="","",INDEX(상세표[22~06시],$U637))</f>
        <v/>
      </c>
      <c r="T637" s="20">
        <f>IF($U637="","",INDEX(상세표[기록 시간외],$U637))</f>
        <v/>
      </c>
      <c r="U637" s="4">
        <f>IFERROR(MATCH(632,상세표[발송순번],0),"")</f>
        <v/>
      </c>
    </row>
    <row r="638">
      <c r="J638">
        <f>IF($U638="","",INDEX(상세표[사번],$U638)&amp;"")</f>
        <v/>
      </c>
      <c r="K638">
        <f>IF($U638="","",INDEX(상세표[성명],$U638)&amp;"")</f>
        <v/>
      </c>
      <c r="L638">
        <f>IF($U638="","",INDEX(상세표[직위],$U638)&amp;"")</f>
        <v/>
      </c>
      <c r="M638">
        <f>IF($U638="","",IF(ISNUMBER(INDEX(상세표[근무일자],$U638)),TEXT(INDEX(상세표[근무일자],$U638),"yyyy-mm-dd"),INDEX(상세표[근무일자],$U638)&amp;""))</f>
        <v/>
      </c>
      <c r="N638">
        <f>IF($U638="","",IF(ISNUMBER(INDEX(상세표[시작],$U638)),TEXT(INDEX(상세표[시작],$U638),"yyyy-mm-dd hh:mm"),INDEX(상세표[시작],$U638)&amp;""))</f>
        <v/>
      </c>
      <c r="O638">
        <f>IF($U638="","",IF(ISNUMBER(INDEX(상세표[종료],$U638)),TEXT(INDEX(상세표[종료],$U638),"yyyy-mm-dd hh:mm"),INDEX(상세표[종료],$U638)&amp;""))</f>
        <v/>
      </c>
      <c r="P638" s="20">
        <f>IF($U638="","",INDEX(상세표[06~07시],$U638))</f>
        <v/>
      </c>
      <c r="Q638" s="20">
        <f>IF($U638="","",INDEX(상세표[07~18시],$U638))</f>
        <v/>
      </c>
      <c r="R638" s="20">
        <f>IF($U638="","",INDEX(상세표[18~22시],$U638))</f>
        <v/>
      </c>
      <c r="S638" s="20">
        <f>IF($U638="","",INDEX(상세표[22~06시],$U638))</f>
        <v/>
      </c>
      <c r="T638" s="20">
        <f>IF($U638="","",INDEX(상세표[기록 시간외],$U638))</f>
        <v/>
      </c>
      <c r="U638" s="4">
        <f>IFERROR(MATCH(633,상세표[발송순번],0),"")</f>
        <v/>
      </c>
    </row>
    <row r="639">
      <c r="J639">
        <f>IF($U639="","",INDEX(상세표[사번],$U639)&amp;"")</f>
        <v/>
      </c>
      <c r="K639">
        <f>IF($U639="","",INDEX(상세표[성명],$U639)&amp;"")</f>
        <v/>
      </c>
      <c r="L639">
        <f>IF($U639="","",INDEX(상세표[직위],$U639)&amp;"")</f>
        <v/>
      </c>
      <c r="M639">
        <f>IF($U639="","",IF(ISNUMBER(INDEX(상세표[근무일자],$U639)),TEXT(INDEX(상세표[근무일자],$U639),"yyyy-mm-dd"),INDEX(상세표[근무일자],$U639)&amp;""))</f>
        <v/>
      </c>
      <c r="N639">
        <f>IF($U639="","",IF(ISNUMBER(INDEX(상세표[시작],$U639)),TEXT(INDEX(상세표[시작],$U639),"yyyy-mm-dd hh:mm"),INDEX(상세표[시작],$U639)&amp;""))</f>
        <v/>
      </c>
      <c r="O639">
        <f>IF($U639="","",IF(ISNUMBER(INDEX(상세표[종료],$U639)),TEXT(INDEX(상세표[종료],$U639),"yyyy-mm-dd hh:mm"),INDEX(상세표[종료],$U639)&amp;""))</f>
        <v/>
      </c>
      <c r="P639" s="20">
        <f>IF($U639="","",INDEX(상세표[06~07시],$U639))</f>
        <v/>
      </c>
      <c r="Q639" s="20">
        <f>IF($U639="","",INDEX(상세표[07~18시],$U639))</f>
        <v/>
      </c>
      <c r="R639" s="20">
        <f>IF($U639="","",INDEX(상세표[18~22시],$U639))</f>
        <v/>
      </c>
      <c r="S639" s="20">
        <f>IF($U639="","",INDEX(상세표[22~06시],$U639))</f>
        <v/>
      </c>
      <c r="T639" s="20">
        <f>IF($U639="","",INDEX(상세표[기록 시간외],$U639))</f>
        <v/>
      </c>
      <c r="U639" s="4">
        <f>IFERROR(MATCH(634,상세표[발송순번],0),"")</f>
        <v/>
      </c>
    </row>
    <row r="640">
      <c r="J640">
        <f>IF($U640="","",INDEX(상세표[사번],$U640)&amp;"")</f>
        <v/>
      </c>
      <c r="K640">
        <f>IF($U640="","",INDEX(상세표[성명],$U640)&amp;"")</f>
        <v/>
      </c>
      <c r="L640">
        <f>IF($U640="","",INDEX(상세표[직위],$U640)&amp;"")</f>
        <v/>
      </c>
      <c r="M640">
        <f>IF($U640="","",IF(ISNUMBER(INDEX(상세표[근무일자],$U640)),TEXT(INDEX(상세표[근무일자],$U640),"yyyy-mm-dd"),INDEX(상세표[근무일자],$U640)&amp;""))</f>
        <v/>
      </c>
      <c r="N640">
        <f>IF($U640="","",IF(ISNUMBER(INDEX(상세표[시작],$U640)),TEXT(INDEX(상세표[시작],$U640),"yyyy-mm-dd hh:mm"),INDEX(상세표[시작],$U640)&amp;""))</f>
        <v/>
      </c>
      <c r="O640">
        <f>IF($U640="","",IF(ISNUMBER(INDEX(상세표[종료],$U640)),TEXT(INDEX(상세표[종료],$U640),"yyyy-mm-dd hh:mm"),INDEX(상세표[종료],$U640)&amp;""))</f>
        <v/>
      </c>
      <c r="P640" s="20">
        <f>IF($U640="","",INDEX(상세표[06~07시],$U640))</f>
        <v/>
      </c>
      <c r="Q640" s="20">
        <f>IF($U640="","",INDEX(상세표[07~18시],$U640))</f>
        <v/>
      </c>
      <c r="R640" s="20">
        <f>IF($U640="","",INDEX(상세표[18~22시],$U640))</f>
        <v/>
      </c>
      <c r="S640" s="20">
        <f>IF($U640="","",INDEX(상세표[22~06시],$U640))</f>
        <v/>
      </c>
      <c r="T640" s="20">
        <f>IF($U640="","",INDEX(상세표[기록 시간외],$U640))</f>
        <v/>
      </c>
      <c r="U640" s="4">
        <f>IFERROR(MATCH(635,상세표[발송순번],0),"")</f>
        <v/>
      </c>
    </row>
    <row r="641">
      <c r="J641">
        <f>IF($U641="","",INDEX(상세표[사번],$U641)&amp;"")</f>
        <v/>
      </c>
      <c r="K641">
        <f>IF($U641="","",INDEX(상세표[성명],$U641)&amp;"")</f>
        <v/>
      </c>
      <c r="L641">
        <f>IF($U641="","",INDEX(상세표[직위],$U641)&amp;"")</f>
        <v/>
      </c>
      <c r="M641">
        <f>IF($U641="","",IF(ISNUMBER(INDEX(상세표[근무일자],$U641)),TEXT(INDEX(상세표[근무일자],$U641),"yyyy-mm-dd"),INDEX(상세표[근무일자],$U641)&amp;""))</f>
        <v/>
      </c>
      <c r="N641">
        <f>IF($U641="","",IF(ISNUMBER(INDEX(상세표[시작],$U641)),TEXT(INDEX(상세표[시작],$U641),"yyyy-mm-dd hh:mm"),INDEX(상세표[시작],$U641)&amp;""))</f>
        <v/>
      </c>
      <c r="O641">
        <f>IF($U641="","",IF(ISNUMBER(INDEX(상세표[종료],$U641)),TEXT(INDEX(상세표[종료],$U641),"yyyy-mm-dd hh:mm"),INDEX(상세표[종료],$U641)&amp;""))</f>
        <v/>
      </c>
      <c r="P641" s="20">
        <f>IF($U641="","",INDEX(상세표[06~07시],$U641))</f>
        <v/>
      </c>
      <c r="Q641" s="20">
        <f>IF($U641="","",INDEX(상세표[07~18시],$U641))</f>
        <v/>
      </c>
      <c r="R641" s="20">
        <f>IF($U641="","",INDEX(상세표[18~22시],$U641))</f>
        <v/>
      </c>
      <c r="S641" s="20">
        <f>IF($U641="","",INDEX(상세표[22~06시],$U641))</f>
        <v/>
      </c>
      <c r="T641" s="20">
        <f>IF($U641="","",INDEX(상세표[기록 시간외],$U641))</f>
        <v/>
      </c>
      <c r="U641" s="4">
        <f>IFERROR(MATCH(636,상세표[발송순번],0),"")</f>
        <v/>
      </c>
    </row>
    <row r="642">
      <c r="J642">
        <f>IF($U642="","",INDEX(상세표[사번],$U642)&amp;"")</f>
        <v/>
      </c>
      <c r="K642">
        <f>IF($U642="","",INDEX(상세표[성명],$U642)&amp;"")</f>
        <v/>
      </c>
      <c r="L642">
        <f>IF($U642="","",INDEX(상세표[직위],$U642)&amp;"")</f>
        <v/>
      </c>
      <c r="M642">
        <f>IF($U642="","",IF(ISNUMBER(INDEX(상세표[근무일자],$U642)),TEXT(INDEX(상세표[근무일자],$U642),"yyyy-mm-dd"),INDEX(상세표[근무일자],$U642)&amp;""))</f>
        <v/>
      </c>
      <c r="N642">
        <f>IF($U642="","",IF(ISNUMBER(INDEX(상세표[시작],$U642)),TEXT(INDEX(상세표[시작],$U642),"yyyy-mm-dd hh:mm"),INDEX(상세표[시작],$U642)&amp;""))</f>
        <v/>
      </c>
      <c r="O642">
        <f>IF($U642="","",IF(ISNUMBER(INDEX(상세표[종료],$U642)),TEXT(INDEX(상세표[종료],$U642),"yyyy-mm-dd hh:mm"),INDEX(상세표[종료],$U642)&amp;""))</f>
        <v/>
      </c>
      <c r="P642" s="20">
        <f>IF($U642="","",INDEX(상세표[06~07시],$U642))</f>
        <v/>
      </c>
      <c r="Q642" s="20">
        <f>IF($U642="","",INDEX(상세표[07~18시],$U642))</f>
        <v/>
      </c>
      <c r="R642" s="20">
        <f>IF($U642="","",INDEX(상세표[18~22시],$U642))</f>
        <v/>
      </c>
      <c r="S642" s="20">
        <f>IF($U642="","",INDEX(상세표[22~06시],$U642))</f>
        <v/>
      </c>
      <c r="T642" s="20">
        <f>IF($U642="","",INDEX(상세표[기록 시간외],$U642))</f>
        <v/>
      </c>
      <c r="U642" s="4">
        <f>IFERROR(MATCH(637,상세표[발송순번],0),"")</f>
        <v/>
      </c>
    </row>
    <row r="643">
      <c r="J643">
        <f>IF($U643="","",INDEX(상세표[사번],$U643)&amp;"")</f>
        <v/>
      </c>
      <c r="K643">
        <f>IF($U643="","",INDEX(상세표[성명],$U643)&amp;"")</f>
        <v/>
      </c>
      <c r="L643">
        <f>IF($U643="","",INDEX(상세표[직위],$U643)&amp;"")</f>
        <v/>
      </c>
      <c r="M643">
        <f>IF($U643="","",IF(ISNUMBER(INDEX(상세표[근무일자],$U643)),TEXT(INDEX(상세표[근무일자],$U643),"yyyy-mm-dd"),INDEX(상세표[근무일자],$U643)&amp;""))</f>
        <v/>
      </c>
      <c r="N643">
        <f>IF($U643="","",IF(ISNUMBER(INDEX(상세표[시작],$U643)),TEXT(INDEX(상세표[시작],$U643),"yyyy-mm-dd hh:mm"),INDEX(상세표[시작],$U643)&amp;""))</f>
        <v/>
      </c>
      <c r="O643">
        <f>IF($U643="","",IF(ISNUMBER(INDEX(상세표[종료],$U643)),TEXT(INDEX(상세표[종료],$U643),"yyyy-mm-dd hh:mm"),INDEX(상세표[종료],$U643)&amp;""))</f>
        <v/>
      </c>
      <c r="P643" s="20">
        <f>IF($U643="","",INDEX(상세표[06~07시],$U643))</f>
        <v/>
      </c>
      <c r="Q643" s="20">
        <f>IF($U643="","",INDEX(상세표[07~18시],$U643))</f>
        <v/>
      </c>
      <c r="R643" s="20">
        <f>IF($U643="","",INDEX(상세표[18~22시],$U643))</f>
        <v/>
      </c>
      <c r="S643" s="20">
        <f>IF($U643="","",INDEX(상세표[22~06시],$U643))</f>
        <v/>
      </c>
      <c r="T643" s="20">
        <f>IF($U643="","",INDEX(상세표[기록 시간외],$U643))</f>
        <v/>
      </c>
      <c r="U643" s="4">
        <f>IFERROR(MATCH(638,상세표[발송순번],0),"")</f>
        <v/>
      </c>
    </row>
    <row r="644">
      <c r="J644">
        <f>IF($U644="","",INDEX(상세표[사번],$U644)&amp;"")</f>
        <v/>
      </c>
      <c r="K644">
        <f>IF($U644="","",INDEX(상세표[성명],$U644)&amp;"")</f>
        <v/>
      </c>
      <c r="L644">
        <f>IF($U644="","",INDEX(상세표[직위],$U644)&amp;"")</f>
        <v/>
      </c>
      <c r="M644">
        <f>IF($U644="","",IF(ISNUMBER(INDEX(상세표[근무일자],$U644)),TEXT(INDEX(상세표[근무일자],$U644),"yyyy-mm-dd"),INDEX(상세표[근무일자],$U644)&amp;""))</f>
        <v/>
      </c>
      <c r="N644">
        <f>IF($U644="","",IF(ISNUMBER(INDEX(상세표[시작],$U644)),TEXT(INDEX(상세표[시작],$U644),"yyyy-mm-dd hh:mm"),INDEX(상세표[시작],$U644)&amp;""))</f>
        <v/>
      </c>
      <c r="O644">
        <f>IF($U644="","",IF(ISNUMBER(INDEX(상세표[종료],$U644)),TEXT(INDEX(상세표[종료],$U644),"yyyy-mm-dd hh:mm"),INDEX(상세표[종료],$U644)&amp;""))</f>
        <v/>
      </c>
      <c r="P644" s="20">
        <f>IF($U644="","",INDEX(상세표[06~07시],$U644))</f>
        <v/>
      </c>
      <c r="Q644" s="20">
        <f>IF($U644="","",INDEX(상세표[07~18시],$U644))</f>
        <v/>
      </c>
      <c r="R644" s="20">
        <f>IF($U644="","",INDEX(상세표[18~22시],$U644))</f>
        <v/>
      </c>
      <c r="S644" s="20">
        <f>IF($U644="","",INDEX(상세표[22~06시],$U644))</f>
        <v/>
      </c>
      <c r="T644" s="20">
        <f>IF($U644="","",INDEX(상세표[기록 시간외],$U644))</f>
        <v/>
      </c>
      <c r="U644" s="4">
        <f>IFERROR(MATCH(639,상세표[발송순번],0),"")</f>
        <v/>
      </c>
    </row>
    <row r="645">
      <c r="J645">
        <f>IF($U645="","",INDEX(상세표[사번],$U645)&amp;"")</f>
        <v/>
      </c>
      <c r="K645">
        <f>IF($U645="","",INDEX(상세표[성명],$U645)&amp;"")</f>
        <v/>
      </c>
      <c r="L645">
        <f>IF($U645="","",INDEX(상세표[직위],$U645)&amp;"")</f>
        <v/>
      </c>
      <c r="M645">
        <f>IF($U645="","",IF(ISNUMBER(INDEX(상세표[근무일자],$U645)),TEXT(INDEX(상세표[근무일자],$U645),"yyyy-mm-dd"),INDEX(상세표[근무일자],$U645)&amp;""))</f>
        <v/>
      </c>
      <c r="N645">
        <f>IF($U645="","",IF(ISNUMBER(INDEX(상세표[시작],$U645)),TEXT(INDEX(상세표[시작],$U645),"yyyy-mm-dd hh:mm"),INDEX(상세표[시작],$U645)&amp;""))</f>
        <v/>
      </c>
      <c r="O645">
        <f>IF($U645="","",IF(ISNUMBER(INDEX(상세표[종료],$U645)),TEXT(INDEX(상세표[종료],$U645),"yyyy-mm-dd hh:mm"),INDEX(상세표[종료],$U645)&amp;""))</f>
        <v/>
      </c>
      <c r="P645" s="20">
        <f>IF($U645="","",INDEX(상세표[06~07시],$U645))</f>
        <v/>
      </c>
      <c r="Q645" s="20">
        <f>IF($U645="","",INDEX(상세표[07~18시],$U645))</f>
        <v/>
      </c>
      <c r="R645" s="20">
        <f>IF($U645="","",INDEX(상세표[18~22시],$U645))</f>
        <v/>
      </c>
      <c r="S645" s="20">
        <f>IF($U645="","",INDEX(상세표[22~06시],$U645))</f>
        <v/>
      </c>
      <c r="T645" s="20">
        <f>IF($U645="","",INDEX(상세표[기록 시간외],$U645))</f>
        <v/>
      </c>
      <c r="U645" s="4">
        <f>IFERROR(MATCH(640,상세표[발송순번],0),"")</f>
        <v/>
      </c>
    </row>
    <row r="646">
      <c r="J646">
        <f>IF($U646="","",INDEX(상세표[사번],$U646)&amp;"")</f>
        <v/>
      </c>
      <c r="K646">
        <f>IF($U646="","",INDEX(상세표[성명],$U646)&amp;"")</f>
        <v/>
      </c>
      <c r="L646">
        <f>IF($U646="","",INDEX(상세표[직위],$U646)&amp;"")</f>
        <v/>
      </c>
      <c r="M646">
        <f>IF($U646="","",IF(ISNUMBER(INDEX(상세표[근무일자],$U646)),TEXT(INDEX(상세표[근무일자],$U646),"yyyy-mm-dd"),INDEX(상세표[근무일자],$U646)&amp;""))</f>
        <v/>
      </c>
      <c r="N646">
        <f>IF($U646="","",IF(ISNUMBER(INDEX(상세표[시작],$U646)),TEXT(INDEX(상세표[시작],$U646),"yyyy-mm-dd hh:mm"),INDEX(상세표[시작],$U646)&amp;""))</f>
        <v/>
      </c>
      <c r="O646">
        <f>IF($U646="","",IF(ISNUMBER(INDEX(상세표[종료],$U646)),TEXT(INDEX(상세표[종료],$U646),"yyyy-mm-dd hh:mm"),INDEX(상세표[종료],$U646)&amp;""))</f>
        <v/>
      </c>
      <c r="P646" s="20">
        <f>IF($U646="","",INDEX(상세표[06~07시],$U646))</f>
        <v/>
      </c>
      <c r="Q646" s="20">
        <f>IF($U646="","",INDEX(상세표[07~18시],$U646))</f>
        <v/>
      </c>
      <c r="R646" s="20">
        <f>IF($U646="","",INDEX(상세표[18~22시],$U646))</f>
        <v/>
      </c>
      <c r="S646" s="20">
        <f>IF($U646="","",INDEX(상세표[22~06시],$U646))</f>
        <v/>
      </c>
      <c r="T646" s="20">
        <f>IF($U646="","",INDEX(상세표[기록 시간외],$U646))</f>
        <v/>
      </c>
      <c r="U646" s="4">
        <f>IFERROR(MATCH(641,상세표[발송순번],0),"")</f>
        <v/>
      </c>
    </row>
    <row r="647">
      <c r="J647">
        <f>IF($U647="","",INDEX(상세표[사번],$U647)&amp;"")</f>
        <v/>
      </c>
      <c r="K647">
        <f>IF($U647="","",INDEX(상세표[성명],$U647)&amp;"")</f>
        <v/>
      </c>
      <c r="L647">
        <f>IF($U647="","",INDEX(상세표[직위],$U647)&amp;"")</f>
        <v/>
      </c>
      <c r="M647">
        <f>IF($U647="","",IF(ISNUMBER(INDEX(상세표[근무일자],$U647)),TEXT(INDEX(상세표[근무일자],$U647),"yyyy-mm-dd"),INDEX(상세표[근무일자],$U647)&amp;""))</f>
        <v/>
      </c>
      <c r="N647">
        <f>IF($U647="","",IF(ISNUMBER(INDEX(상세표[시작],$U647)),TEXT(INDEX(상세표[시작],$U647),"yyyy-mm-dd hh:mm"),INDEX(상세표[시작],$U647)&amp;""))</f>
        <v/>
      </c>
      <c r="O647">
        <f>IF($U647="","",IF(ISNUMBER(INDEX(상세표[종료],$U647)),TEXT(INDEX(상세표[종료],$U647),"yyyy-mm-dd hh:mm"),INDEX(상세표[종료],$U647)&amp;""))</f>
        <v/>
      </c>
      <c r="P647" s="20">
        <f>IF($U647="","",INDEX(상세표[06~07시],$U647))</f>
        <v/>
      </c>
      <c r="Q647" s="20">
        <f>IF($U647="","",INDEX(상세표[07~18시],$U647))</f>
        <v/>
      </c>
      <c r="R647" s="20">
        <f>IF($U647="","",INDEX(상세표[18~22시],$U647))</f>
        <v/>
      </c>
      <c r="S647" s="20">
        <f>IF($U647="","",INDEX(상세표[22~06시],$U647))</f>
        <v/>
      </c>
      <c r="T647" s="20">
        <f>IF($U647="","",INDEX(상세표[기록 시간외],$U647))</f>
        <v/>
      </c>
      <c r="U647" s="4">
        <f>IFERROR(MATCH(642,상세표[발송순번],0),"")</f>
        <v/>
      </c>
    </row>
    <row r="648">
      <c r="J648">
        <f>IF($U648="","",INDEX(상세표[사번],$U648)&amp;"")</f>
        <v/>
      </c>
      <c r="K648">
        <f>IF($U648="","",INDEX(상세표[성명],$U648)&amp;"")</f>
        <v/>
      </c>
      <c r="L648">
        <f>IF($U648="","",INDEX(상세표[직위],$U648)&amp;"")</f>
        <v/>
      </c>
      <c r="M648">
        <f>IF($U648="","",IF(ISNUMBER(INDEX(상세표[근무일자],$U648)),TEXT(INDEX(상세표[근무일자],$U648),"yyyy-mm-dd"),INDEX(상세표[근무일자],$U648)&amp;""))</f>
        <v/>
      </c>
      <c r="N648">
        <f>IF($U648="","",IF(ISNUMBER(INDEX(상세표[시작],$U648)),TEXT(INDEX(상세표[시작],$U648),"yyyy-mm-dd hh:mm"),INDEX(상세표[시작],$U648)&amp;""))</f>
        <v/>
      </c>
      <c r="O648">
        <f>IF($U648="","",IF(ISNUMBER(INDEX(상세표[종료],$U648)),TEXT(INDEX(상세표[종료],$U648),"yyyy-mm-dd hh:mm"),INDEX(상세표[종료],$U648)&amp;""))</f>
        <v/>
      </c>
      <c r="P648" s="20">
        <f>IF($U648="","",INDEX(상세표[06~07시],$U648))</f>
        <v/>
      </c>
      <c r="Q648" s="20">
        <f>IF($U648="","",INDEX(상세표[07~18시],$U648))</f>
        <v/>
      </c>
      <c r="R648" s="20">
        <f>IF($U648="","",INDEX(상세표[18~22시],$U648))</f>
        <v/>
      </c>
      <c r="S648" s="20">
        <f>IF($U648="","",INDEX(상세표[22~06시],$U648))</f>
        <v/>
      </c>
      <c r="T648" s="20">
        <f>IF($U648="","",INDEX(상세표[기록 시간외],$U648))</f>
        <v/>
      </c>
      <c r="U648" s="4">
        <f>IFERROR(MATCH(643,상세표[발송순번],0),"")</f>
        <v/>
      </c>
    </row>
    <row r="649">
      <c r="J649">
        <f>IF($U649="","",INDEX(상세표[사번],$U649)&amp;"")</f>
        <v/>
      </c>
      <c r="K649">
        <f>IF($U649="","",INDEX(상세표[성명],$U649)&amp;"")</f>
        <v/>
      </c>
      <c r="L649">
        <f>IF($U649="","",INDEX(상세표[직위],$U649)&amp;"")</f>
        <v/>
      </c>
      <c r="M649">
        <f>IF($U649="","",IF(ISNUMBER(INDEX(상세표[근무일자],$U649)),TEXT(INDEX(상세표[근무일자],$U649),"yyyy-mm-dd"),INDEX(상세표[근무일자],$U649)&amp;""))</f>
        <v/>
      </c>
      <c r="N649">
        <f>IF($U649="","",IF(ISNUMBER(INDEX(상세표[시작],$U649)),TEXT(INDEX(상세표[시작],$U649),"yyyy-mm-dd hh:mm"),INDEX(상세표[시작],$U649)&amp;""))</f>
        <v/>
      </c>
      <c r="O649">
        <f>IF($U649="","",IF(ISNUMBER(INDEX(상세표[종료],$U649)),TEXT(INDEX(상세표[종료],$U649),"yyyy-mm-dd hh:mm"),INDEX(상세표[종료],$U649)&amp;""))</f>
        <v/>
      </c>
      <c r="P649" s="20">
        <f>IF($U649="","",INDEX(상세표[06~07시],$U649))</f>
        <v/>
      </c>
      <c r="Q649" s="20">
        <f>IF($U649="","",INDEX(상세표[07~18시],$U649))</f>
        <v/>
      </c>
      <c r="R649" s="20">
        <f>IF($U649="","",INDEX(상세표[18~22시],$U649))</f>
        <v/>
      </c>
      <c r="S649" s="20">
        <f>IF($U649="","",INDEX(상세표[22~06시],$U649))</f>
        <v/>
      </c>
      <c r="T649" s="20">
        <f>IF($U649="","",INDEX(상세표[기록 시간외],$U649))</f>
        <v/>
      </c>
      <c r="U649" s="4">
        <f>IFERROR(MATCH(644,상세표[발송순번],0),"")</f>
        <v/>
      </c>
    </row>
    <row r="650">
      <c r="J650">
        <f>IF($U650="","",INDEX(상세표[사번],$U650)&amp;"")</f>
        <v/>
      </c>
      <c r="K650">
        <f>IF($U650="","",INDEX(상세표[성명],$U650)&amp;"")</f>
        <v/>
      </c>
      <c r="L650">
        <f>IF($U650="","",INDEX(상세표[직위],$U650)&amp;"")</f>
        <v/>
      </c>
      <c r="M650">
        <f>IF($U650="","",IF(ISNUMBER(INDEX(상세표[근무일자],$U650)),TEXT(INDEX(상세표[근무일자],$U650),"yyyy-mm-dd"),INDEX(상세표[근무일자],$U650)&amp;""))</f>
        <v/>
      </c>
      <c r="N650">
        <f>IF($U650="","",IF(ISNUMBER(INDEX(상세표[시작],$U650)),TEXT(INDEX(상세표[시작],$U650),"yyyy-mm-dd hh:mm"),INDEX(상세표[시작],$U650)&amp;""))</f>
        <v/>
      </c>
      <c r="O650">
        <f>IF($U650="","",IF(ISNUMBER(INDEX(상세표[종료],$U650)),TEXT(INDEX(상세표[종료],$U650),"yyyy-mm-dd hh:mm"),INDEX(상세표[종료],$U650)&amp;""))</f>
        <v/>
      </c>
      <c r="P650" s="20">
        <f>IF($U650="","",INDEX(상세표[06~07시],$U650))</f>
        <v/>
      </c>
      <c r="Q650" s="20">
        <f>IF($U650="","",INDEX(상세표[07~18시],$U650))</f>
        <v/>
      </c>
      <c r="R650" s="20">
        <f>IF($U650="","",INDEX(상세표[18~22시],$U650))</f>
        <v/>
      </c>
      <c r="S650" s="20">
        <f>IF($U650="","",INDEX(상세표[22~06시],$U650))</f>
        <v/>
      </c>
      <c r="T650" s="20">
        <f>IF($U650="","",INDEX(상세표[기록 시간외],$U650))</f>
        <v/>
      </c>
      <c r="U650" s="4">
        <f>IFERROR(MATCH(645,상세표[발송순번],0),"")</f>
        <v/>
      </c>
    </row>
    <row r="651">
      <c r="J651">
        <f>IF($U651="","",INDEX(상세표[사번],$U651)&amp;"")</f>
        <v/>
      </c>
      <c r="K651">
        <f>IF($U651="","",INDEX(상세표[성명],$U651)&amp;"")</f>
        <v/>
      </c>
      <c r="L651">
        <f>IF($U651="","",INDEX(상세표[직위],$U651)&amp;"")</f>
        <v/>
      </c>
      <c r="M651">
        <f>IF($U651="","",IF(ISNUMBER(INDEX(상세표[근무일자],$U651)),TEXT(INDEX(상세표[근무일자],$U651),"yyyy-mm-dd"),INDEX(상세표[근무일자],$U651)&amp;""))</f>
        <v/>
      </c>
      <c r="N651">
        <f>IF($U651="","",IF(ISNUMBER(INDEX(상세표[시작],$U651)),TEXT(INDEX(상세표[시작],$U651),"yyyy-mm-dd hh:mm"),INDEX(상세표[시작],$U651)&amp;""))</f>
        <v/>
      </c>
      <c r="O651">
        <f>IF($U651="","",IF(ISNUMBER(INDEX(상세표[종료],$U651)),TEXT(INDEX(상세표[종료],$U651),"yyyy-mm-dd hh:mm"),INDEX(상세표[종료],$U651)&amp;""))</f>
        <v/>
      </c>
      <c r="P651" s="20">
        <f>IF($U651="","",INDEX(상세표[06~07시],$U651))</f>
        <v/>
      </c>
      <c r="Q651" s="20">
        <f>IF($U651="","",INDEX(상세표[07~18시],$U651))</f>
        <v/>
      </c>
      <c r="R651" s="20">
        <f>IF($U651="","",INDEX(상세표[18~22시],$U651))</f>
        <v/>
      </c>
      <c r="S651" s="20">
        <f>IF($U651="","",INDEX(상세표[22~06시],$U651))</f>
        <v/>
      </c>
      <c r="T651" s="20">
        <f>IF($U651="","",INDEX(상세표[기록 시간외],$U651))</f>
        <v/>
      </c>
      <c r="U651" s="4">
        <f>IFERROR(MATCH(646,상세표[발송순번],0),"")</f>
        <v/>
      </c>
    </row>
    <row r="652">
      <c r="J652">
        <f>IF($U652="","",INDEX(상세표[사번],$U652)&amp;"")</f>
        <v/>
      </c>
      <c r="K652">
        <f>IF($U652="","",INDEX(상세표[성명],$U652)&amp;"")</f>
        <v/>
      </c>
      <c r="L652">
        <f>IF($U652="","",INDEX(상세표[직위],$U652)&amp;"")</f>
        <v/>
      </c>
      <c r="M652">
        <f>IF($U652="","",IF(ISNUMBER(INDEX(상세표[근무일자],$U652)),TEXT(INDEX(상세표[근무일자],$U652),"yyyy-mm-dd"),INDEX(상세표[근무일자],$U652)&amp;""))</f>
        <v/>
      </c>
      <c r="N652">
        <f>IF($U652="","",IF(ISNUMBER(INDEX(상세표[시작],$U652)),TEXT(INDEX(상세표[시작],$U652),"yyyy-mm-dd hh:mm"),INDEX(상세표[시작],$U652)&amp;""))</f>
        <v/>
      </c>
      <c r="O652">
        <f>IF($U652="","",IF(ISNUMBER(INDEX(상세표[종료],$U652)),TEXT(INDEX(상세표[종료],$U652),"yyyy-mm-dd hh:mm"),INDEX(상세표[종료],$U652)&amp;""))</f>
        <v/>
      </c>
      <c r="P652" s="20">
        <f>IF($U652="","",INDEX(상세표[06~07시],$U652))</f>
        <v/>
      </c>
      <c r="Q652" s="20">
        <f>IF($U652="","",INDEX(상세표[07~18시],$U652))</f>
        <v/>
      </c>
      <c r="R652" s="20">
        <f>IF($U652="","",INDEX(상세표[18~22시],$U652))</f>
        <v/>
      </c>
      <c r="S652" s="20">
        <f>IF($U652="","",INDEX(상세표[22~06시],$U652))</f>
        <v/>
      </c>
      <c r="T652" s="20">
        <f>IF($U652="","",INDEX(상세표[기록 시간외],$U652))</f>
        <v/>
      </c>
      <c r="U652" s="4">
        <f>IFERROR(MATCH(647,상세표[발송순번],0),"")</f>
        <v/>
      </c>
    </row>
    <row r="653">
      <c r="J653">
        <f>IF($U653="","",INDEX(상세표[사번],$U653)&amp;"")</f>
        <v/>
      </c>
      <c r="K653">
        <f>IF($U653="","",INDEX(상세표[성명],$U653)&amp;"")</f>
        <v/>
      </c>
      <c r="L653">
        <f>IF($U653="","",INDEX(상세표[직위],$U653)&amp;"")</f>
        <v/>
      </c>
      <c r="M653">
        <f>IF($U653="","",IF(ISNUMBER(INDEX(상세표[근무일자],$U653)),TEXT(INDEX(상세표[근무일자],$U653),"yyyy-mm-dd"),INDEX(상세표[근무일자],$U653)&amp;""))</f>
        <v/>
      </c>
      <c r="N653">
        <f>IF($U653="","",IF(ISNUMBER(INDEX(상세표[시작],$U653)),TEXT(INDEX(상세표[시작],$U653),"yyyy-mm-dd hh:mm"),INDEX(상세표[시작],$U653)&amp;""))</f>
        <v/>
      </c>
      <c r="O653">
        <f>IF($U653="","",IF(ISNUMBER(INDEX(상세표[종료],$U653)),TEXT(INDEX(상세표[종료],$U653),"yyyy-mm-dd hh:mm"),INDEX(상세표[종료],$U653)&amp;""))</f>
        <v/>
      </c>
      <c r="P653" s="20">
        <f>IF($U653="","",INDEX(상세표[06~07시],$U653))</f>
        <v/>
      </c>
      <c r="Q653" s="20">
        <f>IF($U653="","",INDEX(상세표[07~18시],$U653))</f>
        <v/>
      </c>
      <c r="R653" s="20">
        <f>IF($U653="","",INDEX(상세표[18~22시],$U653))</f>
        <v/>
      </c>
      <c r="S653" s="20">
        <f>IF($U653="","",INDEX(상세표[22~06시],$U653))</f>
        <v/>
      </c>
      <c r="T653" s="20">
        <f>IF($U653="","",INDEX(상세표[기록 시간외],$U653))</f>
        <v/>
      </c>
      <c r="U653" s="4">
        <f>IFERROR(MATCH(648,상세표[발송순번],0),"")</f>
        <v/>
      </c>
    </row>
    <row r="654">
      <c r="J654">
        <f>IF($U654="","",INDEX(상세표[사번],$U654)&amp;"")</f>
        <v/>
      </c>
      <c r="K654">
        <f>IF($U654="","",INDEX(상세표[성명],$U654)&amp;"")</f>
        <v/>
      </c>
      <c r="L654">
        <f>IF($U654="","",INDEX(상세표[직위],$U654)&amp;"")</f>
        <v/>
      </c>
      <c r="M654">
        <f>IF($U654="","",IF(ISNUMBER(INDEX(상세표[근무일자],$U654)),TEXT(INDEX(상세표[근무일자],$U654),"yyyy-mm-dd"),INDEX(상세표[근무일자],$U654)&amp;""))</f>
        <v/>
      </c>
      <c r="N654">
        <f>IF($U654="","",IF(ISNUMBER(INDEX(상세표[시작],$U654)),TEXT(INDEX(상세표[시작],$U654),"yyyy-mm-dd hh:mm"),INDEX(상세표[시작],$U654)&amp;""))</f>
        <v/>
      </c>
      <c r="O654">
        <f>IF($U654="","",IF(ISNUMBER(INDEX(상세표[종료],$U654)),TEXT(INDEX(상세표[종료],$U654),"yyyy-mm-dd hh:mm"),INDEX(상세표[종료],$U654)&amp;""))</f>
        <v/>
      </c>
      <c r="P654" s="20">
        <f>IF($U654="","",INDEX(상세표[06~07시],$U654))</f>
        <v/>
      </c>
      <c r="Q654" s="20">
        <f>IF($U654="","",INDEX(상세표[07~18시],$U654))</f>
        <v/>
      </c>
      <c r="R654" s="20">
        <f>IF($U654="","",INDEX(상세표[18~22시],$U654))</f>
        <v/>
      </c>
      <c r="S654" s="20">
        <f>IF($U654="","",INDEX(상세표[22~06시],$U654))</f>
        <v/>
      </c>
      <c r="T654" s="20">
        <f>IF($U654="","",INDEX(상세표[기록 시간외],$U654))</f>
        <v/>
      </c>
      <c r="U654" s="4">
        <f>IFERROR(MATCH(649,상세표[발송순번],0),"")</f>
        <v/>
      </c>
    </row>
    <row r="655">
      <c r="J655">
        <f>IF($U655="","",INDEX(상세표[사번],$U655)&amp;"")</f>
        <v/>
      </c>
      <c r="K655">
        <f>IF($U655="","",INDEX(상세표[성명],$U655)&amp;"")</f>
        <v/>
      </c>
      <c r="L655">
        <f>IF($U655="","",INDEX(상세표[직위],$U655)&amp;"")</f>
        <v/>
      </c>
      <c r="M655">
        <f>IF($U655="","",IF(ISNUMBER(INDEX(상세표[근무일자],$U655)),TEXT(INDEX(상세표[근무일자],$U655),"yyyy-mm-dd"),INDEX(상세표[근무일자],$U655)&amp;""))</f>
        <v/>
      </c>
      <c r="N655">
        <f>IF($U655="","",IF(ISNUMBER(INDEX(상세표[시작],$U655)),TEXT(INDEX(상세표[시작],$U655),"yyyy-mm-dd hh:mm"),INDEX(상세표[시작],$U655)&amp;""))</f>
        <v/>
      </c>
      <c r="O655">
        <f>IF($U655="","",IF(ISNUMBER(INDEX(상세표[종료],$U655)),TEXT(INDEX(상세표[종료],$U655),"yyyy-mm-dd hh:mm"),INDEX(상세표[종료],$U655)&amp;""))</f>
        <v/>
      </c>
      <c r="P655" s="20">
        <f>IF($U655="","",INDEX(상세표[06~07시],$U655))</f>
        <v/>
      </c>
      <c r="Q655" s="20">
        <f>IF($U655="","",INDEX(상세표[07~18시],$U655))</f>
        <v/>
      </c>
      <c r="R655" s="20">
        <f>IF($U655="","",INDEX(상세표[18~22시],$U655))</f>
        <v/>
      </c>
      <c r="S655" s="20">
        <f>IF($U655="","",INDEX(상세표[22~06시],$U655))</f>
        <v/>
      </c>
      <c r="T655" s="20">
        <f>IF($U655="","",INDEX(상세표[기록 시간외],$U655))</f>
        <v/>
      </c>
      <c r="U655" s="4">
        <f>IFERROR(MATCH(650,상세표[발송순번],0),"")</f>
        <v/>
      </c>
    </row>
    <row r="656">
      <c r="J656">
        <f>IF($U656="","",INDEX(상세표[사번],$U656)&amp;"")</f>
        <v/>
      </c>
      <c r="K656">
        <f>IF($U656="","",INDEX(상세표[성명],$U656)&amp;"")</f>
        <v/>
      </c>
      <c r="L656">
        <f>IF($U656="","",INDEX(상세표[직위],$U656)&amp;"")</f>
        <v/>
      </c>
      <c r="M656">
        <f>IF($U656="","",IF(ISNUMBER(INDEX(상세표[근무일자],$U656)),TEXT(INDEX(상세표[근무일자],$U656),"yyyy-mm-dd"),INDEX(상세표[근무일자],$U656)&amp;""))</f>
        <v/>
      </c>
      <c r="N656">
        <f>IF($U656="","",IF(ISNUMBER(INDEX(상세표[시작],$U656)),TEXT(INDEX(상세표[시작],$U656),"yyyy-mm-dd hh:mm"),INDEX(상세표[시작],$U656)&amp;""))</f>
        <v/>
      </c>
      <c r="O656">
        <f>IF($U656="","",IF(ISNUMBER(INDEX(상세표[종료],$U656)),TEXT(INDEX(상세표[종료],$U656),"yyyy-mm-dd hh:mm"),INDEX(상세표[종료],$U656)&amp;""))</f>
        <v/>
      </c>
      <c r="P656" s="20">
        <f>IF($U656="","",INDEX(상세표[06~07시],$U656))</f>
        <v/>
      </c>
      <c r="Q656" s="20">
        <f>IF($U656="","",INDEX(상세표[07~18시],$U656))</f>
        <v/>
      </c>
      <c r="R656" s="20">
        <f>IF($U656="","",INDEX(상세표[18~22시],$U656))</f>
        <v/>
      </c>
      <c r="S656" s="20">
        <f>IF($U656="","",INDEX(상세표[22~06시],$U656))</f>
        <v/>
      </c>
      <c r="T656" s="20">
        <f>IF($U656="","",INDEX(상세표[기록 시간외],$U656))</f>
        <v/>
      </c>
      <c r="U656" s="4">
        <f>IFERROR(MATCH(651,상세표[발송순번],0),"")</f>
        <v/>
      </c>
    </row>
    <row r="657">
      <c r="J657">
        <f>IF($U657="","",INDEX(상세표[사번],$U657)&amp;"")</f>
        <v/>
      </c>
      <c r="K657">
        <f>IF($U657="","",INDEX(상세표[성명],$U657)&amp;"")</f>
        <v/>
      </c>
      <c r="L657">
        <f>IF($U657="","",INDEX(상세표[직위],$U657)&amp;"")</f>
        <v/>
      </c>
      <c r="M657">
        <f>IF($U657="","",IF(ISNUMBER(INDEX(상세표[근무일자],$U657)),TEXT(INDEX(상세표[근무일자],$U657),"yyyy-mm-dd"),INDEX(상세표[근무일자],$U657)&amp;""))</f>
        <v/>
      </c>
      <c r="N657">
        <f>IF($U657="","",IF(ISNUMBER(INDEX(상세표[시작],$U657)),TEXT(INDEX(상세표[시작],$U657),"yyyy-mm-dd hh:mm"),INDEX(상세표[시작],$U657)&amp;""))</f>
        <v/>
      </c>
      <c r="O657">
        <f>IF($U657="","",IF(ISNUMBER(INDEX(상세표[종료],$U657)),TEXT(INDEX(상세표[종료],$U657),"yyyy-mm-dd hh:mm"),INDEX(상세표[종료],$U657)&amp;""))</f>
        <v/>
      </c>
      <c r="P657" s="20">
        <f>IF($U657="","",INDEX(상세표[06~07시],$U657))</f>
        <v/>
      </c>
      <c r="Q657" s="20">
        <f>IF($U657="","",INDEX(상세표[07~18시],$U657))</f>
        <v/>
      </c>
      <c r="R657" s="20">
        <f>IF($U657="","",INDEX(상세표[18~22시],$U657))</f>
        <v/>
      </c>
      <c r="S657" s="20">
        <f>IF($U657="","",INDEX(상세표[22~06시],$U657))</f>
        <v/>
      </c>
      <c r="T657" s="20">
        <f>IF($U657="","",INDEX(상세표[기록 시간외],$U657))</f>
        <v/>
      </c>
      <c r="U657" s="4">
        <f>IFERROR(MATCH(652,상세표[발송순번],0),"")</f>
        <v/>
      </c>
    </row>
    <row r="658">
      <c r="J658">
        <f>IF($U658="","",INDEX(상세표[사번],$U658)&amp;"")</f>
        <v/>
      </c>
      <c r="K658">
        <f>IF($U658="","",INDEX(상세표[성명],$U658)&amp;"")</f>
        <v/>
      </c>
      <c r="L658">
        <f>IF($U658="","",INDEX(상세표[직위],$U658)&amp;"")</f>
        <v/>
      </c>
      <c r="M658">
        <f>IF($U658="","",IF(ISNUMBER(INDEX(상세표[근무일자],$U658)),TEXT(INDEX(상세표[근무일자],$U658),"yyyy-mm-dd"),INDEX(상세표[근무일자],$U658)&amp;""))</f>
        <v/>
      </c>
      <c r="N658">
        <f>IF($U658="","",IF(ISNUMBER(INDEX(상세표[시작],$U658)),TEXT(INDEX(상세표[시작],$U658),"yyyy-mm-dd hh:mm"),INDEX(상세표[시작],$U658)&amp;""))</f>
        <v/>
      </c>
      <c r="O658">
        <f>IF($U658="","",IF(ISNUMBER(INDEX(상세표[종료],$U658)),TEXT(INDEX(상세표[종료],$U658),"yyyy-mm-dd hh:mm"),INDEX(상세표[종료],$U658)&amp;""))</f>
        <v/>
      </c>
      <c r="P658" s="20">
        <f>IF($U658="","",INDEX(상세표[06~07시],$U658))</f>
        <v/>
      </c>
      <c r="Q658" s="20">
        <f>IF($U658="","",INDEX(상세표[07~18시],$U658))</f>
        <v/>
      </c>
      <c r="R658" s="20">
        <f>IF($U658="","",INDEX(상세표[18~22시],$U658))</f>
        <v/>
      </c>
      <c r="S658" s="20">
        <f>IF($U658="","",INDEX(상세표[22~06시],$U658))</f>
        <v/>
      </c>
      <c r="T658" s="20">
        <f>IF($U658="","",INDEX(상세표[기록 시간외],$U658))</f>
        <v/>
      </c>
      <c r="U658" s="4">
        <f>IFERROR(MATCH(653,상세표[발송순번],0),"")</f>
        <v/>
      </c>
    </row>
    <row r="659">
      <c r="J659">
        <f>IF($U659="","",INDEX(상세표[사번],$U659)&amp;"")</f>
        <v/>
      </c>
      <c r="K659">
        <f>IF($U659="","",INDEX(상세표[성명],$U659)&amp;"")</f>
        <v/>
      </c>
      <c r="L659">
        <f>IF($U659="","",INDEX(상세표[직위],$U659)&amp;"")</f>
        <v/>
      </c>
      <c r="M659">
        <f>IF($U659="","",IF(ISNUMBER(INDEX(상세표[근무일자],$U659)),TEXT(INDEX(상세표[근무일자],$U659),"yyyy-mm-dd"),INDEX(상세표[근무일자],$U659)&amp;""))</f>
        <v/>
      </c>
      <c r="N659">
        <f>IF($U659="","",IF(ISNUMBER(INDEX(상세표[시작],$U659)),TEXT(INDEX(상세표[시작],$U659),"yyyy-mm-dd hh:mm"),INDEX(상세표[시작],$U659)&amp;""))</f>
        <v/>
      </c>
      <c r="O659">
        <f>IF($U659="","",IF(ISNUMBER(INDEX(상세표[종료],$U659)),TEXT(INDEX(상세표[종료],$U659),"yyyy-mm-dd hh:mm"),INDEX(상세표[종료],$U659)&amp;""))</f>
        <v/>
      </c>
      <c r="P659" s="20">
        <f>IF($U659="","",INDEX(상세표[06~07시],$U659))</f>
        <v/>
      </c>
      <c r="Q659" s="20">
        <f>IF($U659="","",INDEX(상세표[07~18시],$U659))</f>
        <v/>
      </c>
      <c r="R659" s="20">
        <f>IF($U659="","",INDEX(상세표[18~22시],$U659))</f>
        <v/>
      </c>
      <c r="S659" s="20">
        <f>IF($U659="","",INDEX(상세표[22~06시],$U659))</f>
        <v/>
      </c>
      <c r="T659" s="20">
        <f>IF($U659="","",INDEX(상세표[기록 시간외],$U659))</f>
        <v/>
      </c>
      <c r="U659" s="4">
        <f>IFERROR(MATCH(654,상세표[발송순번],0),"")</f>
        <v/>
      </c>
    </row>
    <row r="660">
      <c r="J660">
        <f>IF($U660="","",INDEX(상세표[사번],$U660)&amp;"")</f>
        <v/>
      </c>
      <c r="K660">
        <f>IF($U660="","",INDEX(상세표[성명],$U660)&amp;"")</f>
        <v/>
      </c>
      <c r="L660">
        <f>IF($U660="","",INDEX(상세표[직위],$U660)&amp;"")</f>
        <v/>
      </c>
      <c r="M660">
        <f>IF($U660="","",IF(ISNUMBER(INDEX(상세표[근무일자],$U660)),TEXT(INDEX(상세표[근무일자],$U660),"yyyy-mm-dd"),INDEX(상세표[근무일자],$U660)&amp;""))</f>
        <v/>
      </c>
      <c r="N660">
        <f>IF($U660="","",IF(ISNUMBER(INDEX(상세표[시작],$U660)),TEXT(INDEX(상세표[시작],$U660),"yyyy-mm-dd hh:mm"),INDEX(상세표[시작],$U660)&amp;""))</f>
        <v/>
      </c>
      <c r="O660">
        <f>IF($U660="","",IF(ISNUMBER(INDEX(상세표[종료],$U660)),TEXT(INDEX(상세표[종료],$U660),"yyyy-mm-dd hh:mm"),INDEX(상세표[종료],$U660)&amp;""))</f>
        <v/>
      </c>
      <c r="P660" s="20">
        <f>IF($U660="","",INDEX(상세표[06~07시],$U660))</f>
        <v/>
      </c>
      <c r="Q660" s="20">
        <f>IF($U660="","",INDEX(상세표[07~18시],$U660))</f>
        <v/>
      </c>
      <c r="R660" s="20">
        <f>IF($U660="","",INDEX(상세표[18~22시],$U660))</f>
        <v/>
      </c>
      <c r="S660" s="20">
        <f>IF($U660="","",INDEX(상세표[22~06시],$U660))</f>
        <v/>
      </c>
      <c r="T660" s="20">
        <f>IF($U660="","",INDEX(상세표[기록 시간외],$U660))</f>
        <v/>
      </c>
      <c r="U660" s="4">
        <f>IFERROR(MATCH(655,상세표[발송순번],0),"")</f>
        <v/>
      </c>
    </row>
    <row r="661">
      <c r="J661">
        <f>IF($U661="","",INDEX(상세표[사번],$U661)&amp;"")</f>
        <v/>
      </c>
      <c r="K661">
        <f>IF($U661="","",INDEX(상세표[성명],$U661)&amp;"")</f>
        <v/>
      </c>
      <c r="L661">
        <f>IF($U661="","",INDEX(상세표[직위],$U661)&amp;"")</f>
        <v/>
      </c>
      <c r="M661">
        <f>IF($U661="","",IF(ISNUMBER(INDEX(상세표[근무일자],$U661)),TEXT(INDEX(상세표[근무일자],$U661),"yyyy-mm-dd"),INDEX(상세표[근무일자],$U661)&amp;""))</f>
        <v/>
      </c>
      <c r="N661">
        <f>IF($U661="","",IF(ISNUMBER(INDEX(상세표[시작],$U661)),TEXT(INDEX(상세표[시작],$U661),"yyyy-mm-dd hh:mm"),INDEX(상세표[시작],$U661)&amp;""))</f>
        <v/>
      </c>
      <c r="O661">
        <f>IF($U661="","",IF(ISNUMBER(INDEX(상세표[종료],$U661)),TEXT(INDEX(상세표[종료],$U661),"yyyy-mm-dd hh:mm"),INDEX(상세표[종료],$U661)&amp;""))</f>
        <v/>
      </c>
      <c r="P661" s="20">
        <f>IF($U661="","",INDEX(상세표[06~07시],$U661))</f>
        <v/>
      </c>
      <c r="Q661" s="20">
        <f>IF($U661="","",INDEX(상세표[07~18시],$U661))</f>
        <v/>
      </c>
      <c r="R661" s="20">
        <f>IF($U661="","",INDEX(상세표[18~22시],$U661))</f>
        <v/>
      </c>
      <c r="S661" s="20">
        <f>IF($U661="","",INDEX(상세표[22~06시],$U661))</f>
        <v/>
      </c>
      <c r="T661" s="20">
        <f>IF($U661="","",INDEX(상세표[기록 시간외],$U661))</f>
        <v/>
      </c>
      <c r="U661" s="4">
        <f>IFERROR(MATCH(656,상세표[발송순번],0),"")</f>
        <v/>
      </c>
    </row>
    <row r="662">
      <c r="J662">
        <f>IF($U662="","",INDEX(상세표[사번],$U662)&amp;"")</f>
        <v/>
      </c>
      <c r="K662">
        <f>IF($U662="","",INDEX(상세표[성명],$U662)&amp;"")</f>
        <v/>
      </c>
      <c r="L662">
        <f>IF($U662="","",INDEX(상세표[직위],$U662)&amp;"")</f>
        <v/>
      </c>
      <c r="M662">
        <f>IF($U662="","",IF(ISNUMBER(INDEX(상세표[근무일자],$U662)),TEXT(INDEX(상세표[근무일자],$U662),"yyyy-mm-dd"),INDEX(상세표[근무일자],$U662)&amp;""))</f>
        <v/>
      </c>
      <c r="N662">
        <f>IF($U662="","",IF(ISNUMBER(INDEX(상세표[시작],$U662)),TEXT(INDEX(상세표[시작],$U662),"yyyy-mm-dd hh:mm"),INDEX(상세표[시작],$U662)&amp;""))</f>
        <v/>
      </c>
      <c r="O662">
        <f>IF($U662="","",IF(ISNUMBER(INDEX(상세표[종료],$U662)),TEXT(INDEX(상세표[종료],$U662),"yyyy-mm-dd hh:mm"),INDEX(상세표[종료],$U662)&amp;""))</f>
        <v/>
      </c>
      <c r="P662" s="20">
        <f>IF($U662="","",INDEX(상세표[06~07시],$U662))</f>
        <v/>
      </c>
      <c r="Q662" s="20">
        <f>IF($U662="","",INDEX(상세표[07~18시],$U662))</f>
        <v/>
      </c>
      <c r="R662" s="20">
        <f>IF($U662="","",INDEX(상세표[18~22시],$U662))</f>
        <v/>
      </c>
      <c r="S662" s="20">
        <f>IF($U662="","",INDEX(상세표[22~06시],$U662))</f>
        <v/>
      </c>
      <c r="T662" s="20">
        <f>IF($U662="","",INDEX(상세표[기록 시간외],$U662))</f>
        <v/>
      </c>
      <c r="U662" s="4">
        <f>IFERROR(MATCH(657,상세표[발송순번],0),"")</f>
        <v/>
      </c>
    </row>
    <row r="663">
      <c r="J663">
        <f>IF($U663="","",INDEX(상세표[사번],$U663)&amp;"")</f>
        <v/>
      </c>
      <c r="K663">
        <f>IF($U663="","",INDEX(상세표[성명],$U663)&amp;"")</f>
        <v/>
      </c>
      <c r="L663">
        <f>IF($U663="","",INDEX(상세표[직위],$U663)&amp;"")</f>
        <v/>
      </c>
      <c r="M663">
        <f>IF($U663="","",IF(ISNUMBER(INDEX(상세표[근무일자],$U663)),TEXT(INDEX(상세표[근무일자],$U663),"yyyy-mm-dd"),INDEX(상세표[근무일자],$U663)&amp;""))</f>
        <v/>
      </c>
      <c r="N663">
        <f>IF($U663="","",IF(ISNUMBER(INDEX(상세표[시작],$U663)),TEXT(INDEX(상세표[시작],$U663),"yyyy-mm-dd hh:mm"),INDEX(상세표[시작],$U663)&amp;""))</f>
        <v/>
      </c>
      <c r="O663">
        <f>IF($U663="","",IF(ISNUMBER(INDEX(상세표[종료],$U663)),TEXT(INDEX(상세표[종료],$U663),"yyyy-mm-dd hh:mm"),INDEX(상세표[종료],$U663)&amp;""))</f>
        <v/>
      </c>
      <c r="P663" s="20">
        <f>IF($U663="","",INDEX(상세표[06~07시],$U663))</f>
        <v/>
      </c>
      <c r="Q663" s="20">
        <f>IF($U663="","",INDEX(상세표[07~18시],$U663))</f>
        <v/>
      </c>
      <c r="R663" s="20">
        <f>IF($U663="","",INDEX(상세표[18~22시],$U663))</f>
        <v/>
      </c>
      <c r="S663" s="20">
        <f>IF($U663="","",INDEX(상세표[22~06시],$U663))</f>
        <v/>
      </c>
      <c r="T663" s="20">
        <f>IF($U663="","",INDEX(상세표[기록 시간외],$U663))</f>
        <v/>
      </c>
      <c r="U663" s="4">
        <f>IFERROR(MATCH(658,상세표[발송순번],0),"")</f>
        <v/>
      </c>
    </row>
    <row r="664">
      <c r="J664">
        <f>IF($U664="","",INDEX(상세표[사번],$U664)&amp;"")</f>
        <v/>
      </c>
      <c r="K664">
        <f>IF($U664="","",INDEX(상세표[성명],$U664)&amp;"")</f>
        <v/>
      </c>
      <c r="L664">
        <f>IF($U664="","",INDEX(상세표[직위],$U664)&amp;"")</f>
        <v/>
      </c>
      <c r="M664">
        <f>IF($U664="","",IF(ISNUMBER(INDEX(상세표[근무일자],$U664)),TEXT(INDEX(상세표[근무일자],$U664),"yyyy-mm-dd"),INDEX(상세표[근무일자],$U664)&amp;""))</f>
        <v/>
      </c>
      <c r="N664">
        <f>IF($U664="","",IF(ISNUMBER(INDEX(상세표[시작],$U664)),TEXT(INDEX(상세표[시작],$U664),"yyyy-mm-dd hh:mm"),INDEX(상세표[시작],$U664)&amp;""))</f>
        <v/>
      </c>
      <c r="O664">
        <f>IF($U664="","",IF(ISNUMBER(INDEX(상세표[종료],$U664)),TEXT(INDEX(상세표[종료],$U664),"yyyy-mm-dd hh:mm"),INDEX(상세표[종료],$U664)&amp;""))</f>
        <v/>
      </c>
      <c r="P664" s="20">
        <f>IF($U664="","",INDEX(상세표[06~07시],$U664))</f>
        <v/>
      </c>
      <c r="Q664" s="20">
        <f>IF($U664="","",INDEX(상세표[07~18시],$U664))</f>
        <v/>
      </c>
      <c r="R664" s="20">
        <f>IF($U664="","",INDEX(상세표[18~22시],$U664))</f>
        <v/>
      </c>
      <c r="S664" s="20">
        <f>IF($U664="","",INDEX(상세표[22~06시],$U664))</f>
        <v/>
      </c>
      <c r="T664" s="20">
        <f>IF($U664="","",INDEX(상세표[기록 시간외],$U664))</f>
        <v/>
      </c>
      <c r="U664" s="4">
        <f>IFERROR(MATCH(659,상세표[발송순번],0),"")</f>
        <v/>
      </c>
    </row>
    <row r="665">
      <c r="J665">
        <f>IF($U665="","",INDEX(상세표[사번],$U665)&amp;"")</f>
        <v/>
      </c>
      <c r="K665">
        <f>IF($U665="","",INDEX(상세표[성명],$U665)&amp;"")</f>
        <v/>
      </c>
      <c r="L665">
        <f>IF($U665="","",INDEX(상세표[직위],$U665)&amp;"")</f>
        <v/>
      </c>
      <c r="M665">
        <f>IF($U665="","",IF(ISNUMBER(INDEX(상세표[근무일자],$U665)),TEXT(INDEX(상세표[근무일자],$U665),"yyyy-mm-dd"),INDEX(상세표[근무일자],$U665)&amp;""))</f>
        <v/>
      </c>
      <c r="N665">
        <f>IF($U665="","",IF(ISNUMBER(INDEX(상세표[시작],$U665)),TEXT(INDEX(상세표[시작],$U665),"yyyy-mm-dd hh:mm"),INDEX(상세표[시작],$U665)&amp;""))</f>
        <v/>
      </c>
      <c r="O665">
        <f>IF($U665="","",IF(ISNUMBER(INDEX(상세표[종료],$U665)),TEXT(INDEX(상세표[종료],$U665),"yyyy-mm-dd hh:mm"),INDEX(상세표[종료],$U665)&amp;""))</f>
        <v/>
      </c>
      <c r="P665" s="20">
        <f>IF($U665="","",INDEX(상세표[06~07시],$U665))</f>
        <v/>
      </c>
      <c r="Q665" s="20">
        <f>IF($U665="","",INDEX(상세표[07~18시],$U665))</f>
        <v/>
      </c>
      <c r="R665" s="20">
        <f>IF($U665="","",INDEX(상세표[18~22시],$U665))</f>
        <v/>
      </c>
      <c r="S665" s="20">
        <f>IF($U665="","",INDEX(상세표[22~06시],$U665))</f>
        <v/>
      </c>
      <c r="T665" s="20">
        <f>IF($U665="","",INDEX(상세표[기록 시간외],$U665))</f>
        <v/>
      </c>
      <c r="U665" s="4">
        <f>IFERROR(MATCH(660,상세표[발송순번],0),"")</f>
        <v/>
      </c>
    </row>
    <row r="666">
      <c r="J666">
        <f>IF($U666="","",INDEX(상세표[사번],$U666)&amp;"")</f>
        <v/>
      </c>
      <c r="K666">
        <f>IF($U666="","",INDEX(상세표[성명],$U666)&amp;"")</f>
        <v/>
      </c>
      <c r="L666">
        <f>IF($U666="","",INDEX(상세표[직위],$U666)&amp;"")</f>
        <v/>
      </c>
      <c r="M666">
        <f>IF($U666="","",IF(ISNUMBER(INDEX(상세표[근무일자],$U666)),TEXT(INDEX(상세표[근무일자],$U666),"yyyy-mm-dd"),INDEX(상세표[근무일자],$U666)&amp;""))</f>
        <v/>
      </c>
      <c r="N666">
        <f>IF($U666="","",IF(ISNUMBER(INDEX(상세표[시작],$U666)),TEXT(INDEX(상세표[시작],$U666),"yyyy-mm-dd hh:mm"),INDEX(상세표[시작],$U666)&amp;""))</f>
        <v/>
      </c>
      <c r="O666">
        <f>IF($U666="","",IF(ISNUMBER(INDEX(상세표[종료],$U666)),TEXT(INDEX(상세표[종료],$U666),"yyyy-mm-dd hh:mm"),INDEX(상세표[종료],$U666)&amp;""))</f>
        <v/>
      </c>
      <c r="P666" s="20">
        <f>IF($U666="","",INDEX(상세표[06~07시],$U666))</f>
        <v/>
      </c>
      <c r="Q666" s="20">
        <f>IF($U666="","",INDEX(상세표[07~18시],$U666))</f>
        <v/>
      </c>
      <c r="R666" s="20">
        <f>IF($U666="","",INDEX(상세표[18~22시],$U666))</f>
        <v/>
      </c>
      <c r="S666" s="20">
        <f>IF($U666="","",INDEX(상세표[22~06시],$U666))</f>
        <v/>
      </c>
      <c r="T666" s="20">
        <f>IF($U666="","",INDEX(상세표[기록 시간외],$U666))</f>
        <v/>
      </c>
      <c r="U666" s="4">
        <f>IFERROR(MATCH(661,상세표[발송순번],0),"")</f>
        <v/>
      </c>
    </row>
    <row r="667">
      <c r="J667">
        <f>IF($U667="","",INDEX(상세표[사번],$U667)&amp;"")</f>
        <v/>
      </c>
      <c r="K667">
        <f>IF($U667="","",INDEX(상세표[성명],$U667)&amp;"")</f>
        <v/>
      </c>
      <c r="L667">
        <f>IF($U667="","",INDEX(상세표[직위],$U667)&amp;"")</f>
        <v/>
      </c>
      <c r="M667">
        <f>IF($U667="","",IF(ISNUMBER(INDEX(상세표[근무일자],$U667)),TEXT(INDEX(상세표[근무일자],$U667),"yyyy-mm-dd"),INDEX(상세표[근무일자],$U667)&amp;""))</f>
        <v/>
      </c>
      <c r="N667">
        <f>IF($U667="","",IF(ISNUMBER(INDEX(상세표[시작],$U667)),TEXT(INDEX(상세표[시작],$U667),"yyyy-mm-dd hh:mm"),INDEX(상세표[시작],$U667)&amp;""))</f>
        <v/>
      </c>
      <c r="O667">
        <f>IF($U667="","",IF(ISNUMBER(INDEX(상세표[종료],$U667)),TEXT(INDEX(상세표[종료],$U667),"yyyy-mm-dd hh:mm"),INDEX(상세표[종료],$U667)&amp;""))</f>
        <v/>
      </c>
      <c r="P667" s="20">
        <f>IF($U667="","",INDEX(상세표[06~07시],$U667))</f>
        <v/>
      </c>
      <c r="Q667" s="20">
        <f>IF($U667="","",INDEX(상세표[07~18시],$U667))</f>
        <v/>
      </c>
      <c r="R667" s="20">
        <f>IF($U667="","",INDEX(상세표[18~22시],$U667))</f>
        <v/>
      </c>
      <c r="S667" s="20">
        <f>IF($U667="","",INDEX(상세표[22~06시],$U667))</f>
        <v/>
      </c>
      <c r="T667" s="20">
        <f>IF($U667="","",INDEX(상세표[기록 시간외],$U667))</f>
        <v/>
      </c>
      <c r="U667" s="4">
        <f>IFERROR(MATCH(662,상세표[발송순번],0),"")</f>
        <v/>
      </c>
    </row>
    <row r="668">
      <c r="J668">
        <f>IF($U668="","",INDEX(상세표[사번],$U668)&amp;"")</f>
        <v/>
      </c>
      <c r="K668">
        <f>IF($U668="","",INDEX(상세표[성명],$U668)&amp;"")</f>
        <v/>
      </c>
      <c r="L668">
        <f>IF($U668="","",INDEX(상세표[직위],$U668)&amp;"")</f>
        <v/>
      </c>
      <c r="M668">
        <f>IF($U668="","",IF(ISNUMBER(INDEX(상세표[근무일자],$U668)),TEXT(INDEX(상세표[근무일자],$U668),"yyyy-mm-dd"),INDEX(상세표[근무일자],$U668)&amp;""))</f>
        <v/>
      </c>
      <c r="N668">
        <f>IF($U668="","",IF(ISNUMBER(INDEX(상세표[시작],$U668)),TEXT(INDEX(상세표[시작],$U668),"yyyy-mm-dd hh:mm"),INDEX(상세표[시작],$U668)&amp;""))</f>
        <v/>
      </c>
      <c r="O668">
        <f>IF($U668="","",IF(ISNUMBER(INDEX(상세표[종료],$U668)),TEXT(INDEX(상세표[종료],$U668),"yyyy-mm-dd hh:mm"),INDEX(상세표[종료],$U668)&amp;""))</f>
        <v/>
      </c>
      <c r="P668" s="20">
        <f>IF($U668="","",INDEX(상세표[06~07시],$U668))</f>
        <v/>
      </c>
      <c r="Q668" s="20">
        <f>IF($U668="","",INDEX(상세표[07~18시],$U668))</f>
        <v/>
      </c>
      <c r="R668" s="20">
        <f>IF($U668="","",INDEX(상세표[18~22시],$U668))</f>
        <v/>
      </c>
      <c r="S668" s="20">
        <f>IF($U668="","",INDEX(상세표[22~06시],$U668))</f>
        <v/>
      </c>
      <c r="T668" s="20">
        <f>IF($U668="","",INDEX(상세표[기록 시간외],$U668))</f>
        <v/>
      </c>
      <c r="U668" s="4">
        <f>IFERROR(MATCH(663,상세표[발송순번],0),"")</f>
        <v/>
      </c>
    </row>
    <row r="669">
      <c r="J669">
        <f>IF($U669="","",INDEX(상세표[사번],$U669)&amp;"")</f>
        <v/>
      </c>
      <c r="K669">
        <f>IF($U669="","",INDEX(상세표[성명],$U669)&amp;"")</f>
        <v/>
      </c>
      <c r="L669">
        <f>IF($U669="","",INDEX(상세표[직위],$U669)&amp;"")</f>
        <v/>
      </c>
      <c r="M669">
        <f>IF($U669="","",IF(ISNUMBER(INDEX(상세표[근무일자],$U669)),TEXT(INDEX(상세표[근무일자],$U669),"yyyy-mm-dd"),INDEX(상세표[근무일자],$U669)&amp;""))</f>
        <v/>
      </c>
      <c r="N669">
        <f>IF($U669="","",IF(ISNUMBER(INDEX(상세표[시작],$U669)),TEXT(INDEX(상세표[시작],$U669),"yyyy-mm-dd hh:mm"),INDEX(상세표[시작],$U669)&amp;""))</f>
        <v/>
      </c>
      <c r="O669">
        <f>IF($U669="","",IF(ISNUMBER(INDEX(상세표[종료],$U669)),TEXT(INDEX(상세표[종료],$U669),"yyyy-mm-dd hh:mm"),INDEX(상세표[종료],$U669)&amp;""))</f>
        <v/>
      </c>
      <c r="P669" s="20">
        <f>IF($U669="","",INDEX(상세표[06~07시],$U669))</f>
        <v/>
      </c>
      <c r="Q669" s="20">
        <f>IF($U669="","",INDEX(상세표[07~18시],$U669))</f>
        <v/>
      </c>
      <c r="R669" s="20">
        <f>IF($U669="","",INDEX(상세표[18~22시],$U669))</f>
        <v/>
      </c>
      <c r="S669" s="20">
        <f>IF($U669="","",INDEX(상세표[22~06시],$U669))</f>
        <v/>
      </c>
      <c r="T669" s="20">
        <f>IF($U669="","",INDEX(상세표[기록 시간외],$U669))</f>
        <v/>
      </c>
      <c r="U669" s="4">
        <f>IFERROR(MATCH(664,상세표[발송순번],0),"")</f>
        <v/>
      </c>
    </row>
    <row r="670">
      <c r="J670">
        <f>IF($U670="","",INDEX(상세표[사번],$U670)&amp;"")</f>
        <v/>
      </c>
      <c r="K670">
        <f>IF($U670="","",INDEX(상세표[성명],$U670)&amp;"")</f>
        <v/>
      </c>
      <c r="L670">
        <f>IF($U670="","",INDEX(상세표[직위],$U670)&amp;"")</f>
        <v/>
      </c>
      <c r="M670">
        <f>IF($U670="","",IF(ISNUMBER(INDEX(상세표[근무일자],$U670)),TEXT(INDEX(상세표[근무일자],$U670),"yyyy-mm-dd"),INDEX(상세표[근무일자],$U670)&amp;""))</f>
        <v/>
      </c>
      <c r="N670">
        <f>IF($U670="","",IF(ISNUMBER(INDEX(상세표[시작],$U670)),TEXT(INDEX(상세표[시작],$U670),"yyyy-mm-dd hh:mm"),INDEX(상세표[시작],$U670)&amp;""))</f>
        <v/>
      </c>
      <c r="O670">
        <f>IF($U670="","",IF(ISNUMBER(INDEX(상세표[종료],$U670)),TEXT(INDEX(상세표[종료],$U670),"yyyy-mm-dd hh:mm"),INDEX(상세표[종료],$U670)&amp;""))</f>
        <v/>
      </c>
      <c r="P670" s="20">
        <f>IF($U670="","",INDEX(상세표[06~07시],$U670))</f>
        <v/>
      </c>
      <c r="Q670" s="20">
        <f>IF($U670="","",INDEX(상세표[07~18시],$U670))</f>
        <v/>
      </c>
      <c r="R670" s="20">
        <f>IF($U670="","",INDEX(상세표[18~22시],$U670))</f>
        <v/>
      </c>
      <c r="S670" s="20">
        <f>IF($U670="","",INDEX(상세표[22~06시],$U670))</f>
        <v/>
      </c>
      <c r="T670" s="20">
        <f>IF($U670="","",INDEX(상세표[기록 시간외],$U670))</f>
        <v/>
      </c>
      <c r="U670" s="4">
        <f>IFERROR(MATCH(665,상세표[발송순번],0),"")</f>
        <v/>
      </c>
    </row>
    <row r="671">
      <c r="J671">
        <f>IF($U671="","",INDEX(상세표[사번],$U671)&amp;"")</f>
        <v/>
      </c>
      <c r="K671">
        <f>IF($U671="","",INDEX(상세표[성명],$U671)&amp;"")</f>
        <v/>
      </c>
      <c r="L671">
        <f>IF($U671="","",INDEX(상세표[직위],$U671)&amp;"")</f>
        <v/>
      </c>
      <c r="M671">
        <f>IF($U671="","",IF(ISNUMBER(INDEX(상세표[근무일자],$U671)),TEXT(INDEX(상세표[근무일자],$U671),"yyyy-mm-dd"),INDEX(상세표[근무일자],$U671)&amp;""))</f>
        <v/>
      </c>
      <c r="N671">
        <f>IF($U671="","",IF(ISNUMBER(INDEX(상세표[시작],$U671)),TEXT(INDEX(상세표[시작],$U671),"yyyy-mm-dd hh:mm"),INDEX(상세표[시작],$U671)&amp;""))</f>
        <v/>
      </c>
      <c r="O671">
        <f>IF($U671="","",IF(ISNUMBER(INDEX(상세표[종료],$U671)),TEXT(INDEX(상세표[종료],$U671),"yyyy-mm-dd hh:mm"),INDEX(상세표[종료],$U671)&amp;""))</f>
        <v/>
      </c>
      <c r="P671" s="20">
        <f>IF($U671="","",INDEX(상세표[06~07시],$U671))</f>
        <v/>
      </c>
      <c r="Q671" s="20">
        <f>IF($U671="","",INDEX(상세표[07~18시],$U671))</f>
        <v/>
      </c>
      <c r="R671" s="20">
        <f>IF($U671="","",INDEX(상세표[18~22시],$U671))</f>
        <v/>
      </c>
      <c r="S671" s="20">
        <f>IF($U671="","",INDEX(상세표[22~06시],$U671))</f>
        <v/>
      </c>
      <c r="T671" s="20">
        <f>IF($U671="","",INDEX(상세표[기록 시간외],$U671))</f>
        <v/>
      </c>
      <c r="U671" s="4">
        <f>IFERROR(MATCH(666,상세표[발송순번],0),"")</f>
        <v/>
      </c>
    </row>
    <row r="672">
      <c r="J672">
        <f>IF($U672="","",INDEX(상세표[사번],$U672)&amp;"")</f>
        <v/>
      </c>
      <c r="K672">
        <f>IF($U672="","",INDEX(상세표[성명],$U672)&amp;"")</f>
        <v/>
      </c>
      <c r="L672">
        <f>IF($U672="","",INDEX(상세표[직위],$U672)&amp;"")</f>
        <v/>
      </c>
      <c r="M672">
        <f>IF($U672="","",IF(ISNUMBER(INDEX(상세표[근무일자],$U672)),TEXT(INDEX(상세표[근무일자],$U672),"yyyy-mm-dd"),INDEX(상세표[근무일자],$U672)&amp;""))</f>
        <v/>
      </c>
      <c r="N672">
        <f>IF($U672="","",IF(ISNUMBER(INDEX(상세표[시작],$U672)),TEXT(INDEX(상세표[시작],$U672),"yyyy-mm-dd hh:mm"),INDEX(상세표[시작],$U672)&amp;""))</f>
        <v/>
      </c>
      <c r="O672">
        <f>IF($U672="","",IF(ISNUMBER(INDEX(상세표[종료],$U672)),TEXT(INDEX(상세표[종료],$U672),"yyyy-mm-dd hh:mm"),INDEX(상세표[종료],$U672)&amp;""))</f>
        <v/>
      </c>
      <c r="P672" s="20">
        <f>IF($U672="","",INDEX(상세표[06~07시],$U672))</f>
        <v/>
      </c>
      <c r="Q672" s="20">
        <f>IF($U672="","",INDEX(상세표[07~18시],$U672))</f>
        <v/>
      </c>
      <c r="R672" s="20">
        <f>IF($U672="","",INDEX(상세표[18~22시],$U672))</f>
        <v/>
      </c>
      <c r="S672" s="20">
        <f>IF($U672="","",INDEX(상세표[22~06시],$U672))</f>
        <v/>
      </c>
      <c r="T672" s="20">
        <f>IF($U672="","",INDEX(상세표[기록 시간외],$U672))</f>
        <v/>
      </c>
      <c r="U672" s="4">
        <f>IFERROR(MATCH(667,상세표[발송순번],0),"")</f>
        <v/>
      </c>
    </row>
    <row r="673">
      <c r="J673">
        <f>IF($U673="","",INDEX(상세표[사번],$U673)&amp;"")</f>
        <v/>
      </c>
      <c r="K673">
        <f>IF($U673="","",INDEX(상세표[성명],$U673)&amp;"")</f>
        <v/>
      </c>
      <c r="L673">
        <f>IF($U673="","",INDEX(상세표[직위],$U673)&amp;"")</f>
        <v/>
      </c>
      <c r="M673">
        <f>IF($U673="","",IF(ISNUMBER(INDEX(상세표[근무일자],$U673)),TEXT(INDEX(상세표[근무일자],$U673),"yyyy-mm-dd"),INDEX(상세표[근무일자],$U673)&amp;""))</f>
        <v/>
      </c>
      <c r="N673">
        <f>IF($U673="","",IF(ISNUMBER(INDEX(상세표[시작],$U673)),TEXT(INDEX(상세표[시작],$U673),"yyyy-mm-dd hh:mm"),INDEX(상세표[시작],$U673)&amp;""))</f>
        <v/>
      </c>
      <c r="O673">
        <f>IF($U673="","",IF(ISNUMBER(INDEX(상세표[종료],$U673)),TEXT(INDEX(상세표[종료],$U673),"yyyy-mm-dd hh:mm"),INDEX(상세표[종료],$U673)&amp;""))</f>
        <v/>
      </c>
      <c r="P673" s="20">
        <f>IF($U673="","",INDEX(상세표[06~07시],$U673))</f>
        <v/>
      </c>
      <c r="Q673" s="20">
        <f>IF($U673="","",INDEX(상세표[07~18시],$U673))</f>
        <v/>
      </c>
      <c r="R673" s="20">
        <f>IF($U673="","",INDEX(상세표[18~22시],$U673))</f>
        <v/>
      </c>
      <c r="S673" s="20">
        <f>IF($U673="","",INDEX(상세표[22~06시],$U673))</f>
        <v/>
      </c>
      <c r="T673" s="20">
        <f>IF($U673="","",INDEX(상세표[기록 시간외],$U673))</f>
        <v/>
      </c>
      <c r="U673" s="4">
        <f>IFERROR(MATCH(668,상세표[발송순번],0),"")</f>
        <v/>
      </c>
    </row>
    <row r="674">
      <c r="J674">
        <f>IF($U674="","",INDEX(상세표[사번],$U674)&amp;"")</f>
        <v/>
      </c>
      <c r="K674">
        <f>IF($U674="","",INDEX(상세표[성명],$U674)&amp;"")</f>
        <v/>
      </c>
      <c r="L674">
        <f>IF($U674="","",INDEX(상세표[직위],$U674)&amp;"")</f>
        <v/>
      </c>
      <c r="M674">
        <f>IF($U674="","",IF(ISNUMBER(INDEX(상세표[근무일자],$U674)),TEXT(INDEX(상세표[근무일자],$U674),"yyyy-mm-dd"),INDEX(상세표[근무일자],$U674)&amp;""))</f>
        <v/>
      </c>
      <c r="N674">
        <f>IF($U674="","",IF(ISNUMBER(INDEX(상세표[시작],$U674)),TEXT(INDEX(상세표[시작],$U674),"yyyy-mm-dd hh:mm"),INDEX(상세표[시작],$U674)&amp;""))</f>
        <v/>
      </c>
      <c r="O674">
        <f>IF($U674="","",IF(ISNUMBER(INDEX(상세표[종료],$U674)),TEXT(INDEX(상세표[종료],$U674),"yyyy-mm-dd hh:mm"),INDEX(상세표[종료],$U674)&amp;""))</f>
        <v/>
      </c>
      <c r="P674" s="20">
        <f>IF($U674="","",INDEX(상세표[06~07시],$U674))</f>
        <v/>
      </c>
      <c r="Q674" s="20">
        <f>IF($U674="","",INDEX(상세표[07~18시],$U674))</f>
        <v/>
      </c>
      <c r="R674" s="20">
        <f>IF($U674="","",INDEX(상세표[18~22시],$U674))</f>
        <v/>
      </c>
      <c r="S674" s="20">
        <f>IF($U674="","",INDEX(상세표[22~06시],$U674))</f>
        <v/>
      </c>
      <c r="T674" s="20">
        <f>IF($U674="","",INDEX(상세표[기록 시간외],$U674))</f>
        <v/>
      </c>
      <c r="U674" s="4">
        <f>IFERROR(MATCH(669,상세표[발송순번],0),"")</f>
        <v/>
      </c>
    </row>
    <row r="675">
      <c r="J675">
        <f>IF($U675="","",INDEX(상세표[사번],$U675)&amp;"")</f>
        <v/>
      </c>
      <c r="K675">
        <f>IF($U675="","",INDEX(상세표[성명],$U675)&amp;"")</f>
        <v/>
      </c>
      <c r="L675">
        <f>IF($U675="","",INDEX(상세표[직위],$U675)&amp;"")</f>
        <v/>
      </c>
      <c r="M675">
        <f>IF($U675="","",IF(ISNUMBER(INDEX(상세표[근무일자],$U675)),TEXT(INDEX(상세표[근무일자],$U675),"yyyy-mm-dd"),INDEX(상세표[근무일자],$U675)&amp;""))</f>
        <v/>
      </c>
      <c r="N675">
        <f>IF($U675="","",IF(ISNUMBER(INDEX(상세표[시작],$U675)),TEXT(INDEX(상세표[시작],$U675),"yyyy-mm-dd hh:mm"),INDEX(상세표[시작],$U675)&amp;""))</f>
        <v/>
      </c>
      <c r="O675">
        <f>IF($U675="","",IF(ISNUMBER(INDEX(상세표[종료],$U675)),TEXT(INDEX(상세표[종료],$U675),"yyyy-mm-dd hh:mm"),INDEX(상세표[종료],$U675)&amp;""))</f>
        <v/>
      </c>
      <c r="P675" s="20">
        <f>IF($U675="","",INDEX(상세표[06~07시],$U675))</f>
        <v/>
      </c>
      <c r="Q675" s="20">
        <f>IF($U675="","",INDEX(상세표[07~18시],$U675))</f>
        <v/>
      </c>
      <c r="R675" s="20">
        <f>IF($U675="","",INDEX(상세표[18~22시],$U675))</f>
        <v/>
      </c>
      <c r="S675" s="20">
        <f>IF($U675="","",INDEX(상세표[22~06시],$U675))</f>
        <v/>
      </c>
      <c r="T675" s="20">
        <f>IF($U675="","",INDEX(상세표[기록 시간외],$U675))</f>
        <v/>
      </c>
      <c r="U675" s="4">
        <f>IFERROR(MATCH(670,상세표[발송순번],0),"")</f>
        <v/>
      </c>
    </row>
    <row r="676">
      <c r="J676">
        <f>IF($U676="","",INDEX(상세표[사번],$U676)&amp;"")</f>
        <v/>
      </c>
      <c r="K676">
        <f>IF($U676="","",INDEX(상세표[성명],$U676)&amp;"")</f>
        <v/>
      </c>
      <c r="L676">
        <f>IF($U676="","",INDEX(상세표[직위],$U676)&amp;"")</f>
        <v/>
      </c>
      <c r="M676">
        <f>IF($U676="","",IF(ISNUMBER(INDEX(상세표[근무일자],$U676)),TEXT(INDEX(상세표[근무일자],$U676),"yyyy-mm-dd"),INDEX(상세표[근무일자],$U676)&amp;""))</f>
        <v/>
      </c>
      <c r="N676">
        <f>IF($U676="","",IF(ISNUMBER(INDEX(상세표[시작],$U676)),TEXT(INDEX(상세표[시작],$U676),"yyyy-mm-dd hh:mm"),INDEX(상세표[시작],$U676)&amp;""))</f>
        <v/>
      </c>
      <c r="O676">
        <f>IF($U676="","",IF(ISNUMBER(INDEX(상세표[종료],$U676)),TEXT(INDEX(상세표[종료],$U676),"yyyy-mm-dd hh:mm"),INDEX(상세표[종료],$U676)&amp;""))</f>
        <v/>
      </c>
      <c r="P676" s="20">
        <f>IF($U676="","",INDEX(상세표[06~07시],$U676))</f>
        <v/>
      </c>
      <c r="Q676" s="20">
        <f>IF($U676="","",INDEX(상세표[07~18시],$U676))</f>
        <v/>
      </c>
      <c r="R676" s="20">
        <f>IF($U676="","",INDEX(상세표[18~22시],$U676))</f>
        <v/>
      </c>
      <c r="S676" s="20">
        <f>IF($U676="","",INDEX(상세표[22~06시],$U676))</f>
        <v/>
      </c>
      <c r="T676" s="20">
        <f>IF($U676="","",INDEX(상세표[기록 시간외],$U676))</f>
        <v/>
      </c>
      <c r="U676" s="4">
        <f>IFERROR(MATCH(671,상세표[발송순번],0),"")</f>
        <v/>
      </c>
    </row>
    <row r="677">
      <c r="J677">
        <f>IF($U677="","",INDEX(상세표[사번],$U677)&amp;"")</f>
        <v/>
      </c>
      <c r="K677">
        <f>IF($U677="","",INDEX(상세표[성명],$U677)&amp;"")</f>
        <v/>
      </c>
      <c r="L677">
        <f>IF($U677="","",INDEX(상세표[직위],$U677)&amp;"")</f>
        <v/>
      </c>
      <c r="M677">
        <f>IF($U677="","",IF(ISNUMBER(INDEX(상세표[근무일자],$U677)),TEXT(INDEX(상세표[근무일자],$U677),"yyyy-mm-dd"),INDEX(상세표[근무일자],$U677)&amp;""))</f>
        <v/>
      </c>
      <c r="N677">
        <f>IF($U677="","",IF(ISNUMBER(INDEX(상세표[시작],$U677)),TEXT(INDEX(상세표[시작],$U677),"yyyy-mm-dd hh:mm"),INDEX(상세표[시작],$U677)&amp;""))</f>
        <v/>
      </c>
      <c r="O677">
        <f>IF($U677="","",IF(ISNUMBER(INDEX(상세표[종료],$U677)),TEXT(INDEX(상세표[종료],$U677),"yyyy-mm-dd hh:mm"),INDEX(상세표[종료],$U677)&amp;""))</f>
        <v/>
      </c>
      <c r="P677" s="20">
        <f>IF($U677="","",INDEX(상세표[06~07시],$U677))</f>
        <v/>
      </c>
      <c r="Q677" s="20">
        <f>IF($U677="","",INDEX(상세표[07~18시],$U677))</f>
        <v/>
      </c>
      <c r="R677" s="20">
        <f>IF($U677="","",INDEX(상세표[18~22시],$U677))</f>
        <v/>
      </c>
      <c r="S677" s="20">
        <f>IF($U677="","",INDEX(상세표[22~06시],$U677))</f>
        <v/>
      </c>
      <c r="T677" s="20">
        <f>IF($U677="","",INDEX(상세표[기록 시간외],$U677))</f>
        <v/>
      </c>
      <c r="U677" s="4">
        <f>IFERROR(MATCH(672,상세표[발송순번],0),"")</f>
        <v/>
      </c>
    </row>
    <row r="678">
      <c r="J678">
        <f>IF($U678="","",INDEX(상세표[사번],$U678)&amp;"")</f>
        <v/>
      </c>
      <c r="K678">
        <f>IF($U678="","",INDEX(상세표[성명],$U678)&amp;"")</f>
        <v/>
      </c>
      <c r="L678">
        <f>IF($U678="","",INDEX(상세표[직위],$U678)&amp;"")</f>
        <v/>
      </c>
      <c r="M678">
        <f>IF($U678="","",IF(ISNUMBER(INDEX(상세표[근무일자],$U678)),TEXT(INDEX(상세표[근무일자],$U678),"yyyy-mm-dd"),INDEX(상세표[근무일자],$U678)&amp;""))</f>
        <v/>
      </c>
      <c r="N678">
        <f>IF($U678="","",IF(ISNUMBER(INDEX(상세표[시작],$U678)),TEXT(INDEX(상세표[시작],$U678),"yyyy-mm-dd hh:mm"),INDEX(상세표[시작],$U678)&amp;""))</f>
        <v/>
      </c>
      <c r="O678">
        <f>IF($U678="","",IF(ISNUMBER(INDEX(상세표[종료],$U678)),TEXT(INDEX(상세표[종료],$U678),"yyyy-mm-dd hh:mm"),INDEX(상세표[종료],$U678)&amp;""))</f>
        <v/>
      </c>
      <c r="P678" s="20">
        <f>IF($U678="","",INDEX(상세표[06~07시],$U678))</f>
        <v/>
      </c>
      <c r="Q678" s="20">
        <f>IF($U678="","",INDEX(상세표[07~18시],$U678))</f>
        <v/>
      </c>
      <c r="R678" s="20">
        <f>IF($U678="","",INDEX(상세표[18~22시],$U678))</f>
        <v/>
      </c>
      <c r="S678" s="20">
        <f>IF($U678="","",INDEX(상세표[22~06시],$U678))</f>
        <v/>
      </c>
      <c r="T678" s="20">
        <f>IF($U678="","",INDEX(상세표[기록 시간외],$U678))</f>
        <v/>
      </c>
      <c r="U678" s="4">
        <f>IFERROR(MATCH(673,상세표[발송순번],0),"")</f>
        <v/>
      </c>
    </row>
    <row r="679">
      <c r="J679">
        <f>IF($U679="","",INDEX(상세표[사번],$U679)&amp;"")</f>
        <v/>
      </c>
      <c r="K679">
        <f>IF($U679="","",INDEX(상세표[성명],$U679)&amp;"")</f>
        <v/>
      </c>
      <c r="L679">
        <f>IF($U679="","",INDEX(상세표[직위],$U679)&amp;"")</f>
        <v/>
      </c>
      <c r="M679">
        <f>IF($U679="","",IF(ISNUMBER(INDEX(상세표[근무일자],$U679)),TEXT(INDEX(상세표[근무일자],$U679),"yyyy-mm-dd"),INDEX(상세표[근무일자],$U679)&amp;""))</f>
        <v/>
      </c>
      <c r="N679">
        <f>IF($U679="","",IF(ISNUMBER(INDEX(상세표[시작],$U679)),TEXT(INDEX(상세표[시작],$U679),"yyyy-mm-dd hh:mm"),INDEX(상세표[시작],$U679)&amp;""))</f>
        <v/>
      </c>
      <c r="O679">
        <f>IF($U679="","",IF(ISNUMBER(INDEX(상세표[종료],$U679)),TEXT(INDEX(상세표[종료],$U679),"yyyy-mm-dd hh:mm"),INDEX(상세표[종료],$U679)&amp;""))</f>
        <v/>
      </c>
      <c r="P679" s="20">
        <f>IF($U679="","",INDEX(상세표[06~07시],$U679))</f>
        <v/>
      </c>
      <c r="Q679" s="20">
        <f>IF($U679="","",INDEX(상세표[07~18시],$U679))</f>
        <v/>
      </c>
      <c r="R679" s="20">
        <f>IF($U679="","",INDEX(상세표[18~22시],$U679))</f>
        <v/>
      </c>
      <c r="S679" s="20">
        <f>IF($U679="","",INDEX(상세표[22~06시],$U679))</f>
        <v/>
      </c>
      <c r="T679" s="20">
        <f>IF($U679="","",INDEX(상세표[기록 시간외],$U679))</f>
        <v/>
      </c>
      <c r="U679" s="4">
        <f>IFERROR(MATCH(674,상세표[발송순번],0),"")</f>
        <v/>
      </c>
    </row>
    <row r="680">
      <c r="J680">
        <f>IF($U680="","",INDEX(상세표[사번],$U680)&amp;"")</f>
        <v/>
      </c>
      <c r="K680">
        <f>IF($U680="","",INDEX(상세표[성명],$U680)&amp;"")</f>
        <v/>
      </c>
      <c r="L680">
        <f>IF($U680="","",INDEX(상세표[직위],$U680)&amp;"")</f>
        <v/>
      </c>
      <c r="M680">
        <f>IF($U680="","",IF(ISNUMBER(INDEX(상세표[근무일자],$U680)),TEXT(INDEX(상세표[근무일자],$U680),"yyyy-mm-dd"),INDEX(상세표[근무일자],$U680)&amp;""))</f>
        <v/>
      </c>
      <c r="N680">
        <f>IF($U680="","",IF(ISNUMBER(INDEX(상세표[시작],$U680)),TEXT(INDEX(상세표[시작],$U680),"yyyy-mm-dd hh:mm"),INDEX(상세표[시작],$U680)&amp;""))</f>
        <v/>
      </c>
      <c r="O680">
        <f>IF($U680="","",IF(ISNUMBER(INDEX(상세표[종료],$U680)),TEXT(INDEX(상세표[종료],$U680),"yyyy-mm-dd hh:mm"),INDEX(상세표[종료],$U680)&amp;""))</f>
        <v/>
      </c>
      <c r="P680" s="20">
        <f>IF($U680="","",INDEX(상세표[06~07시],$U680))</f>
        <v/>
      </c>
      <c r="Q680" s="20">
        <f>IF($U680="","",INDEX(상세표[07~18시],$U680))</f>
        <v/>
      </c>
      <c r="R680" s="20">
        <f>IF($U680="","",INDEX(상세표[18~22시],$U680))</f>
        <v/>
      </c>
      <c r="S680" s="20">
        <f>IF($U680="","",INDEX(상세표[22~06시],$U680))</f>
        <v/>
      </c>
      <c r="T680" s="20">
        <f>IF($U680="","",INDEX(상세표[기록 시간외],$U680))</f>
        <v/>
      </c>
      <c r="U680" s="4">
        <f>IFERROR(MATCH(675,상세표[발송순번],0),"")</f>
        <v/>
      </c>
    </row>
    <row r="681">
      <c r="J681">
        <f>IF($U681="","",INDEX(상세표[사번],$U681)&amp;"")</f>
        <v/>
      </c>
      <c r="K681">
        <f>IF($U681="","",INDEX(상세표[성명],$U681)&amp;"")</f>
        <v/>
      </c>
      <c r="L681">
        <f>IF($U681="","",INDEX(상세표[직위],$U681)&amp;"")</f>
        <v/>
      </c>
      <c r="M681">
        <f>IF($U681="","",IF(ISNUMBER(INDEX(상세표[근무일자],$U681)),TEXT(INDEX(상세표[근무일자],$U681),"yyyy-mm-dd"),INDEX(상세표[근무일자],$U681)&amp;""))</f>
        <v/>
      </c>
      <c r="N681">
        <f>IF($U681="","",IF(ISNUMBER(INDEX(상세표[시작],$U681)),TEXT(INDEX(상세표[시작],$U681),"yyyy-mm-dd hh:mm"),INDEX(상세표[시작],$U681)&amp;""))</f>
        <v/>
      </c>
      <c r="O681">
        <f>IF($U681="","",IF(ISNUMBER(INDEX(상세표[종료],$U681)),TEXT(INDEX(상세표[종료],$U681),"yyyy-mm-dd hh:mm"),INDEX(상세표[종료],$U681)&amp;""))</f>
        <v/>
      </c>
      <c r="P681" s="20">
        <f>IF($U681="","",INDEX(상세표[06~07시],$U681))</f>
        <v/>
      </c>
      <c r="Q681" s="20">
        <f>IF($U681="","",INDEX(상세표[07~18시],$U681))</f>
        <v/>
      </c>
      <c r="R681" s="20">
        <f>IF($U681="","",INDEX(상세표[18~22시],$U681))</f>
        <v/>
      </c>
      <c r="S681" s="20">
        <f>IF($U681="","",INDEX(상세표[22~06시],$U681))</f>
        <v/>
      </c>
      <c r="T681" s="20">
        <f>IF($U681="","",INDEX(상세표[기록 시간외],$U681))</f>
        <v/>
      </c>
      <c r="U681" s="4">
        <f>IFERROR(MATCH(676,상세표[발송순번],0),"")</f>
        <v/>
      </c>
    </row>
    <row r="682">
      <c r="J682">
        <f>IF($U682="","",INDEX(상세표[사번],$U682)&amp;"")</f>
        <v/>
      </c>
      <c r="K682">
        <f>IF($U682="","",INDEX(상세표[성명],$U682)&amp;"")</f>
        <v/>
      </c>
      <c r="L682">
        <f>IF($U682="","",INDEX(상세표[직위],$U682)&amp;"")</f>
        <v/>
      </c>
      <c r="M682">
        <f>IF($U682="","",IF(ISNUMBER(INDEX(상세표[근무일자],$U682)),TEXT(INDEX(상세표[근무일자],$U682),"yyyy-mm-dd"),INDEX(상세표[근무일자],$U682)&amp;""))</f>
        <v/>
      </c>
      <c r="N682">
        <f>IF($U682="","",IF(ISNUMBER(INDEX(상세표[시작],$U682)),TEXT(INDEX(상세표[시작],$U682),"yyyy-mm-dd hh:mm"),INDEX(상세표[시작],$U682)&amp;""))</f>
        <v/>
      </c>
      <c r="O682">
        <f>IF($U682="","",IF(ISNUMBER(INDEX(상세표[종료],$U682)),TEXT(INDEX(상세표[종료],$U682),"yyyy-mm-dd hh:mm"),INDEX(상세표[종료],$U682)&amp;""))</f>
        <v/>
      </c>
      <c r="P682" s="20">
        <f>IF($U682="","",INDEX(상세표[06~07시],$U682))</f>
        <v/>
      </c>
      <c r="Q682" s="20">
        <f>IF($U682="","",INDEX(상세표[07~18시],$U682))</f>
        <v/>
      </c>
      <c r="R682" s="20">
        <f>IF($U682="","",INDEX(상세표[18~22시],$U682))</f>
        <v/>
      </c>
      <c r="S682" s="20">
        <f>IF($U682="","",INDEX(상세표[22~06시],$U682))</f>
        <v/>
      </c>
      <c r="T682" s="20">
        <f>IF($U682="","",INDEX(상세표[기록 시간외],$U682))</f>
        <v/>
      </c>
      <c r="U682" s="4">
        <f>IFERROR(MATCH(677,상세표[발송순번],0),"")</f>
        <v/>
      </c>
    </row>
    <row r="683">
      <c r="J683">
        <f>IF($U683="","",INDEX(상세표[사번],$U683)&amp;"")</f>
        <v/>
      </c>
      <c r="K683">
        <f>IF($U683="","",INDEX(상세표[성명],$U683)&amp;"")</f>
        <v/>
      </c>
      <c r="L683">
        <f>IF($U683="","",INDEX(상세표[직위],$U683)&amp;"")</f>
        <v/>
      </c>
      <c r="M683">
        <f>IF($U683="","",IF(ISNUMBER(INDEX(상세표[근무일자],$U683)),TEXT(INDEX(상세표[근무일자],$U683),"yyyy-mm-dd"),INDEX(상세표[근무일자],$U683)&amp;""))</f>
        <v/>
      </c>
      <c r="N683">
        <f>IF($U683="","",IF(ISNUMBER(INDEX(상세표[시작],$U683)),TEXT(INDEX(상세표[시작],$U683),"yyyy-mm-dd hh:mm"),INDEX(상세표[시작],$U683)&amp;""))</f>
        <v/>
      </c>
      <c r="O683">
        <f>IF($U683="","",IF(ISNUMBER(INDEX(상세표[종료],$U683)),TEXT(INDEX(상세표[종료],$U683),"yyyy-mm-dd hh:mm"),INDEX(상세표[종료],$U683)&amp;""))</f>
        <v/>
      </c>
      <c r="P683" s="20">
        <f>IF($U683="","",INDEX(상세표[06~07시],$U683))</f>
        <v/>
      </c>
      <c r="Q683" s="20">
        <f>IF($U683="","",INDEX(상세표[07~18시],$U683))</f>
        <v/>
      </c>
      <c r="R683" s="20">
        <f>IF($U683="","",INDEX(상세표[18~22시],$U683))</f>
        <v/>
      </c>
      <c r="S683" s="20">
        <f>IF($U683="","",INDEX(상세표[22~06시],$U683))</f>
        <v/>
      </c>
      <c r="T683" s="20">
        <f>IF($U683="","",INDEX(상세표[기록 시간외],$U683))</f>
        <v/>
      </c>
      <c r="U683" s="4">
        <f>IFERROR(MATCH(678,상세표[발송순번],0),"")</f>
        <v/>
      </c>
    </row>
    <row r="684">
      <c r="J684">
        <f>IF($U684="","",INDEX(상세표[사번],$U684)&amp;"")</f>
        <v/>
      </c>
      <c r="K684">
        <f>IF($U684="","",INDEX(상세표[성명],$U684)&amp;"")</f>
        <v/>
      </c>
      <c r="L684">
        <f>IF($U684="","",INDEX(상세표[직위],$U684)&amp;"")</f>
        <v/>
      </c>
      <c r="M684">
        <f>IF($U684="","",IF(ISNUMBER(INDEX(상세표[근무일자],$U684)),TEXT(INDEX(상세표[근무일자],$U684),"yyyy-mm-dd"),INDEX(상세표[근무일자],$U684)&amp;""))</f>
        <v/>
      </c>
      <c r="N684">
        <f>IF($U684="","",IF(ISNUMBER(INDEX(상세표[시작],$U684)),TEXT(INDEX(상세표[시작],$U684),"yyyy-mm-dd hh:mm"),INDEX(상세표[시작],$U684)&amp;""))</f>
        <v/>
      </c>
      <c r="O684">
        <f>IF($U684="","",IF(ISNUMBER(INDEX(상세표[종료],$U684)),TEXT(INDEX(상세표[종료],$U684),"yyyy-mm-dd hh:mm"),INDEX(상세표[종료],$U684)&amp;""))</f>
        <v/>
      </c>
      <c r="P684" s="20">
        <f>IF($U684="","",INDEX(상세표[06~07시],$U684))</f>
        <v/>
      </c>
      <c r="Q684" s="20">
        <f>IF($U684="","",INDEX(상세표[07~18시],$U684))</f>
        <v/>
      </c>
      <c r="R684" s="20">
        <f>IF($U684="","",INDEX(상세표[18~22시],$U684))</f>
        <v/>
      </c>
      <c r="S684" s="20">
        <f>IF($U684="","",INDEX(상세표[22~06시],$U684))</f>
        <v/>
      </c>
      <c r="T684" s="20">
        <f>IF($U684="","",INDEX(상세표[기록 시간외],$U684))</f>
        <v/>
      </c>
      <c r="U684" s="4">
        <f>IFERROR(MATCH(679,상세표[발송순번],0),"")</f>
        <v/>
      </c>
    </row>
    <row r="685">
      <c r="J685">
        <f>IF($U685="","",INDEX(상세표[사번],$U685)&amp;"")</f>
        <v/>
      </c>
      <c r="K685">
        <f>IF($U685="","",INDEX(상세표[성명],$U685)&amp;"")</f>
        <v/>
      </c>
      <c r="L685">
        <f>IF($U685="","",INDEX(상세표[직위],$U685)&amp;"")</f>
        <v/>
      </c>
      <c r="M685">
        <f>IF($U685="","",IF(ISNUMBER(INDEX(상세표[근무일자],$U685)),TEXT(INDEX(상세표[근무일자],$U685),"yyyy-mm-dd"),INDEX(상세표[근무일자],$U685)&amp;""))</f>
        <v/>
      </c>
      <c r="N685">
        <f>IF($U685="","",IF(ISNUMBER(INDEX(상세표[시작],$U685)),TEXT(INDEX(상세표[시작],$U685),"yyyy-mm-dd hh:mm"),INDEX(상세표[시작],$U685)&amp;""))</f>
        <v/>
      </c>
      <c r="O685">
        <f>IF($U685="","",IF(ISNUMBER(INDEX(상세표[종료],$U685)),TEXT(INDEX(상세표[종료],$U685),"yyyy-mm-dd hh:mm"),INDEX(상세표[종료],$U685)&amp;""))</f>
        <v/>
      </c>
      <c r="P685" s="20">
        <f>IF($U685="","",INDEX(상세표[06~07시],$U685))</f>
        <v/>
      </c>
      <c r="Q685" s="20">
        <f>IF($U685="","",INDEX(상세표[07~18시],$U685))</f>
        <v/>
      </c>
      <c r="R685" s="20">
        <f>IF($U685="","",INDEX(상세표[18~22시],$U685))</f>
        <v/>
      </c>
      <c r="S685" s="20">
        <f>IF($U685="","",INDEX(상세표[22~06시],$U685))</f>
        <v/>
      </c>
      <c r="T685" s="20">
        <f>IF($U685="","",INDEX(상세표[기록 시간외],$U685))</f>
        <v/>
      </c>
      <c r="U685" s="4">
        <f>IFERROR(MATCH(680,상세표[발송순번],0),"")</f>
        <v/>
      </c>
    </row>
    <row r="686">
      <c r="J686">
        <f>IF($U686="","",INDEX(상세표[사번],$U686)&amp;"")</f>
        <v/>
      </c>
      <c r="K686">
        <f>IF($U686="","",INDEX(상세표[성명],$U686)&amp;"")</f>
        <v/>
      </c>
      <c r="L686">
        <f>IF($U686="","",INDEX(상세표[직위],$U686)&amp;"")</f>
        <v/>
      </c>
      <c r="M686">
        <f>IF($U686="","",IF(ISNUMBER(INDEX(상세표[근무일자],$U686)),TEXT(INDEX(상세표[근무일자],$U686),"yyyy-mm-dd"),INDEX(상세표[근무일자],$U686)&amp;""))</f>
        <v/>
      </c>
      <c r="N686">
        <f>IF($U686="","",IF(ISNUMBER(INDEX(상세표[시작],$U686)),TEXT(INDEX(상세표[시작],$U686),"yyyy-mm-dd hh:mm"),INDEX(상세표[시작],$U686)&amp;""))</f>
        <v/>
      </c>
      <c r="O686">
        <f>IF($U686="","",IF(ISNUMBER(INDEX(상세표[종료],$U686)),TEXT(INDEX(상세표[종료],$U686),"yyyy-mm-dd hh:mm"),INDEX(상세표[종료],$U686)&amp;""))</f>
        <v/>
      </c>
      <c r="P686" s="20">
        <f>IF($U686="","",INDEX(상세표[06~07시],$U686))</f>
        <v/>
      </c>
      <c r="Q686" s="20">
        <f>IF($U686="","",INDEX(상세표[07~18시],$U686))</f>
        <v/>
      </c>
      <c r="R686" s="20">
        <f>IF($U686="","",INDEX(상세표[18~22시],$U686))</f>
        <v/>
      </c>
      <c r="S686" s="20">
        <f>IF($U686="","",INDEX(상세표[22~06시],$U686))</f>
        <v/>
      </c>
      <c r="T686" s="20">
        <f>IF($U686="","",INDEX(상세표[기록 시간외],$U686))</f>
        <v/>
      </c>
      <c r="U686" s="4">
        <f>IFERROR(MATCH(681,상세표[발송순번],0),"")</f>
        <v/>
      </c>
    </row>
    <row r="687">
      <c r="J687">
        <f>IF($U687="","",INDEX(상세표[사번],$U687)&amp;"")</f>
        <v/>
      </c>
      <c r="K687">
        <f>IF($U687="","",INDEX(상세표[성명],$U687)&amp;"")</f>
        <v/>
      </c>
      <c r="L687">
        <f>IF($U687="","",INDEX(상세표[직위],$U687)&amp;"")</f>
        <v/>
      </c>
      <c r="M687">
        <f>IF($U687="","",IF(ISNUMBER(INDEX(상세표[근무일자],$U687)),TEXT(INDEX(상세표[근무일자],$U687),"yyyy-mm-dd"),INDEX(상세표[근무일자],$U687)&amp;""))</f>
        <v/>
      </c>
      <c r="N687">
        <f>IF($U687="","",IF(ISNUMBER(INDEX(상세표[시작],$U687)),TEXT(INDEX(상세표[시작],$U687),"yyyy-mm-dd hh:mm"),INDEX(상세표[시작],$U687)&amp;""))</f>
        <v/>
      </c>
      <c r="O687">
        <f>IF($U687="","",IF(ISNUMBER(INDEX(상세표[종료],$U687)),TEXT(INDEX(상세표[종료],$U687),"yyyy-mm-dd hh:mm"),INDEX(상세표[종료],$U687)&amp;""))</f>
        <v/>
      </c>
      <c r="P687" s="20">
        <f>IF($U687="","",INDEX(상세표[06~07시],$U687))</f>
        <v/>
      </c>
      <c r="Q687" s="20">
        <f>IF($U687="","",INDEX(상세표[07~18시],$U687))</f>
        <v/>
      </c>
      <c r="R687" s="20">
        <f>IF($U687="","",INDEX(상세표[18~22시],$U687))</f>
        <v/>
      </c>
      <c r="S687" s="20">
        <f>IF($U687="","",INDEX(상세표[22~06시],$U687))</f>
        <v/>
      </c>
      <c r="T687" s="20">
        <f>IF($U687="","",INDEX(상세표[기록 시간외],$U687))</f>
        <v/>
      </c>
      <c r="U687" s="4">
        <f>IFERROR(MATCH(682,상세표[발송순번],0),"")</f>
        <v/>
      </c>
    </row>
    <row r="688">
      <c r="J688">
        <f>IF($U688="","",INDEX(상세표[사번],$U688)&amp;"")</f>
        <v/>
      </c>
      <c r="K688">
        <f>IF($U688="","",INDEX(상세표[성명],$U688)&amp;"")</f>
        <v/>
      </c>
      <c r="L688">
        <f>IF($U688="","",INDEX(상세표[직위],$U688)&amp;"")</f>
        <v/>
      </c>
      <c r="M688">
        <f>IF($U688="","",IF(ISNUMBER(INDEX(상세표[근무일자],$U688)),TEXT(INDEX(상세표[근무일자],$U688),"yyyy-mm-dd"),INDEX(상세표[근무일자],$U688)&amp;""))</f>
        <v/>
      </c>
      <c r="N688">
        <f>IF($U688="","",IF(ISNUMBER(INDEX(상세표[시작],$U688)),TEXT(INDEX(상세표[시작],$U688),"yyyy-mm-dd hh:mm"),INDEX(상세표[시작],$U688)&amp;""))</f>
        <v/>
      </c>
      <c r="O688">
        <f>IF($U688="","",IF(ISNUMBER(INDEX(상세표[종료],$U688)),TEXT(INDEX(상세표[종료],$U688),"yyyy-mm-dd hh:mm"),INDEX(상세표[종료],$U688)&amp;""))</f>
        <v/>
      </c>
      <c r="P688" s="20">
        <f>IF($U688="","",INDEX(상세표[06~07시],$U688))</f>
        <v/>
      </c>
      <c r="Q688" s="20">
        <f>IF($U688="","",INDEX(상세표[07~18시],$U688))</f>
        <v/>
      </c>
      <c r="R688" s="20">
        <f>IF($U688="","",INDEX(상세표[18~22시],$U688))</f>
        <v/>
      </c>
      <c r="S688" s="20">
        <f>IF($U688="","",INDEX(상세표[22~06시],$U688))</f>
        <v/>
      </c>
      <c r="T688" s="20">
        <f>IF($U688="","",INDEX(상세표[기록 시간외],$U688))</f>
        <v/>
      </c>
      <c r="U688" s="4">
        <f>IFERROR(MATCH(683,상세표[발송순번],0),"")</f>
        <v/>
      </c>
    </row>
    <row r="689">
      <c r="J689">
        <f>IF($U689="","",INDEX(상세표[사번],$U689)&amp;"")</f>
        <v/>
      </c>
      <c r="K689">
        <f>IF($U689="","",INDEX(상세표[성명],$U689)&amp;"")</f>
        <v/>
      </c>
      <c r="L689">
        <f>IF($U689="","",INDEX(상세표[직위],$U689)&amp;"")</f>
        <v/>
      </c>
      <c r="M689">
        <f>IF($U689="","",IF(ISNUMBER(INDEX(상세표[근무일자],$U689)),TEXT(INDEX(상세표[근무일자],$U689),"yyyy-mm-dd"),INDEX(상세표[근무일자],$U689)&amp;""))</f>
        <v/>
      </c>
      <c r="N689">
        <f>IF($U689="","",IF(ISNUMBER(INDEX(상세표[시작],$U689)),TEXT(INDEX(상세표[시작],$U689),"yyyy-mm-dd hh:mm"),INDEX(상세표[시작],$U689)&amp;""))</f>
        <v/>
      </c>
      <c r="O689">
        <f>IF($U689="","",IF(ISNUMBER(INDEX(상세표[종료],$U689)),TEXT(INDEX(상세표[종료],$U689),"yyyy-mm-dd hh:mm"),INDEX(상세표[종료],$U689)&amp;""))</f>
        <v/>
      </c>
      <c r="P689" s="20">
        <f>IF($U689="","",INDEX(상세표[06~07시],$U689))</f>
        <v/>
      </c>
      <c r="Q689" s="20">
        <f>IF($U689="","",INDEX(상세표[07~18시],$U689))</f>
        <v/>
      </c>
      <c r="R689" s="20">
        <f>IF($U689="","",INDEX(상세표[18~22시],$U689))</f>
        <v/>
      </c>
      <c r="S689" s="20">
        <f>IF($U689="","",INDEX(상세표[22~06시],$U689))</f>
        <v/>
      </c>
      <c r="T689" s="20">
        <f>IF($U689="","",INDEX(상세표[기록 시간외],$U689))</f>
        <v/>
      </c>
      <c r="U689" s="4">
        <f>IFERROR(MATCH(684,상세표[발송순번],0),"")</f>
        <v/>
      </c>
    </row>
    <row r="690">
      <c r="J690">
        <f>IF($U690="","",INDEX(상세표[사번],$U690)&amp;"")</f>
        <v/>
      </c>
      <c r="K690">
        <f>IF($U690="","",INDEX(상세표[성명],$U690)&amp;"")</f>
        <v/>
      </c>
      <c r="L690">
        <f>IF($U690="","",INDEX(상세표[직위],$U690)&amp;"")</f>
        <v/>
      </c>
      <c r="M690">
        <f>IF($U690="","",IF(ISNUMBER(INDEX(상세표[근무일자],$U690)),TEXT(INDEX(상세표[근무일자],$U690),"yyyy-mm-dd"),INDEX(상세표[근무일자],$U690)&amp;""))</f>
        <v/>
      </c>
      <c r="N690">
        <f>IF($U690="","",IF(ISNUMBER(INDEX(상세표[시작],$U690)),TEXT(INDEX(상세표[시작],$U690),"yyyy-mm-dd hh:mm"),INDEX(상세표[시작],$U690)&amp;""))</f>
        <v/>
      </c>
      <c r="O690">
        <f>IF($U690="","",IF(ISNUMBER(INDEX(상세표[종료],$U690)),TEXT(INDEX(상세표[종료],$U690),"yyyy-mm-dd hh:mm"),INDEX(상세표[종료],$U690)&amp;""))</f>
        <v/>
      </c>
      <c r="P690" s="20">
        <f>IF($U690="","",INDEX(상세표[06~07시],$U690))</f>
        <v/>
      </c>
      <c r="Q690" s="20">
        <f>IF($U690="","",INDEX(상세표[07~18시],$U690))</f>
        <v/>
      </c>
      <c r="R690" s="20">
        <f>IF($U690="","",INDEX(상세표[18~22시],$U690))</f>
        <v/>
      </c>
      <c r="S690" s="20">
        <f>IF($U690="","",INDEX(상세표[22~06시],$U690))</f>
        <v/>
      </c>
      <c r="T690" s="20">
        <f>IF($U690="","",INDEX(상세표[기록 시간외],$U690))</f>
        <v/>
      </c>
      <c r="U690" s="4">
        <f>IFERROR(MATCH(685,상세표[발송순번],0),"")</f>
        <v/>
      </c>
    </row>
    <row r="691">
      <c r="J691">
        <f>IF($U691="","",INDEX(상세표[사번],$U691)&amp;"")</f>
        <v/>
      </c>
      <c r="K691">
        <f>IF($U691="","",INDEX(상세표[성명],$U691)&amp;"")</f>
        <v/>
      </c>
      <c r="L691">
        <f>IF($U691="","",INDEX(상세표[직위],$U691)&amp;"")</f>
        <v/>
      </c>
      <c r="M691">
        <f>IF($U691="","",IF(ISNUMBER(INDEX(상세표[근무일자],$U691)),TEXT(INDEX(상세표[근무일자],$U691),"yyyy-mm-dd"),INDEX(상세표[근무일자],$U691)&amp;""))</f>
        <v/>
      </c>
      <c r="N691">
        <f>IF($U691="","",IF(ISNUMBER(INDEX(상세표[시작],$U691)),TEXT(INDEX(상세표[시작],$U691),"yyyy-mm-dd hh:mm"),INDEX(상세표[시작],$U691)&amp;""))</f>
        <v/>
      </c>
      <c r="O691">
        <f>IF($U691="","",IF(ISNUMBER(INDEX(상세표[종료],$U691)),TEXT(INDEX(상세표[종료],$U691),"yyyy-mm-dd hh:mm"),INDEX(상세표[종료],$U691)&amp;""))</f>
        <v/>
      </c>
      <c r="P691" s="20">
        <f>IF($U691="","",INDEX(상세표[06~07시],$U691))</f>
        <v/>
      </c>
      <c r="Q691" s="20">
        <f>IF($U691="","",INDEX(상세표[07~18시],$U691))</f>
        <v/>
      </c>
      <c r="R691" s="20">
        <f>IF($U691="","",INDEX(상세표[18~22시],$U691))</f>
        <v/>
      </c>
      <c r="S691" s="20">
        <f>IF($U691="","",INDEX(상세표[22~06시],$U691))</f>
        <v/>
      </c>
      <c r="T691" s="20">
        <f>IF($U691="","",INDEX(상세표[기록 시간외],$U691))</f>
        <v/>
      </c>
      <c r="U691" s="4">
        <f>IFERROR(MATCH(686,상세표[발송순번],0),"")</f>
        <v/>
      </c>
    </row>
    <row r="692">
      <c r="J692">
        <f>IF($U692="","",INDEX(상세표[사번],$U692)&amp;"")</f>
        <v/>
      </c>
      <c r="K692">
        <f>IF($U692="","",INDEX(상세표[성명],$U692)&amp;"")</f>
        <v/>
      </c>
      <c r="L692">
        <f>IF($U692="","",INDEX(상세표[직위],$U692)&amp;"")</f>
        <v/>
      </c>
      <c r="M692">
        <f>IF($U692="","",IF(ISNUMBER(INDEX(상세표[근무일자],$U692)),TEXT(INDEX(상세표[근무일자],$U692),"yyyy-mm-dd"),INDEX(상세표[근무일자],$U692)&amp;""))</f>
        <v/>
      </c>
      <c r="N692">
        <f>IF($U692="","",IF(ISNUMBER(INDEX(상세표[시작],$U692)),TEXT(INDEX(상세표[시작],$U692),"yyyy-mm-dd hh:mm"),INDEX(상세표[시작],$U692)&amp;""))</f>
        <v/>
      </c>
      <c r="O692">
        <f>IF($U692="","",IF(ISNUMBER(INDEX(상세표[종료],$U692)),TEXT(INDEX(상세표[종료],$U692),"yyyy-mm-dd hh:mm"),INDEX(상세표[종료],$U692)&amp;""))</f>
        <v/>
      </c>
      <c r="P692" s="20">
        <f>IF($U692="","",INDEX(상세표[06~07시],$U692))</f>
        <v/>
      </c>
      <c r="Q692" s="20">
        <f>IF($U692="","",INDEX(상세표[07~18시],$U692))</f>
        <v/>
      </c>
      <c r="R692" s="20">
        <f>IF($U692="","",INDEX(상세표[18~22시],$U692))</f>
        <v/>
      </c>
      <c r="S692" s="20">
        <f>IF($U692="","",INDEX(상세표[22~06시],$U692))</f>
        <v/>
      </c>
      <c r="T692" s="20">
        <f>IF($U692="","",INDEX(상세표[기록 시간외],$U692))</f>
        <v/>
      </c>
      <c r="U692" s="4">
        <f>IFERROR(MATCH(687,상세표[발송순번],0),"")</f>
        <v/>
      </c>
    </row>
    <row r="693">
      <c r="J693">
        <f>IF($U693="","",INDEX(상세표[사번],$U693)&amp;"")</f>
        <v/>
      </c>
      <c r="K693">
        <f>IF($U693="","",INDEX(상세표[성명],$U693)&amp;"")</f>
        <v/>
      </c>
      <c r="L693">
        <f>IF($U693="","",INDEX(상세표[직위],$U693)&amp;"")</f>
        <v/>
      </c>
      <c r="M693">
        <f>IF($U693="","",IF(ISNUMBER(INDEX(상세표[근무일자],$U693)),TEXT(INDEX(상세표[근무일자],$U693),"yyyy-mm-dd"),INDEX(상세표[근무일자],$U693)&amp;""))</f>
        <v/>
      </c>
      <c r="N693">
        <f>IF($U693="","",IF(ISNUMBER(INDEX(상세표[시작],$U693)),TEXT(INDEX(상세표[시작],$U693),"yyyy-mm-dd hh:mm"),INDEX(상세표[시작],$U693)&amp;""))</f>
        <v/>
      </c>
      <c r="O693">
        <f>IF($U693="","",IF(ISNUMBER(INDEX(상세표[종료],$U693)),TEXT(INDEX(상세표[종료],$U693),"yyyy-mm-dd hh:mm"),INDEX(상세표[종료],$U693)&amp;""))</f>
        <v/>
      </c>
      <c r="P693" s="20">
        <f>IF($U693="","",INDEX(상세표[06~07시],$U693))</f>
        <v/>
      </c>
      <c r="Q693" s="20">
        <f>IF($U693="","",INDEX(상세표[07~18시],$U693))</f>
        <v/>
      </c>
      <c r="R693" s="20">
        <f>IF($U693="","",INDEX(상세표[18~22시],$U693))</f>
        <v/>
      </c>
      <c r="S693" s="20">
        <f>IF($U693="","",INDEX(상세표[22~06시],$U693))</f>
        <v/>
      </c>
      <c r="T693" s="20">
        <f>IF($U693="","",INDEX(상세표[기록 시간외],$U693))</f>
        <v/>
      </c>
      <c r="U693" s="4">
        <f>IFERROR(MATCH(688,상세표[발송순번],0),"")</f>
        <v/>
      </c>
    </row>
    <row r="694">
      <c r="J694">
        <f>IF($U694="","",INDEX(상세표[사번],$U694)&amp;"")</f>
        <v/>
      </c>
      <c r="K694">
        <f>IF($U694="","",INDEX(상세표[성명],$U694)&amp;"")</f>
        <v/>
      </c>
      <c r="L694">
        <f>IF($U694="","",INDEX(상세표[직위],$U694)&amp;"")</f>
        <v/>
      </c>
      <c r="M694">
        <f>IF($U694="","",IF(ISNUMBER(INDEX(상세표[근무일자],$U694)),TEXT(INDEX(상세표[근무일자],$U694),"yyyy-mm-dd"),INDEX(상세표[근무일자],$U694)&amp;""))</f>
        <v/>
      </c>
      <c r="N694">
        <f>IF($U694="","",IF(ISNUMBER(INDEX(상세표[시작],$U694)),TEXT(INDEX(상세표[시작],$U694),"yyyy-mm-dd hh:mm"),INDEX(상세표[시작],$U694)&amp;""))</f>
        <v/>
      </c>
      <c r="O694">
        <f>IF($U694="","",IF(ISNUMBER(INDEX(상세표[종료],$U694)),TEXT(INDEX(상세표[종료],$U694),"yyyy-mm-dd hh:mm"),INDEX(상세표[종료],$U694)&amp;""))</f>
        <v/>
      </c>
      <c r="P694" s="20">
        <f>IF($U694="","",INDEX(상세표[06~07시],$U694))</f>
        <v/>
      </c>
      <c r="Q694" s="20">
        <f>IF($U694="","",INDEX(상세표[07~18시],$U694))</f>
        <v/>
      </c>
      <c r="R694" s="20">
        <f>IF($U694="","",INDEX(상세표[18~22시],$U694))</f>
        <v/>
      </c>
      <c r="S694" s="20">
        <f>IF($U694="","",INDEX(상세표[22~06시],$U694))</f>
        <v/>
      </c>
      <c r="T694" s="20">
        <f>IF($U694="","",INDEX(상세표[기록 시간외],$U694))</f>
        <v/>
      </c>
      <c r="U694" s="4">
        <f>IFERROR(MATCH(689,상세표[발송순번],0),"")</f>
        <v/>
      </c>
    </row>
    <row r="695">
      <c r="J695">
        <f>IF($U695="","",INDEX(상세표[사번],$U695)&amp;"")</f>
        <v/>
      </c>
      <c r="K695">
        <f>IF($U695="","",INDEX(상세표[성명],$U695)&amp;"")</f>
        <v/>
      </c>
      <c r="L695">
        <f>IF($U695="","",INDEX(상세표[직위],$U695)&amp;"")</f>
        <v/>
      </c>
      <c r="M695">
        <f>IF($U695="","",IF(ISNUMBER(INDEX(상세표[근무일자],$U695)),TEXT(INDEX(상세표[근무일자],$U695),"yyyy-mm-dd"),INDEX(상세표[근무일자],$U695)&amp;""))</f>
        <v/>
      </c>
      <c r="N695">
        <f>IF($U695="","",IF(ISNUMBER(INDEX(상세표[시작],$U695)),TEXT(INDEX(상세표[시작],$U695),"yyyy-mm-dd hh:mm"),INDEX(상세표[시작],$U695)&amp;""))</f>
        <v/>
      </c>
      <c r="O695">
        <f>IF($U695="","",IF(ISNUMBER(INDEX(상세표[종료],$U695)),TEXT(INDEX(상세표[종료],$U695),"yyyy-mm-dd hh:mm"),INDEX(상세표[종료],$U695)&amp;""))</f>
        <v/>
      </c>
      <c r="P695" s="20">
        <f>IF($U695="","",INDEX(상세표[06~07시],$U695))</f>
        <v/>
      </c>
      <c r="Q695" s="20">
        <f>IF($U695="","",INDEX(상세표[07~18시],$U695))</f>
        <v/>
      </c>
      <c r="R695" s="20">
        <f>IF($U695="","",INDEX(상세표[18~22시],$U695))</f>
        <v/>
      </c>
      <c r="S695" s="20">
        <f>IF($U695="","",INDEX(상세표[22~06시],$U695))</f>
        <v/>
      </c>
      <c r="T695" s="20">
        <f>IF($U695="","",INDEX(상세표[기록 시간외],$U695))</f>
        <v/>
      </c>
      <c r="U695" s="4">
        <f>IFERROR(MATCH(690,상세표[발송순번],0),"")</f>
        <v/>
      </c>
    </row>
    <row r="696">
      <c r="J696">
        <f>IF($U696="","",INDEX(상세표[사번],$U696)&amp;"")</f>
        <v/>
      </c>
      <c r="K696">
        <f>IF($U696="","",INDEX(상세표[성명],$U696)&amp;"")</f>
        <v/>
      </c>
      <c r="L696">
        <f>IF($U696="","",INDEX(상세표[직위],$U696)&amp;"")</f>
        <v/>
      </c>
      <c r="M696">
        <f>IF($U696="","",IF(ISNUMBER(INDEX(상세표[근무일자],$U696)),TEXT(INDEX(상세표[근무일자],$U696),"yyyy-mm-dd"),INDEX(상세표[근무일자],$U696)&amp;""))</f>
        <v/>
      </c>
      <c r="N696">
        <f>IF($U696="","",IF(ISNUMBER(INDEX(상세표[시작],$U696)),TEXT(INDEX(상세표[시작],$U696),"yyyy-mm-dd hh:mm"),INDEX(상세표[시작],$U696)&amp;""))</f>
        <v/>
      </c>
      <c r="O696">
        <f>IF($U696="","",IF(ISNUMBER(INDEX(상세표[종료],$U696)),TEXT(INDEX(상세표[종료],$U696),"yyyy-mm-dd hh:mm"),INDEX(상세표[종료],$U696)&amp;""))</f>
        <v/>
      </c>
      <c r="P696" s="20">
        <f>IF($U696="","",INDEX(상세표[06~07시],$U696))</f>
        <v/>
      </c>
      <c r="Q696" s="20">
        <f>IF($U696="","",INDEX(상세표[07~18시],$U696))</f>
        <v/>
      </c>
      <c r="R696" s="20">
        <f>IF($U696="","",INDEX(상세표[18~22시],$U696))</f>
        <v/>
      </c>
      <c r="S696" s="20">
        <f>IF($U696="","",INDEX(상세표[22~06시],$U696))</f>
        <v/>
      </c>
      <c r="T696" s="20">
        <f>IF($U696="","",INDEX(상세표[기록 시간외],$U696))</f>
        <v/>
      </c>
      <c r="U696" s="4">
        <f>IFERROR(MATCH(691,상세표[발송순번],0),"")</f>
        <v/>
      </c>
    </row>
    <row r="697">
      <c r="J697">
        <f>IF($U697="","",INDEX(상세표[사번],$U697)&amp;"")</f>
        <v/>
      </c>
      <c r="K697">
        <f>IF($U697="","",INDEX(상세표[성명],$U697)&amp;"")</f>
        <v/>
      </c>
      <c r="L697">
        <f>IF($U697="","",INDEX(상세표[직위],$U697)&amp;"")</f>
        <v/>
      </c>
      <c r="M697">
        <f>IF($U697="","",IF(ISNUMBER(INDEX(상세표[근무일자],$U697)),TEXT(INDEX(상세표[근무일자],$U697),"yyyy-mm-dd"),INDEX(상세표[근무일자],$U697)&amp;""))</f>
        <v/>
      </c>
      <c r="N697">
        <f>IF($U697="","",IF(ISNUMBER(INDEX(상세표[시작],$U697)),TEXT(INDEX(상세표[시작],$U697),"yyyy-mm-dd hh:mm"),INDEX(상세표[시작],$U697)&amp;""))</f>
        <v/>
      </c>
      <c r="O697">
        <f>IF($U697="","",IF(ISNUMBER(INDEX(상세표[종료],$U697)),TEXT(INDEX(상세표[종료],$U697),"yyyy-mm-dd hh:mm"),INDEX(상세표[종료],$U697)&amp;""))</f>
        <v/>
      </c>
      <c r="P697" s="20">
        <f>IF($U697="","",INDEX(상세표[06~07시],$U697))</f>
        <v/>
      </c>
      <c r="Q697" s="20">
        <f>IF($U697="","",INDEX(상세표[07~18시],$U697))</f>
        <v/>
      </c>
      <c r="R697" s="20">
        <f>IF($U697="","",INDEX(상세표[18~22시],$U697))</f>
        <v/>
      </c>
      <c r="S697" s="20">
        <f>IF($U697="","",INDEX(상세표[22~06시],$U697))</f>
        <v/>
      </c>
      <c r="T697" s="20">
        <f>IF($U697="","",INDEX(상세표[기록 시간외],$U697))</f>
        <v/>
      </c>
      <c r="U697" s="4">
        <f>IFERROR(MATCH(692,상세표[발송순번],0),"")</f>
        <v/>
      </c>
    </row>
    <row r="698">
      <c r="J698">
        <f>IF($U698="","",INDEX(상세표[사번],$U698)&amp;"")</f>
        <v/>
      </c>
      <c r="K698">
        <f>IF($U698="","",INDEX(상세표[성명],$U698)&amp;"")</f>
        <v/>
      </c>
      <c r="L698">
        <f>IF($U698="","",INDEX(상세표[직위],$U698)&amp;"")</f>
        <v/>
      </c>
      <c r="M698">
        <f>IF($U698="","",IF(ISNUMBER(INDEX(상세표[근무일자],$U698)),TEXT(INDEX(상세표[근무일자],$U698),"yyyy-mm-dd"),INDEX(상세표[근무일자],$U698)&amp;""))</f>
        <v/>
      </c>
      <c r="N698">
        <f>IF($U698="","",IF(ISNUMBER(INDEX(상세표[시작],$U698)),TEXT(INDEX(상세표[시작],$U698),"yyyy-mm-dd hh:mm"),INDEX(상세표[시작],$U698)&amp;""))</f>
        <v/>
      </c>
      <c r="O698">
        <f>IF($U698="","",IF(ISNUMBER(INDEX(상세표[종료],$U698)),TEXT(INDEX(상세표[종료],$U698),"yyyy-mm-dd hh:mm"),INDEX(상세표[종료],$U698)&amp;""))</f>
        <v/>
      </c>
      <c r="P698" s="20">
        <f>IF($U698="","",INDEX(상세표[06~07시],$U698))</f>
        <v/>
      </c>
      <c r="Q698" s="20">
        <f>IF($U698="","",INDEX(상세표[07~18시],$U698))</f>
        <v/>
      </c>
      <c r="R698" s="20">
        <f>IF($U698="","",INDEX(상세표[18~22시],$U698))</f>
        <v/>
      </c>
      <c r="S698" s="20">
        <f>IF($U698="","",INDEX(상세표[22~06시],$U698))</f>
        <v/>
      </c>
      <c r="T698" s="20">
        <f>IF($U698="","",INDEX(상세표[기록 시간외],$U698))</f>
        <v/>
      </c>
      <c r="U698" s="4">
        <f>IFERROR(MATCH(693,상세표[발송순번],0),"")</f>
        <v/>
      </c>
    </row>
    <row r="699">
      <c r="J699">
        <f>IF($U699="","",INDEX(상세표[사번],$U699)&amp;"")</f>
        <v/>
      </c>
      <c r="K699">
        <f>IF($U699="","",INDEX(상세표[성명],$U699)&amp;"")</f>
        <v/>
      </c>
      <c r="L699">
        <f>IF($U699="","",INDEX(상세표[직위],$U699)&amp;"")</f>
        <v/>
      </c>
      <c r="M699">
        <f>IF($U699="","",IF(ISNUMBER(INDEX(상세표[근무일자],$U699)),TEXT(INDEX(상세표[근무일자],$U699),"yyyy-mm-dd"),INDEX(상세표[근무일자],$U699)&amp;""))</f>
        <v/>
      </c>
      <c r="N699">
        <f>IF($U699="","",IF(ISNUMBER(INDEX(상세표[시작],$U699)),TEXT(INDEX(상세표[시작],$U699),"yyyy-mm-dd hh:mm"),INDEX(상세표[시작],$U699)&amp;""))</f>
        <v/>
      </c>
      <c r="O699">
        <f>IF($U699="","",IF(ISNUMBER(INDEX(상세표[종료],$U699)),TEXT(INDEX(상세표[종료],$U699),"yyyy-mm-dd hh:mm"),INDEX(상세표[종료],$U699)&amp;""))</f>
        <v/>
      </c>
      <c r="P699" s="20">
        <f>IF($U699="","",INDEX(상세표[06~07시],$U699))</f>
        <v/>
      </c>
      <c r="Q699" s="20">
        <f>IF($U699="","",INDEX(상세표[07~18시],$U699))</f>
        <v/>
      </c>
      <c r="R699" s="20">
        <f>IF($U699="","",INDEX(상세표[18~22시],$U699))</f>
        <v/>
      </c>
      <c r="S699" s="20">
        <f>IF($U699="","",INDEX(상세표[22~06시],$U699))</f>
        <v/>
      </c>
      <c r="T699" s="20">
        <f>IF($U699="","",INDEX(상세표[기록 시간외],$U699))</f>
        <v/>
      </c>
      <c r="U699" s="4">
        <f>IFERROR(MATCH(694,상세표[발송순번],0),"")</f>
        <v/>
      </c>
    </row>
    <row r="700">
      <c r="J700">
        <f>IF($U700="","",INDEX(상세표[사번],$U700)&amp;"")</f>
        <v/>
      </c>
      <c r="K700">
        <f>IF($U700="","",INDEX(상세표[성명],$U700)&amp;"")</f>
        <v/>
      </c>
      <c r="L700">
        <f>IF($U700="","",INDEX(상세표[직위],$U700)&amp;"")</f>
        <v/>
      </c>
      <c r="M700">
        <f>IF($U700="","",IF(ISNUMBER(INDEX(상세표[근무일자],$U700)),TEXT(INDEX(상세표[근무일자],$U700),"yyyy-mm-dd"),INDEX(상세표[근무일자],$U700)&amp;""))</f>
        <v/>
      </c>
      <c r="N700">
        <f>IF($U700="","",IF(ISNUMBER(INDEX(상세표[시작],$U700)),TEXT(INDEX(상세표[시작],$U700),"yyyy-mm-dd hh:mm"),INDEX(상세표[시작],$U700)&amp;""))</f>
        <v/>
      </c>
      <c r="O700">
        <f>IF($U700="","",IF(ISNUMBER(INDEX(상세표[종료],$U700)),TEXT(INDEX(상세표[종료],$U700),"yyyy-mm-dd hh:mm"),INDEX(상세표[종료],$U700)&amp;""))</f>
        <v/>
      </c>
      <c r="P700" s="20">
        <f>IF($U700="","",INDEX(상세표[06~07시],$U700))</f>
        <v/>
      </c>
      <c r="Q700" s="20">
        <f>IF($U700="","",INDEX(상세표[07~18시],$U700))</f>
        <v/>
      </c>
      <c r="R700" s="20">
        <f>IF($U700="","",INDEX(상세표[18~22시],$U700))</f>
        <v/>
      </c>
      <c r="S700" s="20">
        <f>IF($U700="","",INDEX(상세표[22~06시],$U700))</f>
        <v/>
      </c>
      <c r="T700" s="20">
        <f>IF($U700="","",INDEX(상세표[기록 시간외],$U700))</f>
        <v/>
      </c>
      <c r="U700" s="4">
        <f>IFERROR(MATCH(695,상세표[발송순번],0),"")</f>
        <v/>
      </c>
    </row>
    <row r="701">
      <c r="J701">
        <f>IF($U701="","",INDEX(상세표[사번],$U701)&amp;"")</f>
        <v/>
      </c>
      <c r="K701">
        <f>IF($U701="","",INDEX(상세표[성명],$U701)&amp;"")</f>
        <v/>
      </c>
      <c r="L701">
        <f>IF($U701="","",INDEX(상세표[직위],$U701)&amp;"")</f>
        <v/>
      </c>
      <c r="M701">
        <f>IF($U701="","",IF(ISNUMBER(INDEX(상세표[근무일자],$U701)),TEXT(INDEX(상세표[근무일자],$U701),"yyyy-mm-dd"),INDEX(상세표[근무일자],$U701)&amp;""))</f>
        <v/>
      </c>
      <c r="N701">
        <f>IF($U701="","",IF(ISNUMBER(INDEX(상세표[시작],$U701)),TEXT(INDEX(상세표[시작],$U701),"yyyy-mm-dd hh:mm"),INDEX(상세표[시작],$U701)&amp;""))</f>
        <v/>
      </c>
      <c r="O701">
        <f>IF($U701="","",IF(ISNUMBER(INDEX(상세표[종료],$U701)),TEXT(INDEX(상세표[종료],$U701),"yyyy-mm-dd hh:mm"),INDEX(상세표[종료],$U701)&amp;""))</f>
        <v/>
      </c>
      <c r="P701" s="20">
        <f>IF($U701="","",INDEX(상세표[06~07시],$U701))</f>
        <v/>
      </c>
      <c r="Q701" s="20">
        <f>IF($U701="","",INDEX(상세표[07~18시],$U701))</f>
        <v/>
      </c>
      <c r="R701" s="20">
        <f>IF($U701="","",INDEX(상세표[18~22시],$U701))</f>
        <v/>
      </c>
      <c r="S701" s="20">
        <f>IF($U701="","",INDEX(상세표[22~06시],$U701))</f>
        <v/>
      </c>
      <c r="T701" s="20">
        <f>IF($U701="","",INDEX(상세표[기록 시간외],$U701))</f>
        <v/>
      </c>
      <c r="U701" s="4">
        <f>IFERROR(MATCH(696,상세표[발송순번],0),"")</f>
        <v/>
      </c>
    </row>
    <row r="702">
      <c r="J702">
        <f>IF($U702="","",INDEX(상세표[사번],$U702)&amp;"")</f>
        <v/>
      </c>
      <c r="K702">
        <f>IF($U702="","",INDEX(상세표[성명],$U702)&amp;"")</f>
        <v/>
      </c>
      <c r="L702">
        <f>IF($U702="","",INDEX(상세표[직위],$U702)&amp;"")</f>
        <v/>
      </c>
      <c r="M702">
        <f>IF($U702="","",IF(ISNUMBER(INDEX(상세표[근무일자],$U702)),TEXT(INDEX(상세표[근무일자],$U702),"yyyy-mm-dd"),INDEX(상세표[근무일자],$U702)&amp;""))</f>
        <v/>
      </c>
      <c r="N702">
        <f>IF($U702="","",IF(ISNUMBER(INDEX(상세표[시작],$U702)),TEXT(INDEX(상세표[시작],$U702),"yyyy-mm-dd hh:mm"),INDEX(상세표[시작],$U702)&amp;""))</f>
        <v/>
      </c>
      <c r="O702">
        <f>IF($U702="","",IF(ISNUMBER(INDEX(상세표[종료],$U702)),TEXT(INDEX(상세표[종료],$U702),"yyyy-mm-dd hh:mm"),INDEX(상세표[종료],$U702)&amp;""))</f>
        <v/>
      </c>
      <c r="P702" s="20">
        <f>IF($U702="","",INDEX(상세표[06~07시],$U702))</f>
        <v/>
      </c>
      <c r="Q702" s="20">
        <f>IF($U702="","",INDEX(상세표[07~18시],$U702))</f>
        <v/>
      </c>
      <c r="R702" s="20">
        <f>IF($U702="","",INDEX(상세표[18~22시],$U702))</f>
        <v/>
      </c>
      <c r="S702" s="20">
        <f>IF($U702="","",INDEX(상세표[22~06시],$U702))</f>
        <v/>
      </c>
      <c r="T702" s="20">
        <f>IF($U702="","",INDEX(상세표[기록 시간외],$U702))</f>
        <v/>
      </c>
      <c r="U702" s="4">
        <f>IFERROR(MATCH(697,상세표[발송순번],0),"")</f>
        <v/>
      </c>
    </row>
    <row r="703">
      <c r="J703">
        <f>IF($U703="","",INDEX(상세표[사번],$U703)&amp;"")</f>
        <v/>
      </c>
      <c r="K703">
        <f>IF($U703="","",INDEX(상세표[성명],$U703)&amp;"")</f>
        <v/>
      </c>
      <c r="L703">
        <f>IF($U703="","",INDEX(상세표[직위],$U703)&amp;"")</f>
        <v/>
      </c>
      <c r="M703">
        <f>IF($U703="","",IF(ISNUMBER(INDEX(상세표[근무일자],$U703)),TEXT(INDEX(상세표[근무일자],$U703),"yyyy-mm-dd"),INDEX(상세표[근무일자],$U703)&amp;""))</f>
        <v/>
      </c>
      <c r="N703">
        <f>IF($U703="","",IF(ISNUMBER(INDEX(상세표[시작],$U703)),TEXT(INDEX(상세표[시작],$U703),"yyyy-mm-dd hh:mm"),INDEX(상세표[시작],$U703)&amp;""))</f>
        <v/>
      </c>
      <c r="O703">
        <f>IF($U703="","",IF(ISNUMBER(INDEX(상세표[종료],$U703)),TEXT(INDEX(상세표[종료],$U703),"yyyy-mm-dd hh:mm"),INDEX(상세표[종료],$U703)&amp;""))</f>
        <v/>
      </c>
      <c r="P703" s="20">
        <f>IF($U703="","",INDEX(상세표[06~07시],$U703))</f>
        <v/>
      </c>
      <c r="Q703" s="20">
        <f>IF($U703="","",INDEX(상세표[07~18시],$U703))</f>
        <v/>
      </c>
      <c r="R703" s="20">
        <f>IF($U703="","",INDEX(상세표[18~22시],$U703))</f>
        <v/>
      </c>
      <c r="S703" s="20">
        <f>IF($U703="","",INDEX(상세표[22~06시],$U703))</f>
        <v/>
      </c>
      <c r="T703" s="20">
        <f>IF($U703="","",INDEX(상세표[기록 시간외],$U703))</f>
        <v/>
      </c>
      <c r="U703" s="4">
        <f>IFERROR(MATCH(698,상세표[발송순번],0),"")</f>
        <v/>
      </c>
    </row>
    <row r="704">
      <c r="J704">
        <f>IF($U704="","",INDEX(상세표[사번],$U704)&amp;"")</f>
        <v/>
      </c>
      <c r="K704">
        <f>IF($U704="","",INDEX(상세표[성명],$U704)&amp;"")</f>
        <v/>
      </c>
      <c r="L704">
        <f>IF($U704="","",INDEX(상세표[직위],$U704)&amp;"")</f>
        <v/>
      </c>
      <c r="M704">
        <f>IF($U704="","",IF(ISNUMBER(INDEX(상세표[근무일자],$U704)),TEXT(INDEX(상세표[근무일자],$U704),"yyyy-mm-dd"),INDEX(상세표[근무일자],$U704)&amp;""))</f>
        <v/>
      </c>
      <c r="N704">
        <f>IF($U704="","",IF(ISNUMBER(INDEX(상세표[시작],$U704)),TEXT(INDEX(상세표[시작],$U704),"yyyy-mm-dd hh:mm"),INDEX(상세표[시작],$U704)&amp;""))</f>
        <v/>
      </c>
      <c r="O704">
        <f>IF($U704="","",IF(ISNUMBER(INDEX(상세표[종료],$U704)),TEXT(INDEX(상세표[종료],$U704),"yyyy-mm-dd hh:mm"),INDEX(상세표[종료],$U704)&amp;""))</f>
        <v/>
      </c>
      <c r="P704" s="20">
        <f>IF($U704="","",INDEX(상세표[06~07시],$U704))</f>
        <v/>
      </c>
      <c r="Q704" s="20">
        <f>IF($U704="","",INDEX(상세표[07~18시],$U704))</f>
        <v/>
      </c>
      <c r="R704" s="20">
        <f>IF($U704="","",INDEX(상세표[18~22시],$U704))</f>
        <v/>
      </c>
      <c r="S704" s="20">
        <f>IF($U704="","",INDEX(상세표[22~06시],$U704))</f>
        <v/>
      </c>
      <c r="T704" s="20">
        <f>IF($U704="","",INDEX(상세표[기록 시간외],$U704))</f>
        <v/>
      </c>
      <c r="U704" s="4">
        <f>IFERROR(MATCH(699,상세표[발송순번],0),"")</f>
        <v/>
      </c>
    </row>
    <row r="705">
      <c r="J705">
        <f>IF($U705="","",INDEX(상세표[사번],$U705)&amp;"")</f>
        <v/>
      </c>
      <c r="K705">
        <f>IF($U705="","",INDEX(상세표[성명],$U705)&amp;"")</f>
        <v/>
      </c>
      <c r="L705">
        <f>IF($U705="","",INDEX(상세표[직위],$U705)&amp;"")</f>
        <v/>
      </c>
      <c r="M705">
        <f>IF($U705="","",IF(ISNUMBER(INDEX(상세표[근무일자],$U705)),TEXT(INDEX(상세표[근무일자],$U705),"yyyy-mm-dd"),INDEX(상세표[근무일자],$U705)&amp;""))</f>
        <v/>
      </c>
      <c r="N705">
        <f>IF($U705="","",IF(ISNUMBER(INDEX(상세표[시작],$U705)),TEXT(INDEX(상세표[시작],$U705),"yyyy-mm-dd hh:mm"),INDEX(상세표[시작],$U705)&amp;""))</f>
        <v/>
      </c>
      <c r="O705">
        <f>IF($U705="","",IF(ISNUMBER(INDEX(상세표[종료],$U705)),TEXT(INDEX(상세표[종료],$U705),"yyyy-mm-dd hh:mm"),INDEX(상세표[종료],$U705)&amp;""))</f>
        <v/>
      </c>
      <c r="P705" s="20">
        <f>IF($U705="","",INDEX(상세표[06~07시],$U705))</f>
        <v/>
      </c>
      <c r="Q705" s="20">
        <f>IF($U705="","",INDEX(상세표[07~18시],$U705))</f>
        <v/>
      </c>
      <c r="R705" s="20">
        <f>IF($U705="","",INDEX(상세표[18~22시],$U705))</f>
        <v/>
      </c>
      <c r="S705" s="20">
        <f>IF($U705="","",INDEX(상세표[22~06시],$U705))</f>
        <v/>
      </c>
      <c r="T705" s="20">
        <f>IF($U705="","",INDEX(상세표[기록 시간외],$U705))</f>
        <v/>
      </c>
      <c r="U705" s="4">
        <f>IFERROR(MATCH(700,상세표[발송순번],0),"")</f>
        <v/>
      </c>
    </row>
    <row r="706">
      <c r="J706">
        <f>IF($U706="","",INDEX(상세표[사번],$U706)&amp;"")</f>
        <v/>
      </c>
      <c r="K706">
        <f>IF($U706="","",INDEX(상세표[성명],$U706)&amp;"")</f>
        <v/>
      </c>
      <c r="L706">
        <f>IF($U706="","",INDEX(상세표[직위],$U706)&amp;"")</f>
        <v/>
      </c>
      <c r="M706">
        <f>IF($U706="","",IF(ISNUMBER(INDEX(상세표[근무일자],$U706)),TEXT(INDEX(상세표[근무일자],$U706),"yyyy-mm-dd"),INDEX(상세표[근무일자],$U706)&amp;""))</f>
        <v/>
      </c>
      <c r="N706">
        <f>IF($U706="","",IF(ISNUMBER(INDEX(상세표[시작],$U706)),TEXT(INDEX(상세표[시작],$U706),"yyyy-mm-dd hh:mm"),INDEX(상세표[시작],$U706)&amp;""))</f>
        <v/>
      </c>
      <c r="O706">
        <f>IF($U706="","",IF(ISNUMBER(INDEX(상세표[종료],$U706)),TEXT(INDEX(상세표[종료],$U706),"yyyy-mm-dd hh:mm"),INDEX(상세표[종료],$U706)&amp;""))</f>
        <v/>
      </c>
      <c r="P706" s="20">
        <f>IF($U706="","",INDEX(상세표[06~07시],$U706))</f>
        <v/>
      </c>
      <c r="Q706" s="20">
        <f>IF($U706="","",INDEX(상세표[07~18시],$U706))</f>
        <v/>
      </c>
      <c r="R706" s="20">
        <f>IF($U706="","",INDEX(상세표[18~22시],$U706))</f>
        <v/>
      </c>
      <c r="S706" s="20">
        <f>IF($U706="","",INDEX(상세표[22~06시],$U706))</f>
        <v/>
      </c>
      <c r="T706" s="20">
        <f>IF($U706="","",INDEX(상세표[기록 시간외],$U706))</f>
        <v/>
      </c>
      <c r="U706" s="4">
        <f>IFERROR(MATCH(701,상세표[발송순번],0),"")</f>
        <v/>
      </c>
    </row>
    <row r="707">
      <c r="J707">
        <f>IF($U707="","",INDEX(상세표[사번],$U707)&amp;"")</f>
        <v/>
      </c>
      <c r="K707">
        <f>IF($U707="","",INDEX(상세표[성명],$U707)&amp;"")</f>
        <v/>
      </c>
      <c r="L707">
        <f>IF($U707="","",INDEX(상세표[직위],$U707)&amp;"")</f>
        <v/>
      </c>
      <c r="M707">
        <f>IF($U707="","",IF(ISNUMBER(INDEX(상세표[근무일자],$U707)),TEXT(INDEX(상세표[근무일자],$U707),"yyyy-mm-dd"),INDEX(상세표[근무일자],$U707)&amp;""))</f>
        <v/>
      </c>
      <c r="N707">
        <f>IF($U707="","",IF(ISNUMBER(INDEX(상세표[시작],$U707)),TEXT(INDEX(상세표[시작],$U707),"yyyy-mm-dd hh:mm"),INDEX(상세표[시작],$U707)&amp;""))</f>
        <v/>
      </c>
      <c r="O707">
        <f>IF($U707="","",IF(ISNUMBER(INDEX(상세표[종료],$U707)),TEXT(INDEX(상세표[종료],$U707),"yyyy-mm-dd hh:mm"),INDEX(상세표[종료],$U707)&amp;""))</f>
        <v/>
      </c>
      <c r="P707" s="20">
        <f>IF($U707="","",INDEX(상세표[06~07시],$U707))</f>
        <v/>
      </c>
      <c r="Q707" s="20">
        <f>IF($U707="","",INDEX(상세표[07~18시],$U707))</f>
        <v/>
      </c>
      <c r="R707" s="20">
        <f>IF($U707="","",INDEX(상세표[18~22시],$U707))</f>
        <v/>
      </c>
      <c r="S707" s="20">
        <f>IF($U707="","",INDEX(상세표[22~06시],$U707))</f>
        <v/>
      </c>
      <c r="T707" s="20">
        <f>IF($U707="","",INDEX(상세표[기록 시간외],$U707))</f>
        <v/>
      </c>
      <c r="U707" s="4">
        <f>IFERROR(MATCH(702,상세표[발송순번],0),"")</f>
        <v/>
      </c>
    </row>
    <row r="708">
      <c r="J708">
        <f>IF($U708="","",INDEX(상세표[사번],$U708)&amp;"")</f>
        <v/>
      </c>
      <c r="K708">
        <f>IF($U708="","",INDEX(상세표[성명],$U708)&amp;"")</f>
        <v/>
      </c>
      <c r="L708">
        <f>IF($U708="","",INDEX(상세표[직위],$U708)&amp;"")</f>
        <v/>
      </c>
      <c r="M708">
        <f>IF($U708="","",IF(ISNUMBER(INDEX(상세표[근무일자],$U708)),TEXT(INDEX(상세표[근무일자],$U708),"yyyy-mm-dd"),INDEX(상세표[근무일자],$U708)&amp;""))</f>
        <v/>
      </c>
      <c r="N708">
        <f>IF($U708="","",IF(ISNUMBER(INDEX(상세표[시작],$U708)),TEXT(INDEX(상세표[시작],$U708),"yyyy-mm-dd hh:mm"),INDEX(상세표[시작],$U708)&amp;""))</f>
        <v/>
      </c>
      <c r="O708">
        <f>IF($U708="","",IF(ISNUMBER(INDEX(상세표[종료],$U708)),TEXT(INDEX(상세표[종료],$U708),"yyyy-mm-dd hh:mm"),INDEX(상세표[종료],$U708)&amp;""))</f>
        <v/>
      </c>
      <c r="P708" s="20">
        <f>IF($U708="","",INDEX(상세표[06~07시],$U708))</f>
        <v/>
      </c>
      <c r="Q708" s="20">
        <f>IF($U708="","",INDEX(상세표[07~18시],$U708))</f>
        <v/>
      </c>
      <c r="R708" s="20">
        <f>IF($U708="","",INDEX(상세표[18~22시],$U708))</f>
        <v/>
      </c>
      <c r="S708" s="20">
        <f>IF($U708="","",INDEX(상세표[22~06시],$U708))</f>
        <v/>
      </c>
      <c r="T708" s="20">
        <f>IF($U708="","",INDEX(상세표[기록 시간외],$U708))</f>
        <v/>
      </c>
      <c r="U708" s="4">
        <f>IFERROR(MATCH(703,상세표[발송순번],0),"")</f>
        <v/>
      </c>
    </row>
    <row r="709">
      <c r="J709">
        <f>IF($U709="","",INDEX(상세표[사번],$U709)&amp;"")</f>
        <v/>
      </c>
      <c r="K709">
        <f>IF($U709="","",INDEX(상세표[성명],$U709)&amp;"")</f>
        <v/>
      </c>
      <c r="L709">
        <f>IF($U709="","",INDEX(상세표[직위],$U709)&amp;"")</f>
        <v/>
      </c>
      <c r="M709">
        <f>IF($U709="","",IF(ISNUMBER(INDEX(상세표[근무일자],$U709)),TEXT(INDEX(상세표[근무일자],$U709),"yyyy-mm-dd"),INDEX(상세표[근무일자],$U709)&amp;""))</f>
        <v/>
      </c>
      <c r="N709">
        <f>IF($U709="","",IF(ISNUMBER(INDEX(상세표[시작],$U709)),TEXT(INDEX(상세표[시작],$U709),"yyyy-mm-dd hh:mm"),INDEX(상세표[시작],$U709)&amp;""))</f>
        <v/>
      </c>
      <c r="O709">
        <f>IF($U709="","",IF(ISNUMBER(INDEX(상세표[종료],$U709)),TEXT(INDEX(상세표[종료],$U709),"yyyy-mm-dd hh:mm"),INDEX(상세표[종료],$U709)&amp;""))</f>
        <v/>
      </c>
      <c r="P709" s="20">
        <f>IF($U709="","",INDEX(상세표[06~07시],$U709))</f>
        <v/>
      </c>
      <c r="Q709" s="20">
        <f>IF($U709="","",INDEX(상세표[07~18시],$U709))</f>
        <v/>
      </c>
      <c r="R709" s="20">
        <f>IF($U709="","",INDEX(상세표[18~22시],$U709))</f>
        <v/>
      </c>
      <c r="S709" s="20">
        <f>IF($U709="","",INDEX(상세표[22~06시],$U709))</f>
        <v/>
      </c>
      <c r="T709" s="20">
        <f>IF($U709="","",INDEX(상세표[기록 시간외],$U709))</f>
        <v/>
      </c>
      <c r="U709" s="4">
        <f>IFERROR(MATCH(704,상세표[발송순번],0),"")</f>
        <v/>
      </c>
    </row>
    <row r="710">
      <c r="J710">
        <f>IF($U710="","",INDEX(상세표[사번],$U710)&amp;"")</f>
        <v/>
      </c>
      <c r="K710">
        <f>IF($U710="","",INDEX(상세표[성명],$U710)&amp;"")</f>
        <v/>
      </c>
      <c r="L710">
        <f>IF($U710="","",INDEX(상세표[직위],$U710)&amp;"")</f>
        <v/>
      </c>
      <c r="M710">
        <f>IF($U710="","",IF(ISNUMBER(INDEX(상세표[근무일자],$U710)),TEXT(INDEX(상세표[근무일자],$U710),"yyyy-mm-dd"),INDEX(상세표[근무일자],$U710)&amp;""))</f>
        <v/>
      </c>
      <c r="N710">
        <f>IF($U710="","",IF(ISNUMBER(INDEX(상세표[시작],$U710)),TEXT(INDEX(상세표[시작],$U710),"yyyy-mm-dd hh:mm"),INDEX(상세표[시작],$U710)&amp;""))</f>
        <v/>
      </c>
      <c r="O710">
        <f>IF($U710="","",IF(ISNUMBER(INDEX(상세표[종료],$U710)),TEXT(INDEX(상세표[종료],$U710),"yyyy-mm-dd hh:mm"),INDEX(상세표[종료],$U710)&amp;""))</f>
        <v/>
      </c>
      <c r="P710" s="20">
        <f>IF($U710="","",INDEX(상세표[06~07시],$U710))</f>
        <v/>
      </c>
      <c r="Q710" s="20">
        <f>IF($U710="","",INDEX(상세표[07~18시],$U710))</f>
        <v/>
      </c>
      <c r="R710" s="20">
        <f>IF($U710="","",INDEX(상세표[18~22시],$U710))</f>
        <v/>
      </c>
      <c r="S710" s="20">
        <f>IF($U710="","",INDEX(상세표[22~06시],$U710))</f>
        <v/>
      </c>
      <c r="T710" s="20">
        <f>IF($U710="","",INDEX(상세표[기록 시간외],$U710))</f>
        <v/>
      </c>
      <c r="U710" s="4">
        <f>IFERROR(MATCH(705,상세표[발송순번],0),"")</f>
        <v/>
      </c>
    </row>
    <row r="711">
      <c r="J711">
        <f>IF($U711="","",INDEX(상세표[사번],$U711)&amp;"")</f>
        <v/>
      </c>
      <c r="K711">
        <f>IF($U711="","",INDEX(상세표[성명],$U711)&amp;"")</f>
        <v/>
      </c>
      <c r="L711">
        <f>IF($U711="","",INDEX(상세표[직위],$U711)&amp;"")</f>
        <v/>
      </c>
      <c r="M711">
        <f>IF($U711="","",IF(ISNUMBER(INDEX(상세표[근무일자],$U711)),TEXT(INDEX(상세표[근무일자],$U711),"yyyy-mm-dd"),INDEX(상세표[근무일자],$U711)&amp;""))</f>
        <v/>
      </c>
      <c r="N711">
        <f>IF($U711="","",IF(ISNUMBER(INDEX(상세표[시작],$U711)),TEXT(INDEX(상세표[시작],$U711),"yyyy-mm-dd hh:mm"),INDEX(상세표[시작],$U711)&amp;""))</f>
        <v/>
      </c>
      <c r="O711">
        <f>IF($U711="","",IF(ISNUMBER(INDEX(상세표[종료],$U711)),TEXT(INDEX(상세표[종료],$U711),"yyyy-mm-dd hh:mm"),INDEX(상세표[종료],$U711)&amp;""))</f>
        <v/>
      </c>
      <c r="P711" s="20">
        <f>IF($U711="","",INDEX(상세표[06~07시],$U711))</f>
        <v/>
      </c>
      <c r="Q711" s="20">
        <f>IF($U711="","",INDEX(상세표[07~18시],$U711))</f>
        <v/>
      </c>
      <c r="R711" s="20">
        <f>IF($U711="","",INDEX(상세표[18~22시],$U711))</f>
        <v/>
      </c>
      <c r="S711" s="20">
        <f>IF($U711="","",INDEX(상세표[22~06시],$U711))</f>
        <v/>
      </c>
      <c r="T711" s="20">
        <f>IF($U711="","",INDEX(상세표[기록 시간외],$U711))</f>
        <v/>
      </c>
      <c r="U711" s="4">
        <f>IFERROR(MATCH(706,상세표[발송순번],0),"")</f>
        <v/>
      </c>
    </row>
    <row r="712">
      <c r="J712">
        <f>IF($U712="","",INDEX(상세표[사번],$U712)&amp;"")</f>
        <v/>
      </c>
      <c r="K712">
        <f>IF($U712="","",INDEX(상세표[성명],$U712)&amp;"")</f>
        <v/>
      </c>
      <c r="L712">
        <f>IF($U712="","",INDEX(상세표[직위],$U712)&amp;"")</f>
        <v/>
      </c>
      <c r="M712">
        <f>IF($U712="","",IF(ISNUMBER(INDEX(상세표[근무일자],$U712)),TEXT(INDEX(상세표[근무일자],$U712),"yyyy-mm-dd"),INDEX(상세표[근무일자],$U712)&amp;""))</f>
        <v/>
      </c>
      <c r="N712">
        <f>IF($U712="","",IF(ISNUMBER(INDEX(상세표[시작],$U712)),TEXT(INDEX(상세표[시작],$U712),"yyyy-mm-dd hh:mm"),INDEX(상세표[시작],$U712)&amp;""))</f>
        <v/>
      </c>
      <c r="O712">
        <f>IF($U712="","",IF(ISNUMBER(INDEX(상세표[종료],$U712)),TEXT(INDEX(상세표[종료],$U712),"yyyy-mm-dd hh:mm"),INDEX(상세표[종료],$U712)&amp;""))</f>
        <v/>
      </c>
      <c r="P712" s="20">
        <f>IF($U712="","",INDEX(상세표[06~07시],$U712))</f>
        <v/>
      </c>
      <c r="Q712" s="20">
        <f>IF($U712="","",INDEX(상세표[07~18시],$U712))</f>
        <v/>
      </c>
      <c r="R712" s="20">
        <f>IF($U712="","",INDEX(상세표[18~22시],$U712))</f>
        <v/>
      </c>
      <c r="S712" s="20">
        <f>IF($U712="","",INDEX(상세표[22~06시],$U712))</f>
        <v/>
      </c>
      <c r="T712" s="20">
        <f>IF($U712="","",INDEX(상세표[기록 시간외],$U712))</f>
        <v/>
      </c>
      <c r="U712" s="4">
        <f>IFERROR(MATCH(707,상세표[발송순번],0),"")</f>
        <v/>
      </c>
    </row>
    <row r="713">
      <c r="J713">
        <f>IF($U713="","",INDEX(상세표[사번],$U713)&amp;"")</f>
        <v/>
      </c>
      <c r="K713">
        <f>IF($U713="","",INDEX(상세표[성명],$U713)&amp;"")</f>
        <v/>
      </c>
      <c r="L713">
        <f>IF($U713="","",INDEX(상세표[직위],$U713)&amp;"")</f>
        <v/>
      </c>
      <c r="M713">
        <f>IF($U713="","",IF(ISNUMBER(INDEX(상세표[근무일자],$U713)),TEXT(INDEX(상세표[근무일자],$U713),"yyyy-mm-dd"),INDEX(상세표[근무일자],$U713)&amp;""))</f>
        <v/>
      </c>
      <c r="N713">
        <f>IF($U713="","",IF(ISNUMBER(INDEX(상세표[시작],$U713)),TEXT(INDEX(상세표[시작],$U713),"yyyy-mm-dd hh:mm"),INDEX(상세표[시작],$U713)&amp;""))</f>
        <v/>
      </c>
      <c r="O713">
        <f>IF($U713="","",IF(ISNUMBER(INDEX(상세표[종료],$U713)),TEXT(INDEX(상세표[종료],$U713),"yyyy-mm-dd hh:mm"),INDEX(상세표[종료],$U713)&amp;""))</f>
        <v/>
      </c>
      <c r="P713" s="20">
        <f>IF($U713="","",INDEX(상세표[06~07시],$U713))</f>
        <v/>
      </c>
      <c r="Q713" s="20">
        <f>IF($U713="","",INDEX(상세표[07~18시],$U713))</f>
        <v/>
      </c>
      <c r="R713" s="20">
        <f>IF($U713="","",INDEX(상세표[18~22시],$U713))</f>
        <v/>
      </c>
      <c r="S713" s="20">
        <f>IF($U713="","",INDEX(상세표[22~06시],$U713))</f>
        <v/>
      </c>
      <c r="T713" s="20">
        <f>IF($U713="","",INDEX(상세표[기록 시간외],$U713))</f>
        <v/>
      </c>
      <c r="U713" s="4">
        <f>IFERROR(MATCH(708,상세표[발송순번],0),"")</f>
        <v/>
      </c>
    </row>
    <row r="714">
      <c r="J714">
        <f>IF($U714="","",INDEX(상세표[사번],$U714)&amp;"")</f>
        <v/>
      </c>
      <c r="K714">
        <f>IF($U714="","",INDEX(상세표[성명],$U714)&amp;"")</f>
        <v/>
      </c>
      <c r="L714">
        <f>IF($U714="","",INDEX(상세표[직위],$U714)&amp;"")</f>
        <v/>
      </c>
      <c r="M714">
        <f>IF($U714="","",IF(ISNUMBER(INDEX(상세표[근무일자],$U714)),TEXT(INDEX(상세표[근무일자],$U714),"yyyy-mm-dd"),INDEX(상세표[근무일자],$U714)&amp;""))</f>
        <v/>
      </c>
      <c r="N714">
        <f>IF($U714="","",IF(ISNUMBER(INDEX(상세표[시작],$U714)),TEXT(INDEX(상세표[시작],$U714),"yyyy-mm-dd hh:mm"),INDEX(상세표[시작],$U714)&amp;""))</f>
        <v/>
      </c>
      <c r="O714">
        <f>IF($U714="","",IF(ISNUMBER(INDEX(상세표[종료],$U714)),TEXT(INDEX(상세표[종료],$U714),"yyyy-mm-dd hh:mm"),INDEX(상세표[종료],$U714)&amp;""))</f>
        <v/>
      </c>
      <c r="P714" s="20">
        <f>IF($U714="","",INDEX(상세표[06~07시],$U714))</f>
        <v/>
      </c>
      <c r="Q714" s="20">
        <f>IF($U714="","",INDEX(상세표[07~18시],$U714))</f>
        <v/>
      </c>
      <c r="R714" s="20">
        <f>IF($U714="","",INDEX(상세표[18~22시],$U714))</f>
        <v/>
      </c>
      <c r="S714" s="20">
        <f>IF($U714="","",INDEX(상세표[22~06시],$U714))</f>
        <v/>
      </c>
      <c r="T714" s="20">
        <f>IF($U714="","",INDEX(상세표[기록 시간외],$U714))</f>
        <v/>
      </c>
      <c r="U714" s="4">
        <f>IFERROR(MATCH(709,상세표[발송순번],0),"")</f>
        <v/>
      </c>
    </row>
    <row r="715">
      <c r="J715">
        <f>IF($U715="","",INDEX(상세표[사번],$U715)&amp;"")</f>
        <v/>
      </c>
      <c r="K715">
        <f>IF($U715="","",INDEX(상세표[성명],$U715)&amp;"")</f>
        <v/>
      </c>
      <c r="L715">
        <f>IF($U715="","",INDEX(상세표[직위],$U715)&amp;"")</f>
        <v/>
      </c>
      <c r="M715">
        <f>IF($U715="","",IF(ISNUMBER(INDEX(상세표[근무일자],$U715)),TEXT(INDEX(상세표[근무일자],$U715),"yyyy-mm-dd"),INDEX(상세표[근무일자],$U715)&amp;""))</f>
        <v/>
      </c>
      <c r="N715">
        <f>IF($U715="","",IF(ISNUMBER(INDEX(상세표[시작],$U715)),TEXT(INDEX(상세표[시작],$U715),"yyyy-mm-dd hh:mm"),INDEX(상세표[시작],$U715)&amp;""))</f>
        <v/>
      </c>
      <c r="O715">
        <f>IF($U715="","",IF(ISNUMBER(INDEX(상세표[종료],$U715)),TEXT(INDEX(상세표[종료],$U715),"yyyy-mm-dd hh:mm"),INDEX(상세표[종료],$U715)&amp;""))</f>
        <v/>
      </c>
      <c r="P715" s="20">
        <f>IF($U715="","",INDEX(상세표[06~07시],$U715))</f>
        <v/>
      </c>
      <c r="Q715" s="20">
        <f>IF($U715="","",INDEX(상세표[07~18시],$U715))</f>
        <v/>
      </c>
      <c r="R715" s="20">
        <f>IF($U715="","",INDEX(상세표[18~22시],$U715))</f>
        <v/>
      </c>
      <c r="S715" s="20">
        <f>IF($U715="","",INDEX(상세표[22~06시],$U715))</f>
        <v/>
      </c>
      <c r="T715" s="20">
        <f>IF($U715="","",INDEX(상세표[기록 시간외],$U715))</f>
        <v/>
      </c>
      <c r="U715" s="4">
        <f>IFERROR(MATCH(710,상세표[발송순번],0),"")</f>
        <v/>
      </c>
    </row>
    <row r="716">
      <c r="J716">
        <f>IF($U716="","",INDEX(상세표[사번],$U716)&amp;"")</f>
        <v/>
      </c>
      <c r="K716">
        <f>IF($U716="","",INDEX(상세표[성명],$U716)&amp;"")</f>
        <v/>
      </c>
      <c r="L716">
        <f>IF($U716="","",INDEX(상세표[직위],$U716)&amp;"")</f>
        <v/>
      </c>
      <c r="M716">
        <f>IF($U716="","",IF(ISNUMBER(INDEX(상세표[근무일자],$U716)),TEXT(INDEX(상세표[근무일자],$U716),"yyyy-mm-dd"),INDEX(상세표[근무일자],$U716)&amp;""))</f>
        <v/>
      </c>
      <c r="N716">
        <f>IF($U716="","",IF(ISNUMBER(INDEX(상세표[시작],$U716)),TEXT(INDEX(상세표[시작],$U716),"yyyy-mm-dd hh:mm"),INDEX(상세표[시작],$U716)&amp;""))</f>
        <v/>
      </c>
      <c r="O716">
        <f>IF($U716="","",IF(ISNUMBER(INDEX(상세표[종료],$U716)),TEXT(INDEX(상세표[종료],$U716),"yyyy-mm-dd hh:mm"),INDEX(상세표[종료],$U716)&amp;""))</f>
        <v/>
      </c>
      <c r="P716" s="20">
        <f>IF($U716="","",INDEX(상세표[06~07시],$U716))</f>
        <v/>
      </c>
      <c r="Q716" s="20">
        <f>IF($U716="","",INDEX(상세표[07~18시],$U716))</f>
        <v/>
      </c>
      <c r="R716" s="20">
        <f>IF($U716="","",INDEX(상세표[18~22시],$U716))</f>
        <v/>
      </c>
      <c r="S716" s="20">
        <f>IF($U716="","",INDEX(상세표[22~06시],$U716))</f>
        <v/>
      </c>
      <c r="T716" s="20">
        <f>IF($U716="","",INDEX(상세표[기록 시간외],$U716))</f>
        <v/>
      </c>
      <c r="U716" s="4">
        <f>IFERROR(MATCH(711,상세표[발송순번],0),"")</f>
        <v/>
      </c>
    </row>
    <row r="717">
      <c r="J717">
        <f>IF($U717="","",INDEX(상세표[사번],$U717)&amp;"")</f>
        <v/>
      </c>
      <c r="K717">
        <f>IF($U717="","",INDEX(상세표[성명],$U717)&amp;"")</f>
        <v/>
      </c>
      <c r="L717">
        <f>IF($U717="","",INDEX(상세표[직위],$U717)&amp;"")</f>
        <v/>
      </c>
      <c r="M717">
        <f>IF($U717="","",IF(ISNUMBER(INDEX(상세표[근무일자],$U717)),TEXT(INDEX(상세표[근무일자],$U717),"yyyy-mm-dd"),INDEX(상세표[근무일자],$U717)&amp;""))</f>
        <v/>
      </c>
      <c r="N717">
        <f>IF($U717="","",IF(ISNUMBER(INDEX(상세표[시작],$U717)),TEXT(INDEX(상세표[시작],$U717),"yyyy-mm-dd hh:mm"),INDEX(상세표[시작],$U717)&amp;""))</f>
        <v/>
      </c>
      <c r="O717">
        <f>IF($U717="","",IF(ISNUMBER(INDEX(상세표[종료],$U717)),TEXT(INDEX(상세표[종료],$U717),"yyyy-mm-dd hh:mm"),INDEX(상세표[종료],$U717)&amp;""))</f>
        <v/>
      </c>
      <c r="P717" s="20">
        <f>IF($U717="","",INDEX(상세표[06~07시],$U717))</f>
        <v/>
      </c>
      <c r="Q717" s="20">
        <f>IF($U717="","",INDEX(상세표[07~18시],$U717))</f>
        <v/>
      </c>
      <c r="R717" s="20">
        <f>IF($U717="","",INDEX(상세표[18~22시],$U717))</f>
        <v/>
      </c>
      <c r="S717" s="20">
        <f>IF($U717="","",INDEX(상세표[22~06시],$U717))</f>
        <v/>
      </c>
      <c r="T717" s="20">
        <f>IF($U717="","",INDEX(상세표[기록 시간외],$U717))</f>
        <v/>
      </c>
      <c r="U717" s="4">
        <f>IFERROR(MATCH(712,상세표[발송순번],0),"")</f>
        <v/>
      </c>
    </row>
    <row r="718">
      <c r="J718">
        <f>IF($U718="","",INDEX(상세표[사번],$U718)&amp;"")</f>
        <v/>
      </c>
      <c r="K718">
        <f>IF($U718="","",INDEX(상세표[성명],$U718)&amp;"")</f>
        <v/>
      </c>
      <c r="L718">
        <f>IF($U718="","",INDEX(상세표[직위],$U718)&amp;"")</f>
        <v/>
      </c>
      <c r="M718">
        <f>IF($U718="","",IF(ISNUMBER(INDEX(상세표[근무일자],$U718)),TEXT(INDEX(상세표[근무일자],$U718),"yyyy-mm-dd"),INDEX(상세표[근무일자],$U718)&amp;""))</f>
        <v/>
      </c>
      <c r="N718">
        <f>IF($U718="","",IF(ISNUMBER(INDEX(상세표[시작],$U718)),TEXT(INDEX(상세표[시작],$U718),"yyyy-mm-dd hh:mm"),INDEX(상세표[시작],$U718)&amp;""))</f>
        <v/>
      </c>
      <c r="O718">
        <f>IF($U718="","",IF(ISNUMBER(INDEX(상세표[종료],$U718)),TEXT(INDEX(상세표[종료],$U718),"yyyy-mm-dd hh:mm"),INDEX(상세표[종료],$U718)&amp;""))</f>
        <v/>
      </c>
      <c r="P718" s="20">
        <f>IF($U718="","",INDEX(상세표[06~07시],$U718))</f>
        <v/>
      </c>
      <c r="Q718" s="20">
        <f>IF($U718="","",INDEX(상세표[07~18시],$U718))</f>
        <v/>
      </c>
      <c r="R718" s="20">
        <f>IF($U718="","",INDEX(상세표[18~22시],$U718))</f>
        <v/>
      </c>
      <c r="S718" s="20">
        <f>IF($U718="","",INDEX(상세표[22~06시],$U718))</f>
        <v/>
      </c>
      <c r="T718" s="20">
        <f>IF($U718="","",INDEX(상세표[기록 시간외],$U718))</f>
        <v/>
      </c>
      <c r="U718" s="4">
        <f>IFERROR(MATCH(713,상세표[발송순번],0),"")</f>
        <v/>
      </c>
    </row>
    <row r="719">
      <c r="J719">
        <f>IF($U719="","",INDEX(상세표[사번],$U719)&amp;"")</f>
        <v/>
      </c>
      <c r="K719">
        <f>IF($U719="","",INDEX(상세표[성명],$U719)&amp;"")</f>
        <v/>
      </c>
      <c r="L719">
        <f>IF($U719="","",INDEX(상세표[직위],$U719)&amp;"")</f>
        <v/>
      </c>
      <c r="M719">
        <f>IF($U719="","",IF(ISNUMBER(INDEX(상세표[근무일자],$U719)),TEXT(INDEX(상세표[근무일자],$U719),"yyyy-mm-dd"),INDEX(상세표[근무일자],$U719)&amp;""))</f>
        <v/>
      </c>
      <c r="N719">
        <f>IF($U719="","",IF(ISNUMBER(INDEX(상세표[시작],$U719)),TEXT(INDEX(상세표[시작],$U719),"yyyy-mm-dd hh:mm"),INDEX(상세표[시작],$U719)&amp;""))</f>
        <v/>
      </c>
      <c r="O719">
        <f>IF($U719="","",IF(ISNUMBER(INDEX(상세표[종료],$U719)),TEXT(INDEX(상세표[종료],$U719),"yyyy-mm-dd hh:mm"),INDEX(상세표[종료],$U719)&amp;""))</f>
        <v/>
      </c>
      <c r="P719" s="20">
        <f>IF($U719="","",INDEX(상세표[06~07시],$U719))</f>
        <v/>
      </c>
      <c r="Q719" s="20">
        <f>IF($U719="","",INDEX(상세표[07~18시],$U719))</f>
        <v/>
      </c>
      <c r="R719" s="20">
        <f>IF($U719="","",INDEX(상세표[18~22시],$U719))</f>
        <v/>
      </c>
      <c r="S719" s="20">
        <f>IF($U719="","",INDEX(상세표[22~06시],$U719))</f>
        <v/>
      </c>
      <c r="T719" s="20">
        <f>IF($U719="","",INDEX(상세표[기록 시간외],$U719))</f>
        <v/>
      </c>
      <c r="U719" s="4">
        <f>IFERROR(MATCH(714,상세표[발송순번],0),"")</f>
        <v/>
      </c>
    </row>
    <row r="720">
      <c r="J720">
        <f>IF($U720="","",INDEX(상세표[사번],$U720)&amp;"")</f>
        <v/>
      </c>
      <c r="K720">
        <f>IF($U720="","",INDEX(상세표[성명],$U720)&amp;"")</f>
        <v/>
      </c>
      <c r="L720">
        <f>IF($U720="","",INDEX(상세표[직위],$U720)&amp;"")</f>
        <v/>
      </c>
      <c r="M720">
        <f>IF($U720="","",IF(ISNUMBER(INDEX(상세표[근무일자],$U720)),TEXT(INDEX(상세표[근무일자],$U720),"yyyy-mm-dd"),INDEX(상세표[근무일자],$U720)&amp;""))</f>
        <v/>
      </c>
      <c r="N720">
        <f>IF($U720="","",IF(ISNUMBER(INDEX(상세표[시작],$U720)),TEXT(INDEX(상세표[시작],$U720),"yyyy-mm-dd hh:mm"),INDEX(상세표[시작],$U720)&amp;""))</f>
        <v/>
      </c>
      <c r="O720">
        <f>IF($U720="","",IF(ISNUMBER(INDEX(상세표[종료],$U720)),TEXT(INDEX(상세표[종료],$U720),"yyyy-mm-dd hh:mm"),INDEX(상세표[종료],$U720)&amp;""))</f>
        <v/>
      </c>
      <c r="P720" s="20">
        <f>IF($U720="","",INDEX(상세표[06~07시],$U720))</f>
        <v/>
      </c>
      <c r="Q720" s="20">
        <f>IF($U720="","",INDEX(상세표[07~18시],$U720))</f>
        <v/>
      </c>
      <c r="R720" s="20">
        <f>IF($U720="","",INDEX(상세표[18~22시],$U720))</f>
        <v/>
      </c>
      <c r="S720" s="20">
        <f>IF($U720="","",INDEX(상세표[22~06시],$U720))</f>
        <v/>
      </c>
      <c r="T720" s="20">
        <f>IF($U720="","",INDEX(상세표[기록 시간외],$U720))</f>
        <v/>
      </c>
      <c r="U720" s="4">
        <f>IFERROR(MATCH(715,상세표[발송순번],0),"")</f>
        <v/>
      </c>
    </row>
    <row r="721">
      <c r="J721">
        <f>IF($U721="","",INDEX(상세표[사번],$U721)&amp;"")</f>
        <v/>
      </c>
      <c r="K721">
        <f>IF($U721="","",INDEX(상세표[성명],$U721)&amp;"")</f>
        <v/>
      </c>
      <c r="L721">
        <f>IF($U721="","",INDEX(상세표[직위],$U721)&amp;"")</f>
        <v/>
      </c>
      <c r="M721">
        <f>IF($U721="","",IF(ISNUMBER(INDEX(상세표[근무일자],$U721)),TEXT(INDEX(상세표[근무일자],$U721),"yyyy-mm-dd"),INDEX(상세표[근무일자],$U721)&amp;""))</f>
        <v/>
      </c>
      <c r="N721">
        <f>IF($U721="","",IF(ISNUMBER(INDEX(상세표[시작],$U721)),TEXT(INDEX(상세표[시작],$U721),"yyyy-mm-dd hh:mm"),INDEX(상세표[시작],$U721)&amp;""))</f>
        <v/>
      </c>
      <c r="O721">
        <f>IF($U721="","",IF(ISNUMBER(INDEX(상세표[종료],$U721)),TEXT(INDEX(상세표[종료],$U721),"yyyy-mm-dd hh:mm"),INDEX(상세표[종료],$U721)&amp;""))</f>
        <v/>
      </c>
      <c r="P721" s="20">
        <f>IF($U721="","",INDEX(상세표[06~07시],$U721))</f>
        <v/>
      </c>
      <c r="Q721" s="20">
        <f>IF($U721="","",INDEX(상세표[07~18시],$U721))</f>
        <v/>
      </c>
      <c r="R721" s="20">
        <f>IF($U721="","",INDEX(상세표[18~22시],$U721))</f>
        <v/>
      </c>
      <c r="S721" s="20">
        <f>IF($U721="","",INDEX(상세표[22~06시],$U721))</f>
        <v/>
      </c>
      <c r="T721" s="20">
        <f>IF($U721="","",INDEX(상세표[기록 시간외],$U721))</f>
        <v/>
      </c>
      <c r="U721" s="4">
        <f>IFERROR(MATCH(716,상세표[발송순번],0),"")</f>
        <v/>
      </c>
    </row>
    <row r="722">
      <c r="J722">
        <f>IF($U722="","",INDEX(상세표[사번],$U722)&amp;"")</f>
        <v/>
      </c>
      <c r="K722">
        <f>IF($U722="","",INDEX(상세표[성명],$U722)&amp;"")</f>
        <v/>
      </c>
      <c r="L722">
        <f>IF($U722="","",INDEX(상세표[직위],$U722)&amp;"")</f>
        <v/>
      </c>
      <c r="M722">
        <f>IF($U722="","",IF(ISNUMBER(INDEX(상세표[근무일자],$U722)),TEXT(INDEX(상세표[근무일자],$U722),"yyyy-mm-dd"),INDEX(상세표[근무일자],$U722)&amp;""))</f>
        <v/>
      </c>
      <c r="N722">
        <f>IF($U722="","",IF(ISNUMBER(INDEX(상세표[시작],$U722)),TEXT(INDEX(상세표[시작],$U722),"yyyy-mm-dd hh:mm"),INDEX(상세표[시작],$U722)&amp;""))</f>
        <v/>
      </c>
      <c r="O722">
        <f>IF($U722="","",IF(ISNUMBER(INDEX(상세표[종료],$U722)),TEXT(INDEX(상세표[종료],$U722),"yyyy-mm-dd hh:mm"),INDEX(상세표[종료],$U722)&amp;""))</f>
        <v/>
      </c>
      <c r="P722" s="20">
        <f>IF($U722="","",INDEX(상세표[06~07시],$U722))</f>
        <v/>
      </c>
      <c r="Q722" s="20">
        <f>IF($U722="","",INDEX(상세표[07~18시],$U722))</f>
        <v/>
      </c>
      <c r="R722" s="20">
        <f>IF($U722="","",INDEX(상세표[18~22시],$U722))</f>
        <v/>
      </c>
      <c r="S722" s="20">
        <f>IF($U722="","",INDEX(상세표[22~06시],$U722))</f>
        <v/>
      </c>
      <c r="T722" s="20">
        <f>IF($U722="","",INDEX(상세표[기록 시간외],$U722))</f>
        <v/>
      </c>
      <c r="U722" s="4">
        <f>IFERROR(MATCH(717,상세표[발송순번],0),"")</f>
        <v/>
      </c>
    </row>
    <row r="723">
      <c r="J723">
        <f>IF($U723="","",INDEX(상세표[사번],$U723)&amp;"")</f>
        <v/>
      </c>
      <c r="K723">
        <f>IF($U723="","",INDEX(상세표[성명],$U723)&amp;"")</f>
        <v/>
      </c>
      <c r="L723">
        <f>IF($U723="","",INDEX(상세표[직위],$U723)&amp;"")</f>
        <v/>
      </c>
      <c r="M723">
        <f>IF($U723="","",IF(ISNUMBER(INDEX(상세표[근무일자],$U723)),TEXT(INDEX(상세표[근무일자],$U723),"yyyy-mm-dd"),INDEX(상세표[근무일자],$U723)&amp;""))</f>
        <v/>
      </c>
      <c r="N723">
        <f>IF($U723="","",IF(ISNUMBER(INDEX(상세표[시작],$U723)),TEXT(INDEX(상세표[시작],$U723),"yyyy-mm-dd hh:mm"),INDEX(상세표[시작],$U723)&amp;""))</f>
        <v/>
      </c>
      <c r="O723">
        <f>IF($U723="","",IF(ISNUMBER(INDEX(상세표[종료],$U723)),TEXT(INDEX(상세표[종료],$U723),"yyyy-mm-dd hh:mm"),INDEX(상세표[종료],$U723)&amp;""))</f>
        <v/>
      </c>
      <c r="P723" s="20">
        <f>IF($U723="","",INDEX(상세표[06~07시],$U723))</f>
        <v/>
      </c>
      <c r="Q723" s="20">
        <f>IF($U723="","",INDEX(상세표[07~18시],$U723))</f>
        <v/>
      </c>
      <c r="R723" s="20">
        <f>IF($U723="","",INDEX(상세표[18~22시],$U723))</f>
        <v/>
      </c>
      <c r="S723" s="20">
        <f>IF($U723="","",INDEX(상세표[22~06시],$U723))</f>
        <v/>
      </c>
      <c r="T723" s="20">
        <f>IF($U723="","",INDEX(상세표[기록 시간외],$U723))</f>
        <v/>
      </c>
      <c r="U723" s="4">
        <f>IFERROR(MATCH(718,상세표[발송순번],0),"")</f>
        <v/>
      </c>
    </row>
    <row r="724">
      <c r="J724">
        <f>IF($U724="","",INDEX(상세표[사번],$U724)&amp;"")</f>
        <v/>
      </c>
      <c r="K724">
        <f>IF($U724="","",INDEX(상세표[성명],$U724)&amp;"")</f>
        <v/>
      </c>
      <c r="L724">
        <f>IF($U724="","",INDEX(상세표[직위],$U724)&amp;"")</f>
        <v/>
      </c>
      <c r="M724">
        <f>IF($U724="","",IF(ISNUMBER(INDEX(상세표[근무일자],$U724)),TEXT(INDEX(상세표[근무일자],$U724),"yyyy-mm-dd"),INDEX(상세표[근무일자],$U724)&amp;""))</f>
        <v/>
      </c>
      <c r="N724">
        <f>IF($U724="","",IF(ISNUMBER(INDEX(상세표[시작],$U724)),TEXT(INDEX(상세표[시작],$U724),"yyyy-mm-dd hh:mm"),INDEX(상세표[시작],$U724)&amp;""))</f>
        <v/>
      </c>
      <c r="O724">
        <f>IF($U724="","",IF(ISNUMBER(INDEX(상세표[종료],$U724)),TEXT(INDEX(상세표[종료],$U724),"yyyy-mm-dd hh:mm"),INDEX(상세표[종료],$U724)&amp;""))</f>
        <v/>
      </c>
      <c r="P724" s="20">
        <f>IF($U724="","",INDEX(상세표[06~07시],$U724))</f>
        <v/>
      </c>
      <c r="Q724" s="20">
        <f>IF($U724="","",INDEX(상세표[07~18시],$U724))</f>
        <v/>
      </c>
      <c r="R724" s="20">
        <f>IF($U724="","",INDEX(상세표[18~22시],$U724))</f>
        <v/>
      </c>
      <c r="S724" s="20">
        <f>IF($U724="","",INDEX(상세표[22~06시],$U724))</f>
        <v/>
      </c>
      <c r="T724" s="20">
        <f>IF($U724="","",INDEX(상세표[기록 시간외],$U724))</f>
        <v/>
      </c>
      <c r="U724" s="4">
        <f>IFERROR(MATCH(719,상세표[발송순번],0),"")</f>
        <v/>
      </c>
    </row>
    <row r="725">
      <c r="J725">
        <f>IF($U725="","",INDEX(상세표[사번],$U725)&amp;"")</f>
        <v/>
      </c>
      <c r="K725">
        <f>IF($U725="","",INDEX(상세표[성명],$U725)&amp;"")</f>
        <v/>
      </c>
      <c r="L725">
        <f>IF($U725="","",INDEX(상세표[직위],$U725)&amp;"")</f>
        <v/>
      </c>
      <c r="M725">
        <f>IF($U725="","",IF(ISNUMBER(INDEX(상세표[근무일자],$U725)),TEXT(INDEX(상세표[근무일자],$U725),"yyyy-mm-dd"),INDEX(상세표[근무일자],$U725)&amp;""))</f>
        <v/>
      </c>
      <c r="N725">
        <f>IF($U725="","",IF(ISNUMBER(INDEX(상세표[시작],$U725)),TEXT(INDEX(상세표[시작],$U725),"yyyy-mm-dd hh:mm"),INDEX(상세표[시작],$U725)&amp;""))</f>
        <v/>
      </c>
      <c r="O725">
        <f>IF($U725="","",IF(ISNUMBER(INDEX(상세표[종료],$U725)),TEXT(INDEX(상세표[종료],$U725),"yyyy-mm-dd hh:mm"),INDEX(상세표[종료],$U725)&amp;""))</f>
        <v/>
      </c>
      <c r="P725" s="20">
        <f>IF($U725="","",INDEX(상세표[06~07시],$U725))</f>
        <v/>
      </c>
      <c r="Q725" s="20">
        <f>IF($U725="","",INDEX(상세표[07~18시],$U725))</f>
        <v/>
      </c>
      <c r="R725" s="20">
        <f>IF($U725="","",INDEX(상세표[18~22시],$U725))</f>
        <v/>
      </c>
      <c r="S725" s="20">
        <f>IF($U725="","",INDEX(상세표[22~06시],$U725))</f>
        <v/>
      </c>
      <c r="T725" s="20">
        <f>IF($U725="","",INDEX(상세표[기록 시간외],$U725))</f>
        <v/>
      </c>
      <c r="U725" s="4">
        <f>IFERROR(MATCH(720,상세표[발송순번],0),"")</f>
        <v/>
      </c>
    </row>
    <row r="726">
      <c r="J726">
        <f>IF($U726="","",INDEX(상세표[사번],$U726)&amp;"")</f>
        <v/>
      </c>
      <c r="K726">
        <f>IF($U726="","",INDEX(상세표[성명],$U726)&amp;"")</f>
        <v/>
      </c>
      <c r="L726">
        <f>IF($U726="","",INDEX(상세표[직위],$U726)&amp;"")</f>
        <v/>
      </c>
      <c r="M726">
        <f>IF($U726="","",IF(ISNUMBER(INDEX(상세표[근무일자],$U726)),TEXT(INDEX(상세표[근무일자],$U726),"yyyy-mm-dd"),INDEX(상세표[근무일자],$U726)&amp;""))</f>
        <v/>
      </c>
      <c r="N726">
        <f>IF($U726="","",IF(ISNUMBER(INDEX(상세표[시작],$U726)),TEXT(INDEX(상세표[시작],$U726),"yyyy-mm-dd hh:mm"),INDEX(상세표[시작],$U726)&amp;""))</f>
        <v/>
      </c>
      <c r="O726">
        <f>IF($U726="","",IF(ISNUMBER(INDEX(상세표[종료],$U726)),TEXT(INDEX(상세표[종료],$U726),"yyyy-mm-dd hh:mm"),INDEX(상세표[종료],$U726)&amp;""))</f>
        <v/>
      </c>
      <c r="P726" s="20">
        <f>IF($U726="","",INDEX(상세표[06~07시],$U726))</f>
        <v/>
      </c>
      <c r="Q726" s="20">
        <f>IF($U726="","",INDEX(상세표[07~18시],$U726))</f>
        <v/>
      </c>
      <c r="R726" s="20">
        <f>IF($U726="","",INDEX(상세표[18~22시],$U726))</f>
        <v/>
      </c>
      <c r="S726" s="20">
        <f>IF($U726="","",INDEX(상세표[22~06시],$U726))</f>
        <v/>
      </c>
      <c r="T726" s="20">
        <f>IF($U726="","",INDEX(상세표[기록 시간외],$U726))</f>
        <v/>
      </c>
      <c r="U726" s="4">
        <f>IFERROR(MATCH(721,상세표[발송순번],0),"")</f>
        <v/>
      </c>
    </row>
    <row r="727">
      <c r="J727">
        <f>IF($U727="","",INDEX(상세표[사번],$U727)&amp;"")</f>
        <v/>
      </c>
      <c r="K727">
        <f>IF($U727="","",INDEX(상세표[성명],$U727)&amp;"")</f>
        <v/>
      </c>
      <c r="L727">
        <f>IF($U727="","",INDEX(상세표[직위],$U727)&amp;"")</f>
        <v/>
      </c>
      <c r="M727">
        <f>IF($U727="","",IF(ISNUMBER(INDEX(상세표[근무일자],$U727)),TEXT(INDEX(상세표[근무일자],$U727),"yyyy-mm-dd"),INDEX(상세표[근무일자],$U727)&amp;""))</f>
        <v/>
      </c>
      <c r="N727">
        <f>IF($U727="","",IF(ISNUMBER(INDEX(상세표[시작],$U727)),TEXT(INDEX(상세표[시작],$U727),"yyyy-mm-dd hh:mm"),INDEX(상세표[시작],$U727)&amp;""))</f>
        <v/>
      </c>
      <c r="O727">
        <f>IF($U727="","",IF(ISNUMBER(INDEX(상세표[종료],$U727)),TEXT(INDEX(상세표[종료],$U727),"yyyy-mm-dd hh:mm"),INDEX(상세표[종료],$U727)&amp;""))</f>
        <v/>
      </c>
      <c r="P727" s="20">
        <f>IF($U727="","",INDEX(상세표[06~07시],$U727))</f>
        <v/>
      </c>
      <c r="Q727" s="20">
        <f>IF($U727="","",INDEX(상세표[07~18시],$U727))</f>
        <v/>
      </c>
      <c r="R727" s="20">
        <f>IF($U727="","",INDEX(상세표[18~22시],$U727))</f>
        <v/>
      </c>
      <c r="S727" s="20">
        <f>IF($U727="","",INDEX(상세표[22~06시],$U727))</f>
        <v/>
      </c>
      <c r="T727" s="20">
        <f>IF($U727="","",INDEX(상세표[기록 시간외],$U727))</f>
        <v/>
      </c>
      <c r="U727" s="4">
        <f>IFERROR(MATCH(722,상세표[발송순번],0),"")</f>
        <v/>
      </c>
    </row>
    <row r="728">
      <c r="J728">
        <f>IF($U728="","",INDEX(상세표[사번],$U728)&amp;"")</f>
        <v/>
      </c>
      <c r="K728">
        <f>IF($U728="","",INDEX(상세표[성명],$U728)&amp;"")</f>
        <v/>
      </c>
      <c r="L728">
        <f>IF($U728="","",INDEX(상세표[직위],$U728)&amp;"")</f>
        <v/>
      </c>
      <c r="M728">
        <f>IF($U728="","",IF(ISNUMBER(INDEX(상세표[근무일자],$U728)),TEXT(INDEX(상세표[근무일자],$U728),"yyyy-mm-dd"),INDEX(상세표[근무일자],$U728)&amp;""))</f>
        <v/>
      </c>
      <c r="N728">
        <f>IF($U728="","",IF(ISNUMBER(INDEX(상세표[시작],$U728)),TEXT(INDEX(상세표[시작],$U728),"yyyy-mm-dd hh:mm"),INDEX(상세표[시작],$U728)&amp;""))</f>
        <v/>
      </c>
      <c r="O728">
        <f>IF($U728="","",IF(ISNUMBER(INDEX(상세표[종료],$U728)),TEXT(INDEX(상세표[종료],$U728),"yyyy-mm-dd hh:mm"),INDEX(상세표[종료],$U728)&amp;""))</f>
        <v/>
      </c>
      <c r="P728" s="20">
        <f>IF($U728="","",INDEX(상세표[06~07시],$U728))</f>
        <v/>
      </c>
      <c r="Q728" s="20">
        <f>IF($U728="","",INDEX(상세표[07~18시],$U728))</f>
        <v/>
      </c>
      <c r="R728" s="20">
        <f>IF($U728="","",INDEX(상세표[18~22시],$U728))</f>
        <v/>
      </c>
      <c r="S728" s="20">
        <f>IF($U728="","",INDEX(상세표[22~06시],$U728))</f>
        <v/>
      </c>
      <c r="T728" s="20">
        <f>IF($U728="","",INDEX(상세표[기록 시간외],$U728))</f>
        <v/>
      </c>
      <c r="U728" s="4">
        <f>IFERROR(MATCH(723,상세표[발송순번],0),"")</f>
        <v/>
      </c>
    </row>
    <row r="729">
      <c r="J729">
        <f>IF($U729="","",INDEX(상세표[사번],$U729)&amp;"")</f>
        <v/>
      </c>
      <c r="K729">
        <f>IF($U729="","",INDEX(상세표[성명],$U729)&amp;"")</f>
        <v/>
      </c>
      <c r="L729">
        <f>IF($U729="","",INDEX(상세표[직위],$U729)&amp;"")</f>
        <v/>
      </c>
      <c r="M729">
        <f>IF($U729="","",IF(ISNUMBER(INDEX(상세표[근무일자],$U729)),TEXT(INDEX(상세표[근무일자],$U729),"yyyy-mm-dd"),INDEX(상세표[근무일자],$U729)&amp;""))</f>
        <v/>
      </c>
      <c r="N729">
        <f>IF($U729="","",IF(ISNUMBER(INDEX(상세표[시작],$U729)),TEXT(INDEX(상세표[시작],$U729),"yyyy-mm-dd hh:mm"),INDEX(상세표[시작],$U729)&amp;""))</f>
        <v/>
      </c>
      <c r="O729">
        <f>IF($U729="","",IF(ISNUMBER(INDEX(상세표[종료],$U729)),TEXT(INDEX(상세표[종료],$U729),"yyyy-mm-dd hh:mm"),INDEX(상세표[종료],$U729)&amp;""))</f>
        <v/>
      </c>
      <c r="P729" s="20">
        <f>IF($U729="","",INDEX(상세표[06~07시],$U729))</f>
        <v/>
      </c>
      <c r="Q729" s="20">
        <f>IF($U729="","",INDEX(상세표[07~18시],$U729))</f>
        <v/>
      </c>
      <c r="R729" s="20">
        <f>IF($U729="","",INDEX(상세표[18~22시],$U729))</f>
        <v/>
      </c>
      <c r="S729" s="20">
        <f>IF($U729="","",INDEX(상세표[22~06시],$U729))</f>
        <v/>
      </c>
      <c r="T729" s="20">
        <f>IF($U729="","",INDEX(상세표[기록 시간외],$U729))</f>
        <v/>
      </c>
      <c r="U729" s="4">
        <f>IFERROR(MATCH(724,상세표[발송순번],0),"")</f>
        <v/>
      </c>
    </row>
    <row r="730">
      <c r="J730">
        <f>IF($U730="","",INDEX(상세표[사번],$U730)&amp;"")</f>
        <v/>
      </c>
      <c r="K730">
        <f>IF($U730="","",INDEX(상세표[성명],$U730)&amp;"")</f>
        <v/>
      </c>
      <c r="L730">
        <f>IF($U730="","",INDEX(상세표[직위],$U730)&amp;"")</f>
        <v/>
      </c>
      <c r="M730">
        <f>IF($U730="","",IF(ISNUMBER(INDEX(상세표[근무일자],$U730)),TEXT(INDEX(상세표[근무일자],$U730),"yyyy-mm-dd"),INDEX(상세표[근무일자],$U730)&amp;""))</f>
        <v/>
      </c>
      <c r="N730">
        <f>IF($U730="","",IF(ISNUMBER(INDEX(상세표[시작],$U730)),TEXT(INDEX(상세표[시작],$U730),"yyyy-mm-dd hh:mm"),INDEX(상세표[시작],$U730)&amp;""))</f>
        <v/>
      </c>
      <c r="O730">
        <f>IF($U730="","",IF(ISNUMBER(INDEX(상세표[종료],$U730)),TEXT(INDEX(상세표[종료],$U730),"yyyy-mm-dd hh:mm"),INDEX(상세표[종료],$U730)&amp;""))</f>
        <v/>
      </c>
      <c r="P730" s="20">
        <f>IF($U730="","",INDEX(상세표[06~07시],$U730))</f>
        <v/>
      </c>
      <c r="Q730" s="20">
        <f>IF($U730="","",INDEX(상세표[07~18시],$U730))</f>
        <v/>
      </c>
      <c r="R730" s="20">
        <f>IF($U730="","",INDEX(상세표[18~22시],$U730))</f>
        <v/>
      </c>
      <c r="S730" s="20">
        <f>IF($U730="","",INDEX(상세표[22~06시],$U730))</f>
        <v/>
      </c>
      <c r="T730" s="20">
        <f>IF($U730="","",INDEX(상세표[기록 시간외],$U730))</f>
        <v/>
      </c>
      <c r="U730" s="4">
        <f>IFERROR(MATCH(725,상세표[발송순번],0),"")</f>
        <v/>
      </c>
    </row>
    <row r="731">
      <c r="J731">
        <f>IF($U731="","",INDEX(상세표[사번],$U731)&amp;"")</f>
        <v/>
      </c>
      <c r="K731">
        <f>IF($U731="","",INDEX(상세표[성명],$U731)&amp;"")</f>
        <v/>
      </c>
      <c r="L731">
        <f>IF($U731="","",INDEX(상세표[직위],$U731)&amp;"")</f>
        <v/>
      </c>
      <c r="M731">
        <f>IF($U731="","",IF(ISNUMBER(INDEX(상세표[근무일자],$U731)),TEXT(INDEX(상세표[근무일자],$U731),"yyyy-mm-dd"),INDEX(상세표[근무일자],$U731)&amp;""))</f>
        <v/>
      </c>
      <c r="N731">
        <f>IF($U731="","",IF(ISNUMBER(INDEX(상세표[시작],$U731)),TEXT(INDEX(상세표[시작],$U731),"yyyy-mm-dd hh:mm"),INDEX(상세표[시작],$U731)&amp;""))</f>
        <v/>
      </c>
      <c r="O731">
        <f>IF($U731="","",IF(ISNUMBER(INDEX(상세표[종료],$U731)),TEXT(INDEX(상세표[종료],$U731),"yyyy-mm-dd hh:mm"),INDEX(상세표[종료],$U731)&amp;""))</f>
        <v/>
      </c>
      <c r="P731" s="20">
        <f>IF($U731="","",INDEX(상세표[06~07시],$U731))</f>
        <v/>
      </c>
      <c r="Q731" s="20">
        <f>IF($U731="","",INDEX(상세표[07~18시],$U731))</f>
        <v/>
      </c>
      <c r="R731" s="20">
        <f>IF($U731="","",INDEX(상세표[18~22시],$U731))</f>
        <v/>
      </c>
      <c r="S731" s="20">
        <f>IF($U731="","",INDEX(상세표[22~06시],$U731))</f>
        <v/>
      </c>
      <c r="T731" s="20">
        <f>IF($U731="","",INDEX(상세표[기록 시간외],$U731))</f>
        <v/>
      </c>
      <c r="U731" s="4">
        <f>IFERROR(MATCH(726,상세표[발송순번],0),"")</f>
        <v/>
      </c>
    </row>
    <row r="732">
      <c r="J732">
        <f>IF($U732="","",INDEX(상세표[사번],$U732)&amp;"")</f>
        <v/>
      </c>
      <c r="K732">
        <f>IF($U732="","",INDEX(상세표[성명],$U732)&amp;"")</f>
        <v/>
      </c>
      <c r="L732">
        <f>IF($U732="","",INDEX(상세표[직위],$U732)&amp;"")</f>
        <v/>
      </c>
      <c r="M732">
        <f>IF($U732="","",IF(ISNUMBER(INDEX(상세표[근무일자],$U732)),TEXT(INDEX(상세표[근무일자],$U732),"yyyy-mm-dd"),INDEX(상세표[근무일자],$U732)&amp;""))</f>
        <v/>
      </c>
      <c r="N732">
        <f>IF($U732="","",IF(ISNUMBER(INDEX(상세표[시작],$U732)),TEXT(INDEX(상세표[시작],$U732),"yyyy-mm-dd hh:mm"),INDEX(상세표[시작],$U732)&amp;""))</f>
        <v/>
      </c>
      <c r="O732">
        <f>IF($U732="","",IF(ISNUMBER(INDEX(상세표[종료],$U732)),TEXT(INDEX(상세표[종료],$U732),"yyyy-mm-dd hh:mm"),INDEX(상세표[종료],$U732)&amp;""))</f>
        <v/>
      </c>
      <c r="P732" s="20">
        <f>IF($U732="","",INDEX(상세표[06~07시],$U732))</f>
        <v/>
      </c>
      <c r="Q732" s="20">
        <f>IF($U732="","",INDEX(상세표[07~18시],$U732))</f>
        <v/>
      </c>
      <c r="R732" s="20">
        <f>IF($U732="","",INDEX(상세표[18~22시],$U732))</f>
        <v/>
      </c>
      <c r="S732" s="20">
        <f>IF($U732="","",INDEX(상세표[22~06시],$U732))</f>
        <v/>
      </c>
      <c r="T732" s="20">
        <f>IF($U732="","",INDEX(상세표[기록 시간외],$U732))</f>
        <v/>
      </c>
      <c r="U732" s="4">
        <f>IFERROR(MATCH(727,상세표[발송순번],0),"")</f>
        <v/>
      </c>
    </row>
    <row r="733">
      <c r="J733">
        <f>IF($U733="","",INDEX(상세표[사번],$U733)&amp;"")</f>
        <v/>
      </c>
      <c r="K733">
        <f>IF($U733="","",INDEX(상세표[성명],$U733)&amp;"")</f>
        <v/>
      </c>
      <c r="L733">
        <f>IF($U733="","",INDEX(상세표[직위],$U733)&amp;"")</f>
        <v/>
      </c>
      <c r="M733">
        <f>IF($U733="","",IF(ISNUMBER(INDEX(상세표[근무일자],$U733)),TEXT(INDEX(상세표[근무일자],$U733),"yyyy-mm-dd"),INDEX(상세표[근무일자],$U733)&amp;""))</f>
        <v/>
      </c>
      <c r="N733">
        <f>IF($U733="","",IF(ISNUMBER(INDEX(상세표[시작],$U733)),TEXT(INDEX(상세표[시작],$U733),"yyyy-mm-dd hh:mm"),INDEX(상세표[시작],$U733)&amp;""))</f>
        <v/>
      </c>
      <c r="O733">
        <f>IF($U733="","",IF(ISNUMBER(INDEX(상세표[종료],$U733)),TEXT(INDEX(상세표[종료],$U733),"yyyy-mm-dd hh:mm"),INDEX(상세표[종료],$U733)&amp;""))</f>
        <v/>
      </c>
      <c r="P733" s="20">
        <f>IF($U733="","",INDEX(상세표[06~07시],$U733))</f>
        <v/>
      </c>
      <c r="Q733" s="20">
        <f>IF($U733="","",INDEX(상세표[07~18시],$U733))</f>
        <v/>
      </c>
      <c r="R733" s="20">
        <f>IF($U733="","",INDEX(상세표[18~22시],$U733))</f>
        <v/>
      </c>
      <c r="S733" s="20">
        <f>IF($U733="","",INDEX(상세표[22~06시],$U733))</f>
        <v/>
      </c>
      <c r="T733" s="20">
        <f>IF($U733="","",INDEX(상세표[기록 시간외],$U733))</f>
        <v/>
      </c>
      <c r="U733" s="4">
        <f>IFERROR(MATCH(728,상세표[발송순번],0),"")</f>
        <v/>
      </c>
    </row>
    <row r="734">
      <c r="J734">
        <f>IF($U734="","",INDEX(상세표[사번],$U734)&amp;"")</f>
        <v/>
      </c>
      <c r="K734">
        <f>IF($U734="","",INDEX(상세표[성명],$U734)&amp;"")</f>
        <v/>
      </c>
      <c r="L734">
        <f>IF($U734="","",INDEX(상세표[직위],$U734)&amp;"")</f>
        <v/>
      </c>
      <c r="M734">
        <f>IF($U734="","",IF(ISNUMBER(INDEX(상세표[근무일자],$U734)),TEXT(INDEX(상세표[근무일자],$U734),"yyyy-mm-dd"),INDEX(상세표[근무일자],$U734)&amp;""))</f>
        <v/>
      </c>
      <c r="N734">
        <f>IF($U734="","",IF(ISNUMBER(INDEX(상세표[시작],$U734)),TEXT(INDEX(상세표[시작],$U734),"yyyy-mm-dd hh:mm"),INDEX(상세표[시작],$U734)&amp;""))</f>
        <v/>
      </c>
      <c r="O734">
        <f>IF($U734="","",IF(ISNUMBER(INDEX(상세표[종료],$U734)),TEXT(INDEX(상세표[종료],$U734),"yyyy-mm-dd hh:mm"),INDEX(상세표[종료],$U734)&amp;""))</f>
        <v/>
      </c>
      <c r="P734" s="20">
        <f>IF($U734="","",INDEX(상세표[06~07시],$U734))</f>
        <v/>
      </c>
      <c r="Q734" s="20">
        <f>IF($U734="","",INDEX(상세표[07~18시],$U734))</f>
        <v/>
      </c>
      <c r="R734" s="20">
        <f>IF($U734="","",INDEX(상세표[18~22시],$U734))</f>
        <v/>
      </c>
      <c r="S734" s="20">
        <f>IF($U734="","",INDEX(상세표[22~06시],$U734))</f>
        <v/>
      </c>
      <c r="T734" s="20">
        <f>IF($U734="","",INDEX(상세표[기록 시간외],$U734))</f>
        <v/>
      </c>
      <c r="U734" s="4">
        <f>IFERROR(MATCH(729,상세표[발송순번],0),"")</f>
        <v/>
      </c>
    </row>
    <row r="735">
      <c r="J735">
        <f>IF($U735="","",INDEX(상세표[사번],$U735)&amp;"")</f>
        <v/>
      </c>
      <c r="K735">
        <f>IF($U735="","",INDEX(상세표[성명],$U735)&amp;"")</f>
        <v/>
      </c>
      <c r="L735">
        <f>IF($U735="","",INDEX(상세표[직위],$U735)&amp;"")</f>
        <v/>
      </c>
      <c r="M735">
        <f>IF($U735="","",IF(ISNUMBER(INDEX(상세표[근무일자],$U735)),TEXT(INDEX(상세표[근무일자],$U735),"yyyy-mm-dd"),INDEX(상세표[근무일자],$U735)&amp;""))</f>
        <v/>
      </c>
      <c r="N735">
        <f>IF($U735="","",IF(ISNUMBER(INDEX(상세표[시작],$U735)),TEXT(INDEX(상세표[시작],$U735),"yyyy-mm-dd hh:mm"),INDEX(상세표[시작],$U735)&amp;""))</f>
        <v/>
      </c>
      <c r="O735">
        <f>IF($U735="","",IF(ISNUMBER(INDEX(상세표[종료],$U735)),TEXT(INDEX(상세표[종료],$U735),"yyyy-mm-dd hh:mm"),INDEX(상세표[종료],$U735)&amp;""))</f>
        <v/>
      </c>
      <c r="P735" s="20">
        <f>IF($U735="","",INDEX(상세표[06~07시],$U735))</f>
        <v/>
      </c>
      <c r="Q735" s="20">
        <f>IF($U735="","",INDEX(상세표[07~18시],$U735))</f>
        <v/>
      </c>
      <c r="R735" s="20">
        <f>IF($U735="","",INDEX(상세표[18~22시],$U735))</f>
        <v/>
      </c>
      <c r="S735" s="20">
        <f>IF($U735="","",INDEX(상세표[22~06시],$U735))</f>
        <v/>
      </c>
      <c r="T735" s="20">
        <f>IF($U735="","",INDEX(상세표[기록 시간외],$U735))</f>
        <v/>
      </c>
      <c r="U735" s="4">
        <f>IFERROR(MATCH(730,상세표[발송순번],0),"")</f>
        <v/>
      </c>
    </row>
    <row r="736">
      <c r="J736">
        <f>IF($U736="","",INDEX(상세표[사번],$U736)&amp;"")</f>
        <v/>
      </c>
      <c r="K736">
        <f>IF($U736="","",INDEX(상세표[성명],$U736)&amp;"")</f>
        <v/>
      </c>
      <c r="L736">
        <f>IF($U736="","",INDEX(상세표[직위],$U736)&amp;"")</f>
        <v/>
      </c>
      <c r="M736">
        <f>IF($U736="","",IF(ISNUMBER(INDEX(상세표[근무일자],$U736)),TEXT(INDEX(상세표[근무일자],$U736),"yyyy-mm-dd"),INDEX(상세표[근무일자],$U736)&amp;""))</f>
        <v/>
      </c>
      <c r="N736">
        <f>IF($U736="","",IF(ISNUMBER(INDEX(상세표[시작],$U736)),TEXT(INDEX(상세표[시작],$U736),"yyyy-mm-dd hh:mm"),INDEX(상세표[시작],$U736)&amp;""))</f>
        <v/>
      </c>
      <c r="O736">
        <f>IF($U736="","",IF(ISNUMBER(INDEX(상세표[종료],$U736)),TEXT(INDEX(상세표[종료],$U736),"yyyy-mm-dd hh:mm"),INDEX(상세표[종료],$U736)&amp;""))</f>
        <v/>
      </c>
      <c r="P736" s="20">
        <f>IF($U736="","",INDEX(상세표[06~07시],$U736))</f>
        <v/>
      </c>
      <c r="Q736" s="20">
        <f>IF($U736="","",INDEX(상세표[07~18시],$U736))</f>
        <v/>
      </c>
      <c r="R736" s="20">
        <f>IF($U736="","",INDEX(상세표[18~22시],$U736))</f>
        <v/>
      </c>
      <c r="S736" s="20">
        <f>IF($U736="","",INDEX(상세표[22~06시],$U736))</f>
        <v/>
      </c>
      <c r="T736" s="20">
        <f>IF($U736="","",INDEX(상세표[기록 시간외],$U736))</f>
        <v/>
      </c>
      <c r="U736" s="4">
        <f>IFERROR(MATCH(731,상세표[발송순번],0),"")</f>
        <v/>
      </c>
    </row>
    <row r="737">
      <c r="J737">
        <f>IF($U737="","",INDEX(상세표[사번],$U737)&amp;"")</f>
        <v/>
      </c>
      <c r="K737">
        <f>IF($U737="","",INDEX(상세표[성명],$U737)&amp;"")</f>
        <v/>
      </c>
      <c r="L737">
        <f>IF($U737="","",INDEX(상세표[직위],$U737)&amp;"")</f>
        <v/>
      </c>
      <c r="M737">
        <f>IF($U737="","",IF(ISNUMBER(INDEX(상세표[근무일자],$U737)),TEXT(INDEX(상세표[근무일자],$U737),"yyyy-mm-dd"),INDEX(상세표[근무일자],$U737)&amp;""))</f>
        <v/>
      </c>
      <c r="N737">
        <f>IF($U737="","",IF(ISNUMBER(INDEX(상세표[시작],$U737)),TEXT(INDEX(상세표[시작],$U737),"yyyy-mm-dd hh:mm"),INDEX(상세표[시작],$U737)&amp;""))</f>
        <v/>
      </c>
      <c r="O737">
        <f>IF($U737="","",IF(ISNUMBER(INDEX(상세표[종료],$U737)),TEXT(INDEX(상세표[종료],$U737),"yyyy-mm-dd hh:mm"),INDEX(상세표[종료],$U737)&amp;""))</f>
        <v/>
      </c>
      <c r="P737" s="20">
        <f>IF($U737="","",INDEX(상세표[06~07시],$U737))</f>
        <v/>
      </c>
      <c r="Q737" s="20">
        <f>IF($U737="","",INDEX(상세표[07~18시],$U737))</f>
        <v/>
      </c>
      <c r="R737" s="20">
        <f>IF($U737="","",INDEX(상세표[18~22시],$U737))</f>
        <v/>
      </c>
      <c r="S737" s="20">
        <f>IF($U737="","",INDEX(상세표[22~06시],$U737))</f>
        <v/>
      </c>
      <c r="T737" s="20">
        <f>IF($U737="","",INDEX(상세표[기록 시간외],$U737))</f>
        <v/>
      </c>
      <c r="U737" s="4">
        <f>IFERROR(MATCH(732,상세표[발송순번],0),"")</f>
        <v/>
      </c>
    </row>
    <row r="738">
      <c r="J738">
        <f>IF($U738="","",INDEX(상세표[사번],$U738)&amp;"")</f>
        <v/>
      </c>
      <c r="K738">
        <f>IF($U738="","",INDEX(상세표[성명],$U738)&amp;"")</f>
        <v/>
      </c>
      <c r="L738">
        <f>IF($U738="","",INDEX(상세표[직위],$U738)&amp;"")</f>
        <v/>
      </c>
      <c r="M738">
        <f>IF($U738="","",IF(ISNUMBER(INDEX(상세표[근무일자],$U738)),TEXT(INDEX(상세표[근무일자],$U738),"yyyy-mm-dd"),INDEX(상세표[근무일자],$U738)&amp;""))</f>
        <v/>
      </c>
      <c r="N738">
        <f>IF($U738="","",IF(ISNUMBER(INDEX(상세표[시작],$U738)),TEXT(INDEX(상세표[시작],$U738),"yyyy-mm-dd hh:mm"),INDEX(상세표[시작],$U738)&amp;""))</f>
        <v/>
      </c>
      <c r="O738">
        <f>IF($U738="","",IF(ISNUMBER(INDEX(상세표[종료],$U738)),TEXT(INDEX(상세표[종료],$U738),"yyyy-mm-dd hh:mm"),INDEX(상세표[종료],$U738)&amp;""))</f>
        <v/>
      </c>
      <c r="P738" s="20">
        <f>IF($U738="","",INDEX(상세표[06~07시],$U738))</f>
        <v/>
      </c>
      <c r="Q738" s="20">
        <f>IF($U738="","",INDEX(상세표[07~18시],$U738))</f>
        <v/>
      </c>
      <c r="R738" s="20">
        <f>IF($U738="","",INDEX(상세표[18~22시],$U738))</f>
        <v/>
      </c>
      <c r="S738" s="20">
        <f>IF($U738="","",INDEX(상세표[22~06시],$U738))</f>
        <v/>
      </c>
      <c r="T738" s="20">
        <f>IF($U738="","",INDEX(상세표[기록 시간외],$U738))</f>
        <v/>
      </c>
      <c r="U738" s="4">
        <f>IFERROR(MATCH(733,상세표[발송순번],0),"")</f>
        <v/>
      </c>
    </row>
    <row r="739">
      <c r="J739">
        <f>IF($U739="","",INDEX(상세표[사번],$U739)&amp;"")</f>
        <v/>
      </c>
      <c r="K739">
        <f>IF($U739="","",INDEX(상세표[성명],$U739)&amp;"")</f>
        <v/>
      </c>
      <c r="L739">
        <f>IF($U739="","",INDEX(상세표[직위],$U739)&amp;"")</f>
        <v/>
      </c>
      <c r="M739">
        <f>IF($U739="","",IF(ISNUMBER(INDEX(상세표[근무일자],$U739)),TEXT(INDEX(상세표[근무일자],$U739),"yyyy-mm-dd"),INDEX(상세표[근무일자],$U739)&amp;""))</f>
        <v/>
      </c>
      <c r="N739">
        <f>IF($U739="","",IF(ISNUMBER(INDEX(상세표[시작],$U739)),TEXT(INDEX(상세표[시작],$U739),"yyyy-mm-dd hh:mm"),INDEX(상세표[시작],$U739)&amp;""))</f>
        <v/>
      </c>
      <c r="O739">
        <f>IF($U739="","",IF(ISNUMBER(INDEX(상세표[종료],$U739)),TEXT(INDEX(상세표[종료],$U739),"yyyy-mm-dd hh:mm"),INDEX(상세표[종료],$U739)&amp;""))</f>
        <v/>
      </c>
      <c r="P739" s="20">
        <f>IF($U739="","",INDEX(상세표[06~07시],$U739))</f>
        <v/>
      </c>
      <c r="Q739" s="20">
        <f>IF($U739="","",INDEX(상세표[07~18시],$U739))</f>
        <v/>
      </c>
      <c r="R739" s="20">
        <f>IF($U739="","",INDEX(상세표[18~22시],$U739))</f>
        <v/>
      </c>
      <c r="S739" s="20">
        <f>IF($U739="","",INDEX(상세표[22~06시],$U739))</f>
        <v/>
      </c>
      <c r="T739" s="20">
        <f>IF($U739="","",INDEX(상세표[기록 시간외],$U739))</f>
        <v/>
      </c>
      <c r="U739" s="4">
        <f>IFERROR(MATCH(734,상세표[발송순번],0),"")</f>
        <v/>
      </c>
    </row>
    <row r="740">
      <c r="J740">
        <f>IF($U740="","",INDEX(상세표[사번],$U740)&amp;"")</f>
        <v/>
      </c>
      <c r="K740">
        <f>IF($U740="","",INDEX(상세표[성명],$U740)&amp;"")</f>
        <v/>
      </c>
      <c r="L740">
        <f>IF($U740="","",INDEX(상세표[직위],$U740)&amp;"")</f>
        <v/>
      </c>
      <c r="M740">
        <f>IF($U740="","",IF(ISNUMBER(INDEX(상세표[근무일자],$U740)),TEXT(INDEX(상세표[근무일자],$U740),"yyyy-mm-dd"),INDEX(상세표[근무일자],$U740)&amp;""))</f>
        <v/>
      </c>
      <c r="N740">
        <f>IF($U740="","",IF(ISNUMBER(INDEX(상세표[시작],$U740)),TEXT(INDEX(상세표[시작],$U740),"yyyy-mm-dd hh:mm"),INDEX(상세표[시작],$U740)&amp;""))</f>
        <v/>
      </c>
      <c r="O740">
        <f>IF($U740="","",IF(ISNUMBER(INDEX(상세표[종료],$U740)),TEXT(INDEX(상세표[종료],$U740),"yyyy-mm-dd hh:mm"),INDEX(상세표[종료],$U740)&amp;""))</f>
        <v/>
      </c>
      <c r="P740" s="20">
        <f>IF($U740="","",INDEX(상세표[06~07시],$U740))</f>
        <v/>
      </c>
      <c r="Q740" s="20">
        <f>IF($U740="","",INDEX(상세표[07~18시],$U740))</f>
        <v/>
      </c>
      <c r="R740" s="20">
        <f>IF($U740="","",INDEX(상세표[18~22시],$U740))</f>
        <v/>
      </c>
      <c r="S740" s="20">
        <f>IF($U740="","",INDEX(상세표[22~06시],$U740))</f>
        <v/>
      </c>
      <c r="T740" s="20">
        <f>IF($U740="","",INDEX(상세표[기록 시간외],$U740))</f>
        <v/>
      </c>
      <c r="U740" s="4">
        <f>IFERROR(MATCH(735,상세표[발송순번],0),"")</f>
        <v/>
      </c>
    </row>
    <row r="741">
      <c r="J741">
        <f>IF($U741="","",INDEX(상세표[사번],$U741)&amp;"")</f>
        <v/>
      </c>
      <c r="K741">
        <f>IF($U741="","",INDEX(상세표[성명],$U741)&amp;"")</f>
        <v/>
      </c>
      <c r="L741">
        <f>IF($U741="","",INDEX(상세표[직위],$U741)&amp;"")</f>
        <v/>
      </c>
      <c r="M741">
        <f>IF($U741="","",IF(ISNUMBER(INDEX(상세표[근무일자],$U741)),TEXT(INDEX(상세표[근무일자],$U741),"yyyy-mm-dd"),INDEX(상세표[근무일자],$U741)&amp;""))</f>
        <v/>
      </c>
      <c r="N741">
        <f>IF($U741="","",IF(ISNUMBER(INDEX(상세표[시작],$U741)),TEXT(INDEX(상세표[시작],$U741),"yyyy-mm-dd hh:mm"),INDEX(상세표[시작],$U741)&amp;""))</f>
        <v/>
      </c>
      <c r="O741">
        <f>IF($U741="","",IF(ISNUMBER(INDEX(상세표[종료],$U741)),TEXT(INDEX(상세표[종료],$U741),"yyyy-mm-dd hh:mm"),INDEX(상세표[종료],$U741)&amp;""))</f>
        <v/>
      </c>
      <c r="P741" s="20">
        <f>IF($U741="","",INDEX(상세표[06~07시],$U741))</f>
        <v/>
      </c>
      <c r="Q741" s="20">
        <f>IF($U741="","",INDEX(상세표[07~18시],$U741))</f>
        <v/>
      </c>
      <c r="R741" s="20">
        <f>IF($U741="","",INDEX(상세표[18~22시],$U741))</f>
        <v/>
      </c>
      <c r="S741" s="20">
        <f>IF($U741="","",INDEX(상세표[22~06시],$U741))</f>
        <v/>
      </c>
      <c r="T741" s="20">
        <f>IF($U741="","",INDEX(상세표[기록 시간외],$U741))</f>
        <v/>
      </c>
      <c r="U741" s="4">
        <f>IFERROR(MATCH(736,상세표[발송순번],0),"")</f>
        <v/>
      </c>
    </row>
    <row r="742">
      <c r="J742">
        <f>IF($U742="","",INDEX(상세표[사번],$U742)&amp;"")</f>
        <v/>
      </c>
      <c r="K742">
        <f>IF($U742="","",INDEX(상세표[성명],$U742)&amp;"")</f>
        <v/>
      </c>
      <c r="L742">
        <f>IF($U742="","",INDEX(상세표[직위],$U742)&amp;"")</f>
        <v/>
      </c>
      <c r="M742">
        <f>IF($U742="","",IF(ISNUMBER(INDEX(상세표[근무일자],$U742)),TEXT(INDEX(상세표[근무일자],$U742),"yyyy-mm-dd"),INDEX(상세표[근무일자],$U742)&amp;""))</f>
        <v/>
      </c>
      <c r="N742">
        <f>IF($U742="","",IF(ISNUMBER(INDEX(상세표[시작],$U742)),TEXT(INDEX(상세표[시작],$U742),"yyyy-mm-dd hh:mm"),INDEX(상세표[시작],$U742)&amp;""))</f>
        <v/>
      </c>
      <c r="O742">
        <f>IF($U742="","",IF(ISNUMBER(INDEX(상세표[종료],$U742)),TEXT(INDEX(상세표[종료],$U742),"yyyy-mm-dd hh:mm"),INDEX(상세표[종료],$U742)&amp;""))</f>
        <v/>
      </c>
      <c r="P742" s="20">
        <f>IF($U742="","",INDEX(상세표[06~07시],$U742))</f>
        <v/>
      </c>
      <c r="Q742" s="20">
        <f>IF($U742="","",INDEX(상세표[07~18시],$U742))</f>
        <v/>
      </c>
      <c r="R742" s="20">
        <f>IF($U742="","",INDEX(상세표[18~22시],$U742))</f>
        <v/>
      </c>
      <c r="S742" s="20">
        <f>IF($U742="","",INDEX(상세표[22~06시],$U742))</f>
        <v/>
      </c>
      <c r="T742" s="20">
        <f>IF($U742="","",INDEX(상세표[기록 시간외],$U742))</f>
        <v/>
      </c>
      <c r="U742" s="4">
        <f>IFERROR(MATCH(737,상세표[발송순번],0),"")</f>
        <v/>
      </c>
    </row>
    <row r="743">
      <c r="J743">
        <f>IF($U743="","",INDEX(상세표[사번],$U743)&amp;"")</f>
        <v/>
      </c>
      <c r="K743">
        <f>IF($U743="","",INDEX(상세표[성명],$U743)&amp;"")</f>
        <v/>
      </c>
      <c r="L743">
        <f>IF($U743="","",INDEX(상세표[직위],$U743)&amp;"")</f>
        <v/>
      </c>
      <c r="M743">
        <f>IF($U743="","",IF(ISNUMBER(INDEX(상세표[근무일자],$U743)),TEXT(INDEX(상세표[근무일자],$U743),"yyyy-mm-dd"),INDEX(상세표[근무일자],$U743)&amp;""))</f>
        <v/>
      </c>
      <c r="N743">
        <f>IF($U743="","",IF(ISNUMBER(INDEX(상세표[시작],$U743)),TEXT(INDEX(상세표[시작],$U743),"yyyy-mm-dd hh:mm"),INDEX(상세표[시작],$U743)&amp;""))</f>
        <v/>
      </c>
      <c r="O743">
        <f>IF($U743="","",IF(ISNUMBER(INDEX(상세표[종료],$U743)),TEXT(INDEX(상세표[종료],$U743),"yyyy-mm-dd hh:mm"),INDEX(상세표[종료],$U743)&amp;""))</f>
        <v/>
      </c>
      <c r="P743" s="20">
        <f>IF($U743="","",INDEX(상세표[06~07시],$U743))</f>
        <v/>
      </c>
      <c r="Q743" s="20">
        <f>IF($U743="","",INDEX(상세표[07~18시],$U743))</f>
        <v/>
      </c>
      <c r="R743" s="20">
        <f>IF($U743="","",INDEX(상세표[18~22시],$U743))</f>
        <v/>
      </c>
      <c r="S743" s="20">
        <f>IF($U743="","",INDEX(상세표[22~06시],$U743))</f>
        <v/>
      </c>
      <c r="T743" s="20">
        <f>IF($U743="","",INDEX(상세표[기록 시간외],$U743))</f>
        <v/>
      </c>
      <c r="U743" s="4">
        <f>IFERROR(MATCH(738,상세표[발송순번],0),"")</f>
        <v/>
      </c>
    </row>
    <row r="744">
      <c r="J744">
        <f>IF($U744="","",INDEX(상세표[사번],$U744)&amp;"")</f>
        <v/>
      </c>
      <c r="K744">
        <f>IF($U744="","",INDEX(상세표[성명],$U744)&amp;"")</f>
        <v/>
      </c>
      <c r="L744">
        <f>IF($U744="","",INDEX(상세표[직위],$U744)&amp;"")</f>
        <v/>
      </c>
      <c r="M744">
        <f>IF($U744="","",IF(ISNUMBER(INDEX(상세표[근무일자],$U744)),TEXT(INDEX(상세표[근무일자],$U744),"yyyy-mm-dd"),INDEX(상세표[근무일자],$U744)&amp;""))</f>
        <v/>
      </c>
      <c r="N744">
        <f>IF($U744="","",IF(ISNUMBER(INDEX(상세표[시작],$U744)),TEXT(INDEX(상세표[시작],$U744),"yyyy-mm-dd hh:mm"),INDEX(상세표[시작],$U744)&amp;""))</f>
        <v/>
      </c>
      <c r="O744">
        <f>IF($U744="","",IF(ISNUMBER(INDEX(상세표[종료],$U744)),TEXT(INDEX(상세표[종료],$U744),"yyyy-mm-dd hh:mm"),INDEX(상세표[종료],$U744)&amp;""))</f>
        <v/>
      </c>
      <c r="P744" s="20">
        <f>IF($U744="","",INDEX(상세표[06~07시],$U744))</f>
        <v/>
      </c>
      <c r="Q744" s="20">
        <f>IF($U744="","",INDEX(상세표[07~18시],$U744))</f>
        <v/>
      </c>
      <c r="R744" s="20">
        <f>IF($U744="","",INDEX(상세표[18~22시],$U744))</f>
        <v/>
      </c>
      <c r="S744" s="20">
        <f>IF($U744="","",INDEX(상세표[22~06시],$U744))</f>
        <v/>
      </c>
      <c r="T744" s="20">
        <f>IF($U744="","",INDEX(상세표[기록 시간외],$U744))</f>
        <v/>
      </c>
      <c r="U744" s="4">
        <f>IFERROR(MATCH(739,상세표[발송순번],0),"")</f>
        <v/>
      </c>
    </row>
    <row r="745">
      <c r="J745">
        <f>IF($U745="","",INDEX(상세표[사번],$U745)&amp;"")</f>
        <v/>
      </c>
      <c r="K745">
        <f>IF($U745="","",INDEX(상세표[성명],$U745)&amp;"")</f>
        <v/>
      </c>
      <c r="L745">
        <f>IF($U745="","",INDEX(상세표[직위],$U745)&amp;"")</f>
        <v/>
      </c>
      <c r="M745">
        <f>IF($U745="","",IF(ISNUMBER(INDEX(상세표[근무일자],$U745)),TEXT(INDEX(상세표[근무일자],$U745),"yyyy-mm-dd"),INDEX(상세표[근무일자],$U745)&amp;""))</f>
        <v/>
      </c>
      <c r="N745">
        <f>IF($U745="","",IF(ISNUMBER(INDEX(상세표[시작],$U745)),TEXT(INDEX(상세표[시작],$U745),"yyyy-mm-dd hh:mm"),INDEX(상세표[시작],$U745)&amp;""))</f>
        <v/>
      </c>
      <c r="O745">
        <f>IF($U745="","",IF(ISNUMBER(INDEX(상세표[종료],$U745)),TEXT(INDEX(상세표[종료],$U745),"yyyy-mm-dd hh:mm"),INDEX(상세표[종료],$U745)&amp;""))</f>
        <v/>
      </c>
      <c r="P745" s="20">
        <f>IF($U745="","",INDEX(상세표[06~07시],$U745))</f>
        <v/>
      </c>
      <c r="Q745" s="20">
        <f>IF($U745="","",INDEX(상세표[07~18시],$U745))</f>
        <v/>
      </c>
      <c r="R745" s="20">
        <f>IF($U745="","",INDEX(상세표[18~22시],$U745))</f>
        <v/>
      </c>
      <c r="S745" s="20">
        <f>IF($U745="","",INDEX(상세표[22~06시],$U745))</f>
        <v/>
      </c>
      <c r="T745" s="20">
        <f>IF($U745="","",INDEX(상세표[기록 시간외],$U745))</f>
        <v/>
      </c>
      <c r="U745" s="4">
        <f>IFERROR(MATCH(740,상세표[발송순번],0),"")</f>
        <v/>
      </c>
    </row>
    <row r="746">
      <c r="J746">
        <f>IF($U746="","",INDEX(상세표[사번],$U746)&amp;"")</f>
        <v/>
      </c>
      <c r="K746">
        <f>IF($U746="","",INDEX(상세표[성명],$U746)&amp;"")</f>
        <v/>
      </c>
      <c r="L746">
        <f>IF($U746="","",INDEX(상세표[직위],$U746)&amp;"")</f>
        <v/>
      </c>
      <c r="M746">
        <f>IF($U746="","",IF(ISNUMBER(INDEX(상세표[근무일자],$U746)),TEXT(INDEX(상세표[근무일자],$U746),"yyyy-mm-dd"),INDEX(상세표[근무일자],$U746)&amp;""))</f>
        <v/>
      </c>
      <c r="N746">
        <f>IF($U746="","",IF(ISNUMBER(INDEX(상세표[시작],$U746)),TEXT(INDEX(상세표[시작],$U746),"yyyy-mm-dd hh:mm"),INDEX(상세표[시작],$U746)&amp;""))</f>
        <v/>
      </c>
      <c r="O746">
        <f>IF($U746="","",IF(ISNUMBER(INDEX(상세표[종료],$U746)),TEXT(INDEX(상세표[종료],$U746),"yyyy-mm-dd hh:mm"),INDEX(상세표[종료],$U746)&amp;""))</f>
        <v/>
      </c>
      <c r="P746" s="20">
        <f>IF($U746="","",INDEX(상세표[06~07시],$U746))</f>
        <v/>
      </c>
      <c r="Q746" s="20">
        <f>IF($U746="","",INDEX(상세표[07~18시],$U746))</f>
        <v/>
      </c>
      <c r="R746" s="20">
        <f>IF($U746="","",INDEX(상세표[18~22시],$U746))</f>
        <v/>
      </c>
      <c r="S746" s="20">
        <f>IF($U746="","",INDEX(상세표[22~06시],$U746))</f>
        <v/>
      </c>
      <c r="T746" s="20">
        <f>IF($U746="","",INDEX(상세표[기록 시간외],$U746))</f>
        <v/>
      </c>
      <c r="U746" s="4">
        <f>IFERROR(MATCH(741,상세표[발송순번],0),"")</f>
        <v/>
      </c>
    </row>
    <row r="747">
      <c r="J747">
        <f>IF($U747="","",INDEX(상세표[사번],$U747)&amp;"")</f>
        <v/>
      </c>
      <c r="K747">
        <f>IF($U747="","",INDEX(상세표[성명],$U747)&amp;"")</f>
        <v/>
      </c>
      <c r="L747">
        <f>IF($U747="","",INDEX(상세표[직위],$U747)&amp;"")</f>
        <v/>
      </c>
      <c r="M747">
        <f>IF($U747="","",IF(ISNUMBER(INDEX(상세표[근무일자],$U747)),TEXT(INDEX(상세표[근무일자],$U747),"yyyy-mm-dd"),INDEX(상세표[근무일자],$U747)&amp;""))</f>
        <v/>
      </c>
      <c r="N747">
        <f>IF($U747="","",IF(ISNUMBER(INDEX(상세표[시작],$U747)),TEXT(INDEX(상세표[시작],$U747),"yyyy-mm-dd hh:mm"),INDEX(상세표[시작],$U747)&amp;""))</f>
        <v/>
      </c>
      <c r="O747">
        <f>IF($U747="","",IF(ISNUMBER(INDEX(상세표[종료],$U747)),TEXT(INDEX(상세표[종료],$U747),"yyyy-mm-dd hh:mm"),INDEX(상세표[종료],$U747)&amp;""))</f>
        <v/>
      </c>
      <c r="P747" s="20">
        <f>IF($U747="","",INDEX(상세표[06~07시],$U747))</f>
        <v/>
      </c>
      <c r="Q747" s="20">
        <f>IF($U747="","",INDEX(상세표[07~18시],$U747))</f>
        <v/>
      </c>
      <c r="R747" s="20">
        <f>IF($U747="","",INDEX(상세표[18~22시],$U747))</f>
        <v/>
      </c>
      <c r="S747" s="20">
        <f>IF($U747="","",INDEX(상세표[22~06시],$U747))</f>
        <v/>
      </c>
      <c r="T747" s="20">
        <f>IF($U747="","",INDEX(상세표[기록 시간외],$U747))</f>
        <v/>
      </c>
      <c r="U747" s="4">
        <f>IFERROR(MATCH(742,상세표[발송순번],0),"")</f>
        <v/>
      </c>
    </row>
    <row r="748">
      <c r="J748">
        <f>IF($U748="","",INDEX(상세표[사번],$U748)&amp;"")</f>
        <v/>
      </c>
      <c r="K748">
        <f>IF($U748="","",INDEX(상세표[성명],$U748)&amp;"")</f>
        <v/>
      </c>
      <c r="L748">
        <f>IF($U748="","",INDEX(상세표[직위],$U748)&amp;"")</f>
        <v/>
      </c>
      <c r="M748">
        <f>IF($U748="","",IF(ISNUMBER(INDEX(상세표[근무일자],$U748)),TEXT(INDEX(상세표[근무일자],$U748),"yyyy-mm-dd"),INDEX(상세표[근무일자],$U748)&amp;""))</f>
        <v/>
      </c>
      <c r="N748">
        <f>IF($U748="","",IF(ISNUMBER(INDEX(상세표[시작],$U748)),TEXT(INDEX(상세표[시작],$U748),"yyyy-mm-dd hh:mm"),INDEX(상세표[시작],$U748)&amp;""))</f>
        <v/>
      </c>
      <c r="O748">
        <f>IF($U748="","",IF(ISNUMBER(INDEX(상세표[종료],$U748)),TEXT(INDEX(상세표[종료],$U748),"yyyy-mm-dd hh:mm"),INDEX(상세표[종료],$U748)&amp;""))</f>
        <v/>
      </c>
      <c r="P748" s="20">
        <f>IF($U748="","",INDEX(상세표[06~07시],$U748))</f>
        <v/>
      </c>
      <c r="Q748" s="20">
        <f>IF($U748="","",INDEX(상세표[07~18시],$U748))</f>
        <v/>
      </c>
      <c r="R748" s="20">
        <f>IF($U748="","",INDEX(상세표[18~22시],$U748))</f>
        <v/>
      </c>
      <c r="S748" s="20">
        <f>IF($U748="","",INDEX(상세표[22~06시],$U748))</f>
        <v/>
      </c>
      <c r="T748" s="20">
        <f>IF($U748="","",INDEX(상세표[기록 시간외],$U748))</f>
        <v/>
      </c>
      <c r="U748" s="4">
        <f>IFERROR(MATCH(743,상세표[발송순번],0),"")</f>
        <v/>
      </c>
    </row>
    <row r="749">
      <c r="J749">
        <f>IF($U749="","",INDEX(상세표[사번],$U749)&amp;"")</f>
        <v/>
      </c>
      <c r="K749">
        <f>IF($U749="","",INDEX(상세표[성명],$U749)&amp;"")</f>
        <v/>
      </c>
      <c r="L749">
        <f>IF($U749="","",INDEX(상세표[직위],$U749)&amp;"")</f>
        <v/>
      </c>
      <c r="M749">
        <f>IF($U749="","",IF(ISNUMBER(INDEX(상세표[근무일자],$U749)),TEXT(INDEX(상세표[근무일자],$U749),"yyyy-mm-dd"),INDEX(상세표[근무일자],$U749)&amp;""))</f>
        <v/>
      </c>
      <c r="N749">
        <f>IF($U749="","",IF(ISNUMBER(INDEX(상세표[시작],$U749)),TEXT(INDEX(상세표[시작],$U749),"yyyy-mm-dd hh:mm"),INDEX(상세표[시작],$U749)&amp;""))</f>
        <v/>
      </c>
      <c r="O749">
        <f>IF($U749="","",IF(ISNUMBER(INDEX(상세표[종료],$U749)),TEXT(INDEX(상세표[종료],$U749),"yyyy-mm-dd hh:mm"),INDEX(상세표[종료],$U749)&amp;""))</f>
        <v/>
      </c>
      <c r="P749" s="20">
        <f>IF($U749="","",INDEX(상세표[06~07시],$U749))</f>
        <v/>
      </c>
      <c r="Q749" s="20">
        <f>IF($U749="","",INDEX(상세표[07~18시],$U749))</f>
        <v/>
      </c>
      <c r="R749" s="20">
        <f>IF($U749="","",INDEX(상세표[18~22시],$U749))</f>
        <v/>
      </c>
      <c r="S749" s="20">
        <f>IF($U749="","",INDEX(상세표[22~06시],$U749))</f>
        <v/>
      </c>
      <c r="T749" s="20">
        <f>IF($U749="","",INDEX(상세표[기록 시간외],$U749))</f>
        <v/>
      </c>
      <c r="U749" s="4">
        <f>IFERROR(MATCH(744,상세표[발송순번],0),"")</f>
        <v/>
      </c>
    </row>
    <row r="750">
      <c r="J750">
        <f>IF($U750="","",INDEX(상세표[사번],$U750)&amp;"")</f>
        <v/>
      </c>
      <c r="K750">
        <f>IF($U750="","",INDEX(상세표[성명],$U750)&amp;"")</f>
        <v/>
      </c>
      <c r="L750">
        <f>IF($U750="","",INDEX(상세표[직위],$U750)&amp;"")</f>
        <v/>
      </c>
      <c r="M750">
        <f>IF($U750="","",IF(ISNUMBER(INDEX(상세표[근무일자],$U750)),TEXT(INDEX(상세표[근무일자],$U750),"yyyy-mm-dd"),INDEX(상세표[근무일자],$U750)&amp;""))</f>
        <v/>
      </c>
      <c r="N750">
        <f>IF($U750="","",IF(ISNUMBER(INDEX(상세표[시작],$U750)),TEXT(INDEX(상세표[시작],$U750),"yyyy-mm-dd hh:mm"),INDEX(상세표[시작],$U750)&amp;""))</f>
        <v/>
      </c>
      <c r="O750">
        <f>IF($U750="","",IF(ISNUMBER(INDEX(상세표[종료],$U750)),TEXT(INDEX(상세표[종료],$U750),"yyyy-mm-dd hh:mm"),INDEX(상세표[종료],$U750)&amp;""))</f>
        <v/>
      </c>
      <c r="P750" s="20">
        <f>IF($U750="","",INDEX(상세표[06~07시],$U750))</f>
        <v/>
      </c>
      <c r="Q750" s="20">
        <f>IF($U750="","",INDEX(상세표[07~18시],$U750))</f>
        <v/>
      </c>
      <c r="R750" s="20">
        <f>IF($U750="","",INDEX(상세표[18~22시],$U750))</f>
        <v/>
      </c>
      <c r="S750" s="20">
        <f>IF($U750="","",INDEX(상세표[22~06시],$U750))</f>
        <v/>
      </c>
      <c r="T750" s="20">
        <f>IF($U750="","",INDEX(상세표[기록 시간외],$U750))</f>
        <v/>
      </c>
      <c r="U750" s="4">
        <f>IFERROR(MATCH(745,상세표[발송순번],0),"")</f>
        <v/>
      </c>
    </row>
    <row r="751">
      <c r="J751">
        <f>IF($U751="","",INDEX(상세표[사번],$U751)&amp;"")</f>
        <v/>
      </c>
      <c r="K751">
        <f>IF($U751="","",INDEX(상세표[성명],$U751)&amp;"")</f>
        <v/>
      </c>
      <c r="L751">
        <f>IF($U751="","",INDEX(상세표[직위],$U751)&amp;"")</f>
        <v/>
      </c>
      <c r="M751">
        <f>IF($U751="","",IF(ISNUMBER(INDEX(상세표[근무일자],$U751)),TEXT(INDEX(상세표[근무일자],$U751),"yyyy-mm-dd"),INDEX(상세표[근무일자],$U751)&amp;""))</f>
        <v/>
      </c>
      <c r="N751">
        <f>IF($U751="","",IF(ISNUMBER(INDEX(상세표[시작],$U751)),TEXT(INDEX(상세표[시작],$U751),"yyyy-mm-dd hh:mm"),INDEX(상세표[시작],$U751)&amp;""))</f>
        <v/>
      </c>
      <c r="O751">
        <f>IF($U751="","",IF(ISNUMBER(INDEX(상세표[종료],$U751)),TEXT(INDEX(상세표[종료],$U751),"yyyy-mm-dd hh:mm"),INDEX(상세표[종료],$U751)&amp;""))</f>
        <v/>
      </c>
      <c r="P751" s="20">
        <f>IF($U751="","",INDEX(상세표[06~07시],$U751))</f>
        <v/>
      </c>
      <c r="Q751" s="20">
        <f>IF($U751="","",INDEX(상세표[07~18시],$U751))</f>
        <v/>
      </c>
      <c r="R751" s="20">
        <f>IF($U751="","",INDEX(상세표[18~22시],$U751))</f>
        <v/>
      </c>
      <c r="S751" s="20">
        <f>IF($U751="","",INDEX(상세표[22~06시],$U751))</f>
        <v/>
      </c>
      <c r="T751" s="20">
        <f>IF($U751="","",INDEX(상세표[기록 시간외],$U751))</f>
        <v/>
      </c>
      <c r="U751" s="4">
        <f>IFERROR(MATCH(746,상세표[발송순번],0),"")</f>
        <v/>
      </c>
    </row>
    <row r="752">
      <c r="J752">
        <f>IF($U752="","",INDEX(상세표[사번],$U752)&amp;"")</f>
        <v/>
      </c>
      <c r="K752">
        <f>IF($U752="","",INDEX(상세표[성명],$U752)&amp;"")</f>
        <v/>
      </c>
      <c r="L752">
        <f>IF($U752="","",INDEX(상세표[직위],$U752)&amp;"")</f>
        <v/>
      </c>
      <c r="M752">
        <f>IF($U752="","",IF(ISNUMBER(INDEX(상세표[근무일자],$U752)),TEXT(INDEX(상세표[근무일자],$U752),"yyyy-mm-dd"),INDEX(상세표[근무일자],$U752)&amp;""))</f>
        <v/>
      </c>
      <c r="N752">
        <f>IF($U752="","",IF(ISNUMBER(INDEX(상세표[시작],$U752)),TEXT(INDEX(상세표[시작],$U752),"yyyy-mm-dd hh:mm"),INDEX(상세표[시작],$U752)&amp;""))</f>
        <v/>
      </c>
      <c r="O752">
        <f>IF($U752="","",IF(ISNUMBER(INDEX(상세표[종료],$U752)),TEXT(INDEX(상세표[종료],$U752),"yyyy-mm-dd hh:mm"),INDEX(상세표[종료],$U752)&amp;""))</f>
        <v/>
      </c>
      <c r="P752" s="20">
        <f>IF($U752="","",INDEX(상세표[06~07시],$U752))</f>
        <v/>
      </c>
      <c r="Q752" s="20">
        <f>IF($U752="","",INDEX(상세표[07~18시],$U752))</f>
        <v/>
      </c>
      <c r="R752" s="20">
        <f>IF($U752="","",INDEX(상세표[18~22시],$U752))</f>
        <v/>
      </c>
      <c r="S752" s="20">
        <f>IF($U752="","",INDEX(상세표[22~06시],$U752))</f>
        <v/>
      </c>
      <c r="T752" s="20">
        <f>IF($U752="","",INDEX(상세표[기록 시간외],$U752))</f>
        <v/>
      </c>
      <c r="U752" s="4">
        <f>IFERROR(MATCH(747,상세표[발송순번],0),"")</f>
        <v/>
      </c>
    </row>
    <row r="753">
      <c r="J753">
        <f>IF($U753="","",INDEX(상세표[사번],$U753)&amp;"")</f>
        <v/>
      </c>
      <c r="K753">
        <f>IF($U753="","",INDEX(상세표[성명],$U753)&amp;"")</f>
        <v/>
      </c>
      <c r="L753">
        <f>IF($U753="","",INDEX(상세표[직위],$U753)&amp;"")</f>
        <v/>
      </c>
      <c r="M753">
        <f>IF($U753="","",IF(ISNUMBER(INDEX(상세표[근무일자],$U753)),TEXT(INDEX(상세표[근무일자],$U753),"yyyy-mm-dd"),INDEX(상세표[근무일자],$U753)&amp;""))</f>
        <v/>
      </c>
      <c r="N753">
        <f>IF($U753="","",IF(ISNUMBER(INDEX(상세표[시작],$U753)),TEXT(INDEX(상세표[시작],$U753),"yyyy-mm-dd hh:mm"),INDEX(상세표[시작],$U753)&amp;""))</f>
        <v/>
      </c>
      <c r="O753">
        <f>IF($U753="","",IF(ISNUMBER(INDEX(상세표[종료],$U753)),TEXT(INDEX(상세표[종료],$U753),"yyyy-mm-dd hh:mm"),INDEX(상세표[종료],$U753)&amp;""))</f>
        <v/>
      </c>
      <c r="P753" s="20">
        <f>IF($U753="","",INDEX(상세표[06~07시],$U753))</f>
        <v/>
      </c>
      <c r="Q753" s="20">
        <f>IF($U753="","",INDEX(상세표[07~18시],$U753))</f>
        <v/>
      </c>
      <c r="R753" s="20">
        <f>IF($U753="","",INDEX(상세표[18~22시],$U753))</f>
        <v/>
      </c>
      <c r="S753" s="20">
        <f>IF($U753="","",INDEX(상세표[22~06시],$U753))</f>
        <v/>
      </c>
      <c r="T753" s="20">
        <f>IF($U753="","",INDEX(상세표[기록 시간외],$U753))</f>
        <v/>
      </c>
      <c r="U753" s="4">
        <f>IFERROR(MATCH(748,상세표[발송순번],0),"")</f>
        <v/>
      </c>
    </row>
    <row r="754">
      <c r="J754">
        <f>IF($U754="","",INDEX(상세표[사번],$U754)&amp;"")</f>
        <v/>
      </c>
      <c r="K754">
        <f>IF($U754="","",INDEX(상세표[성명],$U754)&amp;"")</f>
        <v/>
      </c>
      <c r="L754">
        <f>IF($U754="","",INDEX(상세표[직위],$U754)&amp;"")</f>
        <v/>
      </c>
      <c r="M754">
        <f>IF($U754="","",IF(ISNUMBER(INDEX(상세표[근무일자],$U754)),TEXT(INDEX(상세표[근무일자],$U754),"yyyy-mm-dd"),INDEX(상세표[근무일자],$U754)&amp;""))</f>
        <v/>
      </c>
      <c r="N754">
        <f>IF($U754="","",IF(ISNUMBER(INDEX(상세표[시작],$U754)),TEXT(INDEX(상세표[시작],$U754),"yyyy-mm-dd hh:mm"),INDEX(상세표[시작],$U754)&amp;""))</f>
        <v/>
      </c>
      <c r="O754">
        <f>IF($U754="","",IF(ISNUMBER(INDEX(상세표[종료],$U754)),TEXT(INDEX(상세표[종료],$U754),"yyyy-mm-dd hh:mm"),INDEX(상세표[종료],$U754)&amp;""))</f>
        <v/>
      </c>
      <c r="P754" s="20">
        <f>IF($U754="","",INDEX(상세표[06~07시],$U754))</f>
        <v/>
      </c>
      <c r="Q754" s="20">
        <f>IF($U754="","",INDEX(상세표[07~18시],$U754))</f>
        <v/>
      </c>
      <c r="R754" s="20">
        <f>IF($U754="","",INDEX(상세표[18~22시],$U754))</f>
        <v/>
      </c>
      <c r="S754" s="20">
        <f>IF($U754="","",INDEX(상세표[22~06시],$U754))</f>
        <v/>
      </c>
      <c r="T754" s="20">
        <f>IF($U754="","",INDEX(상세표[기록 시간외],$U754))</f>
        <v/>
      </c>
      <c r="U754" s="4">
        <f>IFERROR(MATCH(749,상세표[발송순번],0),"")</f>
        <v/>
      </c>
    </row>
    <row r="755">
      <c r="J755">
        <f>IF($U755="","",INDEX(상세표[사번],$U755)&amp;"")</f>
        <v/>
      </c>
      <c r="K755">
        <f>IF($U755="","",INDEX(상세표[성명],$U755)&amp;"")</f>
        <v/>
      </c>
      <c r="L755">
        <f>IF($U755="","",INDEX(상세표[직위],$U755)&amp;"")</f>
        <v/>
      </c>
      <c r="M755">
        <f>IF($U755="","",IF(ISNUMBER(INDEX(상세표[근무일자],$U755)),TEXT(INDEX(상세표[근무일자],$U755),"yyyy-mm-dd"),INDEX(상세표[근무일자],$U755)&amp;""))</f>
        <v/>
      </c>
      <c r="N755">
        <f>IF($U755="","",IF(ISNUMBER(INDEX(상세표[시작],$U755)),TEXT(INDEX(상세표[시작],$U755),"yyyy-mm-dd hh:mm"),INDEX(상세표[시작],$U755)&amp;""))</f>
        <v/>
      </c>
      <c r="O755">
        <f>IF($U755="","",IF(ISNUMBER(INDEX(상세표[종료],$U755)),TEXT(INDEX(상세표[종료],$U755),"yyyy-mm-dd hh:mm"),INDEX(상세표[종료],$U755)&amp;""))</f>
        <v/>
      </c>
      <c r="P755" s="20">
        <f>IF($U755="","",INDEX(상세표[06~07시],$U755))</f>
        <v/>
      </c>
      <c r="Q755" s="20">
        <f>IF($U755="","",INDEX(상세표[07~18시],$U755))</f>
        <v/>
      </c>
      <c r="R755" s="20">
        <f>IF($U755="","",INDEX(상세표[18~22시],$U755))</f>
        <v/>
      </c>
      <c r="S755" s="20">
        <f>IF($U755="","",INDEX(상세표[22~06시],$U755))</f>
        <v/>
      </c>
      <c r="T755" s="20">
        <f>IF($U755="","",INDEX(상세표[기록 시간외],$U755))</f>
        <v/>
      </c>
      <c r="U755" s="4">
        <f>IFERROR(MATCH(750,상세표[발송순번],0),"")</f>
        <v/>
      </c>
    </row>
    <row r="756">
      <c r="J756">
        <f>IF($U756="","",INDEX(상세표[사번],$U756)&amp;"")</f>
        <v/>
      </c>
      <c r="K756">
        <f>IF($U756="","",INDEX(상세표[성명],$U756)&amp;"")</f>
        <v/>
      </c>
      <c r="L756">
        <f>IF($U756="","",INDEX(상세표[직위],$U756)&amp;"")</f>
        <v/>
      </c>
      <c r="M756">
        <f>IF($U756="","",IF(ISNUMBER(INDEX(상세표[근무일자],$U756)),TEXT(INDEX(상세표[근무일자],$U756),"yyyy-mm-dd"),INDEX(상세표[근무일자],$U756)&amp;""))</f>
        <v/>
      </c>
      <c r="N756">
        <f>IF($U756="","",IF(ISNUMBER(INDEX(상세표[시작],$U756)),TEXT(INDEX(상세표[시작],$U756),"yyyy-mm-dd hh:mm"),INDEX(상세표[시작],$U756)&amp;""))</f>
        <v/>
      </c>
      <c r="O756">
        <f>IF($U756="","",IF(ISNUMBER(INDEX(상세표[종료],$U756)),TEXT(INDEX(상세표[종료],$U756),"yyyy-mm-dd hh:mm"),INDEX(상세표[종료],$U756)&amp;""))</f>
        <v/>
      </c>
      <c r="P756" s="20">
        <f>IF($U756="","",INDEX(상세표[06~07시],$U756))</f>
        <v/>
      </c>
      <c r="Q756" s="20">
        <f>IF($U756="","",INDEX(상세표[07~18시],$U756))</f>
        <v/>
      </c>
      <c r="R756" s="20">
        <f>IF($U756="","",INDEX(상세표[18~22시],$U756))</f>
        <v/>
      </c>
      <c r="S756" s="20">
        <f>IF($U756="","",INDEX(상세표[22~06시],$U756))</f>
        <v/>
      </c>
      <c r="T756" s="20">
        <f>IF($U756="","",INDEX(상세표[기록 시간외],$U756))</f>
        <v/>
      </c>
      <c r="U756" s="4">
        <f>IFERROR(MATCH(751,상세표[발송순번],0),"")</f>
        <v/>
      </c>
    </row>
    <row r="757">
      <c r="J757">
        <f>IF($U757="","",INDEX(상세표[사번],$U757)&amp;"")</f>
        <v/>
      </c>
      <c r="K757">
        <f>IF($U757="","",INDEX(상세표[성명],$U757)&amp;"")</f>
        <v/>
      </c>
      <c r="L757">
        <f>IF($U757="","",INDEX(상세표[직위],$U757)&amp;"")</f>
        <v/>
      </c>
      <c r="M757">
        <f>IF($U757="","",IF(ISNUMBER(INDEX(상세표[근무일자],$U757)),TEXT(INDEX(상세표[근무일자],$U757),"yyyy-mm-dd"),INDEX(상세표[근무일자],$U757)&amp;""))</f>
        <v/>
      </c>
      <c r="N757">
        <f>IF($U757="","",IF(ISNUMBER(INDEX(상세표[시작],$U757)),TEXT(INDEX(상세표[시작],$U757),"yyyy-mm-dd hh:mm"),INDEX(상세표[시작],$U757)&amp;""))</f>
        <v/>
      </c>
      <c r="O757">
        <f>IF($U757="","",IF(ISNUMBER(INDEX(상세표[종료],$U757)),TEXT(INDEX(상세표[종료],$U757),"yyyy-mm-dd hh:mm"),INDEX(상세표[종료],$U757)&amp;""))</f>
        <v/>
      </c>
      <c r="P757" s="20">
        <f>IF($U757="","",INDEX(상세표[06~07시],$U757))</f>
        <v/>
      </c>
      <c r="Q757" s="20">
        <f>IF($U757="","",INDEX(상세표[07~18시],$U757))</f>
        <v/>
      </c>
      <c r="R757" s="20">
        <f>IF($U757="","",INDEX(상세표[18~22시],$U757))</f>
        <v/>
      </c>
      <c r="S757" s="20">
        <f>IF($U757="","",INDEX(상세표[22~06시],$U757))</f>
        <v/>
      </c>
      <c r="T757" s="20">
        <f>IF($U757="","",INDEX(상세표[기록 시간외],$U757))</f>
        <v/>
      </c>
      <c r="U757" s="4">
        <f>IFERROR(MATCH(752,상세표[발송순번],0),"")</f>
        <v/>
      </c>
    </row>
    <row r="758">
      <c r="J758">
        <f>IF($U758="","",INDEX(상세표[사번],$U758)&amp;"")</f>
        <v/>
      </c>
      <c r="K758">
        <f>IF($U758="","",INDEX(상세표[성명],$U758)&amp;"")</f>
        <v/>
      </c>
      <c r="L758">
        <f>IF($U758="","",INDEX(상세표[직위],$U758)&amp;"")</f>
        <v/>
      </c>
      <c r="M758">
        <f>IF($U758="","",IF(ISNUMBER(INDEX(상세표[근무일자],$U758)),TEXT(INDEX(상세표[근무일자],$U758),"yyyy-mm-dd"),INDEX(상세표[근무일자],$U758)&amp;""))</f>
        <v/>
      </c>
      <c r="N758">
        <f>IF($U758="","",IF(ISNUMBER(INDEX(상세표[시작],$U758)),TEXT(INDEX(상세표[시작],$U758),"yyyy-mm-dd hh:mm"),INDEX(상세표[시작],$U758)&amp;""))</f>
        <v/>
      </c>
      <c r="O758">
        <f>IF($U758="","",IF(ISNUMBER(INDEX(상세표[종료],$U758)),TEXT(INDEX(상세표[종료],$U758),"yyyy-mm-dd hh:mm"),INDEX(상세표[종료],$U758)&amp;""))</f>
        <v/>
      </c>
      <c r="P758" s="20">
        <f>IF($U758="","",INDEX(상세표[06~07시],$U758))</f>
        <v/>
      </c>
      <c r="Q758" s="20">
        <f>IF($U758="","",INDEX(상세표[07~18시],$U758))</f>
        <v/>
      </c>
      <c r="R758" s="20">
        <f>IF($U758="","",INDEX(상세표[18~22시],$U758))</f>
        <v/>
      </c>
      <c r="S758" s="20">
        <f>IF($U758="","",INDEX(상세표[22~06시],$U758))</f>
        <v/>
      </c>
      <c r="T758" s="20">
        <f>IF($U758="","",INDEX(상세표[기록 시간외],$U758))</f>
        <v/>
      </c>
      <c r="U758" s="4">
        <f>IFERROR(MATCH(753,상세표[발송순번],0),"")</f>
        <v/>
      </c>
    </row>
    <row r="759">
      <c r="J759">
        <f>IF($U759="","",INDEX(상세표[사번],$U759)&amp;"")</f>
        <v/>
      </c>
      <c r="K759">
        <f>IF($U759="","",INDEX(상세표[성명],$U759)&amp;"")</f>
        <v/>
      </c>
      <c r="L759">
        <f>IF($U759="","",INDEX(상세표[직위],$U759)&amp;"")</f>
        <v/>
      </c>
      <c r="M759">
        <f>IF($U759="","",IF(ISNUMBER(INDEX(상세표[근무일자],$U759)),TEXT(INDEX(상세표[근무일자],$U759),"yyyy-mm-dd"),INDEX(상세표[근무일자],$U759)&amp;""))</f>
        <v/>
      </c>
      <c r="N759">
        <f>IF($U759="","",IF(ISNUMBER(INDEX(상세표[시작],$U759)),TEXT(INDEX(상세표[시작],$U759),"yyyy-mm-dd hh:mm"),INDEX(상세표[시작],$U759)&amp;""))</f>
        <v/>
      </c>
      <c r="O759">
        <f>IF($U759="","",IF(ISNUMBER(INDEX(상세표[종료],$U759)),TEXT(INDEX(상세표[종료],$U759),"yyyy-mm-dd hh:mm"),INDEX(상세표[종료],$U759)&amp;""))</f>
        <v/>
      </c>
      <c r="P759" s="20">
        <f>IF($U759="","",INDEX(상세표[06~07시],$U759))</f>
        <v/>
      </c>
      <c r="Q759" s="20">
        <f>IF($U759="","",INDEX(상세표[07~18시],$U759))</f>
        <v/>
      </c>
      <c r="R759" s="20">
        <f>IF($U759="","",INDEX(상세표[18~22시],$U759))</f>
        <v/>
      </c>
      <c r="S759" s="20">
        <f>IF($U759="","",INDEX(상세표[22~06시],$U759))</f>
        <v/>
      </c>
      <c r="T759" s="20">
        <f>IF($U759="","",INDEX(상세표[기록 시간외],$U759))</f>
        <v/>
      </c>
      <c r="U759" s="4">
        <f>IFERROR(MATCH(754,상세표[발송순번],0),"")</f>
        <v/>
      </c>
    </row>
    <row r="760">
      <c r="J760">
        <f>IF($U760="","",INDEX(상세표[사번],$U760)&amp;"")</f>
        <v/>
      </c>
      <c r="K760">
        <f>IF($U760="","",INDEX(상세표[성명],$U760)&amp;"")</f>
        <v/>
      </c>
      <c r="L760">
        <f>IF($U760="","",INDEX(상세표[직위],$U760)&amp;"")</f>
        <v/>
      </c>
      <c r="M760">
        <f>IF($U760="","",IF(ISNUMBER(INDEX(상세표[근무일자],$U760)),TEXT(INDEX(상세표[근무일자],$U760),"yyyy-mm-dd"),INDEX(상세표[근무일자],$U760)&amp;""))</f>
        <v/>
      </c>
      <c r="N760">
        <f>IF($U760="","",IF(ISNUMBER(INDEX(상세표[시작],$U760)),TEXT(INDEX(상세표[시작],$U760),"yyyy-mm-dd hh:mm"),INDEX(상세표[시작],$U760)&amp;""))</f>
        <v/>
      </c>
      <c r="O760">
        <f>IF($U760="","",IF(ISNUMBER(INDEX(상세표[종료],$U760)),TEXT(INDEX(상세표[종료],$U760),"yyyy-mm-dd hh:mm"),INDEX(상세표[종료],$U760)&amp;""))</f>
        <v/>
      </c>
      <c r="P760" s="20">
        <f>IF($U760="","",INDEX(상세표[06~07시],$U760))</f>
        <v/>
      </c>
      <c r="Q760" s="20">
        <f>IF($U760="","",INDEX(상세표[07~18시],$U760))</f>
        <v/>
      </c>
      <c r="R760" s="20">
        <f>IF($U760="","",INDEX(상세표[18~22시],$U760))</f>
        <v/>
      </c>
      <c r="S760" s="20">
        <f>IF($U760="","",INDEX(상세표[22~06시],$U760))</f>
        <v/>
      </c>
      <c r="T760" s="20">
        <f>IF($U760="","",INDEX(상세표[기록 시간외],$U760))</f>
        <v/>
      </c>
      <c r="U760" s="4">
        <f>IFERROR(MATCH(755,상세표[발송순번],0),"")</f>
        <v/>
      </c>
    </row>
    <row r="761">
      <c r="J761">
        <f>IF($U761="","",INDEX(상세표[사번],$U761)&amp;"")</f>
        <v/>
      </c>
      <c r="K761">
        <f>IF($U761="","",INDEX(상세표[성명],$U761)&amp;"")</f>
        <v/>
      </c>
      <c r="L761">
        <f>IF($U761="","",INDEX(상세표[직위],$U761)&amp;"")</f>
        <v/>
      </c>
      <c r="M761">
        <f>IF($U761="","",IF(ISNUMBER(INDEX(상세표[근무일자],$U761)),TEXT(INDEX(상세표[근무일자],$U761),"yyyy-mm-dd"),INDEX(상세표[근무일자],$U761)&amp;""))</f>
        <v/>
      </c>
      <c r="N761">
        <f>IF($U761="","",IF(ISNUMBER(INDEX(상세표[시작],$U761)),TEXT(INDEX(상세표[시작],$U761),"yyyy-mm-dd hh:mm"),INDEX(상세표[시작],$U761)&amp;""))</f>
        <v/>
      </c>
      <c r="O761">
        <f>IF($U761="","",IF(ISNUMBER(INDEX(상세표[종료],$U761)),TEXT(INDEX(상세표[종료],$U761),"yyyy-mm-dd hh:mm"),INDEX(상세표[종료],$U761)&amp;""))</f>
        <v/>
      </c>
      <c r="P761" s="20">
        <f>IF($U761="","",INDEX(상세표[06~07시],$U761))</f>
        <v/>
      </c>
      <c r="Q761" s="20">
        <f>IF($U761="","",INDEX(상세표[07~18시],$U761))</f>
        <v/>
      </c>
      <c r="R761" s="20">
        <f>IF($U761="","",INDEX(상세표[18~22시],$U761))</f>
        <v/>
      </c>
      <c r="S761" s="20">
        <f>IF($U761="","",INDEX(상세표[22~06시],$U761))</f>
        <v/>
      </c>
      <c r="T761" s="20">
        <f>IF($U761="","",INDEX(상세표[기록 시간외],$U761))</f>
        <v/>
      </c>
      <c r="U761" s="4">
        <f>IFERROR(MATCH(756,상세표[발송순번],0),"")</f>
        <v/>
      </c>
    </row>
    <row r="762">
      <c r="J762">
        <f>IF($U762="","",INDEX(상세표[사번],$U762)&amp;"")</f>
        <v/>
      </c>
      <c r="K762">
        <f>IF($U762="","",INDEX(상세표[성명],$U762)&amp;"")</f>
        <v/>
      </c>
      <c r="L762">
        <f>IF($U762="","",INDEX(상세표[직위],$U762)&amp;"")</f>
        <v/>
      </c>
      <c r="M762">
        <f>IF($U762="","",IF(ISNUMBER(INDEX(상세표[근무일자],$U762)),TEXT(INDEX(상세표[근무일자],$U762),"yyyy-mm-dd"),INDEX(상세표[근무일자],$U762)&amp;""))</f>
        <v/>
      </c>
      <c r="N762">
        <f>IF($U762="","",IF(ISNUMBER(INDEX(상세표[시작],$U762)),TEXT(INDEX(상세표[시작],$U762),"yyyy-mm-dd hh:mm"),INDEX(상세표[시작],$U762)&amp;""))</f>
        <v/>
      </c>
      <c r="O762">
        <f>IF($U762="","",IF(ISNUMBER(INDEX(상세표[종료],$U762)),TEXT(INDEX(상세표[종료],$U762),"yyyy-mm-dd hh:mm"),INDEX(상세표[종료],$U762)&amp;""))</f>
        <v/>
      </c>
      <c r="P762" s="20">
        <f>IF($U762="","",INDEX(상세표[06~07시],$U762))</f>
        <v/>
      </c>
      <c r="Q762" s="20">
        <f>IF($U762="","",INDEX(상세표[07~18시],$U762))</f>
        <v/>
      </c>
      <c r="R762" s="20">
        <f>IF($U762="","",INDEX(상세표[18~22시],$U762))</f>
        <v/>
      </c>
      <c r="S762" s="20">
        <f>IF($U762="","",INDEX(상세표[22~06시],$U762))</f>
        <v/>
      </c>
      <c r="T762" s="20">
        <f>IF($U762="","",INDEX(상세표[기록 시간외],$U762))</f>
        <v/>
      </c>
      <c r="U762" s="4">
        <f>IFERROR(MATCH(757,상세표[발송순번],0),"")</f>
        <v/>
      </c>
    </row>
    <row r="763">
      <c r="J763">
        <f>IF($U763="","",INDEX(상세표[사번],$U763)&amp;"")</f>
        <v/>
      </c>
      <c r="K763">
        <f>IF($U763="","",INDEX(상세표[성명],$U763)&amp;"")</f>
        <v/>
      </c>
      <c r="L763">
        <f>IF($U763="","",INDEX(상세표[직위],$U763)&amp;"")</f>
        <v/>
      </c>
      <c r="M763">
        <f>IF($U763="","",IF(ISNUMBER(INDEX(상세표[근무일자],$U763)),TEXT(INDEX(상세표[근무일자],$U763),"yyyy-mm-dd"),INDEX(상세표[근무일자],$U763)&amp;""))</f>
        <v/>
      </c>
      <c r="N763">
        <f>IF($U763="","",IF(ISNUMBER(INDEX(상세표[시작],$U763)),TEXT(INDEX(상세표[시작],$U763),"yyyy-mm-dd hh:mm"),INDEX(상세표[시작],$U763)&amp;""))</f>
        <v/>
      </c>
      <c r="O763">
        <f>IF($U763="","",IF(ISNUMBER(INDEX(상세표[종료],$U763)),TEXT(INDEX(상세표[종료],$U763),"yyyy-mm-dd hh:mm"),INDEX(상세표[종료],$U763)&amp;""))</f>
        <v/>
      </c>
      <c r="P763" s="20">
        <f>IF($U763="","",INDEX(상세표[06~07시],$U763))</f>
        <v/>
      </c>
      <c r="Q763" s="20">
        <f>IF($U763="","",INDEX(상세표[07~18시],$U763))</f>
        <v/>
      </c>
      <c r="R763" s="20">
        <f>IF($U763="","",INDEX(상세표[18~22시],$U763))</f>
        <v/>
      </c>
      <c r="S763" s="20">
        <f>IF($U763="","",INDEX(상세표[22~06시],$U763))</f>
        <v/>
      </c>
      <c r="T763" s="20">
        <f>IF($U763="","",INDEX(상세표[기록 시간외],$U763))</f>
        <v/>
      </c>
      <c r="U763" s="4">
        <f>IFERROR(MATCH(758,상세표[발송순번],0),"")</f>
        <v/>
      </c>
    </row>
    <row r="764">
      <c r="J764">
        <f>IF($U764="","",INDEX(상세표[사번],$U764)&amp;"")</f>
        <v/>
      </c>
      <c r="K764">
        <f>IF($U764="","",INDEX(상세표[성명],$U764)&amp;"")</f>
        <v/>
      </c>
      <c r="L764">
        <f>IF($U764="","",INDEX(상세표[직위],$U764)&amp;"")</f>
        <v/>
      </c>
      <c r="M764">
        <f>IF($U764="","",IF(ISNUMBER(INDEX(상세표[근무일자],$U764)),TEXT(INDEX(상세표[근무일자],$U764),"yyyy-mm-dd"),INDEX(상세표[근무일자],$U764)&amp;""))</f>
        <v/>
      </c>
      <c r="N764">
        <f>IF($U764="","",IF(ISNUMBER(INDEX(상세표[시작],$U764)),TEXT(INDEX(상세표[시작],$U764),"yyyy-mm-dd hh:mm"),INDEX(상세표[시작],$U764)&amp;""))</f>
        <v/>
      </c>
      <c r="O764">
        <f>IF($U764="","",IF(ISNUMBER(INDEX(상세표[종료],$U764)),TEXT(INDEX(상세표[종료],$U764),"yyyy-mm-dd hh:mm"),INDEX(상세표[종료],$U764)&amp;""))</f>
        <v/>
      </c>
      <c r="P764" s="20">
        <f>IF($U764="","",INDEX(상세표[06~07시],$U764))</f>
        <v/>
      </c>
      <c r="Q764" s="20">
        <f>IF($U764="","",INDEX(상세표[07~18시],$U764))</f>
        <v/>
      </c>
      <c r="R764" s="20">
        <f>IF($U764="","",INDEX(상세표[18~22시],$U764))</f>
        <v/>
      </c>
      <c r="S764" s="20">
        <f>IF($U764="","",INDEX(상세표[22~06시],$U764))</f>
        <v/>
      </c>
      <c r="T764" s="20">
        <f>IF($U764="","",INDEX(상세표[기록 시간외],$U764))</f>
        <v/>
      </c>
      <c r="U764" s="4">
        <f>IFERROR(MATCH(759,상세표[발송순번],0),"")</f>
        <v/>
      </c>
    </row>
    <row r="765">
      <c r="J765">
        <f>IF($U765="","",INDEX(상세표[사번],$U765)&amp;"")</f>
        <v/>
      </c>
      <c r="K765">
        <f>IF($U765="","",INDEX(상세표[성명],$U765)&amp;"")</f>
        <v/>
      </c>
      <c r="L765">
        <f>IF($U765="","",INDEX(상세표[직위],$U765)&amp;"")</f>
        <v/>
      </c>
      <c r="M765">
        <f>IF($U765="","",IF(ISNUMBER(INDEX(상세표[근무일자],$U765)),TEXT(INDEX(상세표[근무일자],$U765),"yyyy-mm-dd"),INDEX(상세표[근무일자],$U765)&amp;""))</f>
        <v/>
      </c>
      <c r="N765">
        <f>IF($U765="","",IF(ISNUMBER(INDEX(상세표[시작],$U765)),TEXT(INDEX(상세표[시작],$U765),"yyyy-mm-dd hh:mm"),INDEX(상세표[시작],$U765)&amp;""))</f>
        <v/>
      </c>
      <c r="O765">
        <f>IF($U765="","",IF(ISNUMBER(INDEX(상세표[종료],$U765)),TEXT(INDEX(상세표[종료],$U765),"yyyy-mm-dd hh:mm"),INDEX(상세표[종료],$U765)&amp;""))</f>
        <v/>
      </c>
      <c r="P765" s="20">
        <f>IF($U765="","",INDEX(상세표[06~07시],$U765))</f>
        <v/>
      </c>
      <c r="Q765" s="20">
        <f>IF($U765="","",INDEX(상세표[07~18시],$U765))</f>
        <v/>
      </c>
      <c r="R765" s="20">
        <f>IF($U765="","",INDEX(상세표[18~22시],$U765))</f>
        <v/>
      </c>
      <c r="S765" s="20">
        <f>IF($U765="","",INDEX(상세표[22~06시],$U765))</f>
        <v/>
      </c>
      <c r="T765" s="20">
        <f>IF($U765="","",INDEX(상세표[기록 시간외],$U765))</f>
        <v/>
      </c>
      <c r="U765" s="4">
        <f>IFERROR(MATCH(760,상세표[발송순번],0),"")</f>
        <v/>
      </c>
    </row>
    <row r="766">
      <c r="J766">
        <f>IF($U766="","",INDEX(상세표[사번],$U766)&amp;"")</f>
        <v/>
      </c>
      <c r="K766">
        <f>IF($U766="","",INDEX(상세표[성명],$U766)&amp;"")</f>
        <v/>
      </c>
      <c r="L766">
        <f>IF($U766="","",INDEX(상세표[직위],$U766)&amp;"")</f>
        <v/>
      </c>
      <c r="M766">
        <f>IF($U766="","",IF(ISNUMBER(INDEX(상세표[근무일자],$U766)),TEXT(INDEX(상세표[근무일자],$U766),"yyyy-mm-dd"),INDEX(상세표[근무일자],$U766)&amp;""))</f>
        <v/>
      </c>
      <c r="N766">
        <f>IF($U766="","",IF(ISNUMBER(INDEX(상세표[시작],$U766)),TEXT(INDEX(상세표[시작],$U766),"yyyy-mm-dd hh:mm"),INDEX(상세표[시작],$U766)&amp;""))</f>
        <v/>
      </c>
      <c r="O766">
        <f>IF($U766="","",IF(ISNUMBER(INDEX(상세표[종료],$U766)),TEXT(INDEX(상세표[종료],$U766),"yyyy-mm-dd hh:mm"),INDEX(상세표[종료],$U766)&amp;""))</f>
        <v/>
      </c>
      <c r="P766" s="20">
        <f>IF($U766="","",INDEX(상세표[06~07시],$U766))</f>
        <v/>
      </c>
      <c r="Q766" s="20">
        <f>IF($U766="","",INDEX(상세표[07~18시],$U766))</f>
        <v/>
      </c>
      <c r="R766" s="20">
        <f>IF($U766="","",INDEX(상세표[18~22시],$U766))</f>
        <v/>
      </c>
      <c r="S766" s="20">
        <f>IF($U766="","",INDEX(상세표[22~06시],$U766))</f>
        <v/>
      </c>
      <c r="T766" s="20">
        <f>IF($U766="","",INDEX(상세표[기록 시간외],$U766))</f>
        <v/>
      </c>
      <c r="U766" s="4">
        <f>IFERROR(MATCH(761,상세표[발송순번],0),"")</f>
        <v/>
      </c>
    </row>
    <row r="767">
      <c r="J767">
        <f>IF($U767="","",INDEX(상세표[사번],$U767)&amp;"")</f>
        <v/>
      </c>
      <c r="K767">
        <f>IF($U767="","",INDEX(상세표[성명],$U767)&amp;"")</f>
        <v/>
      </c>
      <c r="L767">
        <f>IF($U767="","",INDEX(상세표[직위],$U767)&amp;"")</f>
        <v/>
      </c>
      <c r="M767">
        <f>IF($U767="","",IF(ISNUMBER(INDEX(상세표[근무일자],$U767)),TEXT(INDEX(상세표[근무일자],$U767),"yyyy-mm-dd"),INDEX(상세표[근무일자],$U767)&amp;""))</f>
        <v/>
      </c>
      <c r="N767">
        <f>IF($U767="","",IF(ISNUMBER(INDEX(상세표[시작],$U767)),TEXT(INDEX(상세표[시작],$U767),"yyyy-mm-dd hh:mm"),INDEX(상세표[시작],$U767)&amp;""))</f>
        <v/>
      </c>
      <c r="O767">
        <f>IF($U767="","",IF(ISNUMBER(INDEX(상세표[종료],$U767)),TEXT(INDEX(상세표[종료],$U767),"yyyy-mm-dd hh:mm"),INDEX(상세표[종료],$U767)&amp;""))</f>
        <v/>
      </c>
      <c r="P767" s="20">
        <f>IF($U767="","",INDEX(상세표[06~07시],$U767))</f>
        <v/>
      </c>
      <c r="Q767" s="20">
        <f>IF($U767="","",INDEX(상세표[07~18시],$U767))</f>
        <v/>
      </c>
      <c r="R767" s="20">
        <f>IF($U767="","",INDEX(상세표[18~22시],$U767))</f>
        <v/>
      </c>
      <c r="S767" s="20">
        <f>IF($U767="","",INDEX(상세표[22~06시],$U767))</f>
        <v/>
      </c>
      <c r="T767" s="20">
        <f>IF($U767="","",INDEX(상세표[기록 시간외],$U767))</f>
        <v/>
      </c>
      <c r="U767" s="4">
        <f>IFERROR(MATCH(762,상세표[발송순번],0),"")</f>
        <v/>
      </c>
    </row>
    <row r="768">
      <c r="J768">
        <f>IF($U768="","",INDEX(상세표[사번],$U768)&amp;"")</f>
        <v/>
      </c>
      <c r="K768">
        <f>IF($U768="","",INDEX(상세표[성명],$U768)&amp;"")</f>
        <v/>
      </c>
      <c r="L768">
        <f>IF($U768="","",INDEX(상세표[직위],$U768)&amp;"")</f>
        <v/>
      </c>
      <c r="M768">
        <f>IF($U768="","",IF(ISNUMBER(INDEX(상세표[근무일자],$U768)),TEXT(INDEX(상세표[근무일자],$U768),"yyyy-mm-dd"),INDEX(상세표[근무일자],$U768)&amp;""))</f>
        <v/>
      </c>
      <c r="N768">
        <f>IF($U768="","",IF(ISNUMBER(INDEX(상세표[시작],$U768)),TEXT(INDEX(상세표[시작],$U768),"yyyy-mm-dd hh:mm"),INDEX(상세표[시작],$U768)&amp;""))</f>
        <v/>
      </c>
      <c r="O768">
        <f>IF($U768="","",IF(ISNUMBER(INDEX(상세표[종료],$U768)),TEXT(INDEX(상세표[종료],$U768),"yyyy-mm-dd hh:mm"),INDEX(상세표[종료],$U768)&amp;""))</f>
        <v/>
      </c>
      <c r="P768" s="20">
        <f>IF($U768="","",INDEX(상세표[06~07시],$U768))</f>
        <v/>
      </c>
      <c r="Q768" s="20">
        <f>IF($U768="","",INDEX(상세표[07~18시],$U768))</f>
        <v/>
      </c>
      <c r="R768" s="20">
        <f>IF($U768="","",INDEX(상세표[18~22시],$U768))</f>
        <v/>
      </c>
      <c r="S768" s="20">
        <f>IF($U768="","",INDEX(상세표[22~06시],$U768))</f>
        <v/>
      </c>
      <c r="T768" s="20">
        <f>IF($U768="","",INDEX(상세표[기록 시간외],$U768))</f>
        <v/>
      </c>
      <c r="U768" s="4">
        <f>IFERROR(MATCH(763,상세표[발송순번],0),"")</f>
        <v/>
      </c>
    </row>
    <row r="769">
      <c r="J769">
        <f>IF($U769="","",INDEX(상세표[사번],$U769)&amp;"")</f>
        <v/>
      </c>
      <c r="K769">
        <f>IF($U769="","",INDEX(상세표[성명],$U769)&amp;"")</f>
        <v/>
      </c>
      <c r="L769">
        <f>IF($U769="","",INDEX(상세표[직위],$U769)&amp;"")</f>
        <v/>
      </c>
      <c r="M769">
        <f>IF($U769="","",IF(ISNUMBER(INDEX(상세표[근무일자],$U769)),TEXT(INDEX(상세표[근무일자],$U769),"yyyy-mm-dd"),INDEX(상세표[근무일자],$U769)&amp;""))</f>
        <v/>
      </c>
      <c r="N769">
        <f>IF($U769="","",IF(ISNUMBER(INDEX(상세표[시작],$U769)),TEXT(INDEX(상세표[시작],$U769),"yyyy-mm-dd hh:mm"),INDEX(상세표[시작],$U769)&amp;""))</f>
        <v/>
      </c>
      <c r="O769">
        <f>IF($U769="","",IF(ISNUMBER(INDEX(상세표[종료],$U769)),TEXT(INDEX(상세표[종료],$U769),"yyyy-mm-dd hh:mm"),INDEX(상세표[종료],$U769)&amp;""))</f>
        <v/>
      </c>
      <c r="P769" s="20">
        <f>IF($U769="","",INDEX(상세표[06~07시],$U769))</f>
        <v/>
      </c>
      <c r="Q769" s="20">
        <f>IF($U769="","",INDEX(상세표[07~18시],$U769))</f>
        <v/>
      </c>
      <c r="R769" s="20">
        <f>IF($U769="","",INDEX(상세표[18~22시],$U769))</f>
        <v/>
      </c>
      <c r="S769" s="20">
        <f>IF($U769="","",INDEX(상세표[22~06시],$U769))</f>
        <v/>
      </c>
      <c r="T769" s="20">
        <f>IF($U769="","",INDEX(상세표[기록 시간외],$U769))</f>
        <v/>
      </c>
      <c r="U769" s="4">
        <f>IFERROR(MATCH(764,상세표[발송순번],0),"")</f>
        <v/>
      </c>
    </row>
    <row r="770">
      <c r="J770">
        <f>IF($U770="","",INDEX(상세표[사번],$U770)&amp;"")</f>
        <v/>
      </c>
      <c r="K770">
        <f>IF($U770="","",INDEX(상세표[성명],$U770)&amp;"")</f>
        <v/>
      </c>
      <c r="L770">
        <f>IF($U770="","",INDEX(상세표[직위],$U770)&amp;"")</f>
        <v/>
      </c>
      <c r="M770">
        <f>IF($U770="","",IF(ISNUMBER(INDEX(상세표[근무일자],$U770)),TEXT(INDEX(상세표[근무일자],$U770),"yyyy-mm-dd"),INDEX(상세표[근무일자],$U770)&amp;""))</f>
        <v/>
      </c>
      <c r="N770">
        <f>IF($U770="","",IF(ISNUMBER(INDEX(상세표[시작],$U770)),TEXT(INDEX(상세표[시작],$U770),"yyyy-mm-dd hh:mm"),INDEX(상세표[시작],$U770)&amp;""))</f>
        <v/>
      </c>
      <c r="O770">
        <f>IF($U770="","",IF(ISNUMBER(INDEX(상세표[종료],$U770)),TEXT(INDEX(상세표[종료],$U770),"yyyy-mm-dd hh:mm"),INDEX(상세표[종료],$U770)&amp;""))</f>
        <v/>
      </c>
      <c r="P770" s="20">
        <f>IF($U770="","",INDEX(상세표[06~07시],$U770))</f>
        <v/>
      </c>
      <c r="Q770" s="20">
        <f>IF($U770="","",INDEX(상세표[07~18시],$U770))</f>
        <v/>
      </c>
      <c r="R770" s="20">
        <f>IF($U770="","",INDEX(상세표[18~22시],$U770))</f>
        <v/>
      </c>
      <c r="S770" s="20">
        <f>IF($U770="","",INDEX(상세표[22~06시],$U770))</f>
        <v/>
      </c>
      <c r="T770" s="20">
        <f>IF($U770="","",INDEX(상세표[기록 시간외],$U770))</f>
        <v/>
      </c>
      <c r="U770" s="4">
        <f>IFERROR(MATCH(765,상세표[발송순번],0),"")</f>
        <v/>
      </c>
    </row>
    <row r="771">
      <c r="J771">
        <f>IF($U771="","",INDEX(상세표[사번],$U771)&amp;"")</f>
        <v/>
      </c>
      <c r="K771">
        <f>IF($U771="","",INDEX(상세표[성명],$U771)&amp;"")</f>
        <v/>
      </c>
      <c r="L771">
        <f>IF($U771="","",INDEX(상세표[직위],$U771)&amp;"")</f>
        <v/>
      </c>
      <c r="M771">
        <f>IF($U771="","",IF(ISNUMBER(INDEX(상세표[근무일자],$U771)),TEXT(INDEX(상세표[근무일자],$U771),"yyyy-mm-dd"),INDEX(상세표[근무일자],$U771)&amp;""))</f>
        <v/>
      </c>
      <c r="N771">
        <f>IF($U771="","",IF(ISNUMBER(INDEX(상세표[시작],$U771)),TEXT(INDEX(상세표[시작],$U771),"yyyy-mm-dd hh:mm"),INDEX(상세표[시작],$U771)&amp;""))</f>
        <v/>
      </c>
      <c r="O771">
        <f>IF($U771="","",IF(ISNUMBER(INDEX(상세표[종료],$U771)),TEXT(INDEX(상세표[종료],$U771),"yyyy-mm-dd hh:mm"),INDEX(상세표[종료],$U771)&amp;""))</f>
        <v/>
      </c>
      <c r="P771" s="20">
        <f>IF($U771="","",INDEX(상세표[06~07시],$U771))</f>
        <v/>
      </c>
      <c r="Q771" s="20">
        <f>IF($U771="","",INDEX(상세표[07~18시],$U771))</f>
        <v/>
      </c>
      <c r="R771" s="20">
        <f>IF($U771="","",INDEX(상세표[18~22시],$U771))</f>
        <v/>
      </c>
      <c r="S771" s="20">
        <f>IF($U771="","",INDEX(상세표[22~06시],$U771))</f>
        <v/>
      </c>
      <c r="T771" s="20">
        <f>IF($U771="","",INDEX(상세표[기록 시간외],$U771))</f>
        <v/>
      </c>
      <c r="U771" s="4">
        <f>IFERROR(MATCH(766,상세표[발송순번],0),"")</f>
        <v/>
      </c>
    </row>
    <row r="772">
      <c r="J772">
        <f>IF($U772="","",INDEX(상세표[사번],$U772)&amp;"")</f>
        <v/>
      </c>
      <c r="K772">
        <f>IF($U772="","",INDEX(상세표[성명],$U772)&amp;"")</f>
        <v/>
      </c>
      <c r="L772">
        <f>IF($U772="","",INDEX(상세표[직위],$U772)&amp;"")</f>
        <v/>
      </c>
      <c r="M772">
        <f>IF($U772="","",IF(ISNUMBER(INDEX(상세표[근무일자],$U772)),TEXT(INDEX(상세표[근무일자],$U772),"yyyy-mm-dd"),INDEX(상세표[근무일자],$U772)&amp;""))</f>
        <v/>
      </c>
      <c r="N772">
        <f>IF($U772="","",IF(ISNUMBER(INDEX(상세표[시작],$U772)),TEXT(INDEX(상세표[시작],$U772),"yyyy-mm-dd hh:mm"),INDEX(상세표[시작],$U772)&amp;""))</f>
        <v/>
      </c>
      <c r="O772">
        <f>IF($U772="","",IF(ISNUMBER(INDEX(상세표[종료],$U772)),TEXT(INDEX(상세표[종료],$U772),"yyyy-mm-dd hh:mm"),INDEX(상세표[종료],$U772)&amp;""))</f>
        <v/>
      </c>
      <c r="P772" s="20">
        <f>IF($U772="","",INDEX(상세표[06~07시],$U772))</f>
        <v/>
      </c>
      <c r="Q772" s="20">
        <f>IF($U772="","",INDEX(상세표[07~18시],$U772))</f>
        <v/>
      </c>
      <c r="R772" s="20">
        <f>IF($U772="","",INDEX(상세표[18~22시],$U772))</f>
        <v/>
      </c>
      <c r="S772" s="20">
        <f>IF($U772="","",INDEX(상세표[22~06시],$U772))</f>
        <v/>
      </c>
      <c r="T772" s="20">
        <f>IF($U772="","",INDEX(상세표[기록 시간외],$U772))</f>
        <v/>
      </c>
      <c r="U772" s="4">
        <f>IFERROR(MATCH(767,상세표[발송순번],0),"")</f>
        <v/>
      </c>
    </row>
    <row r="773">
      <c r="J773">
        <f>IF($U773="","",INDEX(상세표[사번],$U773)&amp;"")</f>
        <v/>
      </c>
      <c r="K773">
        <f>IF($U773="","",INDEX(상세표[성명],$U773)&amp;"")</f>
        <v/>
      </c>
      <c r="L773">
        <f>IF($U773="","",INDEX(상세표[직위],$U773)&amp;"")</f>
        <v/>
      </c>
      <c r="M773">
        <f>IF($U773="","",IF(ISNUMBER(INDEX(상세표[근무일자],$U773)),TEXT(INDEX(상세표[근무일자],$U773),"yyyy-mm-dd"),INDEX(상세표[근무일자],$U773)&amp;""))</f>
        <v/>
      </c>
      <c r="N773">
        <f>IF($U773="","",IF(ISNUMBER(INDEX(상세표[시작],$U773)),TEXT(INDEX(상세표[시작],$U773),"yyyy-mm-dd hh:mm"),INDEX(상세표[시작],$U773)&amp;""))</f>
        <v/>
      </c>
      <c r="O773">
        <f>IF($U773="","",IF(ISNUMBER(INDEX(상세표[종료],$U773)),TEXT(INDEX(상세표[종료],$U773),"yyyy-mm-dd hh:mm"),INDEX(상세표[종료],$U773)&amp;""))</f>
        <v/>
      </c>
      <c r="P773" s="20">
        <f>IF($U773="","",INDEX(상세표[06~07시],$U773))</f>
        <v/>
      </c>
      <c r="Q773" s="20">
        <f>IF($U773="","",INDEX(상세표[07~18시],$U773))</f>
        <v/>
      </c>
      <c r="R773" s="20">
        <f>IF($U773="","",INDEX(상세표[18~22시],$U773))</f>
        <v/>
      </c>
      <c r="S773" s="20">
        <f>IF($U773="","",INDEX(상세표[22~06시],$U773))</f>
        <v/>
      </c>
      <c r="T773" s="20">
        <f>IF($U773="","",INDEX(상세표[기록 시간외],$U773))</f>
        <v/>
      </c>
      <c r="U773" s="4">
        <f>IFERROR(MATCH(768,상세표[발송순번],0),"")</f>
        <v/>
      </c>
    </row>
    <row r="774">
      <c r="J774">
        <f>IF($U774="","",INDEX(상세표[사번],$U774)&amp;"")</f>
        <v/>
      </c>
      <c r="K774">
        <f>IF($U774="","",INDEX(상세표[성명],$U774)&amp;"")</f>
        <v/>
      </c>
      <c r="L774">
        <f>IF($U774="","",INDEX(상세표[직위],$U774)&amp;"")</f>
        <v/>
      </c>
      <c r="M774">
        <f>IF($U774="","",IF(ISNUMBER(INDEX(상세표[근무일자],$U774)),TEXT(INDEX(상세표[근무일자],$U774),"yyyy-mm-dd"),INDEX(상세표[근무일자],$U774)&amp;""))</f>
        <v/>
      </c>
      <c r="N774">
        <f>IF($U774="","",IF(ISNUMBER(INDEX(상세표[시작],$U774)),TEXT(INDEX(상세표[시작],$U774),"yyyy-mm-dd hh:mm"),INDEX(상세표[시작],$U774)&amp;""))</f>
        <v/>
      </c>
      <c r="O774">
        <f>IF($U774="","",IF(ISNUMBER(INDEX(상세표[종료],$U774)),TEXT(INDEX(상세표[종료],$U774),"yyyy-mm-dd hh:mm"),INDEX(상세표[종료],$U774)&amp;""))</f>
        <v/>
      </c>
      <c r="P774" s="20">
        <f>IF($U774="","",INDEX(상세표[06~07시],$U774))</f>
        <v/>
      </c>
      <c r="Q774" s="20">
        <f>IF($U774="","",INDEX(상세표[07~18시],$U774))</f>
        <v/>
      </c>
      <c r="R774" s="20">
        <f>IF($U774="","",INDEX(상세표[18~22시],$U774))</f>
        <v/>
      </c>
      <c r="S774" s="20">
        <f>IF($U774="","",INDEX(상세표[22~06시],$U774))</f>
        <v/>
      </c>
      <c r="T774" s="20">
        <f>IF($U774="","",INDEX(상세표[기록 시간외],$U774))</f>
        <v/>
      </c>
      <c r="U774" s="4">
        <f>IFERROR(MATCH(769,상세표[발송순번],0),"")</f>
        <v/>
      </c>
    </row>
    <row r="775">
      <c r="J775">
        <f>IF($U775="","",INDEX(상세표[사번],$U775)&amp;"")</f>
        <v/>
      </c>
      <c r="K775">
        <f>IF($U775="","",INDEX(상세표[성명],$U775)&amp;"")</f>
        <v/>
      </c>
      <c r="L775">
        <f>IF($U775="","",INDEX(상세표[직위],$U775)&amp;"")</f>
        <v/>
      </c>
      <c r="M775">
        <f>IF($U775="","",IF(ISNUMBER(INDEX(상세표[근무일자],$U775)),TEXT(INDEX(상세표[근무일자],$U775),"yyyy-mm-dd"),INDEX(상세표[근무일자],$U775)&amp;""))</f>
        <v/>
      </c>
      <c r="N775">
        <f>IF($U775="","",IF(ISNUMBER(INDEX(상세표[시작],$U775)),TEXT(INDEX(상세표[시작],$U775),"yyyy-mm-dd hh:mm"),INDEX(상세표[시작],$U775)&amp;""))</f>
        <v/>
      </c>
      <c r="O775">
        <f>IF($U775="","",IF(ISNUMBER(INDEX(상세표[종료],$U775)),TEXT(INDEX(상세표[종료],$U775),"yyyy-mm-dd hh:mm"),INDEX(상세표[종료],$U775)&amp;""))</f>
        <v/>
      </c>
      <c r="P775" s="20">
        <f>IF($U775="","",INDEX(상세표[06~07시],$U775))</f>
        <v/>
      </c>
      <c r="Q775" s="20">
        <f>IF($U775="","",INDEX(상세표[07~18시],$U775))</f>
        <v/>
      </c>
      <c r="R775" s="20">
        <f>IF($U775="","",INDEX(상세표[18~22시],$U775))</f>
        <v/>
      </c>
      <c r="S775" s="20">
        <f>IF($U775="","",INDEX(상세표[22~06시],$U775))</f>
        <v/>
      </c>
      <c r="T775" s="20">
        <f>IF($U775="","",INDEX(상세표[기록 시간외],$U775))</f>
        <v/>
      </c>
      <c r="U775" s="4">
        <f>IFERROR(MATCH(770,상세표[발송순번],0),"")</f>
        <v/>
      </c>
    </row>
    <row r="776">
      <c r="J776">
        <f>IF($U776="","",INDEX(상세표[사번],$U776)&amp;"")</f>
        <v/>
      </c>
      <c r="K776">
        <f>IF($U776="","",INDEX(상세표[성명],$U776)&amp;"")</f>
        <v/>
      </c>
      <c r="L776">
        <f>IF($U776="","",INDEX(상세표[직위],$U776)&amp;"")</f>
        <v/>
      </c>
      <c r="M776">
        <f>IF($U776="","",IF(ISNUMBER(INDEX(상세표[근무일자],$U776)),TEXT(INDEX(상세표[근무일자],$U776),"yyyy-mm-dd"),INDEX(상세표[근무일자],$U776)&amp;""))</f>
        <v/>
      </c>
      <c r="N776">
        <f>IF($U776="","",IF(ISNUMBER(INDEX(상세표[시작],$U776)),TEXT(INDEX(상세표[시작],$U776),"yyyy-mm-dd hh:mm"),INDEX(상세표[시작],$U776)&amp;""))</f>
        <v/>
      </c>
      <c r="O776">
        <f>IF($U776="","",IF(ISNUMBER(INDEX(상세표[종료],$U776)),TEXT(INDEX(상세표[종료],$U776),"yyyy-mm-dd hh:mm"),INDEX(상세표[종료],$U776)&amp;""))</f>
        <v/>
      </c>
      <c r="P776" s="20">
        <f>IF($U776="","",INDEX(상세표[06~07시],$U776))</f>
        <v/>
      </c>
      <c r="Q776" s="20">
        <f>IF($U776="","",INDEX(상세표[07~18시],$U776))</f>
        <v/>
      </c>
      <c r="R776" s="20">
        <f>IF($U776="","",INDEX(상세표[18~22시],$U776))</f>
        <v/>
      </c>
      <c r="S776" s="20">
        <f>IF($U776="","",INDEX(상세표[22~06시],$U776))</f>
        <v/>
      </c>
      <c r="T776" s="20">
        <f>IF($U776="","",INDEX(상세표[기록 시간외],$U776))</f>
        <v/>
      </c>
      <c r="U776" s="4">
        <f>IFERROR(MATCH(771,상세표[발송순번],0),"")</f>
        <v/>
      </c>
    </row>
    <row r="777">
      <c r="J777">
        <f>IF($U777="","",INDEX(상세표[사번],$U777)&amp;"")</f>
        <v/>
      </c>
      <c r="K777">
        <f>IF($U777="","",INDEX(상세표[성명],$U777)&amp;"")</f>
        <v/>
      </c>
      <c r="L777">
        <f>IF($U777="","",INDEX(상세표[직위],$U777)&amp;"")</f>
        <v/>
      </c>
      <c r="M777">
        <f>IF($U777="","",IF(ISNUMBER(INDEX(상세표[근무일자],$U777)),TEXT(INDEX(상세표[근무일자],$U777),"yyyy-mm-dd"),INDEX(상세표[근무일자],$U777)&amp;""))</f>
        <v/>
      </c>
      <c r="N777">
        <f>IF($U777="","",IF(ISNUMBER(INDEX(상세표[시작],$U777)),TEXT(INDEX(상세표[시작],$U777),"yyyy-mm-dd hh:mm"),INDEX(상세표[시작],$U777)&amp;""))</f>
        <v/>
      </c>
      <c r="O777">
        <f>IF($U777="","",IF(ISNUMBER(INDEX(상세표[종료],$U777)),TEXT(INDEX(상세표[종료],$U777),"yyyy-mm-dd hh:mm"),INDEX(상세표[종료],$U777)&amp;""))</f>
        <v/>
      </c>
      <c r="P777" s="20">
        <f>IF($U777="","",INDEX(상세표[06~07시],$U777))</f>
        <v/>
      </c>
      <c r="Q777" s="20">
        <f>IF($U777="","",INDEX(상세표[07~18시],$U777))</f>
        <v/>
      </c>
      <c r="R777" s="20">
        <f>IF($U777="","",INDEX(상세표[18~22시],$U777))</f>
        <v/>
      </c>
      <c r="S777" s="20">
        <f>IF($U777="","",INDEX(상세표[22~06시],$U777))</f>
        <v/>
      </c>
      <c r="T777" s="20">
        <f>IF($U777="","",INDEX(상세표[기록 시간외],$U777))</f>
        <v/>
      </c>
      <c r="U777" s="4">
        <f>IFERROR(MATCH(772,상세표[발송순번],0),"")</f>
        <v/>
      </c>
    </row>
    <row r="778">
      <c r="J778">
        <f>IF($U778="","",INDEX(상세표[사번],$U778)&amp;"")</f>
        <v/>
      </c>
      <c r="K778">
        <f>IF($U778="","",INDEX(상세표[성명],$U778)&amp;"")</f>
        <v/>
      </c>
      <c r="L778">
        <f>IF($U778="","",INDEX(상세표[직위],$U778)&amp;"")</f>
        <v/>
      </c>
      <c r="M778">
        <f>IF($U778="","",IF(ISNUMBER(INDEX(상세표[근무일자],$U778)),TEXT(INDEX(상세표[근무일자],$U778),"yyyy-mm-dd"),INDEX(상세표[근무일자],$U778)&amp;""))</f>
        <v/>
      </c>
      <c r="N778">
        <f>IF($U778="","",IF(ISNUMBER(INDEX(상세표[시작],$U778)),TEXT(INDEX(상세표[시작],$U778),"yyyy-mm-dd hh:mm"),INDEX(상세표[시작],$U778)&amp;""))</f>
        <v/>
      </c>
      <c r="O778">
        <f>IF($U778="","",IF(ISNUMBER(INDEX(상세표[종료],$U778)),TEXT(INDEX(상세표[종료],$U778),"yyyy-mm-dd hh:mm"),INDEX(상세표[종료],$U778)&amp;""))</f>
        <v/>
      </c>
      <c r="P778" s="20">
        <f>IF($U778="","",INDEX(상세표[06~07시],$U778))</f>
        <v/>
      </c>
      <c r="Q778" s="20">
        <f>IF($U778="","",INDEX(상세표[07~18시],$U778))</f>
        <v/>
      </c>
      <c r="R778" s="20">
        <f>IF($U778="","",INDEX(상세표[18~22시],$U778))</f>
        <v/>
      </c>
      <c r="S778" s="20">
        <f>IF($U778="","",INDEX(상세표[22~06시],$U778))</f>
        <v/>
      </c>
      <c r="T778" s="20">
        <f>IF($U778="","",INDEX(상세표[기록 시간외],$U778))</f>
        <v/>
      </c>
      <c r="U778" s="4">
        <f>IFERROR(MATCH(773,상세표[발송순번],0),"")</f>
        <v/>
      </c>
    </row>
    <row r="779">
      <c r="J779">
        <f>IF($U779="","",INDEX(상세표[사번],$U779)&amp;"")</f>
        <v/>
      </c>
      <c r="K779">
        <f>IF($U779="","",INDEX(상세표[성명],$U779)&amp;"")</f>
        <v/>
      </c>
      <c r="L779">
        <f>IF($U779="","",INDEX(상세표[직위],$U779)&amp;"")</f>
        <v/>
      </c>
      <c r="M779">
        <f>IF($U779="","",IF(ISNUMBER(INDEX(상세표[근무일자],$U779)),TEXT(INDEX(상세표[근무일자],$U779),"yyyy-mm-dd"),INDEX(상세표[근무일자],$U779)&amp;""))</f>
        <v/>
      </c>
      <c r="N779">
        <f>IF($U779="","",IF(ISNUMBER(INDEX(상세표[시작],$U779)),TEXT(INDEX(상세표[시작],$U779),"yyyy-mm-dd hh:mm"),INDEX(상세표[시작],$U779)&amp;""))</f>
        <v/>
      </c>
      <c r="O779">
        <f>IF($U779="","",IF(ISNUMBER(INDEX(상세표[종료],$U779)),TEXT(INDEX(상세표[종료],$U779),"yyyy-mm-dd hh:mm"),INDEX(상세표[종료],$U779)&amp;""))</f>
        <v/>
      </c>
      <c r="P779" s="20">
        <f>IF($U779="","",INDEX(상세표[06~07시],$U779))</f>
        <v/>
      </c>
      <c r="Q779" s="20">
        <f>IF($U779="","",INDEX(상세표[07~18시],$U779))</f>
        <v/>
      </c>
      <c r="R779" s="20">
        <f>IF($U779="","",INDEX(상세표[18~22시],$U779))</f>
        <v/>
      </c>
      <c r="S779" s="20">
        <f>IF($U779="","",INDEX(상세표[22~06시],$U779))</f>
        <v/>
      </c>
      <c r="T779" s="20">
        <f>IF($U779="","",INDEX(상세표[기록 시간외],$U779))</f>
        <v/>
      </c>
      <c r="U779" s="4">
        <f>IFERROR(MATCH(774,상세표[발송순번],0),"")</f>
        <v/>
      </c>
    </row>
    <row r="780">
      <c r="J780">
        <f>IF($U780="","",INDEX(상세표[사번],$U780)&amp;"")</f>
        <v/>
      </c>
      <c r="K780">
        <f>IF($U780="","",INDEX(상세표[성명],$U780)&amp;"")</f>
        <v/>
      </c>
      <c r="L780">
        <f>IF($U780="","",INDEX(상세표[직위],$U780)&amp;"")</f>
        <v/>
      </c>
      <c r="M780">
        <f>IF($U780="","",IF(ISNUMBER(INDEX(상세표[근무일자],$U780)),TEXT(INDEX(상세표[근무일자],$U780),"yyyy-mm-dd"),INDEX(상세표[근무일자],$U780)&amp;""))</f>
        <v/>
      </c>
      <c r="N780">
        <f>IF($U780="","",IF(ISNUMBER(INDEX(상세표[시작],$U780)),TEXT(INDEX(상세표[시작],$U780),"yyyy-mm-dd hh:mm"),INDEX(상세표[시작],$U780)&amp;""))</f>
        <v/>
      </c>
      <c r="O780">
        <f>IF($U780="","",IF(ISNUMBER(INDEX(상세표[종료],$U780)),TEXT(INDEX(상세표[종료],$U780),"yyyy-mm-dd hh:mm"),INDEX(상세표[종료],$U780)&amp;""))</f>
        <v/>
      </c>
      <c r="P780" s="20">
        <f>IF($U780="","",INDEX(상세표[06~07시],$U780))</f>
        <v/>
      </c>
      <c r="Q780" s="20">
        <f>IF($U780="","",INDEX(상세표[07~18시],$U780))</f>
        <v/>
      </c>
      <c r="R780" s="20">
        <f>IF($U780="","",INDEX(상세표[18~22시],$U780))</f>
        <v/>
      </c>
      <c r="S780" s="20">
        <f>IF($U780="","",INDEX(상세표[22~06시],$U780))</f>
        <v/>
      </c>
      <c r="T780" s="20">
        <f>IF($U780="","",INDEX(상세표[기록 시간외],$U780))</f>
        <v/>
      </c>
      <c r="U780" s="4">
        <f>IFERROR(MATCH(775,상세표[발송순번],0),"")</f>
        <v/>
      </c>
    </row>
    <row r="781">
      <c r="J781">
        <f>IF($U781="","",INDEX(상세표[사번],$U781)&amp;"")</f>
        <v/>
      </c>
      <c r="K781">
        <f>IF($U781="","",INDEX(상세표[성명],$U781)&amp;"")</f>
        <v/>
      </c>
      <c r="L781">
        <f>IF($U781="","",INDEX(상세표[직위],$U781)&amp;"")</f>
        <v/>
      </c>
      <c r="M781">
        <f>IF($U781="","",IF(ISNUMBER(INDEX(상세표[근무일자],$U781)),TEXT(INDEX(상세표[근무일자],$U781),"yyyy-mm-dd"),INDEX(상세표[근무일자],$U781)&amp;""))</f>
        <v/>
      </c>
      <c r="N781">
        <f>IF($U781="","",IF(ISNUMBER(INDEX(상세표[시작],$U781)),TEXT(INDEX(상세표[시작],$U781),"yyyy-mm-dd hh:mm"),INDEX(상세표[시작],$U781)&amp;""))</f>
        <v/>
      </c>
      <c r="O781">
        <f>IF($U781="","",IF(ISNUMBER(INDEX(상세표[종료],$U781)),TEXT(INDEX(상세표[종료],$U781),"yyyy-mm-dd hh:mm"),INDEX(상세표[종료],$U781)&amp;""))</f>
        <v/>
      </c>
      <c r="P781" s="20">
        <f>IF($U781="","",INDEX(상세표[06~07시],$U781))</f>
        <v/>
      </c>
      <c r="Q781" s="20">
        <f>IF($U781="","",INDEX(상세표[07~18시],$U781))</f>
        <v/>
      </c>
      <c r="R781" s="20">
        <f>IF($U781="","",INDEX(상세표[18~22시],$U781))</f>
        <v/>
      </c>
      <c r="S781" s="20">
        <f>IF($U781="","",INDEX(상세표[22~06시],$U781))</f>
        <v/>
      </c>
      <c r="T781" s="20">
        <f>IF($U781="","",INDEX(상세표[기록 시간외],$U781))</f>
        <v/>
      </c>
      <c r="U781" s="4">
        <f>IFERROR(MATCH(776,상세표[발송순번],0),"")</f>
        <v/>
      </c>
    </row>
    <row r="782">
      <c r="J782">
        <f>IF($U782="","",INDEX(상세표[사번],$U782)&amp;"")</f>
        <v/>
      </c>
      <c r="K782">
        <f>IF($U782="","",INDEX(상세표[성명],$U782)&amp;"")</f>
        <v/>
      </c>
      <c r="L782">
        <f>IF($U782="","",INDEX(상세표[직위],$U782)&amp;"")</f>
        <v/>
      </c>
      <c r="M782">
        <f>IF($U782="","",IF(ISNUMBER(INDEX(상세표[근무일자],$U782)),TEXT(INDEX(상세표[근무일자],$U782),"yyyy-mm-dd"),INDEX(상세표[근무일자],$U782)&amp;""))</f>
        <v/>
      </c>
      <c r="N782">
        <f>IF($U782="","",IF(ISNUMBER(INDEX(상세표[시작],$U782)),TEXT(INDEX(상세표[시작],$U782),"yyyy-mm-dd hh:mm"),INDEX(상세표[시작],$U782)&amp;""))</f>
        <v/>
      </c>
      <c r="O782">
        <f>IF($U782="","",IF(ISNUMBER(INDEX(상세표[종료],$U782)),TEXT(INDEX(상세표[종료],$U782),"yyyy-mm-dd hh:mm"),INDEX(상세표[종료],$U782)&amp;""))</f>
        <v/>
      </c>
      <c r="P782" s="20">
        <f>IF($U782="","",INDEX(상세표[06~07시],$U782))</f>
        <v/>
      </c>
      <c r="Q782" s="20">
        <f>IF($U782="","",INDEX(상세표[07~18시],$U782))</f>
        <v/>
      </c>
      <c r="R782" s="20">
        <f>IF($U782="","",INDEX(상세표[18~22시],$U782))</f>
        <v/>
      </c>
      <c r="S782" s="20">
        <f>IF($U782="","",INDEX(상세표[22~06시],$U782))</f>
        <v/>
      </c>
      <c r="T782" s="20">
        <f>IF($U782="","",INDEX(상세표[기록 시간외],$U782))</f>
        <v/>
      </c>
      <c r="U782" s="4">
        <f>IFERROR(MATCH(777,상세표[발송순번],0),"")</f>
        <v/>
      </c>
    </row>
    <row r="783">
      <c r="J783">
        <f>IF($U783="","",INDEX(상세표[사번],$U783)&amp;"")</f>
        <v/>
      </c>
      <c r="K783">
        <f>IF($U783="","",INDEX(상세표[성명],$U783)&amp;"")</f>
        <v/>
      </c>
      <c r="L783">
        <f>IF($U783="","",INDEX(상세표[직위],$U783)&amp;"")</f>
        <v/>
      </c>
      <c r="M783">
        <f>IF($U783="","",IF(ISNUMBER(INDEX(상세표[근무일자],$U783)),TEXT(INDEX(상세표[근무일자],$U783),"yyyy-mm-dd"),INDEX(상세표[근무일자],$U783)&amp;""))</f>
        <v/>
      </c>
      <c r="N783">
        <f>IF($U783="","",IF(ISNUMBER(INDEX(상세표[시작],$U783)),TEXT(INDEX(상세표[시작],$U783),"yyyy-mm-dd hh:mm"),INDEX(상세표[시작],$U783)&amp;""))</f>
        <v/>
      </c>
      <c r="O783">
        <f>IF($U783="","",IF(ISNUMBER(INDEX(상세표[종료],$U783)),TEXT(INDEX(상세표[종료],$U783),"yyyy-mm-dd hh:mm"),INDEX(상세표[종료],$U783)&amp;""))</f>
        <v/>
      </c>
      <c r="P783" s="20">
        <f>IF($U783="","",INDEX(상세표[06~07시],$U783))</f>
        <v/>
      </c>
      <c r="Q783" s="20">
        <f>IF($U783="","",INDEX(상세표[07~18시],$U783))</f>
        <v/>
      </c>
      <c r="R783" s="20">
        <f>IF($U783="","",INDEX(상세표[18~22시],$U783))</f>
        <v/>
      </c>
      <c r="S783" s="20">
        <f>IF($U783="","",INDEX(상세표[22~06시],$U783))</f>
        <v/>
      </c>
      <c r="T783" s="20">
        <f>IF($U783="","",INDEX(상세표[기록 시간외],$U783))</f>
        <v/>
      </c>
      <c r="U783" s="4">
        <f>IFERROR(MATCH(778,상세표[발송순번],0),"")</f>
        <v/>
      </c>
    </row>
    <row r="784">
      <c r="J784">
        <f>IF($U784="","",INDEX(상세표[사번],$U784)&amp;"")</f>
        <v/>
      </c>
      <c r="K784">
        <f>IF($U784="","",INDEX(상세표[성명],$U784)&amp;"")</f>
        <v/>
      </c>
      <c r="L784">
        <f>IF($U784="","",INDEX(상세표[직위],$U784)&amp;"")</f>
        <v/>
      </c>
      <c r="M784">
        <f>IF($U784="","",IF(ISNUMBER(INDEX(상세표[근무일자],$U784)),TEXT(INDEX(상세표[근무일자],$U784),"yyyy-mm-dd"),INDEX(상세표[근무일자],$U784)&amp;""))</f>
        <v/>
      </c>
      <c r="N784">
        <f>IF($U784="","",IF(ISNUMBER(INDEX(상세표[시작],$U784)),TEXT(INDEX(상세표[시작],$U784),"yyyy-mm-dd hh:mm"),INDEX(상세표[시작],$U784)&amp;""))</f>
        <v/>
      </c>
      <c r="O784">
        <f>IF($U784="","",IF(ISNUMBER(INDEX(상세표[종료],$U784)),TEXT(INDEX(상세표[종료],$U784),"yyyy-mm-dd hh:mm"),INDEX(상세표[종료],$U784)&amp;""))</f>
        <v/>
      </c>
      <c r="P784" s="20">
        <f>IF($U784="","",INDEX(상세표[06~07시],$U784))</f>
        <v/>
      </c>
      <c r="Q784" s="20">
        <f>IF($U784="","",INDEX(상세표[07~18시],$U784))</f>
        <v/>
      </c>
      <c r="R784" s="20">
        <f>IF($U784="","",INDEX(상세표[18~22시],$U784))</f>
        <v/>
      </c>
      <c r="S784" s="20">
        <f>IF($U784="","",INDEX(상세표[22~06시],$U784))</f>
        <v/>
      </c>
      <c r="T784" s="20">
        <f>IF($U784="","",INDEX(상세표[기록 시간외],$U784))</f>
        <v/>
      </c>
      <c r="U784" s="4">
        <f>IFERROR(MATCH(779,상세표[발송순번],0),"")</f>
        <v/>
      </c>
    </row>
    <row r="785">
      <c r="J785">
        <f>IF($U785="","",INDEX(상세표[사번],$U785)&amp;"")</f>
        <v/>
      </c>
      <c r="K785">
        <f>IF($U785="","",INDEX(상세표[성명],$U785)&amp;"")</f>
        <v/>
      </c>
      <c r="L785">
        <f>IF($U785="","",INDEX(상세표[직위],$U785)&amp;"")</f>
        <v/>
      </c>
      <c r="M785">
        <f>IF($U785="","",IF(ISNUMBER(INDEX(상세표[근무일자],$U785)),TEXT(INDEX(상세표[근무일자],$U785),"yyyy-mm-dd"),INDEX(상세표[근무일자],$U785)&amp;""))</f>
        <v/>
      </c>
      <c r="N785">
        <f>IF($U785="","",IF(ISNUMBER(INDEX(상세표[시작],$U785)),TEXT(INDEX(상세표[시작],$U785),"yyyy-mm-dd hh:mm"),INDEX(상세표[시작],$U785)&amp;""))</f>
        <v/>
      </c>
      <c r="O785">
        <f>IF($U785="","",IF(ISNUMBER(INDEX(상세표[종료],$U785)),TEXT(INDEX(상세표[종료],$U785),"yyyy-mm-dd hh:mm"),INDEX(상세표[종료],$U785)&amp;""))</f>
        <v/>
      </c>
      <c r="P785" s="20">
        <f>IF($U785="","",INDEX(상세표[06~07시],$U785))</f>
        <v/>
      </c>
      <c r="Q785" s="20">
        <f>IF($U785="","",INDEX(상세표[07~18시],$U785))</f>
        <v/>
      </c>
      <c r="R785" s="20">
        <f>IF($U785="","",INDEX(상세표[18~22시],$U785))</f>
        <v/>
      </c>
      <c r="S785" s="20">
        <f>IF($U785="","",INDEX(상세표[22~06시],$U785))</f>
        <v/>
      </c>
      <c r="T785" s="20">
        <f>IF($U785="","",INDEX(상세표[기록 시간외],$U785))</f>
        <v/>
      </c>
      <c r="U785" s="4">
        <f>IFERROR(MATCH(780,상세표[발송순번],0),"")</f>
        <v/>
      </c>
    </row>
    <row r="786">
      <c r="J786">
        <f>IF($U786="","",INDEX(상세표[사번],$U786)&amp;"")</f>
        <v/>
      </c>
      <c r="K786">
        <f>IF($U786="","",INDEX(상세표[성명],$U786)&amp;"")</f>
        <v/>
      </c>
      <c r="L786">
        <f>IF($U786="","",INDEX(상세표[직위],$U786)&amp;"")</f>
        <v/>
      </c>
      <c r="M786">
        <f>IF($U786="","",IF(ISNUMBER(INDEX(상세표[근무일자],$U786)),TEXT(INDEX(상세표[근무일자],$U786),"yyyy-mm-dd"),INDEX(상세표[근무일자],$U786)&amp;""))</f>
        <v/>
      </c>
      <c r="N786">
        <f>IF($U786="","",IF(ISNUMBER(INDEX(상세표[시작],$U786)),TEXT(INDEX(상세표[시작],$U786),"yyyy-mm-dd hh:mm"),INDEX(상세표[시작],$U786)&amp;""))</f>
        <v/>
      </c>
      <c r="O786">
        <f>IF($U786="","",IF(ISNUMBER(INDEX(상세표[종료],$U786)),TEXT(INDEX(상세표[종료],$U786),"yyyy-mm-dd hh:mm"),INDEX(상세표[종료],$U786)&amp;""))</f>
        <v/>
      </c>
      <c r="P786" s="20">
        <f>IF($U786="","",INDEX(상세표[06~07시],$U786))</f>
        <v/>
      </c>
      <c r="Q786" s="20">
        <f>IF($U786="","",INDEX(상세표[07~18시],$U786))</f>
        <v/>
      </c>
      <c r="R786" s="20">
        <f>IF($U786="","",INDEX(상세표[18~22시],$U786))</f>
        <v/>
      </c>
      <c r="S786" s="20">
        <f>IF($U786="","",INDEX(상세표[22~06시],$U786))</f>
        <v/>
      </c>
      <c r="T786" s="20">
        <f>IF($U786="","",INDEX(상세표[기록 시간외],$U786))</f>
        <v/>
      </c>
      <c r="U786" s="4">
        <f>IFERROR(MATCH(781,상세표[발송순번],0),"")</f>
        <v/>
      </c>
    </row>
    <row r="787">
      <c r="J787">
        <f>IF($U787="","",INDEX(상세표[사번],$U787)&amp;"")</f>
        <v/>
      </c>
      <c r="K787">
        <f>IF($U787="","",INDEX(상세표[성명],$U787)&amp;"")</f>
        <v/>
      </c>
      <c r="L787">
        <f>IF($U787="","",INDEX(상세표[직위],$U787)&amp;"")</f>
        <v/>
      </c>
      <c r="M787">
        <f>IF($U787="","",IF(ISNUMBER(INDEX(상세표[근무일자],$U787)),TEXT(INDEX(상세표[근무일자],$U787),"yyyy-mm-dd"),INDEX(상세표[근무일자],$U787)&amp;""))</f>
        <v/>
      </c>
      <c r="N787">
        <f>IF($U787="","",IF(ISNUMBER(INDEX(상세표[시작],$U787)),TEXT(INDEX(상세표[시작],$U787),"yyyy-mm-dd hh:mm"),INDEX(상세표[시작],$U787)&amp;""))</f>
        <v/>
      </c>
      <c r="O787">
        <f>IF($U787="","",IF(ISNUMBER(INDEX(상세표[종료],$U787)),TEXT(INDEX(상세표[종료],$U787),"yyyy-mm-dd hh:mm"),INDEX(상세표[종료],$U787)&amp;""))</f>
        <v/>
      </c>
      <c r="P787" s="20">
        <f>IF($U787="","",INDEX(상세표[06~07시],$U787))</f>
        <v/>
      </c>
      <c r="Q787" s="20">
        <f>IF($U787="","",INDEX(상세표[07~18시],$U787))</f>
        <v/>
      </c>
      <c r="R787" s="20">
        <f>IF($U787="","",INDEX(상세표[18~22시],$U787))</f>
        <v/>
      </c>
      <c r="S787" s="20">
        <f>IF($U787="","",INDEX(상세표[22~06시],$U787))</f>
        <v/>
      </c>
      <c r="T787" s="20">
        <f>IF($U787="","",INDEX(상세표[기록 시간외],$U787))</f>
        <v/>
      </c>
      <c r="U787" s="4">
        <f>IFERROR(MATCH(782,상세표[발송순번],0),"")</f>
        <v/>
      </c>
    </row>
    <row r="788">
      <c r="J788">
        <f>IF($U788="","",INDEX(상세표[사번],$U788)&amp;"")</f>
        <v/>
      </c>
      <c r="K788">
        <f>IF($U788="","",INDEX(상세표[성명],$U788)&amp;"")</f>
        <v/>
      </c>
      <c r="L788">
        <f>IF($U788="","",INDEX(상세표[직위],$U788)&amp;"")</f>
        <v/>
      </c>
      <c r="M788">
        <f>IF($U788="","",IF(ISNUMBER(INDEX(상세표[근무일자],$U788)),TEXT(INDEX(상세표[근무일자],$U788),"yyyy-mm-dd"),INDEX(상세표[근무일자],$U788)&amp;""))</f>
        <v/>
      </c>
      <c r="N788">
        <f>IF($U788="","",IF(ISNUMBER(INDEX(상세표[시작],$U788)),TEXT(INDEX(상세표[시작],$U788),"yyyy-mm-dd hh:mm"),INDEX(상세표[시작],$U788)&amp;""))</f>
        <v/>
      </c>
      <c r="O788">
        <f>IF($U788="","",IF(ISNUMBER(INDEX(상세표[종료],$U788)),TEXT(INDEX(상세표[종료],$U788),"yyyy-mm-dd hh:mm"),INDEX(상세표[종료],$U788)&amp;""))</f>
        <v/>
      </c>
      <c r="P788" s="20">
        <f>IF($U788="","",INDEX(상세표[06~07시],$U788))</f>
        <v/>
      </c>
      <c r="Q788" s="20">
        <f>IF($U788="","",INDEX(상세표[07~18시],$U788))</f>
        <v/>
      </c>
      <c r="R788" s="20">
        <f>IF($U788="","",INDEX(상세표[18~22시],$U788))</f>
        <v/>
      </c>
      <c r="S788" s="20">
        <f>IF($U788="","",INDEX(상세표[22~06시],$U788))</f>
        <v/>
      </c>
      <c r="T788" s="20">
        <f>IF($U788="","",INDEX(상세표[기록 시간외],$U788))</f>
        <v/>
      </c>
      <c r="U788" s="4">
        <f>IFERROR(MATCH(783,상세표[발송순번],0),"")</f>
        <v/>
      </c>
    </row>
    <row r="789">
      <c r="J789">
        <f>IF($U789="","",INDEX(상세표[사번],$U789)&amp;"")</f>
        <v/>
      </c>
      <c r="K789">
        <f>IF($U789="","",INDEX(상세표[성명],$U789)&amp;"")</f>
        <v/>
      </c>
      <c r="L789">
        <f>IF($U789="","",INDEX(상세표[직위],$U789)&amp;"")</f>
        <v/>
      </c>
      <c r="M789">
        <f>IF($U789="","",IF(ISNUMBER(INDEX(상세표[근무일자],$U789)),TEXT(INDEX(상세표[근무일자],$U789),"yyyy-mm-dd"),INDEX(상세표[근무일자],$U789)&amp;""))</f>
        <v/>
      </c>
      <c r="N789">
        <f>IF($U789="","",IF(ISNUMBER(INDEX(상세표[시작],$U789)),TEXT(INDEX(상세표[시작],$U789),"yyyy-mm-dd hh:mm"),INDEX(상세표[시작],$U789)&amp;""))</f>
        <v/>
      </c>
      <c r="O789">
        <f>IF($U789="","",IF(ISNUMBER(INDEX(상세표[종료],$U789)),TEXT(INDEX(상세표[종료],$U789),"yyyy-mm-dd hh:mm"),INDEX(상세표[종료],$U789)&amp;""))</f>
        <v/>
      </c>
      <c r="P789" s="20">
        <f>IF($U789="","",INDEX(상세표[06~07시],$U789))</f>
        <v/>
      </c>
      <c r="Q789" s="20">
        <f>IF($U789="","",INDEX(상세표[07~18시],$U789))</f>
        <v/>
      </c>
      <c r="R789" s="20">
        <f>IF($U789="","",INDEX(상세표[18~22시],$U789))</f>
        <v/>
      </c>
      <c r="S789" s="20">
        <f>IF($U789="","",INDEX(상세표[22~06시],$U789))</f>
        <v/>
      </c>
      <c r="T789" s="20">
        <f>IF($U789="","",INDEX(상세표[기록 시간외],$U789))</f>
        <v/>
      </c>
      <c r="U789" s="4">
        <f>IFERROR(MATCH(784,상세표[발송순번],0),"")</f>
        <v/>
      </c>
    </row>
    <row r="790">
      <c r="J790">
        <f>IF($U790="","",INDEX(상세표[사번],$U790)&amp;"")</f>
        <v/>
      </c>
      <c r="K790">
        <f>IF($U790="","",INDEX(상세표[성명],$U790)&amp;"")</f>
        <v/>
      </c>
      <c r="L790">
        <f>IF($U790="","",INDEX(상세표[직위],$U790)&amp;"")</f>
        <v/>
      </c>
      <c r="M790">
        <f>IF($U790="","",IF(ISNUMBER(INDEX(상세표[근무일자],$U790)),TEXT(INDEX(상세표[근무일자],$U790),"yyyy-mm-dd"),INDEX(상세표[근무일자],$U790)&amp;""))</f>
        <v/>
      </c>
      <c r="N790">
        <f>IF($U790="","",IF(ISNUMBER(INDEX(상세표[시작],$U790)),TEXT(INDEX(상세표[시작],$U790),"yyyy-mm-dd hh:mm"),INDEX(상세표[시작],$U790)&amp;""))</f>
        <v/>
      </c>
      <c r="O790">
        <f>IF($U790="","",IF(ISNUMBER(INDEX(상세표[종료],$U790)),TEXT(INDEX(상세표[종료],$U790),"yyyy-mm-dd hh:mm"),INDEX(상세표[종료],$U790)&amp;""))</f>
        <v/>
      </c>
      <c r="P790" s="20">
        <f>IF($U790="","",INDEX(상세표[06~07시],$U790))</f>
        <v/>
      </c>
      <c r="Q790" s="20">
        <f>IF($U790="","",INDEX(상세표[07~18시],$U790))</f>
        <v/>
      </c>
      <c r="R790" s="20">
        <f>IF($U790="","",INDEX(상세표[18~22시],$U790))</f>
        <v/>
      </c>
      <c r="S790" s="20">
        <f>IF($U790="","",INDEX(상세표[22~06시],$U790))</f>
        <v/>
      </c>
      <c r="T790" s="20">
        <f>IF($U790="","",INDEX(상세표[기록 시간외],$U790))</f>
        <v/>
      </c>
      <c r="U790" s="4">
        <f>IFERROR(MATCH(785,상세표[발송순번],0),"")</f>
        <v/>
      </c>
    </row>
    <row r="791">
      <c r="J791">
        <f>IF($U791="","",INDEX(상세표[사번],$U791)&amp;"")</f>
        <v/>
      </c>
      <c r="K791">
        <f>IF($U791="","",INDEX(상세표[성명],$U791)&amp;"")</f>
        <v/>
      </c>
      <c r="L791">
        <f>IF($U791="","",INDEX(상세표[직위],$U791)&amp;"")</f>
        <v/>
      </c>
      <c r="M791">
        <f>IF($U791="","",IF(ISNUMBER(INDEX(상세표[근무일자],$U791)),TEXT(INDEX(상세표[근무일자],$U791),"yyyy-mm-dd"),INDEX(상세표[근무일자],$U791)&amp;""))</f>
        <v/>
      </c>
      <c r="N791">
        <f>IF($U791="","",IF(ISNUMBER(INDEX(상세표[시작],$U791)),TEXT(INDEX(상세표[시작],$U791),"yyyy-mm-dd hh:mm"),INDEX(상세표[시작],$U791)&amp;""))</f>
        <v/>
      </c>
      <c r="O791">
        <f>IF($U791="","",IF(ISNUMBER(INDEX(상세표[종료],$U791)),TEXT(INDEX(상세표[종료],$U791),"yyyy-mm-dd hh:mm"),INDEX(상세표[종료],$U791)&amp;""))</f>
        <v/>
      </c>
      <c r="P791" s="20">
        <f>IF($U791="","",INDEX(상세표[06~07시],$U791))</f>
        <v/>
      </c>
      <c r="Q791" s="20">
        <f>IF($U791="","",INDEX(상세표[07~18시],$U791))</f>
        <v/>
      </c>
      <c r="R791" s="20">
        <f>IF($U791="","",INDEX(상세표[18~22시],$U791))</f>
        <v/>
      </c>
      <c r="S791" s="20">
        <f>IF($U791="","",INDEX(상세표[22~06시],$U791))</f>
        <v/>
      </c>
      <c r="T791" s="20">
        <f>IF($U791="","",INDEX(상세표[기록 시간외],$U791))</f>
        <v/>
      </c>
      <c r="U791" s="4">
        <f>IFERROR(MATCH(786,상세표[발송순번],0),"")</f>
        <v/>
      </c>
    </row>
    <row r="792">
      <c r="J792">
        <f>IF($U792="","",INDEX(상세표[사번],$U792)&amp;"")</f>
        <v/>
      </c>
      <c r="K792">
        <f>IF($U792="","",INDEX(상세표[성명],$U792)&amp;"")</f>
        <v/>
      </c>
      <c r="L792">
        <f>IF($U792="","",INDEX(상세표[직위],$U792)&amp;"")</f>
        <v/>
      </c>
      <c r="M792">
        <f>IF($U792="","",IF(ISNUMBER(INDEX(상세표[근무일자],$U792)),TEXT(INDEX(상세표[근무일자],$U792),"yyyy-mm-dd"),INDEX(상세표[근무일자],$U792)&amp;""))</f>
        <v/>
      </c>
      <c r="N792">
        <f>IF($U792="","",IF(ISNUMBER(INDEX(상세표[시작],$U792)),TEXT(INDEX(상세표[시작],$U792),"yyyy-mm-dd hh:mm"),INDEX(상세표[시작],$U792)&amp;""))</f>
        <v/>
      </c>
      <c r="O792">
        <f>IF($U792="","",IF(ISNUMBER(INDEX(상세표[종료],$U792)),TEXT(INDEX(상세표[종료],$U792),"yyyy-mm-dd hh:mm"),INDEX(상세표[종료],$U792)&amp;""))</f>
        <v/>
      </c>
      <c r="P792" s="20">
        <f>IF($U792="","",INDEX(상세표[06~07시],$U792))</f>
        <v/>
      </c>
      <c r="Q792" s="20">
        <f>IF($U792="","",INDEX(상세표[07~18시],$U792))</f>
        <v/>
      </c>
      <c r="R792" s="20">
        <f>IF($U792="","",INDEX(상세표[18~22시],$U792))</f>
        <v/>
      </c>
      <c r="S792" s="20">
        <f>IF($U792="","",INDEX(상세표[22~06시],$U792))</f>
        <v/>
      </c>
      <c r="T792" s="20">
        <f>IF($U792="","",INDEX(상세표[기록 시간외],$U792))</f>
        <v/>
      </c>
      <c r="U792" s="4">
        <f>IFERROR(MATCH(787,상세표[발송순번],0),"")</f>
        <v/>
      </c>
    </row>
    <row r="793">
      <c r="J793">
        <f>IF($U793="","",INDEX(상세표[사번],$U793)&amp;"")</f>
        <v/>
      </c>
      <c r="K793">
        <f>IF($U793="","",INDEX(상세표[성명],$U793)&amp;"")</f>
        <v/>
      </c>
      <c r="L793">
        <f>IF($U793="","",INDEX(상세표[직위],$U793)&amp;"")</f>
        <v/>
      </c>
      <c r="M793">
        <f>IF($U793="","",IF(ISNUMBER(INDEX(상세표[근무일자],$U793)),TEXT(INDEX(상세표[근무일자],$U793),"yyyy-mm-dd"),INDEX(상세표[근무일자],$U793)&amp;""))</f>
        <v/>
      </c>
      <c r="N793">
        <f>IF($U793="","",IF(ISNUMBER(INDEX(상세표[시작],$U793)),TEXT(INDEX(상세표[시작],$U793),"yyyy-mm-dd hh:mm"),INDEX(상세표[시작],$U793)&amp;""))</f>
        <v/>
      </c>
      <c r="O793">
        <f>IF($U793="","",IF(ISNUMBER(INDEX(상세표[종료],$U793)),TEXT(INDEX(상세표[종료],$U793),"yyyy-mm-dd hh:mm"),INDEX(상세표[종료],$U793)&amp;""))</f>
        <v/>
      </c>
      <c r="P793" s="20">
        <f>IF($U793="","",INDEX(상세표[06~07시],$U793))</f>
        <v/>
      </c>
      <c r="Q793" s="20">
        <f>IF($U793="","",INDEX(상세표[07~18시],$U793))</f>
        <v/>
      </c>
      <c r="R793" s="20">
        <f>IF($U793="","",INDEX(상세표[18~22시],$U793))</f>
        <v/>
      </c>
      <c r="S793" s="20">
        <f>IF($U793="","",INDEX(상세표[22~06시],$U793))</f>
        <v/>
      </c>
      <c r="T793" s="20">
        <f>IF($U793="","",INDEX(상세표[기록 시간외],$U793))</f>
        <v/>
      </c>
      <c r="U793" s="4">
        <f>IFERROR(MATCH(788,상세표[발송순번],0),"")</f>
        <v/>
      </c>
    </row>
    <row r="794">
      <c r="J794">
        <f>IF($U794="","",INDEX(상세표[사번],$U794)&amp;"")</f>
        <v/>
      </c>
      <c r="K794">
        <f>IF($U794="","",INDEX(상세표[성명],$U794)&amp;"")</f>
        <v/>
      </c>
      <c r="L794">
        <f>IF($U794="","",INDEX(상세표[직위],$U794)&amp;"")</f>
        <v/>
      </c>
      <c r="M794">
        <f>IF($U794="","",IF(ISNUMBER(INDEX(상세표[근무일자],$U794)),TEXT(INDEX(상세표[근무일자],$U794),"yyyy-mm-dd"),INDEX(상세표[근무일자],$U794)&amp;""))</f>
        <v/>
      </c>
      <c r="N794">
        <f>IF($U794="","",IF(ISNUMBER(INDEX(상세표[시작],$U794)),TEXT(INDEX(상세표[시작],$U794),"yyyy-mm-dd hh:mm"),INDEX(상세표[시작],$U794)&amp;""))</f>
        <v/>
      </c>
      <c r="O794">
        <f>IF($U794="","",IF(ISNUMBER(INDEX(상세표[종료],$U794)),TEXT(INDEX(상세표[종료],$U794),"yyyy-mm-dd hh:mm"),INDEX(상세표[종료],$U794)&amp;""))</f>
        <v/>
      </c>
      <c r="P794" s="20">
        <f>IF($U794="","",INDEX(상세표[06~07시],$U794))</f>
        <v/>
      </c>
      <c r="Q794" s="20">
        <f>IF($U794="","",INDEX(상세표[07~18시],$U794))</f>
        <v/>
      </c>
      <c r="R794" s="20">
        <f>IF($U794="","",INDEX(상세표[18~22시],$U794))</f>
        <v/>
      </c>
      <c r="S794" s="20">
        <f>IF($U794="","",INDEX(상세표[22~06시],$U794))</f>
        <v/>
      </c>
      <c r="T794" s="20">
        <f>IF($U794="","",INDEX(상세표[기록 시간외],$U794))</f>
        <v/>
      </c>
      <c r="U794" s="4">
        <f>IFERROR(MATCH(789,상세표[발송순번],0),"")</f>
        <v/>
      </c>
    </row>
    <row r="795">
      <c r="J795">
        <f>IF($U795="","",INDEX(상세표[사번],$U795)&amp;"")</f>
        <v/>
      </c>
      <c r="K795">
        <f>IF($U795="","",INDEX(상세표[성명],$U795)&amp;"")</f>
        <v/>
      </c>
      <c r="L795">
        <f>IF($U795="","",INDEX(상세표[직위],$U795)&amp;"")</f>
        <v/>
      </c>
      <c r="M795">
        <f>IF($U795="","",IF(ISNUMBER(INDEX(상세표[근무일자],$U795)),TEXT(INDEX(상세표[근무일자],$U795),"yyyy-mm-dd"),INDEX(상세표[근무일자],$U795)&amp;""))</f>
        <v/>
      </c>
      <c r="N795">
        <f>IF($U795="","",IF(ISNUMBER(INDEX(상세표[시작],$U795)),TEXT(INDEX(상세표[시작],$U795),"yyyy-mm-dd hh:mm"),INDEX(상세표[시작],$U795)&amp;""))</f>
        <v/>
      </c>
      <c r="O795">
        <f>IF($U795="","",IF(ISNUMBER(INDEX(상세표[종료],$U795)),TEXT(INDEX(상세표[종료],$U795),"yyyy-mm-dd hh:mm"),INDEX(상세표[종료],$U795)&amp;""))</f>
        <v/>
      </c>
      <c r="P795" s="20">
        <f>IF($U795="","",INDEX(상세표[06~07시],$U795))</f>
        <v/>
      </c>
      <c r="Q795" s="20">
        <f>IF($U795="","",INDEX(상세표[07~18시],$U795))</f>
        <v/>
      </c>
      <c r="R795" s="20">
        <f>IF($U795="","",INDEX(상세표[18~22시],$U795))</f>
        <v/>
      </c>
      <c r="S795" s="20">
        <f>IF($U795="","",INDEX(상세표[22~06시],$U795))</f>
        <v/>
      </c>
      <c r="T795" s="20">
        <f>IF($U795="","",INDEX(상세표[기록 시간외],$U795))</f>
        <v/>
      </c>
      <c r="U795" s="4">
        <f>IFERROR(MATCH(790,상세표[발송순번],0),"")</f>
        <v/>
      </c>
    </row>
    <row r="796">
      <c r="J796">
        <f>IF($U796="","",INDEX(상세표[사번],$U796)&amp;"")</f>
        <v/>
      </c>
      <c r="K796">
        <f>IF($U796="","",INDEX(상세표[성명],$U796)&amp;"")</f>
        <v/>
      </c>
      <c r="L796">
        <f>IF($U796="","",INDEX(상세표[직위],$U796)&amp;"")</f>
        <v/>
      </c>
      <c r="M796">
        <f>IF($U796="","",IF(ISNUMBER(INDEX(상세표[근무일자],$U796)),TEXT(INDEX(상세표[근무일자],$U796),"yyyy-mm-dd"),INDEX(상세표[근무일자],$U796)&amp;""))</f>
        <v/>
      </c>
      <c r="N796">
        <f>IF($U796="","",IF(ISNUMBER(INDEX(상세표[시작],$U796)),TEXT(INDEX(상세표[시작],$U796),"yyyy-mm-dd hh:mm"),INDEX(상세표[시작],$U796)&amp;""))</f>
        <v/>
      </c>
      <c r="O796">
        <f>IF($U796="","",IF(ISNUMBER(INDEX(상세표[종료],$U796)),TEXT(INDEX(상세표[종료],$U796),"yyyy-mm-dd hh:mm"),INDEX(상세표[종료],$U796)&amp;""))</f>
        <v/>
      </c>
      <c r="P796" s="20">
        <f>IF($U796="","",INDEX(상세표[06~07시],$U796))</f>
        <v/>
      </c>
      <c r="Q796" s="20">
        <f>IF($U796="","",INDEX(상세표[07~18시],$U796))</f>
        <v/>
      </c>
      <c r="R796" s="20">
        <f>IF($U796="","",INDEX(상세표[18~22시],$U796))</f>
        <v/>
      </c>
      <c r="S796" s="20">
        <f>IF($U796="","",INDEX(상세표[22~06시],$U796))</f>
        <v/>
      </c>
      <c r="T796" s="20">
        <f>IF($U796="","",INDEX(상세표[기록 시간외],$U796))</f>
        <v/>
      </c>
      <c r="U796" s="4">
        <f>IFERROR(MATCH(791,상세표[발송순번],0),"")</f>
        <v/>
      </c>
    </row>
    <row r="797">
      <c r="J797">
        <f>IF($U797="","",INDEX(상세표[사번],$U797)&amp;"")</f>
        <v/>
      </c>
      <c r="K797">
        <f>IF($U797="","",INDEX(상세표[성명],$U797)&amp;"")</f>
        <v/>
      </c>
      <c r="L797">
        <f>IF($U797="","",INDEX(상세표[직위],$U797)&amp;"")</f>
        <v/>
      </c>
      <c r="M797">
        <f>IF($U797="","",IF(ISNUMBER(INDEX(상세표[근무일자],$U797)),TEXT(INDEX(상세표[근무일자],$U797),"yyyy-mm-dd"),INDEX(상세표[근무일자],$U797)&amp;""))</f>
        <v/>
      </c>
      <c r="N797">
        <f>IF($U797="","",IF(ISNUMBER(INDEX(상세표[시작],$U797)),TEXT(INDEX(상세표[시작],$U797),"yyyy-mm-dd hh:mm"),INDEX(상세표[시작],$U797)&amp;""))</f>
        <v/>
      </c>
      <c r="O797">
        <f>IF($U797="","",IF(ISNUMBER(INDEX(상세표[종료],$U797)),TEXT(INDEX(상세표[종료],$U797),"yyyy-mm-dd hh:mm"),INDEX(상세표[종료],$U797)&amp;""))</f>
        <v/>
      </c>
      <c r="P797" s="20">
        <f>IF($U797="","",INDEX(상세표[06~07시],$U797))</f>
        <v/>
      </c>
      <c r="Q797" s="20">
        <f>IF($U797="","",INDEX(상세표[07~18시],$U797))</f>
        <v/>
      </c>
      <c r="R797" s="20">
        <f>IF($U797="","",INDEX(상세표[18~22시],$U797))</f>
        <v/>
      </c>
      <c r="S797" s="20">
        <f>IF($U797="","",INDEX(상세표[22~06시],$U797))</f>
        <v/>
      </c>
      <c r="T797" s="20">
        <f>IF($U797="","",INDEX(상세표[기록 시간외],$U797))</f>
        <v/>
      </c>
      <c r="U797" s="4">
        <f>IFERROR(MATCH(792,상세표[발송순번],0),"")</f>
        <v/>
      </c>
    </row>
    <row r="798">
      <c r="J798">
        <f>IF($U798="","",INDEX(상세표[사번],$U798)&amp;"")</f>
        <v/>
      </c>
      <c r="K798">
        <f>IF($U798="","",INDEX(상세표[성명],$U798)&amp;"")</f>
        <v/>
      </c>
      <c r="L798">
        <f>IF($U798="","",INDEX(상세표[직위],$U798)&amp;"")</f>
        <v/>
      </c>
      <c r="M798">
        <f>IF($U798="","",IF(ISNUMBER(INDEX(상세표[근무일자],$U798)),TEXT(INDEX(상세표[근무일자],$U798),"yyyy-mm-dd"),INDEX(상세표[근무일자],$U798)&amp;""))</f>
        <v/>
      </c>
      <c r="N798">
        <f>IF($U798="","",IF(ISNUMBER(INDEX(상세표[시작],$U798)),TEXT(INDEX(상세표[시작],$U798),"yyyy-mm-dd hh:mm"),INDEX(상세표[시작],$U798)&amp;""))</f>
        <v/>
      </c>
      <c r="O798">
        <f>IF($U798="","",IF(ISNUMBER(INDEX(상세표[종료],$U798)),TEXT(INDEX(상세표[종료],$U798),"yyyy-mm-dd hh:mm"),INDEX(상세표[종료],$U798)&amp;""))</f>
        <v/>
      </c>
      <c r="P798" s="20">
        <f>IF($U798="","",INDEX(상세표[06~07시],$U798))</f>
        <v/>
      </c>
      <c r="Q798" s="20">
        <f>IF($U798="","",INDEX(상세표[07~18시],$U798))</f>
        <v/>
      </c>
      <c r="R798" s="20">
        <f>IF($U798="","",INDEX(상세표[18~22시],$U798))</f>
        <v/>
      </c>
      <c r="S798" s="20">
        <f>IF($U798="","",INDEX(상세표[22~06시],$U798))</f>
        <v/>
      </c>
      <c r="T798" s="20">
        <f>IF($U798="","",INDEX(상세표[기록 시간외],$U798))</f>
        <v/>
      </c>
      <c r="U798" s="4">
        <f>IFERROR(MATCH(793,상세표[발송순번],0),"")</f>
        <v/>
      </c>
    </row>
    <row r="799">
      <c r="J799">
        <f>IF($U799="","",INDEX(상세표[사번],$U799)&amp;"")</f>
        <v/>
      </c>
      <c r="K799">
        <f>IF($U799="","",INDEX(상세표[성명],$U799)&amp;"")</f>
        <v/>
      </c>
      <c r="L799">
        <f>IF($U799="","",INDEX(상세표[직위],$U799)&amp;"")</f>
        <v/>
      </c>
      <c r="M799">
        <f>IF($U799="","",IF(ISNUMBER(INDEX(상세표[근무일자],$U799)),TEXT(INDEX(상세표[근무일자],$U799),"yyyy-mm-dd"),INDEX(상세표[근무일자],$U799)&amp;""))</f>
        <v/>
      </c>
      <c r="N799">
        <f>IF($U799="","",IF(ISNUMBER(INDEX(상세표[시작],$U799)),TEXT(INDEX(상세표[시작],$U799),"yyyy-mm-dd hh:mm"),INDEX(상세표[시작],$U799)&amp;""))</f>
        <v/>
      </c>
      <c r="O799">
        <f>IF($U799="","",IF(ISNUMBER(INDEX(상세표[종료],$U799)),TEXT(INDEX(상세표[종료],$U799),"yyyy-mm-dd hh:mm"),INDEX(상세표[종료],$U799)&amp;""))</f>
        <v/>
      </c>
      <c r="P799" s="20">
        <f>IF($U799="","",INDEX(상세표[06~07시],$U799))</f>
        <v/>
      </c>
      <c r="Q799" s="20">
        <f>IF($U799="","",INDEX(상세표[07~18시],$U799))</f>
        <v/>
      </c>
      <c r="R799" s="20">
        <f>IF($U799="","",INDEX(상세표[18~22시],$U799))</f>
        <v/>
      </c>
      <c r="S799" s="20">
        <f>IF($U799="","",INDEX(상세표[22~06시],$U799))</f>
        <v/>
      </c>
      <c r="T799" s="20">
        <f>IF($U799="","",INDEX(상세표[기록 시간외],$U799))</f>
        <v/>
      </c>
      <c r="U799" s="4">
        <f>IFERROR(MATCH(794,상세표[발송순번],0),"")</f>
        <v/>
      </c>
    </row>
    <row r="800">
      <c r="J800">
        <f>IF($U800="","",INDEX(상세표[사번],$U800)&amp;"")</f>
        <v/>
      </c>
      <c r="K800">
        <f>IF($U800="","",INDEX(상세표[성명],$U800)&amp;"")</f>
        <v/>
      </c>
      <c r="L800">
        <f>IF($U800="","",INDEX(상세표[직위],$U800)&amp;"")</f>
        <v/>
      </c>
      <c r="M800">
        <f>IF($U800="","",IF(ISNUMBER(INDEX(상세표[근무일자],$U800)),TEXT(INDEX(상세표[근무일자],$U800),"yyyy-mm-dd"),INDEX(상세표[근무일자],$U800)&amp;""))</f>
        <v/>
      </c>
      <c r="N800">
        <f>IF($U800="","",IF(ISNUMBER(INDEX(상세표[시작],$U800)),TEXT(INDEX(상세표[시작],$U800),"yyyy-mm-dd hh:mm"),INDEX(상세표[시작],$U800)&amp;""))</f>
        <v/>
      </c>
      <c r="O800">
        <f>IF($U800="","",IF(ISNUMBER(INDEX(상세표[종료],$U800)),TEXT(INDEX(상세표[종료],$U800),"yyyy-mm-dd hh:mm"),INDEX(상세표[종료],$U800)&amp;""))</f>
        <v/>
      </c>
      <c r="P800" s="20">
        <f>IF($U800="","",INDEX(상세표[06~07시],$U800))</f>
        <v/>
      </c>
      <c r="Q800" s="20">
        <f>IF($U800="","",INDEX(상세표[07~18시],$U800))</f>
        <v/>
      </c>
      <c r="R800" s="20">
        <f>IF($U800="","",INDEX(상세표[18~22시],$U800))</f>
        <v/>
      </c>
      <c r="S800" s="20">
        <f>IF($U800="","",INDEX(상세표[22~06시],$U800))</f>
        <v/>
      </c>
      <c r="T800" s="20">
        <f>IF($U800="","",INDEX(상세표[기록 시간외],$U800))</f>
        <v/>
      </c>
      <c r="U800" s="4">
        <f>IFERROR(MATCH(795,상세표[발송순번],0),"")</f>
        <v/>
      </c>
    </row>
    <row r="801">
      <c r="J801">
        <f>IF($U801="","",INDEX(상세표[사번],$U801)&amp;"")</f>
        <v/>
      </c>
      <c r="K801">
        <f>IF($U801="","",INDEX(상세표[성명],$U801)&amp;"")</f>
        <v/>
      </c>
      <c r="L801">
        <f>IF($U801="","",INDEX(상세표[직위],$U801)&amp;"")</f>
        <v/>
      </c>
      <c r="M801">
        <f>IF($U801="","",IF(ISNUMBER(INDEX(상세표[근무일자],$U801)),TEXT(INDEX(상세표[근무일자],$U801),"yyyy-mm-dd"),INDEX(상세표[근무일자],$U801)&amp;""))</f>
        <v/>
      </c>
      <c r="N801">
        <f>IF($U801="","",IF(ISNUMBER(INDEX(상세표[시작],$U801)),TEXT(INDEX(상세표[시작],$U801),"yyyy-mm-dd hh:mm"),INDEX(상세표[시작],$U801)&amp;""))</f>
        <v/>
      </c>
      <c r="O801">
        <f>IF($U801="","",IF(ISNUMBER(INDEX(상세표[종료],$U801)),TEXT(INDEX(상세표[종료],$U801),"yyyy-mm-dd hh:mm"),INDEX(상세표[종료],$U801)&amp;""))</f>
        <v/>
      </c>
      <c r="P801" s="20">
        <f>IF($U801="","",INDEX(상세표[06~07시],$U801))</f>
        <v/>
      </c>
      <c r="Q801" s="20">
        <f>IF($U801="","",INDEX(상세표[07~18시],$U801))</f>
        <v/>
      </c>
      <c r="R801" s="20">
        <f>IF($U801="","",INDEX(상세표[18~22시],$U801))</f>
        <v/>
      </c>
      <c r="S801" s="20">
        <f>IF($U801="","",INDEX(상세표[22~06시],$U801))</f>
        <v/>
      </c>
      <c r="T801" s="20">
        <f>IF($U801="","",INDEX(상세표[기록 시간외],$U801))</f>
        <v/>
      </c>
      <c r="U801" s="4">
        <f>IFERROR(MATCH(796,상세표[발송순번],0),"")</f>
        <v/>
      </c>
    </row>
    <row r="802">
      <c r="J802">
        <f>IF($U802="","",INDEX(상세표[사번],$U802)&amp;"")</f>
        <v/>
      </c>
      <c r="K802">
        <f>IF($U802="","",INDEX(상세표[성명],$U802)&amp;"")</f>
        <v/>
      </c>
      <c r="L802">
        <f>IF($U802="","",INDEX(상세표[직위],$U802)&amp;"")</f>
        <v/>
      </c>
      <c r="M802">
        <f>IF($U802="","",IF(ISNUMBER(INDEX(상세표[근무일자],$U802)),TEXT(INDEX(상세표[근무일자],$U802),"yyyy-mm-dd"),INDEX(상세표[근무일자],$U802)&amp;""))</f>
        <v/>
      </c>
      <c r="N802">
        <f>IF($U802="","",IF(ISNUMBER(INDEX(상세표[시작],$U802)),TEXT(INDEX(상세표[시작],$U802),"yyyy-mm-dd hh:mm"),INDEX(상세표[시작],$U802)&amp;""))</f>
        <v/>
      </c>
      <c r="O802">
        <f>IF($U802="","",IF(ISNUMBER(INDEX(상세표[종료],$U802)),TEXT(INDEX(상세표[종료],$U802),"yyyy-mm-dd hh:mm"),INDEX(상세표[종료],$U802)&amp;""))</f>
        <v/>
      </c>
      <c r="P802" s="20">
        <f>IF($U802="","",INDEX(상세표[06~07시],$U802))</f>
        <v/>
      </c>
      <c r="Q802" s="20">
        <f>IF($U802="","",INDEX(상세표[07~18시],$U802))</f>
        <v/>
      </c>
      <c r="R802" s="20">
        <f>IF($U802="","",INDEX(상세표[18~22시],$U802))</f>
        <v/>
      </c>
      <c r="S802" s="20">
        <f>IF($U802="","",INDEX(상세표[22~06시],$U802))</f>
        <v/>
      </c>
      <c r="T802" s="20">
        <f>IF($U802="","",INDEX(상세표[기록 시간외],$U802))</f>
        <v/>
      </c>
      <c r="U802" s="4">
        <f>IFERROR(MATCH(797,상세표[발송순번],0),"")</f>
        <v/>
      </c>
    </row>
    <row r="803">
      <c r="J803">
        <f>IF($U803="","",INDEX(상세표[사번],$U803)&amp;"")</f>
        <v/>
      </c>
      <c r="K803">
        <f>IF($U803="","",INDEX(상세표[성명],$U803)&amp;"")</f>
        <v/>
      </c>
      <c r="L803">
        <f>IF($U803="","",INDEX(상세표[직위],$U803)&amp;"")</f>
        <v/>
      </c>
      <c r="M803">
        <f>IF($U803="","",IF(ISNUMBER(INDEX(상세표[근무일자],$U803)),TEXT(INDEX(상세표[근무일자],$U803),"yyyy-mm-dd"),INDEX(상세표[근무일자],$U803)&amp;""))</f>
        <v/>
      </c>
      <c r="N803">
        <f>IF($U803="","",IF(ISNUMBER(INDEX(상세표[시작],$U803)),TEXT(INDEX(상세표[시작],$U803),"yyyy-mm-dd hh:mm"),INDEX(상세표[시작],$U803)&amp;""))</f>
        <v/>
      </c>
      <c r="O803">
        <f>IF($U803="","",IF(ISNUMBER(INDEX(상세표[종료],$U803)),TEXT(INDEX(상세표[종료],$U803),"yyyy-mm-dd hh:mm"),INDEX(상세표[종료],$U803)&amp;""))</f>
        <v/>
      </c>
      <c r="P803" s="20">
        <f>IF($U803="","",INDEX(상세표[06~07시],$U803))</f>
        <v/>
      </c>
      <c r="Q803" s="20">
        <f>IF($U803="","",INDEX(상세표[07~18시],$U803))</f>
        <v/>
      </c>
      <c r="R803" s="20">
        <f>IF($U803="","",INDEX(상세표[18~22시],$U803))</f>
        <v/>
      </c>
      <c r="S803" s="20">
        <f>IF($U803="","",INDEX(상세표[22~06시],$U803))</f>
        <v/>
      </c>
      <c r="T803" s="20">
        <f>IF($U803="","",INDEX(상세표[기록 시간외],$U803))</f>
        <v/>
      </c>
      <c r="U803" s="4">
        <f>IFERROR(MATCH(798,상세표[발송순번],0),"")</f>
        <v/>
      </c>
    </row>
    <row r="804">
      <c r="J804">
        <f>IF($U804="","",INDEX(상세표[사번],$U804)&amp;"")</f>
        <v/>
      </c>
      <c r="K804">
        <f>IF($U804="","",INDEX(상세표[성명],$U804)&amp;"")</f>
        <v/>
      </c>
      <c r="L804">
        <f>IF($U804="","",INDEX(상세표[직위],$U804)&amp;"")</f>
        <v/>
      </c>
      <c r="M804">
        <f>IF($U804="","",IF(ISNUMBER(INDEX(상세표[근무일자],$U804)),TEXT(INDEX(상세표[근무일자],$U804),"yyyy-mm-dd"),INDEX(상세표[근무일자],$U804)&amp;""))</f>
        <v/>
      </c>
      <c r="N804">
        <f>IF($U804="","",IF(ISNUMBER(INDEX(상세표[시작],$U804)),TEXT(INDEX(상세표[시작],$U804),"yyyy-mm-dd hh:mm"),INDEX(상세표[시작],$U804)&amp;""))</f>
        <v/>
      </c>
      <c r="O804">
        <f>IF($U804="","",IF(ISNUMBER(INDEX(상세표[종료],$U804)),TEXT(INDEX(상세표[종료],$U804),"yyyy-mm-dd hh:mm"),INDEX(상세표[종료],$U804)&amp;""))</f>
        <v/>
      </c>
      <c r="P804" s="20">
        <f>IF($U804="","",INDEX(상세표[06~07시],$U804))</f>
        <v/>
      </c>
      <c r="Q804" s="20">
        <f>IF($U804="","",INDEX(상세표[07~18시],$U804))</f>
        <v/>
      </c>
      <c r="R804" s="20">
        <f>IF($U804="","",INDEX(상세표[18~22시],$U804))</f>
        <v/>
      </c>
      <c r="S804" s="20">
        <f>IF($U804="","",INDEX(상세표[22~06시],$U804))</f>
        <v/>
      </c>
      <c r="T804" s="20">
        <f>IF($U804="","",INDEX(상세표[기록 시간외],$U804))</f>
        <v/>
      </c>
      <c r="U804" s="4">
        <f>IFERROR(MATCH(799,상세표[발송순번],0),"")</f>
        <v/>
      </c>
    </row>
    <row r="805">
      <c r="J805">
        <f>IF($U805="","",INDEX(상세표[사번],$U805)&amp;"")</f>
        <v/>
      </c>
      <c r="K805">
        <f>IF($U805="","",INDEX(상세표[성명],$U805)&amp;"")</f>
        <v/>
      </c>
      <c r="L805">
        <f>IF($U805="","",INDEX(상세표[직위],$U805)&amp;"")</f>
        <v/>
      </c>
      <c r="M805">
        <f>IF($U805="","",IF(ISNUMBER(INDEX(상세표[근무일자],$U805)),TEXT(INDEX(상세표[근무일자],$U805),"yyyy-mm-dd"),INDEX(상세표[근무일자],$U805)&amp;""))</f>
        <v/>
      </c>
      <c r="N805">
        <f>IF($U805="","",IF(ISNUMBER(INDEX(상세표[시작],$U805)),TEXT(INDEX(상세표[시작],$U805),"yyyy-mm-dd hh:mm"),INDEX(상세표[시작],$U805)&amp;""))</f>
        <v/>
      </c>
      <c r="O805">
        <f>IF($U805="","",IF(ISNUMBER(INDEX(상세표[종료],$U805)),TEXT(INDEX(상세표[종료],$U805),"yyyy-mm-dd hh:mm"),INDEX(상세표[종료],$U805)&amp;""))</f>
        <v/>
      </c>
      <c r="P805" s="20">
        <f>IF($U805="","",INDEX(상세표[06~07시],$U805))</f>
        <v/>
      </c>
      <c r="Q805" s="20">
        <f>IF($U805="","",INDEX(상세표[07~18시],$U805))</f>
        <v/>
      </c>
      <c r="R805" s="20">
        <f>IF($U805="","",INDEX(상세표[18~22시],$U805))</f>
        <v/>
      </c>
      <c r="S805" s="20">
        <f>IF($U805="","",INDEX(상세표[22~06시],$U805))</f>
        <v/>
      </c>
      <c r="T805" s="20">
        <f>IF($U805="","",INDEX(상세표[기록 시간외],$U805))</f>
        <v/>
      </c>
      <c r="U805" s="4">
        <f>IFERROR(MATCH(800,상세표[발송순번],0),"")</f>
        <v/>
      </c>
    </row>
    <row r="806">
      <c r="J806">
        <f>IF($U806="","",INDEX(상세표[사번],$U806)&amp;"")</f>
        <v/>
      </c>
      <c r="K806">
        <f>IF($U806="","",INDEX(상세표[성명],$U806)&amp;"")</f>
        <v/>
      </c>
      <c r="L806">
        <f>IF($U806="","",INDEX(상세표[직위],$U806)&amp;"")</f>
        <v/>
      </c>
      <c r="M806">
        <f>IF($U806="","",IF(ISNUMBER(INDEX(상세표[근무일자],$U806)),TEXT(INDEX(상세표[근무일자],$U806),"yyyy-mm-dd"),INDEX(상세표[근무일자],$U806)&amp;""))</f>
        <v/>
      </c>
      <c r="N806">
        <f>IF($U806="","",IF(ISNUMBER(INDEX(상세표[시작],$U806)),TEXT(INDEX(상세표[시작],$U806),"yyyy-mm-dd hh:mm"),INDEX(상세표[시작],$U806)&amp;""))</f>
        <v/>
      </c>
      <c r="O806">
        <f>IF($U806="","",IF(ISNUMBER(INDEX(상세표[종료],$U806)),TEXT(INDEX(상세표[종료],$U806),"yyyy-mm-dd hh:mm"),INDEX(상세표[종료],$U806)&amp;""))</f>
        <v/>
      </c>
      <c r="P806" s="20">
        <f>IF($U806="","",INDEX(상세표[06~07시],$U806))</f>
        <v/>
      </c>
      <c r="Q806" s="20">
        <f>IF($U806="","",INDEX(상세표[07~18시],$U806))</f>
        <v/>
      </c>
      <c r="R806" s="20">
        <f>IF($U806="","",INDEX(상세표[18~22시],$U806))</f>
        <v/>
      </c>
      <c r="S806" s="20">
        <f>IF($U806="","",INDEX(상세표[22~06시],$U806))</f>
        <v/>
      </c>
      <c r="T806" s="20">
        <f>IF($U806="","",INDEX(상세표[기록 시간외],$U806))</f>
        <v/>
      </c>
      <c r="U806" s="4">
        <f>IFERROR(MATCH(801,상세표[발송순번],0),"")</f>
        <v/>
      </c>
    </row>
    <row r="807">
      <c r="J807">
        <f>IF($U807="","",INDEX(상세표[사번],$U807)&amp;"")</f>
        <v/>
      </c>
      <c r="K807">
        <f>IF($U807="","",INDEX(상세표[성명],$U807)&amp;"")</f>
        <v/>
      </c>
      <c r="L807">
        <f>IF($U807="","",INDEX(상세표[직위],$U807)&amp;"")</f>
        <v/>
      </c>
      <c r="M807">
        <f>IF($U807="","",IF(ISNUMBER(INDEX(상세표[근무일자],$U807)),TEXT(INDEX(상세표[근무일자],$U807),"yyyy-mm-dd"),INDEX(상세표[근무일자],$U807)&amp;""))</f>
        <v/>
      </c>
      <c r="N807">
        <f>IF($U807="","",IF(ISNUMBER(INDEX(상세표[시작],$U807)),TEXT(INDEX(상세표[시작],$U807),"yyyy-mm-dd hh:mm"),INDEX(상세표[시작],$U807)&amp;""))</f>
        <v/>
      </c>
      <c r="O807">
        <f>IF($U807="","",IF(ISNUMBER(INDEX(상세표[종료],$U807)),TEXT(INDEX(상세표[종료],$U807),"yyyy-mm-dd hh:mm"),INDEX(상세표[종료],$U807)&amp;""))</f>
        <v/>
      </c>
      <c r="P807" s="20">
        <f>IF($U807="","",INDEX(상세표[06~07시],$U807))</f>
        <v/>
      </c>
      <c r="Q807" s="20">
        <f>IF($U807="","",INDEX(상세표[07~18시],$U807))</f>
        <v/>
      </c>
      <c r="R807" s="20">
        <f>IF($U807="","",INDEX(상세표[18~22시],$U807))</f>
        <v/>
      </c>
      <c r="S807" s="20">
        <f>IF($U807="","",INDEX(상세표[22~06시],$U807))</f>
        <v/>
      </c>
      <c r="T807" s="20">
        <f>IF($U807="","",INDEX(상세표[기록 시간외],$U807))</f>
        <v/>
      </c>
      <c r="U807" s="4">
        <f>IFERROR(MATCH(802,상세표[발송순번],0),"")</f>
        <v/>
      </c>
    </row>
    <row r="808">
      <c r="J808">
        <f>IF($U808="","",INDEX(상세표[사번],$U808)&amp;"")</f>
        <v/>
      </c>
      <c r="K808">
        <f>IF($U808="","",INDEX(상세표[성명],$U808)&amp;"")</f>
        <v/>
      </c>
      <c r="L808">
        <f>IF($U808="","",INDEX(상세표[직위],$U808)&amp;"")</f>
        <v/>
      </c>
      <c r="M808">
        <f>IF($U808="","",IF(ISNUMBER(INDEX(상세표[근무일자],$U808)),TEXT(INDEX(상세표[근무일자],$U808),"yyyy-mm-dd"),INDEX(상세표[근무일자],$U808)&amp;""))</f>
        <v/>
      </c>
      <c r="N808">
        <f>IF($U808="","",IF(ISNUMBER(INDEX(상세표[시작],$U808)),TEXT(INDEX(상세표[시작],$U808),"yyyy-mm-dd hh:mm"),INDEX(상세표[시작],$U808)&amp;""))</f>
        <v/>
      </c>
      <c r="O808">
        <f>IF($U808="","",IF(ISNUMBER(INDEX(상세표[종료],$U808)),TEXT(INDEX(상세표[종료],$U808),"yyyy-mm-dd hh:mm"),INDEX(상세표[종료],$U808)&amp;""))</f>
        <v/>
      </c>
      <c r="P808" s="20">
        <f>IF($U808="","",INDEX(상세표[06~07시],$U808))</f>
        <v/>
      </c>
      <c r="Q808" s="20">
        <f>IF($U808="","",INDEX(상세표[07~18시],$U808))</f>
        <v/>
      </c>
      <c r="R808" s="20">
        <f>IF($U808="","",INDEX(상세표[18~22시],$U808))</f>
        <v/>
      </c>
      <c r="S808" s="20">
        <f>IF($U808="","",INDEX(상세표[22~06시],$U808))</f>
        <v/>
      </c>
      <c r="T808" s="20">
        <f>IF($U808="","",INDEX(상세표[기록 시간외],$U808))</f>
        <v/>
      </c>
      <c r="U808" s="4">
        <f>IFERROR(MATCH(803,상세표[발송순번],0),"")</f>
        <v/>
      </c>
    </row>
    <row r="809">
      <c r="J809">
        <f>IF($U809="","",INDEX(상세표[사번],$U809)&amp;"")</f>
        <v/>
      </c>
      <c r="K809">
        <f>IF($U809="","",INDEX(상세표[성명],$U809)&amp;"")</f>
        <v/>
      </c>
      <c r="L809">
        <f>IF($U809="","",INDEX(상세표[직위],$U809)&amp;"")</f>
        <v/>
      </c>
      <c r="M809">
        <f>IF($U809="","",IF(ISNUMBER(INDEX(상세표[근무일자],$U809)),TEXT(INDEX(상세표[근무일자],$U809),"yyyy-mm-dd"),INDEX(상세표[근무일자],$U809)&amp;""))</f>
        <v/>
      </c>
      <c r="N809">
        <f>IF($U809="","",IF(ISNUMBER(INDEX(상세표[시작],$U809)),TEXT(INDEX(상세표[시작],$U809),"yyyy-mm-dd hh:mm"),INDEX(상세표[시작],$U809)&amp;""))</f>
        <v/>
      </c>
      <c r="O809">
        <f>IF($U809="","",IF(ISNUMBER(INDEX(상세표[종료],$U809)),TEXT(INDEX(상세표[종료],$U809),"yyyy-mm-dd hh:mm"),INDEX(상세표[종료],$U809)&amp;""))</f>
        <v/>
      </c>
      <c r="P809" s="20">
        <f>IF($U809="","",INDEX(상세표[06~07시],$U809))</f>
        <v/>
      </c>
      <c r="Q809" s="20">
        <f>IF($U809="","",INDEX(상세표[07~18시],$U809))</f>
        <v/>
      </c>
      <c r="R809" s="20">
        <f>IF($U809="","",INDEX(상세표[18~22시],$U809))</f>
        <v/>
      </c>
      <c r="S809" s="20">
        <f>IF($U809="","",INDEX(상세표[22~06시],$U809))</f>
        <v/>
      </c>
      <c r="T809" s="20">
        <f>IF($U809="","",INDEX(상세표[기록 시간외],$U809))</f>
        <v/>
      </c>
      <c r="U809" s="4">
        <f>IFERROR(MATCH(804,상세표[발송순번],0),"")</f>
        <v/>
      </c>
    </row>
    <row r="810">
      <c r="J810">
        <f>IF($U810="","",INDEX(상세표[사번],$U810)&amp;"")</f>
        <v/>
      </c>
      <c r="K810">
        <f>IF($U810="","",INDEX(상세표[성명],$U810)&amp;"")</f>
        <v/>
      </c>
      <c r="L810">
        <f>IF($U810="","",INDEX(상세표[직위],$U810)&amp;"")</f>
        <v/>
      </c>
      <c r="M810">
        <f>IF($U810="","",IF(ISNUMBER(INDEX(상세표[근무일자],$U810)),TEXT(INDEX(상세표[근무일자],$U810),"yyyy-mm-dd"),INDEX(상세표[근무일자],$U810)&amp;""))</f>
        <v/>
      </c>
      <c r="N810">
        <f>IF($U810="","",IF(ISNUMBER(INDEX(상세표[시작],$U810)),TEXT(INDEX(상세표[시작],$U810),"yyyy-mm-dd hh:mm"),INDEX(상세표[시작],$U810)&amp;""))</f>
        <v/>
      </c>
      <c r="O810">
        <f>IF($U810="","",IF(ISNUMBER(INDEX(상세표[종료],$U810)),TEXT(INDEX(상세표[종료],$U810),"yyyy-mm-dd hh:mm"),INDEX(상세표[종료],$U810)&amp;""))</f>
        <v/>
      </c>
      <c r="P810" s="20">
        <f>IF($U810="","",INDEX(상세표[06~07시],$U810))</f>
        <v/>
      </c>
      <c r="Q810" s="20">
        <f>IF($U810="","",INDEX(상세표[07~18시],$U810))</f>
        <v/>
      </c>
      <c r="R810" s="20">
        <f>IF($U810="","",INDEX(상세표[18~22시],$U810))</f>
        <v/>
      </c>
      <c r="S810" s="20">
        <f>IF($U810="","",INDEX(상세표[22~06시],$U810))</f>
        <v/>
      </c>
      <c r="T810" s="20">
        <f>IF($U810="","",INDEX(상세표[기록 시간외],$U810))</f>
        <v/>
      </c>
      <c r="U810" s="4">
        <f>IFERROR(MATCH(805,상세표[발송순번],0),"")</f>
        <v/>
      </c>
    </row>
    <row r="811">
      <c r="J811">
        <f>IF($U811="","",INDEX(상세표[사번],$U811)&amp;"")</f>
        <v/>
      </c>
      <c r="K811">
        <f>IF($U811="","",INDEX(상세표[성명],$U811)&amp;"")</f>
        <v/>
      </c>
      <c r="L811">
        <f>IF($U811="","",INDEX(상세표[직위],$U811)&amp;"")</f>
        <v/>
      </c>
      <c r="M811">
        <f>IF($U811="","",IF(ISNUMBER(INDEX(상세표[근무일자],$U811)),TEXT(INDEX(상세표[근무일자],$U811),"yyyy-mm-dd"),INDEX(상세표[근무일자],$U811)&amp;""))</f>
        <v/>
      </c>
      <c r="N811">
        <f>IF($U811="","",IF(ISNUMBER(INDEX(상세표[시작],$U811)),TEXT(INDEX(상세표[시작],$U811),"yyyy-mm-dd hh:mm"),INDEX(상세표[시작],$U811)&amp;""))</f>
        <v/>
      </c>
      <c r="O811">
        <f>IF($U811="","",IF(ISNUMBER(INDEX(상세표[종료],$U811)),TEXT(INDEX(상세표[종료],$U811),"yyyy-mm-dd hh:mm"),INDEX(상세표[종료],$U811)&amp;""))</f>
        <v/>
      </c>
      <c r="P811" s="20">
        <f>IF($U811="","",INDEX(상세표[06~07시],$U811))</f>
        <v/>
      </c>
      <c r="Q811" s="20">
        <f>IF($U811="","",INDEX(상세표[07~18시],$U811))</f>
        <v/>
      </c>
      <c r="R811" s="20">
        <f>IF($U811="","",INDEX(상세표[18~22시],$U811))</f>
        <v/>
      </c>
      <c r="S811" s="20">
        <f>IF($U811="","",INDEX(상세표[22~06시],$U811))</f>
        <v/>
      </c>
      <c r="T811" s="20">
        <f>IF($U811="","",INDEX(상세표[기록 시간외],$U811))</f>
        <v/>
      </c>
      <c r="U811" s="4">
        <f>IFERROR(MATCH(806,상세표[발송순번],0),"")</f>
        <v/>
      </c>
    </row>
    <row r="812">
      <c r="J812">
        <f>IF($U812="","",INDEX(상세표[사번],$U812)&amp;"")</f>
        <v/>
      </c>
      <c r="K812">
        <f>IF($U812="","",INDEX(상세표[성명],$U812)&amp;"")</f>
        <v/>
      </c>
      <c r="L812">
        <f>IF($U812="","",INDEX(상세표[직위],$U812)&amp;"")</f>
        <v/>
      </c>
      <c r="M812">
        <f>IF($U812="","",IF(ISNUMBER(INDEX(상세표[근무일자],$U812)),TEXT(INDEX(상세표[근무일자],$U812),"yyyy-mm-dd"),INDEX(상세표[근무일자],$U812)&amp;""))</f>
        <v/>
      </c>
      <c r="N812">
        <f>IF($U812="","",IF(ISNUMBER(INDEX(상세표[시작],$U812)),TEXT(INDEX(상세표[시작],$U812),"yyyy-mm-dd hh:mm"),INDEX(상세표[시작],$U812)&amp;""))</f>
        <v/>
      </c>
      <c r="O812">
        <f>IF($U812="","",IF(ISNUMBER(INDEX(상세표[종료],$U812)),TEXT(INDEX(상세표[종료],$U812),"yyyy-mm-dd hh:mm"),INDEX(상세표[종료],$U812)&amp;""))</f>
        <v/>
      </c>
      <c r="P812" s="20">
        <f>IF($U812="","",INDEX(상세표[06~07시],$U812))</f>
        <v/>
      </c>
      <c r="Q812" s="20">
        <f>IF($U812="","",INDEX(상세표[07~18시],$U812))</f>
        <v/>
      </c>
      <c r="R812" s="20">
        <f>IF($U812="","",INDEX(상세표[18~22시],$U812))</f>
        <v/>
      </c>
      <c r="S812" s="20">
        <f>IF($U812="","",INDEX(상세표[22~06시],$U812))</f>
        <v/>
      </c>
      <c r="T812" s="20">
        <f>IF($U812="","",INDEX(상세표[기록 시간외],$U812))</f>
        <v/>
      </c>
      <c r="U812" s="4">
        <f>IFERROR(MATCH(807,상세표[발송순번],0),"")</f>
        <v/>
      </c>
    </row>
    <row r="813">
      <c r="J813">
        <f>IF($U813="","",INDEX(상세표[사번],$U813)&amp;"")</f>
        <v/>
      </c>
      <c r="K813">
        <f>IF($U813="","",INDEX(상세표[성명],$U813)&amp;"")</f>
        <v/>
      </c>
      <c r="L813">
        <f>IF($U813="","",INDEX(상세표[직위],$U813)&amp;"")</f>
        <v/>
      </c>
      <c r="M813">
        <f>IF($U813="","",IF(ISNUMBER(INDEX(상세표[근무일자],$U813)),TEXT(INDEX(상세표[근무일자],$U813),"yyyy-mm-dd"),INDEX(상세표[근무일자],$U813)&amp;""))</f>
        <v/>
      </c>
      <c r="N813">
        <f>IF($U813="","",IF(ISNUMBER(INDEX(상세표[시작],$U813)),TEXT(INDEX(상세표[시작],$U813),"yyyy-mm-dd hh:mm"),INDEX(상세표[시작],$U813)&amp;""))</f>
        <v/>
      </c>
      <c r="O813">
        <f>IF($U813="","",IF(ISNUMBER(INDEX(상세표[종료],$U813)),TEXT(INDEX(상세표[종료],$U813),"yyyy-mm-dd hh:mm"),INDEX(상세표[종료],$U813)&amp;""))</f>
        <v/>
      </c>
      <c r="P813" s="20">
        <f>IF($U813="","",INDEX(상세표[06~07시],$U813))</f>
        <v/>
      </c>
      <c r="Q813" s="20">
        <f>IF($U813="","",INDEX(상세표[07~18시],$U813))</f>
        <v/>
      </c>
      <c r="R813" s="20">
        <f>IF($U813="","",INDEX(상세표[18~22시],$U813))</f>
        <v/>
      </c>
      <c r="S813" s="20">
        <f>IF($U813="","",INDEX(상세표[22~06시],$U813))</f>
        <v/>
      </c>
      <c r="T813" s="20">
        <f>IF($U813="","",INDEX(상세표[기록 시간외],$U813))</f>
        <v/>
      </c>
      <c r="U813" s="4">
        <f>IFERROR(MATCH(808,상세표[발송순번],0),"")</f>
        <v/>
      </c>
    </row>
    <row r="814">
      <c r="J814">
        <f>IF($U814="","",INDEX(상세표[사번],$U814)&amp;"")</f>
        <v/>
      </c>
      <c r="K814">
        <f>IF($U814="","",INDEX(상세표[성명],$U814)&amp;"")</f>
        <v/>
      </c>
      <c r="L814">
        <f>IF($U814="","",INDEX(상세표[직위],$U814)&amp;"")</f>
        <v/>
      </c>
      <c r="M814">
        <f>IF($U814="","",IF(ISNUMBER(INDEX(상세표[근무일자],$U814)),TEXT(INDEX(상세표[근무일자],$U814),"yyyy-mm-dd"),INDEX(상세표[근무일자],$U814)&amp;""))</f>
        <v/>
      </c>
      <c r="N814">
        <f>IF($U814="","",IF(ISNUMBER(INDEX(상세표[시작],$U814)),TEXT(INDEX(상세표[시작],$U814),"yyyy-mm-dd hh:mm"),INDEX(상세표[시작],$U814)&amp;""))</f>
        <v/>
      </c>
      <c r="O814">
        <f>IF($U814="","",IF(ISNUMBER(INDEX(상세표[종료],$U814)),TEXT(INDEX(상세표[종료],$U814),"yyyy-mm-dd hh:mm"),INDEX(상세표[종료],$U814)&amp;""))</f>
        <v/>
      </c>
      <c r="P814" s="20">
        <f>IF($U814="","",INDEX(상세표[06~07시],$U814))</f>
        <v/>
      </c>
      <c r="Q814" s="20">
        <f>IF($U814="","",INDEX(상세표[07~18시],$U814))</f>
        <v/>
      </c>
      <c r="R814" s="20">
        <f>IF($U814="","",INDEX(상세표[18~22시],$U814))</f>
        <v/>
      </c>
      <c r="S814" s="20">
        <f>IF($U814="","",INDEX(상세표[22~06시],$U814))</f>
        <v/>
      </c>
      <c r="T814" s="20">
        <f>IF($U814="","",INDEX(상세표[기록 시간외],$U814))</f>
        <v/>
      </c>
      <c r="U814" s="4">
        <f>IFERROR(MATCH(809,상세표[발송순번],0),"")</f>
        <v/>
      </c>
    </row>
    <row r="815">
      <c r="J815">
        <f>IF($U815="","",INDEX(상세표[사번],$U815)&amp;"")</f>
        <v/>
      </c>
      <c r="K815">
        <f>IF($U815="","",INDEX(상세표[성명],$U815)&amp;"")</f>
        <v/>
      </c>
      <c r="L815">
        <f>IF($U815="","",INDEX(상세표[직위],$U815)&amp;"")</f>
        <v/>
      </c>
      <c r="M815">
        <f>IF($U815="","",IF(ISNUMBER(INDEX(상세표[근무일자],$U815)),TEXT(INDEX(상세표[근무일자],$U815),"yyyy-mm-dd"),INDEX(상세표[근무일자],$U815)&amp;""))</f>
        <v/>
      </c>
      <c r="N815">
        <f>IF($U815="","",IF(ISNUMBER(INDEX(상세표[시작],$U815)),TEXT(INDEX(상세표[시작],$U815),"yyyy-mm-dd hh:mm"),INDEX(상세표[시작],$U815)&amp;""))</f>
        <v/>
      </c>
      <c r="O815">
        <f>IF($U815="","",IF(ISNUMBER(INDEX(상세표[종료],$U815)),TEXT(INDEX(상세표[종료],$U815),"yyyy-mm-dd hh:mm"),INDEX(상세표[종료],$U815)&amp;""))</f>
        <v/>
      </c>
      <c r="P815" s="20">
        <f>IF($U815="","",INDEX(상세표[06~07시],$U815))</f>
        <v/>
      </c>
      <c r="Q815" s="20">
        <f>IF($U815="","",INDEX(상세표[07~18시],$U815))</f>
        <v/>
      </c>
      <c r="R815" s="20">
        <f>IF($U815="","",INDEX(상세표[18~22시],$U815))</f>
        <v/>
      </c>
      <c r="S815" s="20">
        <f>IF($U815="","",INDEX(상세표[22~06시],$U815))</f>
        <v/>
      </c>
      <c r="T815" s="20">
        <f>IF($U815="","",INDEX(상세표[기록 시간외],$U815))</f>
        <v/>
      </c>
      <c r="U815" s="4">
        <f>IFERROR(MATCH(810,상세표[발송순번],0),"")</f>
        <v/>
      </c>
    </row>
    <row r="816">
      <c r="J816">
        <f>IF($U816="","",INDEX(상세표[사번],$U816)&amp;"")</f>
        <v/>
      </c>
      <c r="K816">
        <f>IF($U816="","",INDEX(상세표[성명],$U816)&amp;"")</f>
        <v/>
      </c>
      <c r="L816">
        <f>IF($U816="","",INDEX(상세표[직위],$U816)&amp;"")</f>
        <v/>
      </c>
      <c r="M816">
        <f>IF($U816="","",IF(ISNUMBER(INDEX(상세표[근무일자],$U816)),TEXT(INDEX(상세표[근무일자],$U816),"yyyy-mm-dd"),INDEX(상세표[근무일자],$U816)&amp;""))</f>
        <v/>
      </c>
      <c r="N816">
        <f>IF($U816="","",IF(ISNUMBER(INDEX(상세표[시작],$U816)),TEXT(INDEX(상세표[시작],$U816),"yyyy-mm-dd hh:mm"),INDEX(상세표[시작],$U816)&amp;""))</f>
        <v/>
      </c>
      <c r="O816">
        <f>IF($U816="","",IF(ISNUMBER(INDEX(상세표[종료],$U816)),TEXT(INDEX(상세표[종료],$U816),"yyyy-mm-dd hh:mm"),INDEX(상세표[종료],$U816)&amp;""))</f>
        <v/>
      </c>
      <c r="P816" s="20">
        <f>IF($U816="","",INDEX(상세표[06~07시],$U816))</f>
        <v/>
      </c>
      <c r="Q816" s="20">
        <f>IF($U816="","",INDEX(상세표[07~18시],$U816))</f>
        <v/>
      </c>
      <c r="R816" s="20">
        <f>IF($U816="","",INDEX(상세표[18~22시],$U816))</f>
        <v/>
      </c>
      <c r="S816" s="20">
        <f>IF($U816="","",INDEX(상세표[22~06시],$U816))</f>
        <v/>
      </c>
      <c r="T816" s="20">
        <f>IF($U816="","",INDEX(상세표[기록 시간외],$U816))</f>
        <v/>
      </c>
      <c r="U816" s="4">
        <f>IFERROR(MATCH(811,상세표[발송순번],0),"")</f>
        <v/>
      </c>
    </row>
    <row r="817">
      <c r="J817">
        <f>IF($U817="","",INDEX(상세표[사번],$U817)&amp;"")</f>
        <v/>
      </c>
      <c r="K817">
        <f>IF($U817="","",INDEX(상세표[성명],$U817)&amp;"")</f>
        <v/>
      </c>
      <c r="L817">
        <f>IF($U817="","",INDEX(상세표[직위],$U817)&amp;"")</f>
        <v/>
      </c>
      <c r="M817">
        <f>IF($U817="","",IF(ISNUMBER(INDEX(상세표[근무일자],$U817)),TEXT(INDEX(상세표[근무일자],$U817),"yyyy-mm-dd"),INDEX(상세표[근무일자],$U817)&amp;""))</f>
        <v/>
      </c>
      <c r="N817">
        <f>IF($U817="","",IF(ISNUMBER(INDEX(상세표[시작],$U817)),TEXT(INDEX(상세표[시작],$U817),"yyyy-mm-dd hh:mm"),INDEX(상세표[시작],$U817)&amp;""))</f>
        <v/>
      </c>
      <c r="O817">
        <f>IF($U817="","",IF(ISNUMBER(INDEX(상세표[종료],$U817)),TEXT(INDEX(상세표[종료],$U817),"yyyy-mm-dd hh:mm"),INDEX(상세표[종료],$U817)&amp;""))</f>
        <v/>
      </c>
      <c r="P817" s="20">
        <f>IF($U817="","",INDEX(상세표[06~07시],$U817))</f>
        <v/>
      </c>
      <c r="Q817" s="20">
        <f>IF($U817="","",INDEX(상세표[07~18시],$U817))</f>
        <v/>
      </c>
      <c r="R817" s="20">
        <f>IF($U817="","",INDEX(상세표[18~22시],$U817))</f>
        <v/>
      </c>
      <c r="S817" s="20">
        <f>IF($U817="","",INDEX(상세표[22~06시],$U817))</f>
        <v/>
      </c>
      <c r="T817" s="20">
        <f>IF($U817="","",INDEX(상세표[기록 시간외],$U817))</f>
        <v/>
      </c>
      <c r="U817" s="4">
        <f>IFERROR(MATCH(812,상세표[발송순번],0),"")</f>
        <v/>
      </c>
    </row>
    <row r="818">
      <c r="J818">
        <f>IF($U818="","",INDEX(상세표[사번],$U818)&amp;"")</f>
        <v/>
      </c>
      <c r="K818">
        <f>IF($U818="","",INDEX(상세표[성명],$U818)&amp;"")</f>
        <v/>
      </c>
      <c r="L818">
        <f>IF($U818="","",INDEX(상세표[직위],$U818)&amp;"")</f>
        <v/>
      </c>
      <c r="M818">
        <f>IF($U818="","",IF(ISNUMBER(INDEX(상세표[근무일자],$U818)),TEXT(INDEX(상세표[근무일자],$U818),"yyyy-mm-dd"),INDEX(상세표[근무일자],$U818)&amp;""))</f>
        <v/>
      </c>
      <c r="N818">
        <f>IF($U818="","",IF(ISNUMBER(INDEX(상세표[시작],$U818)),TEXT(INDEX(상세표[시작],$U818),"yyyy-mm-dd hh:mm"),INDEX(상세표[시작],$U818)&amp;""))</f>
        <v/>
      </c>
      <c r="O818">
        <f>IF($U818="","",IF(ISNUMBER(INDEX(상세표[종료],$U818)),TEXT(INDEX(상세표[종료],$U818),"yyyy-mm-dd hh:mm"),INDEX(상세표[종료],$U818)&amp;""))</f>
        <v/>
      </c>
      <c r="P818" s="20">
        <f>IF($U818="","",INDEX(상세표[06~07시],$U818))</f>
        <v/>
      </c>
      <c r="Q818" s="20">
        <f>IF($U818="","",INDEX(상세표[07~18시],$U818))</f>
        <v/>
      </c>
      <c r="R818" s="20">
        <f>IF($U818="","",INDEX(상세표[18~22시],$U818))</f>
        <v/>
      </c>
      <c r="S818" s="20">
        <f>IF($U818="","",INDEX(상세표[22~06시],$U818))</f>
        <v/>
      </c>
      <c r="T818" s="20">
        <f>IF($U818="","",INDEX(상세표[기록 시간외],$U818))</f>
        <v/>
      </c>
      <c r="U818" s="4">
        <f>IFERROR(MATCH(813,상세표[발송순번],0),"")</f>
        <v/>
      </c>
    </row>
    <row r="819">
      <c r="J819">
        <f>IF($U819="","",INDEX(상세표[사번],$U819)&amp;"")</f>
        <v/>
      </c>
      <c r="K819">
        <f>IF($U819="","",INDEX(상세표[성명],$U819)&amp;"")</f>
        <v/>
      </c>
      <c r="L819">
        <f>IF($U819="","",INDEX(상세표[직위],$U819)&amp;"")</f>
        <v/>
      </c>
      <c r="M819">
        <f>IF($U819="","",IF(ISNUMBER(INDEX(상세표[근무일자],$U819)),TEXT(INDEX(상세표[근무일자],$U819),"yyyy-mm-dd"),INDEX(상세표[근무일자],$U819)&amp;""))</f>
        <v/>
      </c>
      <c r="N819">
        <f>IF($U819="","",IF(ISNUMBER(INDEX(상세표[시작],$U819)),TEXT(INDEX(상세표[시작],$U819),"yyyy-mm-dd hh:mm"),INDEX(상세표[시작],$U819)&amp;""))</f>
        <v/>
      </c>
      <c r="O819">
        <f>IF($U819="","",IF(ISNUMBER(INDEX(상세표[종료],$U819)),TEXT(INDEX(상세표[종료],$U819),"yyyy-mm-dd hh:mm"),INDEX(상세표[종료],$U819)&amp;""))</f>
        <v/>
      </c>
      <c r="P819" s="20">
        <f>IF($U819="","",INDEX(상세표[06~07시],$U819))</f>
        <v/>
      </c>
      <c r="Q819" s="20">
        <f>IF($U819="","",INDEX(상세표[07~18시],$U819))</f>
        <v/>
      </c>
      <c r="R819" s="20">
        <f>IF($U819="","",INDEX(상세표[18~22시],$U819))</f>
        <v/>
      </c>
      <c r="S819" s="20">
        <f>IF($U819="","",INDEX(상세표[22~06시],$U819))</f>
        <v/>
      </c>
      <c r="T819" s="20">
        <f>IF($U819="","",INDEX(상세표[기록 시간외],$U819))</f>
        <v/>
      </c>
      <c r="U819" s="4">
        <f>IFERROR(MATCH(814,상세표[발송순번],0),"")</f>
        <v/>
      </c>
    </row>
    <row r="820">
      <c r="J820">
        <f>IF($U820="","",INDEX(상세표[사번],$U820)&amp;"")</f>
        <v/>
      </c>
      <c r="K820">
        <f>IF($U820="","",INDEX(상세표[성명],$U820)&amp;"")</f>
        <v/>
      </c>
      <c r="L820">
        <f>IF($U820="","",INDEX(상세표[직위],$U820)&amp;"")</f>
        <v/>
      </c>
      <c r="M820">
        <f>IF($U820="","",IF(ISNUMBER(INDEX(상세표[근무일자],$U820)),TEXT(INDEX(상세표[근무일자],$U820),"yyyy-mm-dd"),INDEX(상세표[근무일자],$U820)&amp;""))</f>
        <v/>
      </c>
      <c r="N820">
        <f>IF($U820="","",IF(ISNUMBER(INDEX(상세표[시작],$U820)),TEXT(INDEX(상세표[시작],$U820),"yyyy-mm-dd hh:mm"),INDEX(상세표[시작],$U820)&amp;""))</f>
        <v/>
      </c>
      <c r="O820">
        <f>IF($U820="","",IF(ISNUMBER(INDEX(상세표[종료],$U820)),TEXT(INDEX(상세표[종료],$U820),"yyyy-mm-dd hh:mm"),INDEX(상세표[종료],$U820)&amp;""))</f>
        <v/>
      </c>
      <c r="P820" s="20">
        <f>IF($U820="","",INDEX(상세표[06~07시],$U820))</f>
        <v/>
      </c>
      <c r="Q820" s="20">
        <f>IF($U820="","",INDEX(상세표[07~18시],$U820))</f>
        <v/>
      </c>
      <c r="R820" s="20">
        <f>IF($U820="","",INDEX(상세표[18~22시],$U820))</f>
        <v/>
      </c>
      <c r="S820" s="20">
        <f>IF($U820="","",INDEX(상세표[22~06시],$U820))</f>
        <v/>
      </c>
      <c r="T820" s="20">
        <f>IF($U820="","",INDEX(상세표[기록 시간외],$U820))</f>
        <v/>
      </c>
      <c r="U820" s="4">
        <f>IFERROR(MATCH(815,상세표[발송순번],0),"")</f>
        <v/>
      </c>
    </row>
    <row r="821">
      <c r="J821">
        <f>IF($U821="","",INDEX(상세표[사번],$U821)&amp;"")</f>
        <v/>
      </c>
      <c r="K821">
        <f>IF($U821="","",INDEX(상세표[성명],$U821)&amp;"")</f>
        <v/>
      </c>
      <c r="L821">
        <f>IF($U821="","",INDEX(상세표[직위],$U821)&amp;"")</f>
        <v/>
      </c>
      <c r="M821">
        <f>IF($U821="","",IF(ISNUMBER(INDEX(상세표[근무일자],$U821)),TEXT(INDEX(상세표[근무일자],$U821),"yyyy-mm-dd"),INDEX(상세표[근무일자],$U821)&amp;""))</f>
        <v/>
      </c>
      <c r="N821">
        <f>IF($U821="","",IF(ISNUMBER(INDEX(상세표[시작],$U821)),TEXT(INDEX(상세표[시작],$U821),"yyyy-mm-dd hh:mm"),INDEX(상세표[시작],$U821)&amp;""))</f>
        <v/>
      </c>
      <c r="O821">
        <f>IF($U821="","",IF(ISNUMBER(INDEX(상세표[종료],$U821)),TEXT(INDEX(상세표[종료],$U821),"yyyy-mm-dd hh:mm"),INDEX(상세표[종료],$U821)&amp;""))</f>
        <v/>
      </c>
      <c r="P821" s="20">
        <f>IF($U821="","",INDEX(상세표[06~07시],$U821))</f>
        <v/>
      </c>
      <c r="Q821" s="20">
        <f>IF($U821="","",INDEX(상세표[07~18시],$U821))</f>
        <v/>
      </c>
      <c r="R821" s="20">
        <f>IF($U821="","",INDEX(상세표[18~22시],$U821))</f>
        <v/>
      </c>
      <c r="S821" s="20">
        <f>IF($U821="","",INDEX(상세표[22~06시],$U821))</f>
        <v/>
      </c>
      <c r="T821" s="20">
        <f>IF($U821="","",INDEX(상세표[기록 시간외],$U821))</f>
        <v/>
      </c>
      <c r="U821" s="4">
        <f>IFERROR(MATCH(816,상세표[발송순번],0),"")</f>
        <v/>
      </c>
    </row>
    <row r="822">
      <c r="J822">
        <f>IF($U822="","",INDEX(상세표[사번],$U822)&amp;"")</f>
        <v/>
      </c>
      <c r="K822">
        <f>IF($U822="","",INDEX(상세표[성명],$U822)&amp;"")</f>
        <v/>
      </c>
      <c r="L822">
        <f>IF($U822="","",INDEX(상세표[직위],$U822)&amp;"")</f>
        <v/>
      </c>
      <c r="M822">
        <f>IF($U822="","",IF(ISNUMBER(INDEX(상세표[근무일자],$U822)),TEXT(INDEX(상세표[근무일자],$U822),"yyyy-mm-dd"),INDEX(상세표[근무일자],$U822)&amp;""))</f>
        <v/>
      </c>
      <c r="N822">
        <f>IF($U822="","",IF(ISNUMBER(INDEX(상세표[시작],$U822)),TEXT(INDEX(상세표[시작],$U822),"yyyy-mm-dd hh:mm"),INDEX(상세표[시작],$U822)&amp;""))</f>
        <v/>
      </c>
      <c r="O822">
        <f>IF($U822="","",IF(ISNUMBER(INDEX(상세표[종료],$U822)),TEXT(INDEX(상세표[종료],$U822),"yyyy-mm-dd hh:mm"),INDEX(상세표[종료],$U822)&amp;""))</f>
        <v/>
      </c>
      <c r="P822" s="20">
        <f>IF($U822="","",INDEX(상세표[06~07시],$U822))</f>
        <v/>
      </c>
      <c r="Q822" s="20">
        <f>IF($U822="","",INDEX(상세표[07~18시],$U822))</f>
        <v/>
      </c>
      <c r="R822" s="20">
        <f>IF($U822="","",INDEX(상세표[18~22시],$U822))</f>
        <v/>
      </c>
      <c r="S822" s="20">
        <f>IF($U822="","",INDEX(상세표[22~06시],$U822))</f>
        <v/>
      </c>
      <c r="T822" s="20">
        <f>IF($U822="","",INDEX(상세표[기록 시간외],$U822))</f>
        <v/>
      </c>
      <c r="U822" s="4">
        <f>IFERROR(MATCH(817,상세표[발송순번],0),"")</f>
        <v/>
      </c>
    </row>
    <row r="823">
      <c r="J823">
        <f>IF($U823="","",INDEX(상세표[사번],$U823)&amp;"")</f>
        <v/>
      </c>
      <c r="K823">
        <f>IF($U823="","",INDEX(상세표[성명],$U823)&amp;"")</f>
        <v/>
      </c>
      <c r="L823">
        <f>IF($U823="","",INDEX(상세표[직위],$U823)&amp;"")</f>
        <v/>
      </c>
      <c r="M823">
        <f>IF($U823="","",IF(ISNUMBER(INDEX(상세표[근무일자],$U823)),TEXT(INDEX(상세표[근무일자],$U823),"yyyy-mm-dd"),INDEX(상세표[근무일자],$U823)&amp;""))</f>
        <v/>
      </c>
      <c r="N823">
        <f>IF($U823="","",IF(ISNUMBER(INDEX(상세표[시작],$U823)),TEXT(INDEX(상세표[시작],$U823),"yyyy-mm-dd hh:mm"),INDEX(상세표[시작],$U823)&amp;""))</f>
        <v/>
      </c>
      <c r="O823">
        <f>IF($U823="","",IF(ISNUMBER(INDEX(상세표[종료],$U823)),TEXT(INDEX(상세표[종료],$U823),"yyyy-mm-dd hh:mm"),INDEX(상세표[종료],$U823)&amp;""))</f>
        <v/>
      </c>
      <c r="P823" s="20">
        <f>IF($U823="","",INDEX(상세표[06~07시],$U823))</f>
        <v/>
      </c>
      <c r="Q823" s="20">
        <f>IF($U823="","",INDEX(상세표[07~18시],$U823))</f>
        <v/>
      </c>
      <c r="R823" s="20">
        <f>IF($U823="","",INDEX(상세표[18~22시],$U823))</f>
        <v/>
      </c>
      <c r="S823" s="20">
        <f>IF($U823="","",INDEX(상세표[22~06시],$U823))</f>
        <v/>
      </c>
      <c r="T823" s="20">
        <f>IF($U823="","",INDEX(상세표[기록 시간외],$U823))</f>
        <v/>
      </c>
      <c r="U823" s="4">
        <f>IFERROR(MATCH(818,상세표[발송순번],0),"")</f>
        <v/>
      </c>
    </row>
    <row r="824">
      <c r="J824">
        <f>IF($U824="","",INDEX(상세표[사번],$U824)&amp;"")</f>
        <v/>
      </c>
      <c r="K824">
        <f>IF($U824="","",INDEX(상세표[성명],$U824)&amp;"")</f>
        <v/>
      </c>
      <c r="L824">
        <f>IF($U824="","",INDEX(상세표[직위],$U824)&amp;"")</f>
        <v/>
      </c>
      <c r="M824">
        <f>IF($U824="","",IF(ISNUMBER(INDEX(상세표[근무일자],$U824)),TEXT(INDEX(상세표[근무일자],$U824),"yyyy-mm-dd"),INDEX(상세표[근무일자],$U824)&amp;""))</f>
        <v/>
      </c>
      <c r="N824">
        <f>IF($U824="","",IF(ISNUMBER(INDEX(상세표[시작],$U824)),TEXT(INDEX(상세표[시작],$U824),"yyyy-mm-dd hh:mm"),INDEX(상세표[시작],$U824)&amp;""))</f>
        <v/>
      </c>
      <c r="O824">
        <f>IF($U824="","",IF(ISNUMBER(INDEX(상세표[종료],$U824)),TEXT(INDEX(상세표[종료],$U824),"yyyy-mm-dd hh:mm"),INDEX(상세표[종료],$U824)&amp;""))</f>
        <v/>
      </c>
      <c r="P824" s="20">
        <f>IF($U824="","",INDEX(상세표[06~07시],$U824))</f>
        <v/>
      </c>
      <c r="Q824" s="20">
        <f>IF($U824="","",INDEX(상세표[07~18시],$U824))</f>
        <v/>
      </c>
      <c r="R824" s="20">
        <f>IF($U824="","",INDEX(상세표[18~22시],$U824))</f>
        <v/>
      </c>
      <c r="S824" s="20">
        <f>IF($U824="","",INDEX(상세표[22~06시],$U824))</f>
        <v/>
      </c>
      <c r="T824" s="20">
        <f>IF($U824="","",INDEX(상세표[기록 시간외],$U824))</f>
        <v/>
      </c>
      <c r="U824" s="4">
        <f>IFERROR(MATCH(819,상세표[발송순번],0),"")</f>
        <v/>
      </c>
    </row>
    <row r="825">
      <c r="J825">
        <f>IF($U825="","",INDEX(상세표[사번],$U825)&amp;"")</f>
        <v/>
      </c>
      <c r="K825">
        <f>IF($U825="","",INDEX(상세표[성명],$U825)&amp;"")</f>
        <v/>
      </c>
      <c r="L825">
        <f>IF($U825="","",INDEX(상세표[직위],$U825)&amp;"")</f>
        <v/>
      </c>
      <c r="M825">
        <f>IF($U825="","",IF(ISNUMBER(INDEX(상세표[근무일자],$U825)),TEXT(INDEX(상세표[근무일자],$U825),"yyyy-mm-dd"),INDEX(상세표[근무일자],$U825)&amp;""))</f>
        <v/>
      </c>
      <c r="N825">
        <f>IF($U825="","",IF(ISNUMBER(INDEX(상세표[시작],$U825)),TEXT(INDEX(상세표[시작],$U825),"yyyy-mm-dd hh:mm"),INDEX(상세표[시작],$U825)&amp;""))</f>
        <v/>
      </c>
      <c r="O825">
        <f>IF($U825="","",IF(ISNUMBER(INDEX(상세표[종료],$U825)),TEXT(INDEX(상세표[종료],$U825),"yyyy-mm-dd hh:mm"),INDEX(상세표[종료],$U825)&amp;""))</f>
        <v/>
      </c>
      <c r="P825" s="20">
        <f>IF($U825="","",INDEX(상세표[06~07시],$U825))</f>
        <v/>
      </c>
      <c r="Q825" s="20">
        <f>IF($U825="","",INDEX(상세표[07~18시],$U825))</f>
        <v/>
      </c>
      <c r="R825" s="20">
        <f>IF($U825="","",INDEX(상세표[18~22시],$U825))</f>
        <v/>
      </c>
      <c r="S825" s="20">
        <f>IF($U825="","",INDEX(상세표[22~06시],$U825))</f>
        <v/>
      </c>
      <c r="T825" s="20">
        <f>IF($U825="","",INDEX(상세표[기록 시간외],$U825))</f>
        <v/>
      </c>
      <c r="U825" s="4">
        <f>IFERROR(MATCH(820,상세표[발송순번],0),"")</f>
        <v/>
      </c>
    </row>
    <row r="826">
      <c r="J826">
        <f>IF($U826="","",INDEX(상세표[사번],$U826)&amp;"")</f>
        <v/>
      </c>
      <c r="K826">
        <f>IF($U826="","",INDEX(상세표[성명],$U826)&amp;"")</f>
        <v/>
      </c>
      <c r="L826">
        <f>IF($U826="","",INDEX(상세표[직위],$U826)&amp;"")</f>
        <v/>
      </c>
      <c r="M826">
        <f>IF($U826="","",IF(ISNUMBER(INDEX(상세표[근무일자],$U826)),TEXT(INDEX(상세표[근무일자],$U826),"yyyy-mm-dd"),INDEX(상세표[근무일자],$U826)&amp;""))</f>
        <v/>
      </c>
      <c r="N826">
        <f>IF($U826="","",IF(ISNUMBER(INDEX(상세표[시작],$U826)),TEXT(INDEX(상세표[시작],$U826),"yyyy-mm-dd hh:mm"),INDEX(상세표[시작],$U826)&amp;""))</f>
        <v/>
      </c>
      <c r="O826">
        <f>IF($U826="","",IF(ISNUMBER(INDEX(상세표[종료],$U826)),TEXT(INDEX(상세표[종료],$U826),"yyyy-mm-dd hh:mm"),INDEX(상세표[종료],$U826)&amp;""))</f>
        <v/>
      </c>
      <c r="P826" s="20">
        <f>IF($U826="","",INDEX(상세표[06~07시],$U826))</f>
        <v/>
      </c>
      <c r="Q826" s="20">
        <f>IF($U826="","",INDEX(상세표[07~18시],$U826))</f>
        <v/>
      </c>
      <c r="R826" s="20">
        <f>IF($U826="","",INDEX(상세표[18~22시],$U826))</f>
        <v/>
      </c>
      <c r="S826" s="20">
        <f>IF($U826="","",INDEX(상세표[22~06시],$U826))</f>
        <v/>
      </c>
      <c r="T826" s="20">
        <f>IF($U826="","",INDEX(상세표[기록 시간외],$U826))</f>
        <v/>
      </c>
      <c r="U826" s="4">
        <f>IFERROR(MATCH(821,상세표[발송순번],0),"")</f>
        <v/>
      </c>
    </row>
    <row r="827">
      <c r="J827">
        <f>IF($U827="","",INDEX(상세표[사번],$U827)&amp;"")</f>
        <v/>
      </c>
      <c r="K827">
        <f>IF($U827="","",INDEX(상세표[성명],$U827)&amp;"")</f>
        <v/>
      </c>
      <c r="L827">
        <f>IF($U827="","",INDEX(상세표[직위],$U827)&amp;"")</f>
        <v/>
      </c>
      <c r="M827">
        <f>IF($U827="","",IF(ISNUMBER(INDEX(상세표[근무일자],$U827)),TEXT(INDEX(상세표[근무일자],$U827),"yyyy-mm-dd"),INDEX(상세표[근무일자],$U827)&amp;""))</f>
        <v/>
      </c>
      <c r="N827">
        <f>IF($U827="","",IF(ISNUMBER(INDEX(상세표[시작],$U827)),TEXT(INDEX(상세표[시작],$U827),"yyyy-mm-dd hh:mm"),INDEX(상세표[시작],$U827)&amp;""))</f>
        <v/>
      </c>
      <c r="O827">
        <f>IF($U827="","",IF(ISNUMBER(INDEX(상세표[종료],$U827)),TEXT(INDEX(상세표[종료],$U827),"yyyy-mm-dd hh:mm"),INDEX(상세표[종료],$U827)&amp;""))</f>
        <v/>
      </c>
      <c r="P827" s="20">
        <f>IF($U827="","",INDEX(상세표[06~07시],$U827))</f>
        <v/>
      </c>
      <c r="Q827" s="20">
        <f>IF($U827="","",INDEX(상세표[07~18시],$U827))</f>
        <v/>
      </c>
      <c r="R827" s="20">
        <f>IF($U827="","",INDEX(상세표[18~22시],$U827))</f>
        <v/>
      </c>
      <c r="S827" s="20">
        <f>IF($U827="","",INDEX(상세표[22~06시],$U827))</f>
        <v/>
      </c>
      <c r="T827" s="20">
        <f>IF($U827="","",INDEX(상세표[기록 시간외],$U827))</f>
        <v/>
      </c>
      <c r="U827" s="4">
        <f>IFERROR(MATCH(822,상세표[발송순번],0),"")</f>
        <v/>
      </c>
    </row>
    <row r="828">
      <c r="J828">
        <f>IF($U828="","",INDEX(상세표[사번],$U828)&amp;"")</f>
        <v/>
      </c>
      <c r="K828">
        <f>IF($U828="","",INDEX(상세표[성명],$U828)&amp;"")</f>
        <v/>
      </c>
      <c r="L828">
        <f>IF($U828="","",INDEX(상세표[직위],$U828)&amp;"")</f>
        <v/>
      </c>
      <c r="M828">
        <f>IF($U828="","",IF(ISNUMBER(INDEX(상세표[근무일자],$U828)),TEXT(INDEX(상세표[근무일자],$U828),"yyyy-mm-dd"),INDEX(상세표[근무일자],$U828)&amp;""))</f>
        <v/>
      </c>
      <c r="N828">
        <f>IF($U828="","",IF(ISNUMBER(INDEX(상세표[시작],$U828)),TEXT(INDEX(상세표[시작],$U828),"yyyy-mm-dd hh:mm"),INDEX(상세표[시작],$U828)&amp;""))</f>
        <v/>
      </c>
      <c r="O828">
        <f>IF($U828="","",IF(ISNUMBER(INDEX(상세표[종료],$U828)),TEXT(INDEX(상세표[종료],$U828),"yyyy-mm-dd hh:mm"),INDEX(상세표[종료],$U828)&amp;""))</f>
        <v/>
      </c>
      <c r="P828" s="20">
        <f>IF($U828="","",INDEX(상세표[06~07시],$U828))</f>
        <v/>
      </c>
      <c r="Q828" s="20">
        <f>IF($U828="","",INDEX(상세표[07~18시],$U828))</f>
        <v/>
      </c>
      <c r="R828" s="20">
        <f>IF($U828="","",INDEX(상세표[18~22시],$U828))</f>
        <v/>
      </c>
      <c r="S828" s="20">
        <f>IF($U828="","",INDEX(상세표[22~06시],$U828))</f>
        <v/>
      </c>
      <c r="T828" s="20">
        <f>IF($U828="","",INDEX(상세표[기록 시간외],$U828))</f>
        <v/>
      </c>
      <c r="U828" s="4">
        <f>IFERROR(MATCH(823,상세표[발송순번],0),"")</f>
        <v/>
      </c>
    </row>
    <row r="829">
      <c r="J829">
        <f>IF($U829="","",INDEX(상세표[사번],$U829)&amp;"")</f>
        <v/>
      </c>
      <c r="K829">
        <f>IF($U829="","",INDEX(상세표[성명],$U829)&amp;"")</f>
        <v/>
      </c>
      <c r="L829">
        <f>IF($U829="","",INDEX(상세표[직위],$U829)&amp;"")</f>
        <v/>
      </c>
      <c r="M829">
        <f>IF($U829="","",IF(ISNUMBER(INDEX(상세표[근무일자],$U829)),TEXT(INDEX(상세표[근무일자],$U829),"yyyy-mm-dd"),INDEX(상세표[근무일자],$U829)&amp;""))</f>
        <v/>
      </c>
      <c r="N829">
        <f>IF($U829="","",IF(ISNUMBER(INDEX(상세표[시작],$U829)),TEXT(INDEX(상세표[시작],$U829),"yyyy-mm-dd hh:mm"),INDEX(상세표[시작],$U829)&amp;""))</f>
        <v/>
      </c>
      <c r="O829">
        <f>IF($U829="","",IF(ISNUMBER(INDEX(상세표[종료],$U829)),TEXT(INDEX(상세표[종료],$U829),"yyyy-mm-dd hh:mm"),INDEX(상세표[종료],$U829)&amp;""))</f>
        <v/>
      </c>
      <c r="P829" s="20">
        <f>IF($U829="","",INDEX(상세표[06~07시],$U829))</f>
        <v/>
      </c>
      <c r="Q829" s="20">
        <f>IF($U829="","",INDEX(상세표[07~18시],$U829))</f>
        <v/>
      </c>
      <c r="R829" s="20">
        <f>IF($U829="","",INDEX(상세표[18~22시],$U829))</f>
        <v/>
      </c>
      <c r="S829" s="20">
        <f>IF($U829="","",INDEX(상세표[22~06시],$U829))</f>
        <v/>
      </c>
      <c r="T829" s="20">
        <f>IF($U829="","",INDEX(상세표[기록 시간외],$U829))</f>
        <v/>
      </c>
      <c r="U829" s="4">
        <f>IFERROR(MATCH(824,상세표[발송순번],0),"")</f>
        <v/>
      </c>
    </row>
    <row r="830">
      <c r="J830">
        <f>IF($U830="","",INDEX(상세표[사번],$U830)&amp;"")</f>
        <v/>
      </c>
      <c r="K830">
        <f>IF($U830="","",INDEX(상세표[성명],$U830)&amp;"")</f>
        <v/>
      </c>
      <c r="L830">
        <f>IF($U830="","",INDEX(상세표[직위],$U830)&amp;"")</f>
        <v/>
      </c>
      <c r="M830">
        <f>IF($U830="","",IF(ISNUMBER(INDEX(상세표[근무일자],$U830)),TEXT(INDEX(상세표[근무일자],$U830),"yyyy-mm-dd"),INDEX(상세표[근무일자],$U830)&amp;""))</f>
        <v/>
      </c>
      <c r="N830">
        <f>IF($U830="","",IF(ISNUMBER(INDEX(상세표[시작],$U830)),TEXT(INDEX(상세표[시작],$U830),"yyyy-mm-dd hh:mm"),INDEX(상세표[시작],$U830)&amp;""))</f>
        <v/>
      </c>
      <c r="O830">
        <f>IF($U830="","",IF(ISNUMBER(INDEX(상세표[종료],$U830)),TEXT(INDEX(상세표[종료],$U830),"yyyy-mm-dd hh:mm"),INDEX(상세표[종료],$U830)&amp;""))</f>
        <v/>
      </c>
      <c r="P830" s="20">
        <f>IF($U830="","",INDEX(상세표[06~07시],$U830))</f>
        <v/>
      </c>
      <c r="Q830" s="20">
        <f>IF($U830="","",INDEX(상세표[07~18시],$U830))</f>
        <v/>
      </c>
      <c r="R830" s="20">
        <f>IF($U830="","",INDEX(상세표[18~22시],$U830))</f>
        <v/>
      </c>
      <c r="S830" s="20">
        <f>IF($U830="","",INDEX(상세표[22~06시],$U830))</f>
        <v/>
      </c>
      <c r="T830" s="20">
        <f>IF($U830="","",INDEX(상세표[기록 시간외],$U830))</f>
        <v/>
      </c>
      <c r="U830" s="4">
        <f>IFERROR(MATCH(825,상세표[발송순번],0),"")</f>
        <v/>
      </c>
    </row>
    <row r="831">
      <c r="J831">
        <f>IF($U831="","",INDEX(상세표[사번],$U831)&amp;"")</f>
        <v/>
      </c>
      <c r="K831">
        <f>IF($U831="","",INDEX(상세표[성명],$U831)&amp;"")</f>
        <v/>
      </c>
      <c r="L831">
        <f>IF($U831="","",INDEX(상세표[직위],$U831)&amp;"")</f>
        <v/>
      </c>
      <c r="M831">
        <f>IF($U831="","",IF(ISNUMBER(INDEX(상세표[근무일자],$U831)),TEXT(INDEX(상세표[근무일자],$U831),"yyyy-mm-dd"),INDEX(상세표[근무일자],$U831)&amp;""))</f>
        <v/>
      </c>
      <c r="N831">
        <f>IF($U831="","",IF(ISNUMBER(INDEX(상세표[시작],$U831)),TEXT(INDEX(상세표[시작],$U831),"yyyy-mm-dd hh:mm"),INDEX(상세표[시작],$U831)&amp;""))</f>
        <v/>
      </c>
      <c r="O831">
        <f>IF($U831="","",IF(ISNUMBER(INDEX(상세표[종료],$U831)),TEXT(INDEX(상세표[종료],$U831),"yyyy-mm-dd hh:mm"),INDEX(상세표[종료],$U831)&amp;""))</f>
        <v/>
      </c>
      <c r="P831" s="20">
        <f>IF($U831="","",INDEX(상세표[06~07시],$U831))</f>
        <v/>
      </c>
      <c r="Q831" s="20">
        <f>IF($U831="","",INDEX(상세표[07~18시],$U831))</f>
        <v/>
      </c>
      <c r="R831" s="20">
        <f>IF($U831="","",INDEX(상세표[18~22시],$U831))</f>
        <v/>
      </c>
      <c r="S831" s="20">
        <f>IF($U831="","",INDEX(상세표[22~06시],$U831))</f>
        <v/>
      </c>
      <c r="T831" s="20">
        <f>IF($U831="","",INDEX(상세표[기록 시간외],$U831))</f>
        <v/>
      </c>
      <c r="U831" s="4">
        <f>IFERROR(MATCH(826,상세표[발송순번],0),"")</f>
        <v/>
      </c>
    </row>
    <row r="832">
      <c r="J832">
        <f>IF($U832="","",INDEX(상세표[사번],$U832)&amp;"")</f>
        <v/>
      </c>
      <c r="K832">
        <f>IF($U832="","",INDEX(상세표[성명],$U832)&amp;"")</f>
        <v/>
      </c>
      <c r="L832">
        <f>IF($U832="","",INDEX(상세표[직위],$U832)&amp;"")</f>
        <v/>
      </c>
      <c r="M832">
        <f>IF($U832="","",IF(ISNUMBER(INDEX(상세표[근무일자],$U832)),TEXT(INDEX(상세표[근무일자],$U832),"yyyy-mm-dd"),INDEX(상세표[근무일자],$U832)&amp;""))</f>
        <v/>
      </c>
      <c r="N832">
        <f>IF($U832="","",IF(ISNUMBER(INDEX(상세표[시작],$U832)),TEXT(INDEX(상세표[시작],$U832),"yyyy-mm-dd hh:mm"),INDEX(상세표[시작],$U832)&amp;""))</f>
        <v/>
      </c>
      <c r="O832">
        <f>IF($U832="","",IF(ISNUMBER(INDEX(상세표[종료],$U832)),TEXT(INDEX(상세표[종료],$U832),"yyyy-mm-dd hh:mm"),INDEX(상세표[종료],$U832)&amp;""))</f>
        <v/>
      </c>
      <c r="P832" s="20">
        <f>IF($U832="","",INDEX(상세표[06~07시],$U832))</f>
        <v/>
      </c>
      <c r="Q832" s="20">
        <f>IF($U832="","",INDEX(상세표[07~18시],$U832))</f>
        <v/>
      </c>
      <c r="R832" s="20">
        <f>IF($U832="","",INDEX(상세표[18~22시],$U832))</f>
        <v/>
      </c>
      <c r="S832" s="20">
        <f>IF($U832="","",INDEX(상세표[22~06시],$U832))</f>
        <v/>
      </c>
      <c r="T832" s="20">
        <f>IF($U832="","",INDEX(상세표[기록 시간외],$U832))</f>
        <v/>
      </c>
      <c r="U832" s="4">
        <f>IFERROR(MATCH(827,상세표[발송순번],0),"")</f>
        <v/>
      </c>
    </row>
    <row r="833">
      <c r="J833">
        <f>IF($U833="","",INDEX(상세표[사번],$U833)&amp;"")</f>
        <v/>
      </c>
      <c r="K833">
        <f>IF($U833="","",INDEX(상세표[성명],$U833)&amp;"")</f>
        <v/>
      </c>
      <c r="L833">
        <f>IF($U833="","",INDEX(상세표[직위],$U833)&amp;"")</f>
        <v/>
      </c>
      <c r="M833">
        <f>IF($U833="","",IF(ISNUMBER(INDEX(상세표[근무일자],$U833)),TEXT(INDEX(상세표[근무일자],$U833),"yyyy-mm-dd"),INDEX(상세표[근무일자],$U833)&amp;""))</f>
        <v/>
      </c>
      <c r="N833">
        <f>IF($U833="","",IF(ISNUMBER(INDEX(상세표[시작],$U833)),TEXT(INDEX(상세표[시작],$U833),"yyyy-mm-dd hh:mm"),INDEX(상세표[시작],$U833)&amp;""))</f>
        <v/>
      </c>
      <c r="O833">
        <f>IF($U833="","",IF(ISNUMBER(INDEX(상세표[종료],$U833)),TEXT(INDEX(상세표[종료],$U833),"yyyy-mm-dd hh:mm"),INDEX(상세표[종료],$U833)&amp;""))</f>
        <v/>
      </c>
      <c r="P833" s="20">
        <f>IF($U833="","",INDEX(상세표[06~07시],$U833))</f>
        <v/>
      </c>
      <c r="Q833" s="20">
        <f>IF($U833="","",INDEX(상세표[07~18시],$U833))</f>
        <v/>
      </c>
      <c r="R833" s="20">
        <f>IF($U833="","",INDEX(상세표[18~22시],$U833))</f>
        <v/>
      </c>
      <c r="S833" s="20">
        <f>IF($U833="","",INDEX(상세표[22~06시],$U833))</f>
        <v/>
      </c>
      <c r="T833" s="20">
        <f>IF($U833="","",INDEX(상세표[기록 시간외],$U833))</f>
        <v/>
      </c>
      <c r="U833" s="4">
        <f>IFERROR(MATCH(828,상세표[발송순번],0),"")</f>
        <v/>
      </c>
    </row>
    <row r="834">
      <c r="J834">
        <f>IF($U834="","",INDEX(상세표[사번],$U834)&amp;"")</f>
        <v/>
      </c>
      <c r="K834">
        <f>IF($U834="","",INDEX(상세표[성명],$U834)&amp;"")</f>
        <v/>
      </c>
      <c r="L834">
        <f>IF($U834="","",INDEX(상세표[직위],$U834)&amp;"")</f>
        <v/>
      </c>
      <c r="M834">
        <f>IF($U834="","",IF(ISNUMBER(INDEX(상세표[근무일자],$U834)),TEXT(INDEX(상세표[근무일자],$U834),"yyyy-mm-dd"),INDEX(상세표[근무일자],$U834)&amp;""))</f>
        <v/>
      </c>
      <c r="N834">
        <f>IF($U834="","",IF(ISNUMBER(INDEX(상세표[시작],$U834)),TEXT(INDEX(상세표[시작],$U834),"yyyy-mm-dd hh:mm"),INDEX(상세표[시작],$U834)&amp;""))</f>
        <v/>
      </c>
      <c r="O834">
        <f>IF($U834="","",IF(ISNUMBER(INDEX(상세표[종료],$U834)),TEXT(INDEX(상세표[종료],$U834),"yyyy-mm-dd hh:mm"),INDEX(상세표[종료],$U834)&amp;""))</f>
        <v/>
      </c>
      <c r="P834" s="20">
        <f>IF($U834="","",INDEX(상세표[06~07시],$U834))</f>
        <v/>
      </c>
      <c r="Q834" s="20">
        <f>IF($U834="","",INDEX(상세표[07~18시],$U834))</f>
        <v/>
      </c>
      <c r="R834" s="20">
        <f>IF($U834="","",INDEX(상세표[18~22시],$U834))</f>
        <v/>
      </c>
      <c r="S834" s="20">
        <f>IF($U834="","",INDEX(상세표[22~06시],$U834))</f>
        <v/>
      </c>
      <c r="T834" s="20">
        <f>IF($U834="","",INDEX(상세표[기록 시간외],$U834))</f>
        <v/>
      </c>
      <c r="U834" s="4">
        <f>IFERROR(MATCH(829,상세표[발송순번],0),"")</f>
        <v/>
      </c>
    </row>
    <row r="835">
      <c r="J835">
        <f>IF($U835="","",INDEX(상세표[사번],$U835)&amp;"")</f>
        <v/>
      </c>
      <c r="K835">
        <f>IF($U835="","",INDEX(상세표[성명],$U835)&amp;"")</f>
        <v/>
      </c>
      <c r="L835">
        <f>IF($U835="","",INDEX(상세표[직위],$U835)&amp;"")</f>
        <v/>
      </c>
      <c r="M835">
        <f>IF($U835="","",IF(ISNUMBER(INDEX(상세표[근무일자],$U835)),TEXT(INDEX(상세표[근무일자],$U835),"yyyy-mm-dd"),INDEX(상세표[근무일자],$U835)&amp;""))</f>
        <v/>
      </c>
      <c r="N835">
        <f>IF($U835="","",IF(ISNUMBER(INDEX(상세표[시작],$U835)),TEXT(INDEX(상세표[시작],$U835),"yyyy-mm-dd hh:mm"),INDEX(상세표[시작],$U835)&amp;""))</f>
        <v/>
      </c>
      <c r="O835">
        <f>IF($U835="","",IF(ISNUMBER(INDEX(상세표[종료],$U835)),TEXT(INDEX(상세표[종료],$U835),"yyyy-mm-dd hh:mm"),INDEX(상세표[종료],$U835)&amp;""))</f>
        <v/>
      </c>
      <c r="P835" s="20">
        <f>IF($U835="","",INDEX(상세표[06~07시],$U835))</f>
        <v/>
      </c>
      <c r="Q835" s="20">
        <f>IF($U835="","",INDEX(상세표[07~18시],$U835))</f>
        <v/>
      </c>
      <c r="R835" s="20">
        <f>IF($U835="","",INDEX(상세표[18~22시],$U835))</f>
        <v/>
      </c>
      <c r="S835" s="20">
        <f>IF($U835="","",INDEX(상세표[22~06시],$U835))</f>
        <v/>
      </c>
      <c r="T835" s="20">
        <f>IF($U835="","",INDEX(상세표[기록 시간외],$U835))</f>
        <v/>
      </c>
      <c r="U835" s="4">
        <f>IFERROR(MATCH(830,상세표[발송순번],0),"")</f>
        <v/>
      </c>
    </row>
    <row r="836">
      <c r="J836">
        <f>IF($U836="","",INDEX(상세표[사번],$U836)&amp;"")</f>
        <v/>
      </c>
      <c r="K836">
        <f>IF($U836="","",INDEX(상세표[성명],$U836)&amp;"")</f>
        <v/>
      </c>
      <c r="L836">
        <f>IF($U836="","",INDEX(상세표[직위],$U836)&amp;"")</f>
        <v/>
      </c>
      <c r="M836">
        <f>IF($U836="","",IF(ISNUMBER(INDEX(상세표[근무일자],$U836)),TEXT(INDEX(상세표[근무일자],$U836),"yyyy-mm-dd"),INDEX(상세표[근무일자],$U836)&amp;""))</f>
        <v/>
      </c>
      <c r="N836">
        <f>IF($U836="","",IF(ISNUMBER(INDEX(상세표[시작],$U836)),TEXT(INDEX(상세표[시작],$U836),"yyyy-mm-dd hh:mm"),INDEX(상세표[시작],$U836)&amp;""))</f>
        <v/>
      </c>
      <c r="O836">
        <f>IF($U836="","",IF(ISNUMBER(INDEX(상세표[종료],$U836)),TEXT(INDEX(상세표[종료],$U836),"yyyy-mm-dd hh:mm"),INDEX(상세표[종료],$U836)&amp;""))</f>
        <v/>
      </c>
      <c r="P836" s="20">
        <f>IF($U836="","",INDEX(상세표[06~07시],$U836))</f>
        <v/>
      </c>
      <c r="Q836" s="20">
        <f>IF($U836="","",INDEX(상세표[07~18시],$U836))</f>
        <v/>
      </c>
      <c r="R836" s="20">
        <f>IF($U836="","",INDEX(상세표[18~22시],$U836))</f>
        <v/>
      </c>
      <c r="S836" s="20">
        <f>IF($U836="","",INDEX(상세표[22~06시],$U836))</f>
        <v/>
      </c>
      <c r="T836" s="20">
        <f>IF($U836="","",INDEX(상세표[기록 시간외],$U836))</f>
        <v/>
      </c>
      <c r="U836" s="4">
        <f>IFERROR(MATCH(831,상세표[발송순번],0),"")</f>
        <v/>
      </c>
    </row>
    <row r="837">
      <c r="J837">
        <f>IF($U837="","",INDEX(상세표[사번],$U837)&amp;"")</f>
        <v/>
      </c>
      <c r="K837">
        <f>IF($U837="","",INDEX(상세표[성명],$U837)&amp;"")</f>
        <v/>
      </c>
      <c r="L837">
        <f>IF($U837="","",INDEX(상세표[직위],$U837)&amp;"")</f>
        <v/>
      </c>
      <c r="M837">
        <f>IF($U837="","",IF(ISNUMBER(INDEX(상세표[근무일자],$U837)),TEXT(INDEX(상세표[근무일자],$U837),"yyyy-mm-dd"),INDEX(상세표[근무일자],$U837)&amp;""))</f>
        <v/>
      </c>
      <c r="N837">
        <f>IF($U837="","",IF(ISNUMBER(INDEX(상세표[시작],$U837)),TEXT(INDEX(상세표[시작],$U837),"yyyy-mm-dd hh:mm"),INDEX(상세표[시작],$U837)&amp;""))</f>
        <v/>
      </c>
      <c r="O837">
        <f>IF($U837="","",IF(ISNUMBER(INDEX(상세표[종료],$U837)),TEXT(INDEX(상세표[종료],$U837),"yyyy-mm-dd hh:mm"),INDEX(상세표[종료],$U837)&amp;""))</f>
        <v/>
      </c>
      <c r="P837" s="20">
        <f>IF($U837="","",INDEX(상세표[06~07시],$U837))</f>
        <v/>
      </c>
      <c r="Q837" s="20">
        <f>IF($U837="","",INDEX(상세표[07~18시],$U837))</f>
        <v/>
      </c>
      <c r="R837" s="20">
        <f>IF($U837="","",INDEX(상세표[18~22시],$U837))</f>
        <v/>
      </c>
      <c r="S837" s="20">
        <f>IF($U837="","",INDEX(상세표[22~06시],$U837))</f>
        <v/>
      </c>
      <c r="T837" s="20">
        <f>IF($U837="","",INDEX(상세표[기록 시간외],$U837))</f>
        <v/>
      </c>
      <c r="U837" s="4">
        <f>IFERROR(MATCH(832,상세표[발송순번],0),"")</f>
        <v/>
      </c>
    </row>
    <row r="838">
      <c r="J838">
        <f>IF($U838="","",INDEX(상세표[사번],$U838)&amp;"")</f>
        <v/>
      </c>
      <c r="K838">
        <f>IF($U838="","",INDEX(상세표[성명],$U838)&amp;"")</f>
        <v/>
      </c>
      <c r="L838">
        <f>IF($U838="","",INDEX(상세표[직위],$U838)&amp;"")</f>
        <v/>
      </c>
      <c r="M838">
        <f>IF($U838="","",IF(ISNUMBER(INDEX(상세표[근무일자],$U838)),TEXT(INDEX(상세표[근무일자],$U838),"yyyy-mm-dd"),INDEX(상세표[근무일자],$U838)&amp;""))</f>
        <v/>
      </c>
      <c r="N838">
        <f>IF($U838="","",IF(ISNUMBER(INDEX(상세표[시작],$U838)),TEXT(INDEX(상세표[시작],$U838),"yyyy-mm-dd hh:mm"),INDEX(상세표[시작],$U838)&amp;""))</f>
        <v/>
      </c>
      <c r="O838">
        <f>IF($U838="","",IF(ISNUMBER(INDEX(상세표[종료],$U838)),TEXT(INDEX(상세표[종료],$U838),"yyyy-mm-dd hh:mm"),INDEX(상세표[종료],$U838)&amp;""))</f>
        <v/>
      </c>
      <c r="P838" s="20">
        <f>IF($U838="","",INDEX(상세표[06~07시],$U838))</f>
        <v/>
      </c>
      <c r="Q838" s="20">
        <f>IF($U838="","",INDEX(상세표[07~18시],$U838))</f>
        <v/>
      </c>
      <c r="R838" s="20">
        <f>IF($U838="","",INDEX(상세표[18~22시],$U838))</f>
        <v/>
      </c>
      <c r="S838" s="20">
        <f>IF($U838="","",INDEX(상세표[22~06시],$U838))</f>
        <v/>
      </c>
      <c r="T838" s="20">
        <f>IF($U838="","",INDEX(상세표[기록 시간외],$U838))</f>
        <v/>
      </c>
      <c r="U838" s="4">
        <f>IFERROR(MATCH(833,상세표[발송순번],0),"")</f>
        <v/>
      </c>
    </row>
    <row r="839">
      <c r="J839">
        <f>IF($U839="","",INDEX(상세표[사번],$U839)&amp;"")</f>
        <v/>
      </c>
      <c r="K839">
        <f>IF($U839="","",INDEX(상세표[성명],$U839)&amp;"")</f>
        <v/>
      </c>
      <c r="L839">
        <f>IF($U839="","",INDEX(상세표[직위],$U839)&amp;"")</f>
        <v/>
      </c>
      <c r="M839">
        <f>IF($U839="","",IF(ISNUMBER(INDEX(상세표[근무일자],$U839)),TEXT(INDEX(상세표[근무일자],$U839),"yyyy-mm-dd"),INDEX(상세표[근무일자],$U839)&amp;""))</f>
        <v/>
      </c>
      <c r="N839">
        <f>IF($U839="","",IF(ISNUMBER(INDEX(상세표[시작],$U839)),TEXT(INDEX(상세표[시작],$U839),"yyyy-mm-dd hh:mm"),INDEX(상세표[시작],$U839)&amp;""))</f>
        <v/>
      </c>
      <c r="O839">
        <f>IF($U839="","",IF(ISNUMBER(INDEX(상세표[종료],$U839)),TEXT(INDEX(상세표[종료],$U839),"yyyy-mm-dd hh:mm"),INDEX(상세표[종료],$U839)&amp;""))</f>
        <v/>
      </c>
      <c r="P839" s="20">
        <f>IF($U839="","",INDEX(상세표[06~07시],$U839))</f>
        <v/>
      </c>
      <c r="Q839" s="20">
        <f>IF($U839="","",INDEX(상세표[07~18시],$U839))</f>
        <v/>
      </c>
      <c r="R839" s="20">
        <f>IF($U839="","",INDEX(상세표[18~22시],$U839))</f>
        <v/>
      </c>
      <c r="S839" s="20">
        <f>IF($U839="","",INDEX(상세표[22~06시],$U839))</f>
        <v/>
      </c>
      <c r="T839" s="20">
        <f>IF($U839="","",INDEX(상세표[기록 시간외],$U839))</f>
        <v/>
      </c>
      <c r="U839" s="4">
        <f>IFERROR(MATCH(834,상세표[발송순번],0),"")</f>
        <v/>
      </c>
    </row>
    <row r="840">
      <c r="J840">
        <f>IF($U840="","",INDEX(상세표[사번],$U840)&amp;"")</f>
        <v/>
      </c>
      <c r="K840">
        <f>IF($U840="","",INDEX(상세표[성명],$U840)&amp;"")</f>
        <v/>
      </c>
      <c r="L840">
        <f>IF($U840="","",INDEX(상세표[직위],$U840)&amp;"")</f>
        <v/>
      </c>
      <c r="M840">
        <f>IF($U840="","",IF(ISNUMBER(INDEX(상세표[근무일자],$U840)),TEXT(INDEX(상세표[근무일자],$U840),"yyyy-mm-dd"),INDEX(상세표[근무일자],$U840)&amp;""))</f>
        <v/>
      </c>
      <c r="N840">
        <f>IF($U840="","",IF(ISNUMBER(INDEX(상세표[시작],$U840)),TEXT(INDEX(상세표[시작],$U840),"yyyy-mm-dd hh:mm"),INDEX(상세표[시작],$U840)&amp;""))</f>
        <v/>
      </c>
      <c r="O840">
        <f>IF($U840="","",IF(ISNUMBER(INDEX(상세표[종료],$U840)),TEXT(INDEX(상세표[종료],$U840),"yyyy-mm-dd hh:mm"),INDEX(상세표[종료],$U840)&amp;""))</f>
        <v/>
      </c>
      <c r="P840" s="20">
        <f>IF($U840="","",INDEX(상세표[06~07시],$U840))</f>
        <v/>
      </c>
      <c r="Q840" s="20">
        <f>IF($U840="","",INDEX(상세표[07~18시],$U840))</f>
        <v/>
      </c>
      <c r="R840" s="20">
        <f>IF($U840="","",INDEX(상세표[18~22시],$U840))</f>
        <v/>
      </c>
      <c r="S840" s="20">
        <f>IF($U840="","",INDEX(상세표[22~06시],$U840))</f>
        <v/>
      </c>
      <c r="T840" s="20">
        <f>IF($U840="","",INDEX(상세표[기록 시간외],$U840))</f>
        <v/>
      </c>
      <c r="U840" s="4">
        <f>IFERROR(MATCH(835,상세표[발송순번],0),"")</f>
        <v/>
      </c>
    </row>
    <row r="841">
      <c r="J841">
        <f>IF($U841="","",INDEX(상세표[사번],$U841)&amp;"")</f>
        <v/>
      </c>
      <c r="K841">
        <f>IF($U841="","",INDEX(상세표[성명],$U841)&amp;"")</f>
        <v/>
      </c>
      <c r="L841">
        <f>IF($U841="","",INDEX(상세표[직위],$U841)&amp;"")</f>
        <v/>
      </c>
      <c r="M841">
        <f>IF($U841="","",IF(ISNUMBER(INDEX(상세표[근무일자],$U841)),TEXT(INDEX(상세표[근무일자],$U841),"yyyy-mm-dd"),INDEX(상세표[근무일자],$U841)&amp;""))</f>
        <v/>
      </c>
      <c r="N841">
        <f>IF($U841="","",IF(ISNUMBER(INDEX(상세표[시작],$U841)),TEXT(INDEX(상세표[시작],$U841),"yyyy-mm-dd hh:mm"),INDEX(상세표[시작],$U841)&amp;""))</f>
        <v/>
      </c>
      <c r="O841">
        <f>IF($U841="","",IF(ISNUMBER(INDEX(상세표[종료],$U841)),TEXT(INDEX(상세표[종료],$U841),"yyyy-mm-dd hh:mm"),INDEX(상세표[종료],$U841)&amp;""))</f>
        <v/>
      </c>
      <c r="P841" s="20">
        <f>IF($U841="","",INDEX(상세표[06~07시],$U841))</f>
        <v/>
      </c>
      <c r="Q841" s="20">
        <f>IF($U841="","",INDEX(상세표[07~18시],$U841))</f>
        <v/>
      </c>
      <c r="R841" s="20">
        <f>IF($U841="","",INDEX(상세표[18~22시],$U841))</f>
        <v/>
      </c>
      <c r="S841" s="20">
        <f>IF($U841="","",INDEX(상세표[22~06시],$U841))</f>
        <v/>
      </c>
      <c r="T841" s="20">
        <f>IF($U841="","",INDEX(상세표[기록 시간외],$U841))</f>
        <v/>
      </c>
      <c r="U841" s="4">
        <f>IFERROR(MATCH(836,상세표[발송순번],0),"")</f>
        <v/>
      </c>
    </row>
    <row r="842">
      <c r="J842">
        <f>IF($U842="","",INDEX(상세표[사번],$U842)&amp;"")</f>
        <v/>
      </c>
      <c r="K842">
        <f>IF($U842="","",INDEX(상세표[성명],$U842)&amp;"")</f>
        <v/>
      </c>
      <c r="L842">
        <f>IF($U842="","",INDEX(상세표[직위],$U842)&amp;"")</f>
        <v/>
      </c>
      <c r="M842">
        <f>IF($U842="","",IF(ISNUMBER(INDEX(상세표[근무일자],$U842)),TEXT(INDEX(상세표[근무일자],$U842),"yyyy-mm-dd"),INDEX(상세표[근무일자],$U842)&amp;""))</f>
        <v/>
      </c>
      <c r="N842">
        <f>IF($U842="","",IF(ISNUMBER(INDEX(상세표[시작],$U842)),TEXT(INDEX(상세표[시작],$U842),"yyyy-mm-dd hh:mm"),INDEX(상세표[시작],$U842)&amp;""))</f>
        <v/>
      </c>
      <c r="O842">
        <f>IF($U842="","",IF(ISNUMBER(INDEX(상세표[종료],$U842)),TEXT(INDEX(상세표[종료],$U842),"yyyy-mm-dd hh:mm"),INDEX(상세표[종료],$U842)&amp;""))</f>
        <v/>
      </c>
      <c r="P842" s="20">
        <f>IF($U842="","",INDEX(상세표[06~07시],$U842))</f>
        <v/>
      </c>
      <c r="Q842" s="20">
        <f>IF($U842="","",INDEX(상세표[07~18시],$U842))</f>
        <v/>
      </c>
      <c r="R842" s="20">
        <f>IF($U842="","",INDEX(상세표[18~22시],$U842))</f>
        <v/>
      </c>
      <c r="S842" s="20">
        <f>IF($U842="","",INDEX(상세표[22~06시],$U842))</f>
        <v/>
      </c>
      <c r="T842" s="20">
        <f>IF($U842="","",INDEX(상세표[기록 시간외],$U842))</f>
        <v/>
      </c>
      <c r="U842" s="4">
        <f>IFERROR(MATCH(837,상세표[발송순번],0),"")</f>
        <v/>
      </c>
    </row>
    <row r="843">
      <c r="J843">
        <f>IF($U843="","",INDEX(상세표[사번],$U843)&amp;"")</f>
        <v/>
      </c>
      <c r="K843">
        <f>IF($U843="","",INDEX(상세표[성명],$U843)&amp;"")</f>
        <v/>
      </c>
      <c r="L843">
        <f>IF($U843="","",INDEX(상세표[직위],$U843)&amp;"")</f>
        <v/>
      </c>
      <c r="M843">
        <f>IF($U843="","",IF(ISNUMBER(INDEX(상세표[근무일자],$U843)),TEXT(INDEX(상세표[근무일자],$U843),"yyyy-mm-dd"),INDEX(상세표[근무일자],$U843)&amp;""))</f>
        <v/>
      </c>
      <c r="N843">
        <f>IF($U843="","",IF(ISNUMBER(INDEX(상세표[시작],$U843)),TEXT(INDEX(상세표[시작],$U843),"yyyy-mm-dd hh:mm"),INDEX(상세표[시작],$U843)&amp;""))</f>
        <v/>
      </c>
      <c r="O843">
        <f>IF($U843="","",IF(ISNUMBER(INDEX(상세표[종료],$U843)),TEXT(INDEX(상세표[종료],$U843),"yyyy-mm-dd hh:mm"),INDEX(상세표[종료],$U843)&amp;""))</f>
        <v/>
      </c>
      <c r="P843" s="20">
        <f>IF($U843="","",INDEX(상세표[06~07시],$U843))</f>
        <v/>
      </c>
      <c r="Q843" s="20">
        <f>IF($U843="","",INDEX(상세표[07~18시],$U843))</f>
        <v/>
      </c>
      <c r="R843" s="20">
        <f>IF($U843="","",INDEX(상세표[18~22시],$U843))</f>
        <v/>
      </c>
      <c r="S843" s="20">
        <f>IF($U843="","",INDEX(상세표[22~06시],$U843))</f>
        <v/>
      </c>
      <c r="T843" s="20">
        <f>IF($U843="","",INDEX(상세표[기록 시간외],$U843))</f>
        <v/>
      </c>
      <c r="U843" s="4">
        <f>IFERROR(MATCH(838,상세표[발송순번],0),"")</f>
        <v/>
      </c>
    </row>
    <row r="844">
      <c r="J844">
        <f>IF($U844="","",INDEX(상세표[사번],$U844)&amp;"")</f>
        <v/>
      </c>
      <c r="K844">
        <f>IF($U844="","",INDEX(상세표[성명],$U844)&amp;"")</f>
        <v/>
      </c>
      <c r="L844">
        <f>IF($U844="","",INDEX(상세표[직위],$U844)&amp;"")</f>
        <v/>
      </c>
      <c r="M844">
        <f>IF($U844="","",IF(ISNUMBER(INDEX(상세표[근무일자],$U844)),TEXT(INDEX(상세표[근무일자],$U844),"yyyy-mm-dd"),INDEX(상세표[근무일자],$U844)&amp;""))</f>
        <v/>
      </c>
      <c r="N844">
        <f>IF($U844="","",IF(ISNUMBER(INDEX(상세표[시작],$U844)),TEXT(INDEX(상세표[시작],$U844),"yyyy-mm-dd hh:mm"),INDEX(상세표[시작],$U844)&amp;""))</f>
        <v/>
      </c>
      <c r="O844">
        <f>IF($U844="","",IF(ISNUMBER(INDEX(상세표[종료],$U844)),TEXT(INDEX(상세표[종료],$U844),"yyyy-mm-dd hh:mm"),INDEX(상세표[종료],$U844)&amp;""))</f>
        <v/>
      </c>
      <c r="P844" s="20">
        <f>IF($U844="","",INDEX(상세표[06~07시],$U844))</f>
        <v/>
      </c>
      <c r="Q844" s="20">
        <f>IF($U844="","",INDEX(상세표[07~18시],$U844))</f>
        <v/>
      </c>
      <c r="R844" s="20">
        <f>IF($U844="","",INDEX(상세표[18~22시],$U844))</f>
        <v/>
      </c>
      <c r="S844" s="20">
        <f>IF($U844="","",INDEX(상세표[22~06시],$U844))</f>
        <v/>
      </c>
      <c r="T844" s="20">
        <f>IF($U844="","",INDEX(상세표[기록 시간외],$U844))</f>
        <v/>
      </c>
      <c r="U844" s="4">
        <f>IFERROR(MATCH(839,상세표[발송순번],0),"")</f>
        <v/>
      </c>
    </row>
    <row r="845">
      <c r="J845">
        <f>IF($U845="","",INDEX(상세표[사번],$U845)&amp;"")</f>
        <v/>
      </c>
      <c r="K845">
        <f>IF($U845="","",INDEX(상세표[성명],$U845)&amp;"")</f>
        <v/>
      </c>
      <c r="L845">
        <f>IF($U845="","",INDEX(상세표[직위],$U845)&amp;"")</f>
        <v/>
      </c>
      <c r="M845">
        <f>IF($U845="","",IF(ISNUMBER(INDEX(상세표[근무일자],$U845)),TEXT(INDEX(상세표[근무일자],$U845),"yyyy-mm-dd"),INDEX(상세표[근무일자],$U845)&amp;""))</f>
        <v/>
      </c>
      <c r="N845">
        <f>IF($U845="","",IF(ISNUMBER(INDEX(상세표[시작],$U845)),TEXT(INDEX(상세표[시작],$U845),"yyyy-mm-dd hh:mm"),INDEX(상세표[시작],$U845)&amp;""))</f>
        <v/>
      </c>
      <c r="O845">
        <f>IF($U845="","",IF(ISNUMBER(INDEX(상세표[종료],$U845)),TEXT(INDEX(상세표[종료],$U845),"yyyy-mm-dd hh:mm"),INDEX(상세표[종료],$U845)&amp;""))</f>
        <v/>
      </c>
      <c r="P845" s="20">
        <f>IF($U845="","",INDEX(상세표[06~07시],$U845))</f>
        <v/>
      </c>
      <c r="Q845" s="20">
        <f>IF($U845="","",INDEX(상세표[07~18시],$U845))</f>
        <v/>
      </c>
      <c r="R845" s="20">
        <f>IF($U845="","",INDEX(상세표[18~22시],$U845))</f>
        <v/>
      </c>
      <c r="S845" s="20">
        <f>IF($U845="","",INDEX(상세표[22~06시],$U845))</f>
        <v/>
      </c>
      <c r="T845" s="20">
        <f>IF($U845="","",INDEX(상세표[기록 시간외],$U845))</f>
        <v/>
      </c>
      <c r="U845" s="4">
        <f>IFERROR(MATCH(840,상세표[발송순번],0),"")</f>
        <v/>
      </c>
    </row>
    <row r="846">
      <c r="J846">
        <f>IF($U846="","",INDEX(상세표[사번],$U846)&amp;"")</f>
        <v/>
      </c>
      <c r="K846">
        <f>IF($U846="","",INDEX(상세표[성명],$U846)&amp;"")</f>
        <v/>
      </c>
      <c r="L846">
        <f>IF($U846="","",INDEX(상세표[직위],$U846)&amp;"")</f>
        <v/>
      </c>
      <c r="M846">
        <f>IF($U846="","",IF(ISNUMBER(INDEX(상세표[근무일자],$U846)),TEXT(INDEX(상세표[근무일자],$U846),"yyyy-mm-dd"),INDEX(상세표[근무일자],$U846)&amp;""))</f>
        <v/>
      </c>
      <c r="N846">
        <f>IF($U846="","",IF(ISNUMBER(INDEX(상세표[시작],$U846)),TEXT(INDEX(상세표[시작],$U846),"yyyy-mm-dd hh:mm"),INDEX(상세표[시작],$U846)&amp;""))</f>
        <v/>
      </c>
      <c r="O846">
        <f>IF($U846="","",IF(ISNUMBER(INDEX(상세표[종료],$U846)),TEXT(INDEX(상세표[종료],$U846),"yyyy-mm-dd hh:mm"),INDEX(상세표[종료],$U846)&amp;""))</f>
        <v/>
      </c>
      <c r="P846" s="20">
        <f>IF($U846="","",INDEX(상세표[06~07시],$U846))</f>
        <v/>
      </c>
      <c r="Q846" s="20">
        <f>IF($U846="","",INDEX(상세표[07~18시],$U846))</f>
        <v/>
      </c>
      <c r="R846" s="20">
        <f>IF($U846="","",INDEX(상세표[18~22시],$U846))</f>
        <v/>
      </c>
      <c r="S846" s="20">
        <f>IF($U846="","",INDEX(상세표[22~06시],$U846))</f>
        <v/>
      </c>
      <c r="T846" s="20">
        <f>IF($U846="","",INDEX(상세표[기록 시간외],$U846))</f>
        <v/>
      </c>
      <c r="U846" s="4">
        <f>IFERROR(MATCH(841,상세표[발송순번],0),"")</f>
        <v/>
      </c>
    </row>
    <row r="847">
      <c r="J847">
        <f>IF($U847="","",INDEX(상세표[사번],$U847)&amp;"")</f>
        <v/>
      </c>
      <c r="K847">
        <f>IF($U847="","",INDEX(상세표[성명],$U847)&amp;"")</f>
        <v/>
      </c>
      <c r="L847">
        <f>IF($U847="","",INDEX(상세표[직위],$U847)&amp;"")</f>
        <v/>
      </c>
      <c r="M847">
        <f>IF($U847="","",IF(ISNUMBER(INDEX(상세표[근무일자],$U847)),TEXT(INDEX(상세표[근무일자],$U847),"yyyy-mm-dd"),INDEX(상세표[근무일자],$U847)&amp;""))</f>
        <v/>
      </c>
      <c r="N847">
        <f>IF($U847="","",IF(ISNUMBER(INDEX(상세표[시작],$U847)),TEXT(INDEX(상세표[시작],$U847),"yyyy-mm-dd hh:mm"),INDEX(상세표[시작],$U847)&amp;""))</f>
        <v/>
      </c>
      <c r="O847">
        <f>IF($U847="","",IF(ISNUMBER(INDEX(상세표[종료],$U847)),TEXT(INDEX(상세표[종료],$U847),"yyyy-mm-dd hh:mm"),INDEX(상세표[종료],$U847)&amp;""))</f>
        <v/>
      </c>
      <c r="P847" s="20">
        <f>IF($U847="","",INDEX(상세표[06~07시],$U847))</f>
        <v/>
      </c>
      <c r="Q847" s="20">
        <f>IF($U847="","",INDEX(상세표[07~18시],$U847))</f>
        <v/>
      </c>
      <c r="R847" s="20">
        <f>IF($U847="","",INDEX(상세표[18~22시],$U847))</f>
        <v/>
      </c>
      <c r="S847" s="20">
        <f>IF($U847="","",INDEX(상세표[22~06시],$U847))</f>
        <v/>
      </c>
      <c r="T847" s="20">
        <f>IF($U847="","",INDEX(상세표[기록 시간외],$U847))</f>
        <v/>
      </c>
      <c r="U847" s="4">
        <f>IFERROR(MATCH(842,상세표[발송순번],0),"")</f>
        <v/>
      </c>
    </row>
    <row r="848">
      <c r="J848">
        <f>IF($U848="","",INDEX(상세표[사번],$U848)&amp;"")</f>
        <v/>
      </c>
      <c r="K848">
        <f>IF($U848="","",INDEX(상세표[성명],$U848)&amp;"")</f>
        <v/>
      </c>
      <c r="L848">
        <f>IF($U848="","",INDEX(상세표[직위],$U848)&amp;"")</f>
        <v/>
      </c>
      <c r="M848">
        <f>IF($U848="","",IF(ISNUMBER(INDEX(상세표[근무일자],$U848)),TEXT(INDEX(상세표[근무일자],$U848),"yyyy-mm-dd"),INDEX(상세표[근무일자],$U848)&amp;""))</f>
        <v/>
      </c>
      <c r="N848">
        <f>IF($U848="","",IF(ISNUMBER(INDEX(상세표[시작],$U848)),TEXT(INDEX(상세표[시작],$U848),"yyyy-mm-dd hh:mm"),INDEX(상세표[시작],$U848)&amp;""))</f>
        <v/>
      </c>
      <c r="O848">
        <f>IF($U848="","",IF(ISNUMBER(INDEX(상세표[종료],$U848)),TEXT(INDEX(상세표[종료],$U848),"yyyy-mm-dd hh:mm"),INDEX(상세표[종료],$U848)&amp;""))</f>
        <v/>
      </c>
      <c r="P848" s="20">
        <f>IF($U848="","",INDEX(상세표[06~07시],$U848))</f>
        <v/>
      </c>
      <c r="Q848" s="20">
        <f>IF($U848="","",INDEX(상세표[07~18시],$U848))</f>
        <v/>
      </c>
      <c r="R848" s="20">
        <f>IF($U848="","",INDEX(상세표[18~22시],$U848))</f>
        <v/>
      </c>
      <c r="S848" s="20">
        <f>IF($U848="","",INDEX(상세표[22~06시],$U848))</f>
        <v/>
      </c>
      <c r="T848" s="20">
        <f>IF($U848="","",INDEX(상세표[기록 시간외],$U848))</f>
        <v/>
      </c>
      <c r="U848" s="4">
        <f>IFERROR(MATCH(843,상세표[발송순번],0),"")</f>
        <v/>
      </c>
    </row>
    <row r="849">
      <c r="J849">
        <f>IF($U849="","",INDEX(상세표[사번],$U849)&amp;"")</f>
        <v/>
      </c>
      <c r="K849">
        <f>IF($U849="","",INDEX(상세표[성명],$U849)&amp;"")</f>
        <v/>
      </c>
      <c r="L849">
        <f>IF($U849="","",INDEX(상세표[직위],$U849)&amp;"")</f>
        <v/>
      </c>
      <c r="M849">
        <f>IF($U849="","",IF(ISNUMBER(INDEX(상세표[근무일자],$U849)),TEXT(INDEX(상세표[근무일자],$U849),"yyyy-mm-dd"),INDEX(상세표[근무일자],$U849)&amp;""))</f>
        <v/>
      </c>
      <c r="N849">
        <f>IF($U849="","",IF(ISNUMBER(INDEX(상세표[시작],$U849)),TEXT(INDEX(상세표[시작],$U849),"yyyy-mm-dd hh:mm"),INDEX(상세표[시작],$U849)&amp;""))</f>
        <v/>
      </c>
      <c r="O849">
        <f>IF($U849="","",IF(ISNUMBER(INDEX(상세표[종료],$U849)),TEXT(INDEX(상세표[종료],$U849),"yyyy-mm-dd hh:mm"),INDEX(상세표[종료],$U849)&amp;""))</f>
        <v/>
      </c>
      <c r="P849" s="20">
        <f>IF($U849="","",INDEX(상세표[06~07시],$U849))</f>
        <v/>
      </c>
      <c r="Q849" s="20">
        <f>IF($U849="","",INDEX(상세표[07~18시],$U849))</f>
        <v/>
      </c>
      <c r="R849" s="20">
        <f>IF($U849="","",INDEX(상세표[18~22시],$U849))</f>
        <v/>
      </c>
      <c r="S849" s="20">
        <f>IF($U849="","",INDEX(상세표[22~06시],$U849))</f>
        <v/>
      </c>
      <c r="T849" s="20">
        <f>IF($U849="","",INDEX(상세표[기록 시간외],$U849))</f>
        <v/>
      </c>
      <c r="U849" s="4">
        <f>IFERROR(MATCH(844,상세표[발송순번],0),"")</f>
        <v/>
      </c>
    </row>
    <row r="850">
      <c r="J850">
        <f>IF($U850="","",INDEX(상세표[사번],$U850)&amp;"")</f>
        <v/>
      </c>
      <c r="K850">
        <f>IF($U850="","",INDEX(상세표[성명],$U850)&amp;"")</f>
        <v/>
      </c>
      <c r="L850">
        <f>IF($U850="","",INDEX(상세표[직위],$U850)&amp;"")</f>
        <v/>
      </c>
      <c r="M850">
        <f>IF($U850="","",IF(ISNUMBER(INDEX(상세표[근무일자],$U850)),TEXT(INDEX(상세표[근무일자],$U850),"yyyy-mm-dd"),INDEX(상세표[근무일자],$U850)&amp;""))</f>
        <v/>
      </c>
      <c r="N850">
        <f>IF($U850="","",IF(ISNUMBER(INDEX(상세표[시작],$U850)),TEXT(INDEX(상세표[시작],$U850),"yyyy-mm-dd hh:mm"),INDEX(상세표[시작],$U850)&amp;""))</f>
        <v/>
      </c>
      <c r="O850">
        <f>IF($U850="","",IF(ISNUMBER(INDEX(상세표[종료],$U850)),TEXT(INDEX(상세표[종료],$U850),"yyyy-mm-dd hh:mm"),INDEX(상세표[종료],$U850)&amp;""))</f>
        <v/>
      </c>
      <c r="P850" s="20">
        <f>IF($U850="","",INDEX(상세표[06~07시],$U850))</f>
        <v/>
      </c>
      <c r="Q850" s="20">
        <f>IF($U850="","",INDEX(상세표[07~18시],$U850))</f>
        <v/>
      </c>
      <c r="R850" s="20">
        <f>IF($U850="","",INDEX(상세표[18~22시],$U850))</f>
        <v/>
      </c>
      <c r="S850" s="20">
        <f>IF($U850="","",INDEX(상세표[22~06시],$U850))</f>
        <v/>
      </c>
      <c r="T850" s="20">
        <f>IF($U850="","",INDEX(상세표[기록 시간외],$U850))</f>
        <v/>
      </c>
      <c r="U850" s="4">
        <f>IFERROR(MATCH(845,상세표[발송순번],0),"")</f>
        <v/>
      </c>
    </row>
    <row r="851">
      <c r="J851">
        <f>IF($U851="","",INDEX(상세표[사번],$U851)&amp;"")</f>
        <v/>
      </c>
      <c r="K851">
        <f>IF($U851="","",INDEX(상세표[성명],$U851)&amp;"")</f>
        <v/>
      </c>
      <c r="L851">
        <f>IF($U851="","",INDEX(상세표[직위],$U851)&amp;"")</f>
        <v/>
      </c>
      <c r="M851">
        <f>IF($U851="","",IF(ISNUMBER(INDEX(상세표[근무일자],$U851)),TEXT(INDEX(상세표[근무일자],$U851),"yyyy-mm-dd"),INDEX(상세표[근무일자],$U851)&amp;""))</f>
        <v/>
      </c>
      <c r="N851">
        <f>IF($U851="","",IF(ISNUMBER(INDEX(상세표[시작],$U851)),TEXT(INDEX(상세표[시작],$U851),"yyyy-mm-dd hh:mm"),INDEX(상세표[시작],$U851)&amp;""))</f>
        <v/>
      </c>
      <c r="O851">
        <f>IF($U851="","",IF(ISNUMBER(INDEX(상세표[종료],$U851)),TEXT(INDEX(상세표[종료],$U851),"yyyy-mm-dd hh:mm"),INDEX(상세표[종료],$U851)&amp;""))</f>
        <v/>
      </c>
      <c r="P851" s="20">
        <f>IF($U851="","",INDEX(상세표[06~07시],$U851))</f>
        <v/>
      </c>
      <c r="Q851" s="20">
        <f>IF($U851="","",INDEX(상세표[07~18시],$U851))</f>
        <v/>
      </c>
      <c r="R851" s="20">
        <f>IF($U851="","",INDEX(상세표[18~22시],$U851))</f>
        <v/>
      </c>
      <c r="S851" s="20">
        <f>IF($U851="","",INDEX(상세표[22~06시],$U851))</f>
        <v/>
      </c>
      <c r="T851" s="20">
        <f>IF($U851="","",INDEX(상세표[기록 시간외],$U851))</f>
        <v/>
      </c>
      <c r="U851" s="4">
        <f>IFERROR(MATCH(846,상세표[발송순번],0),"")</f>
        <v/>
      </c>
    </row>
    <row r="852">
      <c r="J852">
        <f>IF($U852="","",INDEX(상세표[사번],$U852)&amp;"")</f>
        <v/>
      </c>
      <c r="K852">
        <f>IF($U852="","",INDEX(상세표[성명],$U852)&amp;"")</f>
        <v/>
      </c>
      <c r="L852">
        <f>IF($U852="","",INDEX(상세표[직위],$U852)&amp;"")</f>
        <v/>
      </c>
      <c r="M852">
        <f>IF($U852="","",IF(ISNUMBER(INDEX(상세표[근무일자],$U852)),TEXT(INDEX(상세표[근무일자],$U852),"yyyy-mm-dd"),INDEX(상세표[근무일자],$U852)&amp;""))</f>
        <v/>
      </c>
      <c r="N852">
        <f>IF($U852="","",IF(ISNUMBER(INDEX(상세표[시작],$U852)),TEXT(INDEX(상세표[시작],$U852),"yyyy-mm-dd hh:mm"),INDEX(상세표[시작],$U852)&amp;""))</f>
        <v/>
      </c>
      <c r="O852">
        <f>IF($U852="","",IF(ISNUMBER(INDEX(상세표[종료],$U852)),TEXT(INDEX(상세표[종료],$U852),"yyyy-mm-dd hh:mm"),INDEX(상세표[종료],$U852)&amp;""))</f>
        <v/>
      </c>
      <c r="P852" s="20">
        <f>IF($U852="","",INDEX(상세표[06~07시],$U852))</f>
        <v/>
      </c>
      <c r="Q852" s="20">
        <f>IF($U852="","",INDEX(상세표[07~18시],$U852))</f>
        <v/>
      </c>
      <c r="R852" s="20">
        <f>IF($U852="","",INDEX(상세표[18~22시],$U852))</f>
        <v/>
      </c>
      <c r="S852" s="20">
        <f>IF($U852="","",INDEX(상세표[22~06시],$U852))</f>
        <v/>
      </c>
      <c r="T852" s="20">
        <f>IF($U852="","",INDEX(상세표[기록 시간외],$U852))</f>
        <v/>
      </c>
      <c r="U852" s="4">
        <f>IFERROR(MATCH(847,상세표[발송순번],0),"")</f>
        <v/>
      </c>
    </row>
    <row r="853">
      <c r="J853">
        <f>IF($U853="","",INDEX(상세표[사번],$U853)&amp;"")</f>
        <v/>
      </c>
      <c r="K853">
        <f>IF($U853="","",INDEX(상세표[성명],$U853)&amp;"")</f>
        <v/>
      </c>
      <c r="L853">
        <f>IF($U853="","",INDEX(상세표[직위],$U853)&amp;"")</f>
        <v/>
      </c>
      <c r="M853">
        <f>IF($U853="","",IF(ISNUMBER(INDEX(상세표[근무일자],$U853)),TEXT(INDEX(상세표[근무일자],$U853),"yyyy-mm-dd"),INDEX(상세표[근무일자],$U853)&amp;""))</f>
        <v/>
      </c>
      <c r="N853">
        <f>IF($U853="","",IF(ISNUMBER(INDEX(상세표[시작],$U853)),TEXT(INDEX(상세표[시작],$U853),"yyyy-mm-dd hh:mm"),INDEX(상세표[시작],$U853)&amp;""))</f>
        <v/>
      </c>
      <c r="O853">
        <f>IF($U853="","",IF(ISNUMBER(INDEX(상세표[종료],$U853)),TEXT(INDEX(상세표[종료],$U853),"yyyy-mm-dd hh:mm"),INDEX(상세표[종료],$U853)&amp;""))</f>
        <v/>
      </c>
      <c r="P853" s="20">
        <f>IF($U853="","",INDEX(상세표[06~07시],$U853))</f>
        <v/>
      </c>
      <c r="Q853" s="20">
        <f>IF($U853="","",INDEX(상세표[07~18시],$U853))</f>
        <v/>
      </c>
      <c r="R853" s="20">
        <f>IF($U853="","",INDEX(상세표[18~22시],$U853))</f>
        <v/>
      </c>
      <c r="S853" s="20">
        <f>IF($U853="","",INDEX(상세표[22~06시],$U853))</f>
        <v/>
      </c>
      <c r="T853" s="20">
        <f>IF($U853="","",INDEX(상세표[기록 시간외],$U853))</f>
        <v/>
      </c>
      <c r="U853" s="4">
        <f>IFERROR(MATCH(848,상세표[발송순번],0),"")</f>
        <v/>
      </c>
    </row>
    <row r="854">
      <c r="J854">
        <f>IF($U854="","",INDEX(상세표[사번],$U854)&amp;"")</f>
        <v/>
      </c>
      <c r="K854">
        <f>IF($U854="","",INDEX(상세표[성명],$U854)&amp;"")</f>
        <v/>
      </c>
      <c r="L854">
        <f>IF($U854="","",INDEX(상세표[직위],$U854)&amp;"")</f>
        <v/>
      </c>
      <c r="M854">
        <f>IF($U854="","",IF(ISNUMBER(INDEX(상세표[근무일자],$U854)),TEXT(INDEX(상세표[근무일자],$U854),"yyyy-mm-dd"),INDEX(상세표[근무일자],$U854)&amp;""))</f>
        <v/>
      </c>
      <c r="N854">
        <f>IF($U854="","",IF(ISNUMBER(INDEX(상세표[시작],$U854)),TEXT(INDEX(상세표[시작],$U854),"yyyy-mm-dd hh:mm"),INDEX(상세표[시작],$U854)&amp;""))</f>
        <v/>
      </c>
      <c r="O854">
        <f>IF($U854="","",IF(ISNUMBER(INDEX(상세표[종료],$U854)),TEXT(INDEX(상세표[종료],$U854),"yyyy-mm-dd hh:mm"),INDEX(상세표[종료],$U854)&amp;""))</f>
        <v/>
      </c>
      <c r="P854" s="20">
        <f>IF($U854="","",INDEX(상세표[06~07시],$U854))</f>
        <v/>
      </c>
      <c r="Q854" s="20">
        <f>IF($U854="","",INDEX(상세표[07~18시],$U854))</f>
        <v/>
      </c>
      <c r="R854" s="20">
        <f>IF($U854="","",INDEX(상세표[18~22시],$U854))</f>
        <v/>
      </c>
      <c r="S854" s="20">
        <f>IF($U854="","",INDEX(상세표[22~06시],$U854))</f>
        <v/>
      </c>
      <c r="T854" s="20">
        <f>IF($U854="","",INDEX(상세표[기록 시간외],$U854))</f>
        <v/>
      </c>
      <c r="U854" s="4">
        <f>IFERROR(MATCH(849,상세표[발송순번],0),"")</f>
        <v/>
      </c>
    </row>
    <row r="855">
      <c r="J855">
        <f>IF($U855="","",INDEX(상세표[사번],$U855)&amp;"")</f>
        <v/>
      </c>
      <c r="K855">
        <f>IF($U855="","",INDEX(상세표[성명],$U855)&amp;"")</f>
        <v/>
      </c>
      <c r="L855">
        <f>IF($U855="","",INDEX(상세표[직위],$U855)&amp;"")</f>
        <v/>
      </c>
      <c r="M855">
        <f>IF($U855="","",IF(ISNUMBER(INDEX(상세표[근무일자],$U855)),TEXT(INDEX(상세표[근무일자],$U855),"yyyy-mm-dd"),INDEX(상세표[근무일자],$U855)&amp;""))</f>
        <v/>
      </c>
      <c r="N855">
        <f>IF($U855="","",IF(ISNUMBER(INDEX(상세표[시작],$U855)),TEXT(INDEX(상세표[시작],$U855),"yyyy-mm-dd hh:mm"),INDEX(상세표[시작],$U855)&amp;""))</f>
        <v/>
      </c>
      <c r="O855">
        <f>IF($U855="","",IF(ISNUMBER(INDEX(상세표[종료],$U855)),TEXT(INDEX(상세표[종료],$U855),"yyyy-mm-dd hh:mm"),INDEX(상세표[종료],$U855)&amp;""))</f>
        <v/>
      </c>
      <c r="P855" s="20">
        <f>IF($U855="","",INDEX(상세표[06~07시],$U855))</f>
        <v/>
      </c>
      <c r="Q855" s="20">
        <f>IF($U855="","",INDEX(상세표[07~18시],$U855))</f>
        <v/>
      </c>
      <c r="R855" s="20">
        <f>IF($U855="","",INDEX(상세표[18~22시],$U855))</f>
        <v/>
      </c>
      <c r="S855" s="20">
        <f>IF($U855="","",INDEX(상세표[22~06시],$U855))</f>
        <v/>
      </c>
      <c r="T855" s="20">
        <f>IF($U855="","",INDEX(상세표[기록 시간외],$U855))</f>
        <v/>
      </c>
      <c r="U855" s="4">
        <f>IFERROR(MATCH(850,상세표[발송순번],0),"")</f>
        <v/>
      </c>
    </row>
    <row r="856">
      <c r="J856">
        <f>IF($U856="","",INDEX(상세표[사번],$U856)&amp;"")</f>
        <v/>
      </c>
      <c r="K856">
        <f>IF($U856="","",INDEX(상세표[성명],$U856)&amp;"")</f>
        <v/>
      </c>
      <c r="L856">
        <f>IF($U856="","",INDEX(상세표[직위],$U856)&amp;"")</f>
        <v/>
      </c>
      <c r="M856">
        <f>IF($U856="","",IF(ISNUMBER(INDEX(상세표[근무일자],$U856)),TEXT(INDEX(상세표[근무일자],$U856),"yyyy-mm-dd"),INDEX(상세표[근무일자],$U856)&amp;""))</f>
        <v/>
      </c>
      <c r="N856">
        <f>IF($U856="","",IF(ISNUMBER(INDEX(상세표[시작],$U856)),TEXT(INDEX(상세표[시작],$U856),"yyyy-mm-dd hh:mm"),INDEX(상세표[시작],$U856)&amp;""))</f>
        <v/>
      </c>
      <c r="O856">
        <f>IF($U856="","",IF(ISNUMBER(INDEX(상세표[종료],$U856)),TEXT(INDEX(상세표[종료],$U856),"yyyy-mm-dd hh:mm"),INDEX(상세표[종료],$U856)&amp;""))</f>
        <v/>
      </c>
      <c r="P856" s="20">
        <f>IF($U856="","",INDEX(상세표[06~07시],$U856))</f>
        <v/>
      </c>
      <c r="Q856" s="20">
        <f>IF($U856="","",INDEX(상세표[07~18시],$U856))</f>
        <v/>
      </c>
      <c r="R856" s="20">
        <f>IF($U856="","",INDEX(상세표[18~22시],$U856))</f>
        <v/>
      </c>
      <c r="S856" s="20">
        <f>IF($U856="","",INDEX(상세표[22~06시],$U856))</f>
        <v/>
      </c>
      <c r="T856" s="20">
        <f>IF($U856="","",INDEX(상세표[기록 시간외],$U856))</f>
        <v/>
      </c>
      <c r="U856" s="4">
        <f>IFERROR(MATCH(851,상세표[발송순번],0),"")</f>
        <v/>
      </c>
    </row>
    <row r="857">
      <c r="J857">
        <f>IF($U857="","",INDEX(상세표[사번],$U857)&amp;"")</f>
        <v/>
      </c>
      <c r="K857">
        <f>IF($U857="","",INDEX(상세표[성명],$U857)&amp;"")</f>
        <v/>
      </c>
      <c r="L857">
        <f>IF($U857="","",INDEX(상세표[직위],$U857)&amp;"")</f>
        <v/>
      </c>
      <c r="M857">
        <f>IF($U857="","",IF(ISNUMBER(INDEX(상세표[근무일자],$U857)),TEXT(INDEX(상세표[근무일자],$U857),"yyyy-mm-dd"),INDEX(상세표[근무일자],$U857)&amp;""))</f>
        <v/>
      </c>
      <c r="N857">
        <f>IF($U857="","",IF(ISNUMBER(INDEX(상세표[시작],$U857)),TEXT(INDEX(상세표[시작],$U857),"yyyy-mm-dd hh:mm"),INDEX(상세표[시작],$U857)&amp;""))</f>
        <v/>
      </c>
      <c r="O857">
        <f>IF($U857="","",IF(ISNUMBER(INDEX(상세표[종료],$U857)),TEXT(INDEX(상세표[종료],$U857),"yyyy-mm-dd hh:mm"),INDEX(상세표[종료],$U857)&amp;""))</f>
        <v/>
      </c>
      <c r="P857" s="20">
        <f>IF($U857="","",INDEX(상세표[06~07시],$U857))</f>
        <v/>
      </c>
      <c r="Q857" s="20">
        <f>IF($U857="","",INDEX(상세표[07~18시],$U857))</f>
        <v/>
      </c>
      <c r="R857" s="20">
        <f>IF($U857="","",INDEX(상세표[18~22시],$U857))</f>
        <v/>
      </c>
      <c r="S857" s="20">
        <f>IF($U857="","",INDEX(상세표[22~06시],$U857))</f>
        <v/>
      </c>
      <c r="T857" s="20">
        <f>IF($U857="","",INDEX(상세표[기록 시간외],$U857))</f>
        <v/>
      </c>
      <c r="U857" s="4">
        <f>IFERROR(MATCH(852,상세표[발송순번],0),"")</f>
        <v/>
      </c>
    </row>
    <row r="858">
      <c r="J858">
        <f>IF($U858="","",INDEX(상세표[사번],$U858)&amp;"")</f>
        <v/>
      </c>
      <c r="K858">
        <f>IF($U858="","",INDEX(상세표[성명],$U858)&amp;"")</f>
        <v/>
      </c>
      <c r="L858">
        <f>IF($U858="","",INDEX(상세표[직위],$U858)&amp;"")</f>
        <v/>
      </c>
      <c r="M858">
        <f>IF($U858="","",IF(ISNUMBER(INDEX(상세표[근무일자],$U858)),TEXT(INDEX(상세표[근무일자],$U858),"yyyy-mm-dd"),INDEX(상세표[근무일자],$U858)&amp;""))</f>
        <v/>
      </c>
      <c r="N858">
        <f>IF($U858="","",IF(ISNUMBER(INDEX(상세표[시작],$U858)),TEXT(INDEX(상세표[시작],$U858),"yyyy-mm-dd hh:mm"),INDEX(상세표[시작],$U858)&amp;""))</f>
        <v/>
      </c>
      <c r="O858">
        <f>IF($U858="","",IF(ISNUMBER(INDEX(상세표[종료],$U858)),TEXT(INDEX(상세표[종료],$U858),"yyyy-mm-dd hh:mm"),INDEX(상세표[종료],$U858)&amp;""))</f>
        <v/>
      </c>
      <c r="P858" s="20">
        <f>IF($U858="","",INDEX(상세표[06~07시],$U858))</f>
        <v/>
      </c>
      <c r="Q858" s="20">
        <f>IF($U858="","",INDEX(상세표[07~18시],$U858))</f>
        <v/>
      </c>
      <c r="R858" s="20">
        <f>IF($U858="","",INDEX(상세표[18~22시],$U858))</f>
        <v/>
      </c>
      <c r="S858" s="20">
        <f>IF($U858="","",INDEX(상세표[22~06시],$U858))</f>
        <v/>
      </c>
      <c r="T858" s="20">
        <f>IF($U858="","",INDEX(상세표[기록 시간외],$U858))</f>
        <v/>
      </c>
      <c r="U858" s="4">
        <f>IFERROR(MATCH(853,상세표[발송순번],0),"")</f>
        <v/>
      </c>
    </row>
    <row r="859">
      <c r="J859">
        <f>IF($U859="","",INDEX(상세표[사번],$U859)&amp;"")</f>
        <v/>
      </c>
      <c r="K859">
        <f>IF($U859="","",INDEX(상세표[성명],$U859)&amp;"")</f>
        <v/>
      </c>
      <c r="L859">
        <f>IF($U859="","",INDEX(상세표[직위],$U859)&amp;"")</f>
        <v/>
      </c>
      <c r="M859">
        <f>IF($U859="","",IF(ISNUMBER(INDEX(상세표[근무일자],$U859)),TEXT(INDEX(상세표[근무일자],$U859),"yyyy-mm-dd"),INDEX(상세표[근무일자],$U859)&amp;""))</f>
        <v/>
      </c>
      <c r="N859">
        <f>IF($U859="","",IF(ISNUMBER(INDEX(상세표[시작],$U859)),TEXT(INDEX(상세표[시작],$U859),"yyyy-mm-dd hh:mm"),INDEX(상세표[시작],$U859)&amp;""))</f>
        <v/>
      </c>
      <c r="O859">
        <f>IF($U859="","",IF(ISNUMBER(INDEX(상세표[종료],$U859)),TEXT(INDEX(상세표[종료],$U859),"yyyy-mm-dd hh:mm"),INDEX(상세표[종료],$U859)&amp;""))</f>
        <v/>
      </c>
      <c r="P859" s="20">
        <f>IF($U859="","",INDEX(상세표[06~07시],$U859))</f>
        <v/>
      </c>
      <c r="Q859" s="20">
        <f>IF($U859="","",INDEX(상세표[07~18시],$U859))</f>
        <v/>
      </c>
      <c r="R859" s="20">
        <f>IF($U859="","",INDEX(상세표[18~22시],$U859))</f>
        <v/>
      </c>
      <c r="S859" s="20">
        <f>IF($U859="","",INDEX(상세표[22~06시],$U859))</f>
        <v/>
      </c>
      <c r="T859" s="20">
        <f>IF($U859="","",INDEX(상세표[기록 시간외],$U859))</f>
        <v/>
      </c>
      <c r="U859" s="4">
        <f>IFERROR(MATCH(854,상세표[발송순번],0),"")</f>
        <v/>
      </c>
    </row>
    <row r="860">
      <c r="J860">
        <f>IF($U860="","",INDEX(상세표[사번],$U860)&amp;"")</f>
        <v/>
      </c>
      <c r="K860">
        <f>IF($U860="","",INDEX(상세표[성명],$U860)&amp;"")</f>
        <v/>
      </c>
      <c r="L860">
        <f>IF($U860="","",INDEX(상세표[직위],$U860)&amp;"")</f>
        <v/>
      </c>
      <c r="M860">
        <f>IF($U860="","",IF(ISNUMBER(INDEX(상세표[근무일자],$U860)),TEXT(INDEX(상세표[근무일자],$U860),"yyyy-mm-dd"),INDEX(상세표[근무일자],$U860)&amp;""))</f>
        <v/>
      </c>
      <c r="N860">
        <f>IF($U860="","",IF(ISNUMBER(INDEX(상세표[시작],$U860)),TEXT(INDEX(상세표[시작],$U860),"yyyy-mm-dd hh:mm"),INDEX(상세표[시작],$U860)&amp;""))</f>
        <v/>
      </c>
      <c r="O860">
        <f>IF($U860="","",IF(ISNUMBER(INDEX(상세표[종료],$U860)),TEXT(INDEX(상세표[종료],$U860),"yyyy-mm-dd hh:mm"),INDEX(상세표[종료],$U860)&amp;""))</f>
        <v/>
      </c>
      <c r="P860" s="20">
        <f>IF($U860="","",INDEX(상세표[06~07시],$U860))</f>
        <v/>
      </c>
      <c r="Q860" s="20">
        <f>IF($U860="","",INDEX(상세표[07~18시],$U860))</f>
        <v/>
      </c>
      <c r="R860" s="20">
        <f>IF($U860="","",INDEX(상세표[18~22시],$U860))</f>
        <v/>
      </c>
      <c r="S860" s="20">
        <f>IF($U860="","",INDEX(상세표[22~06시],$U860))</f>
        <v/>
      </c>
      <c r="T860" s="20">
        <f>IF($U860="","",INDEX(상세표[기록 시간외],$U860))</f>
        <v/>
      </c>
      <c r="U860" s="4">
        <f>IFERROR(MATCH(855,상세표[발송순번],0),"")</f>
        <v/>
      </c>
    </row>
    <row r="861">
      <c r="J861">
        <f>IF($U861="","",INDEX(상세표[사번],$U861)&amp;"")</f>
        <v/>
      </c>
      <c r="K861">
        <f>IF($U861="","",INDEX(상세표[성명],$U861)&amp;"")</f>
        <v/>
      </c>
      <c r="L861">
        <f>IF($U861="","",INDEX(상세표[직위],$U861)&amp;"")</f>
        <v/>
      </c>
      <c r="M861">
        <f>IF($U861="","",IF(ISNUMBER(INDEX(상세표[근무일자],$U861)),TEXT(INDEX(상세표[근무일자],$U861),"yyyy-mm-dd"),INDEX(상세표[근무일자],$U861)&amp;""))</f>
        <v/>
      </c>
      <c r="N861">
        <f>IF($U861="","",IF(ISNUMBER(INDEX(상세표[시작],$U861)),TEXT(INDEX(상세표[시작],$U861),"yyyy-mm-dd hh:mm"),INDEX(상세표[시작],$U861)&amp;""))</f>
        <v/>
      </c>
      <c r="O861">
        <f>IF($U861="","",IF(ISNUMBER(INDEX(상세표[종료],$U861)),TEXT(INDEX(상세표[종료],$U861),"yyyy-mm-dd hh:mm"),INDEX(상세표[종료],$U861)&amp;""))</f>
        <v/>
      </c>
      <c r="P861" s="20">
        <f>IF($U861="","",INDEX(상세표[06~07시],$U861))</f>
        <v/>
      </c>
      <c r="Q861" s="20">
        <f>IF($U861="","",INDEX(상세표[07~18시],$U861))</f>
        <v/>
      </c>
      <c r="R861" s="20">
        <f>IF($U861="","",INDEX(상세표[18~22시],$U861))</f>
        <v/>
      </c>
      <c r="S861" s="20">
        <f>IF($U861="","",INDEX(상세표[22~06시],$U861))</f>
        <v/>
      </c>
      <c r="T861" s="20">
        <f>IF($U861="","",INDEX(상세표[기록 시간외],$U861))</f>
        <v/>
      </c>
      <c r="U861" s="4">
        <f>IFERROR(MATCH(856,상세표[발송순번],0),"")</f>
        <v/>
      </c>
    </row>
    <row r="862">
      <c r="J862">
        <f>IF($U862="","",INDEX(상세표[사번],$U862)&amp;"")</f>
        <v/>
      </c>
      <c r="K862">
        <f>IF($U862="","",INDEX(상세표[성명],$U862)&amp;"")</f>
        <v/>
      </c>
      <c r="L862">
        <f>IF($U862="","",INDEX(상세표[직위],$U862)&amp;"")</f>
        <v/>
      </c>
      <c r="M862">
        <f>IF($U862="","",IF(ISNUMBER(INDEX(상세표[근무일자],$U862)),TEXT(INDEX(상세표[근무일자],$U862),"yyyy-mm-dd"),INDEX(상세표[근무일자],$U862)&amp;""))</f>
        <v/>
      </c>
      <c r="N862">
        <f>IF($U862="","",IF(ISNUMBER(INDEX(상세표[시작],$U862)),TEXT(INDEX(상세표[시작],$U862),"yyyy-mm-dd hh:mm"),INDEX(상세표[시작],$U862)&amp;""))</f>
        <v/>
      </c>
      <c r="O862">
        <f>IF($U862="","",IF(ISNUMBER(INDEX(상세표[종료],$U862)),TEXT(INDEX(상세표[종료],$U862),"yyyy-mm-dd hh:mm"),INDEX(상세표[종료],$U862)&amp;""))</f>
        <v/>
      </c>
      <c r="P862" s="20">
        <f>IF($U862="","",INDEX(상세표[06~07시],$U862))</f>
        <v/>
      </c>
      <c r="Q862" s="20">
        <f>IF($U862="","",INDEX(상세표[07~18시],$U862))</f>
        <v/>
      </c>
      <c r="R862" s="20">
        <f>IF($U862="","",INDEX(상세표[18~22시],$U862))</f>
        <v/>
      </c>
      <c r="S862" s="20">
        <f>IF($U862="","",INDEX(상세표[22~06시],$U862))</f>
        <v/>
      </c>
      <c r="T862" s="20">
        <f>IF($U862="","",INDEX(상세표[기록 시간외],$U862))</f>
        <v/>
      </c>
      <c r="U862" s="4">
        <f>IFERROR(MATCH(857,상세표[발송순번],0),"")</f>
        <v/>
      </c>
    </row>
    <row r="863">
      <c r="J863">
        <f>IF($U863="","",INDEX(상세표[사번],$U863)&amp;"")</f>
        <v/>
      </c>
      <c r="K863">
        <f>IF($U863="","",INDEX(상세표[성명],$U863)&amp;"")</f>
        <v/>
      </c>
      <c r="L863">
        <f>IF($U863="","",INDEX(상세표[직위],$U863)&amp;"")</f>
        <v/>
      </c>
      <c r="M863">
        <f>IF($U863="","",IF(ISNUMBER(INDEX(상세표[근무일자],$U863)),TEXT(INDEX(상세표[근무일자],$U863),"yyyy-mm-dd"),INDEX(상세표[근무일자],$U863)&amp;""))</f>
        <v/>
      </c>
      <c r="N863">
        <f>IF($U863="","",IF(ISNUMBER(INDEX(상세표[시작],$U863)),TEXT(INDEX(상세표[시작],$U863),"yyyy-mm-dd hh:mm"),INDEX(상세표[시작],$U863)&amp;""))</f>
        <v/>
      </c>
      <c r="O863">
        <f>IF($U863="","",IF(ISNUMBER(INDEX(상세표[종료],$U863)),TEXT(INDEX(상세표[종료],$U863),"yyyy-mm-dd hh:mm"),INDEX(상세표[종료],$U863)&amp;""))</f>
        <v/>
      </c>
      <c r="P863" s="20">
        <f>IF($U863="","",INDEX(상세표[06~07시],$U863))</f>
        <v/>
      </c>
      <c r="Q863" s="20">
        <f>IF($U863="","",INDEX(상세표[07~18시],$U863))</f>
        <v/>
      </c>
      <c r="R863" s="20">
        <f>IF($U863="","",INDEX(상세표[18~22시],$U863))</f>
        <v/>
      </c>
      <c r="S863" s="20">
        <f>IF($U863="","",INDEX(상세표[22~06시],$U863))</f>
        <v/>
      </c>
      <c r="T863" s="20">
        <f>IF($U863="","",INDEX(상세표[기록 시간외],$U863))</f>
        <v/>
      </c>
      <c r="U863" s="4">
        <f>IFERROR(MATCH(858,상세표[발송순번],0),"")</f>
        <v/>
      </c>
    </row>
    <row r="864">
      <c r="J864">
        <f>IF($U864="","",INDEX(상세표[사번],$U864)&amp;"")</f>
        <v/>
      </c>
      <c r="K864">
        <f>IF($U864="","",INDEX(상세표[성명],$U864)&amp;"")</f>
        <v/>
      </c>
      <c r="L864">
        <f>IF($U864="","",INDEX(상세표[직위],$U864)&amp;"")</f>
        <v/>
      </c>
      <c r="M864">
        <f>IF($U864="","",IF(ISNUMBER(INDEX(상세표[근무일자],$U864)),TEXT(INDEX(상세표[근무일자],$U864),"yyyy-mm-dd"),INDEX(상세표[근무일자],$U864)&amp;""))</f>
        <v/>
      </c>
      <c r="N864">
        <f>IF($U864="","",IF(ISNUMBER(INDEX(상세표[시작],$U864)),TEXT(INDEX(상세표[시작],$U864),"yyyy-mm-dd hh:mm"),INDEX(상세표[시작],$U864)&amp;""))</f>
        <v/>
      </c>
      <c r="O864">
        <f>IF($U864="","",IF(ISNUMBER(INDEX(상세표[종료],$U864)),TEXT(INDEX(상세표[종료],$U864),"yyyy-mm-dd hh:mm"),INDEX(상세표[종료],$U864)&amp;""))</f>
        <v/>
      </c>
      <c r="P864" s="20">
        <f>IF($U864="","",INDEX(상세표[06~07시],$U864))</f>
        <v/>
      </c>
      <c r="Q864" s="20">
        <f>IF($U864="","",INDEX(상세표[07~18시],$U864))</f>
        <v/>
      </c>
      <c r="R864" s="20">
        <f>IF($U864="","",INDEX(상세표[18~22시],$U864))</f>
        <v/>
      </c>
      <c r="S864" s="20">
        <f>IF($U864="","",INDEX(상세표[22~06시],$U864))</f>
        <v/>
      </c>
      <c r="T864" s="20">
        <f>IF($U864="","",INDEX(상세표[기록 시간외],$U864))</f>
        <v/>
      </c>
      <c r="U864" s="4">
        <f>IFERROR(MATCH(859,상세표[발송순번],0),"")</f>
        <v/>
      </c>
    </row>
    <row r="865">
      <c r="J865">
        <f>IF($U865="","",INDEX(상세표[사번],$U865)&amp;"")</f>
        <v/>
      </c>
      <c r="K865">
        <f>IF($U865="","",INDEX(상세표[성명],$U865)&amp;"")</f>
        <v/>
      </c>
      <c r="L865">
        <f>IF($U865="","",INDEX(상세표[직위],$U865)&amp;"")</f>
        <v/>
      </c>
      <c r="M865">
        <f>IF($U865="","",IF(ISNUMBER(INDEX(상세표[근무일자],$U865)),TEXT(INDEX(상세표[근무일자],$U865),"yyyy-mm-dd"),INDEX(상세표[근무일자],$U865)&amp;""))</f>
        <v/>
      </c>
      <c r="N865">
        <f>IF($U865="","",IF(ISNUMBER(INDEX(상세표[시작],$U865)),TEXT(INDEX(상세표[시작],$U865),"yyyy-mm-dd hh:mm"),INDEX(상세표[시작],$U865)&amp;""))</f>
        <v/>
      </c>
      <c r="O865">
        <f>IF($U865="","",IF(ISNUMBER(INDEX(상세표[종료],$U865)),TEXT(INDEX(상세표[종료],$U865),"yyyy-mm-dd hh:mm"),INDEX(상세표[종료],$U865)&amp;""))</f>
        <v/>
      </c>
      <c r="P865" s="20">
        <f>IF($U865="","",INDEX(상세표[06~07시],$U865))</f>
        <v/>
      </c>
      <c r="Q865" s="20">
        <f>IF($U865="","",INDEX(상세표[07~18시],$U865))</f>
        <v/>
      </c>
      <c r="R865" s="20">
        <f>IF($U865="","",INDEX(상세표[18~22시],$U865))</f>
        <v/>
      </c>
      <c r="S865" s="20">
        <f>IF($U865="","",INDEX(상세표[22~06시],$U865))</f>
        <v/>
      </c>
      <c r="T865" s="20">
        <f>IF($U865="","",INDEX(상세표[기록 시간외],$U865))</f>
        <v/>
      </c>
      <c r="U865" s="4">
        <f>IFERROR(MATCH(860,상세표[발송순번],0),"")</f>
        <v/>
      </c>
    </row>
    <row r="866">
      <c r="J866">
        <f>IF($U866="","",INDEX(상세표[사번],$U866)&amp;"")</f>
        <v/>
      </c>
      <c r="K866">
        <f>IF($U866="","",INDEX(상세표[성명],$U866)&amp;"")</f>
        <v/>
      </c>
      <c r="L866">
        <f>IF($U866="","",INDEX(상세표[직위],$U866)&amp;"")</f>
        <v/>
      </c>
      <c r="M866">
        <f>IF($U866="","",IF(ISNUMBER(INDEX(상세표[근무일자],$U866)),TEXT(INDEX(상세표[근무일자],$U866),"yyyy-mm-dd"),INDEX(상세표[근무일자],$U866)&amp;""))</f>
        <v/>
      </c>
      <c r="N866">
        <f>IF($U866="","",IF(ISNUMBER(INDEX(상세표[시작],$U866)),TEXT(INDEX(상세표[시작],$U866),"yyyy-mm-dd hh:mm"),INDEX(상세표[시작],$U866)&amp;""))</f>
        <v/>
      </c>
      <c r="O866">
        <f>IF($U866="","",IF(ISNUMBER(INDEX(상세표[종료],$U866)),TEXT(INDEX(상세표[종료],$U866),"yyyy-mm-dd hh:mm"),INDEX(상세표[종료],$U866)&amp;""))</f>
        <v/>
      </c>
      <c r="P866" s="20">
        <f>IF($U866="","",INDEX(상세표[06~07시],$U866))</f>
        <v/>
      </c>
      <c r="Q866" s="20">
        <f>IF($U866="","",INDEX(상세표[07~18시],$U866))</f>
        <v/>
      </c>
      <c r="R866" s="20">
        <f>IF($U866="","",INDEX(상세표[18~22시],$U866))</f>
        <v/>
      </c>
      <c r="S866" s="20">
        <f>IF($U866="","",INDEX(상세표[22~06시],$U866))</f>
        <v/>
      </c>
      <c r="T866" s="20">
        <f>IF($U866="","",INDEX(상세표[기록 시간외],$U866))</f>
        <v/>
      </c>
      <c r="U866" s="4">
        <f>IFERROR(MATCH(861,상세표[발송순번],0),"")</f>
        <v/>
      </c>
    </row>
    <row r="867">
      <c r="J867">
        <f>IF($U867="","",INDEX(상세표[사번],$U867)&amp;"")</f>
        <v/>
      </c>
      <c r="K867">
        <f>IF($U867="","",INDEX(상세표[성명],$U867)&amp;"")</f>
        <v/>
      </c>
      <c r="L867">
        <f>IF($U867="","",INDEX(상세표[직위],$U867)&amp;"")</f>
        <v/>
      </c>
      <c r="M867">
        <f>IF($U867="","",IF(ISNUMBER(INDEX(상세표[근무일자],$U867)),TEXT(INDEX(상세표[근무일자],$U867),"yyyy-mm-dd"),INDEX(상세표[근무일자],$U867)&amp;""))</f>
        <v/>
      </c>
      <c r="N867">
        <f>IF($U867="","",IF(ISNUMBER(INDEX(상세표[시작],$U867)),TEXT(INDEX(상세표[시작],$U867),"yyyy-mm-dd hh:mm"),INDEX(상세표[시작],$U867)&amp;""))</f>
        <v/>
      </c>
      <c r="O867">
        <f>IF($U867="","",IF(ISNUMBER(INDEX(상세표[종료],$U867)),TEXT(INDEX(상세표[종료],$U867),"yyyy-mm-dd hh:mm"),INDEX(상세표[종료],$U867)&amp;""))</f>
        <v/>
      </c>
      <c r="P867" s="20">
        <f>IF($U867="","",INDEX(상세표[06~07시],$U867))</f>
        <v/>
      </c>
      <c r="Q867" s="20">
        <f>IF($U867="","",INDEX(상세표[07~18시],$U867))</f>
        <v/>
      </c>
      <c r="R867" s="20">
        <f>IF($U867="","",INDEX(상세표[18~22시],$U867))</f>
        <v/>
      </c>
      <c r="S867" s="20">
        <f>IF($U867="","",INDEX(상세표[22~06시],$U867))</f>
        <v/>
      </c>
      <c r="T867" s="20">
        <f>IF($U867="","",INDEX(상세표[기록 시간외],$U867))</f>
        <v/>
      </c>
      <c r="U867" s="4">
        <f>IFERROR(MATCH(862,상세표[발송순번],0),"")</f>
        <v/>
      </c>
    </row>
    <row r="868">
      <c r="J868">
        <f>IF($U868="","",INDEX(상세표[사번],$U868)&amp;"")</f>
        <v/>
      </c>
      <c r="K868">
        <f>IF($U868="","",INDEX(상세표[성명],$U868)&amp;"")</f>
        <v/>
      </c>
      <c r="L868">
        <f>IF($U868="","",INDEX(상세표[직위],$U868)&amp;"")</f>
        <v/>
      </c>
      <c r="M868">
        <f>IF($U868="","",IF(ISNUMBER(INDEX(상세표[근무일자],$U868)),TEXT(INDEX(상세표[근무일자],$U868),"yyyy-mm-dd"),INDEX(상세표[근무일자],$U868)&amp;""))</f>
        <v/>
      </c>
      <c r="N868">
        <f>IF($U868="","",IF(ISNUMBER(INDEX(상세표[시작],$U868)),TEXT(INDEX(상세표[시작],$U868),"yyyy-mm-dd hh:mm"),INDEX(상세표[시작],$U868)&amp;""))</f>
        <v/>
      </c>
      <c r="O868">
        <f>IF($U868="","",IF(ISNUMBER(INDEX(상세표[종료],$U868)),TEXT(INDEX(상세표[종료],$U868),"yyyy-mm-dd hh:mm"),INDEX(상세표[종료],$U868)&amp;""))</f>
        <v/>
      </c>
      <c r="P868" s="20">
        <f>IF($U868="","",INDEX(상세표[06~07시],$U868))</f>
        <v/>
      </c>
      <c r="Q868" s="20">
        <f>IF($U868="","",INDEX(상세표[07~18시],$U868))</f>
        <v/>
      </c>
      <c r="R868" s="20">
        <f>IF($U868="","",INDEX(상세표[18~22시],$U868))</f>
        <v/>
      </c>
      <c r="S868" s="20">
        <f>IF($U868="","",INDEX(상세표[22~06시],$U868))</f>
        <v/>
      </c>
      <c r="T868" s="20">
        <f>IF($U868="","",INDEX(상세표[기록 시간외],$U868))</f>
        <v/>
      </c>
      <c r="U868" s="4">
        <f>IFERROR(MATCH(863,상세표[발송순번],0),"")</f>
        <v/>
      </c>
    </row>
    <row r="869">
      <c r="J869">
        <f>IF($U869="","",INDEX(상세표[사번],$U869)&amp;"")</f>
        <v/>
      </c>
      <c r="K869">
        <f>IF($U869="","",INDEX(상세표[성명],$U869)&amp;"")</f>
        <v/>
      </c>
      <c r="L869">
        <f>IF($U869="","",INDEX(상세표[직위],$U869)&amp;"")</f>
        <v/>
      </c>
      <c r="M869">
        <f>IF($U869="","",IF(ISNUMBER(INDEX(상세표[근무일자],$U869)),TEXT(INDEX(상세표[근무일자],$U869),"yyyy-mm-dd"),INDEX(상세표[근무일자],$U869)&amp;""))</f>
        <v/>
      </c>
      <c r="N869">
        <f>IF($U869="","",IF(ISNUMBER(INDEX(상세표[시작],$U869)),TEXT(INDEX(상세표[시작],$U869),"yyyy-mm-dd hh:mm"),INDEX(상세표[시작],$U869)&amp;""))</f>
        <v/>
      </c>
      <c r="O869">
        <f>IF($U869="","",IF(ISNUMBER(INDEX(상세표[종료],$U869)),TEXT(INDEX(상세표[종료],$U869),"yyyy-mm-dd hh:mm"),INDEX(상세표[종료],$U869)&amp;""))</f>
        <v/>
      </c>
      <c r="P869" s="20">
        <f>IF($U869="","",INDEX(상세표[06~07시],$U869))</f>
        <v/>
      </c>
      <c r="Q869" s="20">
        <f>IF($U869="","",INDEX(상세표[07~18시],$U869))</f>
        <v/>
      </c>
      <c r="R869" s="20">
        <f>IF($U869="","",INDEX(상세표[18~22시],$U869))</f>
        <v/>
      </c>
      <c r="S869" s="20">
        <f>IF($U869="","",INDEX(상세표[22~06시],$U869))</f>
        <v/>
      </c>
      <c r="T869" s="20">
        <f>IF($U869="","",INDEX(상세표[기록 시간외],$U869))</f>
        <v/>
      </c>
      <c r="U869" s="4">
        <f>IFERROR(MATCH(864,상세표[발송순번],0),"")</f>
        <v/>
      </c>
    </row>
    <row r="870">
      <c r="J870">
        <f>IF($U870="","",INDEX(상세표[사번],$U870)&amp;"")</f>
        <v/>
      </c>
      <c r="K870">
        <f>IF($U870="","",INDEX(상세표[성명],$U870)&amp;"")</f>
        <v/>
      </c>
      <c r="L870">
        <f>IF($U870="","",INDEX(상세표[직위],$U870)&amp;"")</f>
        <v/>
      </c>
      <c r="M870">
        <f>IF($U870="","",IF(ISNUMBER(INDEX(상세표[근무일자],$U870)),TEXT(INDEX(상세표[근무일자],$U870),"yyyy-mm-dd"),INDEX(상세표[근무일자],$U870)&amp;""))</f>
        <v/>
      </c>
      <c r="N870">
        <f>IF($U870="","",IF(ISNUMBER(INDEX(상세표[시작],$U870)),TEXT(INDEX(상세표[시작],$U870),"yyyy-mm-dd hh:mm"),INDEX(상세표[시작],$U870)&amp;""))</f>
        <v/>
      </c>
      <c r="O870">
        <f>IF($U870="","",IF(ISNUMBER(INDEX(상세표[종료],$U870)),TEXT(INDEX(상세표[종료],$U870),"yyyy-mm-dd hh:mm"),INDEX(상세표[종료],$U870)&amp;""))</f>
        <v/>
      </c>
      <c r="P870" s="20">
        <f>IF($U870="","",INDEX(상세표[06~07시],$U870))</f>
        <v/>
      </c>
      <c r="Q870" s="20">
        <f>IF($U870="","",INDEX(상세표[07~18시],$U870))</f>
        <v/>
      </c>
      <c r="R870" s="20">
        <f>IF($U870="","",INDEX(상세표[18~22시],$U870))</f>
        <v/>
      </c>
      <c r="S870" s="20">
        <f>IF($U870="","",INDEX(상세표[22~06시],$U870))</f>
        <v/>
      </c>
      <c r="T870" s="20">
        <f>IF($U870="","",INDEX(상세표[기록 시간외],$U870))</f>
        <v/>
      </c>
      <c r="U870" s="4">
        <f>IFERROR(MATCH(865,상세표[발송순번],0),"")</f>
        <v/>
      </c>
    </row>
    <row r="871">
      <c r="J871">
        <f>IF($U871="","",INDEX(상세표[사번],$U871)&amp;"")</f>
        <v/>
      </c>
      <c r="K871">
        <f>IF($U871="","",INDEX(상세표[성명],$U871)&amp;"")</f>
        <v/>
      </c>
      <c r="L871">
        <f>IF($U871="","",INDEX(상세표[직위],$U871)&amp;"")</f>
        <v/>
      </c>
      <c r="M871">
        <f>IF($U871="","",IF(ISNUMBER(INDEX(상세표[근무일자],$U871)),TEXT(INDEX(상세표[근무일자],$U871),"yyyy-mm-dd"),INDEX(상세표[근무일자],$U871)&amp;""))</f>
        <v/>
      </c>
      <c r="N871">
        <f>IF($U871="","",IF(ISNUMBER(INDEX(상세표[시작],$U871)),TEXT(INDEX(상세표[시작],$U871),"yyyy-mm-dd hh:mm"),INDEX(상세표[시작],$U871)&amp;""))</f>
        <v/>
      </c>
      <c r="O871">
        <f>IF($U871="","",IF(ISNUMBER(INDEX(상세표[종료],$U871)),TEXT(INDEX(상세표[종료],$U871),"yyyy-mm-dd hh:mm"),INDEX(상세표[종료],$U871)&amp;""))</f>
        <v/>
      </c>
      <c r="P871" s="20">
        <f>IF($U871="","",INDEX(상세표[06~07시],$U871))</f>
        <v/>
      </c>
      <c r="Q871" s="20">
        <f>IF($U871="","",INDEX(상세표[07~18시],$U871))</f>
        <v/>
      </c>
      <c r="R871" s="20">
        <f>IF($U871="","",INDEX(상세표[18~22시],$U871))</f>
        <v/>
      </c>
      <c r="S871" s="20">
        <f>IF($U871="","",INDEX(상세표[22~06시],$U871))</f>
        <v/>
      </c>
      <c r="T871" s="20">
        <f>IF($U871="","",INDEX(상세표[기록 시간외],$U871))</f>
        <v/>
      </c>
      <c r="U871" s="4">
        <f>IFERROR(MATCH(866,상세표[발송순번],0),"")</f>
        <v/>
      </c>
    </row>
    <row r="872">
      <c r="J872">
        <f>IF($U872="","",INDEX(상세표[사번],$U872)&amp;"")</f>
        <v/>
      </c>
      <c r="K872">
        <f>IF($U872="","",INDEX(상세표[성명],$U872)&amp;"")</f>
        <v/>
      </c>
      <c r="L872">
        <f>IF($U872="","",INDEX(상세표[직위],$U872)&amp;"")</f>
        <v/>
      </c>
      <c r="M872">
        <f>IF($U872="","",IF(ISNUMBER(INDEX(상세표[근무일자],$U872)),TEXT(INDEX(상세표[근무일자],$U872),"yyyy-mm-dd"),INDEX(상세표[근무일자],$U872)&amp;""))</f>
        <v/>
      </c>
      <c r="N872">
        <f>IF($U872="","",IF(ISNUMBER(INDEX(상세표[시작],$U872)),TEXT(INDEX(상세표[시작],$U872),"yyyy-mm-dd hh:mm"),INDEX(상세표[시작],$U872)&amp;""))</f>
        <v/>
      </c>
      <c r="O872">
        <f>IF($U872="","",IF(ISNUMBER(INDEX(상세표[종료],$U872)),TEXT(INDEX(상세표[종료],$U872),"yyyy-mm-dd hh:mm"),INDEX(상세표[종료],$U872)&amp;""))</f>
        <v/>
      </c>
      <c r="P872" s="20">
        <f>IF($U872="","",INDEX(상세표[06~07시],$U872))</f>
        <v/>
      </c>
      <c r="Q872" s="20">
        <f>IF($U872="","",INDEX(상세표[07~18시],$U872))</f>
        <v/>
      </c>
      <c r="R872" s="20">
        <f>IF($U872="","",INDEX(상세표[18~22시],$U872))</f>
        <v/>
      </c>
      <c r="S872" s="20">
        <f>IF($U872="","",INDEX(상세표[22~06시],$U872))</f>
        <v/>
      </c>
      <c r="T872" s="20">
        <f>IF($U872="","",INDEX(상세표[기록 시간외],$U872))</f>
        <v/>
      </c>
      <c r="U872" s="4">
        <f>IFERROR(MATCH(867,상세표[발송순번],0),"")</f>
        <v/>
      </c>
    </row>
    <row r="873">
      <c r="J873">
        <f>IF($U873="","",INDEX(상세표[사번],$U873)&amp;"")</f>
        <v/>
      </c>
      <c r="K873">
        <f>IF($U873="","",INDEX(상세표[성명],$U873)&amp;"")</f>
        <v/>
      </c>
      <c r="L873">
        <f>IF($U873="","",INDEX(상세표[직위],$U873)&amp;"")</f>
        <v/>
      </c>
      <c r="M873">
        <f>IF($U873="","",IF(ISNUMBER(INDEX(상세표[근무일자],$U873)),TEXT(INDEX(상세표[근무일자],$U873),"yyyy-mm-dd"),INDEX(상세표[근무일자],$U873)&amp;""))</f>
        <v/>
      </c>
      <c r="N873">
        <f>IF($U873="","",IF(ISNUMBER(INDEX(상세표[시작],$U873)),TEXT(INDEX(상세표[시작],$U873),"yyyy-mm-dd hh:mm"),INDEX(상세표[시작],$U873)&amp;""))</f>
        <v/>
      </c>
      <c r="O873">
        <f>IF($U873="","",IF(ISNUMBER(INDEX(상세표[종료],$U873)),TEXT(INDEX(상세표[종료],$U873),"yyyy-mm-dd hh:mm"),INDEX(상세표[종료],$U873)&amp;""))</f>
        <v/>
      </c>
      <c r="P873" s="20">
        <f>IF($U873="","",INDEX(상세표[06~07시],$U873))</f>
        <v/>
      </c>
      <c r="Q873" s="20">
        <f>IF($U873="","",INDEX(상세표[07~18시],$U873))</f>
        <v/>
      </c>
      <c r="R873" s="20">
        <f>IF($U873="","",INDEX(상세표[18~22시],$U873))</f>
        <v/>
      </c>
      <c r="S873" s="20">
        <f>IF($U873="","",INDEX(상세표[22~06시],$U873))</f>
        <v/>
      </c>
      <c r="T873" s="20">
        <f>IF($U873="","",INDEX(상세표[기록 시간외],$U873))</f>
        <v/>
      </c>
      <c r="U873" s="4">
        <f>IFERROR(MATCH(868,상세표[발송순번],0),"")</f>
        <v/>
      </c>
    </row>
    <row r="874">
      <c r="J874">
        <f>IF($U874="","",INDEX(상세표[사번],$U874)&amp;"")</f>
        <v/>
      </c>
      <c r="K874">
        <f>IF($U874="","",INDEX(상세표[성명],$U874)&amp;"")</f>
        <v/>
      </c>
      <c r="L874">
        <f>IF($U874="","",INDEX(상세표[직위],$U874)&amp;"")</f>
        <v/>
      </c>
      <c r="M874">
        <f>IF($U874="","",IF(ISNUMBER(INDEX(상세표[근무일자],$U874)),TEXT(INDEX(상세표[근무일자],$U874),"yyyy-mm-dd"),INDEX(상세표[근무일자],$U874)&amp;""))</f>
        <v/>
      </c>
      <c r="N874">
        <f>IF($U874="","",IF(ISNUMBER(INDEX(상세표[시작],$U874)),TEXT(INDEX(상세표[시작],$U874),"yyyy-mm-dd hh:mm"),INDEX(상세표[시작],$U874)&amp;""))</f>
        <v/>
      </c>
      <c r="O874">
        <f>IF($U874="","",IF(ISNUMBER(INDEX(상세표[종료],$U874)),TEXT(INDEX(상세표[종료],$U874),"yyyy-mm-dd hh:mm"),INDEX(상세표[종료],$U874)&amp;""))</f>
        <v/>
      </c>
      <c r="P874" s="20">
        <f>IF($U874="","",INDEX(상세표[06~07시],$U874))</f>
        <v/>
      </c>
      <c r="Q874" s="20">
        <f>IF($U874="","",INDEX(상세표[07~18시],$U874))</f>
        <v/>
      </c>
      <c r="R874" s="20">
        <f>IF($U874="","",INDEX(상세표[18~22시],$U874))</f>
        <v/>
      </c>
      <c r="S874" s="20">
        <f>IF($U874="","",INDEX(상세표[22~06시],$U874))</f>
        <v/>
      </c>
      <c r="T874" s="20">
        <f>IF($U874="","",INDEX(상세표[기록 시간외],$U874))</f>
        <v/>
      </c>
      <c r="U874" s="4">
        <f>IFERROR(MATCH(869,상세표[발송순번],0),"")</f>
        <v/>
      </c>
    </row>
    <row r="875">
      <c r="J875">
        <f>IF($U875="","",INDEX(상세표[사번],$U875)&amp;"")</f>
        <v/>
      </c>
      <c r="K875">
        <f>IF($U875="","",INDEX(상세표[성명],$U875)&amp;"")</f>
        <v/>
      </c>
      <c r="L875">
        <f>IF($U875="","",INDEX(상세표[직위],$U875)&amp;"")</f>
        <v/>
      </c>
      <c r="M875">
        <f>IF($U875="","",IF(ISNUMBER(INDEX(상세표[근무일자],$U875)),TEXT(INDEX(상세표[근무일자],$U875),"yyyy-mm-dd"),INDEX(상세표[근무일자],$U875)&amp;""))</f>
        <v/>
      </c>
      <c r="N875">
        <f>IF($U875="","",IF(ISNUMBER(INDEX(상세표[시작],$U875)),TEXT(INDEX(상세표[시작],$U875),"yyyy-mm-dd hh:mm"),INDEX(상세표[시작],$U875)&amp;""))</f>
        <v/>
      </c>
      <c r="O875">
        <f>IF($U875="","",IF(ISNUMBER(INDEX(상세표[종료],$U875)),TEXT(INDEX(상세표[종료],$U875),"yyyy-mm-dd hh:mm"),INDEX(상세표[종료],$U875)&amp;""))</f>
        <v/>
      </c>
      <c r="P875" s="20">
        <f>IF($U875="","",INDEX(상세표[06~07시],$U875))</f>
        <v/>
      </c>
      <c r="Q875" s="20">
        <f>IF($U875="","",INDEX(상세표[07~18시],$U875))</f>
        <v/>
      </c>
      <c r="R875" s="20">
        <f>IF($U875="","",INDEX(상세표[18~22시],$U875))</f>
        <v/>
      </c>
      <c r="S875" s="20">
        <f>IF($U875="","",INDEX(상세표[22~06시],$U875))</f>
        <v/>
      </c>
      <c r="T875" s="20">
        <f>IF($U875="","",INDEX(상세표[기록 시간외],$U875))</f>
        <v/>
      </c>
      <c r="U875" s="4">
        <f>IFERROR(MATCH(870,상세표[발송순번],0),"")</f>
        <v/>
      </c>
    </row>
    <row r="876">
      <c r="J876">
        <f>IF($U876="","",INDEX(상세표[사번],$U876)&amp;"")</f>
        <v/>
      </c>
      <c r="K876">
        <f>IF($U876="","",INDEX(상세표[성명],$U876)&amp;"")</f>
        <v/>
      </c>
      <c r="L876">
        <f>IF($U876="","",INDEX(상세표[직위],$U876)&amp;"")</f>
        <v/>
      </c>
      <c r="M876">
        <f>IF($U876="","",IF(ISNUMBER(INDEX(상세표[근무일자],$U876)),TEXT(INDEX(상세표[근무일자],$U876),"yyyy-mm-dd"),INDEX(상세표[근무일자],$U876)&amp;""))</f>
        <v/>
      </c>
      <c r="N876">
        <f>IF($U876="","",IF(ISNUMBER(INDEX(상세표[시작],$U876)),TEXT(INDEX(상세표[시작],$U876),"yyyy-mm-dd hh:mm"),INDEX(상세표[시작],$U876)&amp;""))</f>
        <v/>
      </c>
      <c r="O876">
        <f>IF($U876="","",IF(ISNUMBER(INDEX(상세표[종료],$U876)),TEXT(INDEX(상세표[종료],$U876),"yyyy-mm-dd hh:mm"),INDEX(상세표[종료],$U876)&amp;""))</f>
        <v/>
      </c>
      <c r="P876" s="20">
        <f>IF($U876="","",INDEX(상세표[06~07시],$U876))</f>
        <v/>
      </c>
      <c r="Q876" s="20">
        <f>IF($U876="","",INDEX(상세표[07~18시],$U876))</f>
        <v/>
      </c>
      <c r="R876" s="20">
        <f>IF($U876="","",INDEX(상세표[18~22시],$U876))</f>
        <v/>
      </c>
      <c r="S876" s="20">
        <f>IF($U876="","",INDEX(상세표[22~06시],$U876))</f>
        <v/>
      </c>
      <c r="T876" s="20">
        <f>IF($U876="","",INDEX(상세표[기록 시간외],$U876))</f>
        <v/>
      </c>
      <c r="U876" s="4">
        <f>IFERROR(MATCH(871,상세표[발송순번],0),"")</f>
        <v/>
      </c>
    </row>
    <row r="877">
      <c r="J877">
        <f>IF($U877="","",INDEX(상세표[사번],$U877)&amp;"")</f>
        <v/>
      </c>
      <c r="K877">
        <f>IF($U877="","",INDEX(상세표[성명],$U877)&amp;"")</f>
        <v/>
      </c>
      <c r="L877">
        <f>IF($U877="","",INDEX(상세표[직위],$U877)&amp;"")</f>
        <v/>
      </c>
      <c r="M877">
        <f>IF($U877="","",IF(ISNUMBER(INDEX(상세표[근무일자],$U877)),TEXT(INDEX(상세표[근무일자],$U877),"yyyy-mm-dd"),INDEX(상세표[근무일자],$U877)&amp;""))</f>
        <v/>
      </c>
      <c r="N877">
        <f>IF($U877="","",IF(ISNUMBER(INDEX(상세표[시작],$U877)),TEXT(INDEX(상세표[시작],$U877),"yyyy-mm-dd hh:mm"),INDEX(상세표[시작],$U877)&amp;""))</f>
        <v/>
      </c>
      <c r="O877">
        <f>IF($U877="","",IF(ISNUMBER(INDEX(상세표[종료],$U877)),TEXT(INDEX(상세표[종료],$U877),"yyyy-mm-dd hh:mm"),INDEX(상세표[종료],$U877)&amp;""))</f>
        <v/>
      </c>
      <c r="P877" s="20">
        <f>IF($U877="","",INDEX(상세표[06~07시],$U877))</f>
        <v/>
      </c>
      <c r="Q877" s="20">
        <f>IF($U877="","",INDEX(상세표[07~18시],$U877))</f>
        <v/>
      </c>
      <c r="R877" s="20">
        <f>IF($U877="","",INDEX(상세표[18~22시],$U877))</f>
        <v/>
      </c>
      <c r="S877" s="20">
        <f>IF($U877="","",INDEX(상세표[22~06시],$U877))</f>
        <v/>
      </c>
      <c r="T877" s="20">
        <f>IF($U877="","",INDEX(상세표[기록 시간외],$U877))</f>
        <v/>
      </c>
      <c r="U877" s="4">
        <f>IFERROR(MATCH(872,상세표[발송순번],0),"")</f>
        <v/>
      </c>
    </row>
    <row r="878">
      <c r="J878">
        <f>IF($U878="","",INDEX(상세표[사번],$U878)&amp;"")</f>
        <v/>
      </c>
      <c r="K878">
        <f>IF($U878="","",INDEX(상세표[성명],$U878)&amp;"")</f>
        <v/>
      </c>
      <c r="L878">
        <f>IF($U878="","",INDEX(상세표[직위],$U878)&amp;"")</f>
        <v/>
      </c>
      <c r="M878">
        <f>IF($U878="","",IF(ISNUMBER(INDEX(상세표[근무일자],$U878)),TEXT(INDEX(상세표[근무일자],$U878),"yyyy-mm-dd"),INDEX(상세표[근무일자],$U878)&amp;""))</f>
        <v/>
      </c>
      <c r="N878">
        <f>IF($U878="","",IF(ISNUMBER(INDEX(상세표[시작],$U878)),TEXT(INDEX(상세표[시작],$U878),"yyyy-mm-dd hh:mm"),INDEX(상세표[시작],$U878)&amp;""))</f>
        <v/>
      </c>
      <c r="O878">
        <f>IF($U878="","",IF(ISNUMBER(INDEX(상세표[종료],$U878)),TEXT(INDEX(상세표[종료],$U878),"yyyy-mm-dd hh:mm"),INDEX(상세표[종료],$U878)&amp;""))</f>
        <v/>
      </c>
      <c r="P878" s="20">
        <f>IF($U878="","",INDEX(상세표[06~07시],$U878))</f>
        <v/>
      </c>
      <c r="Q878" s="20">
        <f>IF($U878="","",INDEX(상세표[07~18시],$U878))</f>
        <v/>
      </c>
      <c r="R878" s="20">
        <f>IF($U878="","",INDEX(상세표[18~22시],$U878))</f>
        <v/>
      </c>
      <c r="S878" s="20">
        <f>IF($U878="","",INDEX(상세표[22~06시],$U878))</f>
        <v/>
      </c>
      <c r="T878" s="20">
        <f>IF($U878="","",INDEX(상세표[기록 시간외],$U878))</f>
        <v/>
      </c>
      <c r="U878" s="4">
        <f>IFERROR(MATCH(873,상세표[발송순번],0),"")</f>
        <v/>
      </c>
    </row>
    <row r="879">
      <c r="J879">
        <f>IF($U879="","",INDEX(상세표[사번],$U879)&amp;"")</f>
        <v/>
      </c>
      <c r="K879">
        <f>IF($U879="","",INDEX(상세표[성명],$U879)&amp;"")</f>
        <v/>
      </c>
      <c r="L879">
        <f>IF($U879="","",INDEX(상세표[직위],$U879)&amp;"")</f>
        <v/>
      </c>
      <c r="M879">
        <f>IF($U879="","",IF(ISNUMBER(INDEX(상세표[근무일자],$U879)),TEXT(INDEX(상세표[근무일자],$U879),"yyyy-mm-dd"),INDEX(상세표[근무일자],$U879)&amp;""))</f>
        <v/>
      </c>
      <c r="N879">
        <f>IF($U879="","",IF(ISNUMBER(INDEX(상세표[시작],$U879)),TEXT(INDEX(상세표[시작],$U879),"yyyy-mm-dd hh:mm"),INDEX(상세표[시작],$U879)&amp;""))</f>
        <v/>
      </c>
      <c r="O879">
        <f>IF($U879="","",IF(ISNUMBER(INDEX(상세표[종료],$U879)),TEXT(INDEX(상세표[종료],$U879),"yyyy-mm-dd hh:mm"),INDEX(상세표[종료],$U879)&amp;""))</f>
        <v/>
      </c>
      <c r="P879" s="20">
        <f>IF($U879="","",INDEX(상세표[06~07시],$U879))</f>
        <v/>
      </c>
      <c r="Q879" s="20">
        <f>IF($U879="","",INDEX(상세표[07~18시],$U879))</f>
        <v/>
      </c>
      <c r="R879" s="20">
        <f>IF($U879="","",INDEX(상세표[18~22시],$U879))</f>
        <v/>
      </c>
      <c r="S879" s="20">
        <f>IF($U879="","",INDEX(상세표[22~06시],$U879))</f>
        <v/>
      </c>
      <c r="T879" s="20">
        <f>IF($U879="","",INDEX(상세표[기록 시간외],$U879))</f>
        <v/>
      </c>
      <c r="U879" s="4">
        <f>IFERROR(MATCH(874,상세표[발송순번],0),"")</f>
        <v/>
      </c>
    </row>
    <row r="880">
      <c r="J880">
        <f>IF($U880="","",INDEX(상세표[사번],$U880)&amp;"")</f>
        <v/>
      </c>
      <c r="K880">
        <f>IF($U880="","",INDEX(상세표[성명],$U880)&amp;"")</f>
        <v/>
      </c>
      <c r="L880">
        <f>IF($U880="","",INDEX(상세표[직위],$U880)&amp;"")</f>
        <v/>
      </c>
      <c r="M880">
        <f>IF($U880="","",IF(ISNUMBER(INDEX(상세표[근무일자],$U880)),TEXT(INDEX(상세표[근무일자],$U880),"yyyy-mm-dd"),INDEX(상세표[근무일자],$U880)&amp;""))</f>
        <v/>
      </c>
      <c r="N880">
        <f>IF($U880="","",IF(ISNUMBER(INDEX(상세표[시작],$U880)),TEXT(INDEX(상세표[시작],$U880),"yyyy-mm-dd hh:mm"),INDEX(상세표[시작],$U880)&amp;""))</f>
        <v/>
      </c>
      <c r="O880">
        <f>IF($U880="","",IF(ISNUMBER(INDEX(상세표[종료],$U880)),TEXT(INDEX(상세표[종료],$U880),"yyyy-mm-dd hh:mm"),INDEX(상세표[종료],$U880)&amp;""))</f>
        <v/>
      </c>
      <c r="P880" s="20">
        <f>IF($U880="","",INDEX(상세표[06~07시],$U880))</f>
        <v/>
      </c>
      <c r="Q880" s="20">
        <f>IF($U880="","",INDEX(상세표[07~18시],$U880))</f>
        <v/>
      </c>
      <c r="R880" s="20">
        <f>IF($U880="","",INDEX(상세표[18~22시],$U880))</f>
        <v/>
      </c>
      <c r="S880" s="20">
        <f>IF($U880="","",INDEX(상세표[22~06시],$U880))</f>
        <v/>
      </c>
      <c r="T880" s="20">
        <f>IF($U880="","",INDEX(상세표[기록 시간외],$U880))</f>
        <v/>
      </c>
      <c r="U880" s="4">
        <f>IFERROR(MATCH(875,상세표[발송순번],0),"")</f>
        <v/>
      </c>
    </row>
    <row r="881">
      <c r="J881">
        <f>IF($U881="","",INDEX(상세표[사번],$U881)&amp;"")</f>
        <v/>
      </c>
      <c r="K881">
        <f>IF($U881="","",INDEX(상세표[성명],$U881)&amp;"")</f>
        <v/>
      </c>
      <c r="L881">
        <f>IF($U881="","",INDEX(상세표[직위],$U881)&amp;"")</f>
        <v/>
      </c>
      <c r="M881">
        <f>IF($U881="","",IF(ISNUMBER(INDEX(상세표[근무일자],$U881)),TEXT(INDEX(상세표[근무일자],$U881),"yyyy-mm-dd"),INDEX(상세표[근무일자],$U881)&amp;""))</f>
        <v/>
      </c>
      <c r="N881">
        <f>IF($U881="","",IF(ISNUMBER(INDEX(상세표[시작],$U881)),TEXT(INDEX(상세표[시작],$U881),"yyyy-mm-dd hh:mm"),INDEX(상세표[시작],$U881)&amp;""))</f>
        <v/>
      </c>
      <c r="O881">
        <f>IF($U881="","",IF(ISNUMBER(INDEX(상세표[종료],$U881)),TEXT(INDEX(상세표[종료],$U881),"yyyy-mm-dd hh:mm"),INDEX(상세표[종료],$U881)&amp;""))</f>
        <v/>
      </c>
      <c r="P881" s="20">
        <f>IF($U881="","",INDEX(상세표[06~07시],$U881))</f>
        <v/>
      </c>
      <c r="Q881" s="20">
        <f>IF($U881="","",INDEX(상세표[07~18시],$U881))</f>
        <v/>
      </c>
      <c r="R881" s="20">
        <f>IF($U881="","",INDEX(상세표[18~22시],$U881))</f>
        <v/>
      </c>
      <c r="S881" s="20">
        <f>IF($U881="","",INDEX(상세표[22~06시],$U881))</f>
        <v/>
      </c>
      <c r="T881" s="20">
        <f>IF($U881="","",INDEX(상세표[기록 시간외],$U881))</f>
        <v/>
      </c>
      <c r="U881" s="4">
        <f>IFERROR(MATCH(876,상세표[발송순번],0),"")</f>
        <v/>
      </c>
    </row>
    <row r="882">
      <c r="J882">
        <f>IF($U882="","",INDEX(상세표[사번],$U882)&amp;"")</f>
        <v/>
      </c>
      <c r="K882">
        <f>IF($U882="","",INDEX(상세표[성명],$U882)&amp;"")</f>
        <v/>
      </c>
      <c r="L882">
        <f>IF($U882="","",INDEX(상세표[직위],$U882)&amp;"")</f>
        <v/>
      </c>
      <c r="M882">
        <f>IF($U882="","",IF(ISNUMBER(INDEX(상세표[근무일자],$U882)),TEXT(INDEX(상세표[근무일자],$U882),"yyyy-mm-dd"),INDEX(상세표[근무일자],$U882)&amp;""))</f>
        <v/>
      </c>
      <c r="N882">
        <f>IF($U882="","",IF(ISNUMBER(INDEX(상세표[시작],$U882)),TEXT(INDEX(상세표[시작],$U882),"yyyy-mm-dd hh:mm"),INDEX(상세표[시작],$U882)&amp;""))</f>
        <v/>
      </c>
      <c r="O882">
        <f>IF($U882="","",IF(ISNUMBER(INDEX(상세표[종료],$U882)),TEXT(INDEX(상세표[종료],$U882),"yyyy-mm-dd hh:mm"),INDEX(상세표[종료],$U882)&amp;""))</f>
        <v/>
      </c>
      <c r="P882" s="20">
        <f>IF($U882="","",INDEX(상세표[06~07시],$U882))</f>
        <v/>
      </c>
      <c r="Q882" s="20">
        <f>IF($U882="","",INDEX(상세표[07~18시],$U882))</f>
        <v/>
      </c>
      <c r="R882" s="20">
        <f>IF($U882="","",INDEX(상세표[18~22시],$U882))</f>
        <v/>
      </c>
      <c r="S882" s="20">
        <f>IF($U882="","",INDEX(상세표[22~06시],$U882))</f>
        <v/>
      </c>
      <c r="T882" s="20">
        <f>IF($U882="","",INDEX(상세표[기록 시간외],$U882))</f>
        <v/>
      </c>
      <c r="U882" s="4">
        <f>IFERROR(MATCH(877,상세표[발송순번],0),"")</f>
        <v/>
      </c>
    </row>
    <row r="883">
      <c r="J883">
        <f>IF($U883="","",INDEX(상세표[사번],$U883)&amp;"")</f>
        <v/>
      </c>
      <c r="K883">
        <f>IF($U883="","",INDEX(상세표[성명],$U883)&amp;"")</f>
        <v/>
      </c>
      <c r="L883">
        <f>IF($U883="","",INDEX(상세표[직위],$U883)&amp;"")</f>
        <v/>
      </c>
      <c r="M883">
        <f>IF($U883="","",IF(ISNUMBER(INDEX(상세표[근무일자],$U883)),TEXT(INDEX(상세표[근무일자],$U883),"yyyy-mm-dd"),INDEX(상세표[근무일자],$U883)&amp;""))</f>
        <v/>
      </c>
      <c r="N883">
        <f>IF($U883="","",IF(ISNUMBER(INDEX(상세표[시작],$U883)),TEXT(INDEX(상세표[시작],$U883),"yyyy-mm-dd hh:mm"),INDEX(상세표[시작],$U883)&amp;""))</f>
        <v/>
      </c>
      <c r="O883">
        <f>IF($U883="","",IF(ISNUMBER(INDEX(상세표[종료],$U883)),TEXT(INDEX(상세표[종료],$U883),"yyyy-mm-dd hh:mm"),INDEX(상세표[종료],$U883)&amp;""))</f>
        <v/>
      </c>
      <c r="P883" s="20">
        <f>IF($U883="","",INDEX(상세표[06~07시],$U883))</f>
        <v/>
      </c>
      <c r="Q883" s="20">
        <f>IF($U883="","",INDEX(상세표[07~18시],$U883))</f>
        <v/>
      </c>
      <c r="R883" s="20">
        <f>IF($U883="","",INDEX(상세표[18~22시],$U883))</f>
        <v/>
      </c>
      <c r="S883" s="20">
        <f>IF($U883="","",INDEX(상세표[22~06시],$U883))</f>
        <v/>
      </c>
      <c r="T883" s="20">
        <f>IF($U883="","",INDEX(상세표[기록 시간외],$U883))</f>
        <v/>
      </c>
      <c r="U883" s="4">
        <f>IFERROR(MATCH(878,상세표[발송순번],0),"")</f>
        <v/>
      </c>
    </row>
    <row r="884">
      <c r="J884">
        <f>IF($U884="","",INDEX(상세표[사번],$U884)&amp;"")</f>
        <v/>
      </c>
      <c r="K884">
        <f>IF($U884="","",INDEX(상세표[성명],$U884)&amp;"")</f>
        <v/>
      </c>
      <c r="L884">
        <f>IF($U884="","",INDEX(상세표[직위],$U884)&amp;"")</f>
        <v/>
      </c>
      <c r="M884">
        <f>IF($U884="","",IF(ISNUMBER(INDEX(상세표[근무일자],$U884)),TEXT(INDEX(상세표[근무일자],$U884),"yyyy-mm-dd"),INDEX(상세표[근무일자],$U884)&amp;""))</f>
        <v/>
      </c>
      <c r="N884">
        <f>IF($U884="","",IF(ISNUMBER(INDEX(상세표[시작],$U884)),TEXT(INDEX(상세표[시작],$U884),"yyyy-mm-dd hh:mm"),INDEX(상세표[시작],$U884)&amp;""))</f>
        <v/>
      </c>
      <c r="O884">
        <f>IF($U884="","",IF(ISNUMBER(INDEX(상세표[종료],$U884)),TEXT(INDEX(상세표[종료],$U884),"yyyy-mm-dd hh:mm"),INDEX(상세표[종료],$U884)&amp;""))</f>
        <v/>
      </c>
      <c r="P884" s="20">
        <f>IF($U884="","",INDEX(상세표[06~07시],$U884))</f>
        <v/>
      </c>
      <c r="Q884" s="20">
        <f>IF($U884="","",INDEX(상세표[07~18시],$U884))</f>
        <v/>
      </c>
      <c r="R884" s="20">
        <f>IF($U884="","",INDEX(상세표[18~22시],$U884))</f>
        <v/>
      </c>
      <c r="S884" s="20">
        <f>IF($U884="","",INDEX(상세표[22~06시],$U884))</f>
        <v/>
      </c>
      <c r="T884" s="20">
        <f>IF($U884="","",INDEX(상세표[기록 시간외],$U884))</f>
        <v/>
      </c>
      <c r="U884" s="4">
        <f>IFERROR(MATCH(879,상세표[발송순번],0),"")</f>
        <v/>
      </c>
    </row>
    <row r="885">
      <c r="J885">
        <f>IF($U885="","",INDEX(상세표[사번],$U885)&amp;"")</f>
        <v/>
      </c>
      <c r="K885">
        <f>IF($U885="","",INDEX(상세표[성명],$U885)&amp;"")</f>
        <v/>
      </c>
      <c r="L885">
        <f>IF($U885="","",INDEX(상세표[직위],$U885)&amp;"")</f>
        <v/>
      </c>
      <c r="M885">
        <f>IF($U885="","",IF(ISNUMBER(INDEX(상세표[근무일자],$U885)),TEXT(INDEX(상세표[근무일자],$U885),"yyyy-mm-dd"),INDEX(상세표[근무일자],$U885)&amp;""))</f>
        <v/>
      </c>
      <c r="N885">
        <f>IF($U885="","",IF(ISNUMBER(INDEX(상세표[시작],$U885)),TEXT(INDEX(상세표[시작],$U885),"yyyy-mm-dd hh:mm"),INDEX(상세표[시작],$U885)&amp;""))</f>
        <v/>
      </c>
      <c r="O885">
        <f>IF($U885="","",IF(ISNUMBER(INDEX(상세표[종료],$U885)),TEXT(INDEX(상세표[종료],$U885),"yyyy-mm-dd hh:mm"),INDEX(상세표[종료],$U885)&amp;""))</f>
        <v/>
      </c>
      <c r="P885" s="20">
        <f>IF($U885="","",INDEX(상세표[06~07시],$U885))</f>
        <v/>
      </c>
      <c r="Q885" s="20">
        <f>IF($U885="","",INDEX(상세표[07~18시],$U885))</f>
        <v/>
      </c>
      <c r="R885" s="20">
        <f>IF($U885="","",INDEX(상세표[18~22시],$U885))</f>
        <v/>
      </c>
      <c r="S885" s="20">
        <f>IF($U885="","",INDEX(상세표[22~06시],$U885))</f>
        <v/>
      </c>
      <c r="T885" s="20">
        <f>IF($U885="","",INDEX(상세표[기록 시간외],$U885))</f>
        <v/>
      </c>
      <c r="U885" s="4">
        <f>IFERROR(MATCH(880,상세표[발송순번],0),"")</f>
        <v/>
      </c>
    </row>
    <row r="886">
      <c r="J886">
        <f>IF($U886="","",INDEX(상세표[사번],$U886)&amp;"")</f>
        <v/>
      </c>
      <c r="K886">
        <f>IF($U886="","",INDEX(상세표[성명],$U886)&amp;"")</f>
        <v/>
      </c>
      <c r="L886">
        <f>IF($U886="","",INDEX(상세표[직위],$U886)&amp;"")</f>
        <v/>
      </c>
      <c r="M886">
        <f>IF($U886="","",IF(ISNUMBER(INDEX(상세표[근무일자],$U886)),TEXT(INDEX(상세표[근무일자],$U886),"yyyy-mm-dd"),INDEX(상세표[근무일자],$U886)&amp;""))</f>
        <v/>
      </c>
      <c r="N886">
        <f>IF($U886="","",IF(ISNUMBER(INDEX(상세표[시작],$U886)),TEXT(INDEX(상세표[시작],$U886),"yyyy-mm-dd hh:mm"),INDEX(상세표[시작],$U886)&amp;""))</f>
        <v/>
      </c>
      <c r="O886">
        <f>IF($U886="","",IF(ISNUMBER(INDEX(상세표[종료],$U886)),TEXT(INDEX(상세표[종료],$U886),"yyyy-mm-dd hh:mm"),INDEX(상세표[종료],$U886)&amp;""))</f>
        <v/>
      </c>
      <c r="P886" s="20">
        <f>IF($U886="","",INDEX(상세표[06~07시],$U886))</f>
        <v/>
      </c>
      <c r="Q886" s="20">
        <f>IF($U886="","",INDEX(상세표[07~18시],$U886))</f>
        <v/>
      </c>
      <c r="R886" s="20">
        <f>IF($U886="","",INDEX(상세표[18~22시],$U886))</f>
        <v/>
      </c>
      <c r="S886" s="20">
        <f>IF($U886="","",INDEX(상세표[22~06시],$U886))</f>
        <v/>
      </c>
      <c r="T886" s="20">
        <f>IF($U886="","",INDEX(상세표[기록 시간외],$U886))</f>
        <v/>
      </c>
      <c r="U886" s="4">
        <f>IFERROR(MATCH(881,상세표[발송순번],0),"")</f>
        <v/>
      </c>
    </row>
    <row r="887">
      <c r="J887">
        <f>IF($U887="","",INDEX(상세표[사번],$U887)&amp;"")</f>
        <v/>
      </c>
      <c r="K887">
        <f>IF($U887="","",INDEX(상세표[성명],$U887)&amp;"")</f>
        <v/>
      </c>
      <c r="L887">
        <f>IF($U887="","",INDEX(상세표[직위],$U887)&amp;"")</f>
        <v/>
      </c>
      <c r="M887">
        <f>IF($U887="","",IF(ISNUMBER(INDEX(상세표[근무일자],$U887)),TEXT(INDEX(상세표[근무일자],$U887),"yyyy-mm-dd"),INDEX(상세표[근무일자],$U887)&amp;""))</f>
        <v/>
      </c>
      <c r="N887">
        <f>IF($U887="","",IF(ISNUMBER(INDEX(상세표[시작],$U887)),TEXT(INDEX(상세표[시작],$U887),"yyyy-mm-dd hh:mm"),INDEX(상세표[시작],$U887)&amp;""))</f>
        <v/>
      </c>
      <c r="O887">
        <f>IF($U887="","",IF(ISNUMBER(INDEX(상세표[종료],$U887)),TEXT(INDEX(상세표[종료],$U887),"yyyy-mm-dd hh:mm"),INDEX(상세표[종료],$U887)&amp;""))</f>
        <v/>
      </c>
      <c r="P887" s="20">
        <f>IF($U887="","",INDEX(상세표[06~07시],$U887))</f>
        <v/>
      </c>
      <c r="Q887" s="20">
        <f>IF($U887="","",INDEX(상세표[07~18시],$U887))</f>
        <v/>
      </c>
      <c r="R887" s="20">
        <f>IF($U887="","",INDEX(상세표[18~22시],$U887))</f>
        <v/>
      </c>
      <c r="S887" s="20">
        <f>IF($U887="","",INDEX(상세표[22~06시],$U887))</f>
        <v/>
      </c>
      <c r="T887" s="20">
        <f>IF($U887="","",INDEX(상세표[기록 시간외],$U887))</f>
        <v/>
      </c>
      <c r="U887" s="4">
        <f>IFERROR(MATCH(882,상세표[발송순번],0),"")</f>
        <v/>
      </c>
    </row>
    <row r="888">
      <c r="J888">
        <f>IF($U888="","",INDEX(상세표[사번],$U888)&amp;"")</f>
        <v/>
      </c>
      <c r="K888">
        <f>IF($U888="","",INDEX(상세표[성명],$U888)&amp;"")</f>
        <v/>
      </c>
      <c r="L888">
        <f>IF($U888="","",INDEX(상세표[직위],$U888)&amp;"")</f>
        <v/>
      </c>
      <c r="M888">
        <f>IF($U888="","",IF(ISNUMBER(INDEX(상세표[근무일자],$U888)),TEXT(INDEX(상세표[근무일자],$U888),"yyyy-mm-dd"),INDEX(상세표[근무일자],$U888)&amp;""))</f>
        <v/>
      </c>
      <c r="N888">
        <f>IF($U888="","",IF(ISNUMBER(INDEX(상세표[시작],$U888)),TEXT(INDEX(상세표[시작],$U888),"yyyy-mm-dd hh:mm"),INDEX(상세표[시작],$U888)&amp;""))</f>
        <v/>
      </c>
      <c r="O888">
        <f>IF($U888="","",IF(ISNUMBER(INDEX(상세표[종료],$U888)),TEXT(INDEX(상세표[종료],$U888),"yyyy-mm-dd hh:mm"),INDEX(상세표[종료],$U888)&amp;""))</f>
        <v/>
      </c>
      <c r="P888" s="20">
        <f>IF($U888="","",INDEX(상세표[06~07시],$U888))</f>
        <v/>
      </c>
      <c r="Q888" s="20">
        <f>IF($U888="","",INDEX(상세표[07~18시],$U888))</f>
        <v/>
      </c>
      <c r="R888" s="20">
        <f>IF($U888="","",INDEX(상세표[18~22시],$U888))</f>
        <v/>
      </c>
      <c r="S888" s="20">
        <f>IF($U888="","",INDEX(상세표[22~06시],$U888))</f>
        <v/>
      </c>
      <c r="T888" s="20">
        <f>IF($U888="","",INDEX(상세표[기록 시간외],$U888))</f>
        <v/>
      </c>
      <c r="U888" s="4">
        <f>IFERROR(MATCH(883,상세표[발송순번],0),"")</f>
        <v/>
      </c>
    </row>
    <row r="889">
      <c r="J889">
        <f>IF($U889="","",INDEX(상세표[사번],$U889)&amp;"")</f>
        <v/>
      </c>
      <c r="K889">
        <f>IF($U889="","",INDEX(상세표[성명],$U889)&amp;"")</f>
        <v/>
      </c>
      <c r="L889">
        <f>IF($U889="","",INDEX(상세표[직위],$U889)&amp;"")</f>
        <v/>
      </c>
      <c r="M889">
        <f>IF($U889="","",IF(ISNUMBER(INDEX(상세표[근무일자],$U889)),TEXT(INDEX(상세표[근무일자],$U889),"yyyy-mm-dd"),INDEX(상세표[근무일자],$U889)&amp;""))</f>
        <v/>
      </c>
      <c r="N889">
        <f>IF($U889="","",IF(ISNUMBER(INDEX(상세표[시작],$U889)),TEXT(INDEX(상세표[시작],$U889),"yyyy-mm-dd hh:mm"),INDEX(상세표[시작],$U889)&amp;""))</f>
        <v/>
      </c>
      <c r="O889">
        <f>IF($U889="","",IF(ISNUMBER(INDEX(상세표[종료],$U889)),TEXT(INDEX(상세표[종료],$U889),"yyyy-mm-dd hh:mm"),INDEX(상세표[종료],$U889)&amp;""))</f>
        <v/>
      </c>
      <c r="P889" s="20">
        <f>IF($U889="","",INDEX(상세표[06~07시],$U889))</f>
        <v/>
      </c>
      <c r="Q889" s="20">
        <f>IF($U889="","",INDEX(상세표[07~18시],$U889))</f>
        <v/>
      </c>
      <c r="R889" s="20">
        <f>IF($U889="","",INDEX(상세표[18~22시],$U889))</f>
        <v/>
      </c>
      <c r="S889" s="20">
        <f>IF($U889="","",INDEX(상세표[22~06시],$U889))</f>
        <v/>
      </c>
      <c r="T889" s="20">
        <f>IF($U889="","",INDEX(상세표[기록 시간외],$U889))</f>
        <v/>
      </c>
      <c r="U889" s="4">
        <f>IFERROR(MATCH(884,상세표[발송순번],0),"")</f>
        <v/>
      </c>
    </row>
    <row r="890">
      <c r="J890">
        <f>IF($U890="","",INDEX(상세표[사번],$U890)&amp;"")</f>
        <v/>
      </c>
      <c r="K890">
        <f>IF($U890="","",INDEX(상세표[성명],$U890)&amp;"")</f>
        <v/>
      </c>
      <c r="L890">
        <f>IF($U890="","",INDEX(상세표[직위],$U890)&amp;"")</f>
        <v/>
      </c>
      <c r="M890">
        <f>IF($U890="","",IF(ISNUMBER(INDEX(상세표[근무일자],$U890)),TEXT(INDEX(상세표[근무일자],$U890),"yyyy-mm-dd"),INDEX(상세표[근무일자],$U890)&amp;""))</f>
        <v/>
      </c>
      <c r="N890">
        <f>IF($U890="","",IF(ISNUMBER(INDEX(상세표[시작],$U890)),TEXT(INDEX(상세표[시작],$U890),"yyyy-mm-dd hh:mm"),INDEX(상세표[시작],$U890)&amp;""))</f>
        <v/>
      </c>
      <c r="O890">
        <f>IF($U890="","",IF(ISNUMBER(INDEX(상세표[종료],$U890)),TEXT(INDEX(상세표[종료],$U890),"yyyy-mm-dd hh:mm"),INDEX(상세표[종료],$U890)&amp;""))</f>
        <v/>
      </c>
      <c r="P890" s="20">
        <f>IF($U890="","",INDEX(상세표[06~07시],$U890))</f>
        <v/>
      </c>
      <c r="Q890" s="20">
        <f>IF($U890="","",INDEX(상세표[07~18시],$U890))</f>
        <v/>
      </c>
      <c r="R890" s="20">
        <f>IF($U890="","",INDEX(상세표[18~22시],$U890))</f>
        <v/>
      </c>
      <c r="S890" s="20">
        <f>IF($U890="","",INDEX(상세표[22~06시],$U890))</f>
        <v/>
      </c>
      <c r="T890" s="20">
        <f>IF($U890="","",INDEX(상세표[기록 시간외],$U890))</f>
        <v/>
      </c>
      <c r="U890" s="4">
        <f>IFERROR(MATCH(885,상세표[발송순번],0),"")</f>
        <v/>
      </c>
    </row>
    <row r="891">
      <c r="J891">
        <f>IF($U891="","",INDEX(상세표[사번],$U891)&amp;"")</f>
        <v/>
      </c>
      <c r="K891">
        <f>IF($U891="","",INDEX(상세표[성명],$U891)&amp;"")</f>
        <v/>
      </c>
      <c r="L891">
        <f>IF($U891="","",INDEX(상세표[직위],$U891)&amp;"")</f>
        <v/>
      </c>
      <c r="M891">
        <f>IF($U891="","",IF(ISNUMBER(INDEX(상세표[근무일자],$U891)),TEXT(INDEX(상세표[근무일자],$U891),"yyyy-mm-dd"),INDEX(상세표[근무일자],$U891)&amp;""))</f>
        <v/>
      </c>
      <c r="N891">
        <f>IF($U891="","",IF(ISNUMBER(INDEX(상세표[시작],$U891)),TEXT(INDEX(상세표[시작],$U891),"yyyy-mm-dd hh:mm"),INDEX(상세표[시작],$U891)&amp;""))</f>
        <v/>
      </c>
      <c r="O891">
        <f>IF($U891="","",IF(ISNUMBER(INDEX(상세표[종료],$U891)),TEXT(INDEX(상세표[종료],$U891),"yyyy-mm-dd hh:mm"),INDEX(상세표[종료],$U891)&amp;""))</f>
        <v/>
      </c>
      <c r="P891" s="20">
        <f>IF($U891="","",INDEX(상세표[06~07시],$U891))</f>
        <v/>
      </c>
      <c r="Q891" s="20">
        <f>IF($U891="","",INDEX(상세표[07~18시],$U891))</f>
        <v/>
      </c>
      <c r="R891" s="20">
        <f>IF($U891="","",INDEX(상세표[18~22시],$U891))</f>
        <v/>
      </c>
      <c r="S891" s="20">
        <f>IF($U891="","",INDEX(상세표[22~06시],$U891))</f>
        <v/>
      </c>
      <c r="T891" s="20">
        <f>IF($U891="","",INDEX(상세표[기록 시간외],$U891))</f>
        <v/>
      </c>
      <c r="U891" s="4">
        <f>IFERROR(MATCH(886,상세표[발송순번],0),"")</f>
        <v/>
      </c>
    </row>
    <row r="892">
      <c r="J892">
        <f>IF($U892="","",INDEX(상세표[사번],$U892)&amp;"")</f>
        <v/>
      </c>
      <c r="K892">
        <f>IF($U892="","",INDEX(상세표[성명],$U892)&amp;"")</f>
        <v/>
      </c>
      <c r="L892">
        <f>IF($U892="","",INDEX(상세표[직위],$U892)&amp;"")</f>
        <v/>
      </c>
      <c r="M892">
        <f>IF($U892="","",IF(ISNUMBER(INDEX(상세표[근무일자],$U892)),TEXT(INDEX(상세표[근무일자],$U892),"yyyy-mm-dd"),INDEX(상세표[근무일자],$U892)&amp;""))</f>
        <v/>
      </c>
      <c r="N892">
        <f>IF($U892="","",IF(ISNUMBER(INDEX(상세표[시작],$U892)),TEXT(INDEX(상세표[시작],$U892),"yyyy-mm-dd hh:mm"),INDEX(상세표[시작],$U892)&amp;""))</f>
        <v/>
      </c>
      <c r="O892">
        <f>IF($U892="","",IF(ISNUMBER(INDEX(상세표[종료],$U892)),TEXT(INDEX(상세표[종료],$U892),"yyyy-mm-dd hh:mm"),INDEX(상세표[종료],$U892)&amp;""))</f>
        <v/>
      </c>
      <c r="P892" s="20">
        <f>IF($U892="","",INDEX(상세표[06~07시],$U892))</f>
        <v/>
      </c>
      <c r="Q892" s="20">
        <f>IF($U892="","",INDEX(상세표[07~18시],$U892))</f>
        <v/>
      </c>
      <c r="R892" s="20">
        <f>IF($U892="","",INDEX(상세표[18~22시],$U892))</f>
        <v/>
      </c>
      <c r="S892" s="20">
        <f>IF($U892="","",INDEX(상세표[22~06시],$U892))</f>
        <v/>
      </c>
      <c r="T892" s="20">
        <f>IF($U892="","",INDEX(상세표[기록 시간외],$U892))</f>
        <v/>
      </c>
      <c r="U892" s="4">
        <f>IFERROR(MATCH(887,상세표[발송순번],0),"")</f>
        <v/>
      </c>
    </row>
    <row r="893">
      <c r="J893">
        <f>IF($U893="","",INDEX(상세표[사번],$U893)&amp;"")</f>
        <v/>
      </c>
      <c r="K893">
        <f>IF($U893="","",INDEX(상세표[성명],$U893)&amp;"")</f>
        <v/>
      </c>
      <c r="L893">
        <f>IF($U893="","",INDEX(상세표[직위],$U893)&amp;"")</f>
        <v/>
      </c>
      <c r="M893">
        <f>IF($U893="","",IF(ISNUMBER(INDEX(상세표[근무일자],$U893)),TEXT(INDEX(상세표[근무일자],$U893),"yyyy-mm-dd"),INDEX(상세표[근무일자],$U893)&amp;""))</f>
        <v/>
      </c>
      <c r="N893">
        <f>IF($U893="","",IF(ISNUMBER(INDEX(상세표[시작],$U893)),TEXT(INDEX(상세표[시작],$U893),"yyyy-mm-dd hh:mm"),INDEX(상세표[시작],$U893)&amp;""))</f>
        <v/>
      </c>
      <c r="O893">
        <f>IF($U893="","",IF(ISNUMBER(INDEX(상세표[종료],$U893)),TEXT(INDEX(상세표[종료],$U893),"yyyy-mm-dd hh:mm"),INDEX(상세표[종료],$U893)&amp;""))</f>
        <v/>
      </c>
      <c r="P893" s="20">
        <f>IF($U893="","",INDEX(상세표[06~07시],$U893))</f>
        <v/>
      </c>
      <c r="Q893" s="20">
        <f>IF($U893="","",INDEX(상세표[07~18시],$U893))</f>
        <v/>
      </c>
      <c r="R893" s="20">
        <f>IF($U893="","",INDEX(상세표[18~22시],$U893))</f>
        <v/>
      </c>
      <c r="S893" s="20">
        <f>IF($U893="","",INDEX(상세표[22~06시],$U893))</f>
        <v/>
      </c>
      <c r="T893" s="20">
        <f>IF($U893="","",INDEX(상세표[기록 시간외],$U893))</f>
        <v/>
      </c>
      <c r="U893" s="4">
        <f>IFERROR(MATCH(888,상세표[발송순번],0),"")</f>
        <v/>
      </c>
    </row>
    <row r="894">
      <c r="J894">
        <f>IF($U894="","",INDEX(상세표[사번],$U894)&amp;"")</f>
        <v/>
      </c>
      <c r="K894">
        <f>IF($U894="","",INDEX(상세표[성명],$U894)&amp;"")</f>
        <v/>
      </c>
      <c r="L894">
        <f>IF($U894="","",INDEX(상세표[직위],$U894)&amp;"")</f>
        <v/>
      </c>
      <c r="M894">
        <f>IF($U894="","",IF(ISNUMBER(INDEX(상세표[근무일자],$U894)),TEXT(INDEX(상세표[근무일자],$U894),"yyyy-mm-dd"),INDEX(상세표[근무일자],$U894)&amp;""))</f>
        <v/>
      </c>
      <c r="N894">
        <f>IF($U894="","",IF(ISNUMBER(INDEX(상세표[시작],$U894)),TEXT(INDEX(상세표[시작],$U894),"yyyy-mm-dd hh:mm"),INDEX(상세표[시작],$U894)&amp;""))</f>
        <v/>
      </c>
      <c r="O894">
        <f>IF($U894="","",IF(ISNUMBER(INDEX(상세표[종료],$U894)),TEXT(INDEX(상세표[종료],$U894),"yyyy-mm-dd hh:mm"),INDEX(상세표[종료],$U894)&amp;""))</f>
        <v/>
      </c>
      <c r="P894" s="20">
        <f>IF($U894="","",INDEX(상세표[06~07시],$U894))</f>
        <v/>
      </c>
      <c r="Q894" s="20">
        <f>IF($U894="","",INDEX(상세표[07~18시],$U894))</f>
        <v/>
      </c>
      <c r="R894" s="20">
        <f>IF($U894="","",INDEX(상세표[18~22시],$U894))</f>
        <v/>
      </c>
      <c r="S894" s="20">
        <f>IF($U894="","",INDEX(상세표[22~06시],$U894))</f>
        <v/>
      </c>
      <c r="T894" s="20">
        <f>IF($U894="","",INDEX(상세표[기록 시간외],$U894))</f>
        <v/>
      </c>
      <c r="U894" s="4">
        <f>IFERROR(MATCH(889,상세표[발송순번],0),"")</f>
        <v/>
      </c>
    </row>
    <row r="895">
      <c r="J895">
        <f>IF($U895="","",INDEX(상세표[사번],$U895)&amp;"")</f>
        <v/>
      </c>
      <c r="K895">
        <f>IF($U895="","",INDEX(상세표[성명],$U895)&amp;"")</f>
        <v/>
      </c>
      <c r="L895">
        <f>IF($U895="","",INDEX(상세표[직위],$U895)&amp;"")</f>
        <v/>
      </c>
      <c r="M895">
        <f>IF($U895="","",IF(ISNUMBER(INDEX(상세표[근무일자],$U895)),TEXT(INDEX(상세표[근무일자],$U895),"yyyy-mm-dd"),INDEX(상세표[근무일자],$U895)&amp;""))</f>
        <v/>
      </c>
      <c r="N895">
        <f>IF($U895="","",IF(ISNUMBER(INDEX(상세표[시작],$U895)),TEXT(INDEX(상세표[시작],$U895),"yyyy-mm-dd hh:mm"),INDEX(상세표[시작],$U895)&amp;""))</f>
        <v/>
      </c>
      <c r="O895">
        <f>IF($U895="","",IF(ISNUMBER(INDEX(상세표[종료],$U895)),TEXT(INDEX(상세표[종료],$U895),"yyyy-mm-dd hh:mm"),INDEX(상세표[종료],$U895)&amp;""))</f>
        <v/>
      </c>
      <c r="P895" s="20">
        <f>IF($U895="","",INDEX(상세표[06~07시],$U895))</f>
        <v/>
      </c>
      <c r="Q895" s="20">
        <f>IF($U895="","",INDEX(상세표[07~18시],$U895))</f>
        <v/>
      </c>
      <c r="R895" s="20">
        <f>IF($U895="","",INDEX(상세표[18~22시],$U895))</f>
        <v/>
      </c>
      <c r="S895" s="20">
        <f>IF($U895="","",INDEX(상세표[22~06시],$U895))</f>
        <v/>
      </c>
      <c r="T895" s="20">
        <f>IF($U895="","",INDEX(상세표[기록 시간외],$U895))</f>
        <v/>
      </c>
      <c r="U895" s="4">
        <f>IFERROR(MATCH(890,상세표[발송순번],0),"")</f>
        <v/>
      </c>
    </row>
    <row r="896">
      <c r="J896">
        <f>IF($U896="","",INDEX(상세표[사번],$U896)&amp;"")</f>
        <v/>
      </c>
      <c r="K896">
        <f>IF($U896="","",INDEX(상세표[성명],$U896)&amp;"")</f>
        <v/>
      </c>
      <c r="L896">
        <f>IF($U896="","",INDEX(상세표[직위],$U896)&amp;"")</f>
        <v/>
      </c>
      <c r="M896">
        <f>IF($U896="","",IF(ISNUMBER(INDEX(상세표[근무일자],$U896)),TEXT(INDEX(상세표[근무일자],$U896),"yyyy-mm-dd"),INDEX(상세표[근무일자],$U896)&amp;""))</f>
        <v/>
      </c>
      <c r="N896">
        <f>IF($U896="","",IF(ISNUMBER(INDEX(상세표[시작],$U896)),TEXT(INDEX(상세표[시작],$U896),"yyyy-mm-dd hh:mm"),INDEX(상세표[시작],$U896)&amp;""))</f>
        <v/>
      </c>
      <c r="O896">
        <f>IF($U896="","",IF(ISNUMBER(INDEX(상세표[종료],$U896)),TEXT(INDEX(상세표[종료],$U896),"yyyy-mm-dd hh:mm"),INDEX(상세표[종료],$U896)&amp;""))</f>
        <v/>
      </c>
      <c r="P896" s="20">
        <f>IF($U896="","",INDEX(상세표[06~07시],$U896))</f>
        <v/>
      </c>
      <c r="Q896" s="20">
        <f>IF($U896="","",INDEX(상세표[07~18시],$U896))</f>
        <v/>
      </c>
      <c r="R896" s="20">
        <f>IF($U896="","",INDEX(상세표[18~22시],$U896))</f>
        <v/>
      </c>
      <c r="S896" s="20">
        <f>IF($U896="","",INDEX(상세표[22~06시],$U896))</f>
        <v/>
      </c>
      <c r="T896" s="20">
        <f>IF($U896="","",INDEX(상세표[기록 시간외],$U896))</f>
        <v/>
      </c>
      <c r="U896" s="4">
        <f>IFERROR(MATCH(891,상세표[발송순번],0),"")</f>
        <v/>
      </c>
    </row>
    <row r="897">
      <c r="J897">
        <f>IF($U897="","",INDEX(상세표[사번],$U897)&amp;"")</f>
        <v/>
      </c>
      <c r="K897">
        <f>IF($U897="","",INDEX(상세표[성명],$U897)&amp;"")</f>
        <v/>
      </c>
      <c r="L897">
        <f>IF($U897="","",INDEX(상세표[직위],$U897)&amp;"")</f>
        <v/>
      </c>
      <c r="M897">
        <f>IF($U897="","",IF(ISNUMBER(INDEX(상세표[근무일자],$U897)),TEXT(INDEX(상세표[근무일자],$U897),"yyyy-mm-dd"),INDEX(상세표[근무일자],$U897)&amp;""))</f>
        <v/>
      </c>
      <c r="N897">
        <f>IF($U897="","",IF(ISNUMBER(INDEX(상세표[시작],$U897)),TEXT(INDEX(상세표[시작],$U897),"yyyy-mm-dd hh:mm"),INDEX(상세표[시작],$U897)&amp;""))</f>
        <v/>
      </c>
      <c r="O897">
        <f>IF($U897="","",IF(ISNUMBER(INDEX(상세표[종료],$U897)),TEXT(INDEX(상세표[종료],$U897),"yyyy-mm-dd hh:mm"),INDEX(상세표[종료],$U897)&amp;""))</f>
        <v/>
      </c>
      <c r="P897" s="20">
        <f>IF($U897="","",INDEX(상세표[06~07시],$U897))</f>
        <v/>
      </c>
      <c r="Q897" s="20">
        <f>IF($U897="","",INDEX(상세표[07~18시],$U897))</f>
        <v/>
      </c>
      <c r="R897" s="20">
        <f>IF($U897="","",INDEX(상세표[18~22시],$U897))</f>
        <v/>
      </c>
      <c r="S897" s="20">
        <f>IF($U897="","",INDEX(상세표[22~06시],$U897))</f>
        <v/>
      </c>
      <c r="T897" s="20">
        <f>IF($U897="","",INDEX(상세표[기록 시간외],$U897))</f>
        <v/>
      </c>
      <c r="U897" s="4">
        <f>IFERROR(MATCH(892,상세표[발송순번],0),"")</f>
        <v/>
      </c>
    </row>
    <row r="898">
      <c r="J898">
        <f>IF($U898="","",INDEX(상세표[사번],$U898)&amp;"")</f>
        <v/>
      </c>
      <c r="K898">
        <f>IF($U898="","",INDEX(상세표[성명],$U898)&amp;"")</f>
        <v/>
      </c>
      <c r="L898">
        <f>IF($U898="","",INDEX(상세표[직위],$U898)&amp;"")</f>
        <v/>
      </c>
      <c r="M898">
        <f>IF($U898="","",IF(ISNUMBER(INDEX(상세표[근무일자],$U898)),TEXT(INDEX(상세표[근무일자],$U898),"yyyy-mm-dd"),INDEX(상세표[근무일자],$U898)&amp;""))</f>
        <v/>
      </c>
      <c r="N898">
        <f>IF($U898="","",IF(ISNUMBER(INDEX(상세표[시작],$U898)),TEXT(INDEX(상세표[시작],$U898),"yyyy-mm-dd hh:mm"),INDEX(상세표[시작],$U898)&amp;""))</f>
        <v/>
      </c>
      <c r="O898">
        <f>IF($U898="","",IF(ISNUMBER(INDEX(상세표[종료],$U898)),TEXT(INDEX(상세표[종료],$U898),"yyyy-mm-dd hh:mm"),INDEX(상세표[종료],$U898)&amp;""))</f>
        <v/>
      </c>
      <c r="P898" s="20">
        <f>IF($U898="","",INDEX(상세표[06~07시],$U898))</f>
        <v/>
      </c>
      <c r="Q898" s="20">
        <f>IF($U898="","",INDEX(상세표[07~18시],$U898))</f>
        <v/>
      </c>
      <c r="R898" s="20">
        <f>IF($U898="","",INDEX(상세표[18~22시],$U898))</f>
        <v/>
      </c>
      <c r="S898" s="20">
        <f>IF($U898="","",INDEX(상세표[22~06시],$U898))</f>
        <v/>
      </c>
      <c r="T898" s="20">
        <f>IF($U898="","",INDEX(상세표[기록 시간외],$U898))</f>
        <v/>
      </c>
      <c r="U898" s="4">
        <f>IFERROR(MATCH(893,상세표[발송순번],0),"")</f>
        <v/>
      </c>
    </row>
    <row r="899">
      <c r="J899">
        <f>IF($U899="","",INDEX(상세표[사번],$U899)&amp;"")</f>
        <v/>
      </c>
      <c r="K899">
        <f>IF($U899="","",INDEX(상세표[성명],$U899)&amp;"")</f>
        <v/>
      </c>
      <c r="L899">
        <f>IF($U899="","",INDEX(상세표[직위],$U899)&amp;"")</f>
        <v/>
      </c>
      <c r="M899">
        <f>IF($U899="","",IF(ISNUMBER(INDEX(상세표[근무일자],$U899)),TEXT(INDEX(상세표[근무일자],$U899),"yyyy-mm-dd"),INDEX(상세표[근무일자],$U899)&amp;""))</f>
        <v/>
      </c>
      <c r="N899">
        <f>IF($U899="","",IF(ISNUMBER(INDEX(상세표[시작],$U899)),TEXT(INDEX(상세표[시작],$U899),"yyyy-mm-dd hh:mm"),INDEX(상세표[시작],$U899)&amp;""))</f>
        <v/>
      </c>
      <c r="O899">
        <f>IF($U899="","",IF(ISNUMBER(INDEX(상세표[종료],$U899)),TEXT(INDEX(상세표[종료],$U899),"yyyy-mm-dd hh:mm"),INDEX(상세표[종료],$U899)&amp;""))</f>
        <v/>
      </c>
      <c r="P899" s="20">
        <f>IF($U899="","",INDEX(상세표[06~07시],$U899))</f>
        <v/>
      </c>
      <c r="Q899" s="20">
        <f>IF($U899="","",INDEX(상세표[07~18시],$U899))</f>
        <v/>
      </c>
      <c r="R899" s="20">
        <f>IF($U899="","",INDEX(상세표[18~22시],$U899))</f>
        <v/>
      </c>
      <c r="S899" s="20">
        <f>IF($U899="","",INDEX(상세표[22~06시],$U899))</f>
        <v/>
      </c>
      <c r="T899" s="20">
        <f>IF($U899="","",INDEX(상세표[기록 시간외],$U899))</f>
        <v/>
      </c>
      <c r="U899" s="4">
        <f>IFERROR(MATCH(894,상세표[발송순번],0),"")</f>
        <v/>
      </c>
    </row>
    <row r="900">
      <c r="J900">
        <f>IF($U900="","",INDEX(상세표[사번],$U900)&amp;"")</f>
        <v/>
      </c>
      <c r="K900">
        <f>IF($U900="","",INDEX(상세표[성명],$U900)&amp;"")</f>
        <v/>
      </c>
      <c r="L900">
        <f>IF($U900="","",INDEX(상세표[직위],$U900)&amp;"")</f>
        <v/>
      </c>
      <c r="M900">
        <f>IF($U900="","",IF(ISNUMBER(INDEX(상세표[근무일자],$U900)),TEXT(INDEX(상세표[근무일자],$U900),"yyyy-mm-dd"),INDEX(상세표[근무일자],$U900)&amp;""))</f>
        <v/>
      </c>
      <c r="N900">
        <f>IF($U900="","",IF(ISNUMBER(INDEX(상세표[시작],$U900)),TEXT(INDEX(상세표[시작],$U900),"yyyy-mm-dd hh:mm"),INDEX(상세표[시작],$U900)&amp;""))</f>
        <v/>
      </c>
      <c r="O900">
        <f>IF($U900="","",IF(ISNUMBER(INDEX(상세표[종료],$U900)),TEXT(INDEX(상세표[종료],$U900),"yyyy-mm-dd hh:mm"),INDEX(상세표[종료],$U900)&amp;""))</f>
        <v/>
      </c>
      <c r="P900" s="20">
        <f>IF($U900="","",INDEX(상세표[06~07시],$U900))</f>
        <v/>
      </c>
      <c r="Q900" s="20">
        <f>IF($U900="","",INDEX(상세표[07~18시],$U900))</f>
        <v/>
      </c>
      <c r="R900" s="20">
        <f>IF($U900="","",INDEX(상세표[18~22시],$U900))</f>
        <v/>
      </c>
      <c r="S900" s="20">
        <f>IF($U900="","",INDEX(상세표[22~06시],$U900))</f>
        <v/>
      </c>
      <c r="T900" s="20">
        <f>IF($U900="","",INDEX(상세표[기록 시간외],$U900))</f>
        <v/>
      </c>
      <c r="U900" s="4">
        <f>IFERROR(MATCH(895,상세표[발송순번],0),"")</f>
        <v/>
      </c>
    </row>
    <row r="901">
      <c r="J901">
        <f>IF($U901="","",INDEX(상세표[사번],$U901)&amp;"")</f>
        <v/>
      </c>
      <c r="K901">
        <f>IF($U901="","",INDEX(상세표[성명],$U901)&amp;"")</f>
        <v/>
      </c>
      <c r="L901">
        <f>IF($U901="","",INDEX(상세표[직위],$U901)&amp;"")</f>
        <v/>
      </c>
      <c r="M901">
        <f>IF($U901="","",IF(ISNUMBER(INDEX(상세표[근무일자],$U901)),TEXT(INDEX(상세표[근무일자],$U901),"yyyy-mm-dd"),INDEX(상세표[근무일자],$U901)&amp;""))</f>
        <v/>
      </c>
      <c r="N901">
        <f>IF($U901="","",IF(ISNUMBER(INDEX(상세표[시작],$U901)),TEXT(INDEX(상세표[시작],$U901),"yyyy-mm-dd hh:mm"),INDEX(상세표[시작],$U901)&amp;""))</f>
        <v/>
      </c>
      <c r="O901">
        <f>IF($U901="","",IF(ISNUMBER(INDEX(상세표[종료],$U901)),TEXT(INDEX(상세표[종료],$U901),"yyyy-mm-dd hh:mm"),INDEX(상세표[종료],$U901)&amp;""))</f>
        <v/>
      </c>
      <c r="P901" s="20">
        <f>IF($U901="","",INDEX(상세표[06~07시],$U901))</f>
        <v/>
      </c>
      <c r="Q901" s="20">
        <f>IF($U901="","",INDEX(상세표[07~18시],$U901))</f>
        <v/>
      </c>
      <c r="R901" s="20">
        <f>IF($U901="","",INDEX(상세표[18~22시],$U901))</f>
        <v/>
      </c>
      <c r="S901" s="20">
        <f>IF($U901="","",INDEX(상세표[22~06시],$U901))</f>
        <v/>
      </c>
      <c r="T901" s="20">
        <f>IF($U901="","",INDEX(상세표[기록 시간외],$U901))</f>
        <v/>
      </c>
      <c r="U901" s="4">
        <f>IFERROR(MATCH(896,상세표[발송순번],0),"")</f>
        <v/>
      </c>
    </row>
    <row r="902">
      <c r="J902">
        <f>IF($U902="","",INDEX(상세표[사번],$U902)&amp;"")</f>
        <v/>
      </c>
      <c r="K902">
        <f>IF($U902="","",INDEX(상세표[성명],$U902)&amp;"")</f>
        <v/>
      </c>
      <c r="L902">
        <f>IF($U902="","",INDEX(상세표[직위],$U902)&amp;"")</f>
        <v/>
      </c>
      <c r="M902">
        <f>IF($U902="","",IF(ISNUMBER(INDEX(상세표[근무일자],$U902)),TEXT(INDEX(상세표[근무일자],$U902),"yyyy-mm-dd"),INDEX(상세표[근무일자],$U902)&amp;""))</f>
        <v/>
      </c>
      <c r="N902">
        <f>IF($U902="","",IF(ISNUMBER(INDEX(상세표[시작],$U902)),TEXT(INDEX(상세표[시작],$U902),"yyyy-mm-dd hh:mm"),INDEX(상세표[시작],$U902)&amp;""))</f>
        <v/>
      </c>
      <c r="O902">
        <f>IF($U902="","",IF(ISNUMBER(INDEX(상세표[종료],$U902)),TEXT(INDEX(상세표[종료],$U902),"yyyy-mm-dd hh:mm"),INDEX(상세표[종료],$U902)&amp;""))</f>
        <v/>
      </c>
      <c r="P902" s="20">
        <f>IF($U902="","",INDEX(상세표[06~07시],$U902))</f>
        <v/>
      </c>
      <c r="Q902" s="20">
        <f>IF($U902="","",INDEX(상세표[07~18시],$U902))</f>
        <v/>
      </c>
      <c r="R902" s="20">
        <f>IF($U902="","",INDEX(상세표[18~22시],$U902))</f>
        <v/>
      </c>
      <c r="S902" s="20">
        <f>IF($U902="","",INDEX(상세표[22~06시],$U902))</f>
        <v/>
      </c>
      <c r="T902" s="20">
        <f>IF($U902="","",INDEX(상세표[기록 시간외],$U902))</f>
        <v/>
      </c>
      <c r="U902" s="4">
        <f>IFERROR(MATCH(897,상세표[발송순번],0),"")</f>
        <v/>
      </c>
    </row>
    <row r="903">
      <c r="J903">
        <f>IF($U903="","",INDEX(상세표[사번],$U903)&amp;"")</f>
        <v/>
      </c>
      <c r="K903">
        <f>IF($U903="","",INDEX(상세표[성명],$U903)&amp;"")</f>
        <v/>
      </c>
      <c r="L903">
        <f>IF($U903="","",INDEX(상세표[직위],$U903)&amp;"")</f>
        <v/>
      </c>
      <c r="M903">
        <f>IF($U903="","",IF(ISNUMBER(INDEX(상세표[근무일자],$U903)),TEXT(INDEX(상세표[근무일자],$U903),"yyyy-mm-dd"),INDEX(상세표[근무일자],$U903)&amp;""))</f>
        <v/>
      </c>
      <c r="N903">
        <f>IF($U903="","",IF(ISNUMBER(INDEX(상세표[시작],$U903)),TEXT(INDEX(상세표[시작],$U903),"yyyy-mm-dd hh:mm"),INDEX(상세표[시작],$U903)&amp;""))</f>
        <v/>
      </c>
      <c r="O903">
        <f>IF($U903="","",IF(ISNUMBER(INDEX(상세표[종료],$U903)),TEXT(INDEX(상세표[종료],$U903),"yyyy-mm-dd hh:mm"),INDEX(상세표[종료],$U903)&amp;""))</f>
        <v/>
      </c>
      <c r="P903" s="20">
        <f>IF($U903="","",INDEX(상세표[06~07시],$U903))</f>
        <v/>
      </c>
      <c r="Q903" s="20">
        <f>IF($U903="","",INDEX(상세표[07~18시],$U903))</f>
        <v/>
      </c>
      <c r="R903" s="20">
        <f>IF($U903="","",INDEX(상세표[18~22시],$U903))</f>
        <v/>
      </c>
      <c r="S903" s="20">
        <f>IF($U903="","",INDEX(상세표[22~06시],$U903))</f>
        <v/>
      </c>
      <c r="T903" s="20">
        <f>IF($U903="","",INDEX(상세표[기록 시간외],$U903))</f>
        <v/>
      </c>
      <c r="U903" s="4">
        <f>IFERROR(MATCH(898,상세표[발송순번],0),"")</f>
        <v/>
      </c>
    </row>
    <row r="904">
      <c r="J904">
        <f>IF($U904="","",INDEX(상세표[사번],$U904)&amp;"")</f>
        <v/>
      </c>
      <c r="K904">
        <f>IF($U904="","",INDEX(상세표[성명],$U904)&amp;"")</f>
        <v/>
      </c>
      <c r="L904">
        <f>IF($U904="","",INDEX(상세표[직위],$U904)&amp;"")</f>
        <v/>
      </c>
      <c r="M904">
        <f>IF($U904="","",IF(ISNUMBER(INDEX(상세표[근무일자],$U904)),TEXT(INDEX(상세표[근무일자],$U904),"yyyy-mm-dd"),INDEX(상세표[근무일자],$U904)&amp;""))</f>
        <v/>
      </c>
      <c r="N904">
        <f>IF($U904="","",IF(ISNUMBER(INDEX(상세표[시작],$U904)),TEXT(INDEX(상세표[시작],$U904),"yyyy-mm-dd hh:mm"),INDEX(상세표[시작],$U904)&amp;""))</f>
        <v/>
      </c>
      <c r="O904">
        <f>IF($U904="","",IF(ISNUMBER(INDEX(상세표[종료],$U904)),TEXT(INDEX(상세표[종료],$U904),"yyyy-mm-dd hh:mm"),INDEX(상세표[종료],$U904)&amp;""))</f>
        <v/>
      </c>
      <c r="P904" s="20">
        <f>IF($U904="","",INDEX(상세표[06~07시],$U904))</f>
        <v/>
      </c>
      <c r="Q904" s="20">
        <f>IF($U904="","",INDEX(상세표[07~18시],$U904))</f>
        <v/>
      </c>
      <c r="R904" s="20">
        <f>IF($U904="","",INDEX(상세표[18~22시],$U904))</f>
        <v/>
      </c>
      <c r="S904" s="20">
        <f>IF($U904="","",INDEX(상세표[22~06시],$U904))</f>
        <v/>
      </c>
      <c r="T904" s="20">
        <f>IF($U904="","",INDEX(상세표[기록 시간외],$U904))</f>
        <v/>
      </c>
      <c r="U904" s="4">
        <f>IFERROR(MATCH(899,상세표[발송순번],0),"")</f>
        <v/>
      </c>
    </row>
    <row r="905">
      <c r="J905">
        <f>IF($U905="","",INDEX(상세표[사번],$U905)&amp;"")</f>
        <v/>
      </c>
      <c r="K905">
        <f>IF($U905="","",INDEX(상세표[성명],$U905)&amp;"")</f>
        <v/>
      </c>
      <c r="L905">
        <f>IF($U905="","",INDEX(상세표[직위],$U905)&amp;"")</f>
        <v/>
      </c>
      <c r="M905">
        <f>IF($U905="","",IF(ISNUMBER(INDEX(상세표[근무일자],$U905)),TEXT(INDEX(상세표[근무일자],$U905),"yyyy-mm-dd"),INDEX(상세표[근무일자],$U905)&amp;""))</f>
        <v/>
      </c>
      <c r="N905">
        <f>IF($U905="","",IF(ISNUMBER(INDEX(상세표[시작],$U905)),TEXT(INDEX(상세표[시작],$U905),"yyyy-mm-dd hh:mm"),INDEX(상세표[시작],$U905)&amp;""))</f>
        <v/>
      </c>
      <c r="O905">
        <f>IF($U905="","",IF(ISNUMBER(INDEX(상세표[종료],$U905)),TEXT(INDEX(상세표[종료],$U905),"yyyy-mm-dd hh:mm"),INDEX(상세표[종료],$U905)&amp;""))</f>
        <v/>
      </c>
      <c r="P905" s="20">
        <f>IF($U905="","",INDEX(상세표[06~07시],$U905))</f>
        <v/>
      </c>
      <c r="Q905" s="20">
        <f>IF($U905="","",INDEX(상세표[07~18시],$U905))</f>
        <v/>
      </c>
      <c r="R905" s="20">
        <f>IF($U905="","",INDEX(상세표[18~22시],$U905))</f>
        <v/>
      </c>
      <c r="S905" s="20">
        <f>IF($U905="","",INDEX(상세표[22~06시],$U905))</f>
        <v/>
      </c>
      <c r="T905" s="20">
        <f>IF($U905="","",INDEX(상세표[기록 시간외],$U905))</f>
        <v/>
      </c>
      <c r="U905" s="4">
        <f>IFERROR(MATCH(900,상세표[발송순번],0),"")</f>
        <v/>
      </c>
    </row>
    <row r="906">
      <c r="J906">
        <f>IF($U906="","",INDEX(상세표[사번],$U906)&amp;"")</f>
        <v/>
      </c>
      <c r="K906">
        <f>IF($U906="","",INDEX(상세표[성명],$U906)&amp;"")</f>
        <v/>
      </c>
      <c r="L906">
        <f>IF($U906="","",INDEX(상세표[직위],$U906)&amp;"")</f>
        <v/>
      </c>
      <c r="M906">
        <f>IF($U906="","",IF(ISNUMBER(INDEX(상세표[근무일자],$U906)),TEXT(INDEX(상세표[근무일자],$U906),"yyyy-mm-dd"),INDEX(상세표[근무일자],$U906)&amp;""))</f>
        <v/>
      </c>
      <c r="N906">
        <f>IF($U906="","",IF(ISNUMBER(INDEX(상세표[시작],$U906)),TEXT(INDEX(상세표[시작],$U906),"yyyy-mm-dd hh:mm"),INDEX(상세표[시작],$U906)&amp;""))</f>
        <v/>
      </c>
      <c r="O906">
        <f>IF($U906="","",IF(ISNUMBER(INDEX(상세표[종료],$U906)),TEXT(INDEX(상세표[종료],$U906),"yyyy-mm-dd hh:mm"),INDEX(상세표[종료],$U906)&amp;""))</f>
        <v/>
      </c>
      <c r="P906" s="20">
        <f>IF($U906="","",INDEX(상세표[06~07시],$U906))</f>
        <v/>
      </c>
      <c r="Q906" s="20">
        <f>IF($U906="","",INDEX(상세표[07~18시],$U906))</f>
        <v/>
      </c>
      <c r="R906" s="20">
        <f>IF($U906="","",INDEX(상세표[18~22시],$U906))</f>
        <v/>
      </c>
      <c r="S906" s="20">
        <f>IF($U906="","",INDEX(상세표[22~06시],$U906))</f>
        <v/>
      </c>
      <c r="T906" s="20">
        <f>IF($U906="","",INDEX(상세표[기록 시간외],$U906))</f>
        <v/>
      </c>
      <c r="U906" s="4">
        <f>IFERROR(MATCH(901,상세표[발송순번],0),"")</f>
        <v/>
      </c>
    </row>
    <row r="907">
      <c r="J907">
        <f>IF($U907="","",INDEX(상세표[사번],$U907)&amp;"")</f>
        <v/>
      </c>
      <c r="K907">
        <f>IF($U907="","",INDEX(상세표[성명],$U907)&amp;"")</f>
        <v/>
      </c>
      <c r="L907">
        <f>IF($U907="","",INDEX(상세표[직위],$U907)&amp;"")</f>
        <v/>
      </c>
      <c r="M907">
        <f>IF($U907="","",IF(ISNUMBER(INDEX(상세표[근무일자],$U907)),TEXT(INDEX(상세표[근무일자],$U907),"yyyy-mm-dd"),INDEX(상세표[근무일자],$U907)&amp;""))</f>
        <v/>
      </c>
      <c r="N907">
        <f>IF($U907="","",IF(ISNUMBER(INDEX(상세표[시작],$U907)),TEXT(INDEX(상세표[시작],$U907),"yyyy-mm-dd hh:mm"),INDEX(상세표[시작],$U907)&amp;""))</f>
        <v/>
      </c>
      <c r="O907">
        <f>IF($U907="","",IF(ISNUMBER(INDEX(상세표[종료],$U907)),TEXT(INDEX(상세표[종료],$U907),"yyyy-mm-dd hh:mm"),INDEX(상세표[종료],$U907)&amp;""))</f>
        <v/>
      </c>
      <c r="P907" s="20">
        <f>IF($U907="","",INDEX(상세표[06~07시],$U907))</f>
        <v/>
      </c>
      <c r="Q907" s="20">
        <f>IF($U907="","",INDEX(상세표[07~18시],$U907))</f>
        <v/>
      </c>
      <c r="R907" s="20">
        <f>IF($U907="","",INDEX(상세표[18~22시],$U907))</f>
        <v/>
      </c>
      <c r="S907" s="20">
        <f>IF($U907="","",INDEX(상세표[22~06시],$U907))</f>
        <v/>
      </c>
      <c r="T907" s="20">
        <f>IF($U907="","",INDEX(상세표[기록 시간외],$U907))</f>
        <v/>
      </c>
      <c r="U907" s="4">
        <f>IFERROR(MATCH(902,상세표[발송순번],0),"")</f>
        <v/>
      </c>
    </row>
    <row r="908">
      <c r="J908">
        <f>IF($U908="","",INDEX(상세표[사번],$U908)&amp;"")</f>
        <v/>
      </c>
      <c r="K908">
        <f>IF($U908="","",INDEX(상세표[성명],$U908)&amp;"")</f>
        <v/>
      </c>
      <c r="L908">
        <f>IF($U908="","",INDEX(상세표[직위],$U908)&amp;"")</f>
        <v/>
      </c>
      <c r="M908">
        <f>IF($U908="","",IF(ISNUMBER(INDEX(상세표[근무일자],$U908)),TEXT(INDEX(상세표[근무일자],$U908),"yyyy-mm-dd"),INDEX(상세표[근무일자],$U908)&amp;""))</f>
        <v/>
      </c>
      <c r="N908">
        <f>IF($U908="","",IF(ISNUMBER(INDEX(상세표[시작],$U908)),TEXT(INDEX(상세표[시작],$U908),"yyyy-mm-dd hh:mm"),INDEX(상세표[시작],$U908)&amp;""))</f>
        <v/>
      </c>
      <c r="O908">
        <f>IF($U908="","",IF(ISNUMBER(INDEX(상세표[종료],$U908)),TEXT(INDEX(상세표[종료],$U908),"yyyy-mm-dd hh:mm"),INDEX(상세표[종료],$U908)&amp;""))</f>
        <v/>
      </c>
      <c r="P908" s="20">
        <f>IF($U908="","",INDEX(상세표[06~07시],$U908))</f>
        <v/>
      </c>
      <c r="Q908" s="20">
        <f>IF($U908="","",INDEX(상세표[07~18시],$U908))</f>
        <v/>
      </c>
      <c r="R908" s="20">
        <f>IF($U908="","",INDEX(상세표[18~22시],$U908))</f>
        <v/>
      </c>
      <c r="S908" s="20">
        <f>IF($U908="","",INDEX(상세표[22~06시],$U908))</f>
        <v/>
      </c>
      <c r="T908" s="20">
        <f>IF($U908="","",INDEX(상세표[기록 시간외],$U908))</f>
        <v/>
      </c>
      <c r="U908" s="4">
        <f>IFERROR(MATCH(903,상세표[발송순번],0),"")</f>
        <v/>
      </c>
    </row>
    <row r="909">
      <c r="J909">
        <f>IF($U909="","",INDEX(상세표[사번],$U909)&amp;"")</f>
        <v/>
      </c>
      <c r="K909">
        <f>IF($U909="","",INDEX(상세표[성명],$U909)&amp;"")</f>
        <v/>
      </c>
      <c r="L909">
        <f>IF($U909="","",INDEX(상세표[직위],$U909)&amp;"")</f>
        <v/>
      </c>
      <c r="M909">
        <f>IF($U909="","",IF(ISNUMBER(INDEX(상세표[근무일자],$U909)),TEXT(INDEX(상세표[근무일자],$U909),"yyyy-mm-dd"),INDEX(상세표[근무일자],$U909)&amp;""))</f>
        <v/>
      </c>
      <c r="N909">
        <f>IF($U909="","",IF(ISNUMBER(INDEX(상세표[시작],$U909)),TEXT(INDEX(상세표[시작],$U909),"yyyy-mm-dd hh:mm"),INDEX(상세표[시작],$U909)&amp;""))</f>
        <v/>
      </c>
      <c r="O909">
        <f>IF($U909="","",IF(ISNUMBER(INDEX(상세표[종료],$U909)),TEXT(INDEX(상세표[종료],$U909),"yyyy-mm-dd hh:mm"),INDEX(상세표[종료],$U909)&amp;""))</f>
        <v/>
      </c>
      <c r="P909" s="20">
        <f>IF($U909="","",INDEX(상세표[06~07시],$U909))</f>
        <v/>
      </c>
      <c r="Q909" s="20">
        <f>IF($U909="","",INDEX(상세표[07~18시],$U909))</f>
        <v/>
      </c>
      <c r="R909" s="20">
        <f>IF($U909="","",INDEX(상세표[18~22시],$U909))</f>
        <v/>
      </c>
      <c r="S909" s="20">
        <f>IF($U909="","",INDEX(상세표[22~06시],$U909))</f>
        <v/>
      </c>
      <c r="T909" s="20">
        <f>IF($U909="","",INDEX(상세표[기록 시간외],$U909))</f>
        <v/>
      </c>
      <c r="U909" s="4">
        <f>IFERROR(MATCH(904,상세표[발송순번],0),"")</f>
        <v/>
      </c>
    </row>
    <row r="910">
      <c r="J910">
        <f>IF($U910="","",INDEX(상세표[사번],$U910)&amp;"")</f>
        <v/>
      </c>
      <c r="K910">
        <f>IF($U910="","",INDEX(상세표[성명],$U910)&amp;"")</f>
        <v/>
      </c>
      <c r="L910">
        <f>IF($U910="","",INDEX(상세표[직위],$U910)&amp;"")</f>
        <v/>
      </c>
      <c r="M910">
        <f>IF($U910="","",IF(ISNUMBER(INDEX(상세표[근무일자],$U910)),TEXT(INDEX(상세표[근무일자],$U910),"yyyy-mm-dd"),INDEX(상세표[근무일자],$U910)&amp;""))</f>
        <v/>
      </c>
      <c r="N910">
        <f>IF($U910="","",IF(ISNUMBER(INDEX(상세표[시작],$U910)),TEXT(INDEX(상세표[시작],$U910),"yyyy-mm-dd hh:mm"),INDEX(상세표[시작],$U910)&amp;""))</f>
        <v/>
      </c>
      <c r="O910">
        <f>IF($U910="","",IF(ISNUMBER(INDEX(상세표[종료],$U910)),TEXT(INDEX(상세표[종료],$U910),"yyyy-mm-dd hh:mm"),INDEX(상세표[종료],$U910)&amp;""))</f>
        <v/>
      </c>
      <c r="P910" s="20">
        <f>IF($U910="","",INDEX(상세표[06~07시],$U910))</f>
        <v/>
      </c>
      <c r="Q910" s="20">
        <f>IF($U910="","",INDEX(상세표[07~18시],$U910))</f>
        <v/>
      </c>
      <c r="R910" s="20">
        <f>IF($U910="","",INDEX(상세표[18~22시],$U910))</f>
        <v/>
      </c>
      <c r="S910" s="20">
        <f>IF($U910="","",INDEX(상세표[22~06시],$U910))</f>
        <v/>
      </c>
      <c r="T910" s="20">
        <f>IF($U910="","",INDEX(상세표[기록 시간외],$U910))</f>
        <v/>
      </c>
      <c r="U910" s="4">
        <f>IFERROR(MATCH(905,상세표[발송순번],0),"")</f>
        <v/>
      </c>
    </row>
    <row r="911">
      <c r="J911">
        <f>IF($U911="","",INDEX(상세표[사번],$U911)&amp;"")</f>
        <v/>
      </c>
      <c r="K911">
        <f>IF($U911="","",INDEX(상세표[성명],$U911)&amp;"")</f>
        <v/>
      </c>
      <c r="L911">
        <f>IF($U911="","",INDEX(상세표[직위],$U911)&amp;"")</f>
        <v/>
      </c>
      <c r="M911">
        <f>IF($U911="","",IF(ISNUMBER(INDEX(상세표[근무일자],$U911)),TEXT(INDEX(상세표[근무일자],$U911),"yyyy-mm-dd"),INDEX(상세표[근무일자],$U911)&amp;""))</f>
        <v/>
      </c>
      <c r="N911">
        <f>IF($U911="","",IF(ISNUMBER(INDEX(상세표[시작],$U911)),TEXT(INDEX(상세표[시작],$U911),"yyyy-mm-dd hh:mm"),INDEX(상세표[시작],$U911)&amp;""))</f>
        <v/>
      </c>
      <c r="O911">
        <f>IF($U911="","",IF(ISNUMBER(INDEX(상세표[종료],$U911)),TEXT(INDEX(상세표[종료],$U911),"yyyy-mm-dd hh:mm"),INDEX(상세표[종료],$U911)&amp;""))</f>
        <v/>
      </c>
      <c r="P911" s="20">
        <f>IF($U911="","",INDEX(상세표[06~07시],$U911))</f>
        <v/>
      </c>
      <c r="Q911" s="20">
        <f>IF($U911="","",INDEX(상세표[07~18시],$U911))</f>
        <v/>
      </c>
      <c r="R911" s="20">
        <f>IF($U911="","",INDEX(상세표[18~22시],$U911))</f>
        <v/>
      </c>
      <c r="S911" s="20">
        <f>IF($U911="","",INDEX(상세표[22~06시],$U911))</f>
        <v/>
      </c>
      <c r="T911" s="20">
        <f>IF($U911="","",INDEX(상세표[기록 시간외],$U911))</f>
        <v/>
      </c>
      <c r="U911" s="4">
        <f>IFERROR(MATCH(906,상세표[발송순번],0),"")</f>
        <v/>
      </c>
    </row>
    <row r="912">
      <c r="J912">
        <f>IF($U912="","",INDEX(상세표[사번],$U912)&amp;"")</f>
        <v/>
      </c>
      <c r="K912">
        <f>IF($U912="","",INDEX(상세표[성명],$U912)&amp;"")</f>
        <v/>
      </c>
      <c r="L912">
        <f>IF($U912="","",INDEX(상세표[직위],$U912)&amp;"")</f>
        <v/>
      </c>
      <c r="M912">
        <f>IF($U912="","",IF(ISNUMBER(INDEX(상세표[근무일자],$U912)),TEXT(INDEX(상세표[근무일자],$U912),"yyyy-mm-dd"),INDEX(상세표[근무일자],$U912)&amp;""))</f>
        <v/>
      </c>
      <c r="N912">
        <f>IF($U912="","",IF(ISNUMBER(INDEX(상세표[시작],$U912)),TEXT(INDEX(상세표[시작],$U912),"yyyy-mm-dd hh:mm"),INDEX(상세표[시작],$U912)&amp;""))</f>
        <v/>
      </c>
      <c r="O912">
        <f>IF($U912="","",IF(ISNUMBER(INDEX(상세표[종료],$U912)),TEXT(INDEX(상세표[종료],$U912),"yyyy-mm-dd hh:mm"),INDEX(상세표[종료],$U912)&amp;""))</f>
        <v/>
      </c>
      <c r="P912" s="20">
        <f>IF($U912="","",INDEX(상세표[06~07시],$U912))</f>
        <v/>
      </c>
      <c r="Q912" s="20">
        <f>IF($U912="","",INDEX(상세표[07~18시],$U912))</f>
        <v/>
      </c>
      <c r="R912" s="20">
        <f>IF($U912="","",INDEX(상세표[18~22시],$U912))</f>
        <v/>
      </c>
      <c r="S912" s="20">
        <f>IF($U912="","",INDEX(상세표[22~06시],$U912))</f>
        <v/>
      </c>
      <c r="T912" s="20">
        <f>IF($U912="","",INDEX(상세표[기록 시간외],$U912))</f>
        <v/>
      </c>
      <c r="U912" s="4">
        <f>IFERROR(MATCH(907,상세표[발송순번],0),"")</f>
        <v/>
      </c>
    </row>
    <row r="913">
      <c r="J913">
        <f>IF($U913="","",INDEX(상세표[사번],$U913)&amp;"")</f>
        <v/>
      </c>
      <c r="K913">
        <f>IF($U913="","",INDEX(상세표[성명],$U913)&amp;"")</f>
        <v/>
      </c>
      <c r="L913">
        <f>IF($U913="","",INDEX(상세표[직위],$U913)&amp;"")</f>
        <v/>
      </c>
      <c r="M913">
        <f>IF($U913="","",IF(ISNUMBER(INDEX(상세표[근무일자],$U913)),TEXT(INDEX(상세표[근무일자],$U913),"yyyy-mm-dd"),INDEX(상세표[근무일자],$U913)&amp;""))</f>
        <v/>
      </c>
      <c r="N913">
        <f>IF($U913="","",IF(ISNUMBER(INDEX(상세표[시작],$U913)),TEXT(INDEX(상세표[시작],$U913),"yyyy-mm-dd hh:mm"),INDEX(상세표[시작],$U913)&amp;""))</f>
        <v/>
      </c>
      <c r="O913">
        <f>IF($U913="","",IF(ISNUMBER(INDEX(상세표[종료],$U913)),TEXT(INDEX(상세표[종료],$U913),"yyyy-mm-dd hh:mm"),INDEX(상세표[종료],$U913)&amp;""))</f>
        <v/>
      </c>
      <c r="P913" s="20">
        <f>IF($U913="","",INDEX(상세표[06~07시],$U913))</f>
        <v/>
      </c>
      <c r="Q913" s="20">
        <f>IF($U913="","",INDEX(상세표[07~18시],$U913))</f>
        <v/>
      </c>
      <c r="R913" s="20">
        <f>IF($U913="","",INDEX(상세표[18~22시],$U913))</f>
        <v/>
      </c>
      <c r="S913" s="20">
        <f>IF($U913="","",INDEX(상세표[22~06시],$U913))</f>
        <v/>
      </c>
      <c r="T913" s="20">
        <f>IF($U913="","",INDEX(상세표[기록 시간외],$U913))</f>
        <v/>
      </c>
      <c r="U913" s="4">
        <f>IFERROR(MATCH(908,상세표[발송순번],0),"")</f>
        <v/>
      </c>
    </row>
    <row r="914">
      <c r="J914">
        <f>IF($U914="","",INDEX(상세표[사번],$U914)&amp;"")</f>
        <v/>
      </c>
      <c r="K914">
        <f>IF($U914="","",INDEX(상세표[성명],$U914)&amp;"")</f>
        <v/>
      </c>
      <c r="L914">
        <f>IF($U914="","",INDEX(상세표[직위],$U914)&amp;"")</f>
        <v/>
      </c>
      <c r="M914">
        <f>IF($U914="","",IF(ISNUMBER(INDEX(상세표[근무일자],$U914)),TEXT(INDEX(상세표[근무일자],$U914),"yyyy-mm-dd"),INDEX(상세표[근무일자],$U914)&amp;""))</f>
        <v/>
      </c>
      <c r="N914">
        <f>IF($U914="","",IF(ISNUMBER(INDEX(상세표[시작],$U914)),TEXT(INDEX(상세표[시작],$U914),"yyyy-mm-dd hh:mm"),INDEX(상세표[시작],$U914)&amp;""))</f>
        <v/>
      </c>
      <c r="O914">
        <f>IF($U914="","",IF(ISNUMBER(INDEX(상세표[종료],$U914)),TEXT(INDEX(상세표[종료],$U914),"yyyy-mm-dd hh:mm"),INDEX(상세표[종료],$U914)&amp;""))</f>
        <v/>
      </c>
      <c r="P914" s="20">
        <f>IF($U914="","",INDEX(상세표[06~07시],$U914))</f>
        <v/>
      </c>
      <c r="Q914" s="20">
        <f>IF($U914="","",INDEX(상세표[07~18시],$U914))</f>
        <v/>
      </c>
      <c r="R914" s="20">
        <f>IF($U914="","",INDEX(상세표[18~22시],$U914))</f>
        <v/>
      </c>
      <c r="S914" s="20">
        <f>IF($U914="","",INDEX(상세표[22~06시],$U914))</f>
        <v/>
      </c>
      <c r="T914" s="20">
        <f>IF($U914="","",INDEX(상세표[기록 시간외],$U914))</f>
        <v/>
      </c>
      <c r="U914" s="4">
        <f>IFERROR(MATCH(909,상세표[발송순번],0),"")</f>
        <v/>
      </c>
    </row>
    <row r="915">
      <c r="J915">
        <f>IF($U915="","",INDEX(상세표[사번],$U915)&amp;"")</f>
        <v/>
      </c>
      <c r="K915">
        <f>IF($U915="","",INDEX(상세표[성명],$U915)&amp;"")</f>
        <v/>
      </c>
      <c r="L915">
        <f>IF($U915="","",INDEX(상세표[직위],$U915)&amp;"")</f>
        <v/>
      </c>
      <c r="M915">
        <f>IF($U915="","",IF(ISNUMBER(INDEX(상세표[근무일자],$U915)),TEXT(INDEX(상세표[근무일자],$U915),"yyyy-mm-dd"),INDEX(상세표[근무일자],$U915)&amp;""))</f>
        <v/>
      </c>
      <c r="N915">
        <f>IF($U915="","",IF(ISNUMBER(INDEX(상세표[시작],$U915)),TEXT(INDEX(상세표[시작],$U915),"yyyy-mm-dd hh:mm"),INDEX(상세표[시작],$U915)&amp;""))</f>
        <v/>
      </c>
      <c r="O915">
        <f>IF($U915="","",IF(ISNUMBER(INDEX(상세표[종료],$U915)),TEXT(INDEX(상세표[종료],$U915),"yyyy-mm-dd hh:mm"),INDEX(상세표[종료],$U915)&amp;""))</f>
        <v/>
      </c>
      <c r="P915" s="20">
        <f>IF($U915="","",INDEX(상세표[06~07시],$U915))</f>
        <v/>
      </c>
      <c r="Q915" s="20">
        <f>IF($U915="","",INDEX(상세표[07~18시],$U915))</f>
        <v/>
      </c>
      <c r="R915" s="20">
        <f>IF($U915="","",INDEX(상세표[18~22시],$U915))</f>
        <v/>
      </c>
      <c r="S915" s="20">
        <f>IF($U915="","",INDEX(상세표[22~06시],$U915))</f>
        <v/>
      </c>
      <c r="T915" s="20">
        <f>IF($U915="","",INDEX(상세표[기록 시간외],$U915))</f>
        <v/>
      </c>
      <c r="U915" s="4">
        <f>IFERROR(MATCH(910,상세표[발송순번],0),"")</f>
        <v/>
      </c>
    </row>
    <row r="916">
      <c r="J916">
        <f>IF($U916="","",INDEX(상세표[사번],$U916)&amp;"")</f>
        <v/>
      </c>
      <c r="K916">
        <f>IF($U916="","",INDEX(상세표[성명],$U916)&amp;"")</f>
        <v/>
      </c>
      <c r="L916">
        <f>IF($U916="","",INDEX(상세표[직위],$U916)&amp;"")</f>
        <v/>
      </c>
      <c r="M916">
        <f>IF($U916="","",IF(ISNUMBER(INDEX(상세표[근무일자],$U916)),TEXT(INDEX(상세표[근무일자],$U916),"yyyy-mm-dd"),INDEX(상세표[근무일자],$U916)&amp;""))</f>
        <v/>
      </c>
      <c r="N916">
        <f>IF($U916="","",IF(ISNUMBER(INDEX(상세표[시작],$U916)),TEXT(INDEX(상세표[시작],$U916),"yyyy-mm-dd hh:mm"),INDEX(상세표[시작],$U916)&amp;""))</f>
        <v/>
      </c>
      <c r="O916">
        <f>IF($U916="","",IF(ISNUMBER(INDEX(상세표[종료],$U916)),TEXT(INDEX(상세표[종료],$U916),"yyyy-mm-dd hh:mm"),INDEX(상세표[종료],$U916)&amp;""))</f>
        <v/>
      </c>
      <c r="P916" s="20">
        <f>IF($U916="","",INDEX(상세표[06~07시],$U916))</f>
        <v/>
      </c>
      <c r="Q916" s="20">
        <f>IF($U916="","",INDEX(상세표[07~18시],$U916))</f>
        <v/>
      </c>
      <c r="R916" s="20">
        <f>IF($U916="","",INDEX(상세표[18~22시],$U916))</f>
        <v/>
      </c>
      <c r="S916" s="20">
        <f>IF($U916="","",INDEX(상세표[22~06시],$U916))</f>
        <v/>
      </c>
      <c r="T916" s="20">
        <f>IF($U916="","",INDEX(상세표[기록 시간외],$U916))</f>
        <v/>
      </c>
      <c r="U916" s="4">
        <f>IFERROR(MATCH(911,상세표[발송순번],0),"")</f>
        <v/>
      </c>
    </row>
    <row r="917">
      <c r="J917">
        <f>IF($U917="","",INDEX(상세표[사번],$U917)&amp;"")</f>
        <v/>
      </c>
      <c r="K917">
        <f>IF($U917="","",INDEX(상세표[성명],$U917)&amp;"")</f>
        <v/>
      </c>
      <c r="L917">
        <f>IF($U917="","",INDEX(상세표[직위],$U917)&amp;"")</f>
        <v/>
      </c>
      <c r="M917">
        <f>IF($U917="","",IF(ISNUMBER(INDEX(상세표[근무일자],$U917)),TEXT(INDEX(상세표[근무일자],$U917),"yyyy-mm-dd"),INDEX(상세표[근무일자],$U917)&amp;""))</f>
        <v/>
      </c>
      <c r="N917">
        <f>IF($U917="","",IF(ISNUMBER(INDEX(상세표[시작],$U917)),TEXT(INDEX(상세표[시작],$U917),"yyyy-mm-dd hh:mm"),INDEX(상세표[시작],$U917)&amp;""))</f>
        <v/>
      </c>
      <c r="O917">
        <f>IF($U917="","",IF(ISNUMBER(INDEX(상세표[종료],$U917)),TEXT(INDEX(상세표[종료],$U917),"yyyy-mm-dd hh:mm"),INDEX(상세표[종료],$U917)&amp;""))</f>
        <v/>
      </c>
      <c r="P917" s="20">
        <f>IF($U917="","",INDEX(상세표[06~07시],$U917))</f>
        <v/>
      </c>
      <c r="Q917" s="20">
        <f>IF($U917="","",INDEX(상세표[07~18시],$U917))</f>
        <v/>
      </c>
      <c r="R917" s="20">
        <f>IF($U917="","",INDEX(상세표[18~22시],$U917))</f>
        <v/>
      </c>
      <c r="S917" s="20">
        <f>IF($U917="","",INDEX(상세표[22~06시],$U917))</f>
        <v/>
      </c>
      <c r="T917" s="20">
        <f>IF($U917="","",INDEX(상세표[기록 시간외],$U917))</f>
        <v/>
      </c>
      <c r="U917" s="4">
        <f>IFERROR(MATCH(912,상세표[발송순번],0),"")</f>
        <v/>
      </c>
    </row>
    <row r="918">
      <c r="J918">
        <f>IF($U918="","",INDEX(상세표[사번],$U918)&amp;"")</f>
        <v/>
      </c>
      <c r="K918">
        <f>IF($U918="","",INDEX(상세표[성명],$U918)&amp;"")</f>
        <v/>
      </c>
      <c r="L918">
        <f>IF($U918="","",INDEX(상세표[직위],$U918)&amp;"")</f>
        <v/>
      </c>
      <c r="M918">
        <f>IF($U918="","",IF(ISNUMBER(INDEX(상세표[근무일자],$U918)),TEXT(INDEX(상세표[근무일자],$U918),"yyyy-mm-dd"),INDEX(상세표[근무일자],$U918)&amp;""))</f>
        <v/>
      </c>
      <c r="N918">
        <f>IF($U918="","",IF(ISNUMBER(INDEX(상세표[시작],$U918)),TEXT(INDEX(상세표[시작],$U918),"yyyy-mm-dd hh:mm"),INDEX(상세표[시작],$U918)&amp;""))</f>
        <v/>
      </c>
      <c r="O918">
        <f>IF($U918="","",IF(ISNUMBER(INDEX(상세표[종료],$U918)),TEXT(INDEX(상세표[종료],$U918),"yyyy-mm-dd hh:mm"),INDEX(상세표[종료],$U918)&amp;""))</f>
        <v/>
      </c>
      <c r="P918" s="20">
        <f>IF($U918="","",INDEX(상세표[06~07시],$U918))</f>
        <v/>
      </c>
      <c r="Q918" s="20">
        <f>IF($U918="","",INDEX(상세표[07~18시],$U918))</f>
        <v/>
      </c>
      <c r="R918" s="20">
        <f>IF($U918="","",INDEX(상세표[18~22시],$U918))</f>
        <v/>
      </c>
      <c r="S918" s="20">
        <f>IF($U918="","",INDEX(상세표[22~06시],$U918))</f>
        <v/>
      </c>
      <c r="T918" s="20">
        <f>IF($U918="","",INDEX(상세표[기록 시간외],$U918))</f>
        <v/>
      </c>
      <c r="U918" s="4">
        <f>IFERROR(MATCH(913,상세표[발송순번],0),"")</f>
        <v/>
      </c>
    </row>
    <row r="919">
      <c r="J919">
        <f>IF($U919="","",INDEX(상세표[사번],$U919)&amp;"")</f>
        <v/>
      </c>
      <c r="K919">
        <f>IF($U919="","",INDEX(상세표[성명],$U919)&amp;"")</f>
        <v/>
      </c>
      <c r="L919">
        <f>IF($U919="","",INDEX(상세표[직위],$U919)&amp;"")</f>
        <v/>
      </c>
      <c r="M919">
        <f>IF($U919="","",IF(ISNUMBER(INDEX(상세표[근무일자],$U919)),TEXT(INDEX(상세표[근무일자],$U919),"yyyy-mm-dd"),INDEX(상세표[근무일자],$U919)&amp;""))</f>
        <v/>
      </c>
      <c r="N919">
        <f>IF($U919="","",IF(ISNUMBER(INDEX(상세표[시작],$U919)),TEXT(INDEX(상세표[시작],$U919),"yyyy-mm-dd hh:mm"),INDEX(상세표[시작],$U919)&amp;""))</f>
        <v/>
      </c>
      <c r="O919">
        <f>IF($U919="","",IF(ISNUMBER(INDEX(상세표[종료],$U919)),TEXT(INDEX(상세표[종료],$U919),"yyyy-mm-dd hh:mm"),INDEX(상세표[종료],$U919)&amp;""))</f>
        <v/>
      </c>
      <c r="P919" s="20">
        <f>IF($U919="","",INDEX(상세표[06~07시],$U919))</f>
        <v/>
      </c>
      <c r="Q919" s="20">
        <f>IF($U919="","",INDEX(상세표[07~18시],$U919))</f>
        <v/>
      </c>
      <c r="R919" s="20">
        <f>IF($U919="","",INDEX(상세표[18~22시],$U919))</f>
        <v/>
      </c>
      <c r="S919" s="20">
        <f>IF($U919="","",INDEX(상세표[22~06시],$U919))</f>
        <v/>
      </c>
      <c r="T919" s="20">
        <f>IF($U919="","",INDEX(상세표[기록 시간외],$U919))</f>
        <v/>
      </c>
      <c r="U919" s="4">
        <f>IFERROR(MATCH(914,상세표[발송순번],0),"")</f>
        <v/>
      </c>
    </row>
    <row r="920">
      <c r="J920">
        <f>IF($U920="","",INDEX(상세표[사번],$U920)&amp;"")</f>
        <v/>
      </c>
      <c r="K920">
        <f>IF($U920="","",INDEX(상세표[성명],$U920)&amp;"")</f>
        <v/>
      </c>
      <c r="L920">
        <f>IF($U920="","",INDEX(상세표[직위],$U920)&amp;"")</f>
        <v/>
      </c>
      <c r="M920">
        <f>IF($U920="","",IF(ISNUMBER(INDEX(상세표[근무일자],$U920)),TEXT(INDEX(상세표[근무일자],$U920),"yyyy-mm-dd"),INDEX(상세표[근무일자],$U920)&amp;""))</f>
        <v/>
      </c>
      <c r="N920">
        <f>IF($U920="","",IF(ISNUMBER(INDEX(상세표[시작],$U920)),TEXT(INDEX(상세표[시작],$U920),"yyyy-mm-dd hh:mm"),INDEX(상세표[시작],$U920)&amp;""))</f>
        <v/>
      </c>
      <c r="O920">
        <f>IF($U920="","",IF(ISNUMBER(INDEX(상세표[종료],$U920)),TEXT(INDEX(상세표[종료],$U920),"yyyy-mm-dd hh:mm"),INDEX(상세표[종료],$U920)&amp;""))</f>
        <v/>
      </c>
      <c r="P920" s="20">
        <f>IF($U920="","",INDEX(상세표[06~07시],$U920))</f>
        <v/>
      </c>
      <c r="Q920" s="20">
        <f>IF($U920="","",INDEX(상세표[07~18시],$U920))</f>
        <v/>
      </c>
      <c r="R920" s="20">
        <f>IF($U920="","",INDEX(상세표[18~22시],$U920))</f>
        <v/>
      </c>
      <c r="S920" s="20">
        <f>IF($U920="","",INDEX(상세표[22~06시],$U920))</f>
        <v/>
      </c>
      <c r="T920" s="20">
        <f>IF($U920="","",INDEX(상세표[기록 시간외],$U920))</f>
        <v/>
      </c>
      <c r="U920" s="4">
        <f>IFERROR(MATCH(915,상세표[발송순번],0),"")</f>
        <v/>
      </c>
    </row>
    <row r="921">
      <c r="J921">
        <f>IF($U921="","",INDEX(상세표[사번],$U921)&amp;"")</f>
        <v/>
      </c>
      <c r="K921">
        <f>IF($U921="","",INDEX(상세표[성명],$U921)&amp;"")</f>
        <v/>
      </c>
      <c r="L921">
        <f>IF($U921="","",INDEX(상세표[직위],$U921)&amp;"")</f>
        <v/>
      </c>
      <c r="M921">
        <f>IF($U921="","",IF(ISNUMBER(INDEX(상세표[근무일자],$U921)),TEXT(INDEX(상세표[근무일자],$U921),"yyyy-mm-dd"),INDEX(상세표[근무일자],$U921)&amp;""))</f>
        <v/>
      </c>
      <c r="N921">
        <f>IF($U921="","",IF(ISNUMBER(INDEX(상세표[시작],$U921)),TEXT(INDEX(상세표[시작],$U921),"yyyy-mm-dd hh:mm"),INDEX(상세표[시작],$U921)&amp;""))</f>
        <v/>
      </c>
      <c r="O921">
        <f>IF($U921="","",IF(ISNUMBER(INDEX(상세표[종료],$U921)),TEXT(INDEX(상세표[종료],$U921),"yyyy-mm-dd hh:mm"),INDEX(상세표[종료],$U921)&amp;""))</f>
        <v/>
      </c>
      <c r="P921" s="20">
        <f>IF($U921="","",INDEX(상세표[06~07시],$U921))</f>
        <v/>
      </c>
      <c r="Q921" s="20">
        <f>IF($U921="","",INDEX(상세표[07~18시],$U921))</f>
        <v/>
      </c>
      <c r="R921" s="20">
        <f>IF($U921="","",INDEX(상세표[18~22시],$U921))</f>
        <v/>
      </c>
      <c r="S921" s="20">
        <f>IF($U921="","",INDEX(상세표[22~06시],$U921))</f>
        <v/>
      </c>
      <c r="T921" s="20">
        <f>IF($U921="","",INDEX(상세표[기록 시간외],$U921))</f>
        <v/>
      </c>
      <c r="U921" s="4">
        <f>IFERROR(MATCH(916,상세표[발송순번],0),"")</f>
        <v/>
      </c>
    </row>
    <row r="922">
      <c r="J922">
        <f>IF($U922="","",INDEX(상세표[사번],$U922)&amp;"")</f>
        <v/>
      </c>
      <c r="K922">
        <f>IF($U922="","",INDEX(상세표[성명],$U922)&amp;"")</f>
        <v/>
      </c>
      <c r="L922">
        <f>IF($U922="","",INDEX(상세표[직위],$U922)&amp;"")</f>
        <v/>
      </c>
      <c r="M922">
        <f>IF($U922="","",IF(ISNUMBER(INDEX(상세표[근무일자],$U922)),TEXT(INDEX(상세표[근무일자],$U922),"yyyy-mm-dd"),INDEX(상세표[근무일자],$U922)&amp;""))</f>
        <v/>
      </c>
      <c r="N922">
        <f>IF($U922="","",IF(ISNUMBER(INDEX(상세표[시작],$U922)),TEXT(INDEX(상세표[시작],$U922),"yyyy-mm-dd hh:mm"),INDEX(상세표[시작],$U922)&amp;""))</f>
        <v/>
      </c>
      <c r="O922">
        <f>IF($U922="","",IF(ISNUMBER(INDEX(상세표[종료],$U922)),TEXT(INDEX(상세표[종료],$U922),"yyyy-mm-dd hh:mm"),INDEX(상세표[종료],$U922)&amp;""))</f>
        <v/>
      </c>
      <c r="P922" s="20">
        <f>IF($U922="","",INDEX(상세표[06~07시],$U922))</f>
        <v/>
      </c>
      <c r="Q922" s="20">
        <f>IF($U922="","",INDEX(상세표[07~18시],$U922))</f>
        <v/>
      </c>
      <c r="R922" s="20">
        <f>IF($U922="","",INDEX(상세표[18~22시],$U922))</f>
        <v/>
      </c>
      <c r="S922" s="20">
        <f>IF($U922="","",INDEX(상세표[22~06시],$U922))</f>
        <v/>
      </c>
      <c r="T922" s="20">
        <f>IF($U922="","",INDEX(상세표[기록 시간외],$U922))</f>
        <v/>
      </c>
      <c r="U922" s="4">
        <f>IFERROR(MATCH(917,상세표[발송순번],0),"")</f>
        <v/>
      </c>
    </row>
    <row r="923">
      <c r="J923">
        <f>IF($U923="","",INDEX(상세표[사번],$U923)&amp;"")</f>
        <v/>
      </c>
      <c r="K923">
        <f>IF($U923="","",INDEX(상세표[성명],$U923)&amp;"")</f>
        <v/>
      </c>
      <c r="L923">
        <f>IF($U923="","",INDEX(상세표[직위],$U923)&amp;"")</f>
        <v/>
      </c>
      <c r="M923">
        <f>IF($U923="","",IF(ISNUMBER(INDEX(상세표[근무일자],$U923)),TEXT(INDEX(상세표[근무일자],$U923),"yyyy-mm-dd"),INDEX(상세표[근무일자],$U923)&amp;""))</f>
        <v/>
      </c>
      <c r="N923">
        <f>IF($U923="","",IF(ISNUMBER(INDEX(상세표[시작],$U923)),TEXT(INDEX(상세표[시작],$U923),"yyyy-mm-dd hh:mm"),INDEX(상세표[시작],$U923)&amp;""))</f>
        <v/>
      </c>
      <c r="O923">
        <f>IF($U923="","",IF(ISNUMBER(INDEX(상세표[종료],$U923)),TEXT(INDEX(상세표[종료],$U923),"yyyy-mm-dd hh:mm"),INDEX(상세표[종료],$U923)&amp;""))</f>
        <v/>
      </c>
      <c r="P923" s="20">
        <f>IF($U923="","",INDEX(상세표[06~07시],$U923))</f>
        <v/>
      </c>
      <c r="Q923" s="20">
        <f>IF($U923="","",INDEX(상세표[07~18시],$U923))</f>
        <v/>
      </c>
      <c r="R923" s="20">
        <f>IF($U923="","",INDEX(상세표[18~22시],$U923))</f>
        <v/>
      </c>
      <c r="S923" s="20">
        <f>IF($U923="","",INDEX(상세표[22~06시],$U923))</f>
        <v/>
      </c>
      <c r="T923" s="20">
        <f>IF($U923="","",INDEX(상세표[기록 시간외],$U923))</f>
        <v/>
      </c>
      <c r="U923" s="4">
        <f>IFERROR(MATCH(918,상세표[발송순번],0),"")</f>
        <v/>
      </c>
    </row>
    <row r="924">
      <c r="J924">
        <f>IF($U924="","",INDEX(상세표[사번],$U924)&amp;"")</f>
        <v/>
      </c>
      <c r="K924">
        <f>IF($U924="","",INDEX(상세표[성명],$U924)&amp;"")</f>
        <v/>
      </c>
      <c r="L924">
        <f>IF($U924="","",INDEX(상세표[직위],$U924)&amp;"")</f>
        <v/>
      </c>
      <c r="M924">
        <f>IF($U924="","",IF(ISNUMBER(INDEX(상세표[근무일자],$U924)),TEXT(INDEX(상세표[근무일자],$U924),"yyyy-mm-dd"),INDEX(상세표[근무일자],$U924)&amp;""))</f>
        <v/>
      </c>
      <c r="N924">
        <f>IF($U924="","",IF(ISNUMBER(INDEX(상세표[시작],$U924)),TEXT(INDEX(상세표[시작],$U924),"yyyy-mm-dd hh:mm"),INDEX(상세표[시작],$U924)&amp;""))</f>
        <v/>
      </c>
      <c r="O924">
        <f>IF($U924="","",IF(ISNUMBER(INDEX(상세표[종료],$U924)),TEXT(INDEX(상세표[종료],$U924),"yyyy-mm-dd hh:mm"),INDEX(상세표[종료],$U924)&amp;""))</f>
        <v/>
      </c>
      <c r="P924" s="20">
        <f>IF($U924="","",INDEX(상세표[06~07시],$U924))</f>
        <v/>
      </c>
      <c r="Q924" s="20">
        <f>IF($U924="","",INDEX(상세표[07~18시],$U924))</f>
        <v/>
      </c>
      <c r="R924" s="20">
        <f>IF($U924="","",INDEX(상세표[18~22시],$U924))</f>
        <v/>
      </c>
      <c r="S924" s="20">
        <f>IF($U924="","",INDEX(상세표[22~06시],$U924))</f>
        <v/>
      </c>
      <c r="T924" s="20">
        <f>IF($U924="","",INDEX(상세표[기록 시간외],$U924))</f>
        <v/>
      </c>
      <c r="U924" s="4">
        <f>IFERROR(MATCH(919,상세표[발송순번],0),"")</f>
        <v/>
      </c>
    </row>
    <row r="925">
      <c r="J925">
        <f>IF($U925="","",INDEX(상세표[사번],$U925)&amp;"")</f>
        <v/>
      </c>
      <c r="K925">
        <f>IF($U925="","",INDEX(상세표[성명],$U925)&amp;"")</f>
        <v/>
      </c>
      <c r="L925">
        <f>IF($U925="","",INDEX(상세표[직위],$U925)&amp;"")</f>
        <v/>
      </c>
      <c r="M925">
        <f>IF($U925="","",IF(ISNUMBER(INDEX(상세표[근무일자],$U925)),TEXT(INDEX(상세표[근무일자],$U925),"yyyy-mm-dd"),INDEX(상세표[근무일자],$U925)&amp;""))</f>
        <v/>
      </c>
      <c r="N925">
        <f>IF($U925="","",IF(ISNUMBER(INDEX(상세표[시작],$U925)),TEXT(INDEX(상세표[시작],$U925),"yyyy-mm-dd hh:mm"),INDEX(상세표[시작],$U925)&amp;""))</f>
        <v/>
      </c>
      <c r="O925">
        <f>IF($U925="","",IF(ISNUMBER(INDEX(상세표[종료],$U925)),TEXT(INDEX(상세표[종료],$U925),"yyyy-mm-dd hh:mm"),INDEX(상세표[종료],$U925)&amp;""))</f>
        <v/>
      </c>
      <c r="P925" s="20">
        <f>IF($U925="","",INDEX(상세표[06~07시],$U925))</f>
        <v/>
      </c>
      <c r="Q925" s="20">
        <f>IF($U925="","",INDEX(상세표[07~18시],$U925))</f>
        <v/>
      </c>
      <c r="R925" s="20">
        <f>IF($U925="","",INDEX(상세표[18~22시],$U925))</f>
        <v/>
      </c>
      <c r="S925" s="20">
        <f>IF($U925="","",INDEX(상세표[22~06시],$U925))</f>
        <v/>
      </c>
      <c r="T925" s="20">
        <f>IF($U925="","",INDEX(상세표[기록 시간외],$U925))</f>
        <v/>
      </c>
      <c r="U925" s="4">
        <f>IFERROR(MATCH(920,상세표[발송순번],0),"")</f>
        <v/>
      </c>
    </row>
    <row r="926">
      <c r="J926">
        <f>IF($U926="","",INDEX(상세표[사번],$U926)&amp;"")</f>
        <v/>
      </c>
      <c r="K926">
        <f>IF($U926="","",INDEX(상세표[성명],$U926)&amp;"")</f>
        <v/>
      </c>
      <c r="L926">
        <f>IF($U926="","",INDEX(상세표[직위],$U926)&amp;"")</f>
        <v/>
      </c>
      <c r="M926">
        <f>IF($U926="","",IF(ISNUMBER(INDEX(상세표[근무일자],$U926)),TEXT(INDEX(상세표[근무일자],$U926),"yyyy-mm-dd"),INDEX(상세표[근무일자],$U926)&amp;""))</f>
        <v/>
      </c>
      <c r="N926">
        <f>IF($U926="","",IF(ISNUMBER(INDEX(상세표[시작],$U926)),TEXT(INDEX(상세표[시작],$U926),"yyyy-mm-dd hh:mm"),INDEX(상세표[시작],$U926)&amp;""))</f>
        <v/>
      </c>
      <c r="O926">
        <f>IF($U926="","",IF(ISNUMBER(INDEX(상세표[종료],$U926)),TEXT(INDEX(상세표[종료],$U926),"yyyy-mm-dd hh:mm"),INDEX(상세표[종료],$U926)&amp;""))</f>
        <v/>
      </c>
      <c r="P926" s="20">
        <f>IF($U926="","",INDEX(상세표[06~07시],$U926))</f>
        <v/>
      </c>
      <c r="Q926" s="20">
        <f>IF($U926="","",INDEX(상세표[07~18시],$U926))</f>
        <v/>
      </c>
      <c r="R926" s="20">
        <f>IF($U926="","",INDEX(상세표[18~22시],$U926))</f>
        <v/>
      </c>
      <c r="S926" s="20">
        <f>IF($U926="","",INDEX(상세표[22~06시],$U926))</f>
        <v/>
      </c>
      <c r="T926" s="20">
        <f>IF($U926="","",INDEX(상세표[기록 시간외],$U926))</f>
        <v/>
      </c>
      <c r="U926" s="4">
        <f>IFERROR(MATCH(921,상세표[발송순번],0),"")</f>
        <v/>
      </c>
    </row>
    <row r="927">
      <c r="J927">
        <f>IF($U927="","",INDEX(상세표[사번],$U927)&amp;"")</f>
        <v/>
      </c>
      <c r="K927">
        <f>IF($U927="","",INDEX(상세표[성명],$U927)&amp;"")</f>
        <v/>
      </c>
      <c r="L927">
        <f>IF($U927="","",INDEX(상세표[직위],$U927)&amp;"")</f>
        <v/>
      </c>
      <c r="M927">
        <f>IF($U927="","",IF(ISNUMBER(INDEX(상세표[근무일자],$U927)),TEXT(INDEX(상세표[근무일자],$U927),"yyyy-mm-dd"),INDEX(상세표[근무일자],$U927)&amp;""))</f>
        <v/>
      </c>
      <c r="N927">
        <f>IF($U927="","",IF(ISNUMBER(INDEX(상세표[시작],$U927)),TEXT(INDEX(상세표[시작],$U927),"yyyy-mm-dd hh:mm"),INDEX(상세표[시작],$U927)&amp;""))</f>
        <v/>
      </c>
      <c r="O927">
        <f>IF($U927="","",IF(ISNUMBER(INDEX(상세표[종료],$U927)),TEXT(INDEX(상세표[종료],$U927),"yyyy-mm-dd hh:mm"),INDEX(상세표[종료],$U927)&amp;""))</f>
        <v/>
      </c>
      <c r="P927" s="20">
        <f>IF($U927="","",INDEX(상세표[06~07시],$U927))</f>
        <v/>
      </c>
      <c r="Q927" s="20">
        <f>IF($U927="","",INDEX(상세표[07~18시],$U927))</f>
        <v/>
      </c>
      <c r="R927" s="20">
        <f>IF($U927="","",INDEX(상세표[18~22시],$U927))</f>
        <v/>
      </c>
      <c r="S927" s="20">
        <f>IF($U927="","",INDEX(상세표[22~06시],$U927))</f>
        <v/>
      </c>
      <c r="T927" s="20">
        <f>IF($U927="","",INDEX(상세표[기록 시간외],$U927))</f>
        <v/>
      </c>
      <c r="U927" s="4">
        <f>IFERROR(MATCH(922,상세표[발송순번],0),"")</f>
        <v/>
      </c>
    </row>
    <row r="928">
      <c r="J928">
        <f>IF($U928="","",INDEX(상세표[사번],$U928)&amp;"")</f>
        <v/>
      </c>
      <c r="K928">
        <f>IF($U928="","",INDEX(상세표[성명],$U928)&amp;"")</f>
        <v/>
      </c>
      <c r="L928">
        <f>IF($U928="","",INDEX(상세표[직위],$U928)&amp;"")</f>
        <v/>
      </c>
      <c r="M928">
        <f>IF($U928="","",IF(ISNUMBER(INDEX(상세표[근무일자],$U928)),TEXT(INDEX(상세표[근무일자],$U928),"yyyy-mm-dd"),INDEX(상세표[근무일자],$U928)&amp;""))</f>
        <v/>
      </c>
      <c r="N928">
        <f>IF($U928="","",IF(ISNUMBER(INDEX(상세표[시작],$U928)),TEXT(INDEX(상세표[시작],$U928),"yyyy-mm-dd hh:mm"),INDEX(상세표[시작],$U928)&amp;""))</f>
        <v/>
      </c>
      <c r="O928">
        <f>IF($U928="","",IF(ISNUMBER(INDEX(상세표[종료],$U928)),TEXT(INDEX(상세표[종료],$U928),"yyyy-mm-dd hh:mm"),INDEX(상세표[종료],$U928)&amp;""))</f>
        <v/>
      </c>
      <c r="P928" s="20">
        <f>IF($U928="","",INDEX(상세표[06~07시],$U928))</f>
        <v/>
      </c>
      <c r="Q928" s="20">
        <f>IF($U928="","",INDEX(상세표[07~18시],$U928))</f>
        <v/>
      </c>
      <c r="R928" s="20">
        <f>IF($U928="","",INDEX(상세표[18~22시],$U928))</f>
        <v/>
      </c>
      <c r="S928" s="20">
        <f>IF($U928="","",INDEX(상세표[22~06시],$U928))</f>
        <v/>
      </c>
      <c r="T928" s="20">
        <f>IF($U928="","",INDEX(상세표[기록 시간외],$U928))</f>
        <v/>
      </c>
      <c r="U928" s="4">
        <f>IFERROR(MATCH(923,상세표[발송순번],0),"")</f>
        <v/>
      </c>
    </row>
    <row r="929">
      <c r="J929">
        <f>IF($U929="","",INDEX(상세표[사번],$U929)&amp;"")</f>
        <v/>
      </c>
      <c r="K929">
        <f>IF($U929="","",INDEX(상세표[성명],$U929)&amp;"")</f>
        <v/>
      </c>
      <c r="L929">
        <f>IF($U929="","",INDEX(상세표[직위],$U929)&amp;"")</f>
        <v/>
      </c>
      <c r="M929">
        <f>IF($U929="","",IF(ISNUMBER(INDEX(상세표[근무일자],$U929)),TEXT(INDEX(상세표[근무일자],$U929),"yyyy-mm-dd"),INDEX(상세표[근무일자],$U929)&amp;""))</f>
        <v/>
      </c>
      <c r="N929">
        <f>IF($U929="","",IF(ISNUMBER(INDEX(상세표[시작],$U929)),TEXT(INDEX(상세표[시작],$U929),"yyyy-mm-dd hh:mm"),INDEX(상세표[시작],$U929)&amp;""))</f>
        <v/>
      </c>
      <c r="O929">
        <f>IF($U929="","",IF(ISNUMBER(INDEX(상세표[종료],$U929)),TEXT(INDEX(상세표[종료],$U929),"yyyy-mm-dd hh:mm"),INDEX(상세표[종료],$U929)&amp;""))</f>
        <v/>
      </c>
      <c r="P929" s="20">
        <f>IF($U929="","",INDEX(상세표[06~07시],$U929))</f>
        <v/>
      </c>
      <c r="Q929" s="20">
        <f>IF($U929="","",INDEX(상세표[07~18시],$U929))</f>
        <v/>
      </c>
      <c r="R929" s="20">
        <f>IF($U929="","",INDEX(상세표[18~22시],$U929))</f>
        <v/>
      </c>
      <c r="S929" s="20">
        <f>IF($U929="","",INDEX(상세표[22~06시],$U929))</f>
        <v/>
      </c>
      <c r="T929" s="20">
        <f>IF($U929="","",INDEX(상세표[기록 시간외],$U929))</f>
        <v/>
      </c>
      <c r="U929" s="4">
        <f>IFERROR(MATCH(924,상세표[발송순번],0),"")</f>
        <v/>
      </c>
    </row>
    <row r="930">
      <c r="J930">
        <f>IF($U930="","",INDEX(상세표[사번],$U930)&amp;"")</f>
        <v/>
      </c>
      <c r="K930">
        <f>IF($U930="","",INDEX(상세표[성명],$U930)&amp;"")</f>
        <v/>
      </c>
      <c r="L930">
        <f>IF($U930="","",INDEX(상세표[직위],$U930)&amp;"")</f>
        <v/>
      </c>
      <c r="M930">
        <f>IF($U930="","",IF(ISNUMBER(INDEX(상세표[근무일자],$U930)),TEXT(INDEX(상세표[근무일자],$U930),"yyyy-mm-dd"),INDEX(상세표[근무일자],$U930)&amp;""))</f>
        <v/>
      </c>
      <c r="N930">
        <f>IF($U930="","",IF(ISNUMBER(INDEX(상세표[시작],$U930)),TEXT(INDEX(상세표[시작],$U930),"yyyy-mm-dd hh:mm"),INDEX(상세표[시작],$U930)&amp;""))</f>
        <v/>
      </c>
      <c r="O930">
        <f>IF($U930="","",IF(ISNUMBER(INDEX(상세표[종료],$U930)),TEXT(INDEX(상세표[종료],$U930),"yyyy-mm-dd hh:mm"),INDEX(상세표[종료],$U930)&amp;""))</f>
        <v/>
      </c>
      <c r="P930" s="20">
        <f>IF($U930="","",INDEX(상세표[06~07시],$U930))</f>
        <v/>
      </c>
      <c r="Q930" s="20">
        <f>IF($U930="","",INDEX(상세표[07~18시],$U930))</f>
        <v/>
      </c>
      <c r="R930" s="20">
        <f>IF($U930="","",INDEX(상세표[18~22시],$U930))</f>
        <v/>
      </c>
      <c r="S930" s="20">
        <f>IF($U930="","",INDEX(상세표[22~06시],$U930))</f>
        <v/>
      </c>
      <c r="T930" s="20">
        <f>IF($U930="","",INDEX(상세표[기록 시간외],$U930))</f>
        <v/>
      </c>
      <c r="U930" s="4">
        <f>IFERROR(MATCH(925,상세표[발송순번],0),"")</f>
        <v/>
      </c>
    </row>
    <row r="931">
      <c r="J931">
        <f>IF($U931="","",INDEX(상세표[사번],$U931)&amp;"")</f>
        <v/>
      </c>
      <c r="K931">
        <f>IF($U931="","",INDEX(상세표[성명],$U931)&amp;"")</f>
        <v/>
      </c>
      <c r="L931">
        <f>IF($U931="","",INDEX(상세표[직위],$U931)&amp;"")</f>
        <v/>
      </c>
      <c r="M931">
        <f>IF($U931="","",IF(ISNUMBER(INDEX(상세표[근무일자],$U931)),TEXT(INDEX(상세표[근무일자],$U931),"yyyy-mm-dd"),INDEX(상세표[근무일자],$U931)&amp;""))</f>
        <v/>
      </c>
      <c r="N931">
        <f>IF($U931="","",IF(ISNUMBER(INDEX(상세표[시작],$U931)),TEXT(INDEX(상세표[시작],$U931),"yyyy-mm-dd hh:mm"),INDEX(상세표[시작],$U931)&amp;""))</f>
        <v/>
      </c>
      <c r="O931">
        <f>IF($U931="","",IF(ISNUMBER(INDEX(상세표[종료],$U931)),TEXT(INDEX(상세표[종료],$U931),"yyyy-mm-dd hh:mm"),INDEX(상세표[종료],$U931)&amp;""))</f>
        <v/>
      </c>
      <c r="P931" s="20">
        <f>IF($U931="","",INDEX(상세표[06~07시],$U931))</f>
        <v/>
      </c>
      <c r="Q931" s="20">
        <f>IF($U931="","",INDEX(상세표[07~18시],$U931))</f>
        <v/>
      </c>
      <c r="R931" s="20">
        <f>IF($U931="","",INDEX(상세표[18~22시],$U931))</f>
        <v/>
      </c>
      <c r="S931" s="20">
        <f>IF($U931="","",INDEX(상세표[22~06시],$U931))</f>
        <v/>
      </c>
      <c r="T931" s="20">
        <f>IF($U931="","",INDEX(상세표[기록 시간외],$U931))</f>
        <v/>
      </c>
      <c r="U931" s="4">
        <f>IFERROR(MATCH(926,상세표[발송순번],0),"")</f>
        <v/>
      </c>
    </row>
    <row r="932">
      <c r="J932">
        <f>IF($U932="","",INDEX(상세표[사번],$U932)&amp;"")</f>
        <v/>
      </c>
      <c r="K932">
        <f>IF($U932="","",INDEX(상세표[성명],$U932)&amp;"")</f>
        <v/>
      </c>
      <c r="L932">
        <f>IF($U932="","",INDEX(상세표[직위],$U932)&amp;"")</f>
        <v/>
      </c>
      <c r="M932">
        <f>IF($U932="","",IF(ISNUMBER(INDEX(상세표[근무일자],$U932)),TEXT(INDEX(상세표[근무일자],$U932),"yyyy-mm-dd"),INDEX(상세표[근무일자],$U932)&amp;""))</f>
        <v/>
      </c>
      <c r="N932">
        <f>IF($U932="","",IF(ISNUMBER(INDEX(상세표[시작],$U932)),TEXT(INDEX(상세표[시작],$U932),"yyyy-mm-dd hh:mm"),INDEX(상세표[시작],$U932)&amp;""))</f>
        <v/>
      </c>
      <c r="O932">
        <f>IF($U932="","",IF(ISNUMBER(INDEX(상세표[종료],$U932)),TEXT(INDEX(상세표[종료],$U932),"yyyy-mm-dd hh:mm"),INDEX(상세표[종료],$U932)&amp;""))</f>
        <v/>
      </c>
      <c r="P932" s="20">
        <f>IF($U932="","",INDEX(상세표[06~07시],$U932))</f>
        <v/>
      </c>
      <c r="Q932" s="20">
        <f>IF($U932="","",INDEX(상세표[07~18시],$U932))</f>
        <v/>
      </c>
      <c r="R932" s="20">
        <f>IF($U932="","",INDEX(상세표[18~22시],$U932))</f>
        <v/>
      </c>
      <c r="S932" s="20">
        <f>IF($U932="","",INDEX(상세표[22~06시],$U932))</f>
        <v/>
      </c>
      <c r="T932" s="20">
        <f>IF($U932="","",INDEX(상세표[기록 시간외],$U932))</f>
        <v/>
      </c>
      <c r="U932" s="4">
        <f>IFERROR(MATCH(927,상세표[발송순번],0),"")</f>
        <v/>
      </c>
    </row>
    <row r="933">
      <c r="J933">
        <f>IF($U933="","",INDEX(상세표[사번],$U933)&amp;"")</f>
        <v/>
      </c>
      <c r="K933">
        <f>IF($U933="","",INDEX(상세표[성명],$U933)&amp;"")</f>
        <v/>
      </c>
      <c r="L933">
        <f>IF($U933="","",INDEX(상세표[직위],$U933)&amp;"")</f>
        <v/>
      </c>
      <c r="M933">
        <f>IF($U933="","",IF(ISNUMBER(INDEX(상세표[근무일자],$U933)),TEXT(INDEX(상세표[근무일자],$U933),"yyyy-mm-dd"),INDEX(상세표[근무일자],$U933)&amp;""))</f>
        <v/>
      </c>
      <c r="N933">
        <f>IF($U933="","",IF(ISNUMBER(INDEX(상세표[시작],$U933)),TEXT(INDEX(상세표[시작],$U933),"yyyy-mm-dd hh:mm"),INDEX(상세표[시작],$U933)&amp;""))</f>
        <v/>
      </c>
      <c r="O933">
        <f>IF($U933="","",IF(ISNUMBER(INDEX(상세표[종료],$U933)),TEXT(INDEX(상세표[종료],$U933),"yyyy-mm-dd hh:mm"),INDEX(상세표[종료],$U933)&amp;""))</f>
        <v/>
      </c>
      <c r="P933" s="20">
        <f>IF($U933="","",INDEX(상세표[06~07시],$U933))</f>
        <v/>
      </c>
      <c r="Q933" s="20">
        <f>IF($U933="","",INDEX(상세표[07~18시],$U933))</f>
        <v/>
      </c>
      <c r="R933" s="20">
        <f>IF($U933="","",INDEX(상세표[18~22시],$U933))</f>
        <v/>
      </c>
      <c r="S933" s="20">
        <f>IF($U933="","",INDEX(상세표[22~06시],$U933))</f>
        <v/>
      </c>
      <c r="T933" s="20">
        <f>IF($U933="","",INDEX(상세표[기록 시간외],$U933))</f>
        <v/>
      </c>
      <c r="U933" s="4">
        <f>IFERROR(MATCH(928,상세표[발송순번],0),"")</f>
        <v/>
      </c>
    </row>
    <row r="934">
      <c r="J934">
        <f>IF($U934="","",INDEX(상세표[사번],$U934)&amp;"")</f>
        <v/>
      </c>
      <c r="K934">
        <f>IF($U934="","",INDEX(상세표[성명],$U934)&amp;"")</f>
        <v/>
      </c>
      <c r="L934">
        <f>IF($U934="","",INDEX(상세표[직위],$U934)&amp;"")</f>
        <v/>
      </c>
      <c r="M934">
        <f>IF($U934="","",IF(ISNUMBER(INDEX(상세표[근무일자],$U934)),TEXT(INDEX(상세표[근무일자],$U934),"yyyy-mm-dd"),INDEX(상세표[근무일자],$U934)&amp;""))</f>
        <v/>
      </c>
      <c r="N934">
        <f>IF($U934="","",IF(ISNUMBER(INDEX(상세표[시작],$U934)),TEXT(INDEX(상세표[시작],$U934),"yyyy-mm-dd hh:mm"),INDEX(상세표[시작],$U934)&amp;""))</f>
        <v/>
      </c>
      <c r="O934">
        <f>IF($U934="","",IF(ISNUMBER(INDEX(상세표[종료],$U934)),TEXT(INDEX(상세표[종료],$U934),"yyyy-mm-dd hh:mm"),INDEX(상세표[종료],$U934)&amp;""))</f>
        <v/>
      </c>
      <c r="P934" s="20">
        <f>IF($U934="","",INDEX(상세표[06~07시],$U934))</f>
        <v/>
      </c>
      <c r="Q934" s="20">
        <f>IF($U934="","",INDEX(상세표[07~18시],$U934))</f>
        <v/>
      </c>
      <c r="R934" s="20">
        <f>IF($U934="","",INDEX(상세표[18~22시],$U934))</f>
        <v/>
      </c>
      <c r="S934" s="20">
        <f>IF($U934="","",INDEX(상세표[22~06시],$U934))</f>
        <v/>
      </c>
      <c r="T934" s="20">
        <f>IF($U934="","",INDEX(상세표[기록 시간외],$U934))</f>
        <v/>
      </c>
      <c r="U934" s="4">
        <f>IFERROR(MATCH(929,상세표[발송순번],0),"")</f>
        <v/>
      </c>
    </row>
    <row r="935">
      <c r="J935">
        <f>IF($U935="","",INDEX(상세표[사번],$U935)&amp;"")</f>
        <v/>
      </c>
      <c r="K935">
        <f>IF($U935="","",INDEX(상세표[성명],$U935)&amp;"")</f>
        <v/>
      </c>
      <c r="L935">
        <f>IF($U935="","",INDEX(상세표[직위],$U935)&amp;"")</f>
        <v/>
      </c>
      <c r="M935">
        <f>IF($U935="","",IF(ISNUMBER(INDEX(상세표[근무일자],$U935)),TEXT(INDEX(상세표[근무일자],$U935),"yyyy-mm-dd"),INDEX(상세표[근무일자],$U935)&amp;""))</f>
        <v/>
      </c>
      <c r="N935">
        <f>IF($U935="","",IF(ISNUMBER(INDEX(상세표[시작],$U935)),TEXT(INDEX(상세표[시작],$U935),"yyyy-mm-dd hh:mm"),INDEX(상세표[시작],$U935)&amp;""))</f>
        <v/>
      </c>
      <c r="O935">
        <f>IF($U935="","",IF(ISNUMBER(INDEX(상세표[종료],$U935)),TEXT(INDEX(상세표[종료],$U935),"yyyy-mm-dd hh:mm"),INDEX(상세표[종료],$U935)&amp;""))</f>
        <v/>
      </c>
      <c r="P935" s="20">
        <f>IF($U935="","",INDEX(상세표[06~07시],$U935))</f>
        <v/>
      </c>
      <c r="Q935" s="20">
        <f>IF($U935="","",INDEX(상세표[07~18시],$U935))</f>
        <v/>
      </c>
      <c r="R935" s="20">
        <f>IF($U935="","",INDEX(상세표[18~22시],$U935))</f>
        <v/>
      </c>
      <c r="S935" s="20">
        <f>IF($U935="","",INDEX(상세표[22~06시],$U935))</f>
        <v/>
      </c>
      <c r="T935" s="20">
        <f>IF($U935="","",INDEX(상세표[기록 시간외],$U935))</f>
        <v/>
      </c>
      <c r="U935" s="4">
        <f>IFERROR(MATCH(930,상세표[발송순번],0),"")</f>
        <v/>
      </c>
    </row>
    <row r="936">
      <c r="J936">
        <f>IF($U936="","",INDEX(상세표[사번],$U936)&amp;"")</f>
        <v/>
      </c>
      <c r="K936">
        <f>IF($U936="","",INDEX(상세표[성명],$U936)&amp;"")</f>
        <v/>
      </c>
      <c r="L936">
        <f>IF($U936="","",INDEX(상세표[직위],$U936)&amp;"")</f>
        <v/>
      </c>
      <c r="M936">
        <f>IF($U936="","",IF(ISNUMBER(INDEX(상세표[근무일자],$U936)),TEXT(INDEX(상세표[근무일자],$U936),"yyyy-mm-dd"),INDEX(상세표[근무일자],$U936)&amp;""))</f>
        <v/>
      </c>
      <c r="N936">
        <f>IF($U936="","",IF(ISNUMBER(INDEX(상세표[시작],$U936)),TEXT(INDEX(상세표[시작],$U936),"yyyy-mm-dd hh:mm"),INDEX(상세표[시작],$U936)&amp;""))</f>
        <v/>
      </c>
      <c r="O936">
        <f>IF($U936="","",IF(ISNUMBER(INDEX(상세표[종료],$U936)),TEXT(INDEX(상세표[종료],$U936),"yyyy-mm-dd hh:mm"),INDEX(상세표[종료],$U936)&amp;""))</f>
        <v/>
      </c>
      <c r="P936" s="20">
        <f>IF($U936="","",INDEX(상세표[06~07시],$U936))</f>
        <v/>
      </c>
      <c r="Q936" s="20">
        <f>IF($U936="","",INDEX(상세표[07~18시],$U936))</f>
        <v/>
      </c>
      <c r="R936" s="20">
        <f>IF($U936="","",INDEX(상세표[18~22시],$U936))</f>
        <v/>
      </c>
      <c r="S936" s="20">
        <f>IF($U936="","",INDEX(상세표[22~06시],$U936))</f>
        <v/>
      </c>
      <c r="T936" s="20">
        <f>IF($U936="","",INDEX(상세표[기록 시간외],$U936))</f>
        <v/>
      </c>
      <c r="U936" s="4">
        <f>IFERROR(MATCH(931,상세표[발송순번],0),"")</f>
        <v/>
      </c>
    </row>
    <row r="937">
      <c r="J937">
        <f>IF($U937="","",INDEX(상세표[사번],$U937)&amp;"")</f>
        <v/>
      </c>
      <c r="K937">
        <f>IF($U937="","",INDEX(상세표[성명],$U937)&amp;"")</f>
        <v/>
      </c>
      <c r="L937">
        <f>IF($U937="","",INDEX(상세표[직위],$U937)&amp;"")</f>
        <v/>
      </c>
      <c r="M937">
        <f>IF($U937="","",IF(ISNUMBER(INDEX(상세표[근무일자],$U937)),TEXT(INDEX(상세표[근무일자],$U937),"yyyy-mm-dd"),INDEX(상세표[근무일자],$U937)&amp;""))</f>
        <v/>
      </c>
      <c r="N937">
        <f>IF($U937="","",IF(ISNUMBER(INDEX(상세표[시작],$U937)),TEXT(INDEX(상세표[시작],$U937),"yyyy-mm-dd hh:mm"),INDEX(상세표[시작],$U937)&amp;""))</f>
        <v/>
      </c>
      <c r="O937">
        <f>IF($U937="","",IF(ISNUMBER(INDEX(상세표[종료],$U937)),TEXT(INDEX(상세표[종료],$U937),"yyyy-mm-dd hh:mm"),INDEX(상세표[종료],$U937)&amp;""))</f>
        <v/>
      </c>
      <c r="P937" s="20">
        <f>IF($U937="","",INDEX(상세표[06~07시],$U937))</f>
        <v/>
      </c>
      <c r="Q937" s="20">
        <f>IF($U937="","",INDEX(상세표[07~18시],$U937))</f>
        <v/>
      </c>
      <c r="R937" s="20">
        <f>IF($U937="","",INDEX(상세표[18~22시],$U937))</f>
        <v/>
      </c>
      <c r="S937" s="20">
        <f>IF($U937="","",INDEX(상세표[22~06시],$U937))</f>
        <v/>
      </c>
      <c r="T937" s="20">
        <f>IF($U937="","",INDEX(상세표[기록 시간외],$U937))</f>
        <v/>
      </c>
      <c r="U937" s="4">
        <f>IFERROR(MATCH(932,상세표[발송순번],0),"")</f>
        <v/>
      </c>
    </row>
    <row r="938">
      <c r="J938">
        <f>IF($U938="","",INDEX(상세표[사번],$U938)&amp;"")</f>
        <v/>
      </c>
      <c r="K938">
        <f>IF($U938="","",INDEX(상세표[성명],$U938)&amp;"")</f>
        <v/>
      </c>
      <c r="L938">
        <f>IF($U938="","",INDEX(상세표[직위],$U938)&amp;"")</f>
        <v/>
      </c>
      <c r="M938">
        <f>IF($U938="","",IF(ISNUMBER(INDEX(상세표[근무일자],$U938)),TEXT(INDEX(상세표[근무일자],$U938),"yyyy-mm-dd"),INDEX(상세표[근무일자],$U938)&amp;""))</f>
        <v/>
      </c>
      <c r="N938">
        <f>IF($U938="","",IF(ISNUMBER(INDEX(상세표[시작],$U938)),TEXT(INDEX(상세표[시작],$U938),"yyyy-mm-dd hh:mm"),INDEX(상세표[시작],$U938)&amp;""))</f>
        <v/>
      </c>
      <c r="O938">
        <f>IF($U938="","",IF(ISNUMBER(INDEX(상세표[종료],$U938)),TEXT(INDEX(상세표[종료],$U938),"yyyy-mm-dd hh:mm"),INDEX(상세표[종료],$U938)&amp;""))</f>
        <v/>
      </c>
      <c r="P938" s="20">
        <f>IF($U938="","",INDEX(상세표[06~07시],$U938))</f>
        <v/>
      </c>
      <c r="Q938" s="20">
        <f>IF($U938="","",INDEX(상세표[07~18시],$U938))</f>
        <v/>
      </c>
      <c r="R938" s="20">
        <f>IF($U938="","",INDEX(상세표[18~22시],$U938))</f>
        <v/>
      </c>
      <c r="S938" s="20">
        <f>IF($U938="","",INDEX(상세표[22~06시],$U938))</f>
        <v/>
      </c>
      <c r="T938" s="20">
        <f>IF($U938="","",INDEX(상세표[기록 시간외],$U938))</f>
        <v/>
      </c>
      <c r="U938" s="4">
        <f>IFERROR(MATCH(933,상세표[발송순번],0),"")</f>
        <v/>
      </c>
    </row>
    <row r="939">
      <c r="J939">
        <f>IF($U939="","",INDEX(상세표[사번],$U939)&amp;"")</f>
        <v/>
      </c>
      <c r="K939">
        <f>IF($U939="","",INDEX(상세표[성명],$U939)&amp;"")</f>
        <v/>
      </c>
      <c r="L939">
        <f>IF($U939="","",INDEX(상세표[직위],$U939)&amp;"")</f>
        <v/>
      </c>
      <c r="M939">
        <f>IF($U939="","",IF(ISNUMBER(INDEX(상세표[근무일자],$U939)),TEXT(INDEX(상세표[근무일자],$U939),"yyyy-mm-dd"),INDEX(상세표[근무일자],$U939)&amp;""))</f>
        <v/>
      </c>
      <c r="N939">
        <f>IF($U939="","",IF(ISNUMBER(INDEX(상세표[시작],$U939)),TEXT(INDEX(상세표[시작],$U939),"yyyy-mm-dd hh:mm"),INDEX(상세표[시작],$U939)&amp;""))</f>
        <v/>
      </c>
      <c r="O939">
        <f>IF($U939="","",IF(ISNUMBER(INDEX(상세표[종료],$U939)),TEXT(INDEX(상세표[종료],$U939),"yyyy-mm-dd hh:mm"),INDEX(상세표[종료],$U939)&amp;""))</f>
        <v/>
      </c>
      <c r="P939" s="20">
        <f>IF($U939="","",INDEX(상세표[06~07시],$U939))</f>
        <v/>
      </c>
      <c r="Q939" s="20">
        <f>IF($U939="","",INDEX(상세표[07~18시],$U939))</f>
        <v/>
      </c>
      <c r="R939" s="20">
        <f>IF($U939="","",INDEX(상세표[18~22시],$U939))</f>
        <v/>
      </c>
      <c r="S939" s="20">
        <f>IF($U939="","",INDEX(상세표[22~06시],$U939))</f>
        <v/>
      </c>
      <c r="T939" s="20">
        <f>IF($U939="","",INDEX(상세표[기록 시간외],$U939))</f>
        <v/>
      </c>
      <c r="U939" s="4">
        <f>IFERROR(MATCH(934,상세표[발송순번],0),"")</f>
        <v/>
      </c>
    </row>
    <row r="940">
      <c r="J940">
        <f>IF($U940="","",INDEX(상세표[사번],$U940)&amp;"")</f>
        <v/>
      </c>
      <c r="K940">
        <f>IF($U940="","",INDEX(상세표[성명],$U940)&amp;"")</f>
        <v/>
      </c>
      <c r="L940">
        <f>IF($U940="","",INDEX(상세표[직위],$U940)&amp;"")</f>
        <v/>
      </c>
      <c r="M940">
        <f>IF($U940="","",IF(ISNUMBER(INDEX(상세표[근무일자],$U940)),TEXT(INDEX(상세표[근무일자],$U940),"yyyy-mm-dd"),INDEX(상세표[근무일자],$U940)&amp;""))</f>
        <v/>
      </c>
      <c r="N940">
        <f>IF($U940="","",IF(ISNUMBER(INDEX(상세표[시작],$U940)),TEXT(INDEX(상세표[시작],$U940),"yyyy-mm-dd hh:mm"),INDEX(상세표[시작],$U940)&amp;""))</f>
        <v/>
      </c>
      <c r="O940">
        <f>IF($U940="","",IF(ISNUMBER(INDEX(상세표[종료],$U940)),TEXT(INDEX(상세표[종료],$U940),"yyyy-mm-dd hh:mm"),INDEX(상세표[종료],$U940)&amp;""))</f>
        <v/>
      </c>
      <c r="P940" s="20">
        <f>IF($U940="","",INDEX(상세표[06~07시],$U940))</f>
        <v/>
      </c>
      <c r="Q940" s="20">
        <f>IF($U940="","",INDEX(상세표[07~18시],$U940))</f>
        <v/>
      </c>
      <c r="R940" s="20">
        <f>IF($U940="","",INDEX(상세표[18~22시],$U940))</f>
        <v/>
      </c>
      <c r="S940" s="20">
        <f>IF($U940="","",INDEX(상세표[22~06시],$U940))</f>
        <v/>
      </c>
      <c r="T940" s="20">
        <f>IF($U940="","",INDEX(상세표[기록 시간외],$U940))</f>
        <v/>
      </c>
      <c r="U940" s="4">
        <f>IFERROR(MATCH(935,상세표[발송순번],0),"")</f>
        <v/>
      </c>
    </row>
    <row r="941">
      <c r="J941">
        <f>IF($U941="","",INDEX(상세표[사번],$U941)&amp;"")</f>
        <v/>
      </c>
      <c r="K941">
        <f>IF($U941="","",INDEX(상세표[성명],$U941)&amp;"")</f>
        <v/>
      </c>
      <c r="L941">
        <f>IF($U941="","",INDEX(상세표[직위],$U941)&amp;"")</f>
        <v/>
      </c>
      <c r="M941">
        <f>IF($U941="","",IF(ISNUMBER(INDEX(상세표[근무일자],$U941)),TEXT(INDEX(상세표[근무일자],$U941),"yyyy-mm-dd"),INDEX(상세표[근무일자],$U941)&amp;""))</f>
        <v/>
      </c>
      <c r="N941">
        <f>IF($U941="","",IF(ISNUMBER(INDEX(상세표[시작],$U941)),TEXT(INDEX(상세표[시작],$U941),"yyyy-mm-dd hh:mm"),INDEX(상세표[시작],$U941)&amp;""))</f>
        <v/>
      </c>
      <c r="O941">
        <f>IF($U941="","",IF(ISNUMBER(INDEX(상세표[종료],$U941)),TEXT(INDEX(상세표[종료],$U941),"yyyy-mm-dd hh:mm"),INDEX(상세표[종료],$U941)&amp;""))</f>
        <v/>
      </c>
      <c r="P941" s="20">
        <f>IF($U941="","",INDEX(상세표[06~07시],$U941))</f>
        <v/>
      </c>
      <c r="Q941" s="20">
        <f>IF($U941="","",INDEX(상세표[07~18시],$U941))</f>
        <v/>
      </c>
      <c r="R941" s="20">
        <f>IF($U941="","",INDEX(상세표[18~22시],$U941))</f>
        <v/>
      </c>
      <c r="S941" s="20">
        <f>IF($U941="","",INDEX(상세표[22~06시],$U941))</f>
        <v/>
      </c>
      <c r="T941" s="20">
        <f>IF($U941="","",INDEX(상세표[기록 시간외],$U941))</f>
        <v/>
      </c>
      <c r="U941" s="4">
        <f>IFERROR(MATCH(936,상세표[발송순번],0),"")</f>
        <v/>
      </c>
    </row>
    <row r="942">
      <c r="J942">
        <f>IF($U942="","",INDEX(상세표[사번],$U942)&amp;"")</f>
        <v/>
      </c>
      <c r="K942">
        <f>IF($U942="","",INDEX(상세표[성명],$U942)&amp;"")</f>
        <v/>
      </c>
      <c r="L942">
        <f>IF($U942="","",INDEX(상세표[직위],$U942)&amp;"")</f>
        <v/>
      </c>
      <c r="M942">
        <f>IF($U942="","",IF(ISNUMBER(INDEX(상세표[근무일자],$U942)),TEXT(INDEX(상세표[근무일자],$U942),"yyyy-mm-dd"),INDEX(상세표[근무일자],$U942)&amp;""))</f>
        <v/>
      </c>
      <c r="N942">
        <f>IF($U942="","",IF(ISNUMBER(INDEX(상세표[시작],$U942)),TEXT(INDEX(상세표[시작],$U942),"yyyy-mm-dd hh:mm"),INDEX(상세표[시작],$U942)&amp;""))</f>
        <v/>
      </c>
      <c r="O942">
        <f>IF($U942="","",IF(ISNUMBER(INDEX(상세표[종료],$U942)),TEXT(INDEX(상세표[종료],$U942),"yyyy-mm-dd hh:mm"),INDEX(상세표[종료],$U942)&amp;""))</f>
        <v/>
      </c>
      <c r="P942" s="20">
        <f>IF($U942="","",INDEX(상세표[06~07시],$U942))</f>
        <v/>
      </c>
      <c r="Q942" s="20">
        <f>IF($U942="","",INDEX(상세표[07~18시],$U942))</f>
        <v/>
      </c>
      <c r="R942" s="20">
        <f>IF($U942="","",INDEX(상세표[18~22시],$U942))</f>
        <v/>
      </c>
      <c r="S942" s="20">
        <f>IF($U942="","",INDEX(상세표[22~06시],$U942))</f>
        <v/>
      </c>
      <c r="T942" s="20">
        <f>IF($U942="","",INDEX(상세표[기록 시간외],$U942))</f>
        <v/>
      </c>
      <c r="U942" s="4">
        <f>IFERROR(MATCH(937,상세표[발송순번],0),"")</f>
        <v/>
      </c>
    </row>
    <row r="943">
      <c r="J943">
        <f>IF($U943="","",INDEX(상세표[사번],$U943)&amp;"")</f>
        <v/>
      </c>
      <c r="K943">
        <f>IF($U943="","",INDEX(상세표[성명],$U943)&amp;"")</f>
        <v/>
      </c>
      <c r="L943">
        <f>IF($U943="","",INDEX(상세표[직위],$U943)&amp;"")</f>
        <v/>
      </c>
      <c r="M943">
        <f>IF($U943="","",IF(ISNUMBER(INDEX(상세표[근무일자],$U943)),TEXT(INDEX(상세표[근무일자],$U943),"yyyy-mm-dd"),INDEX(상세표[근무일자],$U943)&amp;""))</f>
        <v/>
      </c>
      <c r="N943">
        <f>IF($U943="","",IF(ISNUMBER(INDEX(상세표[시작],$U943)),TEXT(INDEX(상세표[시작],$U943),"yyyy-mm-dd hh:mm"),INDEX(상세표[시작],$U943)&amp;""))</f>
        <v/>
      </c>
      <c r="O943">
        <f>IF($U943="","",IF(ISNUMBER(INDEX(상세표[종료],$U943)),TEXT(INDEX(상세표[종료],$U943),"yyyy-mm-dd hh:mm"),INDEX(상세표[종료],$U943)&amp;""))</f>
        <v/>
      </c>
      <c r="P943" s="20">
        <f>IF($U943="","",INDEX(상세표[06~07시],$U943))</f>
        <v/>
      </c>
      <c r="Q943" s="20">
        <f>IF($U943="","",INDEX(상세표[07~18시],$U943))</f>
        <v/>
      </c>
      <c r="R943" s="20">
        <f>IF($U943="","",INDEX(상세표[18~22시],$U943))</f>
        <v/>
      </c>
      <c r="S943" s="20">
        <f>IF($U943="","",INDEX(상세표[22~06시],$U943))</f>
        <v/>
      </c>
      <c r="T943" s="20">
        <f>IF($U943="","",INDEX(상세표[기록 시간외],$U943))</f>
        <v/>
      </c>
      <c r="U943" s="4">
        <f>IFERROR(MATCH(938,상세표[발송순번],0),"")</f>
        <v/>
      </c>
    </row>
    <row r="944">
      <c r="J944">
        <f>IF($U944="","",INDEX(상세표[사번],$U944)&amp;"")</f>
        <v/>
      </c>
      <c r="K944">
        <f>IF($U944="","",INDEX(상세표[성명],$U944)&amp;"")</f>
        <v/>
      </c>
      <c r="L944">
        <f>IF($U944="","",INDEX(상세표[직위],$U944)&amp;"")</f>
        <v/>
      </c>
      <c r="M944">
        <f>IF($U944="","",IF(ISNUMBER(INDEX(상세표[근무일자],$U944)),TEXT(INDEX(상세표[근무일자],$U944),"yyyy-mm-dd"),INDEX(상세표[근무일자],$U944)&amp;""))</f>
        <v/>
      </c>
      <c r="N944">
        <f>IF($U944="","",IF(ISNUMBER(INDEX(상세표[시작],$U944)),TEXT(INDEX(상세표[시작],$U944),"yyyy-mm-dd hh:mm"),INDEX(상세표[시작],$U944)&amp;""))</f>
        <v/>
      </c>
      <c r="O944">
        <f>IF($U944="","",IF(ISNUMBER(INDEX(상세표[종료],$U944)),TEXT(INDEX(상세표[종료],$U944),"yyyy-mm-dd hh:mm"),INDEX(상세표[종료],$U944)&amp;""))</f>
        <v/>
      </c>
      <c r="P944" s="20">
        <f>IF($U944="","",INDEX(상세표[06~07시],$U944))</f>
        <v/>
      </c>
      <c r="Q944" s="20">
        <f>IF($U944="","",INDEX(상세표[07~18시],$U944))</f>
        <v/>
      </c>
      <c r="R944" s="20">
        <f>IF($U944="","",INDEX(상세표[18~22시],$U944))</f>
        <v/>
      </c>
      <c r="S944" s="20">
        <f>IF($U944="","",INDEX(상세표[22~06시],$U944))</f>
        <v/>
      </c>
      <c r="T944" s="20">
        <f>IF($U944="","",INDEX(상세표[기록 시간외],$U944))</f>
        <v/>
      </c>
      <c r="U944" s="4">
        <f>IFERROR(MATCH(939,상세표[발송순번],0),"")</f>
        <v/>
      </c>
    </row>
    <row r="945">
      <c r="J945">
        <f>IF($U945="","",INDEX(상세표[사번],$U945)&amp;"")</f>
        <v/>
      </c>
      <c r="K945">
        <f>IF($U945="","",INDEX(상세표[성명],$U945)&amp;"")</f>
        <v/>
      </c>
      <c r="L945">
        <f>IF($U945="","",INDEX(상세표[직위],$U945)&amp;"")</f>
        <v/>
      </c>
      <c r="M945">
        <f>IF($U945="","",IF(ISNUMBER(INDEX(상세표[근무일자],$U945)),TEXT(INDEX(상세표[근무일자],$U945),"yyyy-mm-dd"),INDEX(상세표[근무일자],$U945)&amp;""))</f>
        <v/>
      </c>
      <c r="N945">
        <f>IF($U945="","",IF(ISNUMBER(INDEX(상세표[시작],$U945)),TEXT(INDEX(상세표[시작],$U945),"yyyy-mm-dd hh:mm"),INDEX(상세표[시작],$U945)&amp;""))</f>
        <v/>
      </c>
      <c r="O945">
        <f>IF($U945="","",IF(ISNUMBER(INDEX(상세표[종료],$U945)),TEXT(INDEX(상세표[종료],$U945),"yyyy-mm-dd hh:mm"),INDEX(상세표[종료],$U945)&amp;""))</f>
        <v/>
      </c>
      <c r="P945" s="20">
        <f>IF($U945="","",INDEX(상세표[06~07시],$U945))</f>
        <v/>
      </c>
      <c r="Q945" s="20">
        <f>IF($U945="","",INDEX(상세표[07~18시],$U945))</f>
        <v/>
      </c>
      <c r="R945" s="20">
        <f>IF($U945="","",INDEX(상세표[18~22시],$U945))</f>
        <v/>
      </c>
      <c r="S945" s="20">
        <f>IF($U945="","",INDEX(상세표[22~06시],$U945))</f>
        <v/>
      </c>
      <c r="T945" s="20">
        <f>IF($U945="","",INDEX(상세표[기록 시간외],$U945))</f>
        <v/>
      </c>
      <c r="U945" s="4">
        <f>IFERROR(MATCH(940,상세표[발송순번],0),"")</f>
        <v/>
      </c>
    </row>
    <row r="946">
      <c r="J946">
        <f>IF($U946="","",INDEX(상세표[사번],$U946)&amp;"")</f>
        <v/>
      </c>
      <c r="K946">
        <f>IF($U946="","",INDEX(상세표[성명],$U946)&amp;"")</f>
        <v/>
      </c>
      <c r="L946">
        <f>IF($U946="","",INDEX(상세표[직위],$U946)&amp;"")</f>
        <v/>
      </c>
      <c r="M946">
        <f>IF($U946="","",IF(ISNUMBER(INDEX(상세표[근무일자],$U946)),TEXT(INDEX(상세표[근무일자],$U946),"yyyy-mm-dd"),INDEX(상세표[근무일자],$U946)&amp;""))</f>
        <v/>
      </c>
      <c r="N946">
        <f>IF($U946="","",IF(ISNUMBER(INDEX(상세표[시작],$U946)),TEXT(INDEX(상세표[시작],$U946),"yyyy-mm-dd hh:mm"),INDEX(상세표[시작],$U946)&amp;""))</f>
        <v/>
      </c>
      <c r="O946">
        <f>IF($U946="","",IF(ISNUMBER(INDEX(상세표[종료],$U946)),TEXT(INDEX(상세표[종료],$U946),"yyyy-mm-dd hh:mm"),INDEX(상세표[종료],$U946)&amp;""))</f>
        <v/>
      </c>
      <c r="P946" s="20">
        <f>IF($U946="","",INDEX(상세표[06~07시],$U946))</f>
        <v/>
      </c>
      <c r="Q946" s="20">
        <f>IF($U946="","",INDEX(상세표[07~18시],$U946))</f>
        <v/>
      </c>
      <c r="R946" s="20">
        <f>IF($U946="","",INDEX(상세표[18~22시],$U946))</f>
        <v/>
      </c>
      <c r="S946" s="20">
        <f>IF($U946="","",INDEX(상세표[22~06시],$U946))</f>
        <v/>
      </c>
      <c r="T946" s="20">
        <f>IF($U946="","",INDEX(상세표[기록 시간외],$U946))</f>
        <v/>
      </c>
      <c r="U946" s="4">
        <f>IFERROR(MATCH(941,상세표[발송순번],0),"")</f>
        <v/>
      </c>
    </row>
    <row r="947">
      <c r="J947">
        <f>IF($U947="","",INDEX(상세표[사번],$U947)&amp;"")</f>
        <v/>
      </c>
      <c r="K947">
        <f>IF($U947="","",INDEX(상세표[성명],$U947)&amp;"")</f>
        <v/>
      </c>
      <c r="L947">
        <f>IF($U947="","",INDEX(상세표[직위],$U947)&amp;"")</f>
        <v/>
      </c>
      <c r="M947">
        <f>IF($U947="","",IF(ISNUMBER(INDEX(상세표[근무일자],$U947)),TEXT(INDEX(상세표[근무일자],$U947),"yyyy-mm-dd"),INDEX(상세표[근무일자],$U947)&amp;""))</f>
        <v/>
      </c>
      <c r="N947">
        <f>IF($U947="","",IF(ISNUMBER(INDEX(상세표[시작],$U947)),TEXT(INDEX(상세표[시작],$U947),"yyyy-mm-dd hh:mm"),INDEX(상세표[시작],$U947)&amp;""))</f>
        <v/>
      </c>
      <c r="O947">
        <f>IF($U947="","",IF(ISNUMBER(INDEX(상세표[종료],$U947)),TEXT(INDEX(상세표[종료],$U947),"yyyy-mm-dd hh:mm"),INDEX(상세표[종료],$U947)&amp;""))</f>
        <v/>
      </c>
      <c r="P947" s="20">
        <f>IF($U947="","",INDEX(상세표[06~07시],$U947))</f>
        <v/>
      </c>
      <c r="Q947" s="20">
        <f>IF($U947="","",INDEX(상세표[07~18시],$U947))</f>
        <v/>
      </c>
      <c r="R947" s="20">
        <f>IF($U947="","",INDEX(상세표[18~22시],$U947))</f>
        <v/>
      </c>
      <c r="S947" s="20">
        <f>IF($U947="","",INDEX(상세표[22~06시],$U947))</f>
        <v/>
      </c>
      <c r="T947" s="20">
        <f>IF($U947="","",INDEX(상세표[기록 시간외],$U947))</f>
        <v/>
      </c>
      <c r="U947" s="4">
        <f>IFERROR(MATCH(942,상세표[발송순번],0),"")</f>
        <v/>
      </c>
    </row>
    <row r="948">
      <c r="J948">
        <f>IF($U948="","",INDEX(상세표[사번],$U948)&amp;"")</f>
        <v/>
      </c>
      <c r="K948">
        <f>IF($U948="","",INDEX(상세표[성명],$U948)&amp;"")</f>
        <v/>
      </c>
      <c r="L948">
        <f>IF($U948="","",INDEX(상세표[직위],$U948)&amp;"")</f>
        <v/>
      </c>
      <c r="M948">
        <f>IF($U948="","",IF(ISNUMBER(INDEX(상세표[근무일자],$U948)),TEXT(INDEX(상세표[근무일자],$U948),"yyyy-mm-dd"),INDEX(상세표[근무일자],$U948)&amp;""))</f>
        <v/>
      </c>
      <c r="N948">
        <f>IF($U948="","",IF(ISNUMBER(INDEX(상세표[시작],$U948)),TEXT(INDEX(상세표[시작],$U948),"yyyy-mm-dd hh:mm"),INDEX(상세표[시작],$U948)&amp;""))</f>
        <v/>
      </c>
      <c r="O948">
        <f>IF($U948="","",IF(ISNUMBER(INDEX(상세표[종료],$U948)),TEXT(INDEX(상세표[종료],$U948),"yyyy-mm-dd hh:mm"),INDEX(상세표[종료],$U948)&amp;""))</f>
        <v/>
      </c>
      <c r="P948" s="20">
        <f>IF($U948="","",INDEX(상세표[06~07시],$U948))</f>
        <v/>
      </c>
      <c r="Q948" s="20">
        <f>IF($U948="","",INDEX(상세표[07~18시],$U948))</f>
        <v/>
      </c>
      <c r="R948" s="20">
        <f>IF($U948="","",INDEX(상세표[18~22시],$U948))</f>
        <v/>
      </c>
      <c r="S948" s="20">
        <f>IF($U948="","",INDEX(상세표[22~06시],$U948))</f>
        <v/>
      </c>
      <c r="T948" s="20">
        <f>IF($U948="","",INDEX(상세표[기록 시간외],$U948))</f>
        <v/>
      </c>
      <c r="U948" s="4">
        <f>IFERROR(MATCH(943,상세표[발송순번],0),"")</f>
        <v/>
      </c>
    </row>
    <row r="949">
      <c r="J949">
        <f>IF($U949="","",INDEX(상세표[사번],$U949)&amp;"")</f>
        <v/>
      </c>
      <c r="K949">
        <f>IF($U949="","",INDEX(상세표[성명],$U949)&amp;"")</f>
        <v/>
      </c>
      <c r="L949">
        <f>IF($U949="","",INDEX(상세표[직위],$U949)&amp;"")</f>
        <v/>
      </c>
      <c r="M949">
        <f>IF($U949="","",IF(ISNUMBER(INDEX(상세표[근무일자],$U949)),TEXT(INDEX(상세표[근무일자],$U949),"yyyy-mm-dd"),INDEX(상세표[근무일자],$U949)&amp;""))</f>
        <v/>
      </c>
      <c r="N949">
        <f>IF($U949="","",IF(ISNUMBER(INDEX(상세표[시작],$U949)),TEXT(INDEX(상세표[시작],$U949),"yyyy-mm-dd hh:mm"),INDEX(상세표[시작],$U949)&amp;""))</f>
        <v/>
      </c>
      <c r="O949">
        <f>IF($U949="","",IF(ISNUMBER(INDEX(상세표[종료],$U949)),TEXT(INDEX(상세표[종료],$U949),"yyyy-mm-dd hh:mm"),INDEX(상세표[종료],$U949)&amp;""))</f>
        <v/>
      </c>
      <c r="P949" s="20">
        <f>IF($U949="","",INDEX(상세표[06~07시],$U949))</f>
        <v/>
      </c>
      <c r="Q949" s="20">
        <f>IF($U949="","",INDEX(상세표[07~18시],$U949))</f>
        <v/>
      </c>
      <c r="R949" s="20">
        <f>IF($U949="","",INDEX(상세표[18~22시],$U949))</f>
        <v/>
      </c>
      <c r="S949" s="20">
        <f>IF($U949="","",INDEX(상세표[22~06시],$U949))</f>
        <v/>
      </c>
      <c r="T949" s="20">
        <f>IF($U949="","",INDEX(상세표[기록 시간외],$U949))</f>
        <v/>
      </c>
      <c r="U949" s="4">
        <f>IFERROR(MATCH(944,상세표[발송순번],0),"")</f>
        <v/>
      </c>
    </row>
    <row r="950">
      <c r="J950">
        <f>IF($U950="","",INDEX(상세표[사번],$U950)&amp;"")</f>
        <v/>
      </c>
      <c r="K950">
        <f>IF($U950="","",INDEX(상세표[성명],$U950)&amp;"")</f>
        <v/>
      </c>
      <c r="L950">
        <f>IF($U950="","",INDEX(상세표[직위],$U950)&amp;"")</f>
        <v/>
      </c>
      <c r="M950">
        <f>IF($U950="","",IF(ISNUMBER(INDEX(상세표[근무일자],$U950)),TEXT(INDEX(상세표[근무일자],$U950),"yyyy-mm-dd"),INDEX(상세표[근무일자],$U950)&amp;""))</f>
        <v/>
      </c>
      <c r="N950">
        <f>IF($U950="","",IF(ISNUMBER(INDEX(상세표[시작],$U950)),TEXT(INDEX(상세표[시작],$U950),"yyyy-mm-dd hh:mm"),INDEX(상세표[시작],$U950)&amp;""))</f>
        <v/>
      </c>
      <c r="O950">
        <f>IF($U950="","",IF(ISNUMBER(INDEX(상세표[종료],$U950)),TEXT(INDEX(상세표[종료],$U950),"yyyy-mm-dd hh:mm"),INDEX(상세표[종료],$U950)&amp;""))</f>
        <v/>
      </c>
      <c r="P950" s="20">
        <f>IF($U950="","",INDEX(상세표[06~07시],$U950))</f>
        <v/>
      </c>
      <c r="Q950" s="20">
        <f>IF($U950="","",INDEX(상세표[07~18시],$U950))</f>
        <v/>
      </c>
      <c r="R950" s="20">
        <f>IF($U950="","",INDEX(상세표[18~22시],$U950))</f>
        <v/>
      </c>
      <c r="S950" s="20">
        <f>IF($U950="","",INDEX(상세표[22~06시],$U950))</f>
        <v/>
      </c>
      <c r="T950" s="20">
        <f>IF($U950="","",INDEX(상세표[기록 시간외],$U950))</f>
        <v/>
      </c>
      <c r="U950" s="4">
        <f>IFERROR(MATCH(945,상세표[발송순번],0),"")</f>
        <v/>
      </c>
    </row>
    <row r="951">
      <c r="J951">
        <f>IF($U951="","",INDEX(상세표[사번],$U951)&amp;"")</f>
        <v/>
      </c>
      <c r="K951">
        <f>IF($U951="","",INDEX(상세표[성명],$U951)&amp;"")</f>
        <v/>
      </c>
      <c r="L951">
        <f>IF($U951="","",INDEX(상세표[직위],$U951)&amp;"")</f>
        <v/>
      </c>
      <c r="M951">
        <f>IF($U951="","",IF(ISNUMBER(INDEX(상세표[근무일자],$U951)),TEXT(INDEX(상세표[근무일자],$U951),"yyyy-mm-dd"),INDEX(상세표[근무일자],$U951)&amp;""))</f>
        <v/>
      </c>
      <c r="N951">
        <f>IF($U951="","",IF(ISNUMBER(INDEX(상세표[시작],$U951)),TEXT(INDEX(상세표[시작],$U951),"yyyy-mm-dd hh:mm"),INDEX(상세표[시작],$U951)&amp;""))</f>
        <v/>
      </c>
      <c r="O951">
        <f>IF($U951="","",IF(ISNUMBER(INDEX(상세표[종료],$U951)),TEXT(INDEX(상세표[종료],$U951),"yyyy-mm-dd hh:mm"),INDEX(상세표[종료],$U951)&amp;""))</f>
        <v/>
      </c>
      <c r="P951" s="20">
        <f>IF($U951="","",INDEX(상세표[06~07시],$U951))</f>
        <v/>
      </c>
      <c r="Q951" s="20">
        <f>IF($U951="","",INDEX(상세표[07~18시],$U951))</f>
        <v/>
      </c>
      <c r="R951" s="20">
        <f>IF($U951="","",INDEX(상세표[18~22시],$U951))</f>
        <v/>
      </c>
      <c r="S951" s="20">
        <f>IF($U951="","",INDEX(상세표[22~06시],$U951))</f>
        <v/>
      </c>
      <c r="T951" s="20">
        <f>IF($U951="","",INDEX(상세표[기록 시간외],$U951))</f>
        <v/>
      </c>
      <c r="U951" s="4">
        <f>IFERROR(MATCH(946,상세표[발송순번],0),"")</f>
        <v/>
      </c>
    </row>
    <row r="952">
      <c r="J952">
        <f>IF($U952="","",INDEX(상세표[사번],$U952)&amp;"")</f>
        <v/>
      </c>
      <c r="K952">
        <f>IF($U952="","",INDEX(상세표[성명],$U952)&amp;"")</f>
        <v/>
      </c>
      <c r="L952">
        <f>IF($U952="","",INDEX(상세표[직위],$U952)&amp;"")</f>
        <v/>
      </c>
      <c r="M952">
        <f>IF($U952="","",IF(ISNUMBER(INDEX(상세표[근무일자],$U952)),TEXT(INDEX(상세표[근무일자],$U952),"yyyy-mm-dd"),INDEX(상세표[근무일자],$U952)&amp;""))</f>
        <v/>
      </c>
      <c r="N952">
        <f>IF($U952="","",IF(ISNUMBER(INDEX(상세표[시작],$U952)),TEXT(INDEX(상세표[시작],$U952),"yyyy-mm-dd hh:mm"),INDEX(상세표[시작],$U952)&amp;""))</f>
        <v/>
      </c>
      <c r="O952">
        <f>IF($U952="","",IF(ISNUMBER(INDEX(상세표[종료],$U952)),TEXT(INDEX(상세표[종료],$U952),"yyyy-mm-dd hh:mm"),INDEX(상세표[종료],$U952)&amp;""))</f>
        <v/>
      </c>
      <c r="P952" s="20">
        <f>IF($U952="","",INDEX(상세표[06~07시],$U952))</f>
        <v/>
      </c>
      <c r="Q952" s="20">
        <f>IF($U952="","",INDEX(상세표[07~18시],$U952))</f>
        <v/>
      </c>
      <c r="R952" s="20">
        <f>IF($U952="","",INDEX(상세표[18~22시],$U952))</f>
        <v/>
      </c>
      <c r="S952" s="20">
        <f>IF($U952="","",INDEX(상세표[22~06시],$U952))</f>
        <v/>
      </c>
      <c r="T952" s="20">
        <f>IF($U952="","",INDEX(상세표[기록 시간외],$U952))</f>
        <v/>
      </c>
      <c r="U952" s="4">
        <f>IFERROR(MATCH(947,상세표[발송순번],0),"")</f>
        <v/>
      </c>
    </row>
    <row r="953">
      <c r="J953">
        <f>IF($U953="","",INDEX(상세표[사번],$U953)&amp;"")</f>
        <v/>
      </c>
      <c r="K953">
        <f>IF($U953="","",INDEX(상세표[성명],$U953)&amp;"")</f>
        <v/>
      </c>
      <c r="L953">
        <f>IF($U953="","",INDEX(상세표[직위],$U953)&amp;"")</f>
        <v/>
      </c>
      <c r="M953">
        <f>IF($U953="","",IF(ISNUMBER(INDEX(상세표[근무일자],$U953)),TEXT(INDEX(상세표[근무일자],$U953),"yyyy-mm-dd"),INDEX(상세표[근무일자],$U953)&amp;""))</f>
        <v/>
      </c>
      <c r="N953">
        <f>IF($U953="","",IF(ISNUMBER(INDEX(상세표[시작],$U953)),TEXT(INDEX(상세표[시작],$U953),"yyyy-mm-dd hh:mm"),INDEX(상세표[시작],$U953)&amp;""))</f>
        <v/>
      </c>
      <c r="O953">
        <f>IF($U953="","",IF(ISNUMBER(INDEX(상세표[종료],$U953)),TEXT(INDEX(상세표[종료],$U953),"yyyy-mm-dd hh:mm"),INDEX(상세표[종료],$U953)&amp;""))</f>
        <v/>
      </c>
      <c r="P953" s="20">
        <f>IF($U953="","",INDEX(상세표[06~07시],$U953))</f>
        <v/>
      </c>
      <c r="Q953" s="20">
        <f>IF($U953="","",INDEX(상세표[07~18시],$U953))</f>
        <v/>
      </c>
      <c r="R953" s="20">
        <f>IF($U953="","",INDEX(상세표[18~22시],$U953))</f>
        <v/>
      </c>
      <c r="S953" s="20">
        <f>IF($U953="","",INDEX(상세표[22~06시],$U953))</f>
        <v/>
      </c>
      <c r="T953" s="20">
        <f>IF($U953="","",INDEX(상세표[기록 시간외],$U953))</f>
        <v/>
      </c>
      <c r="U953" s="4">
        <f>IFERROR(MATCH(948,상세표[발송순번],0),"")</f>
        <v/>
      </c>
    </row>
    <row r="954">
      <c r="J954">
        <f>IF($U954="","",INDEX(상세표[사번],$U954)&amp;"")</f>
        <v/>
      </c>
      <c r="K954">
        <f>IF($U954="","",INDEX(상세표[성명],$U954)&amp;"")</f>
        <v/>
      </c>
      <c r="L954">
        <f>IF($U954="","",INDEX(상세표[직위],$U954)&amp;"")</f>
        <v/>
      </c>
      <c r="M954">
        <f>IF($U954="","",IF(ISNUMBER(INDEX(상세표[근무일자],$U954)),TEXT(INDEX(상세표[근무일자],$U954),"yyyy-mm-dd"),INDEX(상세표[근무일자],$U954)&amp;""))</f>
        <v/>
      </c>
      <c r="N954">
        <f>IF($U954="","",IF(ISNUMBER(INDEX(상세표[시작],$U954)),TEXT(INDEX(상세표[시작],$U954),"yyyy-mm-dd hh:mm"),INDEX(상세표[시작],$U954)&amp;""))</f>
        <v/>
      </c>
      <c r="O954">
        <f>IF($U954="","",IF(ISNUMBER(INDEX(상세표[종료],$U954)),TEXT(INDEX(상세표[종료],$U954),"yyyy-mm-dd hh:mm"),INDEX(상세표[종료],$U954)&amp;""))</f>
        <v/>
      </c>
      <c r="P954" s="20">
        <f>IF($U954="","",INDEX(상세표[06~07시],$U954))</f>
        <v/>
      </c>
      <c r="Q954" s="20">
        <f>IF($U954="","",INDEX(상세표[07~18시],$U954))</f>
        <v/>
      </c>
      <c r="R954" s="20">
        <f>IF($U954="","",INDEX(상세표[18~22시],$U954))</f>
        <v/>
      </c>
      <c r="S954" s="20">
        <f>IF($U954="","",INDEX(상세표[22~06시],$U954))</f>
        <v/>
      </c>
      <c r="T954" s="20">
        <f>IF($U954="","",INDEX(상세표[기록 시간외],$U954))</f>
        <v/>
      </c>
      <c r="U954" s="4">
        <f>IFERROR(MATCH(949,상세표[발송순번],0),"")</f>
        <v/>
      </c>
    </row>
    <row r="955">
      <c r="J955">
        <f>IF($U955="","",INDEX(상세표[사번],$U955)&amp;"")</f>
        <v/>
      </c>
      <c r="K955">
        <f>IF($U955="","",INDEX(상세표[성명],$U955)&amp;"")</f>
        <v/>
      </c>
      <c r="L955">
        <f>IF($U955="","",INDEX(상세표[직위],$U955)&amp;"")</f>
        <v/>
      </c>
      <c r="M955">
        <f>IF($U955="","",IF(ISNUMBER(INDEX(상세표[근무일자],$U955)),TEXT(INDEX(상세표[근무일자],$U955),"yyyy-mm-dd"),INDEX(상세표[근무일자],$U955)&amp;""))</f>
        <v/>
      </c>
      <c r="N955">
        <f>IF($U955="","",IF(ISNUMBER(INDEX(상세표[시작],$U955)),TEXT(INDEX(상세표[시작],$U955),"yyyy-mm-dd hh:mm"),INDEX(상세표[시작],$U955)&amp;""))</f>
        <v/>
      </c>
      <c r="O955">
        <f>IF($U955="","",IF(ISNUMBER(INDEX(상세표[종료],$U955)),TEXT(INDEX(상세표[종료],$U955),"yyyy-mm-dd hh:mm"),INDEX(상세표[종료],$U955)&amp;""))</f>
        <v/>
      </c>
      <c r="P955" s="20">
        <f>IF($U955="","",INDEX(상세표[06~07시],$U955))</f>
        <v/>
      </c>
      <c r="Q955" s="20">
        <f>IF($U955="","",INDEX(상세표[07~18시],$U955))</f>
        <v/>
      </c>
      <c r="R955" s="20">
        <f>IF($U955="","",INDEX(상세표[18~22시],$U955))</f>
        <v/>
      </c>
      <c r="S955" s="20">
        <f>IF($U955="","",INDEX(상세표[22~06시],$U955))</f>
        <v/>
      </c>
      <c r="T955" s="20">
        <f>IF($U955="","",INDEX(상세표[기록 시간외],$U955))</f>
        <v/>
      </c>
      <c r="U955" s="4">
        <f>IFERROR(MATCH(950,상세표[발송순번],0),"")</f>
        <v/>
      </c>
    </row>
    <row r="956">
      <c r="J956">
        <f>IF($U956="","",INDEX(상세표[사번],$U956)&amp;"")</f>
        <v/>
      </c>
      <c r="K956">
        <f>IF($U956="","",INDEX(상세표[성명],$U956)&amp;"")</f>
        <v/>
      </c>
      <c r="L956">
        <f>IF($U956="","",INDEX(상세표[직위],$U956)&amp;"")</f>
        <v/>
      </c>
      <c r="M956">
        <f>IF($U956="","",IF(ISNUMBER(INDEX(상세표[근무일자],$U956)),TEXT(INDEX(상세표[근무일자],$U956),"yyyy-mm-dd"),INDEX(상세표[근무일자],$U956)&amp;""))</f>
        <v/>
      </c>
      <c r="N956">
        <f>IF($U956="","",IF(ISNUMBER(INDEX(상세표[시작],$U956)),TEXT(INDEX(상세표[시작],$U956),"yyyy-mm-dd hh:mm"),INDEX(상세표[시작],$U956)&amp;""))</f>
        <v/>
      </c>
      <c r="O956">
        <f>IF($U956="","",IF(ISNUMBER(INDEX(상세표[종료],$U956)),TEXT(INDEX(상세표[종료],$U956),"yyyy-mm-dd hh:mm"),INDEX(상세표[종료],$U956)&amp;""))</f>
        <v/>
      </c>
      <c r="P956" s="20">
        <f>IF($U956="","",INDEX(상세표[06~07시],$U956))</f>
        <v/>
      </c>
      <c r="Q956" s="20">
        <f>IF($U956="","",INDEX(상세표[07~18시],$U956))</f>
        <v/>
      </c>
      <c r="R956" s="20">
        <f>IF($U956="","",INDEX(상세표[18~22시],$U956))</f>
        <v/>
      </c>
      <c r="S956" s="20">
        <f>IF($U956="","",INDEX(상세표[22~06시],$U956))</f>
        <v/>
      </c>
      <c r="T956" s="20">
        <f>IF($U956="","",INDEX(상세표[기록 시간외],$U956))</f>
        <v/>
      </c>
      <c r="U956" s="4">
        <f>IFERROR(MATCH(951,상세표[발송순번],0),"")</f>
        <v/>
      </c>
    </row>
    <row r="957">
      <c r="J957">
        <f>IF($U957="","",INDEX(상세표[사번],$U957)&amp;"")</f>
        <v/>
      </c>
      <c r="K957">
        <f>IF($U957="","",INDEX(상세표[성명],$U957)&amp;"")</f>
        <v/>
      </c>
      <c r="L957">
        <f>IF($U957="","",INDEX(상세표[직위],$U957)&amp;"")</f>
        <v/>
      </c>
      <c r="M957">
        <f>IF($U957="","",IF(ISNUMBER(INDEX(상세표[근무일자],$U957)),TEXT(INDEX(상세표[근무일자],$U957),"yyyy-mm-dd"),INDEX(상세표[근무일자],$U957)&amp;""))</f>
        <v/>
      </c>
      <c r="N957">
        <f>IF($U957="","",IF(ISNUMBER(INDEX(상세표[시작],$U957)),TEXT(INDEX(상세표[시작],$U957),"yyyy-mm-dd hh:mm"),INDEX(상세표[시작],$U957)&amp;""))</f>
        <v/>
      </c>
      <c r="O957">
        <f>IF($U957="","",IF(ISNUMBER(INDEX(상세표[종료],$U957)),TEXT(INDEX(상세표[종료],$U957),"yyyy-mm-dd hh:mm"),INDEX(상세표[종료],$U957)&amp;""))</f>
        <v/>
      </c>
      <c r="P957" s="20">
        <f>IF($U957="","",INDEX(상세표[06~07시],$U957))</f>
        <v/>
      </c>
      <c r="Q957" s="20">
        <f>IF($U957="","",INDEX(상세표[07~18시],$U957))</f>
        <v/>
      </c>
      <c r="R957" s="20">
        <f>IF($U957="","",INDEX(상세표[18~22시],$U957))</f>
        <v/>
      </c>
      <c r="S957" s="20">
        <f>IF($U957="","",INDEX(상세표[22~06시],$U957))</f>
        <v/>
      </c>
      <c r="T957" s="20">
        <f>IF($U957="","",INDEX(상세표[기록 시간외],$U957))</f>
        <v/>
      </c>
      <c r="U957" s="4">
        <f>IFERROR(MATCH(952,상세표[발송순번],0),"")</f>
        <v/>
      </c>
    </row>
    <row r="958">
      <c r="J958">
        <f>IF($U958="","",INDEX(상세표[사번],$U958)&amp;"")</f>
        <v/>
      </c>
      <c r="K958">
        <f>IF($U958="","",INDEX(상세표[성명],$U958)&amp;"")</f>
        <v/>
      </c>
      <c r="L958">
        <f>IF($U958="","",INDEX(상세표[직위],$U958)&amp;"")</f>
        <v/>
      </c>
      <c r="M958">
        <f>IF($U958="","",IF(ISNUMBER(INDEX(상세표[근무일자],$U958)),TEXT(INDEX(상세표[근무일자],$U958),"yyyy-mm-dd"),INDEX(상세표[근무일자],$U958)&amp;""))</f>
        <v/>
      </c>
      <c r="N958">
        <f>IF($U958="","",IF(ISNUMBER(INDEX(상세표[시작],$U958)),TEXT(INDEX(상세표[시작],$U958),"yyyy-mm-dd hh:mm"),INDEX(상세표[시작],$U958)&amp;""))</f>
        <v/>
      </c>
      <c r="O958">
        <f>IF($U958="","",IF(ISNUMBER(INDEX(상세표[종료],$U958)),TEXT(INDEX(상세표[종료],$U958),"yyyy-mm-dd hh:mm"),INDEX(상세표[종료],$U958)&amp;""))</f>
        <v/>
      </c>
      <c r="P958" s="20">
        <f>IF($U958="","",INDEX(상세표[06~07시],$U958))</f>
        <v/>
      </c>
      <c r="Q958" s="20">
        <f>IF($U958="","",INDEX(상세표[07~18시],$U958))</f>
        <v/>
      </c>
      <c r="R958" s="20">
        <f>IF($U958="","",INDEX(상세표[18~22시],$U958))</f>
        <v/>
      </c>
      <c r="S958" s="20">
        <f>IF($U958="","",INDEX(상세표[22~06시],$U958))</f>
        <v/>
      </c>
      <c r="T958" s="20">
        <f>IF($U958="","",INDEX(상세표[기록 시간외],$U958))</f>
        <v/>
      </c>
      <c r="U958" s="4">
        <f>IFERROR(MATCH(953,상세표[발송순번],0),"")</f>
        <v/>
      </c>
    </row>
    <row r="959">
      <c r="J959">
        <f>IF($U959="","",INDEX(상세표[사번],$U959)&amp;"")</f>
        <v/>
      </c>
      <c r="K959">
        <f>IF($U959="","",INDEX(상세표[성명],$U959)&amp;"")</f>
        <v/>
      </c>
      <c r="L959">
        <f>IF($U959="","",INDEX(상세표[직위],$U959)&amp;"")</f>
        <v/>
      </c>
      <c r="M959">
        <f>IF($U959="","",IF(ISNUMBER(INDEX(상세표[근무일자],$U959)),TEXT(INDEX(상세표[근무일자],$U959),"yyyy-mm-dd"),INDEX(상세표[근무일자],$U959)&amp;""))</f>
        <v/>
      </c>
      <c r="N959">
        <f>IF($U959="","",IF(ISNUMBER(INDEX(상세표[시작],$U959)),TEXT(INDEX(상세표[시작],$U959),"yyyy-mm-dd hh:mm"),INDEX(상세표[시작],$U959)&amp;""))</f>
        <v/>
      </c>
      <c r="O959">
        <f>IF($U959="","",IF(ISNUMBER(INDEX(상세표[종료],$U959)),TEXT(INDEX(상세표[종료],$U959),"yyyy-mm-dd hh:mm"),INDEX(상세표[종료],$U959)&amp;""))</f>
        <v/>
      </c>
      <c r="P959" s="20">
        <f>IF($U959="","",INDEX(상세표[06~07시],$U959))</f>
        <v/>
      </c>
      <c r="Q959" s="20">
        <f>IF($U959="","",INDEX(상세표[07~18시],$U959))</f>
        <v/>
      </c>
      <c r="R959" s="20">
        <f>IF($U959="","",INDEX(상세표[18~22시],$U959))</f>
        <v/>
      </c>
      <c r="S959" s="20">
        <f>IF($U959="","",INDEX(상세표[22~06시],$U959))</f>
        <v/>
      </c>
      <c r="T959" s="20">
        <f>IF($U959="","",INDEX(상세표[기록 시간외],$U959))</f>
        <v/>
      </c>
      <c r="U959" s="4">
        <f>IFERROR(MATCH(954,상세표[발송순번],0),"")</f>
        <v/>
      </c>
    </row>
    <row r="960">
      <c r="J960">
        <f>IF($U960="","",INDEX(상세표[사번],$U960)&amp;"")</f>
        <v/>
      </c>
      <c r="K960">
        <f>IF($U960="","",INDEX(상세표[성명],$U960)&amp;"")</f>
        <v/>
      </c>
      <c r="L960">
        <f>IF($U960="","",INDEX(상세표[직위],$U960)&amp;"")</f>
        <v/>
      </c>
      <c r="M960">
        <f>IF($U960="","",IF(ISNUMBER(INDEX(상세표[근무일자],$U960)),TEXT(INDEX(상세표[근무일자],$U960),"yyyy-mm-dd"),INDEX(상세표[근무일자],$U960)&amp;""))</f>
        <v/>
      </c>
      <c r="N960">
        <f>IF($U960="","",IF(ISNUMBER(INDEX(상세표[시작],$U960)),TEXT(INDEX(상세표[시작],$U960),"yyyy-mm-dd hh:mm"),INDEX(상세표[시작],$U960)&amp;""))</f>
        <v/>
      </c>
      <c r="O960">
        <f>IF($U960="","",IF(ISNUMBER(INDEX(상세표[종료],$U960)),TEXT(INDEX(상세표[종료],$U960),"yyyy-mm-dd hh:mm"),INDEX(상세표[종료],$U960)&amp;""))</f>
        <v/>
      </c>
      <c r="P960" s="20">
        <f>IF($U960="","",INDEX(상세표[06~07시],$U960))</f>
        <v/>
      </c>
      <c r="Q960" s="20">
        <f>IF($U960="","",INDEX(상세표[07~18시],$U960))</f>
        <v/>
      </c>
      <c r="R960" s="20">
        <f>IF($U960="","",INDEX(상세표[18~22시],$U960))</f>
        <v/>
      </c>
      <c r="S960" s="20">
        <f>IF($U960="","",INDEX(상세표[22~06시],$U960))</f>
        <v/>
      </c>
      <c r="T960" s="20">
        <f>IF($U960="","",INDEX(상세표[기록 시간외],$U960))</f>
        <v/>
      </c>
      <c r="U960" s="4">
        <f>IFERROR(MATCH(955,상세표[발송순번],0),"")</f>
        <v/>
      </c>
    </row>
    <row r="961">
      <c r="J961">
        <f>IF($U961="","",INDEX(상세표[사번],$U961)&amp;"")</f>
        <v/>
      </c>
      <c r="K961">
        <f>IF($U961="","",INDEX(상세표[성명],$U961)&amp;"")</f>
        <v/>
      </c>
      <c r="L961">
        <f>IF($U961="","",INDEX(상세표[직위],$U961)&amp;"")</f>
        <v/>
      </c>
      <c r="M961">
        <f>IF($U961="","",IF(ISNUMBER(INDEX(상세표[근무일자],$U961)),TEXT(INDEX(상세표[근무일자],$U961),"yyyy-mm-dd"),INDEX(상세표[근무일자],$U961)&amp;""))</f>
        <v/>
      </c>
      <c r="N961">
        <f>IF($U961="","",IF(ISNUMBER(INDEX(상세표[시작],$U961)),TEXT(INDEX(상세표[시작],$U961),"yyyy-mm-dd hh:mm"),INDEX(상세표[시작],$U961)&amp;""))</f>
        <v/>
      </c>
      <c r="O961">
        <f>IF($U961="","",IF(ISNUMBER(INDEX(상세표[종료],$U961)),TEXT(INDEX(상세표[종료],$U961),"yyyy-mm-dd hh:mm"),INDEX(상세표[종료],$U961)&amp;""))</f>
        <v/>
      </c>
      <c r="P961" s="20">
        <f>IF($U961="","",INDEX(상세표[06~07시],$U961))</f>
        <v/>
      </c>
      <c r="Q961" s="20">
        <f>IF($U961="","",INDEX(상세표[07~18시],$U961))</f>
        <v/>
      </c>
      <c r="R961" s="20">
        <f>IF($U961="","",INDEX(상세표[18~22시],$U961))</f>
        <v/>
      </c>
      <c r="S961" s="20">
        <f>IF($U961="","",INDEX(상세표[22~06시],$U961))</f>
        <v/>
      </c>
      <c r="T961" s="20">
        <f>IF($U961="","",INDEX(상세표[기록 시간외],$U961))</f>
        <v/>
      </c>
      <c r="U961" s="4">
        <f>IFERROR(MATCH(956,상세표[발송순번],0),"")</f>
        <v/>
      </c>
    </row>
    <row r="962">
      <c r="J962">
        <f>IF($U962="","",INDEX(상세표[사번],$U962)&amp;"")</f>
        <v/>
      </c>
      <c r="K962">
        <f>IF($U962="","",INDEX(상세표[성명],$U962)&amp;"")</f>
        <v/>
      </c>
      <c r="L962">
        <f>IF($U962="","",INDEX(상세표[직위],$U962)&amp;"")</f>
        <v/>
      </c>
      <c r="M962">
        <f>IF($U962="","",IF(ISNUMBER(INDEX(상세표[근무일자],$U962)),TEXT(INDEX(상세표[근무일자],$U962),"yyyy-mm-dd"),INDEX(상세표[근무일자],$U962)&amp;""))</f>
        <v/>
      </c>
      <c r="N962">
        <f>IF($U962="","",IF(ISNUMBER(INDEX(상세표[시작],$U962)),TEXT(INDEX(상세표[시작],$U962),"yyyy-mm-dd hh:mm"),INDEX(상세표[시작],$U962)&amp;""))</f>
        <v/>
      </c>
      <c r="O962">
        <f>IF($U962="","",IF(ISNUMBER(INDEX(상세표[종료],$U962)),TEXT(INDEX(상세표[종료],$U962),"yyyy-mm-dd hh:mm"),INDEX(상세표[종료],$U962)&amp;""))</f>
        <v/>
      </c>
      <c r="P962" s="20">
        <f>IF($U962="","",INDEX(상세표[06~07시],$U962))</f>
        <v/>
      </c>
      <c r="Q962" s="20">
        <f>IF($U962="","",INDEX(상세표[07~18시],$U962))</f>
        <v/>
      </c>
      <c r="R962" s="20">
        <f>IF($U962="","",INDEX(상세표[18~22시],$U962))</f>
        <v/>
      </c>
      <c r="S962" s="20">
        <f>IF($U962="","",INDEX(상세표[22~06시],$U962))</f>
        <v/>
      </c>
      <c r="T962" s="20">
        <f>IF($U962="","",INDEX(상세표[기록 시간외],$U962))</f>
        <v/>
      </c>
      <c r="U962" s="4">
        <f>IFERROR(MATCH(957,상세표[발송순번],0),"")</f>
        <v/>
      </c>
    </row>
    <row r="963">
      <c r="J963">
        <f>IF($U963="","",INDEX(상세표[사번],$U963)&amp;"")</f>
        <v/>
      </c>
      <c r="K963">
        <f>IF($U963="","",INDEX(상세표[성명],$U963)&amp;"")</f>
        <v/>
      </c>
      <c r="L963">
        <f>IF($U963="","",INDEX(상세표[직위],$U963)&amp;"")</f>
        <v/>
      </c>
      <c r="M963">
        <f>IF($U963="","",IF(ISNUMBER(INDEX(상세표[근무일자],$U963)),TEXT(INDEX(상세표[근무일자],$U963),"yyyy-mm-dd"),INDEX(상세표[근무일자],$U963)&amp;""))</f>
        <v/>
      </c>
      <c r="N963">
        <f>IF($U963="","",IF(ISNUMBER(INDEX(상세표[시작],$U963)),TEXT(INDEX(상세표[시작],$U963),"yyyy-mm-dd hh:mm"),INDEX(상세표[시작],$U963)&amp;""))</f>
        <v/>
      </c>
      <c r="O963">
        <f>IF($U963="","",IF(ISNUMBER(INDEX(상세표[종료],$U963)),TEXT(INDEX(상세표[종료],$U963),"yyyy-mm-dd hh:mm"),INDEX(상세표[종료],$U963)&amp;""))</f>
        <v/>
      </c>
      <c r="P963" s="20">
        <f>IF($U963="","",INDEX(상세표[06~07시],$U963))</f>
        <v/>
      </c>
      <c r="Q963" s="20">
        <f>IF($U963="","",INDEX(상세표[07~18시],$U963))</f>
        <v/>
      </c>
      <c r="R963" s="20">
        <f>IF($U963="","",INDEX(상세표[18~22시],$U963))</f>
        <v/>
      </c>
      <c r="S963" s="20">
        <f>IF($U963="","",INDEX(상세표[22~06시],$U963))</f>
        <v/>
      </c>
      <c r="T963" s="20">
        <f>IF($U963="","",INDEX(상세표[기록 시간외],$U963))</f>
        <v/>
      </c>
      <c r="U963" s="4">
        <f>IFERROR(MATCH(958,상세표[발송순번],0),"")</f>
        <v/>
      </c>
    </row>
    <row r="964">
      <c r="J964">
        <f>IF($U964="","",INDEX(상세표[사번],$U964)&amp;"")</f>
        <v/>
      </c>
      <c r="K964">
        <f>IF($U964="","",INDEX(상세표[성명],$U964)&amp;"")</f>
        <v/>
      </c>
      <c r="L964">
        <f>IF($U964="","",INDEX(상세표[직위],$U964)&amp;"")</f>
        <v/>
      </c>
      <c r="M964">
        <f>IF($U964="","",IF(ISNUMBER(INDEX(상세표[근무일자],$U964)),TEXT(INDEX(상세표[근무일자],$U964),"yyyy-mm-dd"),INDEX(상세표[근무일자],$U964)&amp;""))</f>
        <v/>
      </c>
      <c r="N964">
        <f>IF($U964="","",IF(ISNUMBER(INDEX(상세표[시작],$U964)),TEXT(INDEX(상세표[시작],$U964),"yyyy-mm-dd hh:mm"),INDEX(상세표[시작],$U964)&amp;""))</f>
        <v/>
      </c>
      <c r="O964">
        <f>IF($U964="","",IF(ISNUMBER(INDEX(상세표[종료],$U964)),TEXT(INDEX(상세표[종료],$U964),"yyyy-mm-dd hh:mm"),INDEX(상세표[종료],$U964)&amp;""))</f>
        <v/>
      </c>
      <c r="P964" s="20">
        <f>IF($U964="","",INDEX(상세표[06~07시],$U964))</f>
        <v/>
      </c>
      <c r="Q964" s="20">
        <f>IF($U964="","",INDEX(상세표[07~18시],$U964))</f>
        <v/>
      </c>
      <c r="R964" s="20">
        <f>IF($U964="","",INDEX(상세표[18~22시],$U964))</f>
        <v/>
      </c>
      <c r="S964" s="20">
        <f>IF($U964="","",INDEX(상세표[22~06시],$U964))</f>
        <v/>
      </c>
      <c r="T964" s="20">
        <f>IF($U964="","",INDEX(상세표[기록 시간외],$U964))</f>
        <v/>
      </c>
      <c r="U964" s="4">
        <f>IFERROR(MATCH(959,상세표[발송순번],0),"")</f>
        <v/>
      </c>
    </row>
    <row r="965">
      <c r="J965">
        <f>IF($U965="","",INDEX(상세표[사번],$U965)&amp;"")</f>
        <v/>
      </c>
      <c r="K965">
        <f>IF($U965="","",INDEX(상세표[성명],$U965)&amp;"")</f>
        <v/>
      </c>
      <c r="L965">
        <f>IF($U965="","",INDEX(상세표[직위],$U965)&amp;"")</f>
        <v/>
      </c>
      <c r="M965">
        <f>IF($U965="","",IF(ISNUMBER(INDEX(상세표[근무일자],$U965)),TEXT(INDEX(상세표[근무일자],$U965),"yyyy-mm-dd"),INDEX(상세표[근무일자],$U965)&amp;""))</f>
        <v/>
      </c>
      <c r="N965">
        <f>IF($U965="","",IF(ISNUMBER(INDEX(상세표[시작],$U965)),TEXT(INDEX(상세표[시작],$U965),"yyyy-mm-dd hh:mm"),INDEX(상세표[시작],$U965)&amp;""))</f>
        <v/>
      </c>
      <c r="O965">
        <f>IF($U965="","",IF(ISNUMBER(INDEX(상세표[종료],$U965)),TEXT(INDEX(상세표[종료],$U965),"yyyy-mm-dd hh:mm"),INDEX(상세표[종료],$U965)&amp;""))</f>
        <v/>
      </c>
      <c r="P965" s="20">
        <f>IF($U965="","",INDEX(상세표[06~07시],$U965))</f>
        <v/>
      </c>
      <c r="Q965" s="20">
        <f>IF($U965="","",INDEX(상세표[07~18시],$U965))</f>
        <v/>
      </c>
      <c r="R965" s="20">
        <f>IF($U965="","",INDEX(상세표[18~22시],$U965))</f>
        <v/>
      </c>
      <c r="S965" s="20">
        <f>IF($U965="","",INDEX(상세표[22~06시],$U965))</f>
        <v/>
      </c>
      <c r="T965" s="20">
        <f>IF($U965="","",INDEX(상세표[기록 시간외],$U965))</f>
        <v/>
      </c>
      <c r="U965" s="4">
        <f>IFERROR(MATCH(960,상세표[발송순번],0),"")</f>
        <v/>
      </c>
    </row>
    <row r="966">
      <c r="J966">
        <f>IF($U966="","",INDEX(상세표[사번],$U966)&amp;"")</f>
        <v/>
      </c>
      <c r="K966">
        <f>IF($U966="","",INDEX(상세표[성명],$U966)&amp;"")</f>
        <v/>
      </c>
      <c r="L966">
        <f>IF($U966="","",INDEX(상세표[직위],$U966)&amp;"")</f>
        <v/>
      </c>
      <c r="M966">
        <f>IF($U966="","",IF(ISNUMBER(INDEX(상세표[근무일자],$U966)),TEXT(INDEX(상세표[근무일자],$U966),"yyyy-mm-dd"),INDEX(상세표[근무일자],$U966)&amp;""))</f>
        <v/>
      </c>
      <c r="N966">
        <f>IF($U966="","",IF(ISNUMBER(INDEX(상세표[시작],$U966)),TEXT(INDEX(상세표[시작],$U966),"yyyy-mm-dd hh:mm"),INDEX(상세표[시작],$U966)&amp;""))</f>
        <v/>
      </c>
      <c r="O966">
        <f>IF($U966="","",IF(ISNUMBER(INDEX(상세표[종료],$U966)),TEXT(INDEX(상세표[종료],$U966),"yyyy-mm-dd hh:mm"),INDEX(상세표[종료],$U966)&amp;""))</f>
        <v/>
      </c>
      <c r="P966" s="20">
        <f>IF($U966="","",INDEX(상세표[06~07시],$U966))</f>
        <v/>
      </c>
      <c r="Q966" s="20">
        <f>IF($U966="","",INDEX(상세표[07~18시],$U966))</f>
        <v/>
      </c>
      <c r="R966" s="20">
        <f>IF($U966="","",INDEX(상세표[18~22시],$U966))</f>
        <v/>
      </c>
      <c r="S966" s="20">
        <f>IF($U966="","",INDEX(상세표[22~06시],$U966))</f>
        <v/>
      </c>
      <c r="T966" s="20">
        <f>IF($U966="","",INDEX(상세표[기록 시간외],$U966))</f>
        <v/>
      </c>
      <c r="U966" s="4">
        <f>IFERROR(MATCH(961,상세표[발송순번],0),"")</f>
        <v/>
      </c>
    </row>
    <row r="967">
      <c r="J967">
        <f>IF($U967="","",INDEX(상세표[사번],$U967)&amp;"")</f>
        <v/>
      </c>
      <c r="K967">
        <f>IF($U967="","",INDEX(상세표[성명],$U967)&amp;"")</f>
        <v/>
      </c>
      <c r="L967">
        <f>IF($U967="","",INDEX(상세표[직위],$U967)&amp;"")</f>
        <v/>
      </c>
      <c r="M967">
        <f>IF($U967="","",IF(ISNUMBER(INDEX(상세표[근무일자],$U967)),TEXT(INDEX(상세표[근무일자],$U967),"yyyy-mm-dd"),INDEX(상세표[근무일자],$U967)&amp;""))</f>
        <v/>
      </c>
      <c r="N967">
        <f>IF($U967="","",IF(ISNUMBER(INDEX(상세표[시작],$U967)),TEXT(INDEX(상세표[시작],$U967),"yyyy-mm-dd hh:mm"),INDEX(상세표[시작],$U967)&amp;""))</f>
        <v/>
      </c>
      <c r="O967">
        <f>IF($U967="","",IF(ISNUMBER(INDEX(상세표[종료],$U967)),TEXT(INDEX(상세표[종료],$U967),"yyyy-mm-dd hh:mm"),INDEX(상세표[종료],$U967)&amp;""))</f>
        <v/>
      </c>
      <c r="P967" s="20">
        <f>IF($U967="","",INDEX(상세표[06~07시],$U967))</f>
        <v/>
      </c>
      <c r="Q967" s="20">
        <f>IF($U967="","",INDEX(상세표[07~18시],$U967))</f>
        <v/>
      </c>
      <c r="R967" s="20">
        <f>IF($U967="","",INDEX(상세표[18~22시],$U967))</f>
        <v/>
      </c>
      <c r="S967" s="20">
        <f>IF($U967="","",INDEX(상세표[22~06시],$U967))</f>
        <v/>
      </c>
      <c r="T967" s="20">
        <f>IF($U967="","",INDEX(상세표[기록 시간외],$U967))</f>
        <v/>
      </c>
      <c r="U967" s="4">
        <f>IFERROR(MATCH(962,상세표[발송순번],0),"")</f>
        <v/>
      </c>
    </row>
    <row r="968">
      <c r="J968">
        <f>IF($U968="","",INDEX(상세표[사번],$U968)&amp;"")</f>
        <v/>
      </c>
      <c r="K968">
        <f>IF($U968="","",INDEX(상세표[성명],$U968)&amp;"")</f>
        <v/>
      </c>
      <c r="L968">
        <f>IF($U968="","",INDEX(상세표[직위],$U968)&amp;"")</f>
        <v/>
      </c>
      <c r="M968">
        <f>IF($U968="","",IF(ISNUMBER(INDEX(상세표[근무일자],$U968)),TEXT(INDEX(상세표[근무일자],$U968),"yyyy-mm-dd"),INDEX(상세표[근무일자],$U968)&amp;""))</f>
        <v/>
      </c>
      <c r="N968">
        <f>IF($U968="","",IF(ISNUMBER(INDEX(상세표[시작],$U968)),TEXT(INDEX(상세표[시작],$U968),"yyyy-mm-dd hh:mm"),INDEX(상세표[시작],$U968)&amp;""))</f>
        <v/>
      </c>
      <c r="O968">
        <f>IF($U968="","",IF(ISNUMBER(INDEX(상세표[종료],$U968)),TEXT(INDEX(상세표[종료],$U968),"yyyy-mm-dd hh:mm"),INDEX(상세표[종료],$U968)&amp;""))</f>
        <v/>
      </c>
      <c r="P968" s="20">
        <f>IF($U968="","",INDEX(상세표[06~07시],$U968))</f>
        <v/>
      </c>
      <c r="Q968" s="20">
        <f>IF($U968="","",INDEX(상세표[07~18시],$U968))</f>
        <v/>
      </c>
      <c r="R968" s="20">
        <f>IF($U968="","",INDEX(상세표[18~22시],$U968))</f>
        <v/>
      </c>
      <c r="S968" s="20">
        <f>IF($U968="","",INDEX(상세표[22~06시],$U968))</f>
        <v/>
      </c>
      <c r="T968" s="20">
        <f>IF($U968="","",INDEX(상세표[기록 시간외],$U968))</f>
        <v/>
      </c>
      <c r="U968" s="4">
        <f>IFERROR(MATCH(963,상세표[발송순번],0),"")</f>
        <v/>
      </c>
    </row>
    <row r="969">
      <c r="J969">
        <f>IF($U969="","",INDEX(상세표[사번],$U969)&amp;"")</f>
        <v/>
      </c>
      <c r="K969">
        <f>IF($U969="","",INDEX(상세표[성명],$U969)&amp;"")</f>
        <v/>
      </c>
      <c r="L969">
        <f>IF($U969="","",INDEX(상세표[직위],$U969)&amp;"")</f>
        <v/>
      </c>
      <c r="M969">
        <f>IF($U969="","",IF(ISNUMBER(INDEX(상세표[근무일자],$U969)),TEXT(INDEX(상세표[근무일자],$U969),"yyyy-mm-dd"),INDEX(상세표[근무일자],$U969)&amp;""))</f>
        <v/>
      </c>
      <c r="N969">
        <f>IF($U969="","",IF(ISNUMBER(INDEX(상세표[시작],$U969)),TEXT(INDEX(상세표[시작],$U969),"yyyy-mm-dd hh:mm"),INDEX(상세표[시작],$U969)&amp;""))</f>
        <v/>
      </c>
      <c r="O969">
        <f>IF($U969="","",IF(ISNUMBER(INDEX(상세표[종료],$U969)),TEXT(INDEX(상세표[종료],$U969),"yyyy-mm-dd hh:mm"),INDEX(상세표[종료],$U969)&amp;""))</f>
        <v/>
      </c>
      <c r="P969" s="20">
        <f>IF($U969="","",INDEX(상세표[06~07시],$U969))</f>
        <v/>
      </c>
      <c r="Q969" s="20">
        <f>IF($U969="","",INDEX(상세표[07~18시],$U969))</f>
        <v/>
      </c>
      <c r="R969" s="20">
        <f>IF($U969="","",INDEX(상세표[18~22시],$U969))</f>
        <v/>
      </c>
      <c r="S969" s="20">
        <f>IF($U969="","",INDEX(상세표[22~06시],$U969))</f>
        <v/>
      </c>
      <c r="T969" s="20">
        <f>IF($U969="","",INDEX(상세표[기록 시간외],$U969))</f>
        <v/>
      </c>
      <c r="U969" s="4">
        <f>IFERROR(MATCH(964,상세표[발송순번],0),"")</f>
        <v/>
      </c>
    </row>
    <row r="970">
      <c r="J970">
        <f>IF($U970="","",INDEX(상세표[사번],$U970)&amp;"")</f>
        <v/>
      </c>
      <c r="K970">
        <f>IF($U970="","",INDEX(상세표[성명],$U970)&amp;"")</f>
        <v/>
      </c>
      <c r="L970">
        <f>IF($U970="","",INDEX(상세표[직위],$U970)&amp;"")</f>
        <v/>
      </c>
      <c r="M970">
        <f>IF($U970="","",IF(ISNUMBER(INDEX(상세표[근무일자],$U970)),TEXT(INDEX(상세표[근무일자],$U970),"yyyy-mm-dd"),INDEX(상세표[근무일자],$U970)&amp;""))</f>
        <v/>
      </c>
      <c r="N970">
        <f>IF($U970="","",IF(ISNUMBER(INDEX(상세표[시작],$U970)),TEXT(INDEX(상세표[시작],$U970),"yyyy-mm-dd hh:mm"),INDEX(상세표[시작],$U970)&amp;""))</f>
        <v/>
      </c>
      <c r="O970">
        <f>IF($U970="","",IF(ISNUMBER(INDEX(상세표[종료],$U970)),TEXT(INDEX(상세표[종료],$U970),"yyyy-mm-dd hh:mm"),INDEX(상세표[종료],$U970)&amp;""))</f>
        <v/>
      </c>
      <c r="P970" s="20">
        <f>IF($U970="","",INDEX(상세표[06~07시],$U970))</f>
        <v/>
      </c>
      <c r="Q970" s="20">
        <f>IF($U970="","",INDEX(상세표[07~18시],$U970))</f>
        <v/>
      </c>
      <c r="R970" s="20">
        <f>IF($U970="","",INDEX(상세표[18~22시],$U970))</f>
        <v/>
      </c>
      <c r="S970" s="20">
        <f>IF($U970="","",INDEX(상세표[22~06시],$U970))</f>
        <v/>
      </c>
      <c r="T970" s="20">
        <f>IF($U970="","",INDEX(상세표[기록 시간외],$U970))</f>
        <v/>
      </c>
      <c r="U970" s="4">
        <f>IFERROR(MATCH(965,상세표[발송순번],0),"")</f>
        <v/>
      </c>
    </row>
    <row r="971">
      <c r="J971">
        <f>IF($U971="","",INDEX(상세표[사번],$U971)&amp;"")</f>
        <v/>
      </c>
      <c r="K971">
        <f>IF($U971="","",INDEX(상세표[성명],$U971)&amp;"")</f>
        <v/>
      </c>
      <c r="L971">
        <f>IF($U971="","",INDEX(상세표[직위],$U971)&amp;"")</f>
        <v/>
      </c>
      <c r="M971">
        <f>IF($U971="","",IF(ISNUMBER(INDEX(상세표[근무일자],$U971)),TEXT(INDEX(상세표[근무일자],$U971),"yyyy-mm-dd"),INDEX(상세표[근무일자],$U971)&amp;""))</f>
        <v/>
      </c>
      <c r="N971">
        <f>IF($U971="","",IF(ISNUMBER(INDEX(상세표[시작],$U971)),TEXT(INDEX(상세표[시작],$U971),"yyyy-mm-dd hh:mm"),INDEX(상세표[시작],$U971)&amp;""))</f>
        <v/>
      </c>
      <c r="O971">
        <f>IF($U971="","",IF(ISNUMBER(INDEX(상세표[종료],$U971)),TEXT(INDEX(상세표[종료],$U971),"yyyy-mm-dd hh:mm"),INDEX(상세표[종료],$U971)&amp;""))</f>
        <v/>
      </c>
      <c r="P971" s="20">
        <f>IF($U971="","",INDEX(상세표[06~07시],$U971))</f>
        <v/>
      </c>
      <c r="Q971" s="20">
        <f>IF($U971="","",INDEX(상세표[07~18시],$U971))</f>
        <v/>
      </c>
      <c r="R971" s="20">
        <f>IF($U971="","",INDEX(상세표[18~22시],$U971))</f>
        <v/>
      </c>
      <c r="S971" s="20">
        <f>IF($U971="","",INDEX(상세표[22~06시],$U971))</f>
        <v/>
      </c>
      <c r="T971" s="20">
        <f>IF($U971="","",INDEX(상세표[기록 시간외],$U971))</f>
        <v/>
      </c>
      <c r="U971" s="4">
        <f>IFERROR(MATCH(966,상세표[발송순번],0),"")</f>
        <v/>
      </c>
    </row>
    <row r="972">
      <c r="J972">
        <f>IF($U972="","",INDEX(상세표[사번],$U972)&amp;"")</f>
        <v/>
      </c>
      <c r="K972">
        <f>IF($U972="","",INDEX(상세표[성명],$U972)&amp;"")</f>
        <v/>
      </c>
      <c r="L972">
        <f>IF($U972="","",INDEX(상세표[직위],$U972)&amp;"")</f>
        <v/>
      </c>
      <c r="M972">
        <f>IF($U972="","",IF(ISNUMBER(INDEX(상세표[근무일자],$U972)),TEXT(INDEX(상세표[근무일자],$U972),"yyyy-mm-dd"),INDEX(상세표[근무일자],$U972)&amp;""))</f>
        <v/>
      </c>
      <c r="N972">
        <f>IF($U972="","",IF(ISNUMBER(INDEX(상세표[시작],$U972)),TEXT(INDEX(상세표[시작],$U972),"yyyy-mm-dd hh:mm"),INDEX(상세표[시작],$U972)&amp;""))</f>
        <v/>
      </c>
      <c r="O972">
        <f>IF($U972="","",IF(ISNUMBER(INDEX(상세표[종료],$U972)),TEXT(INDEX(상세표[종료],$U972),"yyyy-mm-dd hh:mm"),INDEX(상세표[종료],$U972)&amp;""))</f>
        <v/>
      </c>
      <c r="P972" s="20">
        <f>IF($U972="","",INDEX(상세표[06~07시],$U972))</f>
        <v/>
      </c>
      <c r="Q972" s="20">
        <f>IF($U972="","",INDEX(상세표[07~18시],$U972))</f>
        <v/>
      </c>
      <c r="R972" s="20">
        <f>IF($U972="","",INDEX(상세표[18~22시],$U972))</f>
        <v/>
      </c>
      <c r="S972" s="20">
        <f>IF($U972="","",INDEX(상세표[22~06시],$U972))</f>
        <v/>
      </c>
      <c r="T972" s="20">
        <f>IF($U972="","",INDEX(상세표[기록 시간외],$U972))</f>
        <v/>
      </c>
      <c r="U972" s="4">
        <f>IFERROR(MATCH(967,상세표[발송순번],0),"")</f>
        <v/>
      </c>
    </row>
    <row r="973">
      <c r="J973">
        <f>IF($U973="","",INDEX(상세표[사번],$U973)&amp;"")</f>
        <v/>
      </c>
      <c r="K973">
        <f>IF($U973="","",INDEX(상세표[성명],$U973)&amp;"")</f>
        <v/>
      </c>
      <c r="L973">
        <f>IF($U973="","",INDEX(상세표[직위],$U973)&amp;"")</f>
        <v/>
      </c>
      <c r="M973">
        <f>IF($U973="","",IF(ISNUMBER(INDEX(상세표[근무일자],$U973)),TEXT(INDEX(상세표[근무일자],$U973),"yyyy-mm-dd"),INDEX(상세표[근무일자],$U973)&amp;""))</f>
        <v/>
      </c>
      <c r="N973">
        <f>IF($U973="","",IF(ISNUMBER(INDEX(상세표[시작],$U973)),TEXT(INDEX(상세표[시작],$U973),"yyyy-mm-dd hh:mm"),INDEX(상세표[시작],$U973)&amp;""))</f>
        <v/>
      </c>
      <c r="O973">
        <f>IF($U973="","",IF(ISNUMBER(INDEX(상세표[종료],$U973)),TEXT(INDEX(상세표[종료],$U973),"yyyy-mm-dd hh:mm"),INDEX(상세표[종료],$U973)&amp;""))</f>
        <v/>
      </c>
      <c r="P973" s="20">
        <f>IF($U973="","",INDEX(상세표[06~07시],$U973))</f>
        <v/>
      </c>
      <c r="Q973" s="20">
        <f>IF($U973="","",INDEX(상세표[07~18시],$U973))</f>
        <v/>
      </c>
      <c r="R973" s="20">
        <f>IF($U973="","",INDEX(상세표[18~22시],$U973))</f>
        <v/>
      </c>
      <c r="S973" s="20">
        <f>IF($U973="","",INDEX(상세표[22~06시],$U973))</f>
        <v/>
      </c>
      <c r="T973" s="20">
        <f>IF($U973="","",INDEX(상세표[기록 시간외],$U973))</f>
        <v/>
      </c>
      <c r="U973" s="4">
        <f>IFERROR(MATCH(968,상세표[발송순번],0),"")</f>
        <v/>
      </c>
    </row>
    <row r="974">
      <c r="J974">
        <f>IF($U974="","",INDEX(상세표[사번],$U974)&amp;"")</f>
        <v/>
      </c>
      <c r="K974">
        <f>IF($U974="","",INDEX(상세표[성명],$U974)&amp;"")</f>
        <v/>
      </c>
      <c r="L974">
        <f>IF($U974="","",INDEX(상세표[직위],$U974)&amp;"")</f>
        <v/>
      </c>
      <c r="M974">
        <f>IF($U974="","",IF(ISNUMBER(INDEX(상세표[근무일자],$U974)),TEXT(INDEX(상세표[근무일자],$U974),"yyyy-mm-dd"),INDEX(상세표[근무일자],$U974)&amp;""))</f>
        <v/>
      </c>
      <c r="N974">
        <f>IF($U974="","",IF(ISNUMBER(INDEX(상세표[시작],$U974)),TEXT(INDEX(상세표[시작],$U974),"yyyy-mm-dd hh:mm"),INDEX(상세표[시작],$U974)&amp;""))</f>
        <v/>
      </c>
      <c r="O974">
        <f>IF($U974="","",IF(ISNUMBER(INDEX(상세표[종료],$U974)),TEXT(INDEX(상세표[종료],$U974),"yyyy-mm-dd hh:mm"),INDEX(상세표[종료],$U974)&amp;""))</f>
        <v/>
      </c>
      <c r="P974" s="20">
        <f>IF($U974="","",INDEX(상세표[06~07시],$U974))</f>
        <v/>
      </c>
      <c r="Q974" s="20">
        <f>IF($U974="","",INDEX(상세표[07~18시],$U974))</f>
        <v/>
      </c>
      <c r="R974" s="20">
        <f>IF($U974="","",INDEX(상세표[18~22시],$U974))</f>
        <v/>
      </c>
      <c r="S974" s="20">
        <f>IF($U974="","",INDEX(상세표[22~06시],$U974))</f>
        <v/>
      </c>
      <c r="T974" s="20">
        <f>IF($U974="","",INDEX(상세표[기록 시간외],$U974))</f>
        <v/>
      </c>
      <c r="U974" s="4">
        <f>IFERROR(MATCH(969,상세표[발송순번],0),"")</f>
        <v/>
      </c>
    </row>
    <row r="975">
      <c r="J975">
        <f>IF($U975="","",INDEX(상세표[사번],$U975)&amp;"")</f>
        <v/>
      </c>
      <c r="K975">
        <f>IF($U975="","",INDEX(상세표[성명],$U975)&amp;"")</f>
        <v/>
      </c>
      <c r="L975">
        <f>IF($U975="","",INDEX(상세표[직위],$U975)&amp;"")</f>
        <v/>
      </c>
      <c r="M975">
        <f>IF($U975="","",IF(ISNUMBER(INDEX(상세표[근무일자],$U975)),TEXT(INDEX(상세표[근무일자],$U975),"yyyy-mm-dd"),INDEX(상세표[근무일자],$U975)&amp;""))</f>
        <v/>
      </c>
      <c r="N975">
        <f>IF($U975="","",IF(ISNUMBER(INDEX(상세표[시작],$U975)),TEXT(INDEX(상세표[시작],$U975),"yyyy-mm-dd hh:mm"),INDEX(상세표[시작],$U975)&amp;""))</f>
        <v/>
      </c>
      <c r="O975">
        <f>IF($U975="","",IF(ISNUMBER(INDEX(상세표[종료],$U975)),TEXT(INDEX(상세표[종료],$U975),"yyyy-mm-dd hh:mm"),INDEX(상세표[종료],$U975)&amp;""))</f>
        <v/>
      </c>
      <c r="P975" s="20">
        <f>IF($U975="","",INDEX(상세표[06~07시],$U975))</f>
        <v/>
      </c>
      <c r="Q975" s="20">
        <f>IF($U975="","",INDEX(상세표[07~18시],$U975))</f>
        <v/>
      </c>
      <c r="R975" s="20">
        <f>IF($U975="","",INDEX(상세표[18~22시],$U975))</f>
        <v/>
      </c>
      <c r="S975" s="20">
        <f>IF($U975="","",INDEX(상세표[22~06시],$U975))</f>
        <v/>
      </c>
      <c r="T975" s="20">
        <f>IF($U975="","",INDEX(상세표[기록 시간외],$U975))</f>
        <v/>
      </c>
      <c r="U975" s="4">
        <f>IFERROR(MATCH(970,상세표[발송순번],0),"")</f>
        <v/>
      </c>
    </row>
    <row r="976">
      <c r="J976">
        <f>IF($U976="","",INDEX(상세표[사번],$U976)&amp;"")</f>
        <v/>
      </c>
      <c r="K976">
        <f>IF($U976="","",INDEX(상세표[성명],$U976)&amp;"")</f>
        <v/>
      </c>
      <c r="L976">
        <f>IF($U976="","",INDEX(상세표[직위],$U976)&amp;"")</f>
        <v/>
      </c>
      <c r="M976">
        <f>IF($U976="","",IF(ISNUMBER(INDEX(상세표[근무일자],$U976)),TEXT(INDEX(상세표[근무일자],$U976),"yyyy-mm-dd"),INDEX(상세표[근무일자],$U976)&amp;""))</f>
        <v/>
      </c>
      <c r="N976">
        <f>IF($U976="","",IF(ISNUMBER(INDEX(상세표[시작],$U976)),TEXT(INDEX(상세표[시작],$U976),"yyyy-mm-dd hh:mm"),INDEX(상세표[시작],$U976)&amp;""))</f>
        <v/>
      </c>
      <c r="O976">
        <f>IF($U976="","",IF(ISNUMBER(INDEX(상세표[종료],$U976)),TEXT(INDEX(상세표[종료],$U976),"yyyy-mm-dd hh:mm"),INDEX(상세표[종료],$U976)&amp;""))</f>
        <v/>
      </c>
      <c r="P976" s="20">
        <f>IF($U976="","",INDEX(상세표[06~07시],$U976))</f>
        <v/>
      </c>
      <c r="Q976" s="20">
        <f>IF($U976="","",INDEX(상세표[07~18시],$U976))</f>
        <v/>
      </c>
      <c r="R976" s="20">
        <f>IF($U976="","",INDEX(상세표[18~22시],$U976))</f>
        <v/>
      </c>
      <c r="S976" s="20">
        <f>IF($U976="","",INDEX(상세표[22~06시],$U976))</f>
        <v/>
      </c>
      <c r="T976" s="20">
        <f>IF($U976="","",INDEX(상세표[기록 시간외],$U976))</f>
        <v/>
      </c>
      <c r="U976" s="4">
        <f>IFERROR(MATCH(971,상세표[발송순번],0),"")</f>
        <v/>
      </c>
    </row>
    <row r="977">
      <c r="J977">
        <f>IF($U977="","",INDEX(상세표[사번],$U977)&amp;"")</f>
        <v/>
      </c>
      <c r="K977">
        <f>IF($U977="","",INDEX(상세표[성명],$U977)&amp;"")</f>
        <v/>
      </c>
      <c r="L977">
        <f>IF($U977="","",INDEX(상세표[직위],$U977)&amp;"")</f>
        <v/>
      </c>
      <c r="M977">
        <f>IF($U977="","",IF(ISNUMBER(INDEX(상세표[근무일자],$U977)),TEXT(INDEX(상세표[근무일자],$U977),"yyyy-mm-dd"),INDEX(상세표[근무일자],$U977)&amp;""))</f>
        <v/>
      </c>
      <c r="N977">
        <f>IF($U977="","",IF(ISNUMBER(INDEX(상세표[시작],$U977)),TEXT(INDEX(상세표[시작],$U977),"yyyy-mm-dd hh:mm"),INDEX(상세표[시작],$U977)&amp;""))</f>
        <v/>
      </c>
      <c r="O977">
        <f>IF($U977="","",IF(ISNUMBER(INDEX(상세표[종료],$U977)),TEXT(INDEX(상세표[종료],$U977),"yyyy-mm-dd hh:mm"),INDEX(상세표[종료],$U977)&amp;""))</f>
        <v/>
      </c>
      <c r="P977" s="20">
        <f>IF($U977="","",INDEX(상세표[06~07시],$U977))</f>
        <v/>
      </c>
      <c r="Q977" s="20">
        <f>IF($U977="","",INDEX(상세표[07~18시],$U977))</f>
        <v/>
      </c>
      <c r="R977" s="20">
        <f>IF($U977="","",INDEX(상세표[18~22시],$U977))</f>
        <v/>
      </c>
      <c r="S977" s="20">
        <f>IF($U977="","",INDEX(상세표[22~06시],$U977))</f>
        <v/>
      </c>
      <c r="T977" s="20">
        <f>IF($U977="","",INDEX(상세표[기록 시간외],$U977))</f>
        <v/>
      </c>
      <c r="U977" s="4">
        <f>IFERROR(MATCH(972,상세표[발송순번],0),"")</f>
        <v/>
      </c>
    </row>
    <row r="978">
      <c r="J978">
        <f>IF($U978="","",INDEX(상세표[사번],$U978)&amp;"")</f>
        <v/>
      </c>
      <c r="K978">
        <f>IF($U978="","",INDEX(상세표[성명],$U978)&amp;"")</f>
        <v/>
      </c>
      <c r="L978">
        <f>IF($U978="","",INDEX(상세표[직위],$U978)&amp;"")</f>
        <v/>
      </c>
      <c r="M978">
        <f>IF($U978="","",IF(ISNUMBER(INDEX(상세표[근무일자],$U978)),TEXT(INDEX(상세표[근무일자],$U978),"yyyy-mm-dd"),INDEX(상세표[근무일자],$U978)&amp;""))</f>
        <v/>
      </c>
      <c r="N978">
        <f>IF($U978="","",IF(ISNUMBER(INDEX(상세표[시작],$U978)),TEXT(INDEX(상세표[시작],$U978),"yyyy-mm-dd hh:mm"),INDEX(상세표[시작],$U978)&amp;""))</f>
        <v/>
      </c>
      <c r="O978">
        <f>IF($U978="","",IF(ISNUMBER(INDEX(상세표[종료],$U978)),TEXT(INDEX(상세표[종료],$U978),"yyyy-mm-dd hh:mm"),INDEX(상세표[종료],$U978)&amp;""))</f>
        <v/>
      </c>
      <c r="P978" s="20">
        <f>IF($U978="","",INDEX(상세표[06~07시],$U978))</f>
        <v/>
      </c>
      <c r="Q978" s="20">
        <f>IF($U978="","",INDEX(상세표[07~18시],$U978))</f>
        <v/>
      </c>
      <c r="R978" s="20">
        <f>IF($U978="","",INDEX(상세표[18~22시],$U978))</f>
        <v/>
      </c>
      <c r="S978" s="20">
        <f>IF($U978="","",INDEX(상세표[22~06시],$U978))</f>
        <v/>
      </c>
      <c r="T978" s="20">
        <f>IF($U978="","",INDEX(상세표[기록 시간외],$U978))</f>
        <v/>
      </c>
      <c r="U978" s="4">
        <f>IFERROR(MATCH(973,상세표[발송순번],0),"")</f>
        <v/>
      </c>
    </row>
    <row r="979">
      <c r="J979">
        <f>IF($U979="","",INDEX(상세표[사번],$U979)&amp;"")</f>
        <v/>
      </c>
      <c r="K979">
        <f>IF($U979="","",INDEX(상세표[성명],$U979)&amp;"")</f>
        <v/>
      </c>
      <c r="L979">
        <f>IF($U979="","",INDEX(상세표[직위],$U979)&amp;"")</f>
        <v/>
      </c>
      <c r="M979">
        <f>IF($U979="","",IF(ISNUMBER(INDEX(상세표[근무일자],$U979)),TEXT(INDEX(상세표[근무일자],$U979),"yyyy-mm-dd"),INDEX(상세표[근무일자],$U979)&amp;""))</f>
        <v/>
      </c>
      <c r="N979">
        <f>IF($U979="","",IF(ISNUMBER(INDEX(상세표[시작],$U979)),TEXT(INDEX(상세표[시작],$U979),"yyyy-mm-dd hh:mm"),INDEX(상세표[시작],$U979)&amp;""))</f>
        <v/>
      </c>
      <c r="O979">
        <f>IF($U979="","",IF(ISNUMBER(INDEX(상세표[종료],$U979)),TEXT(INDEX(상세표[종료],$U979),"yyyy-mm-dd hh:mm"),INDEX(상세표[종료],$U979)&amp;""))</f>
        <v/>
      </c>
      <c r="P979" s="20">
        <f>IF($U979="","",INDEX(상세표[06~07시],$U979))</f>
        <v/>
      </c>
      <c r="Q979" s="20">
        <f>IF($U979="","",INDEX(상세표[07~18시],$U979))</f>
        <v/>
      </c>
      <c r="R979" s="20">
        <f>IF($U979="","",INDEX(상세표[18~22시],$U979))</f>
        <v/>
      </c>
      <c r="S979" s="20">
        <f>IF($U979="","",INDEX(상세표[22~06시],$U979))</f>
        <v/>
      </c>
      <c r="T979" s="20">
        <f>IF($U979="","",INDEX(상세표[기록 시간외],$U979))</f>
        <v/>
      </c>
      <c r="U979" s="4">
        <f>IFERROR(MATCH(974,상세표[발송순번],0),"")</f>
        <v/>
      </c>
    </row>
    <row r="980">
      <c r="J980">
        <f>IF($U980="","",INDEX(상세표[사번],$U980)&amp;"")</f>
        <v/>
      </c>
      <c r="K980">
        <f>IF($U980="","",INDEX(상세표[성명],$U980)&amp;"")</f>
        <v/>
      </c>
      <c r="L980">
        <f>IF($U980="","",INDEX(상세표[직위],$U980)&amp;"")</f>
        <v/>
      </c>
      <c r="M980">
        <f>IF($U980="","",IF(ISNUMBER(INDEX(상세표[근무일자],$U980)),TEXT(INDEX(상세표[근무일자],$U980),"yyyy-mm-dd"),INDEX(상세표[근무일자],$U980)&amp;""))</f>
        <v/>
      </c>
      <c r="N980">
        <f>IF($U980="","",IF(ISNUMBER(INDEX(상세표[시작],$U980)),TEXT(INDEX(상세표[시작],$U980),"yyyy-mm-dd hh:mm"),INDEX(상세표[시작],$U980)&amp;""))</f>
        <v/>
      </c>
      <c r="O980">
        <f>IF($U980="","",IF(ISNUMBER(INDEX(상세표[종료],$U980)),TEXT(INDEX(상세표[종료],$U980),"yyyy-mm-dd hh:mm"),INDEX(상세표[종료],$U980)&amp;""))</f>
        <v/>
      </c>
      <c r="P980" s="20">
        <f>IF($U980="","",INDEX(상세표[06~07시],$U980))</f>
        <v/>
      </c>
      <c r="Q980" s="20">
        <f>IF($U980="","",INDEX(상세표[07~18시],$U980))</f>
        <v/>
      </c>
      <c r="R980" s="20">
        <f>IF($U980="","",INDEX(상세표[18~22시],$U980))</f>
        <v/>
      </c>
      <c r="S980" s="20">
        <f>IF($U980="","",INDEX(상세표[22~06시],$U980))</f>
        <v/>
      </c>
      <c r="T980" s="20">
        <f>IF($U980="","",INDEX(상세표[기록 시간외],$U980))</f>
        <v/>
      </c>
      <c r="U980" s="4">
        <f>IFERROR(MATCH(975,상세표[발송순번],0),"")</f>
        <v/>
      </c>
    </row>
    <row r="981">
      <c r="J981">
        <f>IF($U981="","",INDEX(상세표[사번],$U981)&amp;"")</f>
        <v/>
      </c>
      <c r="K981">
        <f>IF($U981="","",INDEX(상세표[성명],$U981)&amp;"")</f>
        <v/>
      </c>
      <c r="L981">
        <f>IF($U981="","",INDEX(상세표[직위],$U981)&amp;"")</f>
        <v/>
      </c>
      <c r="M981">
        <f>IF($U981="","",IF(ISNUMBER(INDEX(상세표[근무일자],$U981)),TEXT(INDEX(상세표[근무일자],$U981),"yyyy-mm-dd"),INDEX(상세표[근무일자],$U981)&amp;""))</f>
        <v/>
      </c>
      <c r="N981">
        <f>IF($U981="","",IF(ISNUMBER(INDEX(상세표[시작],$U981)),TEXT(INDEX(상세표[시작],$U981),"yyyy-mm-dd hh:mm"),INDEX(상세표[시작],$U981)&amp;""))</f>
        <v/>
      </c>
      <c r="O981">
        <f>IF($U981="","",IF(ISNUMBER(INDEX(상세표[종료],$U981)),TEXT(INDEX(상세표[종료],$U981),"yyyy-mm-dd hh:mm"),INDEX(상세표[종료],$U981)&amp;""))</f>
        <v/>
      </c>
      <c r="P981" s="20">
        <f>IF($U981="","",INDEX(상세표[06~07시],$U981))</f>
        <v/>
      </c>
      <c r="Q981" s="20">
        <f>IF($U981="","",INDEX(상세표[07~18시],$U981))</f>
        <v/>
      </c>
      <c r="R981" s="20">
        <f>IF($U981="","",INDEX(상세표[18~22시],$U981))</f>
        <v/>
      </c>
      <c r="S981" s="20">
        <f>IF($U981="","",INDEX(상세표[22~06시],$U981))</f>
        <v/>
      </c>
      <c r="T981" s="20">
        <f>IF($U981="","",INDEX(상세표[기록 시간외],$U981))</f>
        <v/>
      </c>
      <c r="U981" s="4">
        <f>IFERROR(MATCH(976,상세표[발송순번],0),"")</f>
        <v/>
      </c>
    </row>
    <row r="982">
      <c r="J982">
        <f>IF($U982="","",INDEX(상세표[사번],$U982)&amp;"")</f>
        <v/>
      </c>
      <c r="K982">
        <f>IF($U982="","",INDEX(상세표[성명],$U982)&amp;"")</f>
        <v/>
      </c>
      <c r="L982">
        <f>IF($U982="","",INDEX(상세표[직위],$U982)&amp;"")</f>
        <v/>
      </c>
      <c r="M982">
        <f>IF($U982="","",IF(ISNUMBER(INDEX(상세표[근무일자],$U982)),TEXT(INDEX(상세표[근무일자],$U982),"yyyy-mm-dd"),INDEX(상세표[근무일자],$U982)&amp;""))</f>
        <v/>
      </c>
      <c r="N982">
        <f>IF($U982="","",IF(ISNUMBER(INDEX(상세표[시작],$U982)),TEXT(INDEX(상세표[시작],$U982),"yyyy-mm-dd hh:mm"),INDEX(상세표[시작],$U982)&amp;""))</f>
        <v/>
      </c>
      <c r="O982">
        <f>IF($U982="","",IF(ISNUMBER(INDEX(상세표[종료],$U982)),TEXT(INDEX(상세표[종료],$U982),"yyyy-mm-dd hh:mm"),INDEX(상세표[종료],$U982)&amp;""))</f>
        <v/>
      </c>
      <c r="P982" s="20">
        <f>IF($U982="","",INDEX(상세표[06~07시],$U982))</f>
        <v/>
      </c>
      <c r="Q982" s="20">
        <f>IF($U982="","",INDEX(상세표[07~18시],$U982))</f>
        <v/>
      </c>
      <c r="R982" s="20">
        <f>IF($U982="","",INDEX(상세표[18~22시],$U982))</f>
        <v/>
      </c>
      <c r="S982" s="20">
        <f>IF($U982="","",INDEX(상세표[22~06시],$U982))</f>
        <v/>
      </c>
      <c r="T982" s="20">
        <f>IF($U982="","",INDEX(상세표[기록 시간외],$U982))</f>
        <v/>
      </c>
      <c r="U982" s="4">
        <f>IFERROR(MATCH(977,상세표[발송순번],0),"")</f>
        <v/>
      </c>
    </row>
    <row r="983">
      <c r="J983">
        <f>IF($U983="","",INDEX(상세표[사번],$U983)&amp;"")</f>
        <v/>
      </c>
      <c r="K983">
        <f>IF($U983="","",INDEX(상세표[성명],$U983)&amp;"")</f>
        <v/>
      </c>
      <c r="L983">
        <f>IF($U983="","",INDEX(상세표[직위],$U983)&amp;"")</f>
        <v/>
      </c>
      <c r="M983">
        <f>IF($U983="","",IF(ISNUMBER(INDEX(상세표[근무일자],$U983)),TEXT(INDEX(상세표[근무일자],$U983),"yyyy-mm-dd"),INDEX(상세표[근무일자],$U983)&amp;""))</f>
        <v/>
      </c>
      <c r="N983">
        <f>IF($U983="","",IF(ISNUMBER(INDEX(상세표[시작],$U983)),TEXT(INDEX(상세표[시작],$U983),"yyyy-mm-dd hh:mm"),INDEX(상세표[시작],$U983)&amp;""))</f>
        <v/>
      </c>
      <c r="O983">
        <f>IF($U983="","",IF(ISNUMBER(INDEX(상세표[종료],$U983)),TEXT(INDEX(상세표[종료],$U983),"yyyy-mm-dd hh:mm"),INDEX(상세표[종료],$U983)&amp;""))</f>
        <v/>
      </c>
      <c r="P983" s="20">
        <f>IF($U983="","",INDEX(상세표[06~07시],$U983))</f>
        <v/>
      </c>
      <c r="Q983" s="20">
        <f>IF($U983="","",INDEX(상세표[07~18시],$U983))</f>
        <v/>
      </c>
      <c r="R983" s="20">
        <f>IF($U983="","",INDEX(상세표[18~22시],$U983))</f>
        <v/>
      </c>
      <c r="S983" s="20">
        <f>IF($U983="","",INDEX(상세표[22~06시],$U983))</f>
        <v/>
      </c>
      <c r="T983" s="20">
        <f>IF($U983="","",INDEX(상세표[기록 시간외],$U983))</f>
        <v/>
      </c>
      <c r="U983" s="4">
        <f>IFERROR(MATCH(978,상세표[발송순번],0),"")</f>
        <v/>
      </c>
    </row>
    <row r="984">
      <c r="J984">
        <f>IF($U984="","",INDEX(상세표[사번],$U984)&amp;"")</f>
        <v/>
      </c>
      <c r="K984">
        <f>IF($U984="","",INDEX(상세표[성명],$U984)&amp;"")</f>
        <v/>
      </c>
      <c r="L984">
        <f>IF($U984="","",INDEX(상세표[직위],$U984)&amp;"")</f>
        <v/>
      </c>
      <c r="M984">
        <f>IF($U984="","",IF(ISNUMBER(INDEX(상세표[근무일자],$U984)),TEXT(INDEX(상세표[근무일자],$U984),"yyyy-mm-dd"),INDEX(상세표[근무일자],$U984)&amp;""))</f>
        <v/>
      </c>
      <c r="N984">
        <f>IF($U984="","",IF(ISNUMBER(INDEX(상세표[시작],$U984)),TEXT(INDEX(상세표[시작],$U984),"yyyy-mm-dd hh:mm"),INDEX(상세표[시작],$U984)&amp;""))</f>
        <v/>
      </c>
      <c r="O984">
        <f>IF($U984="","",IF(ISNUMBER(INDEX(상세표[종료],$U984)),TEXT(INDEX(상세표[종료],$U984),"yyyy-mm-dd hh:mm"),INDEX(상세표[종료],$U984)&amp;""))</f>
        <v/>
      </c>
      <c r="P984" s="20">
        <f>IF($U984="","",INDEX(상세표[06~07시],$U984))</f>
        <v/>
      </c>
      <c r="Q984" s="20">
        <f>IF($U984="","",INDEX(상세표[07~18시],$U984))</f>
        <v/>
      </c>
      <c r="R984" s="20">
        <f>IF($U984="","",INDEX(상세표[18~22시],$U984))</f>
        <v/>
      </c>
      <c r="S984" s="20">
        <f>IF($U984="","",INDEX(상세표[22~06시],$U984))</f>
        <v/>
      </c>
      <c r="T984" s="20">
        <f>IF($U984="","",INDEX(상세표[기록 시간외],$U984))</f>
        <v/>
      </c>
      <c r="U984" s="4">
        <f>IFERROR(MATCH(979,상세표[발송순번],0),"")</f>
        <v/>
      </c>
    </row>
    <row r="985">
      <c r="J985">
        <f>IF($U985="","",INDEX(상세표[사번],$U985)&amp;"")</f>
        <v/>
      </c>
      <c r="K985">
        <f>IF($U985="","",INDEX(상세표[성명],$U985)&amp;"")</f>
        <v/>
      </c>
      <c r="L985">
        <f>IF($U985="","",INDEX(상세표[직위],$U985)&amp;"")</f>
        <v/>
      </c>
      <c r="M985">
        <f>IF($U985="","",IF(ISNUMBER(INDEX(상세표[근무일자],$U985)),TEXT(INDEX(상세표[근무일자],$U985),"yyyy-mm-dd"),INDEX(상세표[근무일자],$U985)&amp;""))</f>
        <v/>
      </c>
      <c r="N985">
        <f>IF($U985="","",IF(ISNUMBER(INDEX(상세표[시작],$U985)),TEXT(INDEX(상세표[시작],$U985),"yyyy-mm-dd hh:mm"),INDEX(상세표[시작],$U985)&amp;""))</f>
        <v/>
      </c>
      <c r="O985">
        <f>IF($U985="","",IF(ISNUMBER(INDEX(상세표[종료],$U985)),TEXT(INDEX(상세표[종료],$U985),"yyyy-mm-dd hh:mm"),INDEX(상세표[종료],$U985)&amp;""))</f>
        <v/>
      </c>
      <c r="P985" s="20">
        <f>IF($U985="","",INDEX(상세표[06~07시],$U985))</f>
        <v/>
      </c>
      <c r="Q985" s="20">
        <f>IF($U985="","",INDEX(상세표[07~18시],$U985))</f>
        <v/>
      </c>
      <c r="R985" s="20">
        <f>IF($U985="","",INDEX(상세표[18~22시],$U985))</f>
        <v/>
      </c>
      <c r="S985" s="20">
        <f>IF($U985="","",INDEX(상세표[22~06시],$U985))</f>
        <v/>
      </c>
      <c r="T985" s="20">
        <f>IF($U985="","",INDEX(상세표[기록 시간외],$U985))</f>
        <v/>
      </c>
      <c r="U985" s="4">
        <f>IFERROR(MATCH(980,상세표[발송순번],0),"")</f>
        <v/>
      </c>
    </row>
    <row r="986">
      <c r="J986">
        <f>IF($U986="","",INDEX(상세표[사번],$U986)&amp;"")</f>
        <v/>
      </c>
      <c r="K986">
        <f>IF($U986="","",INDEX(상세표[성명],$U986)&amp;"")</f>
        <v/>
      </c>
      <c r="L986">
        <f>IF($U986="","",INDEX(상세표[직위],$U986)&amp;"")</f>
        <v/>
      </c>
      <c r="M986">
        <f>IF($U986="","",IF(ISNUMBER(INDEX(상세표[근무일자],$U986)),TEXT(INDEX(상세표[근무일자],$U986),"yyyy-mm-dd"),INDEX(상세표[근무일자],$U986)&amp;""))</f>
        <v/>
      </c>
      <c r="N986">
        <f>IF($U986="","",IF(ISNUMBER(INDEX(상세표[시작],$U986)),TEXT(INDEX(상세표[시작],$U986),"yyyy-mm-dd hh:mm"),INDEX(상세표[시작],$U986)&amp;""))</f>
        <v/>
      </c>
      <c r="O986">
        <f>IF($U986="","",IF(ISNUMBER(INDEX(상세표[종료],$U986)),TEXT(INDEX(상세표[종료],$U986),"yyyy-mm-dd hh:mm"),INDEX(상세표[종료],$U986)&amp;""))</f>
        <v/>
      </c>
      <c r="P986" s="20">
        <f>IF($U986="","",INDEX(상세표[06~07시],$U986))</f>
        <v/>
      </c>
      <c r="Q986" s="20">
        <f>IF($U986="","",INDEX(상세표[07~18시],$U986))</f>
        <v/>
      </c>
      <c r="R986" s="20">
        <f>IF($U986="","",INDEX(상세표[18~22시],$U986))</f>
        <v/>
      </c>
      <c r="S986" s="20">
        <f>IF($U986="","",INDEX(상세표[22~06시],$U986))</f>
        <v/>
      </c>
      <c r="T986" s="20">
        <f>IF($U986="","",INDEX(상세표[기록 시간외],$U986))</f>
        <v/>
      </c>
      <c r="U986" s="4">
        <f>IFERROR(MATCH(981,상세표[발송순번],0),"")</f>
        <v/>
      </c>
    </row>
    <row r="987">
      <c r="J987">
        <f>IF($U987="","",INDEX(상세표[사번],$U987)&amp;"")</f>
        <v/>
      </c>
      <c r="K987">
        <f>IF($U987="","",INDEX(상세표[성명],$U987)&amp;"")</f>
        <v/>
      </c>
      <c r="L987">
        <f>IF($U987="","",INDEX(상세표[직위],$U987)&amp;"")</f>
        <v/>
      </c>
      <c r="M987">
        <f>IF($U987="","",IF(ISNUMBER(INDEX(상세표[근무일자],$U987)),TEXT(INDEX(상세표[근무일자],$U987),"yyyy-mm-dd"),INDEX(상세표[근무일자],$U987)&amp;""))</f>
        <v/>
      </c>
      <c r="N987">
        <f>IF($U987="","",IF(ISNUMBER(INDEX(상세표[시작],$U987)),TEXT(INDEX(상세표[시작],$U987),"yyyy-mm-dd hh:mm"),INDEX(상세표[시작],$U987)&amp;""))</f>
        <v/>
      </c>
      <c r="O987">
        <f>IF($U987="","",IF(ISNUMBER(INDEX(상세표[종료],$U987)),TEXT(INDEX(상세표[종료],$U987),"yyyy-mm-dd hh:mm"),INDEX(상세표[종료],$U987)&amp;""))</f>
        <v/>
      </c>
      <c r="P987" s="20">
        <f>IF($U987="","",INDEX(상세표[06~07시],$U987))</f>
        <v/>
      </c>
      <c r="Q987" s="20">
        <f>IF($U987="","",INDEX(상세표[07~18시],$U987))</f>
        <v/>
      </c>
      <c r="R987" s="20">
        <f>IF($U987="","",INDEX(상세표[18~22시],$U987))</f>
        <v/>
      </c>
      <c r="S987" s="20">
        <f>IF($U987="","",INDEX(상세표[22~06시],$U987))</f>
        <v/>
      </c>
      <c r="T987" s="20">
        <f>IF($U987="","",INDEX(상세표[기록 시간외],$U987))</f>
        <v/>
      </c>
      <c r="U987" s="4">
        <f>IFERROR(MATCH(982,상세표[발송순번],0),"")</f>
        <v/>
      </c>
    </row>
    <row r="988">
      <c r="J988">
        <f>IF($U988="","",INDEX(상세표[사번],$U988)&amp;"")</f>
        <v/>
      </c>
      <c r="K988">
        <f>IF($U988="","",INDEX(상세표[성명],$U988)&amp;"")</f>
        <v/>
      </c>
      <c r="L988">
        <f>IF($U988="","",INDEX(상세표[직위],$U988)&amp;"")</f>
        <v/>
      </c>
      <c r="M988">
        <f>IF($U988="","",IF(ISNUMBER(INDEX(상세표[근무일자],$U988)),TEXT(INDEX(상세표[근무일자],$U988),"yyyy-mm-dd"),INDEX(상세표[근무일자],$U988)&amp;""))</f>
        <v/>
      </c>
      <c r="N988">
        <f>IF($U988="","",IF(ISNUMBER(INDEX(상세표[시작],$U988)),TEXT(INDEX(상세표[시작],$U988),"yyyy-mm-dd hh:mm"),INDEX(상세표[시작],$U988)&amp;""))</f>
        <v/>
      </c>
      <c r="O988">
        <f>IF($U988="","",IF(ISNUMBER(INDEX(상세표[종료],$U988)),TEXT(INDEX(상세표[종료],$U988),"yyyy-mm-dd hh:mm"),INDEX(상세표[종료],$U988)&amp;""))</f>
        <v/>
      </c>
      <c r="P988" s="20">
        <f>IF($U988="","",INDEX(상세표[06~07시],$U988))</f>
        <v/>
      </c>
      <c r="Q988" s="20">
        <f>IF($U988="","",INDEX(상세표[07~18시],$U988))</f>
        <v/>
      </c>
      <c r="R988" s="20">
        <f>IF($U988="","",INDEX(상세표[18~22시],$U988))</f>
        <v/>
      </c>
      <c r="S988" s="20">
        <f>IF($U988="","",INDEX(상세표[22~06시],$U988))</f>
        <v/>
      </c>
      <c r="T988" s="20">
        <f>IF($U988="","",INDEX(상세표[기록 시간외],$U988))</f>
        <v/>
      </c>
      <c r="U988" s="4">
        <f>IFERROR(MATCH(983,상세표[발송순번],0),"")</f>
        <v/>
      </c>
    </row>
    <row r="989">
      <c r="J989">
        <f>IF($U989="","",INDEX(상세표[사번],$U989)&amp;"")</f>
        <v/>
      </c>
      <c r="K989">
        <f>IF($U989="","",INDEX(상세표[성명],$U989)&amp;"")</f>
        <v/>
      </c>
      <c r="L989">
        <f>IF($U989="","",INDEX(상세표[직위],$U989)&amp;"")</f>
        <v/>
      </c>
      <c r="M989">
        <f>IF($U989="","",IF(ISNUMBER(INDEX(상세표[근무일자],$U989)),TEXT(INDEX(상세표[근무일자],$U989),"yyyy-mm-dd"),INDEX(상세표[근무일자],$U989)&amp;""))</f>
        <v/>
      </c>
      <c r="N989">
        <f>IF($U989="","",IF(ISNUMBER(INDEX(상세표[시작],$U989)),TEXT(INDEX(상세표[시작],$U989),"yyyy-mm-dd hh:mm"),INDEX(상세표[시작],$U989)&amp;""))</f>
        <v/>
      </c>
      <c r="O989">
        <f>IF($U989="","",IF(ISNUMBER(INDEX(상세표[종료],$U989)),TEXT(INDEX(상세표[종료],$U989),"yyyy-mm-dd hh:mm"),INDEX(상세표[종료],$U989)&amp;""))</f>
        <v/>
      </c>
      <c r="P989" s="20">
        <f>IF($U989="","",INDEX(상세표[06~07시],$U989))</f>
        <v/>
      </c>
      <c r="Q989" s="20">
        <f>IF($U989="","",INDEX(상세표[07~18시],$U989))</f>
        <v/>
      </c>
      <c r="R989" s="20">
        <f>IF($U989="","",INDEX(상세표[18~22시],$U989))</f>
        <v/>
      </c>
      <c r="S989" s="20">
        <f>IF($U989="","",INDEX(상세표[22~06시],$U989))</f>
        <v/>
      </c>
      <c r="T989" s="20">
        <f>IF($U989="","",INDEX(상세표[기록 시간외],$U989))</f>
        <v/>
      </c>
      <c r="U989" s="4">
        <f>IFERROR(MATCH(984,상세표[발송순번],0),"")</f>
        <v/>
      </c>
    </row>
    <row r="990">
      <c r="J990">
        <f>IF($U990="","",INDEX(상세표[사번],$U990)&amp;"")</f>
        <v/>
      </c>
      <c r="K990">
        <f>IF($U990="","",INDEX(상세표[성명],$U990)&amp;"")</f>
        <v/>
      </c>
      <c r="L990">
        <f>IF($U990="","",INDEX(상세표[직위],$U990)&amp;"")</f>
        <v/>
      </c>
      <c r="M990">
        <f>IF($U990="","",IF(ISNUMBER(INDEX(상세표[근무일자],$U990)),TEXT(INDEX(상세표[근무일자],$U990),"yyyy-mm-dd"),INDEX(상세표[근무일자],$U990)&amp;""))</f>
        <v/>
      </c>
      <c r="N990">
        <f>IF($U990="","",IF(ISNUMBER(INDEX(상세표[시작],$U990)),TEXT(INDEX(상세표[시작],$U990),"yyyy-mm-dd hh:mm"),INDEX(상세표[시작],$U990)&amp;""))</f>
        <v/>
      </c>
      <c r="O990">
        <f>IF($U990="","",IF(ISNUMBER(INDEX(상세표[종료],$U990)),TEXT(INDEX(상세표[종료],$U990),"yyyy-mm-dd hh:mm"),INDEX(상세표[종료],$U990)&amp;""))</f>
        <v/>
      </c>
      <c r="P990" s="20">
        <f>IF($U990="","",INDEX(상세표[06~07시],$U990))</f>
        <v/>
      </c>
      <c r="Q990" s="20">
        <f>IF($U990="","",INDEX(상세표[07~18시],$U990))</f>
        <v/>
      </c>
      <c r="R990" s="20">
        <f>IF($U990="","",INDEX(상세표[18~22시],$U990))</f>
        <v/>
      </c>
      <c r="S990" s="20">
        <f>IF($U990="","",INDEX(상세표[22~06시],$U990))</f>
        <v/>
      </c>
      <c r="T990" s="20">
        <f>IF($U990="","",INDEX(상세표[기록 시간외],$U990))</f>
        <v/>
      </c>
      <c r="U990" s="4">
        <f>IFERROR(MATCH(985,상세표[발송순번],0),"")</f>
        <v/>
      </c>
    </row>
    <row r="991">
      <c r="J991">
        <f>IF($U991="","",INDEX(상세표[사번],$U991)&amp;"")</f>
        <v/>
      </c>
      <c r="K991">
        <f>IF($U991="","",INDEX(상세표[성명],$U991)&amp;"")</f>
        <v/>
      </c>
      <c r="L991">
        <f>IF($U991="","",INDEX(상세표[직위],$U991)&amp;"")</f>
        <v/>
      </c>
      <c r="M991">
        <f>IF($U991="","",IF(ISNUMBER(INDEX(상세표[근무일자],$U991)),TEXT(INDEX(상세표[근무일자],$U991),"yyyy-mm-dd"),INDEX(상세표[근무일자],$U991)&amp;""))</f>
        <v/>
      </c>
      <c r="N991">
        <f>IF($U991="","",IF(ISNUMBER(INDEX(상세표[시작],$U991)),TEXT(INDEX(상세표[시작],$U991),"yyyy-mm-dd hh:mm"),INDEX(상세표[시작],$U991)&amp;""))</f>
        <v/>
      </c>
      <c r="O991">
        <f>IF($U991="","",IF(ISNUMBER(INDEX(상세표[종료],$U991)),TEXT(INDEX(상세표[종료],$U991),"yyyy-mm-dd hh:mm"),INDEX(상세표[종료],$U991)&amp;""))</f>
        <v/>
      </c>
      <c r="P991" s="20">
        <f>IF($U991="","",INDEX(상세표[06~07시],$U991))</f>
        <v/>
      </c>
      <c r="Q991" s="20">
        <f>IF($U991="","",INDEX(상세표[07~18시],$U991))</f>
        <v/>
      </c>
      <c r="R991" s="20">
        <f>IF($U991="","",INDEX(상세표[18~22시],$U991))</f>
        <v/>
      </c>
      <c r="S991" s="20">
        <f>IF($U991="","",INDEX(상세표[22~06시],$U991))</f>
        <v/>
      </c>
      <c r="T991" s="20">
        <f>IF($U991="","",INDEX(상세표[기록 시간외],$U991))</f>
        <v/>
      </c>
      <c r="U991" s="4">
        <f>IFERROR(MATCH(986,상세표[발송순번],0),"")</f>
        <v/>
      </c>
    </row>
    <row r="992">
      <c r="J992">
        <f>IF($U992="","",INDEX(상세표[사번],$U992)&amp;"")</f>
        <v/>
      </c>
      <c r="K992">
        <f>IF($U992="","",INDEX(상세표[성명],$U992)&amp;"")</f>
        <v/>
      </c>
      <c r="L992">
        <f>IF($U992="","",INDEX(상세표[직위],$U992)&amp;"")</f>
        <v/>
      </c>
      <c r="M992">
        <f>IF($U992="","",IF(ISNUMBER(INDEX(상세표[근무일자],$U992)),TEXT(INDEX(상세표[근무일자],$U992),"yyyy-mm-dd"),INDEX(상세표[근무일자],$U992)&amp;""))</f>
        <v/>
      </c>
      <c r="N992">
        <f>IF($U992="","",IF(ISNUMBER(INDEX(상세표[시작],$U992)),TEXT(INDEX(상세표[시작],$U992),"yyyy-mm-dd hh:mm"),INDEX(상세표[시작],$U992)&amp;""))</f>
        <v/>
      </c>
      <c r="O992">
        <f>IF($U992="","",IF(ISNUMBER(INDEX(상세표[종료],$U992)),TEXT(INDEX(상세표[종료],$U992),"yyyy-mm-dd hh:mm"),INDEX(상세표[종료],$U992)&amp;""))</f>
        <v/>
      </c>
      <c r="P992" s="20">
        <f>IF($U992="","",INDEX(상세표[06~07시],$U992))</f>
        <v/>
      </c>
      <c r="Q992" s="20">
        <f>IF($U992="","",INDEX(상세표[07~18시],$U992))</f>
        <v/>
      </c>
      <c r="R992" s="20">
        <f>IF($U992="","",INDEX(상세표[18~22시],$U992))</f>
        <v/>
      </c>
      <c r="S992" s="20">
        <f>IF($U992="","",INDEX(상세표[22~06시],$U992))</f>
        <v/>
      </c>
      <c r="T992" s="20">
        <f>IF($U992="","",INDEX(상세표[기록 시간외],$U992))</f>
        <v/>
      </c>
      <c r="U992" s="4">
        <f>IFERROR(MATCH(987,상세표[발송순번],0),"")</f>
        <v/>
      </c>
    </row>
    <row r="993">
      <c r="J993">
        <f>IF($U993="","",INDEX(상세표[사번],$U993)&amp;"")</f>
        <v/>
      </c>
      <c r="K993">
        <f>IF($U993="","",INDEX(상세표[성명],$U993)&amp;"")</f>
        <v/>
      </c>
      <c r="L993">
        <f>IF($U993="","",INDEX(상세표[직위],$U993)&amp;"")</f>
        <v/>
      </c>
      <c r="M993">
        <f>IF($U993="","",IF(ISNUMBER(INDEX(상세표[근무일자],$U993)),TEXT(INDEX(상세표[근무일자],$U993),"yyyy-mm-dd"),INDEX(상세표[근무일자],$U993)&amp;""))</f>
        <v/>
      </c>
      <c r="N993">
        <f>IF($U993="","",IF(ISNUMBER(INDEX(상세표[시작],$U993)),TEXT(INDEX(상세표[시작],$U993),"yyyy-mm-dd hh:mm"),INDEX(상세표[시작],$U993)&amp;""))</f>
        <v/>
      </c>
      <c r="O993">
        <f>IF($U993="","",IF(ISNUMBER(INDEX(상세표[종료],$U993)),TEXT(INDEX(상세표[종료],$U993),"yyyy-mm-dd hh:mm"),INDEX(상세표[종료],$U993)&amp;""))</f>
        <v/>
      </c>
      <c r="P993" s="20">
        <f>IF($U993="","",INDEX(상세표[06~07시],$U993))</f>
        <v/>
      </c>
      <c r="Q993" s="20">
        <f>IF($U993="","",INDEX(상세표[07~18시],$U993))</f>
        <v/>
      </c>
      <c r="R993" s="20">
        <f>IF($U993="","",INDEX(상세표[18~22시],$U993))</f>
        <v/>
      </c>
      <c r="S993" s="20">
        <f>IF($U993="","",INDEX(상세표[22~06시],$U993))</f>
        <v/>
      </c>
      <c r="T993" s="20">
        <f>IF($U993="","",INDEX(상세표[기록 시간외],$U993))</f>
        <v/>
      </c>
      <c r="U993" s="4">
        <f>IFERROR(MATCH(988,상세표[발송순번],0),"")</f>
        <v/>
      </c>
    </row>
    <row r="994">
      <c r="J994">
        <f>IF($U994="","",INDEX(상세표[사번],$U994)&amp;"")</f>
        <v/>
      </c>
      <c r="K994">
        <f>IF($U994="","",INDEX(상세표[성명],$U994)&amp;"")</f>
        <v/>
      </c>
      <c r="L994">
        <f>IF($U994="","",INDEX(상세표[직위],$U994)&amp;"")</f>
        <v/>
      </c>
      <c r="M994">
        <f>IF($U994="","",IF(ISNUMBER(INDEX(상세표[근무일자],$U994)),TEXT(INDEX(상세표[근무일자],$U994),"yyyy-mm-dd"),INDEX(상세표[근무일자],$U994)&amp;""))</f>
        <v/>
      </c>
      <c r="N994">
        <f>IF($U994="","",IF(ISNUMBER(INDEX(상세표[시작],$U994)),TEXT(INDEX(상세표[시작],$U994),"yyyy-mm-dd hh:mm"),INDEX(상세표[시작],$U994)&amp;""))</f>
        <v/>
      </c>
      <c r="O994">
        <f>IF($U994="","",IF(ISNUMBER(INDEX(상세표[종료],$U994)),TEXT(INDEX(상세표[종료],$U994),"yyyy-mm-dd hh:mm"),INDEX(상세표[종료],$U994)&amp;""))</f>
        <v/>
      </c>
      <c r="P994" s="20">
        <f>IF($U994="","",INDEX(상세표[06~07시],$U994))</f>
        <v/>
      </c>
      <c r="Q994" s="20">
        <f>IF($U994="","",INDEX(상세표[07~18시],$U994))</f>
        <v/>
      </c>
      <c r="R994" s="20">
        <f>IF($U994="","",INDEX(상세표[18~22시],$U994))</f>
        <v/>
      </c>
      <c r="S994" s="20">
        <f>IF($U994="","",INDEX(상세표[22~06시],$U994))</f>
        <v/>
      </c>
      <c r="T994" s="20">
        <f>IF($U994="","",INDEX(상세표[기록 시간외],$U994))</f>
        <v/>
      </c>
      <c r="U994" s="4">
        <f>IFERROR(MATCH(989,상세표[발송순번],0),"")</f>
        <v/>
      </c>
    </row>
    <row r="995">
      <c r="J995">
        <f>IF($U995="","",INDEX(상세표[사번],$U995)&amp;"")</f>
        <v/>
      </c>
      <c r="K995">
        <f>IF($U995="","",INDEX(상세표[성명],$U995)&amp;"")</f>
        <v/>
      </c>
      <c r="L995">
        <f>IF($U995="","",INDEX(상세표[직위],$U995)&amp;"")</f>
        <v/>
      </c>
      <c r="M995">
        <f>IF($U995="","",IF(ISNUMBER(INDEX(상세표[근무일자],$U995)),TEXT(INDEX(상세표[근무일자],$U995),"yyyy-mm-dd"),INDEX(상세표[근무일자],$U995)&amp;""))</f>
        <v/>
      </c>
      <c r="N995">
        <f>IF($U995="","",IF(ISNUMBER(INDEX(상세표[시작],$U995)),TEXT(INDEX(상세표[시작],$U995),"yyyy-mm-dd hh:mm"),INDEX(상세표[시작],$U995)&amp;""))</f>
        <v/>
      </c>
      <c r="O995">
        <f>IF($U995="","",IF(ISNUMBER(INDEX(상세표[종료],$U995)),TEXT(INDEX(상세표[종료],$U995),"yyyy-mm-dd hh:mm"),INDEX(상세표[종료],$U995)&amp;""))</f>
        <v/>
      </c>
      <c r="P995" s="20">
        <f>IF($U995="","",INDEX(상세표[06~07시],$U995))</f>
        <v/>
      </c>
      <c r="Q995" s="20">
        <f>IF($U995="","",INDEX(상세표[07~18시],$U995))</f>
        <v/>
      </c>
      <c r="R995" s="20">
        <f>IF($U995="","",INDEX(상세표[18~22시],$U995))</f>
        <v/>
      </c>
      <c r="S995" s="20">
        <f>IF($U995="","",INDEX(상세표[22~06시],$U995))</f>
        <v/>
      </c>
      <c r="T995" s="20">
        <f>IF($U995="","",INDEX(상세표[기록 시간외],$U995))</f>
        <v/>
      </c>
      <c r="U995" s="4">
        <f>IFERROR(MATCH(990,상세표[발송순번],0),"")</f>
        <v/>
      </c>
    </row>
    <row r="996">
      <c r="J996">
        <f>IF($U996="","",INDEX(상세표[사번],$U996)&amp;"")</f>
        <v/>
      </c>
      <c r="K996">
        <f>IF($U996="","",INDEX(상세표[성명],$U996)&amp;"")</f>
        <v/>
      </c>
      <c r="L996">
        <f>IF($U996="","",INDEX(상세표[직위],$U996)&amp;"")</f>
        <v/>
      </c>
      <c r="M996">
        <f>IF($U996="","",IF(ISNUMBER(INDEX(상세표[근무일자],$U996)),TEXT(INDEX(상세표[근무일자],$U996),"yyyy-mm-dd"),INDEX(상세표[근무일자],$U996)&amp;""))</f>
        <v/>
      </c>
      <c r="N996">
        <f>IF($U996="","",IF(ISNUMBER(INDEX(상세표[시작],$U996)),TEXT(INDEX(상세표[시작],$U996),"yyyy-mm-dd hh:mm"),INDEX(상세표[시작],$U996)&amp;""))</f>
        <v/>
      </c>
      <c r="O996">
        <f>IF($U996="","",IF(ISNUMBER(INDEX(상세표[종료],$U996)),TEXT(INDEX(상세표[종료],$U996),"yyyy-mm-dd hh:mm"),INDEX(상세표[종료],$U996)&amp;""))</f>
        <v/>
      </c>
      <c r="P996" s="20">
        <f>IF($U996="","",INDEX(상세표[06~07시],$U996))</f>
        <v/>
      </c>
      <c r="Q996" s="20">
        <f>IF($U996="","",INDEX(상세표[07~18시],$U996))</f>
        <v/>
      </c>
      <c r="R996" s="20">
        <f>IF($U996="","",INDEX(상세표[18~22시],$U996))</f>
        <v/>
      </c>
      <c r="S996" s="20">
        <f>IF($U996="","",INDEX(상세표[22~06시],$U996))</f>
        <v/>
      </c>
      <c r="T996" s="20">
        <f>IF($U996="","",INDEX(상세표[기록 시간외],$U996))</f>
        <v/>
      </c>
      <c r="U996" s="4">
        <f>IFERROR(MATCH(991,상세표[발송순번],0),"")</f>
        <v/>
      </c>
    </row>
    <row r="997">
      <c r="J997">
        <f>IF($U997="","",INDEX(상세표[사번],$U997)&amp;"")</f>
        <v/>
      </c>
      <c r="K997">
        <f>IF($U997="","",INDEX(상세표[성명],$U997)&amp;"")</f>
        <v/>
      </c>
      <c r="L997">
        <f>IF($U997="","",INDEX(상세표[직위],$U997)&amp;"")</f>
        <v/>
      </c>
      <c r="M997">
        <f>IF($U997="","",IF(ISNUMBER(INDEX(상세표[근무일자],$U997)),TEXT(INDEX(상세표[근무일자],$U997),"yyyy-mm-dd"),INDEX(상세표[근무일자],$U997)&amp;""))</f>
        <v/>
      </c>
      <c r="N997">
        <f>IF($U997="","",IF(ISNUMBER(INDEX(상세표[시작],$U997)),TEXT(INDEX(상세표[시작],$U997),"yyyy-mm-dd hh:mm"),INDEX(상세표[시작],$U997)&amp;""))</f>
        <v/>
      </c>
      <c r="O997">
        <f>IF($U997="","",IF(ISNUMBER(INDEX(상세표[종료],$U997)),TEXT(INDEX(상세표[종료],$U997),"yyyy-mm-dd hh:mm"),INDEX(상세표[종료],$U997)&amp;""))</f>
        <v/>
      </c>
      <c r="P997" s="20">
        <f>IF($U997="","",INDEX(상세표[06~07시],$U997))</f>
        <v/>
      </c>
      <c r="Q997" s="20">
        <f>IF($U997="","",INDEX(상세표[07~18시],$U997))</f>
        <v/>
      </c>
      <c r="R997" s="20">
        <f>IF($U997="","",INDEX(상세표[18~22시],$U997))</f>
        <v/>
      </c>
      <c r="S997" s="20">
        <f>IF($U997="","",INDEX(상세표[22~06시],$U997))</f>
        <v/>
      </c>
      <c r="T997" s="20">
        <f>IF($U997="","",INDEX(상세표[기록 시간외],$U997))</f>
        <v/>
      </c>
      <c r="U997" s="4">
        <f>IFERROR(MATCH(992,상세표[발송순번],0),"")</f>
        <v/>
      </c>
    </row>
    <row r="998">
      <c r="J998">
        <f>IF($U998="","",INDEX(상세표[사번],$U998)&amp;"")</f>
        <v/>
      </c>
      <c r="K998">
        <f>IF($U998="","",INDEX(상세표[성명],$U998)&amp;"")</f>
        <v/>
      </c>
      <c r="L998">
        <f>IF($U998="","",INDEX(상세표[직위],$U998)&amp;"")</f>
        <v/>
      </c>
      <c r="M998">
        <f>IF($U998="","",IF(ISNUMBER(INDEX(상세표[근무일자],$U998)),TEXT(INDEX(상세표[근무일자],$U998),"yyyy-mm-dd"),INDEX(상세표[근무일자],$U998)&amp;""))</f>
        <v/>
      </c>
      <c r="N998">
        <f>IF($U998="","",IF(ISNUMBER(INDEX(상세표[시작],$U998)),TEXT(INDEX(상세표[시작],$U998),"yyyy-mm-dd hh:mm"),INDEX(상세표[시작],$U998)&amp;""))</f>
        <v/>
      </c>
      <c r="O998">
        <f>IF($U998="","",IF(ISNUMBER(INDEX(상세표[종료],$U998)),TEXT(INDEX(상세표[종료],$U998),"yyyy-mm-dd hh:mm"),INDEX(상세표[종료],$U998)&amp;""))</f>
        <v/>
      </c>
      <c r="P998" s="20">
        <f>IF($U998="","",INDEX(상세표[06~07시],$U998))</f>
        <v/>
      </c>
      <c r="Q998" s="20">
        <f>IF($U998="","",INDEX(상세표[07~18시],$U998))</f>
        <v/>
      </c>
      <c r="R998" s="20">
        <f>IF($U998="","",INDEX(상세표[18~22시],$U998))</f>
        <v/>
      </c>
      <c r="S998" s="20">
        <f>IF($U998="","",INDEX(상세표[22~06시],$U998))</f>
        <v/>
      </c>
      <c r="T998" s="20">
        <f>IF($U998="","",INDEX(상세표[기록 시간외],$U998))</f>
        <v/>
      </c>
      <c r="U998" s="4">
        <f>IFERROR(MATCH(993,상세표[발송순번],0),"")</f>
        <v/>
      </c>
    </row>
    <row r="999">
      <c r="J999">
        <f>IF($U999="","",INDEX(상세표[사번],$U999)&amp;"")</f>
        <v/>
      </c>
      <c r="K999">
        <f>IF($U999="","",INDEX(상세표[성명],$U999)&amp;"")</f>
        <v/>
      </c>
      <c r="L999">
        <f>IF($U999="","",INDEX(상세표[직위],$U999)&amp;"")</f>
        <v/>
      </c>
      <c r="M999">
        <f>IF($U999="","",IF(ISNUMBER(INDEX(상세표[근무일자],$U999)),TEXT(INDEX(상세표[근무일자],$U999),"yyyy-mm-dd"),INDEX(상세표[근무일자],$U999)&amp;""))</f>
        <v/>
      </c>
      <c r="N999">
        <f>IF($U999="","",IF(ISNUMBER(INDEX(상세표[시작],$U999)),TEXT(INDEX(상세표[시작],$U999),"yyyy-mm-dd hh:mm"),INDEX(상세표[시작],$U999)&amp;""))</f>
        <v/>
      </c>
      <c r="O999">
        <f>IF($U999="","",IF(ISNUMBER(INDEX(상세표[종료],$U999)),TEXT(INDEX(상세표[종료],$U999),"yyyy-mm-dd hh:mm"),INDEX(상세표[종료],$U999)&amp;""))</f>
        <v/>
      </c>
      <c r="P999" s="20">
        <f>IF($U999="","",INDEX(상세표[06~07시],$U999))</f>
        <v/>
      </c>
      <c r="Q999" s="20">
        <f>IF($U999="","",INDEX(상세표[07~18시],$U999))</f>
        <v/>
      </c>
      <c r="R999" s="20">
        <f>IF($U999="","",INDEX(상세표[18~22시],$U999))</f>
        <v/>
      </c>
      <c r="S999" s="20">
        <f>IF($U999="","",INDEX(상세표[22~06시],$U999))</f>
        <v/>
      </c>
      <c r="T999" s="20">
        <f>IF($U999="","",INDEX(상세표[기록 시간외],$U999))</f>
        <v/>
      </c>
      <c r="U999" s="4">
        <f>IFERROR(MATCH(994,상세표[발송순번],0),"")</f>
        <v/>
      </c>
    </row>
    <row r="1000">
      <c r="J1000">
        <f>IF($U1000="","",INDEX(상세표[사번],$U1000)&amp;"")</f>
        <v/>
      </c>
      <c r="K1000">
        <f>IF($U1000="","",INDEX(상세표[성명],$U1000)&amp;"")</f>
        <v/>
      </c>
      <c r="L1000">
        <f>IF($U1000="","",INDEX(상세표[직위],$U1000)&amp;"")</f>
        <v/>
      </c>
      <c r="M1000">
        <f>IF($U1000="","",IF(ISNUMBER(INDEX(상세표[근무일자],$U1000)),TEXT(INDEX(상세표[근무일자],$U1000),"yyyy-mm-dd"),INDEX(상세표[근무일자],$U1000)&amp;""))</f>
        <v/>
      </c>
      <c r="N1000">
        <f>IF($U1000="","",IF(ISNUMBER(INDEX(상세표[시작],$U1000)),TEXT(INDEX(상세표[시작],$U1000),"yyyy-mm-dd hh:mm"),INDEX(상세표[시작],$U1000)&amp;""))</f>
        <v/>
      </c>
      <c r="O1000">
        <f>IF($U1000="","",IF(ISNUMBER(INDEX(상세표[종료],$U1000)),TEXT(INDEX(상세표[종료],$U1000),"yyyy-mm-dd hh:mm"),INDEX(상세표[종료],$U1000)&amp;""))</f>
        <v/>
      </c>
      <c r="P1000" s="20">
        <f>IF($U1000="","",INDEX(상세표[06~07시],$U1000))</f>
        <v/>
      </c>
      <c r="Q1000" s="20">
        <f>IF($U1000="","",INDEX(상세표[07~18시],$U1000))</f>
        <v/>
      </c>
      <c r="R1000" s="20">
        <f>IF($U1000="","",INDEX(상세표[18~22시],$U1000))</f>
        <v/>
      </c>
      <c r="S1000" s="20">
        <f>IF($U1000="","",INDEX(상세표[22~06시],$U1000))</f>
        <v/>
      </c>
      <c r="T1000" s="20">
        <f>IF($U1000="","",INDEX(상세표[기록 시간외],$U1000))</f>
        <v/>
      </c>
      <c r="U1000" s="4">
        <f>IFERROR(MATCH(995,상세표[발송순번],0),"")</f>
        <v/>
      </c>
    </row>
    <row r="1001">
      <c r="J1001">
        <f>IF($U1001="","",INDEX(상세표[사번],$U1001)&amp;"")</f>
        <v/>
      </c>
      <c r="K1001">
        <f>IF($U1001="","",INDEX(상세표[성명],$U1001)&amp;"")</f>
        <v/>
      </c>
      <c r="L1001">
        <f>IF($U1001="","",INDEX(상세표[직위],$U1001)&amp;"")</f>
        <v/>
      </c>
      <c r="M1001">
        <f>IF($U1001="","",IF(ISNUMBER(INDEX(상세표[근무일자],$U1001)),TEXT(INDEX(상세표[근무일자],$U1001),"yyyy-mm-dd"),INDEX(상세표[근무일자],$U1001)&amp;""))</f>
        <v/>
      </c>
      <c r="N1001">
        <f>IF($U1001="","",IF(ISNUMBER(INDEX(상세표[시작],$U1001)),TEXT(INDEX(상세표[시작],$U1001),"yyyy-mm-dd hh:mm"),INDEX(상세표[시작],$U1001)&amp;""))</f>
        <v/>
      </c>
      <c r="O1001">
        <f>IF($U1001="","",IF(ISNUMBER(INDEX(상세표[종료],$U1001)),TEXT(INDEX(상세표[종료],$U1001),"yyyy-mm-dd hh:mm"),INDEX(상세표[종료],$U1001)&amp;""))</f>
        <v/>
      </c>
      <c r="P1001" s="20">
        <f>IF($U1001="","",INDEX(상세표[06~07시],$U1001))</f>
        <v/>
      </c>
      <c r="Q1001" s="20">
        <f>IF($U1001="","",INDEX(상세표[07~18시],$U1001))</f>
        <v/>
      </c>
      <c r="R1001" s="20">
        <f>IF($U1001="","",INDEX(상세표[18~22시],$U1001))</f>
        <v/>
      </c>
      <c r="S1001" s="20">
        <f>IF($U1001="","",INDEX(상세표[22~06시],$U1001))</f>
        <v/>
      </c>
      <c r="T1001" s="20">
        <f>IF($U1001="","",INDEX(상세표[기록 시간외],$U1001))</f>
        <v/>
      </c>
      <c r="U1001" s="4">
        <f>IFERROR(MATCH(996,상세표[발송순번],0),"")</f>
        <v/>
      </c>
    </row>
    <row r="1002">
      <c r="J1002">
        <f>IF($U1002="","",INDEX(상세표[사번],$U1002)&amp;"")</f>
        <v/>
      </c>
      <c r="K1002">
        <f>IF($U1002="","",INDEX(상세표[성명],$U1002)&amp;"")</f>
        <v/>
      </c>
      <c r="L1002">
        <f>IF($U1002="","",INDEX(상세표[직위],$U1002)&amp;"")</f>
        <v/>
      </c>
      <c r="M1002">
        <f>IF($U1002="","",IF(ISNUMBER(INDEX(상세표[근무일자],$U1002)),TEXT(INDEX(상세표[근무일자],$U1002),"yyyy-mm-dd"),INDEX(상세표[근무일자],$U1002)&amp;""))</f>
        <v/>
      </c>
      <c r="N1002">
        <f>IF($U1002="","",IF(ISNUMBER(INDEX(상세표[시작],$U1002)),TEXT(INDEX(상세표[시작],$U1002),"yyyy-mm-dd hh:mm"),INDEX(상세표[시작],$U1002)&amp;""))</f>
        <v/>
      </c>
      <c r="O1002">
        <f>IF($U1002="","",IF(ISNUMBER(INDEX(상세표[종료],$U1002)),TEXT(INDEX(상세표[종료],$U1002),"yyyy-mm-dd hh:mm"),INDEX(상세표[종료],$U1002)&amp;""))</f>
        <v/>
      </c>
      <c r="P1002" s="20">
        <f>IF($U1002="","",INDEX(상세표[06~07시],$U1002))</f>
        <v/>
      </c>
      <c r="Q1002" s="20">
        <f>IF($U1002="","",INDEX(상세표[07~18시],$U1002))</f>
        <v/>
      </c>
      <c r="R1002" s="20">
        <f>IF($U1002="","",INDEX(상세표[18~22시],$U1002))</f>
        <v/>
      </c>
      <c r="S1002" s="20">
        <f>IF($U1002="","",INDEX(상세표[22~06시],$U1002))</f>
        <v/>
      </c>
      <c r="T1002" s="20">
        <f>IF($U1002="","",INDEX(상세표[기록 시간외],$U1002))</f>
        <v/>
      </c>
      <c r="U1002" s="4">
        <f>IFERROR(MATCH(997,상세표[발송순번],0),"")</f>
        <v/>
      </c>
    </row>
    <row r="1003">
      <c r="J1003">
        <f>IF($U1003="","",INDEX(상세표[사번],$U1003)&amp;"")</f>
        <v/>
      </c>
      <c r="K1003">
        <f>IF($U1003="","",INDEX(상세표[성명],$U1003)&amp;"")</f>
        <v/>
      </c>
      <c r="L1003">
        <f>IF($U1003="","",INDEX(상세표[직위],$U1003)&amp;"")</f>
        <v/>
      </c>
      <c r="M1003">
        <f>IF($U1003="","",IF(ISNUMBER(INDEX(상세표[근무일자],$U1003)),TEXT(INDEX(상세표[근무일자],$U1003),"yyyy-mm-dd"),INDEX(상세표[근무일자],$U1003)&amp;""))</f>
        <v/>
      </c>
      <c r="N1003">
        <f>IF($U1003="","",IF(ISNUMBER(INDEX(상세표[시작],$U1003)),TEXT(INDEX(상세표[시작],$U1003),"yyyy-mm-dd hh:mm"),INDEX(상세표[시작],$U1003)&amp;""))</f>
        <v/>
      </c>
      <c r="O1003">
        <f>IF($U1003="","",IF(ISNUMBER(INDEX(상세표[종료],$U1003)),TEXT(INDEX(상세표[종료],$U1003),"yyyy-mm-dd hh:mm"),INDEX(상세표[종료],$U1003)&amp;""))</f>
        <v/>
      </c>
      <c r="P1003" s="20">
        <f>IF($U1003="","",INDEX(상세표[06~07시],$U1003))</f>
        <v/>
      </c>
      <c r="Q1003" s="20">
        <f>IF($U1003="","",INDEX(상세표[07~18시],$U1003))</f>
        <v/>
      </c>
      <c r="R1003" s="20">
        <f>IF($U1003="","",INDEX(상세표[18~22시],$U1003))</f>
        <v/>
      </c>
      <c r="S1003" s="20">
        <f>IF($U1003="","",INDEX(상세표[22~06시],$U1003))</f>
        <v/>
      </c>
      <c r="T1003" s="20">
        <f>IF($U1003="","",INDEX(상세표[기록 시간외],$U1003))</f>
        <v/>
      </c>
      <c r="U1003" s="4">
        <f>IFERROR(MATCH(998,상세표[발송순번],0),"")</f>
        <v/>
      </c>
    </row>
    <row r="1004">
      <c r="J1004">
        <f>IF($U1004="","",INDEX(상세표[사번],$U1004)&amp;"")</f>
        <v/>
      </c>
      <c r="K1004">
        <f>IF($U1004="","",INDEX(상세표[성명],$U1004)&amp;"")</f>
        <v/>
      </c>
      <c r="L1004">
        <f>IF($U1004="","",INDEX(상세표[직위],$U1004)&amp;"")</f>
        <v/>
      </c>
      <c r="M1004">
        <f>IF($U1004="","",IF(ISNUMBER(INDEX(상세표[근무일자],$U1004)),TEXT(INDEX(상세표[근무일자],$U1004),"yyyy-mm-dd"),INDEX(상세표[근무일자],$U1004)&amp;""))</f>
        <v/>
      </c>
      <c r="N1004">
        <f>IF($U1004="","",IF(ISNUMBER(INDEX(상세표[시작],$U1004)),TEXT(INDEX(상세표[시작],$U1004),"yyyy-mm-dd hh:mm"),INDEX(상세표[시작],$U1004)&amp;""))</f>
        <v/>
      </c>
      <c r="O1004">
        <f>IF($U1004="","",IF(ISNUMBER(INDEX(상세표[종료],$U1004)),TEXT(INDEX(상세표[종료],$U1004),"yyyy-mm-dd hh:mm"),INDEX(상세표[종료],$U1004)&amp;""))</f>
        <v/>
      </c>
      <c r="P1004" s="20">
        <f>IF($U1004="","",INDEX(상세표[06~07시],$U1004))</f>
        <v/>
      </c>
      <c r="Q1004" s="20">
        <f>IF($U1004="","",INDEX(상세표[07~18시],$U1004))</f>
        <v/>
      </c>
      <c r="R1004" s="20">
        <f>IF($U1004="","",INDEX(상세표[18~22시],$U1004))</f>
        <v/>
      </c>
      <c r="S1004" s="20">
        <f>IF($U1004="","",INDEX(상세표[22~06시],$U1004))</f>
        <v/>
      </c>
      <c r="T1004" s="20">
        <f>IF($U1004="","",INDEX(상세표[기록 시간외],$U1004))</f>
        <v/>
      </c>
      <c r="U1004" s="4">
        <f>IFERROR(MATCH(999,상세표[발송순번],0),"")</f>
        <v/>
      </c>
    </row>
    <row r="1005">
      <c r="J1005">
        <f>IF($U1005="","",INDEX(상세표[사번],$U1005)&amp;"")</f>
        <v/>
      </c>
      <c r="K1005">
        <f>IF($U1005="","",INDEX(상세표[성명],$U1005)&amp;"")</f>
        <v/>
      </c>
      <c r="L1005">
        <f>IF($U1005="","",INDEX(상세표[직위],$U1005)&amp;"")</f>
        <v/>
      </c>
      <c r="M1005">
        <f>IF($U1005="","",IF(ISNUMBER(INDEX(상세표[근무일자],$U1005)),TEXT(INDEX(상세표[근무일자],$U1005),"yyyy-mm-dd"),INDEX(상세표[근무일자],$U1005)&amp;""))</f>
        <v/>
      </c>
      <c r="N1005">
        <f>IF($U1005="","",IF(ISNUMBER(INDEX(상세표[시작],$U1005)),TEXT(INDEX(상세표[시작],$U1005),"yyyy-mm-dd hh:mm"),INDEX(상세표[시작],$U1005)&amp;""))</f>
        <v/>
      </c>
      <c r="O1005">
        <f>IF($U1005="","",IF(ISNUMBER(INDEX(상세표[종료],$U1005)),TEXT(INDEX(상세표[종료],$U1005),"yyyy-mm-dd hh:mm"),INDEX(상세표[종료],$U1005)&amp;""))</f>
        <v/>
      </c>
      <c r="P1005" s="20">
        <f>IF($U1005="","",INDEX(상세표[06~07시],$U1005))</f>
        <v/>
      </c>
      <c r="Q1005" s="20">
        <f>IF($U1005="","",INDEX(상세표[07~18시],$U1005))</f>
        <v/>
      </c>
      <c r="R1005" s="20">
        <f>IF($U1005="","",INDEX(상세표[18~22시],$U1005))</f>
        <v/>
      </c>
      <c r="S1005" s="20">
        <f>IF($U1005="","",INDEX(상세표[22~06시],$U1005))</f>
        <v/>
      </c>
      <c r="T1005" s="20">
        <f>IF($U1005="","",INDEX(상세표[기록 시간외],$U1005))</f>
        <v/>
      </c>
      <c r="U1005" s="4">
        <f>IFERROR(MATCH(1000,상세표[발송순번],0),"")</f>
        <v/>
      </c>
    </row>
    <row r="1006">
      <c r="J1006">
        <f>IF($U1006="","",INDEX(상세표[사번],$U1006)&amp;"")</f>
        <v/>
      </c>
      <c r="K1006">
        <f>IF($U1006="","",INDEX(상세표[성명],$U1006)&amp;"")</f>
        <v/>
      </c>
      <c r="L1006">
        <f>IF($U1006="","",INDEX(상세표[직위],$U1006)&amp;"")</f>
        <v/>
      </c>
      <c r="M1006">
        <f>IF($U1006="","",IF(ISNUMBER(INDEX(상세표[근무일자],$U1006)),TEXT(INDEX(상세표[근무일자],$U1006),"yyyy-mm-dd"),INDEX(상세표[근무일자],$U1006)&amp;""))</f>
        <v/>
      </c>
      <c r="N1006">
        <f>IF($U1006="","",IF(ISNUMBER(INDEX(상세표[시작],$U1006)),TEXT(INDEX(상세표[시작],$U1006),"yyyy-mm-dd hh:mm"),INDEX(상세표[시작],$U1006)&amp;""))</f>
        <v/>
      </c>
      <c r="O1006">
        <f>IF($U1006="","",IF(ISNUMBER(INDEX(상세표[종료],$U1006)),TEXT(INDEX(상세표[종료],$U1006),"yyyy-mm-dd hh:mm"),INDEX(상세표[종료],$U1006)&amp;""))</f>
        <v/>
      </c>
      <c r="P1006" s="20">
        <f>IF($U1006="","",INDEX(상세표[06~07시],$U1006))</f>
        <v/>
      </c>
      <c r="Q1006" s="20">
        <f>IF($U1006="","",INDEX(상세표[07~18시],$U1006))</f>
        <v/>
      </c>
      <c r="R1006" s="20">
        <f>IF($U1006="","",INDEX(상세표[18~22시],$U1006))</f>
        <v/>
      </c>
      <c r="S1006" s="20">
        <f>IF($U1006="","",INDEX(상세표[22~06시],$U1006))</f>
        <v/>
      </c>
      <c r="T1006" s="20">
        <f>IF($U1006="","",INDEX(상세표[기록 시간외],$U1006))</f>
        <v/>
      </c>
      <c r="U1006" s="4">
        <f>IFERROR(MATCH(1001,상세표[발송순번],0),"")</f>
        <v/>
      </c>
    </row>
    <row r="1007">
      <c r="J1007">
        <f>IF($U1007="","",INDEX(상세표[사번],$U1007)&amp;"")</f>
        <v/>
      </c>
      <c r="K1007">
        <f>IF($U1007="","",INDEX(상세표[성명],$U1007)&amp;"")</f>
        <v/>
      </c>
      <c r="L1007">
        <f>IF($U1007="","",INDEX(상세표[직위],$U1007)&amp;"")</f>
        <v/>
      </c>
      <c r="M1007">
        <f>IF($U1007="","",IF(ISNUMBER(INDEX(상세표[근무일자],$U1007)),TEXT(INDEX(상세표[근무일자],$U1007),"yyyy-mm-dd"),INDEX(상세표[근무일자],$U1007)&amp;""))</f>
        <v/>
      </c>
      <c r="N1007">
        <f>IF($U1007="","",IF(ISNUMBER(INDEX(상세표[시작],$U1007)),TEXT(INDEX(상세표[시작],$U1007),"yyyy-mm-dd hh:mm"),INDEX(상세표[시작],$U1007)&amp;""))</f>
        <v/>
      </c>
      <c r="O1007">
        <f>IF($U1007="","",IF(ISNUMBER(INDEX(상세표[종료],$U1007)),TEXT(INDEX(상세표[종료],$U1007),"yyyy-mm-dd hh:mm"),INDEX(상세표[종료],$U1007)&amp;""))</f>
        <v/>
      </c>
      <c r="P1007" s="20">
        <f>IF($U1007="","",INDEX(상세표[06~07시],$U1007))</f>
        <v/>
      </c>
      <c r="Q1007" s="20">
        <f>IF($U1007="","",INDEX(상세표[07~18시],$U1007))</f>
        <v/>
      </c>
      <c r="R1007" s="20">
        <f>IF($U1007="","",INDEX(상세표[18~22시],$U1007))</f>
        <v/>
      </c>
      <c r="S1007" s="20">
        <f>IF($U1007="","",INDEX(상세표[22~06시],$U1007))</f>
        <v/>
      </c>
      <c r="T1007" s="20">
        <f>IF($U1007="","",INDEX(상세표[기록 시간외],$U1007))</f>
        <v/>
      </c>
      <c r="U1007" s="4">
        <f>IFERROR(MATCH(1002,상세표[발송순번],0),"")</f>
        <v/>
      </c>
    </row>
    <row r="1008">
      <c r="J1008">
        <f>IF($U1008="","",INDEX(상세표[사번],$U1008)&amp;"")</f>
        <v/>
      </c>
      <c r="K1008">
        <f>IF($U1008="","",INDEX(상세표[성명],$U1008)&amp;"")</f>
        <v/>
      </c>
      <c r="L1008">
        <f>IF($U1008="","",INDEX(상세표[직위],$U1008)&amp;"")</f>
        <v/>
      </c>
      <c r="M1008">
        <f>IF($U1008="","",IF(ISNUMBER(INDEX(상세표[근무일자],$U1008)),TEXT(INDEX(상세표[근무일자],$U1008),"yyyy-mm-dd"),INDEX(상세표[근무일자],$U1008)&amp;""))</f>
        <v/>
      </c>
      <c r="N1008">
        <f>IF($U1008="","",IF(ISNUMBER(INDEX(상세표[시작],$U1008)),TEXT(INDEX(상세표[시작],$U1008),"yyyy-mm-dd hh:mm"),INDEX(상세표[시작],$U1008)&amp;""))</f>
        <v/>
      </c>
      <c r="O1008">
        <f>IF($U1008="","",IF(ISNUMBER(INDEX(상세표[종료],$U1008)),TEXT(INDEX(상세표[종료],$U1008),"yyyy-mm-dd hh:mm"),INDEX(상세표[종료],$U1008)&amp;""))</f>
        <v/>
      </c>
      <c r="P1008" s="20">
        <f>IF($U1008="","",INDEX(상세표[06~07시],$U1008))</f>
        <v/>
      </c>
      <c r="Q1008" s="20">
        <f>IF($U1008="","",INDEX(상세표[07~18시],$U1008))</f>
        <v/>
      </c>
      <c r="R1008" s="20">
        <f>IF($U1008="","",INDEX(상세표[18~22시],$U1008))</f>
        <v/>
      </c>
      <c r="S1008" s="20">
        <f>IF($U1008="","",INDEX(상세표[22~06시],$U1008))</f>
        <v/>
      </c>
      <c r="T1008" s="20">
        <f>IF($U1008="","",INDEX(상세표[기록 시간외],$U1008))</f>
        <v/>
      </c>
      <c r="U1008" s="4">
        <f>IFERROR(MATCH(1003,상세표[발송순번],0),"")</f>
        <v/>
      </c>
    </row>
    <row r="1009">
      <c r="J1009">
        <f>IF($U1009="","",INDEX(상세표[사번],$U1009)&amp;"")</f>
        <v/>
      </c>
      <c r="K1009">
        <f>IF($U1009="","",INDEX(상세표[성명],$U1009)&amp;"")</f>
        <v/>
      </c>
      <c r="L1009">
        <f>IF($U1009="","",INDEX(상세표[직위],$U1009)&amp;"")</f>
        <v/>
      </c>
      <c r="M1009">
        <f>IF($U1009="","",IF(ISNUMBER(INDEX(상세표[근무일자],$U1009)),TEXT(INDEX(상세표[근무일자],$U1009),"yyyy-mm-dd"),INDEX(상세표[근무일자],$U1009)&amp;""))</f>
        <v/>
      </c>
      <c r="N1009">
        <f>IF($U1009="","",IF(ISNUMBER(INDEX(상세표[시작],$U1009)),TEXT(INDEX(상세표[시작],$U1009),"yyyy-mm-dd hh:mm"),INDEX(상세표[시작],$U1009)&amp;""))</f>
        <v/>
      </c>
      <c r="O1009">
        <f>IF($U1009="","",IF(ISNUMBER(INDEX(상세표[종료],$U1009)),TEXT(INDEX(상세표[종료],$U1009),"yyyy-mm-dd hh:mm"),INDEX(상세표[종료],$U1009)&amp;""))</f>
        <v/>
      </c>
      <c r="P1009" s="20">
        <f>IF($U1009="","",INDEX(상세표[06~07시],$U1009))</f>
        <v/>
      </c>
      <c r="Q1009" s="20">
        <f>IF($U1009="","",INDEX(상세표[07~18시],$U1009))</f>
        <v/>
      </c>
      <c r="R1009" s="20">
        <f>IF($U1009="","",INDEX(상세표[18~22시],$U1009))</f>
        <v/>
      </c>
      <c r="S1009" s="20">
        <f>IF($U1009="","",INDEX(상세표[22~06시],$U1009))</f>
        <v/>
      </c>
      <c r="T1009" s="20">
        <f>IF($U1009="","",INDEX(상세표[기록 시간외],$U1009))</f>
        <v/>
      </c>
      <c r="U1009" s="4">
        <f>IFERROR(MATCH(1004,상세표[발송순번],0),"")</f>
        <v/>
      </c>
    </row>
    <row r="1010">
      <c r="J1010">
        <f>IF($U1010="","",INDEX(상세표[사번],$U1010)&amp;"")</f>
        <v/>
      </c>
      <c r="K1010">
        <f>IF($U1010="","",INDEX(상세표[성명],$U1010)&amp;"")</f>
        <v/>
      </c>
      <c r="L1010">
        <f>IF($U1010="","",INDEX(상세표[직위],$U1010)&amp;"")</f>
        <v/>
      </c>
      <c r="M1010">
        <f>IF($U1010="","",IF(ISNUMBER(INDEX(상세표[근무일자],$U1010)),TEXT(INDEX(상세표[근무일자],$U1010),"yyyy-mm-dd"),INDEX(상세표[근무일자],$U1010)&amp;""))</f>
        <v/>
      </c>
      <c r="N1010">
        <f>IF($U1010="","",IF(ISNUMBER(INDEX(상세표[시작],$U1010)),TEXT(INDEX(상세표[시작],$U1010),"yyyy-mm-dd hh:mm"),INDEX(상세표[시작],$U1010)&amp;""))</f>
        <v/>
      </c>
      <c r="O1010">
        <f>IF($U1010="","",IF(ISNUMBER(INDEX(상세표[종료],$U1010)),TEXT(INDEX(상세표[종료],$U1010),"yyyy-mm-dd hh:mm"),INDEX(상세표[종료],$U1010)&amp;""))</f>
        <v/>
      </c>
      <c r="P1010" s="20">
        <f>IF($U1010="","",INDEX(상세표[06~07시],$U1010))</f>
        <v/>
      </c>
      <c r="Q1010" s="20">
        <f>IF($U1010="","",INDEX(상세표[07~18시],$U1010))</f>
        <v/>
      </c>
      <c r="R1010" s="20">
        <f>IF($U1010="","",INDEX(상세표[18~22시],$U1010))</f>
        <v/>
      </c>
      <c r="S1010" s="20">
        <f>IF($U1010="","",INDEX(상세표[22~06시],$U1010))</f>
        <v/>
      </c>
      <c r="T1010" s="20">
        <f>IF($U1010="","",INDEX(상세표[기록 시간외],$U1010))</f>
        <v/>
      </c>
      <c r="U1010" s="4">
        <f>IFERROR(MATCH(1005,상세표[발송순번],0),"")</f>
        <v/>
      </c>
    </row>
    <row r="1011">
      <c r="J1011">
        <f>IF($U1011="","",INDEX(상세표[사번],$U1011)&amp;"")</f>
        <v/>
      </c>
      <c r="K1011">
        <f>IF($U1011="","",INDEX(상세표[성명],$U1011)&amp;"")</f>
        <v/>
      </c>
      <c r="L1011">
        <f>IF($U1011="","",INDEX(상세표[직위],$U1011)&amp;"")</f>
        <v/>
      </c>
      <c r="M1011">
        <f>IF($U1011="","",IF(ISNUMBER(INDEX(상세표[근무일자],$U1011)),TEXT(INDEX(상세표[근무일자],$U1011),"yyyy-mm-dd"),INDEX(상세표[근무일자],$U1011)&amp;""))</f>
        <v/>
      </c>
      <c r="N1011">
        <f>IF($U1011="","",IF(ISNUMBER(INDEX(상세표[시작],$U1011)),TEXT(INDEX(상세표[시작],$U1011),"yyyy-mm-dd hh:mm"),INDEX(상세표[시작],$U1011)&amp;""))</f>
        <v/>
      </c>
      <c r="O1011">
        <f>IF($U1011="","",IF(ISNUMBER(INDEX(상세표[종료],$U1011)),TEXT(INDEX(상세표[종료],$U1011),"yyyy-mm-dd hh:mm"),INDEX(상세표[종료],$U1011)&amp;""))</f>
        <v/>
      </c>
      <c r="P1011" s="20">
        <f>IF($U1011="","",INDEX(상세표[06~07시],$U1011))</f>
        <v/>
      </c>
      <c r="Q1011" s="20">
        <f>IF($U1011="","",INDEX(상세표[07~18시],$U1011))</f>
        <v/>
      </c>
      <c r="R1011" s="20">
        <f>IF($U1011="","",INDEX(상세표[18~22시],$U1011))</f>
        <v/>
      </c>
      <c r="S1011" s="20">
        <f>IF($U1011="","",INDEX(상세표[22~06시],$U1011))</f>
        <v/>
      </c>
      <c r="T1011" s="20">
        <f>IF($U1011="","",INDEX(상세표[기록 시간외],$U1011))</f>
        <v/>
      </c>
      <c r="U1011" s="4">
        <f>IFERROR(MATCH(1006,상세표[발송순번],0),"")</f>
        <v/>
      </c>
    </row>
    <row r="1012">
      <c r="J1012">
        <f>IF($U1012="","",INDEX(상세표[사번],$U1012)&amp;"")</f>
        <v/>
      </c>
      <c r="K1012">
        <f>IF($U1012="","",INDEX(상세표[성명],$U1012)&amp;"")</f>
        <v/>
      </c>
      <c r="L1012">
        <f>IF($U1012="","",INDEX(상세표[직위],$U1012)&amp;"")</f>
        <v/>
      </c>
      <c r="M1012">
        <f>IF($U1012="","",IF(ISNUMBER(INDEX(상세표[근무일자],$U1012)),TEXT(INDEX(상세표[근무일자],$U1012),"yyyy-mm-dd"),INDEX(상세표[근무일자],$U1012)&amp;""))</f>
        <v/>
      </c>
      <c r="N1012">
        <f>IF($U1012="","",IF(ISNUMBER(INDEX(상세표[시작],$U1012)),TEXT(INDEX(상세표[시작],$U1012),"yyyy-mm-dd hh:mm"),INDEX(상세표[시작],$U1012)&amp;""))</f>
        <v/>
      </c>
      <c r="O1012">
        <f>IF($U1012="","",IF(ISNUMBER(INDEX(상세표[종료],$U1012)),TEXT(INDEX(상세표[종료],$U1012),"yyyy-mm-dd hh:mm"),INDEX(상세표[종료],$U1012)&amp;""))</f>
        <v/>
      </c>
      <c r="P1012" s="20">
        <f>IF($U1012="","",INDEX(상세표[06~07시],$U1012))</f>
        <v/>
      </c>
      <c r="Q1012" s="20">
        <f>IF($U1012="","",INDEX(상세표[07~18시],$U1012))</f>
        <v/>
      </c>
      <c r="R1012" s="20">
        <f>IF($U1012="","",INDEX(상세표[18~22시],$U1012))</f>
        <v/>
      </c>
      <c r="S1012" s="20">
        <f>IF($U1012="","",INDEX(상세표[22~06시],$U1012))</f>
        <v/>
      </c>
      <c r="T1012" s="20">
        <f>IF($U1012="","",INDEX(상세표[기록 시간외],$U1012))</f>
        <v/>
      </c>
      <c r="U1012" s="4">
        <f>IFERROR(MATCH(1007,상세표[발송순번],0),"")</f>
        <v/>
      </c>
    </row>
    <row r="1013">
      <c r="J1013">
        <f>IF($U1013="","",INDEX(상세표[사번],$U1013)&amp;"")</f>
        <v/>
      </c>
      <c r="K1013">
        <f>IF($U1013="","",INDEX(상세표[성명],$U1013)&amp;"")</f>
        <v/>
      </c>
      <c r="L1013">
        <f>IF($U1013="","",INDEX(상세표[직위],$U1013)&amp;"")</f>
        <v/>
      </c>
      <c r="M1013">
        <f>IF($U1013="","",IF(ISNUMBER(INDEX(상세표[근무일자],$U1013)),TEXT(INDEX(상세표[근무일자],$U1013),"yyyy-mm-dd"),INDEX(상세표[근무일자],$U1013)&amp;""))</f>
        <v/>
      </c>
      <c r="N1013">
        <f>IF($U1013="","",IF(ISNUMBER(INDEX(상세표[시작],$U1013)),TEXT(INDEX(상세표[시작],$U1013),"yyyy-mm-dd hh:mm"),INDEX(상세표[시작],$U1013)&amp;""))</f>
        <v/>
      </c>
      <c r="O1013">
        <f>IF($U1013="","",IF(ISNUMBER(INDEX(상세표[종료],$U1013)),TEXT(INDEX(상세표[종료],$U1013),"yyyy-mm-dd hh:mm"),INDEX(상세표[종료],$U1013)&amp;""))</f>
        <v/>
      </c>
      <c r="P1013" s="20">
        <f>IF($U1013="","",INDEX(상세표[06~07시],$U1013))</f>
        <v/>
      </c>
      <c r="Q1013" s="20">
        <f>IF($U1013="","",INDEX(상세표[07~18시],$U1013))</f>
        <v/>
      </c>
      <c r="R1013" s="20">
        <f>IF($U1013="","",INDEX(상세표[18~22시],$U1013))</f>
        <v/>
      </c>
      <c r="S1013" s="20">
        <f>IF($U1013="","",INDEX(상세표[22~06시],$U1013))</f>
        <v/>
      </c>
      <c r="T1013" s="20">
        <f>IF($U1013="","",INDEX(상세표[기록 시간외],$U1013))</f>
        <v/>
      </c>
      <c r="U1013" s="4">
        <f>IFERROR(MATCH(1008,상세표[발송순번],0),"")</f>
        <v/>
      </c>
    </row>
    <row r="1014">
      <c r="J1014">
        <f>IF($U1014="","",INDEX(상세표[사번],$U1014)&amp;"")</f>
        <v/>
      </c>
      <c r="K1014">
        <f>IF($U1014="","",INDEX(상세표[성명],$U1014)&amp;"")</f>
        <v/>
      </c>
      <c r="L1014">
        <f>IF($U1014="","",INDEX(상세표[직위],$U1014)&amp;"")</f>
        <v/>
      </c>
      <c r="M1014">
        <f>IF($U1014="","",IF(ISNUMBER(INDEX(상세표[근무일자],$U1014)),TEXT(INDEX(상세표[근무일자],$U1014),"yyyy-mm-dd"),INDEX(상세표[근무일자],$U1014)&amp;""))</f>
        <v/>
      </c>
      <c r="N1014">
        <f>IF($U1014="","",IF(ISNUMBER(INDEX(상세표[시작],$U1014)),TEXT(INDEX(상세표[시작],$U1014),"yyyy-mm-dd hh:mm"),INDEX(상세표[시작],$U1014)&amp;""))</f>
        <v/>
      </c>
      <c r="O1014">
        <f>IF($U1014="","",IF(ISNUMBER(INDEX(상세표[종료],$U1014)),TEXT(INDEX(상세표[종료],$U1014),"yyyy-mm-dd hh:mm"),INDEX(상세표[종료],$U1014)&amp;""))</f>
        <v/>
      </c>
      <c r="P1014" s="20">
        <f>IF($U1014="","",INDEX(상세표[06~07시],$U1014))</f>
        <v/>
      </c>
      <c r="Q1014" s="20">
        <f>IF($U1014="","",INDEX(상세표[07~18시],$U1014))</f>
        <v/>
      </c>
      <c r="R1014" s="20">
        <f>IF($U1014="","",INDEX(상세표[18~22시],$U1014))</f>
        <v/>
      </c>
      <c r="S1014" s="20">
        <f>IF($U1014="","",INDEX(상세표[22~06시],$U1014))</f>
        <v/>
      </c>
      <c r="T1014" s="20">
        <f>IF($U1014="","",INDEX(상세표[기록 시간외],$U1014))</f>
        <v/>
      </c>
      <c r="U1014" s="4">
        <f>IFERROR(MATCH(1009,상세표[발송순번],0),"")</f>
        <v/>
      </c>
    </row>
    <row r="1015">
      <c r="J1015">
        <f>IF($U1015="","",INDEX(상세표[사번],$U1015)&amp;"")</f>
        <v/>
      </c>
      <c r="K1015">
        <f>IF($U1015="","",INDEX(상세표[성명],$U1015)&amp;"")</f>
        <v/>
      </c>
      <c r="L1015">
        <f>IF($U1015="","",INDEX(상세표[직위],$U1015)&amp;"")</f>
        <v/>
      </c>
      <c r="M1015">
        <f>IF($U1015="","",IF(ISNUMBER(INDEX(상세표[근무일자],$U1015)),TEXT(INDEX(상세표[근무일자],$U1015),"yyyy-mm-dd"),INDEX(상세표[근무일자],$U1015)&amp;""))</f>
        <v/>
      </c>
      <c r="N1015">
        <f>IF($U1015="","",IF(ISNUMBER(INDEX(상세표[시작],$U1015)),TEXT(INDEX(상세표[시작],$U1015),"yyyy-mm-dd hh:mm"),INDEX(상세표[시작],$U1015)&amp;""))</f>
        <v/>
      </c>
      <c r="O1015">
        <f>IF($U1015="","",IF(ISNUMBER(INDEX(상세표[종료],$U1015)),TEXT(INDEX(상세표[종료],$U1015),"yyyy-mm-dd hh:mm"),INDEX(상세표[종료],$U1015)&amp;""))</f>
        <v/>
      </c>
      <c r="P1015" s="20">
        <f>IF($U1015="","",INDEX(상세표[06~07시],$U1015))</f>
        <v/>
      </c>
      <c r="Q1015" s="20">
        <f>IF($U1015="","",INDEX(상세표[07~18시],$U1015))</f>
        <v/>
      </c>
      <c r="R1015" s="20">
        <f>IF($U1015="","",INDEX(상세표[18~22시],$U1015))</f>
        <v/>
      </c>
      <c r="S1015" s="20">
        <f>IF($U1015="","",INDEX(상세표[22~06시],$U1015))</f>
        <v/>
      </c>
      <c r="T1015" s="20">
        <f>IF($U1015="","",INDEX(상세표[기록 시간외],$U1015))</f>
        <v/>
      </c>
      <c r="U1015" s="4">
        <f>IFERROR(MATCH(1010,상세표[발송순번],0),"")</f>
        <v/>
      </c>
    </row>
    <row r="1016">
      <c r="J1016">
        <f>IF($U1016="","",INDEX(상세표[사번],$U1016)&amp;"")</f>
        <v/>
      </c>
      <c r="K1016">
        <f>IF($U1016="","",INDEX(상세표[성명],$U1016)&amp;"")</f>
        <v/>
      </c>
      <c r="L1016">
        <f>IF($U1016="","",INDEX(상세표[직위],$U1016)&amp;"")</f>
        <v/>
      </c>
      <c r="M1016">
        <f>IF($U1016="","",IF(ISNUMBER(INDEX(상세표[근무일자],$U1016)),TEXT(INDEX(상세표[근무일자],$U1016),"yyyy-mm-dd"),INDEX(상세표[근무일자],$U1016)&amp;""))</f>
        <v/>
      </c>
      <c r="N1016">
        <f>IF($U1016="","",IF(ISNUMBER(INDEX(상세표[시작],$U1016)),TEXT(INDEX(상세표[시작],$U1016),"yyyy-mm-dd hh:mm"),INDEX(상세표[시작],$U1016)&amp;""))</f>
        <v/>
      </c>
      <c r="O1016">
        <f>IF($U1016="","",IF(ISNUMBER(INDEX(상세표[종료],$U1016)),TEXT(INDEX(상세표[종료],$U1016),"yyyy-mm-dd hh:mm"),INDEX(상세표[종료],$U1016)&amp;""))</f>
        <v/>
      </c>
      <c r="P1016" s="20">
        <f>IF($U1016="","",INDEX(상세표[06~07시],$U1016))</f>
        <v/>
      </c>
      <c r="Q1016" s="20">
        <f>IF($U1016="","",INDEX(상세표[07~18시],$U1016))</f>
        <v/>
      </c>
      <c r="R1016" s="20">
        <f>IF($U1016="","",INDEX(상세표[18~22시],$U1016))</f>
        <v/>
      </c>
      <c r="S1016" s="20">
        <f>IF($U1016="","",INDEX(상세표[22~06시],$U1016))</f>
        <v/>
      </c>
      <c r="T1016" s="20">
        <f>IF($U1016="","",INDEX(상세표[기록 시간외],$U1016))</f>
        <v/>
      </c>
      <c r="U1016" s="4">
        <f>IFERROR(MATCH(1011,상세표[발송순번],0),"")</f>
        <v/>
      </c>
    </row>
    <row r="1017">
      <c r="J1017">
        <f>IF($U1017="","",INDEX(상세표[사번],$U1017)&amp;"")</f>
        <v/>
      </c>
      <c r="K1017">
        <f>IF($U1017="","",INDEX(상세표[성명],$U1017)&amp;"")</f>
        <v/>
      </c>
      <c r="L1017">
        <f>IF($U1017="","",INDEX(상세표[직위],$U1017)&amp;"")</f>
        <v/>
      </c>
      <c r="M1017">
        <f>IF($U1017="","",IF(ISNUMBER(INDEX(상세표[근무일자],$U1017)),TEXT(INDEX(상세표[근무일자],$U1017),"yyyy-mm-dd"),INDEX(상세표[근무일자],$U1017)&amp;""))</f>
        <v/>
      </c>
      <c r="N1017">
        <f>IF($U1017="","",IF(ISNUMBER(INDEX(상세표[시작],$U1017)),TEXT(INDEX(상세표[시작],$U1017),"yyyy-mm-dd hh:mm"),INDEX(상세표[시작],$U1017)&amp;""))</f>
        <v/>
      </c>
      <c r="O1017">
        <f>IF($U1017="","",IF(ISNUMBER(INDEX(상세표[종료],$U1017)),TEXT(INDEX(상세표[종료],$U1017),"yyyy-mm-dd hh:mm"),INDEX(상세표[종료],$U1017)&amp;""))</f>
        <v/>
      </c>
      <c r="P1017" s="20">
        <f>IF($U1017="","",INDEX(상세표[06~07시],$U1017))</f>
        <v/>
      </c>
      <c r="Q1017" s="20">
        <f>IF($U1017="","",INDEX(상세표[07~18시],$U1017))</f>
        <v/>
      </c>
      <c r="R1017" s="20">
        <f>IF($U1017="","",INDEX(상세표[18~22시],$U1017))</f>
        <v/>
      </c>
      <c r="S1017" s="20">
        <f>IF($U1017="","",INDEX(상세표[22~06시],$U1017))</f>
        <v/>
      </c>
      <c r="T1017" s="20">
        <f>IF($U1017="","",INDEX(상세표[기록 시간외],$U1017))</f>
        <v/>
      </c>
      <c r="U1017" s="4">
        <f>IFERROR(MATCH(1012,상세표[발송순번],0),"")</f>
        <v/>
      </c>
    </row>
    <row r="1018">
      <c r="J1018">
        <f>IF($U1018="","",INDEX(상세표[사번],$U1018)&amp;"")</f>
        <v/>
      </c>
      <c r="K1018">
        <f>IF($U1018="","",INDEX(상세표[성명],$U1018)&amp;"")</f>
        <v/>
      </c>
      <c r="L1018">
        <f>IF($U1018="","",INDEX(상세표[직위],$U1018)&amp;"")</f>
        <v/>
      </c>
      <c r="M1018">
        <f>IF($U1018="","",IF(ISNUMBER(INDEX(상세표[근무일자],$U1018)),TEXT(INDEX(상세표[근무일자],$U1018),"yyyy-mm-dd"),INDEX(상세표[근무일자],$U1018)&amp;""))</f>
        <v/>
      </c>
      <c r="N1018">
        <f>IF($U1018="","",IF(ISNUMBER(INDEX(상세표[시작],$U1018)),TEXT(INDEX(상세표[시작],$U1018),"yyyy-mm-dd hh:mm"),INDEX(상세표[시작],$U1018)&amp;""))</f>
        <v/>
      </c>
      <c r="O1018">
        <f>IF($U1018="","",IF(ISNUMBER(INDEX(상세표[종료],$U1018)),TEXT(INDEX(상세표[종료],$U1018),"yyyy-mm-dd hh:mm"),INDEX(상세표[종료],$U1018)&amp;""))</f>
        <v/>
      </c>
      <c r="P1018" s="20">
        <f>IF($U1018="","",INDEX(상세표[06~07시],$U1018))</f>
        <v/>
      </c>
      <c r="Q1018" s="20">
        <f>IF($U1018="","",INDEX(상세표[07~18시],$U1018))</f>
        <v/>
      </c>
      <c r="R1018" s="20">
        <f>IF($U1018="","",INDEX(상세표[18~22시],$U1018))</f>
        <v/>
      </c>
      <c r="S1018" s="20">
        <f>IF($U1018="","",INDEX(상세표[22~06시],$U1018))</f>
        <v/>
      </c>
      <c r="T1018" s="20">
        <f>IF($U1018="","",INDEX(상세표[기록 시간외],$U1018))</f>
        <v/>
      </c>
      <c r="U1018" s="4">
        <f>IFERROR(MATCH(1013,상세표[발송순번],0),"")</f>
        <v/>
      </c>
    </row>
    <row r="1019">
      <c r="J1019">
        <f>IF($U1019="","",INDEX(상세표[사번],$U1019)&amp;"")</f>
        <v/>
      </c>
      <c r="K1019">
        <f>IF($U1019="","",INDEX(상세표[성명],$U1019)&amp;"")</f>
        <v/>
      </c>
      <c r="L1019">
        <f>IF($U1019="","",INDEX(상세표[직위],$U1019)&amp;"")</f>
        <v/>
      </c>
      <c r="M1019">
        <f>IF($U1019="","",IF(ISNUMBER(INDEX(상세표[근무일자],$U1019)),TEXT(INDEX(상세표[근무일자],$U1019),"yyyy-mm-dd"),INDEX(상세표[근무일자],$U1019)&amp;""))</f>
        <v/>
      </c>
      <c r="N1019">
        <f>IF($U1019="","",IF(ISNUMBER(INDEX(상세표[시작],$U1019)),TEXT(INDEX(상세표[시작],$U1019),"yyyy-mm-dd hh:mm"),INDEX(상세표[시작],$U1019)&amp;""))</f>
        <v/>
      </c>
      <c r="O1019">
        <f>IF($U1019="","",IF(ISNUMBER(INDEX(상세표[종료],$U1019)),TEXT(INDEX(상세표[종료],$U1019),"yyyy-mm-dd hh:mm"),INDEX(상세표[종료],$U1019)&amp;""))</f>
        <v/>
      </c>
      <c r="P1019" s="20">
        <f>IF($U1019="","",INDEX(상세표[06~07시],$U1019))</f>
        <v/>
      </c>
      <c r="Q1019" s="20">
        <f>IF($U1019="","",INDEX(상세표[07~18시],$U1019))</f>
        <v/>
      </c>
      <c r="R1019" s="20">
        <f>IF($U1019="","",INDEX(상세표[18~22시],$U1019))</f>
        <v/>
      </c>
      <c r="S1019" s="20">
        <f>IF($U1019="","",INDEX(상세표[22~06시],$U1019))</f>
        <v/>
      </c>
      <c r="T1019" s="20">
        <f>IF($U1019="","",INDEX(상세표[기록 시간외],$U1019))</f>
        <v/>
      </c>
      <c r="U1019" s="4">
        <f>IFERROR(MATCH(1014,상세표[발송순번],0),"")</f>
        <v/>
      </c>
    </row>
    <row r="1020">
      <c r="J1020">
        <f>IF($U1020="","",INDEX(상세표[사번],$U1020)&amp;"")</f>
        <v/>
      </c>
      <c r="K1020">
        <f>IF($U1020="","",INDEX(상세표[성명],$U1020)&amp;"")</f>
        <v/>
      </c>
      <c r="L1020">
        <f>IF($U1020="","",INDEX(상세표[직위],$U1020)&amp;"")</f>
        <v/>
      </c>
      <c r="M1020">
        <f>IF($U1020="","",IF(ISNUMBER(INDEX(상세표[근무일자],$U1020)),TEXT(INDEX(상세표[근무일자],$U1020),"yyyy-mm-dd"),INDEX(상세표[근무일자],$U1020)&amp;""))</f>
        <v/>
      </c>
      <c r="N1020">
        <f>IF($U1020="","",IF(ISNUMBER(INDEX(상세표[시작],$U1020)),TEXT(INDEX(상세표[시작],$U1020),"yyyy-mm-dd hh:mm"),INDEX(상세표[시작],$U1020)&amp;""))</f>
        <v/>
      </c>
      <c r="O1020">
        <f>IF($U1020="","",IF(ISNUMBER(INDEX(상세표[종료],$U1020)),TEXT(INDEX(상세표[종료],$U1020),"yyyy-mm-dd hh:mm"),INDEX(상세표[종료],$U1020)&amp;""))</f>
        <v/>
      </c>
      <c r="P1020" s="20">
        <f>IF($U1020="","",INDEX(상세표[06~07시],$U1020))</f>
        <v/>
      </c>
      <c r="Q1020" s="20">
        <f>IF($U1020="","",INDEX(상세표[07~18시],$U1020))</f>
        <v/>
      </c>
      <c r="R1020" s="20">
        <f>IF($U1020="","",INDEX(상세표[18~22시],$U1020))</f>
        <v/>
      </c>
      <c r="S1020" s="20">
        <f>IF($U1020="","",INDEX(상세표[22~06시],$U1020))</f>
        <v/>
      </c>
      <c r="T1020" s="20">
        <f>IF($U1020="","",INDEX(상세표[기록 시간외],$U1020))</f>
        <v/>
      </c>
      <c r="U1020" s="4">
        <f>IFERROR(MATCH(1015,상세표[발송순번],0),"")</f>
        <v/>
      </c>
    </row>
    <row r="1021">
      <c r="J1021">
        <f>IF($U1021="","",INDEX(상세표[사번],$U1021)&amp;"")</f>
        <v/>
      </c>
      <c r="K1021">
        <f>IF($U1021="","",INDEX(상세표[성명],$U1021)&amp;"")</f>
        <v/>
      </c>
      <c r="L1021">
        <f>IF($U1021="","",INDEX(상세표[직위],$U1021)&amp;"")</f>
        <v/>
      </c>
      <c r="M1021">
        <f>IF($U1021="","",IF(ISNUMBER(INDEX(상세표[근무일자],$U1021)),TEXT(INDEX(상세표[근무일자],$U1021),"yyyy-mm-dd"),INDEX(상세표[근무일자],$U1021)&amp;""))</f>
        <v/>
      </c>
      <c r="N1021">
        <f>IF($U1021="","",IF(ISNUMBER(INDEX(상세표[시작],$U1021)),TEXT(INDEX(상세표[시작],$U1021),"yyyy-mm-dd hh:mm"),INDEX(상세표[시작],$U1021)&amp;""))</f>
        <v/>
      </c>
      <c r="O1021">
        <f>IF($U1021="","",IF(ISNUMBER(INDEX(상세표[종료],$U1021)),TEXT(INDEX(상세표[종료],$U1021),"yyyy-mm-dd hh:mm"),INDEX(상세표[종료],$U1021)&amp;""))</f>
        <v/>
      </c>
      <c r="P1021" s="20">
        <f>IF($U1021="","",INDEX(상세표[06~07시],$U1021))</f>
        <v/>
      </c>
      <c r="Q1021" s="20">
        <f>IF($U1021="","",INDEX(상세표[07~18시],$U1021))</f>
        <v/>
      </c>
      <c r="R1021" s="20">
        <f>IF($U1021="","",INDEX(상세표[18~22시],$U1021))</f>
        <v/>
      </c>
      <c r="S1021" s="20">
        <f>IF($U1021="","",INDEX(상세표[22~06시],$U1021))</f>
        <v/>
      </c>
      <c r="T1021" s="20">
        <f>IF($U1021="","",INDEX(상세표[기록 시간외],$U1021))</f>
        <v/>
      </c>
      <c r="U1021" s="4">
        <f>IFERROR(MATCH(1016,상세표[발송순번],0),"")</f>
        <v/>
      </c>
    </row>
    <row r="1022">
      <c r="J1022">
        <f>IF($U1022="","",INDEX(상세표[사번],$U1022)&amp;"")</f>
        <v/>
      </c>
      <c r="K1022">
        <f>IF($U1022="","",INDEX(상세표[성명],$U1022)&amp;"")</f>
        <v/>
      </c>
      <c r="L1022">
        <f>IF($U1022="","",INDEX(상세표[직위],$U1022)&amp;"")</f>
        <v/>
      </c>
      <c r="M1022">
        <f>IF($U1022="","",IF(ISNUMBER(INDEX(상세표[근무일자],$U1022)),TEXT(INDEX(상세표[근무일자],$U1022),"yyyy-mm-dd"),INDEX(상세표[근무일자],$U1022)&amp;""))</f>
        <v/>
      </c>
      <c r="N1022">
        <f>IF($U1022="","",IF(ISNUMBER(INDEX(상세표[시작],$U1022)),TEXT(INDEX(상세표[시작],$U1022),"yyyy-mm-dd hh:mm"),INDEX(상세표[시작],$U1022)&amp;""))</f>
        <v/>
      </c>
      <c r="O1022">
        <f>IF($U1022="","",IF(ISNUMBER(INDEX(상세표[종료],$U1022)),TEXT(INDEX(상세표[종료],$U1022),"yyyy-mm-dd hh:mm"),INDEX(상세표[종료],$U1022)&amp;""))</f>
        <v/>
      </c>
      <c r="P1022" s="20">
        <f>IF($U1022="","",INDEX(상세표[06~07시],$U1022))</f>
        <v/>
      </c>
      <c r="Q1022" s="20">
        <f>IF($U1022="","",INDEX(상세표[07~18시],$U1022))</f>
        <v/>
      </c>
      <c r="R1022" s="20">
        <f>IF($U1022="","",INDEX(상세표[18~22시],$U1022))</f>
        <v/>
      </c>
      <c r="S1022" s="20">
        <f>IF($U1022="","",INDEX(상세표[22~06시],$U1022))</f>
        <v/>
      </c>
      <c r="T1022" s="20">
        <f>IF($U1022="","",INDEX(상세표[기록 시간외],$U1022))</f>
        <v/>
      </c>
      <c r="U1022" s="4">
        <f>IFERROR(MATCH(1017,상세표[발송순번],0),"")</f>
        <v/>
      </c>
    </row>
    <row r="1023">
      <c r="J1023">
        <f>IF($U1023="","",INDEX(상세표[사번],$U1023)&amp;"")</f>
        <v/>
      </c>
      <c r="K1023">
        <f>IF($U1023="","",INDEX(상세표[성명],$U1023)&amp;"")</f>
        <v/>
      </c>
      <c r="L1023">
        <f>IF($U1023="","",INDEX(상세표[직위],$U1023)&amp;"")</f>
        <v/>
      </c>
      <c r="M1023">
        <f>IF($U1023="","",IF(ISNUMBER(INDEX(상세표[근무일자],$U1023)),TEXT(INDEX(상세표[근무일자],$U1023),"yyyy-mm-dd"),INDEX(상세표[근무일자],$U1023)&amp;""))</f>
        <v/>
      </c>
      <c r="N1023">
        <f>IF($U1023="","",IF(ISNUMBER(INDEX(상세표[시작],$U1023)),TEXT(INDEX(상세표[시작],$U1023),"yyyy-mm-dd hh:mm"),INDEX(상세표[시작],$U1023)&amp;""))</f>
        <v/>
      </c>
      <c r="O1023">
        <f>IF($U1023="","",IF(ISNUMBER(INDEX(상세표[종료],$U1023)),TEXT(INDEX(상세표[종료],$U1023),"yyyy-mm-dd hh:mm"),INDEX(상세표[종료],$U1023)&amp;""))</f>
        <v/>
      </c>
      <c r="P1023" s="20">
        <f>IF($U1023="","",INDEX(상세표[06~07시],$U1023))</f>
        <v/>
      </c>
      <c r="Q1023" s="20">
        <f>IF($U1023="","",INDEX(상세표[07~18시],$U1023))</f>
        <v/>
      </c>
      <c r="R1023" s="20">
        <f>IF($U1023="","",INDEX(상세표[18~22시],$U1023))</f>
        <v/>
      </c>
      <c r="S1023" s="20">
        <f>IF($U1023="","",INDEX(상세표[22~06시],$U1023))</f>
        <v/>
      </c>
      <c r="T1023" s="20">
        <f>IF($U1023="","",INDEX(상세표[기록 시간외],$U1023))</f>
        <v/>
      </c>
      <c r="U1023" s="4">
        <f>IFERROR(MATCH(1018,상세표[발송순번],0),"")</f>
        <v/>
      </c>
    </row>
    <row r="1024">
      <c r="J1024">
        <f>IF($U1024="","",INDEX(상세표[사번],$U1024)&amp;"")</f>
        <v/>
      </c>
      <c r="K1024">
        <f>IF($U1024="","",INDEX(상세표[성명],$U1024)&amp;"")</f>
        <v/>
      </c>
      <c r="L1024">
        <f>IF($U1024="","",INDEX(상세표[직위],$U1024)&amp;"")</f>
        <v/>
      </c>
      <c r="M1024">
        <f>IF($U1024="","",IF(ISNUMBER(INDEX(상세표[근무일자],$U1024)),TEXT(INDEX(상세표[근무일자],$U1024),"yyyy-mm-dd"),INDEX(상세표[근무일자],$U1024)&amp;""))</f>
        <v/>
      </c>
      <c r="N1024">
        <f>IF($U1024="","",IF(ISNUMBER(INDEX(상세표[시작],$U1024)),TEXT(INDEX(상세표[시작],$U1024),"yyyy-mm-dd hh:mm"),INDEX(상세표[시작],$U1024)&amp;""))</f>
        <v/>
      </c>
      <c r="O1024">
        <f>IF($U1024="","",IF(ISNUMBER(INDEX(상세표[종료],$U1024)),TEXT(INDEX(상세표[종료],$U1024),"yyyy-mm-dd hh:mm"),INDEX(상세표[종료],$U1024)&amp;""))</f>
        <v/>
      </c>
      <c r="P1024" s="20">
        <f>IF($U1024="","",INDEX(상세표[06~07시],$U1024))</f>
        <v/>
      </c>
      <c r="Q1024" s="20">
        <f>IF($U1024="","",INDEX(상세표[07~18시],$U1024))</f>
        <v/>
      </c>
      <c r="R1024" s="20">
        <f>IF($U1024="","",INDEX(상세표[18~22시],$U1024))</f>
        <v/>
      </c>
      <c r="S1024" s="20">
        <f>IF($U1024="","",INDEX(상세표[22~06시],$U1024))</f>
        <v/>
      </c>
      <c r="T1024" s="20">
        <f>IF($U1024="","",INDEX(상세표[기록 시간외],$U1024))</f>
        <v/>
      </c>
      <c r="U1024" s="4">
        <f>IFERROR(MATCH(1019,상세표[발송순번],0),"")</f>
        <v/>
      </c>
    </row>
    <row r="1025">
      <c r="J1025">
        <f>IF($U1025="","",INDEX(상세표[사번],$U1025)&amp;"")</f>
        <v/>
      </c>
      <c r="K1025">
        <f>IF($U1025="","",INDEX(상세표[성명],$U1025)&amp;"")</f>
        <v/>
      </c>
      <c r="L1025">
        <f>IF($U1025="","",INDEX(상세표[직위],$U1025)&amp;"")</f>
        <v/>
      </c>
      <c r="M1025">
        <f>IF($U1025="","",IF(ISNUMBER(INDEX(상세표[근무일자],$U1025)),TEXT(INDEX(상세표[근무일자],$U1025),"yyyy-mm-dd"),INDEX(상세표[근무일자],$U1025)&amp;""))</f>
        <v/>
      </c>
      <c r="N1025">
        <f>IF($U1025="","",IF(ISNUMBER(INDEX(상세표[시작],$U1025)),TEXT(INDEX(상세표[시작],$U1025),"yyyy-mm-dd hh:mm"),INDEX(상세표[시작],$U1025)&amp;""))</f>
        <v/>
      </c>
      <c r="O1025">
        <f>IF($U1025="","",IF(ISNUMBER(INDEX(상세표[종료],$U1025)),TEXT(INDEX(상세표[종료],$U1025),"yyyy-mm-dd hh:mm"),INDEX(상세표[종료],$U1025)&amp;""))</f>
        <v/>
      </c>
      <c r="P1025" s="20">
        <f>IF($U1025="","",INDEX(상세표[06~07시],$U1025))</f>
        <v/>
      </c>
      <c r="Q1025" s="20">
        <f>IF($U1025="","",INDEX(상세표[07~18시],$U1025))</f>
        <v/>
      </c>
      <c r="R1025" s="20">
        <f>IF($U1025="","",INDEX(상세표[18~22시],$U1025))</f>
        <v/>
      </c>
      <c r="S1025" s="20">
        <f>IF($U1025="","",INDEX(상세표[22~06시],$U1025))</f>
        <v/>
      </c>
      <c r="T1025" s="20">
        <f>IF($U1025="","",INDEX(상세표[기록 시간외],$U1025))</f>
        <v/>
      </c>
      <c r="U1025" s="4">
        <f>IFERROR(MATCH(1020,상세표[발송순번],0),"")</f>
        <v/>
      </c>
    </row>
    <row r="1026">
      <c r="J1026">
        <f>IF($U1026="","",INDEX(상세표[사번],$U1026)&amp;"")</f>
        <v/>
      </c>
      <c r="K1026">
        <f>IF($U1026="","",INDEX(상세표[성명],$U1026)&amp;"")</f>
        <v/>
      </c>
      <c r="L1026">
        <f>IF($U1026="","",INDEX(상세표[직위],$U1026)&amp;"")</f>
        <v/>
      </c>
      <c r="M1026">
        <f>IF($U1026="","",IF(ISNUMBER(INDEX(상세표[근무일자],$U1026)),TEXT(INDEX(상세표[근무일자],$U1026),"yyyy-mm-dd"),INDEX(상세표[근무일자],$U1026)&amp;""))</f>
        <v/>
      </c>
      <c r="N1026">
        <f>IF($U1026="","",IF(ISNUMBER(INDEX(상세표[시작],$U1026)),TEXT(INDEX(상세표[시작],$U1026),"yyyy-mm-dd hh:mm"),INDEX(상세표[시작],$U1026)&amp;""))</f>
        <v/>
      </c>
      <c r="O1026">
        <f>IF($U1026="","",IF(ISNUMBER(INDEX(상세표[종료],$U1026)),TEXT(INDEX(상세표[종료],$U1026),"yyyy-mm-dd hh:mm"),INDEX(상세표[종료],$U1026)&amp;""))</f>
        <v/>
      </c>
      <c r="P1026" s="20">
        <f>IF($U1026="","",INDEX(상세표[06~07시],$U1026))</f>
        <v/>
      </c>
      <c r="Q1026" s="20">
        <f>IF($U1026="","",INDEX(상세표[07~18시],$U1026))</f>
        <v/>
      </c>
      <c r="R1026" s="20">
        <f>IF($U1026="","",INDEX(상세표[18~22시],$U1026))</f>
        <v/>
      </c>
      <c r="S1026" s="20">
        <f>IF($U1026="","",INDEX(상세표[22~06시],$U1026))</f>
        <v/>
      </c>
      <c r="T1026" s="20">
        <f>IF($U1026="","",INDEX(상세표[기록 시간외],$U1026))</f>
        <v/>
      </c>
      <c r="U1026" s="4">
        <f>IFERROR(MATCH(1021,상세표[발송순번],0),"")</f>
        <v/>
      </c>
    </row>
    <row r="1027">
      <c r="J1027">
        <f>IF($U1027="","",INDEX(상세표[사번],$U1027)&amp;"")</f>
        <v/>
      </c>
      <c r="K1027">
        <f>IF($U1027="","",INDEX(상세표[성명],$U1027)&amp;"")</f>
        <v/>
      </c>
      <c r="L1027">
        <f>IF($U1027="","",INDEX(상세표[직위],$U1027)&amp;"")</f>
        <v/>
      </c>
      <c r="M1027">
        <f>IF($U1027="","",IF(ISNUMBER(INDEX(상세표[근무일자],$U1027)),TEXT(INDEX(상세표[근무일자],$U1027),"yyyy-mm-dd"),INDEX(상세표[근무일자],$U1027)&amp;""))</f>
        <v/>
      </c>
      <c r="N1027">
        <f>IF($U1027="","",IF(ISNUMBER(INDEX(상세표[시작],$U1027)),TEXT(INDEX(상세표[시작],$U1027),"yyyy-mm-dd hh:mm"),INDEX(상세표[시작],$U1027)&amp;""))</f>
        <v/>
      </c>
      <c r="O1027">
        <f>IF($U1027="","",IF(ISNUMBER(INDEX(상세표[종료],$U1027)),TEXT(INDEX(상세표[종료],$U1027),"yyyy-mm-dd hh:mm"),INDEX(상세표[종료],$U1027)&amp;""))</f>
        <v/>
      </c>
      <c r="P1027" s="20">
        <f>IF($U1027="","",INDEX(상세표[06~07시],$U1027))</f>
        <v/>
      </c>
      <c r="Q1027" s="20">
        <f>IF($U1027="","",INDEX(상세표[07~18시],$U1027))</f>
        <v/>
      </c>
      <c r="R1027" s="20">
        <f>IF($U1027="","",INDEX(상세표[18~22시],$U1027))</f>
        <v/>
      </c>
      <c r="S1027" s="20">
        <f>IF($U1027="","",INDEX(상세표[22~06시],$U1027))</f>
        <v/>
      </c>
      <c r="T1027" s="20">
        <f>IF($U1027="","",INDEX(상세표[기록 시간외],$U1027))</f>
        <v/>
      </c>
      <c r="U1027" s="4">
        <f>IFERROR(MATCH(1022,상세표[발송순번],0),"")</f>
        <v/>
      </c>
    </row>
    <row r="1028">
      <c r="J1028">
        <f>IF($U1028="","",INDEX(상세표[사번],$U1028)&amp;"")</f>
        <v/>
      </c>
      <c r="K1028">
        <f>IF($U1028="","",INDEX(상세표[성명],$U1028)&amp;"")</f>
        <v/>
      </c>
      <c r="L1028">
        <f>IF($U1028="","",INDEX(상세표[직위],$U1028)&amp;"")</f>
        <v/>
      </c>
      <c r="M1028">
        <f>IF($U1028="","",IF(ISNUMBER(INDEX(상세표[근무일자],$U1028)),TEXT(INDEX(상세표[근무일자],$U1028),"yyyy-mm-dd"),INDEX(상세표[근무일자],$U1028)&amp;""))</f>
        <v/>
      </c>
      <c r="N1028">
        <f>IF($U1028="","",IF(ISNUMBER(INDEX(상세표[시작],$U1028)),TEXT(INDEX(상세표[시작],$U1028),"yyyy-mm-dd hh:mm"),INDEX(상세표[시작],$U1028)&amp;""))</f>
        <v/>
      </c>
      <c r="O1028">
        <f>IF($U1028="","",IF(ISNUMBER(INDEX(상세표[종료],$U1028)),TEXT(INDEX(상세표[종료],$U1028),"yyyy-mm-dd hh:mm"),INDEX(상세표[종료],$U1028)&amp;""))</f>
        <v/>
      </c>
      <c r="P1028" s="20">
        <f>IF($U1028="","",INDEX(상세표[06~07시],$U1028))</f>
        <v/>
      </c>
      <c r="Q1028" s="20">
        <f>IF($U1028="","",INDEX(상세표[07~18시],$U1028))</f>
        <v/>
      </c>
      <c r="R1028" s="20">
        <f>IF($U1028="","",INDEX(상세표[18~22시],$U1028))</f>
        <v/>
      </c>
      <c r="S1028" s="20">
        <f>IF($U1028="","",INDEX(상세표[22~06시],$U1028))</f>
        <v/>
      </c>
      <c r="T1028" s="20">
        <f>IF($U1028="","",INDEX(상세표[기록 시간외],$U1028))</f>
        <v/>
      </c>
      <c r="U1028" s="4">
        <f>IFERROR(MATCH(1023,상세표[발송순번],0),"")</f>
        <v/>
      </c>
    </row>
    <row r="1029">
      <c r="J1029">
        <f>IF($U1029="","",INDEX(상세표[사번],$U1029)&amp;"")</f>
        <v/>
      </c>
      <c r="K1029">
        <f>IF($U1029="","",INDEX(상세표[성명],$U1029)&amp;"")</f>
        <v/>
      </c>
      <c r="L1029">
        <f>IF($U1029="","",INDEX(상세표[직위],$U1029)&amp;"")</f>
        <v/>
      </c>
      <c r="M1029">
        <f>IF($U1029="","",IF(ISNUMBER(INDEX(상세표[근무일자],$U1029)),TEXT(INDEX(상세표[근무일자],$U1029),"yyyy-mm-dd"),INDEX(상세표[근무일자],$U1029)&amp;""))</f>
        <v/>
      </c>
      <c r="N1029">
        <f>IF($U1029="","",IF(ISNUMBER(INDEX(상세표[시작],$U1029)),TEXT(INDEX(상세표[시작],$U1029),"yyyy-mm-dd hh:mm"),INDEX(상세표[시작],$U1029)&amp;""))</f>
        <v/>
      </c>
      <c r="O1029">
        <f>IF($U1029="","",IF(ISNUMBER(INDEX(상세표[종료],$U1029)),TEXT(INDEX(상세표[종료],$U1029),"yyyy-mm-dd hh:mm"),INDEX(상세표[종료],$U1029)&amp;""))</f>
        <v/>
      </c>
      <c r="P1029" s="20">
        <f>IF($U1029="","",INDEX(상세표[06~07시],$U1029))</f>
        <v/>
      </c>
      <c r="Q1029" s="20">
        <f>IF($U1029="","",INDEX(상세표[07~18시],$U1029))</f>
        <v/>
      </c>
      <c r="R1029" s="20">
        <f>IF($U1029="","",INDEX(상세표[18~22시],$U1029))</f>
        <v/>
      </c>
      <c r="S1029" s="20">
        <f>IF($U1029="","",INDEX(상세표[22~06시],$U1029))</f>
        <v/>
      </c>
      <c r="T1029" s="20">
        <f>IF($U1029="","",INDEX(상세표[기록 시간외],$U1029))</f>
        <v/>
      </c>
      <c r="U1029" s="4">
        <f>IFERROR(MATCH(1024,상세표[발송순번],0),"")</f>
        <v/>
      </c>
    </row>
    <row r="1030">
      <c r="J1030">
        <f>IF($U1030="","",INDEX(상세표[사번],$U1030)&amp;"")</f>
        <v/>
      </c>
      <c r="K1030">
        <f>IF($U1030="","",INDEX(상세표[성명],$U1030)&amp;"")</f>
        <v/>
      </c>
      <c r="L1030">
        <f>IF($U1030="","",INDEX(상세표[직위],$U1030)&amp;"")</f>
        <v/>
      </c>
      <c r="M1030">
        <f>IF($U1030="","",IF(ISNUMBER(INDEX(상세표[근무일자],$U1030)),TEXT(INDEX(상세표[근무일자],$U1030),"yyyy-mm-dd"),INDEX(상세표[근무일자],$U1030)&amp;""))</f>
        <v/>
      </c>
      <c r="N1030">
        <f>IF($U1030="","",IF(ISNUMBER(INDEX(상세표[시작],$U1030)),TEXT(INDEX(상세표[시작],$U1030),"yyyy-mm-dd hh:mm"),INDEX(상세표[시작],$U1030)&amp;""))</f>
        <v/>
      </c>
      <c r="O1030">
        <f>IF($U1030="","",IF(ISNUMBER(INDEX(상세표[종료],$U1030)),TEXT(INDEX(상세표[종료],$U1030),"yyyy-mm-dd hh:mm"),INDEX(상세표[종료],$U1030)&amp;""))</f>
        <v/>
      </c>
      <c r="P1030" s="20">
        <f>IF($U1030="","",INDEX(상세표[06~07시],$U1030))</f>
        <v/>
      </c>
      <c r="Q1030" s="20">
        <f>IF($U1030="","",INDEX(상세표[07~18시],$U1030))</f>
        <v/>
      </c>
      <c r="R1030" s="20">
        <f>IF($U1030="","",INDEX(상세표[18~22시],$U1030))</f>
        <v/>
      </c>
      <c r="S1030" s="20">
        <f>IF($U1030="","",INDEX(상세표[22~06시],$U1030))</f>
        <v/>
      </c>
      <c r="T1030" s="20">
        <f>IF($U1030="","",INDEX(상세표[기록 시간외],$U1030))</f>
        <v/>
      </c>
      <c r="U1030" s="4">
        <f>IFERROR(MATCH(1025,상세표[발송순번],0),"")</f>
        <v/>
      </c>
    </row>
    <row r="1031">
      <c r="J1031">
        <f>IF($U1031="","",INDEX(상세표[사번],$U1031)&amp;"")</f>
        <v/>
      </c>
      <c r="K1031">
        <f>IF($U1031="","",INDEX(상세표[성명],$U1031)&amp;"")</f>
        <v/>
      </c>
      <c r="L1031">
        <f>IF($U1031="","",INDEX(상세표[직위],$U1031)&amp;"")</f>
        <v/>
      </c>
      <c r="M1031">
        <f>IF($U1031="","",IF(ISNUMBER(INDEX(상세표[근무일자],$U1031)),TEXT(INDEX(상세표[근무일자],$U1031),"yyyy-mm-dd"),INDEX(상세표[근무일자],$U1031)&amp;""))</f>
        <v/>
      </c>
      <c r="N1031">
        <f>IF($U1031="","",IF(ISNUMBER(INDEX(상세표[시작],$U1031)),TEXT(INDEX(상세표[시작],$U1031),"yyyy-mm-dd hh:mm"),INDEX(상세표[시작],$U1031)&amp;""))</f>
        <v/>
      </c>
      <c r="O1031">
        <f>IF($U1031="","",IF(ISNUMBER(INDEX(상세표[종료],$U1031)),TEXT(INDEX(상세표[종료],$U1031),"yyyy-mm-dd hh:mm"),INDEX(상세표[종료],$U1031)&amp;""))</f>
        <v/>
      </c>
      <c r="P1031" s="20">
        <f>IF($U1031="","",INDEX(상세표[06~07시],$U1031))</f>
        <v/>
      </c>
      <c r="Q1031" s="20">
        <f>IF($U1031="","",INDEX(상세표[07~18시],$U1031))</f>
        <v/>
      </c>
      <c r="R1031" s="20">
        <f>IF($U1031="","",INDEX(상세표[18~22시],$U1031))</f>
        <v/>
      </c>
      <c r="S1031" s="20">
        <f>IF($U1031="","",INDEX(상세표[22~06시],$U1031))</f>
        <v/>
      </c>
      <c r="T1031" s="20">
        <f>IF($U1031="","",INDEX(상세표[기록 시간외],$U1031))</f>
        <v/>
      </c>
      <c r="U1031" s="4">
        <f>IFERROR(MATCH(1026,상세표[발송순번],0),"")</f>
        <v/>
      </c>
    </row>
    <row r="1032">
      <c r="J1032">
        <f>IF($U1032="","",INDEX(상세표[사번],$U1032)&amp;"")</f>
        <v/>
      </c>
      <c r="K1032">
        <f>IF($U1032="","",INDEX(상세표[성명],$U1032)&amp;"")</f>
        <v/>
      </c>
      <c r="L1032">
        <f>IF($U1032="","",INDEX(상세표[직위],$U1032)&amp;"")</f>
        <v/>
      </c>
      <c r="M1032">
        <f>IF($U1032="","",IF(ISNUMBER(INDEX(상세표[근무일자],$U1032)),TEXT(INDEX(상세표[근무일자],$U1032),"yyyy-mm-dd"),INDEX(상세표[근무일자],$U1032)&amp;""))</f>
        <v/>
      </c>
      <c r="N1032">
        <f>IF($U1032="","",IF(ISNUMBER(INDEX(상세표[시작],$U1032)),TEXT(INDEX(상세표[시작],$U1032),"yyyy-mm-dd hh:mm"),INDEX(상세표[시작],$U1032)&amp;""))</f>
        <v/>
      </c>
      <c r="O1032">
        <f>IF($U1032="","",IF(ISNUMBER(INDEX(상세표[종료],$U1032)),TEXT(INDEX(상세표[종료],$U1032),"yyyy-mm-dd hh:mm"),INDEX(상세표[종료],$U1032)&amp;""))</f>
        <v/>
      </c>
      <c r="P1032" s="20">
        <f>IF($U1032="","",INDEX(상세표[06~07시],$U1032))</f>
        <v/>
      </c>
      <c r="Q1032" s="20">
        <f>IF($U1032="","",INDEX(상세표[07~18시],$U1032))</f>
        <v/>
      </c>
      <c r="R1032" s="20">
        <f>IF($U1032="","",INDEX(상세표[18~22시],$U1032))</f>
        <v/>
      </c>
      <c r="S1032" s="20">
        <f>IF($U1032="","",INDEX(상세표[22~06시],$U1032))</f>
        <v/>
      </c>
      <c r="T1032" s="20">
        <f>IF($U1032="","",INDEX(상세표[기록 시간외],$U1032))</f>
        <v/>
      </c>
      <c r="U1032" s="4">
        <f>IFERROR(MATCH(1027,상세표[발송순번],0),"")</f>
        <v/>
      </c>
    </row>
    <row r="1033">
      <c r="J1033">
        <f>IF($U1033="","",INDEX(상세표[사번],$U1033)&amp;"")</f>
        <v/>
      </c>
      <c r="K1033">
        <f>IF($U1033="","",INDEX(상세표[성명],$U1033)&amp;"")</f>
        <v/>
      </c>
      <c r="L1033">
        <f>IF($U1033="","",INDEX(상세표[직위],$U1033)&amp;"")</f>
        <v/>
      </c>
      <c r="M1033">
        <f>IF($U1033="","",IF(ISNUMBER(INDEX(상세표[근무일자],$U1033)),TEXT(INDEX(상세표[근무일자],$U1033),"yyyy-mm-dd"),INDEX(상세표[근무일자],$U1033)&amp;""))</f>
        <v/>
      </c>
      <c r="N1033">
        <f>IF($U1033="","",IF(ISNUMBER(INDEX(상세표[시작],$U1033)),TEXT(INDEX(상세표[시작],$U1033),"yyyy-mm-dd hh:mm"),INDEX(상세표[시작],$U1033)&amp;""))</f>
        <v/>
      </c>
      <c r="O1033">
        <f>IF($U1033="","",IF(ISNUMBER(INDEX(상세표[종료],$U1033)),TEXT(INDEX(상세표[종료],$U1033),"yyyy-mm-dd hh:mm"),INDEX(상세표[종료],$U1033)&amp;""))</f>
        <v/>
      </c>
      <c r="P1033" s="20">
        <f>IF($U1033="","",INDEX(상세표[06~07시],$U1033))</f>
        <v/>
      </c>
      <c r="Q1033" s="20">
        <f>IF($U1033="","",INDEX(상세표[07~18시],$U1033))</f>
        <v/>
      </c>
      <c r="R1033" s="20">
        <f>IF($U1033="","",INDEX(상세표[18~22시],$U1033))</f>
        <v/>
      </c>
      <c r="S1033" s="20">
        <f>IF($U1033="","",INDEX(상세표[22~06시],$U1033))</f>
        <v/>
      </c>
      <c r="T1033" s="20">
        <f>IF($U1033="","",INDEX(상세표[기록 시간외],$U1033))</f>
        <v/>
      </c>
      <c r="U1033" s="4">
        <f>IFERROR(MATCH(1028,상세표[발송순번],0),"")</f>
        <v/>
      </c>
    </row>
    <row r="1034">
      <c r="J1034">
        <f>IF($U1034="","",INDEX(상세표[사번],$U1034)&amp;"")</f>
        <v/>
      </c>
      <c r="K1034">
        <f>IF($U1034="","",INDEX(상세표[성명],$U1034)&amp;"")</f>
        <v/>
      </c>
      <c r="L1034">
        <f>IF($U1034="","",INDEX(상세표[직위],$U1034)&amp;"")</f>
        <v/>
      </c>
      <c r="M1034">
        <f>IF($U1034="","",IF(ISNUMBER(INDEX(상세표[근무일자],$U1034)),TEXT(INDEX(상세표[근무일자],$U1034),"yyyy-mm-dd"),INDEX(상세표[근무일자],$U1034)&amp;""))</f>
        <v/>
      </c>
      <c r="N1034">
        <f>IF($U1034="","",IF(ISNUMBER(INDEX(상세표[시작],$U1034)),TEXT(INDEX(상세표[시작],$U1034),"yyyy-mm-dd hh:mm"),INDEX(상세표[시작],$U1034)&amp;""))</f>
        <v/>
      </c>
      <c r="O1034">
        <f>IF($U1034="","",IF(ISNUMBER(INDEX(상세표[종료],$U1034)),TEXT(INDEX(상세표[종료],$U1034),"yyyy-mm-dd hh:mm"),INDEX(상세표[종료],$U1034)&amp;""))</f>
        <v/>
      </c>
      <c r="P1034" s="20">
        <f>IF($U1034="","",INDEX(상세표[06~07시],$U1034))</f>
        <v/>
      </c>
      <c r="Q1034" s="20">
        <f>IF($U1034="","",INDEX(상세표[07~18시],$U1034))</f>
        <v/>
      </c>
      <c r="R1034" s="20">
        <f>IF($U1034="","",INDEX(상세표[18~22시],$U1034))</f>
        <v/>
      </c>
      <c r="S1034" s="20">
        <f>IF($U1034="","",INDEX(상세표[22~06시],$U1034))</f>
        <v/>
      </c>
      <c r="T1034" s="20">
        <f>IF($U1034="","",INDEX(상세표[기록 시간외],$U1034))</f>
        <v/>
      </c>
      <c r="U1034" s="4">
        <f>IFERROR(MATCH(1029,상세표[발송순번],0),"")</f>
        <v/>
      </c>
    </row>
    <row r="1035">
      <c r="J1035">
        <f>IF($U1035="","",INDEX(상세표[사번],$U1035)&amp;"")</f>
        <v/>
      </c>
      <c r="K1035">
        <f>IF($U1035="","",INDEX(상세표[성명],$U1035)&amp;"")</f>
        <v/>
      </c>
      <c r="L1035">
        <f>IF($U1035="","",INDEX(상세표[직위],$U1035)&amp;"")</f>
        <v/>
      </c>
      <c r="M1035">
        <f>IF($U1035="","",IF(ISNUMBER(INDEX(상세표[근무일자],$U1035)),TEXT(INDEX(상세표[근무일자],$U1035),"yyyy-mm-dd"),INDEX(상세표[근무일자],$U1035)&amp;""))</f>
        <v/>
      </c>
      <c r="N1035">
        <f>IF($U1035="","",IF(ISNUMBER(INDEX(상세표[시작],$U1035)),TEXT(INDEX(상세표[시작],$U1035),"yyyy-mm-dd hh:mm"),INDEX(상세표[시작],$U1035)&amp;""))</f>
        <v/>
      </c>
      <c r="O1035">
        <f>IF($U1035="","",IF(ISNUMBER(INDEX(상세표[종료],$U1035)),TEXT(INDEX(상세표[종료],$U1035),"yyyy-mm-dd hh:mm"),INDEX(상세표[종료],$U1035)&amp;""))</f>
        <v/>
      </c>
      <c r="P1035" s="20">
        <f>IF($U1035="","",INDEX(상세표[06~07시],$U1035))</f>
        <v/>
      </c>
      <c r="Q1035" s="20">
        <f>IF($U1035="","",INDEX(상세표[07~18시],$U1035))</f>
        <v/>
      </c>
      <c r="R1035" s="20">
        <f>IF($U1035="","",INDEX(상세표[18~22시],$U1035))</f>
        <v/>
      </c>
      <c r="S1035" s="20">
        <f>IF($U1035="","",INDEX(상세표[22~06시],$U1035))</f>
        <v/>
      </c>
      <c r="T1035" s="20">
        <f>IF($U1035="","",INDEX(상세표[기록 시간외],$U1035))</f>
        <v/>
      </c>
      <c r="U1035" s="4">
        <f>IFERROR(MATCH(1030,상세표[발송순번],0),"")</f>
        <v/>
      </c>
    </row>
    <row r="1036">
      <c r="J1036">
        <f>IF($U1036="","",INDEX(상세표[사번],$U1036)&amp;"")</f>
        <v/>
      </c>
      <c r="K1036">
        <f>IF($U1036="","",INDEX(상세표[성명],$U1036)&amp;"")</f>
        <v/>
      </c>
      <c r="L1036">
        <f>IF($U1036="","",INDEX(상세표[직위],$U1036)&amp;"")</f>
        <v/>
      </c>
      <c r="M1036">
        <f>IF($U1036="","",IF(ISNUMBER(INDEX(상세표[근무일자],$U1036)),TEXT(INDEX(상세표[근무일자],$U1036),"yyyy-mm-dd"),INDEX(상세표[근무일자],$U1036)&amp;""))</f>
        <v/>
      </c>
      <c r="N1036">
        <f>IF($U1036="","",IF(ISNUMBER(INDEX(상세표[시작],$U1036)),TEXT(INDEX(상세표[시작],$U1036),"yyyy-mm-dd hh:mm"),INDEX(상세표[시작],$U1036)&amp;""))</f>
        <v/>
      </c>
      <c r="O1036">
        <f>IF($U1036="","",IF(ISNUMBER(INDEX(상세표[종료],$U1036)),TEXT(INDEX(상세표[종료],$U1036),"yyyy-mm-dd hh:mm"),INDEX(상세표[종료],$U1036)&amp;""))</f>
        <v/>
      </c>
      <c r="P1036" s="20">
        <f>IF($U1036="","",INDEX(상세표[06~07시],$U1036))</f>
        <v/>
      </c>
      <c r="Q1036" s="20">
        <f>IF($U1036="","",INDEX(상세표[07~18시],$U1036))</f>
        <v/>
      </c>
      <c r="R1036" s="20">
        <f>IF($U1036="","",INDEX(상세표[18~22시],$U1036))</f>
        <v/>
      </c>
      <c r="S1036" s="20">
        <f>IF($U1036="","",INDEX(상세표[22~06시],$U1036))</f>
        <v/>
      </c>
      <c r="T1036" s="20">
        <f>IF($U1036="","",INDEX(상세표[기록 시간외],$U1036))</f>
        <v/>
      </c>
      <c r="U1036" s="4">
        <f>IFERROR(MATCH(1031,상세표[발송순번],0),"")</f>
        <v/>
      </c>
    </row>
    <row r="1037">
      <c r="J1037">
        <f>IF($U1037="","",INDEX(상세표[사번],$U1037)&amp;"")</f>
        <v/>
      </c>
      <c r="K1037">
        <f>IF($U1037="","",INDEX(상세표[성명],$U1037)&amp;"")</f>
        <v/>
      </c>
      <c r="L1037">
        <f>IF($U1037="","",INDEX(상세표[직위],$U1037)&amp;"")</f>
        <v/>
      </c>
      <c r="M1037">
        <f>IF($U1037="","",IF(ISNUMBER(INDEX(상세표[근무일자],$U1037)),TEXT(INDEX(상세표[근무일자],$U1037),"yyyy-mm-dd"),INDEX(상세표[근무일자],$U1037)&amp;""))</f>
        <v/>
      </c>
      <c r="N1037">
        <f>IF($U1037="","",IF(ISNUMBER(INDEX(상세표[시작],$U1037)),TEXT(INDEX(상세표[시작],$U1037),"yyyy-mm-dd hh:mm"),INDEX(상세표[시작],$U1037)&amp;""))</f>
        <v/>
      </c>
      <c r="O1037">
        <f>IF($U1037="","",IF(ISNUMBER(INDEX(상세표[종료],$U1037)),TEXT(INDEX(상세표[종료],$U1037),"yyyy-mm-dd hh:mm"),INDEX(상세표[종료],$U1037)&amp;""))</f>
        <v/>
      </c>
      <c r="P1037" s="20">
        <f>IF($U1037="","",INDEX(상세표[06~07시],$U1037))</f>
        <v/>
      </c>
      <c r="Q1037" s="20">
        <f>IF($U1037="","",INDEX(상세표[07~18시],$U1037))</f>
        <v/>
      </c>
      <c r="R1037" s="20">
        <f>IF($U1037="","",INDEX(상세표[18~22시],$U1037))</f>
        <v/>
      </c>
      <c r="S1037" s="20">
        <f>IF($U1037="","",INDEX(상세표[22~06시],$U1037))</f>
        <v/>
      </c>
      <c r="T1037" s="20">
        <f>IF($U1037="","",INDEX(상세표[기록 시간외],$U1037))</f>
        <v/>
      </c>
      <c r="U1037" s="4">
        <f>IFERROR(MATCH(1032,상세표[발송순번],0),"")</f>
        <v/>
      </c>
    </row>
    <row r="1038">
      <c r="J1038">
        <f>IF($U1038="","",INDEX(상세표[사번],$U1038)&amp;"")</f>
        <v/>
      </c>
      <c r="K1038">
        <f>IF($U1038="","",INDEX(상세표[성명],$U1038)&amp;"")</f>
        <v/>
      </c>
      <c r="L1038">
        <f>IF($U1038="","",INDEX(상세표[직위],$U1038)&amp;"")</f>
        <v/>
      </c>
      <c r="M1038">
        <f>IF($U1038="","",IF(ISNUMBER(INDEX(상세표[근무일자],$U1038)),TEXT(INDEX(상세표[근무일자],$U1038),"yyyy-mm-dd"),INDEX(상세표[근무일자],$U1038)&amp;""))</f>
        <v/>
      </c>
      <c r="N1038">
        <f>IF($U1038="","",IF(ISNUMBER(INDEX(상세표[시작],$U1038)),TEXT(INDEX(상세표[시작],$U1038),"yyyy-mm-dd hh:mm"),INDEX(상세표[시작],$U1038)&amp;""))</f>
        <v/>
      </c>
      <c r="O1038">
        <f>IF($U1038="","",IF(ISNUMBER(INDEX(상세표[종료],$U1038)),TEXT(INDEX(상세표[종료],$U1038),"yyyy-mm-dd hh:mm"),INDEX(상세표[종료],$U1038)&amp;""))</f>
        <v/>
      </c>
      <c r="P1038" s="20">
        <f>IF($U1038="","",INDEX(상세표[06~07시],$U1038))</f>
        <v/>
      </c>
      <c r="Q1038" s="20">
        <f>IF($U1038="","",INDEX(상세표[07~18시],$U1038))</f>
        <v/>
      </c>
      <c r="R1038" s="20">
        <f>IF($U1038="","",INDEX(상세표[18~22시],$U1038))</f>
        <v/>
      </c>
      <c r="S1038" s="20">
        <f>IF($U1038="","",INDEX(상세표[22~06시],$U1038))</f>
        <v/>
      </c>
      <c r="T1038" s="20">
        <f>IF($U1038="","",INDEX(상세표[기록 시간외],$U1038))</f>
        <v/>
      </c>
      <c r="U1038" s="4">
        <f>IFERROR(MATCH(1033,상세표[발송순번],0),"")</f>
        <v/>
      </c>
    </row>
    <row r="1039">
      <c r="J1039">
        <f>IF($U1039="","",INDEX(상세표[사번],$U1039)&amp;"")</f>
        <v/>
      </c>
      <c r="K1039">
        <f>IF($U1039="","",INDEX(상세표[성명],$U1039)&amp;"")</f>
        <v/>
      </c>
      <c r="L1039">
        <f>IF($U1039="","",INDEX(상세표[직위],$U1039)&amp;"")</f>
        <v/>
      </c>
      <c r="M1039">
        <f>IF($U1039="","",IF(ISNUMBER(INDEX(상세표[근무일자],$U1039)),TEXT(INDEX(상세표[근무일자],$U1039),"yyyy-mm-dd"),INDEX(상세표[근무일자],$U1039)&amp;""))</f>
        <v/>
      </c>
      <c r="N1039">
        <f>IF($U1039="","",IF(ISNUMBER(INDEX(상세표[시작],$U1039)),TEXT(INDEX(상세표[시작],$U1039),"yyyy-mm-dd hh:mm"),INDEX(상세표[시작],$U1039)&amp;""))</f>
        <v/>
      </c>
      <c r="O1039">
        <f>IF($U1039="","",IF(ISNUMBER(INDEX(상세표[종료],$U1039)),TEXT(INDEX(상세표[종료],$U1039),"yyyy-mm-dd hh:mm"),INDEX(상세표[종료],$U1039)&amp;""))</f>
        <v/>
      </c>
      <c r="P1039" s="20">
        <f>IF($U1039="","",INDEX(상세표[06~07시],$U1039))</f>
        <v/>
      </c>
      <c r="Q1039" s="20">
        <f>IF($U1039="","",INDEX(상세표[07~18시],$U1039))</f>
        <v/>
      </c>
      <c r="R1039" s="20">
        <f>IF($U1039="","",INDEX(상세표[18~22시],$U1039))</f>
        <v/>
      </c>
      <c r="S1039" s="20">
        <f>IF($U1039="","",INDEX(상세표[22~06시],$U1039))</f>
        <v/>
      </c>
      <c r="T1039" s="20">
        <f>IF($U1039="","",INDEX(상세표[기록 시간외],$U1039))</f>
        <v/>
      </c>
      <c r="U1039" s="4">
        <f>IFERROR(MATCH(1034,상세표[발송순번],0),"")</f>
        <v/>
      </c>
    </row>
    <row r="1040">
      <c r="J1040">
        <f>IF($U1040="","",INDEX(상세표[사번],$U1040)&amp;"")</f>
        <v/>
      </c>
      <c r="K1040">
        <f>IF($U1040="","",INDEX(상세표[성명],$U1040)&amp;"")</f>
        <v/>
      </c>
      <c r="L1040">
        <f>IF($U1040="","",INDEX(상세표[직위],$U1040)&amp;"")</f>
        <v/>
      </c>
      <c r="M1040">
        <f>IF($U1040="","",IF(ISNUMBER(INDEX(상세표[근무일자],$U1040)),TEXT(INDEX(상세표[근무일자],$U1040),"yyyy-mm-dd"),INDEX(상세표[근무일자],$U1040)&amp;""))</f>
        <v/>
      </c>
      <c r="N1040">
        <f>IF($U1040="","",IF(ISNUMBER(INDEX(상세표[시작],$U1040)),TEXT(INDEX(상세표[시작],$U1040),"yyyy-mm-dd hh:mm"),INDEX(상세표[시작],$U1040)&amp;""))</f>
        <v/>
      </c>
      <c r="O1040">
        <f>IF($U1040="","",IF(ISNUMBER(INDEX(상세표[종료],$U1040)),TEXT(INDEX(상세표[종료],$U1040),"yyyy-mm-dd hh:mm"),INDEX(상세표[종료],$U1040)&amp;""))</f>
        <v/>
      </c>
      <c r="P1040" s="20">
        <f>IF($U1040="","",INDEX(상세표[06~07시],$U1040))</f>
        <v/>
      </c>
      <c r="Q1040" s="20">
        <f>IF($U1040="","",INDEX(상세표[07~18시],$U1040))</f>
        <v/>
      </c>
      <c r="R1040" s="20">
        <f>IF($U1040="","",INDEX(상세표[18~22시],$U1040))</f>
        <v/>
      </c>
      <c r="S1040" s="20">
        <f>IF($U1040="","",INDEX(상세표[22~06시],$U1040))</f>
        <v/>
      </c>
      <c r="T1040" s="20">
        <f>IF($U1040="","",INDEX(상세표[기록 시간외],$U1040))</f>
        <v/>
      </c>
      <c r="U1040" s="4">
        <f>IFERROR(MATCH(1035,상세표[발송순번],0),"")</f>
        <v/>
      </c>
    </row>
    <row r="1041">
      <c r="J1041">
        <f>IF($U1041="","",INDEX(상세표[사번],$U1041)&amp;"")</f>
        <v/>
      </c>
      <c r="K1041">
        <f>IF($U1041="","",INDEX(상세표[성명],$U1041)&amp;"")</f>
        <v/>
      </c>
      <c r="L1041">
        <f>IF($U1041="","",INDEX(상세표[직위],$U1041)&amp;"")</f>
        <v/>
      </c>
      <c r="M1041">
        <f>IF($U1041="","",IF(ISNUMBER(INDEX(상세표[근무일자],$U1041)),TEXT(INDEX(상세표[근무일자],$U1041),"yyyy-mm-dd"),INDEX(상세표[근무일자],$U1041)&amp;""))</f>
        <v/>
      </c>
      <c r="N1041">
        <f>IF($U1041="","",IF(ISNUMBER(INDEX(상세표[시작],$U1041)),TEXT(INDEX(상세표[시작],$U1041),"yyyy-mm-dd hh:mm"),INDEX(상세표[시작],$U1041)&amp;""))</f>
        <v/>
      </c>
      <c r="O1041">
        <f>IF($U1041="","",IF(ISNUMBER(INDEX(상세표[종료],$U1041)),TEXT(INDEX(상세표[종료],$U1041),"yyyy-mm-dd hh:mm"),INDEX(상세표[종료],$U1041)&amp;""))</f>
        <v/>
      </c>
      <c r="P1041" s="20">
        <f>IF($U1041="","",INDEX(상세표[06~07시],$U1041))</f>
        <v/>
      </c>
      <c r="Q1041" s="20">
        <f>IF($U1041="","",INDEX(상세표[07~18시],$U1041))</f>
        <v/>
      </c>
      <c r="R1041" s="20">
        <f>IF($U1041="","",INDEX(상세표[18~22시],$U1041))</f>
        <v/>
      </c>
      <c r="S1041" s="20">
        <f>IF($U1041="","",INDEX(상세표[22~06시],$U1041))</f>
        <v/>
      </c>
      <c r="T1041" s="20">
        <f>IF($U1041="","",INDEX(상세표[기록 시간외],$U1041))</f>
        <v/>
      </c>
      <c r="U1041" s="4">
        <f>IFERROR(MATCH(1036,상세표[발송순번],0),"")</f>
        <v/>
      </c>
    </row>
    <row r="1042">
      <c r="J1042">
        <f>IF($U1042="","",INDEX(상세표[사번],$U1042)&amp;"")</f>
        <v/>
      </c>
      <c r="K1042">
        <f>IF($U1042="","",INDEX(상세표[성명],$U1042)&amp;"")</f>
        <v/>
      </c>
      <c r="L1042">
        <f>IF($U1042="","",INDEX(상세표[직위],$U1042)&amp;"")</f>
        <v/>
      </c>
      <c r="M1042">
        <f>IF($U1042="","",IF(ISNUMBER(INDEX(상세표[근무일자],$U1042)),TEXT(INDEX(상세표[근무일자],$U1042),"yyyy-mm-dd"),INDEX(상세표[근무일자],$U1042)&amp;""))</f>
        <v/>
      </c>
      <c r="N1042">
        <f>IF($U1042="","",IF(ISNUMBER(INDEX(상세표[시작],$U1042)),TEXT(INDEX(상세표[시작],$U1042),"yyyy-mm-dd hh:mm"),INDEX(상세표[시작],$U1042)&amp;""))</f>
        <v/>
      </c>
      <c r="O1042">
        <f>IF($U1042="","",IF(ISNUMBER(INDEX(상세표[종료],$U1042)),TEXT(INDEX(상세표[종료],$U1042),"yyyy-mm-dd hh:mm"),INDEX(상세표[종료],$U1042)&amp;""))</f>
        <v/>
      </c>
      <c r="P1042" s="20">
        <f>IF($U1042="","",INDEX(상세표[06~07시],$U1042))</f>
        <v/>
      </c>
      <c r="Q1042" s="20">
        <f>IF($U1042="","",INDEX(상세표[07~18시],$U1042))</f>
        <v/>
      </c>
      <c r="R1042" s="20">
        <f>IF($U1042="","",INDEX(상세표[18~22시],$U1042))</f>
        <v/>
      </c>
      <c r="S1042" s="20">
        <f>IF($U1042="","",INDEX(상세표[22~06시],$U1042))</f>
        <v/>
      </c>
      <c r="T1042" s="20">
        <f>IF($U1042="","",INDEX(상세표[기록 시간외],$U1042))</f>
        <v/>
      </c>
      <c r="U1042" s="4">
        <f>IFERROR(MATCH(1037,상세표[발송순번],0),"")</f>
        <v/>
      </c>
    </row>
    <row r="1043">
      <c r="J1043">
        <f>IF($U1043="","",INDEX(상세표[사번],$U1043)&amp;"")</f>
        <v/>
      </c>
      <c r="K1043">
        <f>IF($U1043="","",INDEX(상세표[성명],$U1043)&amp;"")</f>
        <v/>
      </c>
      <c r="L1043">
        <f>IF($U1043="","",INDEX(상세표[직위],$U1043)&amp;"")</f>
        <v/>
      </c>
      <c r="M1043">
        <f>IF($U1043="","",IF(ISNUMBER(INDEX(상세표[근무일자],$U1043)),TEXT(INDEX(상세표[근무일자],$U1043),"yyyy-mm-dd"),INDEX(상세표[근무일자],$U1043)&amp;""))</f>
        <v/>
      </c>
      <c r="N1043">
        <f>IF($U1043="","",IF(ISNUMBER(INDEX(상세표[시작],$U1043)),TEXT(INDEX(상세표[시작],$U1043),"yyyy-mm-dd hh:mm"),INDEX(상세표[시작],$U1043)&amp;""))</f>
        <v/>
      </c>
      <c r="O1043">
        <f>IF($U1043="","",IF(ISNUMBER(INDEX(상세표[종료],$U1043)),TEXT(INDEX(상세표[종료],$U1043),"yyyy-mm-dd hh:mm"),INDEX(상세표[종료],$U1043)&amp;""))</f>
        <v/>
      </c>
      <c r="P1043" s="20">
        <f>IF($U1043="","",INDEX(상세표[06~07시],$U1043))</f>
        <v/>
      </c>
      <c r="Q1043" s="20">
        <f>IF($U1043="","",INDEX(상세표[07~18시],$U1043))</f>
        <v/>
      </c>
      <c r="R1043" s="20">
        <f>IF($U1043="","",INDEX(상세표[18~22시],$U1043))</f>
        <v/>
      </c>
      <c r="S1043" s="20">
        <f>IF($U1043="","",INDEX(상세표[22~06시],$U1043))</f>
        <v/>
      </c>
      <c r="T1043" s="20">
        <f>IF($U1043="","",INDEX(상세표[기록 시간외],$U1043))</f>
        <v/>
      </c>
      <c r="U1043" s="4">
        <f>IFERROR(MATCH(1038,상세표[발송순번],0),"")</f>
        <v/>
      </c>
    </row>
    <row r="1044">
      <c r="J1044">
        <f>IF($U1044="","",INDEX(상세표[사번],$U1044)&amp;"")</f>
        <v/>
      </c>
      <c r="K1044">
        <f>IF($U1044="","",INDEX(상세표[성명],$U1044)&amp;"")</f>
        <v/>
      </c>
      <c r="L1044">
        <f>IF($U1044="","",INDEX(상세표[직위],$U1044)&amp;"")</f>
        <v/>
      </c>
      <c r="M1044">
        <f>IF($U1044="","",IF(ISNUMBER(INDEX(상세표[근무일자],$U1044)),TEXT(INDEX(상세표[근무일자],$U1044),"yyyy-mm-dd"),INDEX(상세표[근무일자],$U1044)&amp;""))</f>
        <v/>
      </c>
      <c r="N1044">
        <f>IF($U1044="","",IF(ISNUMBER(INDEX(상세표[시작],$U1044)),TEXT(INDEX(상세표[시작],$U1044),"yyyy-mm-dd hh:mm"),INDEX(상세표[시작],$U1044)&amp;""))</f>
        <v/>
      </c>
      <c r="O1044">
        <f>IF($U1044="","",IF(ISNUMBER(INDEX(상세표[종료],$U1044)),TEXT(INDEX(상세표[종료],$U1044),"yyyy-mm-dd hh:mm"),INDEX(상세표[종료],$U1044)&amp;""))</f>
        <v/>
      </c>
      <c r="P1044" s="20">
        <f>IF($U1044="","",INDEX(상세표[06~07시],$U1044))</f>
        <v/>
      </c>
      <c r="Q1044" s="20">
        <f>IF($U1044="","",INDEX(상세표[07~18시],$U1044))</f>
        <v/>
      </c>
      <c r="R1044" s="20">
        <f>IF($U1044="","",INDEX(상세표[18~22시],$U1044))</f>
        <v/>
      </c>
      <c r="S1044" s="20">
        <f>IF($U1044="","",INDEX(상세표[22~06시],$U1044))</f>
        <v/>
      </c>
      <c r="T1044" s="20">
        <f>IF($U1044="","",INDEX(상세표[기록 시간외],$U1044))</f>
        <v/>
      </c>
      <c r="U1044" s="4">
        <f>IFERROR(MATCH(1039,상세표[발송순번],0),"")</f>
        <v/>
      </c>
    </row>
    <row r="1045">
      <c r="J1045">
        <f>IF($U1045="","",INDEX(상세표[사번],$U1045)&amp;"")</f>
        <v/>
      </c>
      <c r="K1045">
        <f>IF($U1045="","",INDEX(상세표[성명],$U1045)&amp;"")</f>
        <v/>
      </c>
      <c r="L1045">
        <f>IF($U1045="","",INDEX(상세표[직위],$U1045)&amp;"")</f>
        <v/>
      </c>
      <c r="M1045">
        <f>IF($U1045="","",IF(ISNUMBER(INDEX(상세표[근무일자],$U1045)),TEXT(INDEX(상세표[근무일자],$U1045),"yyyy-mm-dd"),INDEX(상세표[근무일자],$U1045)&amp;""))</f>
        <v/>
      </c>
      <c r="N1045">
        <f>IF($U1045="","",IF(ISNUMBER(INDEX(상세표[시작],$U1045)),TEXT(INDEX(상세표[시작],$U1045),"yyyy-mm-dd hh:mm"),INDEX(상세표[시작],$U1045)&amp;""))</f>
        <v/>
      </c>
      <c r="O1045">
        <f>IF($U1045="","",IF(ISNUMBER(INDEX(상세표[종료],$U1045)),TEXT(INDEX(상세표[종료],$U1045),"yyyy-mm-dd hh:mm"),INDEX(상세표[종료],$U1045)&amp;""))</f>
        <v/>
      </c>
      <c r="P1045" s="20">
        <f>IF($U1045="","",INDEX(상세표[06~07시],$U1045))</f>
        <v/>
      </c>
      <c r="Q1045" s="20">
        <f>IF($U1045="","",INDEX(상세표[07~18시],$U1045))</f>
        <v/>
      </c>
      <c r="R1045" s="20">
        <f>IF($U1045="","",INDEX(상세표[18~22시],$U1045))</f>
        <v/>
      </c>
      <c r="S1045" s="20">
        <f>IF($U1045="","",INDEX(상세표[22~06시],$U1045))</f>
        <v/>
      </c>
      <c r="T1045" s="20">
        <f>IF($U1045="","",INDEX(상세표[기록 시간외],$U1045))</f>
        <v/>
      </c>
      <c r="U1045" s="4">
        <f>IFERROR(MATCH(1040,상세표[발송순번],0),"")</f>
        <v/>
      </c>
    </row>
    <row r="1046">
      <c r="J1046">
        <f>IF($U1046="","",INDEX(상세표[사번],$U1046)&amp;"")</f>
        <v/>
      </c>
      <c r="K1046">
        <f>IF($U1046="","",INDEX(상세표[성명],$U1046)&amp;"")</f>
        <v/>
      </c>
      <c r="L1046">
        <f>IF($U1046="","",INDEX(상세표[직위],$U1046)&amp;"")</f>
        <v/>
      </c>
      <c r="M1046">
        <f>IF($U1046="","",IF(ISNUMBER(INDEX(상세표[근무일자],$U1046)),TEXT(INDEX(상세표[근무일자],$U1046),"yyyy-mm-dd"),INDEX(상세표[근무일자],$U1046)&amp;""))</f>
        <v/>
      </c>
      <c r="N1046">
        <f>IF($U1046="","",IF(ISNUMBER(INDEX(상세표[시작],$U1046)),TEXT(INDEX(상세표[시작],$U1046),"yyyy-mm-dd hh:mm"),INDEX(상세표[시작],$U1046)&amp;""))</f>
        <v/>
      </c>
      <c r="O1046">
        <f>IF($U1046="","",IF(ISNUMBER(INDEX(상세표[종료],$U1046)),TEXT(INDEX(상세표[종료],$U1046),"yyyy-mm-dd hh:mm"),INDEX(상세표[종료],$U1046)&amp;""))</f>
        <v/>
      </c>
      <c r="P1046" s="20">
        <f>IF($U1046="","",INDEX(상세표[06~07시],$U1046))</f>
        <v/>
      </c>
      <c r="Q1046" s="20">
        <f>IF($U1046="","",INDEX(상세표[07~18시],$U1046))</f>
        <v/>
      </c>
      <c r="R1046" s="20">
        <f>IF($U1046="","",INDEX(상세표[18~22시],$U1046))</f>
        <v/>
      </c>
      <c r="S1046" s="20">
        <f>IF($U1046="","",INDEX(상세표[22~06시],$U1046))</f>
        <v/>
      </c>
      <c r="T1046" s="20">
        <f>IF($U1046="","",INDEX(상세표[기록 시간외],$U1046))</f>
        <v/>
      </c>
      <c r="U1046" s="4">
        <f>IFERROR(MATCH(1041,상세표[발송순번],0),"")</f>
        <v/>
      </c>
    </row>
    <row r="1047">
      <c r="J1047">
        <f>IF($U1047="","",INDEX(상세표[사번],$U1047)&amp;"")</f>
        <v/>
      </c>
      <c r="K1047">
        <f>IF($U1047="","",INDEX(상세표[성명],$U1047)&amp;"")</f>
        <v/>
      </c>
      <c r="L1047">
        <f>IF($U1047="","",INDEX(상세표[직위],$U1047)&amp;"")</f>
        <v/>
      </c>
      <c r="M1047">
        <f>IF($U1047="","",IF(ISNUMBER(INDEX(상세표[근무일자],$U1047)),TEXT(INDEX(상세표[근무일자],$U1047),"yyyy-mm-dd"),INDEX(상세표[근무일자],$U1047)&amp;""))</f>
        <v/>
      </c>
      <c r="N1047">
        <f>IF($U1047="","",IF(ISNUMBER(INDEX(상세표[시작],$U1047)),TEXT(INDEX(상세표[시작],$U1047),"yyyy-mm-dd hh:mm"),INDEX(상세표[시작],$U1047)&amp;""))</f>
        <v/>
      </c>
      <c r="O1047">
        <f>IF($U1047="","",IF(ISNUMBER(INDEX(상세표[종료],$U1047)),TEXT(INDEX(상세표[종료],$U1047),"yyyy-mm-dd hh:mm"),INDEX(상세표[종료],$U1047)&amp;""))</f>
        <v/>
      </c>
      <c r="P1047" s="20">
        <f>IF($U1047="","",INDEX(상세표[06~07시],$U1047))</f>
        <v/>
      </c>
      <c r="Q1047" s="20">
        <f>IF($U1047="","",INDEX(상세표[07~18시],$U1047))</f>
        <v/>
      </c>
      <c r="R1047" s="20">
        <f>IF($U1047="","",INDEX(상세표[18~22시],$U1047))</f>
        <v/>
      </c>
      <c r="S1047" s="20">
        <f>IF($U1047="","",INDEX(상세표[22~06시],$U1047))</f>
        <v/>
      </c>
      <c r="T1047" s="20">
        <f>IF($U1047="","",INDEX(상세표[기록 시간외],$U1047))</f>
        <v/>
      </c>
      <c r="U1047" s="4">
        <f>IFERROR(MATCH(1042,상세표[발송순번],0),"")</f>
        <v/>
      </c>
    </row>
    <row r="1048">
      <c r="J1048">
        <f>IF($U1048="","",INDEX(상세표[사번],$U1048)&amp;"")</f>
        <v/>
      </c>
      <c r="K1048">
        <f>IF($U1048="","",INDEX(상세표[성명],$U1048)&amp;"")</f>
        <v/>
      </c>
      <c r="L1048">
        <f>IF($U1048="","",INDEX(상세표[직위],$U1048)&amp;"")</f>
        <v/>
      </c>
      <c r="M1048">
        <f>IF($U1048="","",IF(ISNUMBER(INDEX(상세표[근무일자],$U1048)),TEXT(INDEX(상세표[근무일자],$U1048),"yyyy-mm-dd"),INDEX(상세표[근무일자],$U1048)&amp;""))</f>
        <v/>
      </c>
      <c r="N1048">
        <f>IF($U1048="","",IF(ISNUMBER(INDEX(상세표[시작],$U1048)),TEXT(INDEX(상세표[시작],$U1048),"yyyy-mm-dd hh:mm"),INDEX(상세표[시작],$U1048)&amp;""))</f>
        <v/>
      </c>
      <c r="O1048">
        <f>IF($U1048="","",IF(ISNUMBER(INDEX(상세표[종료],$U1048)),TEXT(INDEX(상세표[종료],$U1048),"yyyy-mm-dd hh:mm"),INDEX(상세표[종료],$U1048)&amp;""))</f>
        <v/>
      </c>
      <c r="P1048" s="20">
        <f>IF($U1048="","",INDEX(상세표[06~07시],$U1048))</f>
        <v/>
      </c>
      <c r="Q1048" s="20">
        <f>IF($U1048="","",INDEX(상세표[07~18시],$U1048))</f>
        <v/>
      </c>
      <c r="R1048" s="20">
        <f>IF($U1048="","",INDEX(상세표[18~22시],$U1048))</f>
        <v/>
      </c>
      <c r="S1048" s="20">
        <f>IF($U1048="","",INDEX(상세표[22~06시],$U1048))</f>
        <v/>
      </c>
      <c r="T1048" s="20">
        <f>IF($U1048="","",INDEX(상세표[기록 시간외],$U1048))</f>
        <v/>
      </c>
      <c r="U1048" s="4">
        <f>IFERROR(MATCH(1043,상세표[발송순번],0),"")</f>
        <v/>
      </c>
    </row>
    <row r="1049">
      <c r="J1049">
        <f>IF($U1049="","",INDEX(상세표[사번],$U1049)&amp;"")</f>
        <v/>
      </c>
      <c r="K1049">
        <f>IF($U1049="","",INDEX(상세표[성명],$U1049)&amp;"")</f>
        <v/>
      </c>
      <c r="L1049">
        <f>IF($U1049="","",INDEX(상세표[직위],$U1049)&amp;"")</f>
        <v/>
      </c>
      <c r="M1049">
        <f>IF($U1049="","",IF(ISNUMBER(INDEX(상세표[근무일자],$U1049)),TEXT(INDEX(상세표[근무일자],$U1049),"yyyy-mm-dd"),INDEX(상세표[근무일자],$U1049)&amp;""))</f>
        <v/>
      </c>
      <c r="N1049">
        <f>IF($U1049="","",IF(ISNUMBER(INDEX(상세표[시작],$U1049)),TEXT(INDEX(상세표[시작],$U1049),"yyyy-mm-dd hh:mm"),INDEX(상세표[시작],$U1049)&amp;""))</f>
        <v/>
      </c>
      <c r="O1049">
        <f>IF($U1049="","",IF(ISNUMBER(INDEX(상세표[종료],$U1049)),TEXT(INDEX(상세표[종료],$U1049),"yyyy-mm-dd hh:mm"),INDEX(상세표[종료],$U1049)&amp;""))</f>
        <v/>
      </c>
      <c r="P1049" s="20">
        <f>IF($U1049="","",INDEX(상세표[06~07시],$U1049))</f>
        <v/>
      </c>
      <c r="Q1049" s="20">
        <f>IF($U1049="","",INDEX(상세표[07~18시],$U1049))</f>
        <v/>
      </c>
      <c r="R1049" s="20">
        <f>IF($U1049="","",INDEX(상세표[18~22시],$U1049))</f>
        <v/>
      </c>
      <c r="S1049" s="20">
        <f>IF($U1049="","",INDEX(상세표[22~06시],$U1049))</f>
        <v/>
      </c>
      <c r="T1049" s="20">
        <f>IF($U1049="","",INDEX(상세표[기록 시간외],$U1049))</f>
        <v/>
      </c>
      <c r="U1049" s="4">
        <f>IFERROR(MATCH(1044,상세표[발송순번],0),"")</f>
        <v/>
      </c>
    </row>
    <row r="1050">
      <c r="J1050">
        <f>IF($U1050="","",INDEX(상세표[사번],$U1050)&amp;"")</f>
        <v/>
      </c>
      <c r="K1050">
        <f>IF($U1050="","",INDEX(상세표[성명],$U1050)&amp;"")</f>
        <v/>
      </c>
      <c r="L1050">
        <f>IF($U1050="","",INDEX(상세표[직위],$U1050)&amp;"")</f>
        <v/>
      </c>
      <c r="M1050">
        <f>IF($U1050="","",IF(ISNUMBER(INDEX(상세표[근무일자],$U1050)),TEXT(INDEX(상세표[근무일자],$U1050),"yyyy-mm-dd"),INDEX(상세표[근무일자],$U1050)&amp;""))</f>
        <v/>
      </c>
      <c r="N1050">
        <f>IF($U1050="","",IF(ISNUMBER(INDEX(상세표[시작],$U1050)),TEXT(INDEX(상세표[시작],$U1050),"yyyy-mm-dd hh:mm"),INDEX(상세표[시작],$U1050)&amp;""))</f>
        <v/>
      </c>
      <c r="O1050">
        <f>IF($U1050="","",IF(ISNUMBER(INDEX(상세표[종료],$U1050)),TEXT(INDEX(상세표[종료],$U1050),"yyyy-mm-dd hh:mm"),INDEX(상세표[종료],$U1050)&amp;""))</f>
        <v/>
      </c>
      <c r="P1050" s="20">
        <f>IF($U1050="","",INDEX(상세표[06~07시],$U1050))</f>
        <v/>
      </c>
      <c r="Q1050" s="20">
        <f>IF($U1050="","",INDEX(상세표[07~18시],$U1050))</f>
        <v/>
      </c>
      <c r="R1050" s="20">
        <f>IF($U1050="","",INDEX(상세표[18~22시],$U1050))</f>
        <v/>
      </c>
      <c r="S1050" s="20">
        <f>IF($U1050="","",INDEX(상세표[22~06시],$U1050))</f>
        <v/>
      </c>
      <c r="T1050" s="20">
        <f>IF($U1050="","",INDEX(상세표[기록 시간외],$U1050))</f>
        <v/>
      </c>
      <c r="U1050" s="4">
        <f>IFERROR(MATCH(1045,상세표[발송순번],0),"")</f>
        <v/>
      </c>
    </row>
    <row r="1051">
      <c r="J1051">
        <f>IF($U1051="","",INDEX(상세표[사번],$U1051)&amp;"")</f>
        <v/>
      </c>
      <c r="K1051">
        <f>IF($U1051="","",INDEX(상세표[성명],$U1051)&amp;"")</f>
        <v/>
      </c>
      <c r="L1051">
        <f>IF($U1051="","",INDEX(상세표[직위],$U1051)&amp;"")</f>
        <v/>
      </c>
      <c r="M1051">
        <f>IF($U1051="","",IF(ISNUMBER(INDEX(상세표[근무일자],$U1051)),TEXT(INDEX(상세표[근무일자],$U1051),"yyyy-mm-dd"),INDEX(상세표[근무일자],$U1051)&amp;""))</f>
        <v/>
      </c>
      <c r="N1051">
        <f>IF($U1051="","",IF(ISNUMBER(INDEX(상세표[시작],$U1051)),TEXT(INDEX(상세표[시작],$U1051),"yyyy-mm-dd hh:mm"),INDEX(상세표[시작],$U1051)&amp;""))</f>
        <v/>
      </c>
      <c r="O1051">
        <f>IF($U1051="","",IF(ISNUMBER(INDEX(상세표[종료],$U1051)),TEXT(INDEX(상세표[종료],$U1051),"yyyy-mm-dd hh:mm"),INDEX(상세표[종료],$U1051)&amp;""))</f>
        <v/>
      </c>
      <c r="P1051" s="20">
        <f>IF($U1051="","",INDEX(상세표[06~07시],$U1051))</f>
        <v/>
      </c>
      <c r="Q1051" s="20">
        <f>IF($U1051="","",INDEX(상세표[07~18시],$U1051))</f>
        <v/>
      </c>
      <c r="R1051" s="20">
        <f>IF($U1051="","",INDEX(상세표[18~22시],$U1051))</f>
        <v/>
      </c>
      <c r="S1051" s="20">
        <f>IF($U1051="","",INDEX(상세표[22~06시],$U1051))</f>
        <v/>
      </c>
      <c r="T1051" s="20">
        <f>IF($U1051="","",INDEX(상세표[기록 시간외],$U1051))</f>
        <v/>
      </c>
      <c r="U1051" s="4">
        <f>IFERROR(MATCH(1046,상세표[발송순번],0),"")</f>
        <v/>
      </c>
    </row>
    <row r="1052">
      <c r="J1052">
        <f>IF($U1052="","",INDEX(상세표[사번],$U1052)&amp;"")</f>
        <v/>
      </c>
      <c r="K1052">
        <f>IF($U1052="","",INDEX(상세표[성명],$U1052)&amp;"")</f>
        <v/>
      </c>
      <c r="L1052">
        <f>IF($U1052="","",INDEX(상세표[직위],$U1052)&amp;"")</f>
        <v/>
      </c>
      <c r="M1052">
        <f>IF($U1052="","",IF(ISNUMBER(INDEX(상세표[근무일자],$U1052)),TEXT(INDEX(상세표[근무일자],$U1052),"yyyy-mm-dd"),INDEX(상세표[근무일자],$U1052)&amp;""))</f>
        <v/>
      </c>
      <c r="N1052">
        <f>IF($U1052="","",IF(ISNUMBER(INDEX(상세표[시작],$U1052)),TEXT(INDEX(상세표[시작],$U1052),"yyyy-mm-dd hh:mm"),INDEX(상세표[시작],$U1052)&amp;""))</f>
        <v/>
      </c>
      <c r="O1052">
        <f>IF($U1052="","",IF(ISNUMBER(INDEX(상세표[종료],$U1052)),TEXT(INDEX(상세표[종료],$U1052),"yyyy-mm-dd hh:mm"),INDEX(상세표[종료],$U1052)&amp;""))</f>
        <v/>
      </c>
      <c r="P1052" s="20">
        <f>IF($U1052="","",INDEX(상세표[06~07시],$U1052))</f>
        <v/>
      </c>
      <c r="Q1052" s="20">
        <f>IF($U1052="","",INDEX(상세표[07~18시],$U1052))</f>
        <v/>
      </c>
      <c r="R1052" s="20">
        <f>IF($U1052="","",INDEX(상세표[18~22시],$U1052))</f>
        <v/>
      </c>
      <c r="S1052" s="20">
        <f>IF($U1052="","",INDEX(상세표[22~06시],$U1052))</f>
        <v/>
      </c>
      <c r="T1052" s="20">
        <f>IF($U1052="","",INDEX(상세표[기록 시간외],$U1052))</f>
        <v/>
      </c>
      <c r="U1052" s="4">
        <f>IFERROR(MATCH(1047,상세표[발송순번],0),"")</f>
        <v/>
      </c>
    </row>
    <row r="1053">
      <c r="J1053">
        <f>IF($U1053="","",INDEX(상세표[사번],$U1053)&amp;"")</f>
        <v/>
      </c>
      <c r="K1053">
        <f>IF($U1053="","",INDEX(상세표[성명],$U1053)&amp;"")</f>
        <v/>
      </c>
      <c r="L1053">
        <f>IF($U1053="","",INDEX(상세표[직위],$U1053)&amp;"")</f>
        <v/>
      </c>
      <c r="M1053">
        <f>IF($U1053="","",IF(ISNUMBER(INDEX(상세표[근무일자],$U1053)),TEXT(INDEX(상세표[근무일자],$U1053),"yyyy-mm-dd"),INDEX(상세표[근무일자],$U1053)&amp;""))</f>
        <v/>
      </c>
      <c r="N1053">
        <f>IF($U1053="","",IF(ISNUMBER(INDEX(상세표[시작],$U1053)),TEXT(INDEX(상세표[시작],$U1053),"yyyy-mm-dd hh:mm"),INDEX(상세표[시작],$U1053)&amp;""))</f>
        <v/>
      </c>
      <c r="O1053">
        <f>IF($U1053="","",IF(ISNUMBER(INDEX(상세표[종료],$U1053)),TEXT(INDEX(상세표[종료],$U1053),"yyyy-mm-dd hh:mm"),INDEX(상세표[종료],$U1053)&amp;""))</f>
        <v/>
      </c>
      <c r="P1053" s="20">
        <f>IF($U1053="","",INDEX(상세표[06~07시],$U1053))</f>
        <v/>
      </c>
      <c r="Q1053" s="20">
        <f>IF($U1053="","",INDEX(상세표[07~18시],$U1053))</f>
        <v/>
      </c>
      <c r="R1053" s="20">
        <f>IF($U1053="","",INDEX(상세표[18~22시],$U1053))</f>
        <v/>
      </c>
      <c r="S1053" s="20">
        <f>IF($U1053="","",INDEX(상세표[22~06시],$U1053))</f>
        <v/>
      </c>
      <c r="T1053" s="20">
        <f>IF($U1053="","",INDEX(상세표[기록 시간외],$U1053))</f>
        <v/>
      </c>
      <c r="U1053" s="4">
        <f>IFERROR(MATCH(1048,상세표[발송순번],0),"")</f>
        <v/>
      </c>
    </row>
    <row r="1054">
      <c r="J1054">
        <f>IF($U1054="","",INDEX(상세표[사번],$U1054)&amp;"")</f>
        <v/>
      </c>
      <c r="K1054">
        <f>IF($U1054="","",INDEX(상세표[성명],$U1054)&amp;"")</f>
        <v/>
      </c>
      <c r="L1054">
        <f>IF($U1054="","",INDEX(상세표[직위],$U1054)&amp;"")</f>
        <v/>
      </c>
      <c r="M1054">
        <f>IF($U1054="","",IF(ISNUMBER(INDEX(상세표[근무일자],$U1054)),TEXT(INDEX(상세표[근무일자],$U1054),"yyyy-mm-dd"),INDEX(상세표[근무일자],$U1054)&amp;""))</f>
        <v/>
      </c>
      <c r="N1054">
        <f>IF($U1054="","",IF(ISNUMBER(INDEX(상세표[시작],$U1054)),TEXT(INDEX(상세표[시작],$U1054),"yyyy-mm-dd hh:mm"),INDEX(상세표[시작],$U1054)&amp;""))</f>
        <v/>
      </c>
      <c r="O1054">
        <f>IF($U1054="","",IF(ISNUMBER(INDEX(상세표[종료],$U1054)),TEXT(INDEX(상세표[종료],$U1054),"yyyy-mm-dd hh:mm"),INDEX(상세표[종료],$U1054)&amp;""))</f>
        <v/>
      </c>
      <c r="P1054" s="20">
        <f>IF($U1054="","",INDEX(상세표[06~07시],$U1054))</f>
        <v/>
      </c>
      <c r="Q1054" s="20">
        <f>IF($U1054="","",INDEX(상세표[07~18시],$U1054))</f>
        <v/>
      </c>
      <c r="R1054" s="20">
        <f>IF($U1054="","",INDEX(상세표[18~22시],$U1054))</f>
        <v/>
      </c>
      <c r="S1054" s="20">
        <f>IF($U1054="","",INDEX(상세표[22~06시],$U1054))</f>
        <v/>
      </c>
      <c r="T1054" s="20">
        <f>IF($U1054="","",INDEX(상세표[기록 시간외],$U1054))</f>
        <v/>
      </c>
      <c r="U1054" s="4">
        <f>IFERROR(MATCH(1049,상세표[발송순번],0),"")</f>
        <v/>
      </c>
    </row>
    <row r="1055">
      <c r="J1055">
        <f>IF($U1055="","",INDEX(상세표[사번],$U1055)&amp;"")</f>
        <v/>
      </c>
      <c r="K1055">
        <f>IF($U1055="","",INDEX(상세표[성명],$U1055)&amp;"")</f>
        <v/>
      </c>
      <c r="L1055">
        <f>IF($U1055="","",INDEX(상세표[직위],$U1055)&amp;"")</f>
        <v/>
      </c>
      <c r="M1055">
        <f>IF($U1055="","",IF(ISNUMBER(INDEX(상세표[근무일자],$U1055)),TEXT(INDEX(상세표[근무일자],$U1055),"yyyy-mm-dd"),INDEX(상세표[근무일자],$U1055)&amp;""))</f>
        <v/>
      </c>
      <c r="N1055">
        <f>IF($U1055="","",IF(ISNUMBER(INDEX(상세표[시작],$U1055)),TEXT(INDEX(상세표[시작],$U1055),"yyyy-mm-dd hh:mm"),INDEX(상세표[시작],$U1055)&amp;""))</f>
        <v/>
      </c>
      <c r="O1055">
        <f>IF($U1055="","",IF(ISNUMBER(INDEX(상세표[종료],$U1055)),TEXT(INDEX(상세표[종료],$U1055),"yyyy-mm-dd hh:mm"),INDEX(상세표[종료],$U1055)&amp;""))</f>
        <v/>
      </c>
      <c r="P1055" s="20">
        <f>IF($U1055="","",INDEX(상세표[06~07시],$U1055))</f>
        <v/>
      </c>
      <c r="Q1055" s="20">
        <f>IF($U1055="","",INDEX(상세표[07~18시],$U1055))</f>
        <v/>
      </c>
      <c r="R1055" s="20">
        <f>IF($U1055="","",INDEX(상세표[18~22시],$U1055))</f>
        <v/>
      </c>
      <c r="S1055" s="20">
        <f>IF($U1055="","",INDEX(상세표[22~06시],$U1055))</f>
        <v/>
      </c>
      <c r="T1055" s="20">
        <f>IF($U1055="","",INDEX(상세표[기록 시간외],$U1055))</f>
        <v/>
      </c>
      <c r="U1055" s="4">
        <f>IFERROR(MATCH(1050,상세표[발송순번],0),"")</f>
        <v/>
      </c>
    </row>
    <row r="1056">
      <c r="J1056">
        <f>IF($U1056="","",INDEX(상세표[사번],$U1056)&amp;"")</f>
        <v/>
      </c>
      <c r="K1056">
        <f>IF($U1056="","",INDEX(상세표[성명],$U1056)&amp;"")</f>
        <v/>
      </c>
      <c r="L1056">
        <f>IF($U1056="","",INDEX(상세표[직위],$U1056)&amp;"")</f>
        <v/>
      </c>
      <c r="M1056">
        <f>IF($U1056="","",IF(ISNUMBER(INDEX(상세표[근무일자],$U1056)),TEXT(INDEX(상세표[근무일자],$U1056),"yyyy-mm-dd"),INDEX(상세표[근무일자],$U1056)&amp;""))</f>
        <v/>
      </c>
      <c r="N1056">
        <f>IF($U1056="","",IF(ISNUMBER(INDEX(상세표[시작],$U1056)),TEXT(INDEX(상세표[시작],$U1056),"yyyy-mm-dd hh:mm"),INDEX(상세표[시작],$U1056)&amp;""))</f>
        <v/>
      </c>
      <c r="O1056">
        <f>IF($U1056="","",IF(ISNUMBER(INDEX(상세표[종료],$U1056)),TEXT(INDEX(상세표[종료],$U1056),"yyyy-mm-dd hh:mm"),INDEX(상세표[종료],$U1056)&amp;""))</f>
        <v/>
      </c>
      <c r="P1056" s="20">
        <f>IF($U1056="","",INDEX(상세표[06~07시],$U1056))</f>
        <v/>
      </c>
      <c r="Q1056" s="20">
        <f>IF($U1056="","",INDEX(상세표[07~18시],$U1056))</f>
        <v/>
      </c>
      <c r="R1056" s="20">
        <f>IF($U1056="","",INDEX(상세표[18~22시],$U1056))</f>
        <v/>
      </c>
      <c r="S1056" s="20">
        <f>IF($U1056="","",INDEX(상세표[22~06시],$U1056))</f>
        <v/>
      </c>
      <c r="T1056" s="20">
        <f>IF($U1056="","",INDEX(상세표[기록 시간외],$U1056))</f>
        <v/>
      </c>
      <c r="U1056" s="4">
        <f>IFERROR(MATCH(1051,상세표[발송순번],0),"")</f>
        <v/>
      </c>
    </row>
    <row r="1057">
      <c r="J1057">
        <f>IF($U1057="","",INDEX(상세표[사번],$U1057)&amp;"")</f>
        <v/>
      </c>
      <c r="K1057">
        <f>IF($U1057="","",INDEX(상세표[성명],$U1057)&amp;"")</f>
        <v/>
      </c>
      <c r="L1057">
        <f>IF($U1057="","",INDEX(상세표[직위],$U1057)&amp;"")</f>
        <v/>
      </c>
      <c r="M1057">
        <f>IF($U1057="","",IF(ISNUMBER(INDEX(상세표[근무일자],$U1057)),TEXT(INDEX(상세표[근무일자],$U1057),"yyyy-mm-dd"),INDEX(상세표[근무일자],$U1057)&amp;""))</f>
        <v/>
      </c>
      <c r="N1057">
        <f>IF($U1057="","",IF(ISNUMBER(INDEX(상세표[시작],$U1057)),TEXT(INDEX(상세표[시작],$U1057),"yyyy-mm-dd hh:mm"),INDEX(상세표[시작],$U1057)&amp;""))</f>
        <v/>
      </c>
      <c r="O1057">
        <f>IF($U1057="","",IF(ISNUMBER(INDEX(상세표[종료],$U1057)),TEXT(INDEX(상세표[종료],$U1057),"yyyy-mm-dd hh:mm"),INDEX(상세표[종료],$U1057)&amp;""))</f>
        <v/>
      </c>
      <c r="P1057" s="20">
        <f>IF($U1057="","",INDEX(상세표[06~07시],$U1057))</f>
        <v/>
      </c>
      <c r="Q1057" s="20">
        <f>IF($U1057="","",INDEX(상세표[07~18시],$U1057))</f>
        <v/>
      </c>
      <c r="R1057" s="20">
        <f>IF($U1057="","",INDEX(상세표[18~22시],$U1057))</f>
        <v/>
      </c>
      <c r="S1057" s="20">
        <f>IF($U1057="","",INDEX(상세표[22~06시],$U1057))</f>
        <v/>
      </c>
      <c r="T1057" s="20">
        <f>IF($U1057="","",INDEX(상세표[기록 시간외],$U1057))</f>
        <v/>
      </c>
      <c r="U1057" s="4">
        <f>IFERROR(MATCH(1052,상세표[발송순번],0),"")</f>
        <v/>
      </c>
    </row>
    <row r="1058">
      <c r="J1058">
        <f>IF($U1058="","",INDEX(상세표[사번],$U1058)&amp;"")</f>
        <v/>
      </c>
      <c r="K1058">
        <f>IF($U1058="","",INDEX(상세표[성명],$U1058)&amp;"")</f>
        <v/>
      </c>
      <c r="L1058">
        <f>IF($U1058="","",INDEX(상세표[직위],$U1058)&amp;"")</f>
        <v/>
      </c>
      <c r="M1058">
        <f>IF($U1058="","",IF(ISNUMBER(INDEX(상세표[근무일자],$U1058)),TEXT(INDEX(상세표[근무일자],$U1058),"yyyy-mm-dd"),INDEX(상세표[근무일자],$U1058)&amp;""))</f>
        <v/>
      </c>
      <c r="N1058">
        <f>IF($U1058="","",IF(ISNUMBER(INDEX(상세표[시작],$U1058)),TEXT(INDEX(상세표[시작],$U1058),"yyyy-mm-dd hh:mm"),INDEX(상세표[시작],$U1058)&amp;""))</f>
        <v/>
      </c>
      <c r="O1058">
        <f>IF($U1058="","",IF(ISNUMBER(INDEX(상세표[종료],$U1058)),TEXT(INDEX(상세표[종료],$U1058),"yyyy-mm-dd hh:mm"),INDEX(상세표[종료],$U1058)&amp;""))</f>
        <v/>
      </c>
      <c r="P1058" s="20">
        <f>IF($U1058="","",INDEX(상세표[06~07시],$U1058))</f>
        <v/>
      </c>
      <c r="Q1058" s="20">
        <f>IF($U1058="","",INDEX(상세표[07~18시],$U1058))</f>
        <v/>
      </c>
      <c r="R1058" s="20">
        <f>IF($U1058="","",INDEX(상세표[18~22시],$U1058))</f>
        <v/>
      </c>
      <c r="S1058" s="20">
        <f>IF($U1058="","",INDEX(상세표[22~06시],$U1058))</f>
        <v/>
      </c>
      <c r="T1058" s="20">
        <f>IF($U1058="","",INDEX(상세표[기록 시간외],$U1058))</f>
        <v/>
      </c>
      <c r="U1058" s="4">
        <f>IFERROR(MATCH(1053,상세표[발송순번],0),"")</f>
        <v/>
      </c>
    </row>
    <row r="1059">
      <c r="J1059">
        <f>IF($U1059="","",INDEX(상세표[사번],$U1059)&amp;"")</f>
        <v/>
      </c>
      <c r="K1059">
        <f>IF($U1059="","",INDEX(상세표[성명],$U1059)&amp;"")</f>
        <v/>
      </c>
      <c r="L1059">
        <f>IF($U1059="","",INDEX(상세표[직위],$U1059)&amp;"")</f>
        <v/>
      </c>
      <c r="M1059">
        <f>IF($U1059="","",IF(ISNUMBER(INDEX(상세표[근무일자],$U1059)),TEXT(INDEX(상세표[근무일자],$U1059),"yyyy-mm-dd"),INDEX(상세표[근무일자],$U1059)&amp;""))</f>
        <v/>
      </c>
      <c r="N1059">
        <f>IF($U1059="","",IF(ISNUMBER(INDEX(상세표[시작],$U1059)),TEXT(INDEX(상세표[시작],$U1059),"yyyy-mm-dd hh:mm"),INDEX(상세표[시작],$U1059)&amp;""))</f>
        <v/>
      </c>
      <c r="O1059">
        <f>IF($U1059="","",IF(ISNUMBER(INDEX(상세표[종료],$U1059)),TEXT(INDEX(상세표[종료],$U1059),"yyyy-mm-dd hh:mm"),INDEX(상세표[종료],$U1059)&amp;""))</f>
        <v/>
      </c>
      <c r="P1059" s="20">
        <f>IF($U1059="","",INDEX(상세표[06~07시],$U1059))</f>
        <v/>
      </c>
      <c r="Q1059" s="20">
        <f>IF($U1059="","",INDEX(상세표[07~18시],$U1059))</f>
        <v/>
      </c>
      <c r="R1059" s="20">
        <f>IF($U1059="","",INDEX(상세표[18~22시],$U1059))</f>
        <v/>
      </c>
      <c r="S1059" s="20">
        <f>IF($U1059="","",INDEX(상세표[22~06시],$U1059))</f>
        <v/>
      </c>
      <c r="T1059" s="20">
        <f>IF($U1059="","",INDEX(상세표[기록 시간외],$U1059))</f>
        <v/>
      </c>
      <c r="U1059" s="4">
        <f>IFERROR(MATCH(1054,상세표[발송순번],0),"")</f>
        <v/>
      </c>
    </row>
    <row r="1060">
      <c r="J1060">
        <f>IF($U1060="","",INDEX(상세표[사번],$U1060)&amp;"")</f>
        <v/>
      </c>
      <c r="K1060">
        <f>IF($U1060="","",INDEX(상세표[성명],$U1060)&amp;"")</f>
        <v/>
      </c>
      <c r="L1060">
        <f>IF($U1060="","",INDEX(상세표[직위],$U1060)&amp;"")</f>
        <v/>
      </c>
      <c r="M1060">
        <f>IF($U1060="","",IF(ISNUMBER(INDEX(상세표[근무일자],$U1060)),TEXT(INDEX(상세표[근무일자],$U1060),"yyyy-mm-dd"),INDEX(상세표[근무일자],$U1060)&amp;""))</f>
        <v/>
      </c>
      <c r="N1060">
        <f>IF($U1060="","",IF(ISNUMBER(INDEX(상세표[시작],$U1060)),TEXT(INDEX(상세표[시작],$U1060),"yyyy-mm-dd hh:mm"),INDEX(상세표[시작],$U1060)&amp;""))</f>
        <v/>
      </c>
      <c r="O1060">
        <f>IF($U1060="","",IF(ISNUMBER(INDEX(상세표[종료],$U1060)),TEXT(INDEX(상세표[종료],$U1060),"yyyy-mm-dd hh:mm"),INDEX(상세표[종료],$U1060)&amp;""))</f>
        <v/>
      </c>
      <c r="P1060" s="20">
        <f>IF($U1060="","",INDEX(상세표[06~07시],$U1060))</f>
        <v/>
      </c>
      <c r="Q1060" s="20">
        <f>IF($U1060="","",INDEX(상세표[07~18시],$U1060))</f>
        <v/>
      </c>
      <c r="R1060" s="20">
        <f>IF($U1060="","",INDEX(상세표[18~22시],$U1060))</f>
        <v/>
      </c>
      <c r="S1060" s="20">
        <f>IF($U1060="","",INDEX(상세표[22~06시],$U1060))</f>
        <v/>
      </c>
      <c r="T1060" s="20">
        <f>IF($U1060="","",INDEX(상세표[기록 시간외],$U1060))</f>
        <v/>
      </c>
      <c r="U1060" s="4">
        <f>IFERROR(MATCH(1055,상세표[발송순번],0),"")</f>
        <v/>
      </c>
    </row>
    <row r="1061">
      <c r="J1061">
        <f>IF($U1061="","",INDEX(상세표[사번],$U1061)&amp;"")</f>
        <v/>
      </c>
      <c r="K1061">
        <f>IF($U1061="","",INDEX(상세표[성명],$U1061)&amp;"")</f>
        <v/>
      </c>
      <c r="L1061">
        <f>IF($U1061="","",INDEX(상세표[직위],$U1061)&amp;"")</f>
        <v/>
      </c>
      <c r="M1061">
        <f>IF($U1061="","",IF(ISNUMBER(INDEX(상세표[근무일자],$U1061)),TEXT(INDEX(상세표[근무일자],$U1061),"yyyy-mm-dd"),INDEX(상세표[근무일자],$U1061)&amp;""))</f>
        <v/>
      </c>
      <c r="N1061">
        <f>IF($U1061="","",IF(ISNUMBER(INDEX(상세표[시작],$U1061)),TEXT(INDEX(상세표[시작],$U1061),"yyyy-mm-dd hh:mm"),INDEX(상세표[시작],$U1061)&amp;""))</f>
        <v/>
      </c>
      <c r="O1061">
        <f>IF($U1061="","",IF(ISNUMBER(INDEX(상세표[종료],$U1061)),TEXT(INDEX(상세표[종료],$U1061),"yyyy-mm-dd hh:mm"),INDEX(상세표[종료],$U1061)&amp;""))</f>
        <v/>
      </c>
      <c r="P1061" s="20">
        <f>IF($U1061="","",INDEX(상세표[06~07시],$U1061))</f>
        <v/>
      </c>
      <c r="Q1061" s="20">
        <f>IF($U1061="","",INDEX(상세표[07~18시],$U1061))</f>
        <v/>
      </c>
      <c r="R1061" s="20">
        <f>IF($U1061="","",INDEX(상세표[18~22시],$U1061))</f>
        <v/>
      </c>
      <c r="S1061" s="20">
        <f>IF($U1061="","",INDEX(상세표[22~06시],$U1061))</f>
        <v/>
      </c>
      <c r="T1061" s="20">
        <f>IF($U1061="","",INDEX(상세표[기록 시간외],$U1061))</f>
        <v/>
      </c>
      <c r="U1061" s="4">
        <f>IFERROR(MATCH(1056,상세표[발송순번],0),"")</f>
        <v/>
      </c>
    </row>
    <row r="1062">
      <c r="J1062">
        <f>IF($U1062="","",INDEX(상세표[사번],$U1062)&amp;"")</f>
        <v/>
      </c>
      <c r="K1062">
        <f>IF($U1062="","",INDEX(상세표[성명],$U1062)&amp;"")</f>
        <v/>
      </c>
      <c r="L1062">
        <f>IF($U1062="","",INDEX(상세표[직위],$U1062)&amp;"")</f>
        <v/>
      </c>
      <c r="M1062">
        <f>IF($U1062="","",IF(ISNUMBER(INDEX(상세표[근무일자],$U1062)),TEXT(INDEX(상세표[근무일자],$U1062),"yyyy-mm-dd"),INDEX(상세표[근무일자],$U1062)&amp;""))</f>
        <v/>
      </c>
      <c r="N1062">
        <f>IF($U1062="","",IF(ISNUMBER(INDEX(상세표[시작],$U1062)),TEXT(INDEX(상세표[시작],$U1062),"yyyy-mm-dd hh:mm"),INDEX(상세표[시작],$U1062)&amp;""))</f>
        <v/>
      </c>
      <c r="O1062">
        <f>IF($U1062="","",IF(ISNUMBER(INDEX(상세표[종료],$U1062)),TEXT(INDEX(상세표[종료],$U1062),"yyyy-mm-dd hh:mm"),INDEX(상세표[종료],$U1062)&amp;""))</f>
        <v/>
      </c>
      <c r="P1062" s="20">
        <f>IF($U1062="","",INDEX(상세표[06~07시],$U1062))</f>
        <v/>
      </c>
      <c r="Q1062" s="20">
        <f>IF($U1062="","",INDEX(상세표[07~18시],$U1062))</f>
        <v/>
      </c>
      <c r="R1062" s="20">
        <f>IF($U1062="","",INDEX(상세표[18~22시],$U1062))</f>
        <v/>
      </c>
      <c r="S1062" s="20">
        <f>IF($U1062="","",INDEX(상세표[22~06시],$U1062))</f>
        <v/>
      </c>
      <c r="T1062" s="20">
        <f>IF($U1062="","",INDEX(상세표[기록 시간외],$U1062))</f>
        <v/>
      </c>
      <c r="U1062" s="4">
        <f>IFERROR(MATCH(1057,상세표[발송순번],0),"")</f>
        <v/>
      </c>
    </row>
    <row r="1063">
      <c r="J1063">
        <f>IF($U1063="","",INDEX(상세표[사번],$U1063)&amp;"")</f>
        <v/>
      </c>
      <c r="K1063">
        <f>IF($U1063="","",INDEX(상세표[성명],$U1063)&amp;"")</f>
        <v/>
      </c>
      <c r="L1063">
        <f>IF($U1063="","",INDEX(상세표[직위],$U1063)&amp;"")</f>
        <v/>
      </c>
      <c r="M1063">
        <f>IF($U1063="","",IF(ISNUMBER(INDEX(상세표[근무일자],$U1063)),TEXT(INDEX(상세표[근무일자],$U1063),"yyyy-mm-dd"),INDEX(상세표[근무일자],$U1063)&amp;""))</f>
        <v/>
      </c>
      <c r="N1063">
        <f>IF($U1063="","",IF(ISNUMBER(INDEX(상세표[시작],$U1063)),TEXT(INDEX(상세표[시작],$U1063),"yyyy-mm-dd hh:mm"),INDEX(상세표[시작],$U1063)&amp;""))</f>
        <v/>
      </c>
      <c r="O1063">
        <f>IF($U1063="","",IF(ISNUMBER(INDEX(상세표[종료],$U1063)),TEXT(INDEX(상세표[종료],$U1063),"yyyy-mm-dd hh:mm"),INDEX(상세표[종료],$U1063)&amp;""))</f>
        <v/>
      </c>
      <c r="P1063" s="20">
        <f>IF($U1063="","",INDEX(상세표[06~07시],$U1063))</f>
        <v/>
      </c>
      <c r="Q1063" s="20">
        <f>IF($U1063="","",INDEX(상세표[07~18시],$U1063))</f>
        <v/>
      </c>
      <c r="R1063" s="20">
        <f>IF($U1063="","",INDEX(상세표[18~22시],$U1063))</f>
        <v/>
      </c>
      <c r="S1063" s="20">
        <f>IF($U1063="","",INDEX(상세표[22~06시],$U1063))</f>
        <v/>
      </c>
      <c r="T1063" s="20">
        <f>IF($U1063="","",INDEX(상세표[기록 시간외],$U1063))</f>
        <v/>
      </c>
      <c r="U1063" s="4">
        <f>IFERROR(MATCH(1058,상세표[발송순번],0),"")</f>
        <v/>
      </c>
    </row>
    <row r="1064">
      <c r="J1064">
        <f>IF($U1064="","",INDEX(상세표[사번],$U1064)&amp;"")</f>
        <v/>
      </c>
      <c r="K1064">
        <f>IF($U1064="","",INDEX(상세표[성명],$U1064)&amp;"")</f>
        <v/>
      </c>
      <c r="L1064">
        <f>IF($U1064="","",INDEX(상세표[직위],$U1064)&amp;"")</f>
        <v/>
      </c>
      <c r="M1064">
        <f>IF($U1064="","",IF(ISNUMBER(INDEX(상세표[근무일자],$U1064)),TEXT(INDEX(상세표[근무일자],$U1064),"yyyy-mm-dd"),INDEX(상세표[근무일자],$U1064)&amp;""))</f>
        <v/>
      </c>
      <c r="N1064">
        <f>IF($U1064="","",IF(ISNUMBER(INDEX(상세표[시작],$U1064)),TEXT(INDEX(상세표[시작],$U1064),"yyyy-mm-dd hh:mm"),INDEX(상세표[시작],$U1064)&amp;""))</f>
        <v/>
      </c>
      <c r="O1064">
        <f>IF($U1064="","",IF(ISNUMBER(INDEX(상세표[종료],$U1064)),TEXT(INDEX(상세표[종료],$U1064),"yyyy-mm-dd hh:mm"),INDEX(상세표[종료],$U1064)&amp;""))</f>
        <v/>
      </c>
      <c r="P1064" s="20">
        <f>IF($U1064="","",INDEX(상세표[06~07시],$U1064))</f>
        <v/>
      </c>
      <c r="Q1064" s="20">
        <f>IF($U1064="","",INDEX(상세표[07~18시],$U1064))</f>
        <v/>
      </c>
      <c r="R1064" s="20">
        <f>IF($U1064="","",INDEX(상세표[18~22시],$U1064))</f>
        <v/>
      </c>
      <c r="S1064" s="20">
        <f>IF($U1064="","",INDEX(상세표[22~06시],$U1064))</f>
        <v/>
      </c>
      <c r="T1064" s="20">
        <f>IF($U1064="","",INDEX(상세표[기록 시간외],$U1064))</f>
        <v/>
      </c>
      <c r="U1064" s="4">
        <f>IFERROR(MATCH(1059,상세표[발송순번],0),"")</f>
        <v/>
      </c>
    </row>
    <row r="1065">
      <c r="J1065">
        <f>IF($U1065="","",INDEX(상세표[사번],$U1065)&amp;"")</f>
        <v/>
      </c>
      <c r="K1065">
        <f>IF($U1065="","",INDEX(상세표[성명],$U1065)&amp;"")</f>
        <v/>
      </c>
      <c r="L1065">
        <f>IF($U1065="","",INDEX(상세표[직위],$U1065)&amp;"")</f>
        <v/>
      </c>
      <c r="M1065">
        <f>IF($U1065="","",IF(ISNUMBER(INDEX(상세표[근무일자],$U1065)),TEXT(INDEX(상세표[근무일자],$U1065),"yyyy-mm-dd"),INDEX(상세표[근무일자],$U1065)&amp;""))</f>
        <v/>
      </c>
      <c r="N1065">
        <f>IF($U1065="","",IF(ISNUMBER(INDEX(상세표[시작],$U1065)),TEXT(INDEX(상세표[시작],$U1065),"yyyy-mm-dd hh:mm"),INDEX(상세표[시작],$U1065)&amp;""))</f>
        <v/>
      </c>
      <c r="O1065">
        <f>IF($U1065="","",IF(ISNUMBER(INDEX(상세표[종료],$U1065)),TEXT(INDEX(상세표[종료],$U1065),"yyyy-mm-dd hh:mm"),INDEX(상세표[종료],$U1065)&amp;""))</f>
        <v/>
      </c>
      <c r="P1065" s="20">
        <f>IF($U1065="","",INDEX(상세표[06~07시],$U1065))</f>
        <v/>
      </c>
      <c r="Q1065" s="20">
        <f>IF($U1065="","",INDEX(상세표[07~18시],$U1065))</f>
        <v/>
      </c>
      <c r="R1065" s="20">
        <f>IF($U1065="","",INDEX(상세표[18~22시],$U1065))</f>
        <v/>
      </c>
      <c r="S1065" s="20">
        <f>IF($U1065="","",INDEX(상세표[22~06시],$U1065))</f>
        <v/>
      </c>
      <c r="T1065" s="20">
        <f>IF($U1065="","",INDEX(상세표[기록 시간외],$U1065))</f>
        <v/>
      </c>
      <c r="U1065" s="4">
        <f>IFERROR(MATCH(1060,상세표[발송순번],0),"")</f>
        <v/>
      </c>
    </row>
    <row r="1066">
      <c r="J1066">
        <f>IF($U1066="","",INDEX(상세표[사번],$U1066)&amp;"")</f>
        <v/>
      </c>
      <c r="K1066">
        <f>IF($U1066="","",INDEX(상세표[성명],$U1066)&amp;"")</f>
        <v/>
      </c>
      <c r="L1066">
        <f>IF($U1066="","",INDEX(상세표[직위],$U1066)&amp;"")</f>
        <v/>
      </c>
      <c r="M1066">
        <f>IF($U1066="","",IF(ISNUMBER(INDEX(상세표[근무일자],$U1066)),TEXT(INDEX(상세표[근무일자],$U1066),"yyyy-mm-dd"),INDEX(상세표[근무일자],$U1066)&amp;""))</f>
        <v/>
      </c>
      <c r="N1066">
        <f>IF($U1066="","",IF(ISNUMBER(INDEX(상세표[시작],$U1066)),TEXT(INDEX(상세표[시작],$U1066),"yyyy-mm-dd hh:mm"),INDEX(상세표[시작],$U1066)&amp;""))</f>
        <v/>
      </c>
      <c r="O1066">
        <f>IF($U1066="","",IF(ISNUMBER(INDEX(상세표[종료],$U1066)),TEXT(INDEX(상세표[종료],$U1066),"yyyy-mm-dd hh:mm"),INDEX(상세표[종료],$U1066)&amp;""))</f>
        <v/>
      </c>
      <c r="P1066" s="20">
        <f>IF($U1066="","",INDEX(상세표[06~07시],$U1066))</f>
        <v/>
      </c>
      <c r="Q1066" s="20">
        <f>IF($U1066="","",INDEX(상세표[07~18시],$U1066))</f>
        <v/>
      </c>
      <c r="R1066" s="20">
        <f>IF($U1066="","",INDEX(상세표[18~22시],$U1066))</f>
        <v/>
      </c>
      <c r="S1066" s="20">
        <f>IF($U1066="","",INDEX(상세표[22~06시],$U1066))</f>
        <v/>
      </c>
      <c r="T1066" s="20">
        <f>IF($U1066="","",INDEX(상세표[기록 시간외],$U1066))</f>
        <v/>
      </c>
      <c r="U1066" s="4">
        <f>IFERROR(MATCH(1061,상세표[발송순번],0),"")</f>
        <v/>
      </c>
    </row>
    <row r="1067">
      <c r="J1067">
        <f>IF($U1067="","",INDEX(상세표[사번],$U1067)&amp;"")</f>
        <v/>
      </c>
      <c r="K1067">
        <f>IF($U1067="","",INDEX(상세표[성명],$U1067)&amp;"")</f>
        <v/>
      </c>
      <c r="L1067">
        <f>IF($U1067="","",INDEX(상세표[직위],$U1067)&amp;"")</f>
        <v/>
      </c>
      <c r="M1067">
        <f>IF($U1067="","",IF(ISNUMBER(INDEX(상세표[근무일자],$U1067)),TEXT(INDEX(상세표[근무일자],$U1067),"yyyy-mm-dd"),INDEX(상세표[근무일자],$U1067)&amp;""))</f>
        <v/>
      </c>
      <c r="N1067">
        <f>IF($U1067="","",IF(ISNUMBER(INDEX(상세표[시작],$U1067)),TEXT(INDEX(상세표[시작],$U1067),"yyyy-mm-dd hh:mm"),INDEX(상세표[시작],$U1067)&amp;""))</f>
        <v/>
      </c>
      <c r="O1067">
        <f>IF($U1067="","",IF(ISNUMBER(INDEX(상세표[종료],$U1067)),TEXT(INDEX(상세표[종료],$U1067),"yyyy-mm-dd hh:mm"),INDEX(상세표[종료],$U1067)&amp;""))</f>
        <v/>
      </c>
      <c r="P1067" s="20">
        <f>IF($U1067="","",INDEX(상세표[06~07시],$U1067))</f>
        <v/>
      </c>
      <c r="Q1067" s="20">
        <f>IF($U1067="","",INDEX(상세표[07~18시],$U1067))</f>
        <v/>
      </c>
      <c r="R1067" s="20">
        <f>IF($U1067="","",INDEX(상세표[18~22시],$U1067))</f>
        <v/>
      </c>
      <c r="S1067" s="20">
        <f>IF($U1067="","",INDEX(상세표[22~06시],$U1067))</f>
        <v/>
      </c>
      <c r="T1067" s="20">
        <f>IF($U1067="","",INDEX(상세표[기록 시간외],$U1067))</f>
        <v/>
      </c>
      <c r="U1067" s="4">
        <f>IFERROR(MATCH(1062,상세표[발송순번],0),"")</f>
        <v/>
      </c>
    </row>
    <row r="1068">
      <c r="J1068">
        <f>IF($U1068="","",INDEX(상세표[사번],$U1068)&amp;"")</f>
        <v/>
      </c>
      <c r="K1068">
        <f>IF($U1068="","",INDEX(상세표[성명],$U1068)&amp;"")</f>
        <v/>
      </c>
      <c r="L1068">
        <f>IF($U1068="","",INDEX(상세표[직위],$U1068)&amp;"")</f>
        <v/>
      </c>
      <c r="M1068">
        <f>IF($U1068="","",IF(ISNUMBER(INDEX(상세표[근무일자],$U1068)),TEXT(INDEX(상세표[근무일자],$U1068),"yyyy-mm-dd"),INDEX(상세표[근무일자],$U1068)&amp;""))</f>
        <v/>
      </c>
      <c r="N1068">
        <f>IF($U1068="","",IF(ISNUMBER(INDEX(상세표[시작],$U1068)),TEXT(INDEX(상세표[시작],$U1068),"yyyy-mm-dd hh:mm"),INDEX(상세표[시작],$U1068)&amp;""))</f>
        <v/>
      </c>
      <c r="O1068">
        <f>IF($U1068="","",IF(ISNUMBER(INDEX(상세표[종료],$U1068)),TEXT(INDEX(상세표[종료],$U1068),"yyyy-mm-dd hh:mm"),INDEX(상세표[종료],$U1068)&amp;""))</f>
        <v/>
      </c>
      <c r="P1068" s="20">
        <f>IF($U1068="","",INDEX(상세표[06~07시],$U1068))</f>
        <v/>
      </c>
      <c r="Q1068" s="20">
        <f>IF($U1068="","",INDEX(상세표[07~18시],$U1068))</f>
        <v/>
      </c>
      <c r="R1068" s="20">
        <f>IF($U1068="","",INDEX(상세표[18~22시],$U1068))</f>
        <v/>
      </c>
      <c r="S1068" s="20">
        <f>IF($U1068="","",INDEX(상세표[22~06시],$U1068))</f>
        <v/>
      </c>
      <c r="T1068" s="20">
        <f>IF($U1068="","",INDEX(상세표[기록 시간외],$U1068))</f>
        <v/>
      </c>
      <c r="U1068" s="4">
        <f>IFERROR(MATCH(1063,상세표[발송순번],0),"")</f>
        <v/>
      </c>
    </row>
    <row r="1069">
      <c r="J1069">
        <f>IF($U1069="","",INDEX(상세표[사번],$U1069)&amp;"")</f>
        <v/>
      </c>
      <c r="K1069">
        <f>IF($U1069="","",INDEX(상세표[성명],$U1069)&amp;"")</f>
        <v/>
      </c>
      <c r="L1069">
        <f>IF($U1069="","",INDEX(상세표[직위],$U1069)&amp;"")</f>
        <v/>
      </c>
      <c r="M1069">
        <f>IF($U1069="","",IF(ISNUMBER(INDEX(상세표[근무일자],$U1069)),TEXT(INDEX(상세표[근무일자],$U1069),"yyyy-mm-dd"),INDEX(상세표[근무일자],$U1069)&amp;""))</f>
        <v/>
      </c>
      <c r="N1069">
        <f>IF($U1069="","",IF(ISNUMBER(INDEX(상세표[시작],$U1069)),TEXT(INDEX(상세표[시작],$U1069),"yyyy-mm-dd hh:mm"),INDEX(상세표[시작],$U1069)&amp;""))</f>
        <v/>
      </c>
      <c r="O1069">
        <f>IF($U1069="","",IF(ISNUMBER(INDEX(상세표[종료],$U1069)),TEXT(INDEX(상세표[종료],$U1069),"yyyy-mm-dd hh:mm"),INDEX(상세표[종료],$U1069)&amp;""))</f>
        <v/>
      </c>
      <c r="P1069" s="20">
        <f>IF($U1069="","",INDEX(상세표[06~07시],$U1069))</f>
        <v/>
      </c>
      <c r="Q1069" s="20">
        <f>IF($U1069="","",INDEX(상세표[07~18시],$U1069))</f>
        <v/>
      </c>
      <c r="R1069" s="20">
        <f>IF($U1069="","",INDEX(상세표[18~22시],$U1069))</f>
        <v/>
      </c>
      <c r="S1069" s="20">
        <f>IF($U1069="","",INDEX(상세표[22~06시],$U1069))</f>
        <v/>
      </c>
      <c r="T1069" s="20">
        <f>IF($U1069="","",INDEX(상세표[기록 시간외],$U1069))</f>
        <v/>
      </c>
      <c r="U1069" s="4">
        <f>IFERROR(MATCH(1064,상세표[발송순번],0),"")</f>
        <v/>
      </c>
    </row>
    <row r="1070">
      <c r="J1070">
        <f>IF($U1070="","",INDEX(상세표[사번],$U1070)&amp;"")</f>
        <v/>
      </c>
      <c r="K1070">
        <f>IF($U1070="","",INDEX(상세표[성명],$U1070)&amp;"")</f>
        <v/>
      </c>
      <c r="L1070">
        <f>IF($U1070="","",INDEX(상세표[직위],$U1070)&amp;"")</f>
        <v/>
      </c>
      <c r="M1070">
        <f>IF($U1070="","",IF(ISNUMBER(INDEX(상세표[근무일자],$U1070)),TEXT(INDEX(상세표[근무일자],$U1070),"yyyy-mm-dd"),INDEX(상세표[근무일자],$U1070)&amp;""))</f>
        <v/>
      </c>
      <c r="N1070">
        <f>IF($U1070="","",IF(ISNUMBER(INDEX(상세표[시작],$U1070)),TEXT(INDEX(상세표[시작],$U1070),"yyyy-mm-dd hh:mm"),INDEX(상세표[시작],$U1070)&amp;""))</f>
        <v/>
      </c>
      <c r="O1070">
        <f>IF($U1070="","",IF(ISNUMBER(INDEX(상세표[종료],$U1070)),TEXT(INDEX(상세표[종료],$U1070),"yyyy-mm-dd hh:mm"),INDEX(상세표[종료],$U1070)&amp;""))</f>
        <v/>
      </c>
      <c r="P1070" s="20">
        <f>IF($U1070="","",INDEX(상세표[06~07시],$U1070))</f>
        <v/>
      </c>
      <c r="Q1070" s="20">
        <f>IF($U1070="","",INDEX(상세표[07~18시],$U1070))</f>
        <v/>
      </c>
      <c r="R1070" s="20">
        <f>IF($U1070="","",INDEX(상세표[18~22시],$U1070))</f>
        <v/>
      </c>
      <c r="S1070" s="20">
        <f>IF($U1070="","",INDEX(상세표[22~06시],$U1070))</f>
        <v/>
      </c>
      <c r="T1070" s="20">
        <f>IF($U1070="","",INDEX(상세표[기록 시간외],$U1070))</f>
        <v/>
      </c>
      <c r="U1070" s="4">
        <f>IFERROR(MATCH(1065,상세표[발송순번],0),"")</f>
        <v/>
      </c>
    </row>
    <row r="1071">
      <c r="J1071">
        <f>IF($U1071="","",INDEX(상세표[사번],$U1071)&amp;"")</f>
        <v/>
      </c>
      <c r="K1071">
        <f>IF($U1071="","",INDEX(상세표[성명],$U1071)&amp;"")</f>
        <v/>
      </c>
      <c r="L1071">
        <f>IF($U1071="","",INDEX(상세표[직위],$U1071)&amp;"")</f>
        <v/>
      </c>
      <c r="M1071">
        <f>IF($U1071="","",IF(ISNUMBER(INDEX(상세표[근무일자],$U1071)),TEXT(INDEX(상세표[근무일자],$U1071),"yyyy-mm-dd"),INDEX(상세표[근무일자],$U1071)&amp;""))</f>
        <v/>
      </c>
      <c r="N1071">
        <f>IF($U1071="","",IF(ISNUMBER(INDEX(상세표[시작],$U1071)),TEXT(INDEX(상세표[시작],$U1071),"yyyy-mm-dd hh:mm"),INDEX(상세표[시작],$U1071)&amp;""))</f>
        <v/>
      </c>
      <c r="O1071">
        <f>IF($U1071="","",IF(ISNUMBER(INDEX(상세표[종료],$U1071)),TEXT(INDEX(상세표[종료],$U1071),"yyyy-mm-dd hh:mm"),INDEX(상세표[종료],$U1071)&amp;""))</f>
        <v/>
      </c>
      <c r="P1071" s="20">
        <f>IF($U1071="","",INDEX(상세표[06~07시],$U1071))</f>
        <v/>
      </c>
      <c r="Q1071" s="20">
        <f>IF($U1071="","",INDEX(상세표[07~18시],$U1071))</f>
        <v/>
      </c>
      <c r="R1071" s="20">
        <f>IF($U1071="","",INDEX(상세표[18~22시],$U1071))</f>
        <v/>
      </c>
      <c r="S1071" s="20">
        <f>IF($U1071="","",INDEX(상세표[22~06시],$U1071))</f>
        <v/>
      </c>
      <c r="T1071" s="20">
        <f>IF($U1071="","",INDEX(상세표[기록 시간외],$U1071))</f>
        <v/>
      </c>
      <c r="U1071" s="4">
        <f>IFERROR(MATCH(1066,상세표[발송순번],0),"")</f>
        <v/>
      </c>
    </row>
    <row r="1072">
      <c r="J1072">
        <f>IF($U1072="","",INDEX(상세표[사번],$U1072)&amp;"")</f>
        <v/>
      </c>
      <c r="K1072">
        <f>IF($U1072="","",INDEX(상세표[성명],$U1072)&amp;"")</f>
        <v/>
      </c>
      <c r="L1072">
        <f>IF($U1072="","",INDEX(상세표[직위],$U1072)&amp;"")</f>
        <v/>
      </c>
      <c r="M1072">
        <f>IF($U1072="","",IF(ISNUMBER(INDEX(상세표[근무일자],$U1072)),TEXT(INDEX(상세표[근무일자],$U1072),"yyyy-mm-dd"),INDEX(상세표[근무일자],$U1072)&amp;""))</f>
        <v/>
      </c>
      <c r="N1072">
        <f>IF($U1072="","",IF(ISNUMBER(INDEX(상세표[시작],$U1072)),TEXT(INDEX(상세표[시작],$U1072),"yyyy-mm-dd hh:mm"),INDEX(상세표[시작],$U1072)&amp;""))</f>
        <v/>
      </c>
      <c r="O1072">
        <f>IF($U1072="","",IF(ISNUMBER(INDEX(상세표[종료],$U1072)),TEXT(INDEX(상세표[종료],$U1072),"yyyy-mm-dd hh:mm"),INDEX(상세표[종료],$U1072)&amp;""))</f>
        <v/>
      </c>
      <c r="P1072" s="20">
        <f>IF($U1072="","",INDEX(상세표[06~07시],$U1072))</f>
        <v/>
      </c>
      <c r="Q1072" s="20">
        <f>IF($U1072="","",INDEX(상세표[07~18시],$U1072))</f>
        <v/>
      </c>
      <c r="R1072" s="20">
        <f>IF($U1072="","",INDEX(상세표[18~22시],$U1072))</f>
        <v/>
      </c>
      <c r="S1072" s="20">
        <f>IF($U1072="","",INDEX(상세표[22~06시],$U1072))</f>
        <v/>
      </c>
      <c r="T1072" s="20">
        <f>IF($U1072="","",INDEX(상세표[기록 시간외],$U1072))</f>
        <v/>
      </c>
      <c r="U1072" s="4">
        <f>IFERROR(MATCH(1067,상세표[발송순번],0),"")</f>
        <v/>
      </c>
    </row>
    <row r="1073">
      <c r="J1073">
        <f>IF($U1073="","",INDEX(상세표[사번],$U1073)&amp;"")</f>
        <v/>
      </c>
      <c r="K1073">
        <f>IF($U1073="","",INDEX(상세표[성명],$U1073)&amp;"")</f>
        <v/>
      </c>
      <c r="L1073">
        <f>IF($U1073="","",INDEX(상세표[직위],$U1073)&amp;"")</f>
        <v/>
      </c>
      <c r="M1073">
        <f>IF($U1073="","",IF(ISNUMBER(INDEX(상세표[근무일자],$U1073)),TEXT(INDEX(상세표[근무일자],$U1073),"yyyy-mm-dd"),INDEX(상세표[근무일자],$U1073)&amp;""))</f>
        <v/>
      </c>
      <c r="N1073">
        <f>IF($U1073="","",IF(ISNUMBER(INDEX(상세표[시작],$U1073)),TEXT(INDEX(상세표[시작],$U1073),"yyyy-mm-dd hh:mm"),INDEX(상세표[시작],$U1073)&amp;""))</f>
        <v/>
      </c>
      <c r="O1073">
        <f>IF($U1073="","",IF(ISNUMBER(INDEX(상세표[종료],$U1073)),TEXT(INDEX(상세표[종료],$U1073),"yyyy-mm-dd hh:mm"),INDEX(상세표[종료],$U1073)&amp;""))</f>
        <v/>
      </c>
      <c r="P1073" s="20">
        <f>IF($U1073="","",INDEX(상세표[06~07시],$U1073))</f>
        <v/>
      </c>
      <c r="Q1073" s="20">
        <f>IF($U1073="","",INDEX(상세표[07~18시],$U1073))</f>
        <v/>
      </c>
      <c r="R1073" s="20">
        <f>IF($U1073="","",INDEX(상세표[18~22시],$U1073))</f>
        <v/>
      </c>
      <c r="S1073" s="20">
        <f>IF($U1073="","",INDEX(상세표[22~06시],$U1073))</f>
        <v/>
      </c>
      <c r="T1073" s="20">
        <f>IF($U1073="","",INDEX(상세표[기록 시간외],$U1073))</f>
        <v/>
      </c>
      <c r="U1073" s="4">
        <f>IFERROR(MATCH(1068,상세표[발송순번],0),"")</f>
        <v/>
      </c>
    </row>
    <row r="1074">
      <c r="J1074">
        <f>IF($U1074="","",INDEX(상세표[사번],$U1074)&amp;"")</f>
        <v/>
      </c>
      <c r="K1074">
        <f>IF($U1074="","",INDEX(상세표[성명],$U1074)&amp;"")</f>
        <v/>
      </c>
      <c r="L1074">
        <f>IF($U1074="","",INDEX(상세표[직위],$U1074)&amp;"")</f>
        <v/>
      </c>
      <c r="M1074">
        <f>IF($U1074="","",IF(ISNUMBER(INDEX(상세표[근무일자],$U1074)),TEXT(INDEX(상세표[근무일자],$U1074),"yyyy-mm-dd"),INDEX(상세표[근무일자],$U1074)&amp;""))</f>
        <v/>
      </c>
      <c r="N1074">
        <f>IF($U1074="","",IF(ISNUMBER(INDEX(상세표[시작],$U1074)),TEXT(INDEX(상세표[시작],$U1074),"yyyy-mm-dd hh:mm"),INDEX(상세표[시작],$U1074)&amp;""))</f>
        <v/>
      </c>
      <c r="O1074">
        <f>IF($U1074="","",IF(ISNUMBER(INDEX(상세표[종료],$U1074)),TEXT(INDEX(상세표[종료],$U1074),"yyyy-mm-dd hh:mm"),INDEX(상세표[종료],$U1074)&amp;""))</f>
        <v/>
      </c>
      <c r="P1074" s="20">
        <f>IF($U1074="","",INDEX(상세표[06~07시],$U1074))</f>
        <v/>
      </c>
      <c r="Q1074" s="20">
        <f>IF($U1074="","",INDEX(상세표[07~18시],$U1074))</f>
        <v/>
      </c>
      <c r="R1074" s="20">
        <f>IF($U1074="","",INDEX(상세표[18~22시],$U1074))</f>
        <v/>
      </c>
      <c r="S1074" s="20">
        <f>IF($U1074="","",INDEX(상세표[22~06시],$U1074))</f>
        <v/>
      </c>
      <c r="T1074" s="20">
        <f>IF($U1074="","",INDEX(상세표[기록 시간외],$U1074))</f>
        <v/>
      </c>
      <c r="U1074" s="4">
        <f>IFERROR(MATCH(1069,상세표[발송순번],0),"")</f>
        <v/>
      </c>
    </row>
    <row r="1075">
      <c r="J1075">
        <f>IF($U1075="","",INDEX(상세표[사번],$U1075)&amp;"")</f>
        <v/>
      </c>
      <c r="K1075">
        <f>IF($U1075="","",INDEX(상세표[성명],$U1075)&amp;"")</f>
        <v/>
      </c>
      <c r="L1075">
        <f>IF($U1075="","",INDEX(상세표[직위],$U1075)&amp;"")</f>
        <v/>
      </c>
      <c r="M1075">
        <f>IF($U1075="","",IF(ISNUMBER(INDEX(상세표[근무일자],$U1075)),TEXT(INDEX(상세표[근무일자],$U1075),"yyyy-mm-dd"),INDEX(상세표[근무일자],$U1075)&amp;""))</f>
        <v/>
      </c>
      <c r="N1075">
        <f>IF($U1075="","",IF(ISNUMBER(INDEX(상세표[시작],$U1075)),TEXT(INDEX(상세표[시작],$U1075),"yyyy-mm-dd hh:mm"),INDEX(상세표[시작],$U1075)&amp;""))</f>
        <v/>
      </c>
      <c r="O1075">
        <f>IF($U1075="","",IF(ISNUMBER(INDEX(상세표[종료],$U1075)),TEXT(INDEX(상세표[종료],$U1075),"yyyy-mm-dd hh:mm"),INDEX(상세표[종료],$U1075)&amp;""))</f>
        <v/>
      </c>
      <c r="P1075" s="20">
        <f>IF($U1075="","",INDEX(상세표[06~07시],$U1075))</f>
        <v/>
      </c>
      <c r="Q1075" s="20">
        <f>IF($U1075="","",INDEX(상세표[07~18시],$U1075))</f>
        <v/>
      </c>
      <c r="R1075" s="20">
        <f>IF($U1075="","",INDEX(상세표[18~22시],$U1075))</f>
        <v/>
      </c>
      <c r="S1075" s="20">
        <f>IF($U1075="","",INDEX(상세표[22~06시],$U1075))</f>
        <v/>
      </c>
      <c r="T1075" s="20">
        <f>IF($U1075="","",INDEX(상세표[기록 시간외],$U1075))</f>
        <v/>
      </c>
      <c r="U1075" s="4">
        <f>IFERROR(MATCH(1070,상세표[발송순번],0),"")</f>
        <v/>
      </c>
    </row>
    <row r="1076">
      <c r="J1076">
        <f>IF($U1076="","",INDEX(상세표[사번],$U1076)&amp;"")</f>
        <v/>
      </c>
      <c r="K1076">
        <f>IF($U1076="","",INDEX(상세표[성명],$U1076)&amp;"")</f>
        <v/>
      </c>
      <c r="L1076">
        <f>IF($U1076="","",INDEX(상세표[직위],$U1076)&amp;"")</f>
        <v/>
      </c>
      <c r="M1076">
        <f>IF($U1076="","",IF(ISNUMBER(INDEX(상세표[근무일자],$U1076)),TEXT(INDEX(상세표[근무일자],$U1076),"yyyy-mm-dd"),INDEX(상세표[근무일자],$U1076)&amp;""))</f>
        <v/>
      </c>
      <c r="N1076">
        <f>IF($U1076="","",IF(ISNUMBER(INDEX(상세표[시작],$U1076)),TEXT(INDEX(상세표[시작],$U1076),"yyyy-mm-dd hh:mm"),INDEX(상세표[시작],$U1076)&amp;""))</f>
        <v/>
      </c>
      <c r="O1076">
        <f>IF($U1076="","",IF(ISNUMBER(INDEX(상세표[종료],$U1076)),TEXT(INDEX(상세표[종료],$U1076),"yyyy-mm-dd hh:mm"),INDEX(상세표[종료],$U1076)&amp;""))</f>
        <v/>
      </c>
      <c r="P1076" s="20">
        <f>IF($U1076="","",INDEX(상세표[06~07시],$U1076))</f>
        <v/>
      </c>
      <c r="Q1076" s="20">
        <f>IF($U1076="","",INDEX(상세표[07~18시],$U1076))</f>
        <v/>
      </c>
      <c r="R1076" s="20">
        <f>IF($U1076="","",INDEX(상세표[18~22시],$U1076))</f>
        <v/>
      </c>
      <c r="S1076" s="20">
        <f>IF($U1076="","",INDEX(상세표[22~06시],$U1076))</f>
        <v/>
      </c>
      <c r="T1076" s="20">
        <f>IF($U1076="","",INDEX(상세표[기록 시간외],$U1076))</f>
        <v/>
      </c>
      <c r="U1076" s="4">
        <f>IFERROR(MATCH(1071,상세표[발송순번],0),"")</f>
        <v/>
      </c>
    </row>
    <row r="1077">
      <c r="J1077">
        <f>IF($U1077="","",INDEX(상세표[사번],$U1077)&amp;"")</f>
        <v/>
      </c>
      <c r="K1077">
        <f>IF($U1077="","",INDEX(상세표[성명],$U1077)&amp;"")</f>
        <v/>
      </c>
      <c r="L1077">
        <f>IF($U1077="","",INDEX(상세표[직위],$U1077)&amp;"")</f>
        <v/>
      </c>
      <c r="M1077">
        <f>IF($U1077="","",IF(ISNUMBER(INDEX(상세표[근무일자],$U1077)),TEXT(INDEX(상세표[근무일자],$U1077),"yyyy-mm-dd"),INDEX(상세표[근무일자],$U1077)&amp;""))</f>
        <v/>
      </c>
      <c r="N1077">
        <f>IF($U1077="","",IF(ISNUMBER(INDEX(상세표[시작],$U1077)),TEXT(INDEX(상세표[시작],$U1077),"yyyy-mm-dd hh:mm"),INDEX(상세표[시작],$U1077)&amp;""))</f>
        <v/>
      </c>
      <c r="O1077">
        <f>IF($U1077="","",IF(ISNUMBER(INDEX(상세표[종료],$U1077)),TEXT(INDEX(상세표[종료],$U1077),"yyyy-mm-dd hh:mm"),INDEX(상세표[종료],$U1077)&amp;""))</f>
        <v/>
      </c>
      <c r="P1077" s="20">
        <f>IF($U1077="","",INDEX(상세표[06~07시],$U1077))</f>
        <v/>
      </c>
      <c r="Q1077" s="20">
        <f>IF($U1077="","",INDEX(상세표[07~18시],$U1077))</f>
        <v/>
      </c>
      <c r="R1077" s="20">
        <f>IF($U1077="","",INDEX(상세표[18~22시],$U1077))</f>
        <v/>
      </c>
      <c r="S1077" s="20">
        <f>IF($U1077="","",INDEX(상세표[22~06시],$U1077))</f>
        <v/>
      </c>
      <c r="T1077" s="20">
        <f>IF($U1077="","",INDEX(상세표[기록 시간외],$U1077))</f>
        <v/>
      </c>
      <c r="U1077" s="4">
        <f>IFERROR(MATCH(1072,상세표[발송순번],0),"")</f>
        <v/>
      </c>
    </row>
    <row r="1078">
      <c r="J1078">
        <f>IF($U1078="","",INDEX(상세표[사번],$U1078)&amp;"")</f>
        <v/>
      </c>
      <c r="K1078">
        <f>IF($U1078="","",INDEX(상세표[성명],$U1078)&amp;"")</f>
        <v/>
      </c>
      <c r="L1078">
        <f>IF($U1078="","",INDEX(상세표[직위],$U1078)&amp;"")</f>
        <v/>
      </c>
      <c r="M1078">
        <f>IF($U1078="","",IF(ISNUMBER(INDEX(상세표[근무일자],$U1078)),TEXT(INDEX(상세표[근무일자],$U1078),"yyyy-mm-dd"),INDEX(상세표[근무일자],$U1078)&amp;""))</f>
        <v/>
      </c>
      <c r="N1078">
        <f>IF($U1078="","",IF(ISNUMBER(INDEX(상세표[시작],$U1078)),TEXT(INDEX(상세표[시작],$U1078),"yyyy-mm-dd hh:mm"),INDEX(상세표[시작],$U1078)&amp;""))</f>
        <v/>
      </c>
      <c r="O1078">
        <f>IF($U1078="","",IF(ISNUMBER(INDEX(상세표[종료],$U1078)),TEXT(INDEX(상세표[종료],$U1078),"yyyy-mm-dd hh:mm"),INDEX(상세표[종료],$U1078)&amp;""))</f>
        <v/>
      </c>
      <c r="P1078" s="20">
        <f>IF($U1078="","",INDEX(상세표[06~07시],$U1078))</f>
        <v/>
      </c>
      <c r="Q1078" s="20">
        <f>IF($U1078="","",INDEX(상세표[07~18시],$U1078))</f>
        <v/>
      </c>
      <c r="R1078" s="20">
        <f>IF($U1078="","",INDEX(상세표[18~22시],$U1078))</f>
        <v/>
      </c>
      <c r="S1078" s="20">
        <f>IF($U1078="","",INDEX(상세표[22~06시],$U1078))</f>
        <v/>
      </c>
      <c r="T1078" s="20">
        <f>IF($U1078="","",INDEX(상세표[기록 시간외],$U1078))</f>
        <v/>
      </c>
      <c r="U1078" s="4">
        <f>IFERROR(MATCH(1073,상세표[발송순번],0),"")</f>
        <v/>
      </c>
    </row>
    <row r="1079">
      <c r="J1079">
        <f>IF($U1079="","",INDEX(상세표[사번],$U1079)&amp;"")</f>
        <v/>
      </c>
      <c r="K1079">
        <f>IF($U1079="","",INDEX(상세표[성명],$U1079)&amp;"")</f>
        <v/>
      </c>
      <c r="L1079">
        <f>IF($U1079="","",INDEX(상세표[직위],$U1079)&amp;"")</f>
        <v/>
      </c>
      <c r="M1079">
        <f>IF($U1079="","",IF(ISNUMBER(INDEX(상세표[근무일자],$U1079)),TEXT(INDEX(상세표[근무일자],$U1079),"yyyy-mm-dd"),INDEX(상세표[근무일자],$U1079)&amp;""))</f>
        <v/>
      </c>
      <c r="N1079">
        <f>IF($U1079="","",IF(ISNUMBER(INDEX(상세표[시작],$U1079)),TEXT(INDEX(상세표[시작],$U1079),"yyyy-mm-dd hh:mm"),INDEX(상세표[시작],$U1079)&amp;""))</f>
        <v/>
      </c>
      <c r="O1079">
        <f>IF($U1079="","",IF(ISNUMBER(INDEX(상세표[종료],$U1079)),TEXT(INDEX(상세표[종료],$U1079),"yyyy-mm-dd hh:mm"),INDEX(상세표[종료],$U1079)&amp;""))</f>
        <v/>
      </c>
      <c r="P1079" s="20">
        <f>IF($U1079="","",INDEX(상세표[06~07시],$U1079))</f>
        <v/>
      </c>
      <c r="Q1079" s="20">
        <f>IF($U1079="","",INDEX(상세표[07~18시],$U1079))</f>
        <v/>
      </c>
      <c r="R1079" s="20">
        <f>IF($U1079="","",INDEX(상세표[18~22시],$U1079))</f>
        <v/>
      </c>
      <c r="S1079" s="20">
        <f>IF($U1079="","",INDEX(상세표[22~06시],$U1079))</f>
        <v/>
      </c>
      <c r="T1079" s="20">
        <f>IF($U1079="","",INDEX(상세표[기록 시간외],$U1079))</f>
        <v/>
      </c>
      <c r="U1079" s="4">
        <f>IFERROR(MATCH(1074,상세표[발송순번],0),"")</f>
        <v/>
      </c>
    </row>
    <row r="1080">
      <c r="J1080">
        <f>IF($U1080="","",INDEX(상세표[사번],$U1080)&amp;"")</f>
        <v/>
      </c>
      <c r="K1080">
        <f>IF($U1080="","",INDEX(상세표[성명],$U1080)&amp;"")</f>
        <v/>
      </c>
      <c r="L1080">
        <f>IF($U1080="","",INDEX(상세표[직위],$U1080)&amp;"")</f>
        <v/>
      </c>
      <c r="M1080">
        <f>IF($U1080="","",IF(ISNUMBER(INDEX(상세표[근무일자],$U1080)),TEXT(INDEX(상세표[근무일자],$U1080),"yyyy-mm-dd"),INDEX(상세표[근무일자],$U1080)&amp;""))</f>
        <v/>
      </c>
      <c r="N1080">
        <f>IF($U1080="","",IF(ISNUMBER(INDEX(상세표[시작],$U1080)),TEXT(INDEX(상세표[시작],$U1080),"yyyy-mm-dd hh:mm"),INDEX(상세표[시작],$U1080)&amp;""))</f>
        <v/>
      </c>
      <c r="O1080">
        <f>IF($U1080="","",IF(ISNUMBER(INDEX(상세표[종료],$U1080)),TEXT(INDEX(상세표[종료],$U1080),"yyyy-mm-dd hh:mm"),INDEX(상세표[종료],$U1080)&amp;""))</f>
        <v/>
      </c>
      <c r="P1080" s="20">
        <f>IF($U1080="","",INDEX(상세표[06~07시],$U1080))</f>
        <v/>
      </c>
      <c r="Q1080" s="20">
        <f>IF($U1080="","",INDEX(상세표[07~18시],$U1080))</f>
        <v/>
      </c>
      <c r="R1080" s="20">
        <f>IF($U1080="","",INDEX(상세표[18~22시],$U1080))</f>
        <v/>
      </c>
      <c r="S1080" s="20">
        <f>IF($U1080="","",INDEX(상세표[22~06시],$U1080))</f>
        <v/>
      </c>
      <c r="T1080" s="20">
        <f>IF($U1080="","",INDEX(상세표[기록 시간외],$U1080))</f>
        <v/>
      </c>
      <c r="U1080" s="4">
        <f>IFERROR(MATCH(1075,상세표[발송순번],0),"")</f>
        <v/>
      </c>
    </row>
    <row r="1081">
      <c r="J1081">
        <f>IF($U1081="","",INDEX(상세표[사번],$U1081)&amp;"")</f>
        <v/>
      </c>
      <c r="K1081">
        <f>IF($U1081="","",INDEX(상세표[성명],$U1081)&amp;"")</f>
        <v/>
      </c>
      <c r="L1081">
        <f>IF($U1081="","",INDEX(상세표[직위],$U1081)&amp;"")</f>
        <v/>
      </c>
      <c r="M1081">
        <f>IF($U1081="","",IF(ISNUMBER(INDEX(상세표[근무일자],$U1081)),TEXT(INDEX(상세표[근무일자],$U1081),"yyyy-mm-dd"),INDEX(상세표[근무일자],$U1081)&amp;""))</f>
        <v/>
      </c>
      <c r="N1081">
        <f>IF($U1081="","",IF(ISNUMBER(INDEX(상세표[시작],$U1081)),TEXT(INDEX(상세표[시작],$U1081),"yyyy-mm-dd hh:mm"),INDEX(상세표[시작],$U1081)&amp;""))</f>
        <v/>
      </c>
      <c r="O1081">
        <f>IF($U1081="","",IF(ISNUMBER(INDEX(상세표[종료],$U1081)),TEXT(INDEX(상세표[종료],$U1081),"yyyy-mm-dd hh:mm"),INDEX(상세표[종료],$U1081)&amp;""))</f>
        <v/>
      </c>
      <c r="P1081" s="20">
        <f>IF($U1081="","",INDEX(상세표[06~07시],$U1081))</f>
        <v/>
      </c>
      <c r="Q1081" s="20">
        <f>IF($U1081="","",INDEX(상세표[07~18시],$U1081))</f>
        <v/>
      </c>
      <c r="R1081" s="20">
        <f>IF($U1081="","",INDEX(상세표[18~22시],$U1081))</f>
        <v/>
      </c>
      <c r="S1081" s="20">
        <f>IF($U1081="","",INDEX(상세표[22~06시],$U1081))</f>
        <v/>
      </c>
      <c r="T1081" s="20">
        <f>IF($U1081="","",INDEX(상세표[기록 시간외],$U1081))</f>
        <v/>
      </c>
      <c r="U1081" s="4">
        <f>IFERROR(MATCH(1076,상세표[발송순번],0),"")</f>
        <v/>
      </c>
    </row>
    <row r="1082">
      <c r="J1082">
        <f>IF($U1082="","",INDEX(상세표[사번],$U1082)&amp;"")</f>
        <v/>
      </c>
      <c r="K1082">
        <f>IF($U1082="","",INDEX(상세표[성명],$U1082)&amp;"")</f>
        <v/>
      </c>
      <c r="L1082">
        <f>IF($U1082="","",INDEX(상세표[직위],$U1082)&amp;"")</f>
        <v/>
      </c>
      <c r="M1082">
        <f>IF($U1082="","",IF(ISNUMBER(INDEX(상세표[근무일자],$U1082)),TEXT(INDEX(상세표[근무일자],$U1082),"yyyy-mm-dd"),INDEX(상세표[근무일자],$U1082)&amp;""))</f>
        <v/>
      </c>
      <c r="N1082">
        <f>IF($U1082="","",IF(ISNUMBER(INDEX(상세표[시작],$U1082)),TEXT(INDEX(상세표[시작],$U1082),"yyyy-mm-dd hh:mm"),INDEX(상세표[시작],$U1082)&amp;""))</f>
        <v/>
      </c>
      <c r="O1082">
        <f>IF($U1082="","",IF(ISNUMBER(INDEX(상세표[종료],$U1082)),TEXT(INDEX(상세표[종료],$U1082),"yyyy-mm-dd hh:mm"),INDEX(상세표[종료],$U1082)&amp;""))</f>
        <v/>
      </c>
      <c r="P1082" s="20">
        <f>IF($U1082="","",INDEX(상세표[06~07시],$U1082))</f>
        <v/>
      </c>
      <c r="Q1082" s="20">
        <f>IF($U1082="","",INDEX(상세표[07~18시],$U1082))</f>
        <v/>
      </c>
      <c r="R1082" s="20">
        <f>IF($U1082="","",INDEX(상세표[18~22시],$U1082))</f>
        <v/>
      </c>
      <c r="S1082" s="20">
        <f>IF($U1082="","",INDEX(상세표[22~06시],$U1082))</f>
        <v/>
      </c>
      <c r="T1082" s="20">
        <f>IF($U1082="","",INDEX(상세표[기록 시간외],$U1082))</f>
        <v/>
      </c>
      <c r="U1082" s="4">
        <f>IFERROR(MATCH(1077,상세표[발송순번],0),"")</f>
        <v/>
      </c>
    </row>
    <row r="1083">
      <c r="J1083">
        <f>IF($U1083="","",INDEX(상세표[사번],$U1083)&amp;"")</f>
        <v/>
      </c>
      <c r="K1083">
        <f>IF($U1083="","",INDEX(상세표[성명],$U1083)&amp;"")</f>
        <v/>
      </c>
      <c r="L1083">
        <f>IF($U1083="","",INDEX(상세표[직위],$U1083)&amp;"")</f>
        <v/>
      </c>
      <c r="M1083">
        <f>IF($U1083="","",IF(ISNUMBER(INDEX(상세표[근무일자],$U1083)),TEXT(INDEX(상세표[근무일자],$U1083),"yyyy-mm-dd"),INDEX(상세표[근무일자],$U1083)&amp;""))</f>
        <v/>
      </c>
      <c r="N1083">
        <f>IF($U1083="","",IF(ISNUMBER(INDEX(상세표[시작],$U1083)),TEXT(INDEX(상세표[시작],$U1083),"yyyy-mm-dd hh:mm"),INDEX(상세표[시작],$U1083)&amp;""))</f>
        <v/>
      </c>
      <c r="O1083">
        <f>IF($U1083="","",IF(ISNUMBER(INDEX(상세표[종료],$U1083)),TEXT(INDEX(상세표[종료],$U1083),"yyyy-mm-dd hh:mm"),INDEX(상세표[종료],$U1083)&amp;""))</f>
        <v/>
      </c>
      <c r="P1083" s="20">
        <f>IF($U1083="","",INDEX(상세표[06~07시],$U1083))</f>
        <v/>
      </c>
      <c r="Q1083" s="20">
        <f>IF($U1083="","",INDEX(상세표[07~18시],$U1083))</f>
        <v/>
      </c>
      <c r="R1083" s="20">
        <f>IF($U1083="","",INDEX(상세표[18~22시],$U1083))</f>
        <v/>
      </c>
      <c r="S1083" s="20">
        <f>IF($U1083="","",INDEX(상세표[22~06시],$U1083))</f>
        <v/>
      </c>
      <c r="T1083" s="20">
        <f>IF($U1083="","",INDEX(상세표[기록 시간외],$U1083))</f>
        <v/>
      </c>
      <c r="U1083" s="4">
        <f>IFERROR(MATCH(1078,상세표[발송순번],0),"")</f>
        <v/>
      </c>
    </row>
    <row r="1084">
      <c r="J1084">
        <f>IF($U1084="","",INDEX(상세표[사번],$U1084)&amp;"")</f>
        <v/>
      </c>
      <c r="K1084">
        <f>IF($U1084="","",INDEX(상세표[성명],$U1084)&amp;"")</f>
        <v/>
      </c>
      <c r="L1084">
        <f>IF($U1084="","",INDEX(상세표[직위],$U1084)&amp;"")</f>
        <v/>
      </c>
      <c r="M1084">
        <f>IF($U1084="","",IF(ISNUMBER(INDEX(상세표[근무일자],$U1084)),TEXT(INDEX(상세표[근무일자],$U1084),"yyyy-mm-dd"),INDEX(상세표[근무일자],$U1084)&amp;""))</f>
        <v/>
      </c>
      <c r="N1084">
        <f>IF($U1084="","",IF(ISNUMBER(INDEX(상세표[시작],$U1084)),TEXT(INDEX(상세표[시작],$U1084),"yyyy-mm-dd hh:mm"),INDEX(상세표[시작],$U1084)&amp;""))</f>
        <v/>
      </c>
      <c r="O1084">
        <f>IF($U1084="","",IF(ISNUMBER(INDEX(상세표[종료],$U1084)),TEXT(INDEX(상세표[종료],$U1084),"yyyy-mm-dd hh:mm"),INDEX(상세표[종료],$U1084)&amp;""))</f>
        <v/>
      </c>
      <c r="P1084" s="20">
        <f>IF($U1084="","",INDEX(상세표[06~07시],$U1084))</f>
        <v/>
      </c>
      <c r="Q1084" s="20">
        <f>IF($U1084="","",INDEX(상세표[07~18시],$U1084))</f>
        <v/>
      </c>
      <c r="R1084" s="20">
        <f>IF($U1084="","",INDEX(상세표[18~22시],$U1084))</f>
        <v/>
      </c>
      <c r="S1084" s="20">
        <f>IF($U1084="","",INDEX(상세표[22~06시],$U1084))</f>
        <v/>
      </c>
      <c r="T1084" s="20">
        <f>IF($U1084="","",INDEX(상세표[기록 시간외],$U1084))</f>
        <v/>
      </c>
      <c r="U1084" s="4">
        <f>IFERROR(MATCH(1079,상세표[발송순번],0),"")</f>
        <v/>
      </c>
    </row>
    <row r="1085">
      <c r="J1085">
        <f>IF($U1085="","",INDEX(상세표[사번],$U1085)&amp;"")</f>
        <v/>
      </c>
      <c r="K1085">
        <f>IF($U1085="","",INDEX(상세표[성명],$U1085)&amp;"")</f>
        <v/>
      </c>
      <c r="L1085">
        <f>IF($U1085="","",INDEX(상세표[직위],$U1085)&amp;"")</f>
        <v/>
      </c>
      <c r="M1085">
        <f>IF($U1085="","",IF(ISNUMBER(INDEX(상세표[근무일자],$U1085)),TEXT(INDEX(상세표[근무일자],$U1085),"yyyy-mm-dd"),INDEX(상세표[근무일자],$U1085)&amp;""))</f>
        <v/>
      </c>
      <c r="N1085">
        <f>IF($U1085="","",IF(ISNUMBER(INDEX(상세표[시작],$U1085)),TEXT(INDEX(상세표[시작],$U1085),"yyyy-mm-dd hh:mm"),INDEX(상세표[시작],$U1085)&amp;""))</f>
        <v/>
      </c>
      <c r="O1085">
        <f>IF($U1085="","",IF(ISNUMBER(INDEX(상세표[종료],$U1085)),TEXT(INDEX(상세표[종료],$U1085),"yyyy-mm-dd hh:mm"),INDEX(상세표[종료],$U1085)&amp;""))</f>
        <v/>
      </c>
      <c r="P1085" s="20">
        <f>IF($U1085="","",INDEX(상세표[06~07시],$U1085))</f>
        <v/>
      </c>
      <c r="Q1085" s="20">
        <f>IF($U1085="","",INDEX(상세표[07~18시],$U1085))</f>
        <v/>
      </c>
      <c r="R1085" s="20">
        <f>IF($U1085="","",INDEX(상세표[18~22시],$U1085))</f>
        <v/>
      </c>
      <c r="S1085" s="20">
        <f>IF($U1085="","",INDEX(상세표[22~06시],$U1085))</f>
        <v/>
      </c>
      <c r="T1085" s="20">
        <f>IF($U1085="","",INDEX(상세표[기록 시간외],$U1085))</f>
        <v/>
      </c>
      <c r="U1085" s="4">
        <f>IFERROR(MATCH(1080,상세표[발송순번],0),"")</f>
        <v/>
      </c>
    </row>
    <row r="1086">
      <c r="J1086">
        <f>IF($U1086="","",INDEX(상세표[사번],$U1086)&amp;"")</f>
        <v/>
      </c>
      <c r="K1086">
        <f>IF($U1086="","",INDEX(상세표[성명],$U1086)&amp;"")</f>
        <v/>
      </c>
      <c r="L1086">
        <f>IF($U1086="","",INDEX(상세표[직위],$U1086)&amp;"")</f>
        <v/>
      </c>
      <c r="M1086">
        <f>IF($U1086="","",IF(ISNUMBER(INDEX(상세표[근무일자],$U1086)),TEXT(INDEX(상세표[근무일자],$U1086),"yyyy-mm-dd"),INDEX(상세표[근무일자],$U1086)&amp;""))</f>
        <v/>
      </c>
      <c r="N1086">
        <f>IF($U1086="","",IF(ISNUMBER(INDEX(상세표[시작],$U1086)),TEXT(INDEX(상세표[시작],$U1086),"yyyy-mm-dd hh:mm"),INDEX(상세표[시작],$U1086)&amp;""))</f>
        <v/>
      </c>
      <c r="O1086">
        <f>IF($U1086="","",IF(ISNUMBER(INDEX(상세표[종료],$U1086)),TEXT(INDEX(상세표[종료],$U1086),"yyyy-mm-dd hh:mm"),INDEX(상세표[종료],$U1086)&amp;""))</f>
        <v/>
      </c>
      <c r="P1086" s="20">
        <f>IF($U1086="","",INDEX(상세표[06~07시],$U1086))</f>
        <v/>
      </c>
      <c r="Q1086" s="20">
        <f>IF($U1086="","",INDEX(상세표[07~18시],$U1086))</f>
        <v/>
      </c>
      <c r="R1086" s="20">
        <f>IF($U1086="","",INDEX(상세표[18~22시],$U1086))</f>
        <v/>
      </c>
      <c r="S1086" s="20">
        <f>IF($U1086="","",INDEX(상세표[22~06시],$U1086))</f>
        <v/>
      </c>
      <c r="T1086" s="20">
        <f>IF($U1086="","",INDEX(상세표[기록 시간외],$U1086))</f>
        <v/>
      </c>
      <c r="U1086" s="4">
        <f>IFERROR(MATCH(1081,상세표[발송순번],0),"")</f>
        <v/>
      </c>
    </row>
    <row r="1087">
      <c r="J1087">
        <f>IF($U1087="","",INDEX(상세표[사번],$U1087)&amp;"")</f>
        <v/>
      </c>
      <c r="K1087">
        <f>IF($U1087="","",INDEX(상세표[성명],$U1087)&amp;"")</f>
        <v/>
      </c>
      <c r="L1087">
        <f>IF($U1087="","",INDEX(상세표[직위],$U1087)&amp;"")</f>
        <v/>
      </c>
      <c r="M1087">
        <f>IF($U1087="","",IF(ISNUMBER(INDEX(상세표[근무일자],$U1087)),TEXT(INDEX(상세표[근무일자],$U1087),"yyyy-mm-dd"),INDEX(상세표[근무일자],$U1087)&amp;""))</f>
        <v/>
      </c>
      <c r="N1087">
        <f>IF($U1087="","",IF(ISNUMBER(INDEX(상세표[시작],$U1087)),TEXT(INDEX(상세표[시작],$U1087),"yyyy-mm-dd hh:mm"),INDEX(상세표[시작],$U1087)&amp;""))</f>
        <v/>
      </c>
      <c r="O1087">
        <f>IF($U1087="","",IF(ISNUMBER(INDEX(상세표[종료],$U1087)),TEXT(INDEX(상세표[종료],$U1087),"yyyy-mm-dd hh:mm"),INDEX(상세표[종료],$U1087)&amp;""))</f>
        <v/>
      </c>
      <c r="P1087" s="20">
        <f>IF($U1087="","",INDEX(상세표[06~07시],$U1087))</f>
        <v/>
      </c>
      <c r="Q1087" s="20">
        <f>IF($U1087="","",INDEX(상세표[07~18시],$U1087))</f>
        <v/>
      </c>
      <c r="R1087" s="20">
        <f>IF($U1087="","",INDEX(상세표[18~22시],$U1087))</f>
        <v/>
      </c>
      <c r="S1087" s="20">
        <f>IF($U1087="","",INDEX(상세표[22~06시],$U1087))</f>
        <v/>
      </c>
      <c r="T1087" s="20">
        <f>IF($U1087="","",INDEX(상세표[기록 시간외],$U1087))</f>
        <v/>
      </c>
      <c r="U1087" s="4">
        <f>IFERROR(MATCH(1082,상세표[발송순번],0),"")</f>
        <v/>
      </c>
    </row>
    <row r="1088">
      <c r="J1088">
        <f>IF($U1088="","",INDEX(상세표[사번],$U1088)&amp;"")</f>
        <v/>
      </c>
      <c r="K1088">
        <f>IF($U1088="","",INDEX(상세표[성명],$U1088)&amp;"")</f>
        <v/>
      </c>
      <c r="L1088">
        <f>IF($U1088="","",INDEX(상세표[직위],$U1088)&amp;"")</f>
        <v/>
      </c>
      <c r="M1088">
        <f>IF($U1088="","",IF(ISNUMBER(INDEX(상세표[근무일자],$U1088)),TEXT(INDEX(상세표[근무일자],$U1088),"yyyy-mm-dd"),INDEX(상세표[근무일자],$U1088)&amp;""))</f>
        <v/>
      </c>
      <c r="N1088">
        <f>IF($U1088="","",IF(ISNUMBER(INDEX(상세표[시작],$U1088)),TEXT(INDEX(상세표[시작],$U1088),"yyyy-mm-dd hh:mm"),INDEX(상세표[시작],$U1088)&amp;""))</f>
        <v/>
      </c>
      <c r="O1088">
        <f>IF($U1088="","",IF(ISNUMBER(INDEX(상세표[종료],$U1088)),TEXT(INDEX(상세표[종료],$U1088),"yyyy-mm-dd hh:mm"),INDEX(상세표[종료],$U1088)&amp;""))</f>
        <v/>
      </c>
      <c r="P1088" s="20">
        <f>IF($U1088="","",INDEX(상세표[06~07시],$U1088))</f>
        <v/>
      </c>
      <c r="Q1088" s="20">
        <f>IF($U1088="","",INDEX(상세표[07~18시],$U1088))</f>
        <v/>
      </c>
      <c r="R1088" s="20">
        <f>IF($U1088="","",INDEX(상세표[18~22시],$U1088))</f>
        <v/>
      </c>
      <c r="S1088" s="20">
        <f>IF($U1088="","",INDEX(상세표[22~06시],$U1088))</f>
        <v/>
      </c>
      <c r="T1088" s="20">
        <f>IF($U1088="","",INDEX(상세표[기록 시간외],$U1088))</f>
        <v/>
      </c>
      <c r="U1088" s="4">
        <f>IFERROR(MATCH(1083,상세표[발송순번],0),"")</f>
        <v/>
      </c>
    </row>
    <row r="1089">
      <c r="J1089">
        <f>IF($U1089="","",INDEX(상세표[사번],$U1089)&amp;"")</f>
        <v/>
      </c>
      <c r="K1089">
        <f>IF($U1089="","",INDEX(상세표[성명],$U1089)&amp;"")</f>
        <v/>
      </c>
      <c r="L1089">
        <f>IF($U1089="","",INDEX(상세표[직위],$U1089)&amp;"")</f>
        <v/>
      </c>
      <c r="M1089">
        <f>IF($U1089="","",IF(ISNUMBER(INDEX(상세표[근무일자],$U1089)),TEXT(INDEX(상세표[근무일자],$U1089),"yyyy-mm-dd"),INDEX(상세표[근무일자],$U1089)&amp;""))</f>
        <v/>
      </c>
      <c r="N1089">
        <f>IF($U1089="","",IF(ISNUMBER(INDEX(상세표[시작],$U1089)),TEXT(INDEX(상세표[시작],$U1089),"yyyy-mm-dd hh:mm"),INDEX(상세표[시작],$U1089)&amp;""))</f>
        <v/>
      </c>
      <c r="O1089">
        <f>IF($U1089="","",IF(ISNUMBER(INDEX(상세표[종료],$U1089)),TEXT(INDEX(상세표[종료],$U1089),"yyyy-mm-dd hh:mm"),INDEX(상세표[종료],$U1089)&amp;""))</f>
        <v/>
      </c>
      <c r="P1089" s="20">
        <f>IF($U1089="","",INDEX(상세표[06~07시],$U1089))</f>
        <v/>
      </c>
      <c r="Q1089" s="20">
        <f>IF($U1089="","",INDEX(상세표[07~18시],$U1089))</f>
        <v/>
      </c>
      <c r="R1089" s="20">
        <f>IF($U1089="","",INDEX(상세표[18~22시],$U1089))</f>
        <v/>
      </c>
      <c r="S1089" s="20">
        <f>IF($U1089="","",INDEX(상세표[22~06시],$U1089))</f>
        <v/>
      </c>
      <c r="T1089" s="20">
        <f>IF($U1089="","",INDEX(상세표[기록 시간외],$U1089))</f>
        <v/>
      </c>
      <c r="U1089" s="4">
        <f>IFERROR(MATCH(1084,상세표[발송순번],0),"")</f>
        <v/>
      </c>
    </row>
    <row r="1090">
      <c r="J1090">
        <f>IF($U1090="","",INDEX(상세표[사번],$U1090)&amp;"")</f>
        <v/>
      </c>
      <c r="K1090">
        <f>IF($U1090="","",INDEX(상세표[성명],$U1090)&amp;"")</f>
        <v/>
      </c>
      <c r="L1090">
        <f>IF($U1090="","",INDEX(상세표[직위],$U1090)&amp;"")</f>
        <v/>
      </c>
      <c r="M1090">
        <f>IF($U1090="","",IF(ISNUMBER(INDEX(상세표[근무일자],$U1090)),TEXT(INDEX(상세표[근무일자],$U1090),"yyyy-mm-dd"),INDEX(상세표[근무일자],$U1090)&amp;""))</f>
        <v/>
      </c>
      <c r="N1090">
        <f>IF($U1090="","",IF(ISNUMBER(INDEX(상세표[시작],$U1090)),TEXT(INDEX(상세표[시작],$U1090),"yyyy-mm-dd hh:mm"),INDEX(상세표[시작],$U1090)&amp;""))</f>
        <v/>
      </c>
      <c r="O1090">
        <f>IF($U1090="","",IF(ISNUMBER(INDEX(상세표[종료],$U1090)),TEXT(INDEX(상세표[종료],$U1090),"yyyy-mm-dd hh:mm"),INDEX(상세표[종료],$U1090)&amp;""))</f>
        <v/>
      </c>
      <c r="P1090" s="20">
        <f>IF($U1090="","",INDEX(상세표[06~07시],$U1090))</f>
        <v/>
      </c>
      <c r="Q1090" s="20">
        <f>IF($U1090="","",INDEX(상세표[07~18시],$U1090))</f>
        <v/>
      </c>
      <c r="R1090" s="20">
        <f>IF($U1090="","",INDEX(상세표[18~22시],$U1090))</f>
        <v/>
      </c>
      <c r="S1090" s="20">
        <f>IF($U1090="","",INDEX(상세표[22~06시],$U1090))</f>
        <v/>
      </c>
      <c r="T1090" s="20">
        <f>IF($U1090="","",INDEX(상세표[기록 시간외],$U1090))</f>
        <v/>
      </c>
      <c r="U1090" s="4">
        <f>IFERROR(MATCH(1085,상세표[발송순번],0),"")</f>
        <v/>
      </c>
    </row>
    <row r="1091">
      <c r="J1091">
        <f>IF($U1091="","",INDEX(상세표[사번],$U1091)&amp;"")</f>
        <v/>
      </c>
      <c r="K1091">
        <f>IF($U1091="","",INDEX(상세표[성명],$U1091)&amp;"")</f>
        <v/>
      </c>
      <c r="L1091">
        <f>IF($U1091="","",INDEX(상세표[직위],$U1091)&amp;"")</f>
        <v/>
      </c>
      <c r="M1091">
        <f>IF($U1091="","",IF(ISNUMBER(INDEX(상세표[근무일자],$U1091)),TEXT(INDEX(상세표[근무일자],$U1091),"yyyy-mm-dd"),INDEX(상세표[근무일자],$U1091)&amp;""))</f>
        <v/>
      </c>
      <c r="N1091">
        <f>IF($U1091="","",IF(ISNUMBER(INDEX(상세표[시작],$U1091)),TEXT(INDEX(상세표[시작],$U1091),"yyyy-mm-dd hh:mm"),INDEX(상세표[시작],$U1091)&amp;""))</f>
        <v/>
      </c>
      <c r="O1091">
        <f>IF($U1091="","",IF(ISNUMBER(INDEX(상세표[종료],$U1091)),TEXT(INDEX(상세표[종료],$U1091),"yyyy-mm-dd hh:mm"),INDEX(상세표[종료],$U1091)&amp;""))</f>
        <v/>
      </c>
      <c r="P1091" s="20">
        <f>IF($U1091="","",INDEX(상세표[06~07시],$U1091))</f>
        <v/>
      </c>
      <c r="Q1091" s="20">
        <f>IF($U1091="","",INDEX(상세표[07~18시],$U1091))</f>
        <v/>
      </c>
      <c r="R1091" s="20">
        <f>IF($U1091="","",INDEX(상세표[18~22시],$U1091))</f>
        <v/>
      </c>
      <c r="S1091" s="20">
        <f>IF($U1091="","",INDEX(상세표[22~06시],$U1091))</f>
        <v/>
      </c>
      <c r="T1091" s="20">
        <f>IF($U1091="","",INDEX(상세표[기록 시간외],$U1091))</f>
        <v/>
      </c>
      <c r="U1091" s="4">
        <f>IFERROR(MATCH(1086,상세표[발송순번],0),"")</f>
        <v/>
      </c>
    </row>
    <row r="1092">
      <c r="J1092">
        <f>IF($U1092="","",INDEX(상세표[사번],$U1092)&amp;"")</f>
        <v/>
      </c>
      <c r="K1092">
        <f>IF($U1092="","",INDEX(상세표[성명],$U1092)&amp;"")</f>
        <v/>
      </c>
      <c r="L1092">
        <f>IF($U1092="","",INDEX(상세표[직위],$U1092)&amp;"")</f>
        <v/>
      </c>
      <c r="M1092">
        <f>IF($U1092="","",IF(ISNUMBER(INDEX(상세표[근무일자],$U1092)),TEXT(INDEX(상세표[근무일자],$U1092),"yyyy-mm-dd"),INDEX(상세표[근무일자],$U1092)&amp;""))</f>
        <v/>
      </c>
      <c r="N1092">
        <f>IF($U1092="","",IF(ISNUMBER(INDEX(상세표[시작],$U1092)),TEXT(INDEX(상세표[시작],$U1092),"yyyy-mm-dd hh:mm"),INDEX(상세표[시작],$U1092)&amp;""))</f>
        <v/>
      </c>
      <c r="O1092">
        <f>IF($U1092="","",IF(ISNUMBER(INDEX(상세표[종료],$U1092)),TEXT(INDEX(상세표[종료],$U1092),"yyyy-mm-dd hh:mm"),INDEX(상세표[종료],$U1092)&amp;""))</f>
        <v/>
      </c>
      <c r="P1092" s="20">
        <f>IF($U1092="","",INDEX(상세표[06~07시],$U1092))</f>
        <v/>
      </c>
      <c r="Q1092" s="20">
        <f>IF($U1092="","",INDEX(상세표[07~18시],$U1092))</f>
        <v/>
      </c>
      <c r="R1092" s="20">
        <f>IF($U1092="","",INDEX(상세표[18~22시],$U1092))</f>
        <v/>
      </c>
      <c r="S1092" s="20">
        <f>IF($U1092="","",INDEX(상세표[22~06시],$U1092))</f>
        <v/>
      </c>
      <c r="T1092" s="20">
        <f>IF($U1092="","",INDEX(상세표[기록 시간외],$U1092))</f>
        <v/>
      </c>
      <c r="U1092" s="4">
        <f>IFERROR(MATCH(1087,상세표[발송순번],0),"")</f>
        <v/>
      </c>
    </row>
    <row r="1093">
      <c r="J1093">
        <f>IF($U1093="","",INDEX(상세표[사번],$U1093)&amp;"")</f>
        <v/>
      </c>
      <c r="K1093">
        <f>IF($U1093="","",INDEX(상세표[성명],$U1093)&amp;"")</f>
        <v/>
      </c>
      <c r="L1093">
        <f>IF($U1093="","",INDEX(상세표[직위],$U1093)&amp;"")</f>
        <v/>
      </c>
      <c r="M1093">
        <f>IF($U1093="","",IF(ISNUMBER(INDEX(상세표[근무일자],$U1093)),TEXT(INDEX(상세표[근무일자],$U1093),"yyyy-mm-dd"),INDEX(상세표[근무일자],$U1093)&amp;""))</f>
        <v/>
      </c>
      <c r="N1093">
        <f>IF($U1093="","",IF(ISNUMBER(INDEX(상세표[시작],$U1093)),TEXT(INDEX(상세표[시작],$U1093),"yyyy-mm-dd hh:mm"),INDEX(상세표[시작],$U1093)&amp;""))</f>
        <v/>
      </c>
      <c r="O1093">
        <f>IF($U1093="","",IF(ISNUMBER(INDEX(상세표[종료],$U1093)),TEXT(INDEX(상세표[종료],$U1093),"yyyy-mm-dd hh:mm"),INDEX(상세표[종료],$U1093)&amp;""))</f>
        <v/>
      </c>
      <c r="P1093" s="20">
        <f>IF($U1093="","",INDEX(상세표[06~07시],$U1093))</f>
        <v/>
      </c>
      <c r="Q1093" s="20">
        <f>IF($U1093="","",INDEX(상세표[07~18시],$U1093))</f>
        <v/>
      </c>
      <c r="R1093" s="20">
        <f>IF($U1093="","",INDEX(상세표[18~22시],$U1093))</f>
        <v/>
      </c>
      <c r="S1093" s="20">
        <f>IF($U1093="","",INDEX(상세표[22~06시],$U1093))</f>
        <v/>
      </c>
      <c r="T1093" s="20">
        <f>IF($U1093="","",INDEX(상세표[기록 시간외],$U1093))</f>
        <v/>
      </c>
      <c r="U1093" s="4">
        <f>IFERROR(MATCH(1088,상세표[발송순번],0),"")</f>
        <v/>
      </c>
    </row>
    <row r="1094">
      <c r="J1094">
        <f>IF($U1094="","",INDEX(상세표[사번],$U1094)&amp;"")</f>
        <v/>
      </c>
      <c r="K1094">
        <f>IF($U1094="","",INDEX(상세표[성명],$U1094)&amp;"")</f>
        <v/>
      </c>
      <c r="L1094">
        <f>IF($U1094="","",INDEX(상세표[직위],$U1094)&amp;"")</f>
        <v/>
      </c>
      <c r="M1094">
        <f>IF($U1094="","",IF(ISNUMBER(INDEX(상세표[근무일자],$U1094)),TEXT(INDEX(상세표[근무일자],$U1094),"yyyy-mm-dd"),INDEX(상세표[근무일자],$U1094)&amp;""))</f>
        <v/>
      </c>
      <c r="N1094">
        <f>IF($U1094="","",IF(ISNUMBER(INDEX(상세표[시작],$U1094)),TEXT(INDEX(상세표[시작],$U1094),"yyyy-mm-dd hh:mm"),INDEX(상세표[시작],$U1094)&amp;""))</f>
        <v/>
      </c>
      <c r="O1094">
        <f>IF($U1094="","",IF(ISNUMBER(INDEX(상세표[종료],$U1094)),TEXT(INDEX(상세표[종료],$U1094),"yyyy-mm-dd hh:mm"),INDEX(상세표[종료],$U1094)&amp;""))</f>
        <v/>
      </c>
      <c r="P1094" s="20">
        <f>IF($U1094="","",INDEX(상세표[06~07시],$U1094))</f>
        <v/>
      </c>
      <c r="Q1094" s="20">
        <f>IF($U1094="","",INDEX(상세표[07~18시],$U1094))</f>
        <v/>
      </c>
      <c r="R1094" s="20">
        <f>IF($U1094="","",INDEX(상세표[18~22시],$U1094))</f>
        <v/>
      </c>
      <c r="S1094" s="20">
        <f>IF($U1094="","",INDEX(상세표[22~06시],$U1094))</f>
        <v/>
      </c>
      <c r="T1094" s="20">
        <f>IF($U1094="","",INDEX(상세표[기록 시간외],$U1094))</f>
        <v/>
      </c>
      <c r="U1094" s="4">
        <f>IFERROR(MATCH(1089,상세표[발송순번],0),"")</f>
        <v/>
      </c>
    </row>
    <row r="1095">
      <c r="J1095">
        <f>IF($U1095="","",INDEX(상세표[사번],$U1095)&amp;"")</f>
        <v/>
      </c>
      <c r="K1095">
        <f>IF($U1095="","",INDEX(상세표[성명],$U1095)&amp;"")</f>
        <v/>
      </c>
      <c r="L1095">
        <f>IF($U1095="","",INDEX(상세표[직위],$U1095)&amp;"")</f>
        <v/>
      </c>
      <c r="M1095">
        <f>IF($U1095="","",IF(ISNUMBER(INDEX(상세표[근무일자],$U1095)),TEXT(INDEX(상세표[근무일자],$U1095),"yyyy-mm-dd"),INDEX(상세표[근무일자],$U1095)&amp;""))</f>
        <v/>
      </c>
      <c r="N1095">
        <f>IF($U1095="","",IF(ISNUMBER(INDEX(상세표[시작],$U1095)),TEXT(INDEX(상세표[시작],$U1095),"yyyy-mm-dd hh:mm"),INDEX(상세표[시작],$U1095)&amp;""))</f>
        <v/>
      </c>
      <c r="O1095">
        <f>IF($U1095="","",IF(ISNUMBER(INDEX(상세표[종료],$U1095)),TEXT(INDEX(상세표[종료],$U1095),"yyyy-mm-dd hh:mm"),INDEX(상세표[종료],$U1095)&amp;""))</f>
        <v/>
      </c>
      <c r="P1095" s="20">
        <f>IF($U1095="","",INDEX(상세표[06~07시],$U1095))</f>
        <v/>
      </c>
      <c r="Q1095" s="20">
        <f>IF($U1095="","",INDEX(상세표[07~18시],$U1095))</f>
        <v/>
      </c>
      <c r="R1095" s="20">
        <f>IF($U1095="","",INDEX(상세표[18~22시],$U1095))</f>
        <v/>
      </c>
      <c r="S1095" s="20">
        <f>IF($U1095="","",INDEX(상세표[22~06시],$U1095))</f>
        <v/>
      </c>
      <c r="T1095" s="20">
        <f>IF($U1095="","",INDEX(상세표[기록 시간외],$U1095))</f>
        <v/>
      </c>
      <c r="U1095" s="4">
        <f>IFERROR(MATCH(1090,상세표[발송순번],0),"")</f>
        <v/>
      </c>
    </row>
    <row r="1096">
      <c r="J1096">
        <f>IF($U1096="","",INDEX(상세표[사번],$U1096)&amp;"")</f>
        <v/>
      </c>
      <c r="K1096">
        <f>IF($U1096="","",INDEX(상세표[성명],$U1096)&amp;"")</f>
        <v/>
      </c>
      <c r="L1096">
        <f>IF($U1096="","",INDEX(상세표[직위],$U1096)&amp;"")</f>
        <v/>
      </c>
      <c r="M1096">
        <f>IF($U1096="","",IF(ISNUMBER(INDEX(상세표[근무일자],$U1096)),TEXT(INDEX(상세표[근무일자],$U1096),"yyyy-mm-dd"),INDEX(상세표[근무일자],$U1096)&amp;""))</f>
        <v/>
      </c>
      <c r="N1096">
        <f>IF($U1096="","",IF(ISNUMBER(INDEX(상세표[시작],$U1096)),TEXT(INDEX(상세표[시작],$U1096),"yyyy-mm-dd hh:mm"),INDEX(상세표[시작],$U1096)&amp;""))</f>
        <v/>
      </c>
      <c r="O1096">
        <f>IF($U1096="","",IF(ISNUMBER(INDEX(상세표[종료],$U1096)),TEXT(INDEX(상세표[종료],$U1096),"yyyy-mm-dd hh:mm"),INDEX(상세표[종료],$U1096)&amp;""))</f>
        <v/>
      </c>
      <c r="P1096" s="20">
        <f>IF($U1096="","",INDEX(상세표[06~07시],$U1096))</f>
        <v/>
      </c>
      <c r="Q1096" s="20">
        <f>IF($U1096="","",INDEX(상세표[07~18시],$U1096))</f>
        <v/>
      </c>
      <c r="R1096" s="20">
        <f>IF($U1096="","",INDEX(상세표[18~22시],$U1096))</f>
        <v/>
      </c>
      <c r="S1096" s="20">
        <f>IF($U1096="","",INDEX(상세표[22~06시],$U1096))</f>
        <v/>
      </c>
      <c r="T1096" s="20">
        <f>IF($U1096="","",INDEX(상세표[기록 시간외],$U1096))</f>
        <v/>
      </c>
      <c r="U1096" s="4">
        <f>IFERROR(MATCH(1091,상세표[발송순번],0),"")</f>
        <v/>
      </c>
    </row>
    <row r="1097">
      <c r="J1097">
        <f>IF($U1097="","",INDEX(상세표[사번],$U1097)&amp;"")</f>
        <v/>
      </c>
      <c r="K1097">
        <f>IF($U1097="","",INDEX(상세표[성명],$U1097)&amp;"")</f>
        <v/>
      </c>
      <c r="L1097">
        <f>IF($U1097="","",INDEX(상세표[직위],$U1097)&amp;"")</f>
        <v/>
      </c>
      <c r="M1097">
        <f>IF($U1097="","",IF(ISNUMBER(INDEX(상세표[근무일자],$U1097)),TEXT(INDEX(상세표[근무일자],$U1097),"yyyy-mm-dd"),INDEX(상세표[근무일자],$U1097)&amp;""))</f>
        <v/>
      </c>
      <c r="N1097">
        <f>IF($U1097="","",IF(ISNUMBER(INDEX(상세표[시작],$U1097)),TEXT(INDEX(상세표[시작],$U1097),"yyyy-mm-dd hh:mm"),INDEX(상세표[시작],$U1097)&amp;""))</f>
        <v/>
      </c>
      <c r="O1097">
        <f>IF($U1097="","",IF(ISNUMBER(INDEX(상세표[종료],$U1097)),TEXT(INDEX(상세표[종료],$U1097),"yyyy-mm-dd hh:mm"),INDEX(상세표[종료],$U1097)&amp;""))</f>
        <v/>
      </c>
      <c r="P1097" s="20">
        <f>IF($U1097="","",INDEX(상세표[06~07시],$U1097))</f>
        <v/>
      </c>
      <c r="Q1097" s="20">
        <f>IF($U1097="","",INDEX(상세표[07~18시],$U1097))</f>
        <v/>
      </c>
      <c r="R1097" s="20">
        <f>IF($U1097="","",INDEX(상세표[18~22시],$U1097))</f>
        <v/>
      </c>
      <c r="S1097" s="20">
        <f>IF($U1097="","",INDEX(상세표[22~06시],$U1097))</f>
        <v/>
      </c>
      <c r="T1097" s="20">
        <f>IF($U1097="","",INDEX(상세표[기록 시간외],$U1097))</f>
        <v/>
      </c>
      <c r="U1097" s="4">
        <f>IFERROR(MATCH(1092,상세표[발송순번],0),"")</f>
        <v/>
      </c>
    </row>
    <row r="1098">
      <c r="J1098">
        <f>IF($U1098="","",INDEX(상세표[사번],$U1098)&amp;"")</f>
        <v/>
      </c>
      <c r="K1098">
        <f>IF($U1098="","",INDEX(상세표[성명],$U1098)&amp;"")</f>
        <v/>
      </c>
      <c r="L1098">
        <f>IF($U1098="","",INDEX(상세표[직위],$U1098)&amp;"")</f>
        <v/>
      </c>
      <c r="M1098">
        <f>IF($U1098="","",IF(ISNUMBER(INDEX(상세표[근무일자],$U1098)),TEXT(INDEX(상세표[근무일자],$U1098),"yyyy-mm-dd"),INDEX(상세표[근무일자],$U1098)&amp;""))</f>
        <v/>
      </c>
      <c r="N1098">
        <f>IF($U1098="","",IF(ISNUMBER(INDEX(상세표[시작],$U1098)),TEXT(INDEX(상세표[시작],$U1098),"yyyy-mm-dd hh:mm"),INDEX(상세표[시작],$U1098)&amp;""))</f>
        <v/>
      </c>
      <c r="O1098">
        <f>IF($U1098="","",IF(ISNUMBER(INDEX(상세표[종료],$U1098)),TEXT(INDEX(상세표[종료],$U1098),"yyyy-mm-dd hh:mm"),INDEX(상세표[종료],$U1098)&amp;""))</f>
        <v/>
      </c>
      <c r="P1098" s="20">
        <f>IF($U1098="","",INDEX(상세표[06~07시],$U1098))</f>
        <v/>
      </c>
      <c r="Q1098" s="20">
        <f>IF($U1098="","",INDEX(상세표[07~18시],$U1098))</f>
        <v/>
      </c>
      <c r="R1098" s="20">
        <f>IF($U1098="","",INDEX(상세표[18~22시],$U1098))</f>
        <v/>
      </c>
      <c r="S1098" s="20">
        <f>IF($U1098="","",INDEX(상세표[22~06시],$U1098))</f>
        <v/>
      </c>
      <c r="T1098" s="20">
        <f>IF($U1098="","",INDEX(상세표[기록 시간외],$U1098))</f>
        <v/>
      </c>
      <c r="U1098" s="4">
        <f>IFERROR(MATCH(1093,상세표[발송순번],0),"")</f>
        <v/>
      </c>
    </row>
    <row r="1099">
      <c r="J1099">
        <f>IF($U1099="","",INDEX(상세표[사번],$U1099)&amp;"")</f>
        <v/>
      </c>
      <c r="K1099">
        <f>IF($U1099="","",INDEX(상세표[성명],$U1099)&amp;"")</f>
        <v/>
      </c>
      <c r="L1099">
        <f>IF($U1099="","",INDEX(상세표[직위],$U1099)&amp;"")</f>
        <v/>
      </c>
      <c r="M1099">
        <f>IF($U1099="","",IF(ISNUMBER(INDEX(상세표[근무일자],$U1099)),TEXT(INDEX(상세표[근무일자],$U1099),"yyyy-mm-dd"),INDEX(상세표[근무일자],$U1099)&amp;""))</f>
        <v/>
      </c>
      <c r="N1099">
        <f>IF($U1099="","",IF(ISNUMBER(INDEX(상세표[시작],$U1099)),TEXT(INDEX(상세표[시작],$U1099),"yyyy-mm-dd hh:mm"),INDEX(상세표[시작],$U1099)&amp;""))</f>
        <v/>
      </c>
      <c r="O1099">
        <f>IF($U1099="","",IF(ISNUMBER(INDEX(상세표[종료],$U1099)),TEXT(INDEX(상세표[종료],$U1099),"yyyy-mm-dd hh:mm"),INDEX(상세표[종료],$U1099)&amp;""))</f>
        <v/>
      </c>
      <c r="P1099" s="20">
        <f>IF($U1099="","",INDEX(상세표[06~07시],$U1099))</f>
        <v/>
      </c>
      <c r="Q1099" s="20">
        <f>IF($U1099="","",INDEX(상세표[07~18시],$U1099))</f>
        <v/>
      </c>
      <c r="R1099" s="20">
        <f>IF($U1099="","",INDEX(상세표[18~22시],$U1099))</f>
        <v/>
      </c>
      <c r="S1099" s="20">
        <f>IF($U1099="","",INDEX(상세표[22~06시],$U1099))</f>
        <v/>
      </c>
      <c r="T1099" s="20">
        <f>IF($U1099="","",INDEX(상세표[기록 시간외],$U1099))</f>
        <v/>
      </c>
      <c r="U1099" s="4">
        <f>IFERROR(MATCH(1094,상세표[발송순번],0),"")</f>
        <v/>
      </c>
    </row>
    <row r="1100">
      <c r="J1100">
        <f>IF($U1100="","",INDEX(상세표[사번],$U1100)&amp;"")</f>
        <v/>
      </c>
      <c r="K1100">
        <f>IF($U1100="","",INDEX(상세표[성명],$U1100)&amp;"")</f>
        <v/>
      </c>
      <c r="L1100">
        <f>IF($U1100="","",INDEX(상세표[직위],$U1100)&amp;"")</f>
        <v/>
      </c>
      <c r="M1100">
        <f>IF($U1100="","",IF(ISNUMBER(INDEX(상세표[근무일자],$U1100)),TEXT(INDEX(상세표[근무일자],$U1100),"yyyy-mm-dd"),INDEX(상세표[근무일자],$U1100)&amp;""))</f>
        <v/>
      </c>
      <c r="N1100">
        <f>IF($U1100="","",IF(ISNUMBER(INDEX(상세표[시작],$U1100)),TEXT(INDEX(상세표[시작],$U1100),"yyyy-mm-dd hh:mm"),INDEX(상세표[시작],$U1100)&amp;""))</f>
        <v/>
      </c>
      <c r="O1100">
        <f>IF($U1100="","",IF(ISNUMBER(INDEX(상세표[종료],$U1100)),TEXT(INDEX(상세표[종료],$U1100),"yyyy-mm-dd hh:mm"),INDEX(상세표[종료],$U1100)&amp;""))</f>
        <v/>
      </c>
      <c r="P1100" s="20">
        <f>IF($U1100="","",INDEX(상세표[06~07시],$U1100))</f>
        <v/>
      </c>
      <c r="Q1100" s="20">
        <f>IF($U1100="","",INDEX(상세표[07~18시],$U1100))</f>
        <v/>
      </c>
      <c r="R1100" s="20">
        <f>IF($U1100="","",INDEX(상세표[18~22시],$U1100))</f>
        <v/>
      </c>
      <c r="S1100" s="20">
        <f>IF($U1100="","",INDEX(상세표[22~06시],$U1100))</f>
        <v/>
      </c>
      <c r="T1100" s="20">
        <f>IF($U1100="","",INDEX(상세표[기록 시간외],$U1100))</f>
        <v/>
      </c>
      <c r="U1100" s="4">
        <f>IFERROR(MATCH(1095,상세표[발송순번],0),"")</f>
        <v/>
      </c>
    </row>
    <row r="1101">
      <c r="J1101">
        <f>IF($U1101="","",INDEX(상세표[사번],$U1101)&amp;"")</f>
        <v/>
      </c>
      <c r="K1101">
        <f>IF($U1101="","",INDEX(상세표[성명],$U1101)&amp;"")</f>
        <v/>
      </c>
      <c r="L1101">
        <f>IF($U1101="","",INDEX(상세표[직위],$U1101)&amp;"")</f>
        <v/>
      </c>
      <c r="M1101">
        <f>IF($U1101="","",IF(ISNUMBER(INDEX(상세표[근무일자],$U1101)),TEXT(INDEX(상세표[근무일자],$U1101),"yyyy-mm-dd"),INDEX(상세표[근무일자],$U1101)&amp;""))</f>
        <v/>
      </c>
      <c r="N1101">
        <f>IF($U1101="","",IF(ISNUMBER(INDEX(상세표[시작],$U1101)),TEXT(INDEX(상세표[시작],$U1101),"yyyy-mm-dd hh:mm"),INDEX(상세표[시작],$U1101)&amp;""))</f>
        <v/>
      </c>
      <c r="O1101">
        <f>IF($U1101="","",IF(ISNUMBER(INDEX(상세표[종료],$U1101)),TEXT(INDEX(상세표[종료],$U1101),"yyyy-mm-dd hh:mm"),INDEX(상세표[종료],$U1101)&amp;""))</f>
        <v/>
      </c>
      <c r="P1101" s="20">
        <f>IF($U1101="","",INDEX(상세표[06~07시],$U1101))</f>
        <v/>
      </c>
      <c r="Q1101" s="20">
        <f>IF($U1101="","",INDEX(상세표[07~18시],$U1101))</f>
        <v/>
      </c>
      <c r="R1101" s="20">
        <f>IF($U1101="","",INDEX(상세표[18~22시],$U1101))</f>
        <v/>
      </c>
      <c r="S1101" s="20">
        <f>IF($U1101="","",INDEX(상세표[22~06시],$U1101))</f>
        <v/>
      </c>
      <c r="T1101" s="20">
        <f>IF($U1101="","",INDEX(상세표[기록 시간외],$U1101))</f>
        <v/>
      </c>
      <c r="U1101" s="4">
        <f>IFERROR(MATCH(1096,상세표[발송순번],0),"")</f>
        <v/>
      </c>
    </row>
    <row r="1102">
      <c r="J1102">
        <f>IF($U1102="","",INDEX(상세표[사번],$U1102)&amp;"")</f>
        <v/>
      </c>
      <c r="K1102">
        <f>IF($U1102="","",INDEX(상세표[성명],$U1102)&amp;"")</f>
        <v/>
      </c>
      <c r="L1102">
        <f>IF($U1102="","",INDEX(상세표[직위],$U1102)&amp;"")</f>
        <v/>
      </c>
      <c r="M1102">
        <f>IF($U1102="","",IF(ISNUMBER(INDEX(상세표[근무일자],$U1102)),TEXT(INDEX(상세표[근무일자],$U1102),"yyyy-mm-dd"),INDEX(상세표[근무일자],$U1102)&amp;""))</f>
        <v/>
      </c>
      <c r="N1102">
        <f>IF($U1102="","",IF(ISNUMBER(INDEX(상세표[시작],$U1102)),TEXT(INDEX(상세표[시작],$U1102),"yyyy-mm-dd hh:mm"),INDEX(상세표[시작],$U1102)&amp;""))</f>
        <v/>
      </c>
      <c r="O1102">
        <f>IF($U1102="","",IF(ISNUMBER(INDEX(상세표[종료],$U1102)),TEXT(INDEX(상세표[종료],$U1102),"yyyy-mm-dd hh:mm"),INDEX(상세표[종료],$U1102)&amp;""))</f>
        <v/>
      </c>
      <c r="P1102" s="20">
        <f>IF($U1102="","",INDEX(상세표[06~07시],$U1102))</f>
        <v/>
      </c>
      <c r="Q1102" s="20">
        <f>IF($U1102="","",INDEX(상세표[07~18시],$U1102))</f>
        <v/>
      </c>
      <c r="R1102" s="20">
        <f>IF($U1102="","",INDEX(상세표[18~22시],$U1102))</f>
        <v/>
      </c>
      <c r="S1102" s="20">
        <f>IF($U1102="","",INDEX(상세표[22~06시],$U1102))</f>
        <v/>
      </c>
      <c r="T1102" s="20">
        <f>IF($U1102="","",INDEX(상세표[기록 시간외],$U1102))</f>
        <v/>
      </c>
      <c r="U1102" s="4">
        <f>IFERROR(MATCH(1097,상세표[발송순번],0),"")</f>
        <v/>
      </c>
    </row>
    <row r="1103">
      <c r="J1103">
        <f>IF($U1103="","",INDEX(상세표[사번],$U1103)&amp;"")</f>
        <v/>
      </c>
      <c r="K1103">
        <f>IF($U1103="","",INDEX(상세표[성명],$U1103)&amp;"")</f>
        <v/>
      </c>
      <c r="L1103">
        <f>IF($U1103="","",INDEX(상세표[직위],$U1103)&amp;"")</f>
        <v/>
      </c>
      <c r="M1103">
        <f>IF($U1103="","",IF(ISNUMBER(INDEX(상세표[근무일자],$U1103)),TEXT(INDEX(상세표[근무일자],$U1103),"yyyy-mm-dd"),INDEX(상세표[근무일자],$U1103)&amp;""))</f>
        <v/>
      </c>
      <c r="N1103">
        <f>IF($U1103="","",IF(ISNUMBER(INDEX(상세표[시작],$U1103)),TEXT(INDEX(상세표[시작],$U1103),"yyyy-mm-dd hh:mm"),INDEX(상세표[시작],$U1103)&amp;""))</f>
        <v/>
      </c>
      <c r="O1103">
        <f>IF($U1103="","",IF(ISNUMBER(INDEX(상세표[종료],$U1103)),TEXT(INDEX(상세표[종료],$U1103),"yyyy-mm-dd hh:mm"),INDEX(상세표[종료],$U1103)&amp;""))</f>
        <v/>
      </c>
      <c r="P1103" s="20">
        <f>IF($U1103="","",INDEX(상세표[06~07시],$U1103))</f>
        <v/>
      </c>
      <c r="Q1103" s="20">
        <f>IF($U1103="","",INDEX(상세표[07~18시],$U1103))</f>
        <v/>
      </c>
      <c r="R1103" s="20">
        <f>IF($U1103="","",INDEX(상세표[18~22시],$U1103))</f>
        <v/>
      </c>
      <c r="S1103" s="20">
        <f>IF($U1103="","",INDEX(상세표[22~06시],$U1103))</f>
        <v/>
      </c>
      <c r="T1103" s="20">
        <f>IF($U1103="","",INDEX(상세표[기록 시간외],$U1103))</f>
        <v/>
      </c>
      <c r="U1103" s="4">
        <f>IFERROR(MATCH(1098,상세표[발송순번],0),"")</f>
        <v/>
      </c>
    </row>
    <row r="1104">
      <c r="J1104">
        <f>IF($U1104="","",INDEX(상세표[사번],$U1104)&amp;"")</f>
        <v/>
      </c>
      <c r="K1104">
        <f>IF($U1104="","",INDEX(상세표[성명],$U1104)&amp;"")</f>
        <v/>
      </c>
      <c r="L1104">
        <f>IF($U1104="","",INDEX(상세표[직위],$U1104)&amp;"")</f>
        <v/>
      </c>
      <c r="M1104">
        <f>IF($U1104="","",IF(ISNUMBER(INDEX(상세표[근무일자],$U1104)),TEXT(INDEX(상세표[근무일자],$U1104),"yyyy-mm-dd"),INDEX(상세표[근무일자],$U1104)&amp;""))</f>
        <v/>
      </c>
      <c r="N1104">
        <f>IF($U1104="","",IF(ISNUMBER(INDEX(상세표[시작],$U1104)),TEXT(INDEX(상세표[시작],$U1104),"yyyy-mm-dd hh:mm"),INDEX(상세표[시작],$U1104)&amp;""))</f>
        <v/>
      </c>
      <c r="O1104">
        <f>IF($U1104="","",IF(ISNUMBER(INDEX(상세표[종료],$U1104)),TEXT(INDEX(상세표[종료],$U1104),"yyyy-mm-dd hh:mm"),INDEX(상세표[종료],$U1104)&amp;""))</f>
        <v/>
      </c>
      <c r="P1104" s="20">
        <f>IF($U1104="","",INDEX(상세표[06~07시],$U1104))</f>
        <v/>
      </c>
      <c r="Q1104" s="20">
        <f>IF($U1104="","",INDEX(상세표[07~18시],$U1104))</f>
        <v/>
      </c>
      <c r="R1104" s="20">
        <f>IF($U1104="","",INDEX(상세표[18~22시],$U1104))</f>
        <v/>
      </c>
      <c r="S1104" s="20">
        <f>IF($U1104="","",INDEX(상세표[22~06시],$U1104))</f>
        <v/>
      </c>
      <c r="T1104" s="20">
        <f>IF($U1104="","",INDEX(상세표[기록 시간외],$U1104))</f>
        <v/>
      </c>
      <c r="U1104" s="4">
        <f>IFERROR(MATCH(1099,상세표[발송순번],0),"")</f>
        <v/>
      </c>
    </row>
    <row r="1105">
      <c r="J1105">
        <f>IF($U1105="","",INDEX(상세표[사번],$U1105)&amp;"")</f>
        <v/>
      </c>
      <c r="K1105">
        <f>IF($U1105="","",INDEX(상세표[성명],$U1105)&amp;"")</f>
        <v/>
      </c>
      <c r="L1105">
        <f>IF($U1105="","",INDEX(상세표[직위],$U1105)&amp;"")</f>
        <v/>
      </c>
      <c r="M1105">
        <f>IF($U1105="","",IF(ISNUMBER(INDEX(상세표[근무일자],$U1105)),TEXT(INDEX(상세표[근무일자],$U1105),"yyyy-mm-dd"),INDEX(상세표[근무일자],$U1105)&amp;""))</f>
        <v/>
      </c>
      <c r="N1105">
        <f>IF($U1105="","",IF(ISNUMBER(INDEX(상세표[시작],$U1105)),TEXT(INDEX(상세표[시작],$U1105),"yyyy-mm-dd hh:mm"),INDEX(상세표[시작],$U1105)&amp;""))</f>
        <v/>
      </c>
      <c r="O1105">
        <f>IF($U1105="","",IF(ISNUMBER(INDEX(상세표[종료],$U1105)),TEXT(INDEX(상세표[종료],$U1105),"yyyy-mm-dd hh:mm"),INDEX(상세표[종료],$U1105)&amp;""))</f>
        <v/>
      </c>
      <c r="P1105" s="20">
        <f>IF($U1105="","",INDEX(상세표[06~07시],$U1105))</f>
        <v/>
      </c>
      <c r="Q1105" s="20">
        <f>IF($U1105="","",INDEX(상세표[07~18시],$U1105))</f>
        <v/>
      </c>
      <c r="R1105" s="20">
        <f>IF($U1105="","",INDEX(상세표[18~22시],$U1105))</f>
        <v/>
      </c>
      <c r="S1105" s="20">
        <f>IF($U1105="","",INDEX(상세표[22~06시],$U1105))</f>
        <v/>
      </c>
      <c r="T1105" s="20">
        <f>IF($U1105="","",INDEX(상세표[기록 시간외],$U1105))</f>
        <v/>
      </c>
      <c r="U1105" s="4">
        <f>IFERROR(MATCH(1100,상세표[발송순번],0),"")</f>
        <v/>
      </c>
    </row>
    <row r="1106">
      <c r="J1106">
        <f>IF($U1106="","",INDEX(상세표[사번],$U1106)&amp;"")</f>
        <v/>
      </c>
      <c r="K1106">
        <f>IF($U1106="","",INDEX(상세표[성명],$U1106)&amp;"")</f>
        <v/>
      </c>
      <c r="L1106">
        <f>IF($U1106="","",INDEX(상세표[직위],$U1106)&amp;"")</f>
        <v/>
      </c>
      <c r="M1106">
        <f>IF($U1106="","",IF(ISNUMBER(INDEX(상세표[근무일자],$U1106)),TEXT(INDEX(상세표[근무일자],$U1106),"yyyy-mm-dd"),INDEX(상세표[근무일자],$U1106)&amp;""))</f>
        <v/>
      </c>
      <c r="N1106">
        <f>IF($U1106="","",IF(ISNUMBER(INDEX(상세표[시작],$U1106)),TEXT(INDEX(상세표[시작],$U1106),"yyyy-mm-dd hh:mm"),INDEX(상세표[시작],$U1106)&amp;""))</f>
        <v/>
      </c>
      <c r="O1106">
        <f>IF($U1106="","",IF(ISNUMBER(INDEX(상세표[종료],$U1106)),TEXT(INDEX(상세표[종료],$U1106),"yyyy-mm-dd hh:mm"),INDEX(상세표[종료],$U1106)&amp;""))</f>
        <v/>
      </c>
      <c r="P1106" s="20">
        <f>IF($U1106="","",INDEX(상세표[06~07시],$U1106))</f>
        <v/>
      </c>
      <c r="Q1106" s="20">
        <f>IF($U1106="","",INDEX(상세표[07~18시],$U1106))</f>
        <v/>
      </c>
      <c r="R1106" s="20">
        <f>IF($U1106="","",INDEX(상세표[18~22시],$U1106))</f>
        <v/>
      </c>
      <c r="S1106" s="20">
        <f>IF($U1106="","",INDEX(상세표[22~06시],$U1106))</f>
        <v/>
      </c>
      <c r="T1106" s="20">
        <f>IF($U1106="","",INDEX(상세표[기록 시간외],$U1106))</f>
        <v/>
      </c>
      <c r="U1106" s="4">
        <f>IFERROR(MATCH(1101,상세표[발송순번],0),"")</f>
        <v/>
      </c>
    </row>
    <row r="1107">
      <c r="J1107">
        <f>IF($U1107="","",INDEX(상세표[사번],$U1107)&amp;"")</f>
        <v/>
      </c>
      <c r="K1107">
        <f>IF($U1107="","",INDEX(상세표[성명],$U1107)&amp;"")</f>
        <v/>
      </c>
      <c r="L1107">
        <f>IF($U1107="","",INDEX(상세표[직위],$U1107)&amp;"")</f>
        <v/>
      </c>
      <c r="M1107">
        <f>IF($U1107="","",IF(ISNUMBER(INDEX(상세표[근무일자],$U1107)),TEXT(INDEX(상세표[근무일자],$U1107),"yyyy-mm-dd"),INDEX(상세표[근무일자],$U1107)&amp;""))</f>
        <v/>
      </c>
      <c r="N1107">
        <f>IF($U1107="","",IF(ISNUMBER(INDEX(상세표[시작],$U1107)),TEXT(INDEX(상세표[시작],$U1107),"yyyy-mm-dd hh:mm"),INDEX(상세표[시작],$U1107)&amp;""))</f>
        <v/>
      </c>
      <c r="O1107">
        <f>IF($U1107="","",IF(ISNUMBER(INDEX(상세표[종료],$U1107)),TEXT(INDEX(상세표[종료],$U1107),"yyyy-mm-dd hh:mm"),INDEX(상세표[종료],$U1107)&amp;""))</f>
        <v/>
      </c>
      <c r="P1107" s="20">
        <f>IF($U1107="","",INDEX(상세표[06~07시],$U1107))</f>
        <v/>
      </c>
      <c r="Q1107" s="20">
        <f>IF($U1107="","",INDEX(상세표[07~18시],$U1107))</f>
        <v/>
      </c>
      <c r="R1107" s="20">
        <f>IF($U1107="","",INDEX(상세표[18~22시],$U1107))</f>
        <v/>
      </c>
      <c r="S1107" s="20">
        <f>IF($U1107="","",INDEX(상세표[22~06시],$U1107))</f>
        <v/>
      </c>
      <c r="T1107" s="20">
        <f>IF($U1107="","",INDEX(상세표[기록 시간외],$U1107))</f>
        <v/>
      </c>
      <c r="U1107" s="4">
        <f>IFERROR(MATCH(1102,상세표[발송순번],0),"")</f>
        <v/>
      </c>
    </row>
    <row r="1108">
      <c r="J1108">
        <f>IF($U1108="","",INDEX(상세표[사번],$U1108)&amp;"")</f>
        <v/>
      </c>
      <c r="K1108">
        <f>IF($U1108="","",INDEX(상세표[성명],$U1108)&amp;"")</f>
        <v/>
      </c>
      <c r="L1108">
        <f>IF($U1108="","",INDEX(상세표[직위],$U1108)&amp;"")</f>
        <v/>
      </c>
      <c r="M1108">
        <f>IF($U1108="","",IF(ISNUMBER(INDEX(상세표[근무일자],$U1108)),TEXT(INDEX(상세표[근무일자],$U1108),"yyyy-mm-dd"),INDEX(상세표[근무일자],$U1108)&amp;""))</f>
        <v/>
      </c>
      <c r="N1108">
        <f>IF($U1108="","",IF(ISNUMBER(INDEX(상세표[시작],$U1108)),TEXT(INDEX(상세표[시작],$U1108),"yyyy-mm-dd hh:mm"),INDEX(상세표[시작],$U1108)&amp;""))</f>
        <v/>
      </c>
      <c r="O1108">
        <f>IF($U1108="","",IF(ISNUMBER(INDEX(상세표[종료],$U1108)),TEXT(INDEX(상세표[종료],$U1108),"yyyy-mm-dd hh:mm"),INDEX(상세표[종료],$U1108)&amp;""))</f>
        <v/>
      </c>
      <c r="P1108" s="20">
        <f>IF($U1108="","",INDEX(상세표[06~07시],$U1108))</f>
        <v/>
      </c>
      <c r="Q1108" s="20">
        <f>IF($U1108="","",INDEX(상세표[07~18시],$U1108))</f>
        <v/>
      </c>
      <c r="R1108" s="20">
        <f>IF($U1108="","",INDEX(상세표[18~22시],$U1108))</f>
        <v/>
      </c>
      <c r="S1108" s="20">
        <f>IF($U1108="","",INDEX(상세표[22~06시],$U1108))</f>
        <v/>
      </c>
      <c r="T1108" s="20">
        <f>IF($U1108="","",INDEX(상세표[기록 시간외],$U1108))</f>
        <v/>
      </c>
      <c r="U1108" s="4">
        <f>IFERROR(MATCH(1103,상세표[발송순번],0),"")</f>
        <v/>
      </c>
    </row>
    <row r="1109">
      <c r="J1109">
        <f>IF($U1109="","",INDEX(상세표[사번],$U1109)&amp;"")</f>
        <v/>
      </c>
      <c r="K1109">
        <f>IF($U1109="","",INDEX(상세표[성명],$U1109)&amp;"")</f>
        <v/>
      </c>
      <c r="L1109">
        <f>IF($U1109="","",INDEX(상세표[직위],$U1109)&amp;"")</f>
        <v/>
      </c>
      <c r="M1109">
        <f>IF($U1109="","",IF(ISNUMBER(INDEX(상세표[근무일자],$U1109)),TEXT(INDEX(상세표[근무일자],$U1109),"yyyy-mm-dd"),INDEX(상세표[근무일자],$U1109)&amp;""))</f>
        <v/>
      </c>
      <c r="N1109">
        <f>IF($U1109="","",IF(ISNUMBER(INDEX(상세표[시작],$U1109)),TEXT(INDEX(상세표[시작],$U1109),"yyyy-mm-dd hh:mm"),INDEX(상세표[시작],$U1109)&amp;""))</f>
        <v/>
      </c>
      <c r="O1109">
        <f>IF($U1109="","",IF(ISNUMBER(INDEX(상세표[종료],$U1109)),TEXT(INDEX(상세표[종료],$U1109),"yyyy-mm-dd hh:mm"),INDEX(상세표[종료],$U1109)&amp;""))</f>
        <v/>
      </c>
      <c r="P1109" s="20">
        <f>IF($U1109="","",INDEX(상세표[06~07시],$U1109))</f>
        <v/>
      </c>
      <c r="Q1109" s="20">
        <f>IF($U1109="","",INDEX(상세표[07~18시],$U1109))</f>
        <v/>
      </c>
      <c r="R1109" s="20">
        <f>IF($U1109="","",INDEX(상세표[18~22시],$U1109))</f>
        <v/>
      </c>
      <c r="S1109" s="20">
        <f>IF($U1109="","",INDEX(상세표[22~06시],$U1109))</f>
        <v/>
      </c>
      <c r="T1109" s="20">
        <f>IF($U1109="","",INDEX(상세표[기록 시간외],$U1109))</f>
        <v/>
      </c>
      <c r="U1109" s="4">
        <f>IFERROR(MATCH(1104,상세표[발송순번],0),"")</f>
        <v/>
      </c>
    </row>
    <row r="1110">
      <c r="J1110">
        <f>IF($U1110="","",INDEX(상세표[사번],$U1110)&amp;"")</f>
        <v/>
      </c>
      <c r="K1110">
        <f>IF($U1110="","",INDEX(상세표[성명],$U1110)&amp;"")</f>
        <v/>
      </c>
      <c r="L1110">
        <f>IF($U1110="","",INDEX(상세표[직위],$U1110)&amp;"")</f>
        <v/>
      </c>
      <c r="M1110">
        <f>IF($U1110="","",IF(ISNUMBER(INDEX(상세표[근무일자],$U1110)),TEXT(INDEX(상세표[근무일자],$U1110),"yyyy-mm-dd"),INDEX(상세표[근무일자],$U1110)&amp;""))</f>
        <v/>
      </c>
      <c r="N1110">
        <f>IF($U1110="","",IF(ISNUMBER(INDEX(상세표[시작],$U1110)),TEXT(INDEX(상세표[시작],$U1110),"yyyy-mm-dd hh:mm"),INDEX(상세표[시작],$U1110)&amp;""))</f>
        <v/>
      </c>
      <c r="O1110">
        <f>IF($U1110="","",IF(ISNUMBER(INDEX(상세표[종료],$U1110)),TEXT(INDEX(상세표[종료],$U1110),"yyyy-mm-dd hh:mm"),INDEX(상세표[종료],$U1110)&amp;""))</f>
        <v/>
      </c>
      <c r="P1110" s="20">
        <f>IF($U1110="","",INDEX(상세표[06~07시],$U1110))</f>
        <v/>
      </c>
      <c r="Q1110" s="20">
        <f>IF($U1110="","",INDEX(상세표[07~18시],$U1110))</f>
        <v/>
      </c>
      <c r="R1110" s="20">
        <f>IF($U1110="","",INDEX(상세표[18~22시],$U1110))</f>
        <v/>
      </c>
      <c r="S1110" s="20">
        <f>IF($U1110="","",INDEX(상세표[22~06시],$U1110))</f>
        <v/>
      </c>
      <c r="T1110" s="20">
        <f>IF($U1110="","",INDEX(상세표[기록 시간외],$U1110))</f>
        <v/>
      </c>
      <c r="U1110" s="4">
        <f>IFERROR(MATCH(1105,상세표[발송순번],0),"")</f>
        <v/>
      </c>
    </row>
    <row r="1111">
      <c r="J1111">
        <f>IF($U1111="","",INDEX(상세표[사번],$U1111)&amp;"")</f>
        <v/>
      </c>
      <c r="K1111">
        <f>IF($U1111="","",INDEX(상세표[성명],$U1111)&amp;"")</f>
        <v/>
      </c>
      <c r="L1111">
        <f>IF($U1111="","",INDEX(상세표[직위],$U1111)&amp;"")</f>
        <v/>
      </c>
      <c r="M1111">
        <f>IF($U1111="","",IF(ISNUMBER(INDEX(상세표[근무일자],$U1111)),TEXT(INDEX(상세표[근무일자],$U1111),"yyyy-mm-dd"),INDEX(상세표[근무일자],$U1111)&amp;""))</f>
        <v/>
      </c>
      <c r="N1111">
        <f>IF($U1111="","",IF(ISNUMBER(INDEX(상세표[시작],$U1111)),TEXT(INDEX(상세표[시작],$U1111),"yyyy-mm-dd hh:mm"),INDEX(상세표[시작],$U1111)&amp;""))</f>
        <v/>
      </c>
      <c r="O1111">
        <f>IF($U1111="","",IF(ISNUMBER(INDEX(상세표[종료],$U1111)),TEXT(INDEX(상세표[종료],$U1111),"yyyy-mm-dd hh:mm"),INDEX(상세표[종료],$U1111)&amp;""))</f>
        <v/>
      </c>
      <c r="P1111" s="20">
        <f>IF($U1111="","",INDEX(상세표[06~07시],$U1111))</f>
        <v/>
      </c>
      <c r="Q1111" s="20">
        <f>IF($U1111="","",INDEX(상세표[07~18시],$U1111))</f>
        <v/>
      </c>
      <c r="R1111" s="20">
        <f>IF($U1111="","",INDEX(상세표[18~22시],$U1111))</f>
        <v/>
      </c>
      <c r="S1111" s="20">
        <f>IF($U1111="","",INDEX(상세표[22~06시],$U1111))</f>
        <v/>
      </c>
      <c r="T1111" s="20">
        <f>IF($U1111="","",INDEX(상세표[기록 시간외],$U1111))</f>
        <v/>
      </c>
      <c r="U1111" s="4">
        <f>IFERROR(MATCH(1106,상세표[발송순번],0),"")</f>
        <v/>
      </c>
    </row>
    <row r="1112">
      <c r="J1112">
        <f>IF($U1112="","",INDEX(상세표[사번],$U1112)&amp;"")</f>
        <v/>
      </c>
      <c r="K1112">
        <f>IF($U1112="","",INDEX(상세표[성명],$U1112)&amp;"")</f>
        <v/>
      </c>
      <c r="L1112">
        <f>IF($U1112="","",INDEX(상세표[직위],$U1112)&amp;"")</f>
        <v/>
      </c>
      <c r="M1112">
        <f>IF($U1112="","",IF(ISNUMBER(INDEX(상세표[근무일자],$U1112)),TEXT(INDEX(상세표[근무일자],$U1112),"yyyy-mm-dd"),INDEX(상세표[근무일자],$U1112)&amp;""))</f>
        <v/>
      </c>
      <c r="N1112">
        <f>IF($U1112="","",IF(ISNUMBER(INDEX(상세표[시작],$U1112)),TEXT(INDEX(상세표[시작],$U1112),"yyyy-mm-dd hh:mm"),INDEX(상세표[시작],$U1112)&amp;""))</f>
        <v/>
      </c>
      <c r="O1112">
        <f>IF($U1112="","",IF(ISNUMBER(INDEX(상세표[종료],$U1112)),TEXT(INDEX(상세표[종료],$U1112),"yyyy-mm-dd hh:mm"),INDEX(상세표[종료],$U1112)&amp;""))</f>
        <v/>
      </c>
      <c r="P1112" s="20">
        <f>IF($U1112="","",INDEX(상세표[06~07시],$U1112))</f>
        <v/>
      </c>
      <c r="Q1112" s="20">
        <f>IF($U1112="","",INDEX(상세표[07~18시],$U1112))</f>
        <v/>
      </c>
      <c r="R1112" s="20">
        <f>IF($U1112="","",INDEX(상세표[18~22시],$U1112))</f>
        <v/>
      </c>
      <c r="S1112" s="20">
        <f>IF($U1112="","",INDEX(상세표[22~06시],$U1112))</f>
        <v/>
      </c>
      <c r="T1112" s="20">
        <f>IF($U1112="","",INDEX(상세표[기록 시간외],$U1112))</f>
        <v/>
      </c>
      <c r="U1112" s="4">
        <f>IFERROR(MATCH(1107,상세표[발송순번],0),"")</f>
        <v/>
      </c>
    </row>
    <row r="1113">
      <c r="J1113">
        <f>IF($U1113="","",INDEX(상세표[사번],$U1113)&amp;"")</f>
        <v/>
      </c>
      <c r="K1113">
        <f>IF($U1113="","",INDEX(상세표[성명],$U1113)&amp;"")</f>
        <v/>
      </c>
      <c r="L1113">
        <f>IF($U1113="","",INDEX(상세표[직위],$U1113)&amp;"")</f>
        <v/>
      </c>
      <c r="M1113">
        <f>IF($U1113="","",IF(ISNUMBER(INDEX(상세표[근무일자],$U1113)),TEXT(INDEX(상세표[근무일자],$U1113),"yyyy-mm-dd"),INDEX(상세표[근무일자],$U1113)&amp;""))</f>
        <v/>
      </c>
      <c r="N1113">
        <f>IF($U1113="","",IF(ISNUMBER(INDEX(상세표[시작],$U1113)),TEXT(INDEX(상세표[시작],$U1113),"yyyy-mm-dd hh:mm"),INDEX(상세표[시작],$U1113)&amp;""))</f>
        <v/>
      </c>
      <c r="O1113">
        <f>IF($U1113="","",IF(ISNUMBER(INDEX(상세표[종료],$U1113)),TEXT(INDEX(상세표[종료],$U1113),"yyyy-mm-dd hh:mm"),INDEX(상세표[종료],$U1113)&amp;""))</f>
        <v/>
      </c>
      <c r="P1113" s="20">
        <f>IF($U1113="","",INDEX(상세표[06~07시],$U1113))</f>
        <v/>
      </c>
      <c r="Q1113" s="20">
        <f>IF($U1113="","",INDEX(상세표[07~18시],$U1113))</f>
        <v/>
      </c>
      <c r="R1113" s="20">
        <f>IF($U1113="","",INDEX(상세표[18~22시],$U1113))</f>
        <v/>
      </c>
      <c r="S1113" s="20">
        <f>IF($U1113="","",INDEX(상세표[22~06시],$U1113))</f>
        <v/>
      </c>
      <c r="T1113" s="20">
        <f>IF($U1113="","",INDEX(상세표[기록 시간외],$U1113))</f>
        <v/>
      </c>
      <c r="U1113" s="4">
        <f>IFERROR(MATCH(1108,상세표[발송순번],0),"")</f>
        <v/>
      </c>
    </row>
    <row r="1114">
      <c r="J1114">
        <f>IF($U1114="","",INDEX(상세표[사번],$U1114)&amp;"")</f>
        <v/>
      </c>
      <c r="K1114">
        <f>IF($U1114="","",INDEX(상세표[성명],$U1114)&amp;"")</f>
        <v/>
      </c>
      <c r="L1114">
        <f>IF($U1114="","",INDEX(상세표[직위],$U1114)&amp;"")</f>
        <v/>
      </c>
      <c r="M1114">
        <f>IF($U1114="","",IF(ISNUMBER(INDEX(상세표[근무일자],$U1114)),TEXT(INDEX(상세표[근무일자],$U1114),"yyyy-mm-dd"),INDEX(상세표[근무일자],$U1114)&amp;""))</f>
        <v/>
      </c>
      <c r="N1114">
        <f>IF($U1114="","",IF(ISNUMBER(INDEX(상세표[시작],$U1114)),TEXT(INDEX(상세표[시작],$U1114),"yyyy-mm-dd hh:mm"),INDEX(상세표[시작],$U1114)&amp;""))</f>
        <v/>
      </c>
      <c r="O1114">
        <f>IF($U1114="","",IF(ISNUMBER(INDEX(상세표[종료],$U1114)),TEXT(INDEX(상세표[종료],$U1114),"yyyy-mm-dd hh:mm"),INDEX(상세표[종료],$U1114)&amp;""))</f>
        <v/>
      </c>
      <c r="P1114" s="20">
        <f>IF($U1114="","",INDEX(상세표[06~07시],$U1114))</f>
        <v/>
      </c>
      <c r="Q1114" s="20">
        <f>IF($U1114="","",INDEX(상세표[07~18시],$U1114))</f>
        <v/>
      </c>
      <c r="R1114" s="20">
        <f>IF($U1114="","",INDEX(상세표[18~22시],$U1114))</f>
        <v/>
      </c>
      <c r="S1114" s="20">
        <f>IF($U1114="","",INDEX(상세표[22~06시],$U1114))</f>
        <v/>
      </c>
      <c r="T1114" s="20">
        <f>IF($U1114="","",INDEX(상세표[기록 시간외],$U1114))</f>
        <v/>
      </c>
      <c r="U1114" s="4">
        <f>IFERROR(MATCH(1109,상세표[발송순번],0),"")</f>
        <v/>
      </c>
    </row>
    <row r="1115">
      <c r="J1115">
        <f>IF($U1115="","",INDEX(상세표[사번],$U1115)&amp;"")</f>
        <v/>
      </c>
      <c r="K1115">
        <f>IF($U1115="","",INDEX(상세표[성명],$U1115)&amp;"")</f>
        <v/>
      </c>
      <c r="L1115">
        <f>IF($U1115="","",INDEX(상세표[직위],$U1115)&amp;"")</f>
        <v/>
      </c>
      <c r="M1115">
        <f>IF($U1115="","",IF(ISNUMBER(INDEX(상세표[근무일자],$U1115)),TEXT(INDEX(상세표[근무일자],$U1115),"yyyy-mm-dd"),INDEX(상세표[근무일자],$U1115)&amp;""))</f>
        <v/>
      </c>
      <c r="N1115">
        <f>IF($U1115="","",IF(ISNUMBER(INDEX(상세표[시작],$U1115)),TEXT(INDEX(상세표[시작],$U1115),"yyyy-mm-dd hh:mm"),INDEX(상세표[시작],$U1115)&amp;""))</f>
        <v/>
      </c>
      <c r="O1115">
        <f>IF($U1115="","",IF(ISNUMBER(INDEX(상세표[종료],$U1115)),TEXT(INDEX(상세표[종료],$U1115),"yyyy-mm-dd hh:mm"),INDEX(상세표[종료],$U1115)&amp;""))</f>
        <v/>
      </c>
      <c r="P1115" s="20">
        <f>IF($U1115="","",INDEX(상세표[06~07시],$U1115))</f>
        <v/>
      </c>
      <c r="Q1115" s="20">
        <f>IF($U1115="","",INDEX(상세표[07~18시],$U1115))</f>
        <v/>
      </c>
      <c r="R1115" s="20">
        <f>IF($U1115="","",INDEX(상세표[18~22시],$U1115))</f>
        <v/>
      </c>
      <c r="S1115" s="20">
        <f>IF($U1115="","",INDEX(상세표[22~06시],$U1115))</f>
        <v/>
      </c>
      <c r="T1115" s="20">
        <f>IF($U1115="","",INDEX(상세표[기록 시간외],$U1115))</f>
        <v/>
      </c>
      <c r="U1115" s="4">
        <f>IFERROR(MATCH(1110,상세표[발송순번],0),"")</f>
        <v/>
      </c>
    </row>
    <row r="1116">
      <c r="J1116">
        <f>IF($U1116="","",INDEX(상세표[사번],$U1116)&amp;"")</f>
        <v/>
      </c>
      <c r="K1116">
        <f>IF($U1116="","",INDEX(상세표[성명],$U1116)&amp;"")</f>
        <v/>
      </c>
      <c r="L1116">
        <f>IF($U1116="","",INDEX(상세표[직위],$U1116)&amp;"")</f>
        <v/>
      </c>
      <c r="M1116">
        <f>IF($U1116="","",IF(ISNUMBER(INDEX(상세표[근무일자],$U1116)),TEXT(INDEX(상세표[근무일자],$U1116),"yyyy-mm-dd"),INDEX(상세표[근무일자],$U1116)&amp;""))</f>
        <v/>
      </c>
      <c r="N1116">
        <f>IF($U1116="","",IF(ISNUMBER(INDEX(상세표[시작],$U1116)),TEXT(INDEX(상세표[시작],$U1116),"yyyy-mm-dd hh:mm"),INDEX(상세표[시작],$U1116)&amp;""))</f>
        <v/>
      </c>
      <c r="O1116">
        <f>IF($U1116="","",IF(ISNUMBER(INDEX(상세표[종료],$U1116)),TEXT(INDEX(상세표[종료],$U1116),"yyyy-mm-dd hh:mm"),INDEX(상세표[종료],$U1116)&amp;""))</f>
        <v/>
      </c>
      <c r="P1116" s="20">
        <f>IF($U1116="","",INDEX(상세표[06~07시],$U1116))</f>
        <v/>
      </c>
      <c r="Q1116" s="20">
        <f>IF($U1116="","",INDEX(상세표[07~18시],$U1116))</f>
        <v/>
      </c>
      <c r="R1116" s="20">
        <f>IF($U1116="","",INDEX(상세표[18~22시],$U1116))</f>
        <v/>
      </c>
      <c r="S1116" s="20">
        <f>IF($U1116="","",INDEX(상세표[22~06시],$U1116))</f>
        <v/>
      </c>
      <c r="T1116" s="20">
        <f>IF($U1116="","",INDEX(상세표[기록 시간외],$U1116))</f>
        <v/>
      </c>
      <c r="U1116" s="4">
        <f>IFERROR(MATCH(1111,상세표[발송순번],0),"")</f>
        <v/>
      </c>
    </row>
    <row r="1117">
      <c r="J1117">
        <f>IF($U1117="","",INDEX(상세표[사번],$U1117)&amp;"")</f>
        <v/>
      </c>
      <c r="K1117">
        <f>IF($U1117="","",INDEX(상세표[성명],$U1117)&amp;"")</f>
        <v/>
      </c>
      <c r="L1117">
        <f>IF($U1117="","",INDEX(상세표[직위],$U1117)&amp;"")</f>
        <v/>
      </c>
      <c r="M1117">
        <f>IF($U1117="","",IF(ISNUMBER(INDEX(상세표[근무일자],$U1117)),TEXT(INDEX(상세표[근무일자],$U1117),"yyyy-mm-dd"),INDEX(상세표[근무일자],$U1117)&amp;""))</f>
        <v/>
      </c>
      <c r="N1117">
        <f>IF($U1117="","",IF(ISNUMBER(INDEX(상세표[시작],$U1117)),TEXT(INDEX(상세표[시작],$U1117),"yyyy-mm-dd hh:mm"),INDEX(상세표[시작],$U1117)&amp;""))</f>
        <v/>
      </c>
      <c r="O1117">
        <f>IF($U1117="","",IF(ISNUMBER(INDEX(상세표[종료],$U1117)),TEXT(INDEX(상세표[종료],$U1117),"yyyy-mm-dd hh:mm"),INDEX(상세표[종료],$U1117)&amp;""))</f>
        <v/>
      </c>
      <c r="P1117" s="20">
        <f>IF($U1117="","",INDEX(상세표[06~07시],$U1117))</f>
        <v/>
      </c>
      <c r="Q1117" s="20">
        <f>IF($U1117="","",INDEX(상세표[07~18시],$U1117))</f>
        <v/>
      </c>
      <c r="R1117" s="20">
        <f>IF($U1117="","",INDEX(상세표[18~22시],$U1117))</f>
        <v/>
      </c>
      <c r="S1117" s="20">
        <f>IF($U1117="","",INDEX(상세표[22~06시],$U1117))</f>
        <v/>
      </c>
      <c r="T1117" s="20">
        <f>IF($U1117="","",INDEX(상세표[기록 시간외],$U1117))</f>
        <v/>
      </c>
      <c r="U1117" s="4">
        <f>IFERROR(MATCH(1112,상세표[발송순번],0),"")</f>
        <v/>
      </c>
    </row>
    <row r="1118">
      <c r="J1118">
        <f>IF($U1118="","",INDEX(상세표[사번],$U1118)&amp;"")</f>
        <v/>
      </c>
      <c r="K1118">
        <f>IF($U1118="","",INDEX(상세표[성명],$U1118)&amp;"")</f>
        <v/>
      </c>
      <c r="L1118">
        <f>IF($U1118="","",INDEX(상세표[직위],$U1118)&amp;"")</f>
        <v/>
      </c>
      <c r="M1118">
        <f>IF($U1118="","",IF(ISNUMBER(INDEX(상세표[근무일자],$U1118)),TEXT(INDEX(상세표[근무일자],$U1118),"yyyy-mm-dd"),INDEX(상세표[근무일자],$U1118)&amp;""))</f>
        <v/>
      </c>
      <c r="N1118">
        <f>IF($U1118="","",IF(ISNUMBER(INDEX(상세표[시작],$U1118)),TEXT(INDEX(상세표[시작],$U1118),"yyyy-mm-dd hh:mm"),INDEX(상세표[시작],$U1118)&amp;""))</f>
        <v/>
      </c>
      <c r="O1118">
        <f>IF($U1118="","",IF(ISNUMBER(INDEX(상세표[종료],$U1118)),TEXT(INDEX(상세표[종료],$U1118),"yyyy-mm-dd hh:mm"),INDEX(상세표[종료],$U1118)&amp;""))</f>
        <v/>
      </c>
      <c r="P1118" s="20">
        <f>IF($U1118="","",INDEX(상세표[06~07시],$U1118))</f>
        <v/>
      </c>
      <c r="Q1118" s="20">
        <f>IF($U1118="","",INDEX(상세표[07~18시],$U1118))</f>
        <v/>
      </c>
      <c r="R1118" s="20">
        <f>IF($U1118="","",INDEX(상세표[18~22시],$U1118))</f>
        <v/>
      </c>
      <c r="S1118" s="20">
        <f>IF($U1118="","",INDEX(상세표[22~06시],$U1118))</f>
        <v/>
      </c>
      <c r="T1118" s="20">
        <f>IF($U1118="","",INDEX(상세표[기록 시간외],$U1118))</f>
        <v/>
      </c>
      <c r="U1118" s="4">
        <f>IFERROR(MATCH(1113,상세표[발송순번],0),"")</f>
        <v/>
      </c>
    </row>
    <row r="1119">
      <c r="J1119">
        <f>IF($U1119="","",INDEX(상세표[사번],$U1119)&amp;"")</f>
        <v/>
      </c>
      <c r="K1119">
        <f>IF($U1119="","",INDEX(상세표[성명],$U1119)&amp;"")</f>
        <v/>
      </c>
      <c r="L1119">
        <f>IF($U1119="","",INDEX(상세표[직위],$U1119)&amp;"")</f>
        <v/>
      </c>
      <c r="M1119">
        <f>IF($U1119="","",IF(ISNUMBER(INDEX(상세표[근무일자],$U1119)),TEXT(INDEX(상세표[근무일자],$U1119),"yyyy-mm-dd"),INDEX(상세표[근무일자],$U1119)&amp;""))</f>
        <v/>
      </c>
      <c r="N1119">
        <f>IF($U1119="","",IF(ISNUMBER(INDEX(상세표[시작],$U1119)),TEXT(INDEX(상세표[시작],$U1119),"yyyy-mm-dd hh:mm"),INDEX(상세표[시작],$U1119)&amp;""))</f>
        <v/>
      </c>
      <c r="O1119">
        <f>IF($U1119="","",IF(ISNUMBER(INDEX(상세표[종료],$U1119)),TEXT(INDEX(상세표[종료],$U1119),"yyyy-mm-dd hh:mm"),INDEX(상세표[종료],$U1119)&amp;""))</f>
        <v/>
      </c>
      <c r="P1119" s="20">
        <f>IF($U1119="","",INDEX(상세표[06~07시],$U1119))</f>
        <v/>
      </c>
      <c r="Q1119" s="20">
        <f>IF($U1119="","",INDEX(상세표[07~18시],$U1119))</f>
        <v/>
      </c>
      <c r="R1119" s="20">
        <f>IF($U1119="","",INDEX(상세표[18~22시],$U1119))</f>
        <v/>
      </c>
      <c r="S1119" s="20">
        <f>IF($U1119="","",INDEX(상세표[22~06시],$U1119))</f>
        <v/>
      </c>
      <c r="T1119" s="20">
        <f>IF($U1119="","",INDEX(상세표[기록 시간외],$U1119))</f>
        <v/>
      </c>
      <c r="U1119" s="4">
        <f>IFERROR(MATCH(1114,상세표[발송순번],0),"")</f>
        <v/>
      </c>
    </row>
    <row r="1120">
      <c r="J1120">
        <f>IF($U1120="","",INDEX(상세표[사번],$U1120)&amp;"")</f>
        <v/>
      </c>
      <c r="K1120">
        <f>IF($U1120="","",INDEX(상세표[성명],$U1120)&amp;"")</f>
        <v/>
      </c>
      <c r="L1120">
        <f>IF($U1120="","",INDEX(상세표[직위],$U1120)&amp;"")</f>
        <v/>
      </c>
      <c r="M1120">
        <f>IF($U1120="","",IF(ISNUMBER(INDEX(상세표[근무일자],$U1120)),TEXT(INDEX(상세표[근무일자],$U1120),"yyyy-mm-dd"),INDEX(상세표[근무일자],$U1120)&amp;""))</f>
        <v/>
      </c>
      <c r="N1120">
        <f>IF($U1120="","",IF(ISNUMBER(INDEX(상세표[시작],$U1120)),TEXT(INDEX(상세표[시작],$U1120),"yyyy-mm-dd hh:mm"),INDEX(상세표[시작],$U1120)&amp;""))</f>
        <v/>
      </c>
      <c r="O1120">
        <f>IF($U1120="","",IF(ISNUMBER(INDEX(상세표[종료],$U1120)),TEXT(INDEX(상세표[종료],$U1120),"yyyy-mm-dd hh:mm"),INDEX(상세표[종료],$U1120)&amp;""))</f>
        <v/>
      </c>
      <c r="P1120" s="20">
        <f>IF($U1120="","",INDEX(상세표[06~07시],$U1120))</f>
        <v/>
      </c>
      <c r="Q1120" s="20">
        <f>IF($U1120="","",INDEX(상세표[07~18시],$U1120))</f>
        <v/>
      </c>
      <c r="R1120" s="20">
        <f>IF($U1120="","",INDEX(상세표[18~22시],$U1120))</f>
        <v/>
      </c>
      <c r="S1120" s="20">
        <f>IF($U1120="","",INDEX(상세표[22~06시],$U1120))</f>
        <v/>
      </c>
      <c r="T1120" s="20">
        <f>IF($U1120="","",INDEX(상세표[기록 시간외],$U1120))</f>
        <v/>
      </c>
      <c r="U1120" s="4">
        <f>IFERROR(MATCH(1115,상세표[발송순번],0),"")</f>
        <v/>
      </c>
    </row>
    <row r="1121">
      <c r="J1121">
        <f>IF($U1121="","",INDEX(상세표[사번],$U1121)&amp;"")</f>
        <v/>
      </c>
      <c r="K1121">
        <f>IF($U1121="","",INDEX(상세표[성명],$U1121)&amp;"")</f>
        <v/>
      </c>
      <c r="L1121">
        <f>IF($U1121="","",INDEX(상세표[직위],$U1121)&amp;"")</f>
        <v/>
      </c>
      <c r="M1121">
        <f>IF($U1121="","",IF(ISNUMBER(INDEX(상세표[근무일자],$U1121)),TEXT(INDEX(상세표[근무일자],$U1121),"yyyy-mm-dd"),INDEX(상세표[근무일자],$U1121)&amp;""))</f>
        <v/>
      </c>
      <c r="N1121">
        <f>IF($U1121="","",IF(ISNUMBER(INDEX(상세표[시작],$U1121)),TEXT(INDEX(상세표[시작],$U1121),"yyyy-mm-dd hh:mm"),INDEX(상세표[시작],$U1121)&amp;""))</f>
        <v/>
      </c>
      <c r="O1121">
        <f>IF($U1121="","",IF(ISNUMBER(INDEX(상세표[종료],$U1121)),TEXT(INDEX(상세표[종료],$U1121),"yyyy-mm-dd hh:mm"),INDEX(상세표[종료],$U1121)&amp;""))</f>
        <v/>
      </c>
      <c r="P1121" s="20">
        <f>IF($U1121="","",INDEX(상세표[06~07시],$U1121))</f>
        <v/>
      </c>
      <c r="Q1121" s="20">
        <f>IF($U1121="","",INDEX(상세표[07~18시],$U1121))</f>
        <v/>
      </c>
      <c r="R1121" s="20">
        <f>IF($U1121="","",INDEX(상세표[18~22시],$U1121))</f>
        <v/>
      </c>
      <c r="S1121" s="20">
        <f>IF($U1121="","",INDEX(상세표[22~06시],$U1121))</f>
        <v/>
      </c>
      <c r="T1121" s="20">
        <f>IF($U1121="","",INDEX(상세표[기록 시간외],$U1121))</f>
        <v/>
      </c>
      <c r="U1121" s="4">
        <f>IFERROR(MATCH(1116,상세표[발송순번],0),"")</f>
        <v/>
      </c>
    </row>
    <row r="1122">
      <c r="J1122">
        <f>IF($U1122="","",INDEX(상세표[사번],$U1122)&amp;"")</f>
        <v/>
      </c>
      <c r="K1122">
        <f>IF($U1122="","",INDEX(상세표[성명],$U1122)&amp;"")</f>
        <v/>
      </c>
      <c r="L1122">
        <f>IF($U1122="","",INDEX(상세표[직위],$U1122)&amp;"")</f>
        <v/>
      </c>
      <c r="M1122">
        <f>IF($U1122="","",IF(ISNUMBER(INDEX(상세표[근무일자],$U1122)),TEXT(INDEX(상세표[근무일자],$U1122),"yyyy-mm-dd"),INDEX(상세표[근무일자],$U1122)&amp;""))</f>
        <v/>
      </c>
      <c r="N1122">
        <f>IF($U1122="","",IF(ISNUMBER(INDEX(상세표[시작],$U1122)),TEXT(INDEX(상세표[시작],$U1122),"yyyy-mm-dd hh:mm"),INDEX(상세표[시작],$U1122)&amp;""))</f>
        <v/>
      </c>
      <c r="O1122">
        <f>IF($U1122="","",IF(ISNUMBER(INDEX(상세표[종료],$U1122)),TEXT(INDEX(상세표[종료],$U1122),"yyyy-mm-dd hh:mm"),INDEX(상세표[종료],$U1122)&amp;""))</f>
        <v/>
      </c>
      <c r="P1122" s="20">
        <f>IF($U1122="","",INDEX(상세표[06~07시],$U1122))</f>
        <v/>
      </c>
      <c r="Q1122" s="20">
        <f>IF($U1122="","",INDEX(상세표[07~18시],$U1122))</f>
        <v/>
      </c>
      <c r="R1122" s="20">
        <f>IF($U1122="","",INDEX(상세표[18~22시],$U1122))</f>
        <v/>
      </c>
      <c r="S1122" s="20">
        <f>IF($U1122="","",INDEX(상세표[22~06시],$U1122))</f>
        <v/>
      </c>
      <c r="T1122" s="20">
        <f>IF($U1122="","",INDEX(상세표[기록 시간외],$U1122))</f>
        <v/>
      </c>
      <c r="U1122" s="4">
        <f>IFERROR(MATCH(1117,상세표[발송순번],0),"")</f>
        <v/>
      </c>
    </row>
    <row r="1123">
      <c r="J1123">
        <f>IF($U1123="","",INDEX(상세표[사번],$U1123)&amp;"")</f>
        <v/>
      </c>
      <c r="K1123">
        <f>IF($U1123="","",INDEX(상세표[성명],$U1123)&amp;"")</f>
        <v/>
      </c>
      <c r="L1123">
        <f>IF($U1123="","",INDEX(상세표[직위],$U1123)&amp;"")</f>
        <v/>
      </c>
      <c r="M1123">
        <f>IF($U1123="","",IF(ISNUMBER(INDEX(상세표[근무일자],$U1123)),TEXT(INDEX(상세표[근무일자],$U1123),"yyyy-mm-dd"),INDEX(상세표[근무일자],$U1123)&amp;""))</f>
        <v/>
      </c>
      <c r="N1123">
        <f>IF($U1123="","",IF(ISNUMBER(INDEX(상세표[시작],$U1123)),TEXT(INDEX(상세표[시작],$U1123),"yyyy-mm-dd hh:mm"),INDEX(상세표[시작],$U1123)&amp;""))</f>
        <v/>
      </c>
      <c r="O1123">
        <f>IF($U1123="","",IF(ISNUMBER(INDEX(상세표[종료],$U1123)),TEXT(INDEX(상세표[종료],$U1123),"yyyy-mm-dd hh:mm"),INDEX(상세표[종료],$U1123)&amp;""))</f>
        <v/>
      </c>
      <c r="P1123" s="20">
        <f>IF($U1123="","",INDEX(상세표[06~07시],$U1123))</f>
        <v/>
      </c>
      <c r="Q1123" s="20">
        <f>IF($U1123="","",INDEX(상세표[07~18시],$U1123))</f>
        <v/>
      </c>
      <c r="R1123" s="20">
        <f>IF($U1123="","",INDEX(상세표[18~22시],$U1123))</f>
        <v/>
      </c>
      <c r="S1123" s="20">
        <f>IF($U1123="","",INDEX(상세표[22~06시],$U1123))</f>
        <v/>
      </c>
      <c r="T1123" s="20">
        <f>IF($U1123="","",INDEX(상세표[기록 시간외],$U1123))</f>
        <v/>
      </c>
      <c r="U1123" s="4">
        <f>IFERROR(MATCH(1118,상세표[발송순번],0),"")</f>
        <v/>
      </c>
    </row>
    <row r="1124">
      <c r="J1124">
        <f>IF($U1124="","",INDEX(상세표[사번],$U1124)&amp;"")</f>
        <v/>
      </c>
      <c r="K1124">
        <f>IF($U1124="","",INDEX(상세표[성명],$U1124)&amp;"")</f>
        <v/>
      </c>
      <c r="L1124">
        <f>IF($U1124="","",INDEX(상세표[직위],$U1124)&amp;"")</f>
        <v/>
      </c>
      <c r="M1124">
        <f>IF($U1124="","",IF(ISNUMBER(INDEX(상세표[근무일자],$U1124)),TEXT(INDEX(상세표[근무일자],$U1124),"yyyy-mm-dd"),INDEX(상세표[근무일자],$U1124)&amp;""))</f>
        <v/>
      </c>
      <c r="N1124">
        <f>IF($U1124="","",IF(ISNUMBER(INDEX(상세표[시작],$U1124)),TEXT(INDEX(상세표[시작],$U1124),"yyyy-mm-dd hh:mm"),INDEX(상세표[시작],$U1124)&amp;""))</f>
        <v/>
      </c>
      <c r="O1124">
        <f>IF($U1124="","",IF(ISNUMBER(INDEX(상세표[종료],$U1124)),TEXT(INDEX(상세표[종료],$U1124),"yyyy-mm-dd hh:mm"),INDEX(상세표[종료],$U1124)&amp;""))</f>
        <v/>
      </c>
      <c r="P1124" s="20">
        <f>IF($U1124="","",INDEX(상세표[06~07시],$U1124))</f>
        <v/>
      </c>
      <c r="Q1124" s="20">
        <f>IF($U1124="","",INDEX(상세표[07~18시],$U1124))</f>
        <v/>
      </c>
      <c r="R1124" s="20">
        <f>IF($U1124="","",INDEX(상세표[18~22시],$U1124))</f>
        <v/>
      </c>
      <c r="S1124" s="20">
        <f>IF($U1124="","",INDEX(상세표[22~06시],$U1124))</f>
        <v/>
      </c>
      <c r="T1124" s="20">
        <f>IF($U1124="","",INDEX(상세표[기록 시간외],$U1124))</f>
        <v/>
      </c>
      <c r="U1124" s="4">
        <f>IFERROR(MATCH(1119,상세표[발송순번],0),"")</f>
        <v/>
      </c>
    </row>
    <row r="1125">
      <c r="J1125">
        <f>IF($U1125="","",INDEX(상세표[사번],$U1125)&amp;"")</f>
        <v/>
      </c>
      <c r="K1125">
        <f>IF($U1125="","",INDEX(상세표[성명],$U1125)&amp;"")</f>
        <v/>
      </c>
      <c r="L1125">
        <f>IF($U1125="","",INDEX(상세표[직위],$U1125)&amp;"")</f>
        <v/>
      </c>
      <c r="M1125">
        <f>IF($U1125="","",IF(ISNUMBER(INDEX(상세표[근무일자],$U1125)),TEXT(INDEX(상세표[근무일자],$U1125),"yyyy-mm-dd"),INDEX(상세표[근무일자],$U1125)&amp;""))</f>
        <v/>
      </c>
      <c r="N1125">
        <f>IF($U1125="","",IF(ISNUMBER(INDEX(상세표[시작],$U1125)),TEXT(INDEX(상세표[시작],$U1125),"yyyy-mm-dd hh:mm"),INDEX(상세표[시작],$U1125)&amp;""))</f>
        <v/>
      </c>
      <c r="O1125">
        <f>IF($U1125="","",IF(ISNUMBER(INDEX(상세표[종료],$U1125)),TEXT(INDEX(상세표[종료],$U1125),"yyyy-mm-dd hh:mm"),INDEX(상세표[종료],$U1125)&amp;""))</f>
        <v/>
      </c>
      <c r="P1125" s="20">
        <f>IF($U1125="","",INDEX(상세표[06~07시],$U1125))</f>
        <v/>
      </c>
      <c r="Q1125" s="20">
        <f>IF($U1125="","",INDEX(상세표[07~18시],$U1125))</f>
        <v/>
      </c>
      <c r="R1125" s="20">
        <f>IF($U1125="","",INDEX(상세표[18~22시],$U1125))</f>
        <v/>
      </c>
      <c r="S1125" s="20">
        <f>IF($U1125="","",INDEX(상세표[22~06시],$U1125))</f>
        <v/>
      </c>
      <c r="T1125" s="20">
        <f>IF($U1125="","",INDEX(상세표[기록 시간외],$U1125))</f>
        <v/>
      </c>
      <c r="U1125" s="4">
        <f>IFERROR(MATCH(1120,상세표[발송순번],0),"")</f>
        <v/>
      </c>
    </row>
    <row r="1126">
      <c r="J1126">
        <f>IF($U1126="","",INDEX(상세표[사번],$U1126)&amp;"")</f>
        <v/>
      </c>
      <c r="K1126">
        <f>IF($U1126="","",INDEX(상세표[성명],$U1126)&amp;"")</f>
        <v/>
      </c>
      <c r="L1126">
        <f>IF($U1126="","",INDEX(상세표[직위],$U1126)&amp;"")</f>
        <v/>
      </c>
      <c r="M1126">
        <f>IF($U1126="","",IF(ISNUMBER(INDEX(상세표[근무일자],$U1126)),TEXT(INDEX(상세표[근무일자],$U1126),"yyyy-mm-dd"),INDEX(상세표[근무일자],$U1126)&amp;""))</f>
        <v/>
      </c>
      <c r="N1126">
        <f>IF($U1126="","",IF(ISNUMBER(INDEX(상세표[시작],$U1126)),TEXT(INDEX(상세표[시작],$U1126),"yyyy-mm-dd hh:mm"),INDEX(상세표[시작],$U1126)&amp;""))</f>
        <v/>
      </c>
      <c r="O1126">
        <f>IF($U1126="","",IF(ISNUMBER(INDEX(상세표[종료],$U1126)),TEXT(INDEX(상세표[종료],$U1126),"yyyy-mm-dd hh:mm"),INDEX(상세표[종료],$U1126)&amp;""))</f>
        <v/>
      </c>
      <c r="P1126" s="20">
        <f>IF($U1126="","",INDEX(상세표[06~07시],$U1126))</f>
        <v/>
      </c>
      <c r="Q1126" s="20">
        <f>IF($U1126="","",INDEX(상세표[07~18시],$U1126))</f>
        <v/>
      </c>
      <c r="R1126" s="20">
        <f>IF($U1126="","",INDEX(상세표[18~22시],$U1126))</f>
        <v/>
      </c>
      <c r="S1126" s="20">
        <f>IF($U1126="","",INDEX(상세표[22~06시],$U1126))</f>
        <v/>
      </c>
      <c r="T1126" s="20">
        <f>IF($U1126="","",INDEX(상세표[기록 시간외],$U1126))</f>
        <v/>
      </c>
      <c r="U1126" s="4">
        <f>IFERROR(MATCH(1121,상세표[발송순번],0),"")</f>
        <v/>
      </c>
    </row>
    <row r="1127">
      <c r="J1127">
        <f>IF($U1127="","",INDEX(상세표[사번],$U1127)&amp;"")</f>
        <v/>
      </c>
      <c r="K1127">
        <f>IF($U1127="","",INDEX(상세표[성명],$U1127)&amp;"")</f>
        <v/>
      </c>
      <c r="L1127">
        <f>IF($U1127="","",INDEX(상세표[직위],$U1127)&amp;"")</f>
        <v/>
      </c>
      <c r="M1127">
        <f>IF($U1127="","",IF(ISNUMBER(INDEX(상세표[근무일자],$U1127)),TEXT(INDEX(상세표[근무일자],$U1127),"yyyy-mm-dd"),INDEX(상세표[근무일자],$U1127)&amp;""))</f>
        <v/>
      </c>
      <c r="N1127">
        <f>IF($U1127="","",IF(ISNUMBER(INDEX(상세표[시작],$U1127)),TEXT(INDEX(상세표[시작],$U1127),"yyyy-mm-dd hh:mm"),INDEX(상세표[시작],$U1127)&amp;""))</f>
        <v/>
      </c>
      <c r="O1127">
        <f>IF($U1127="","",IF(ISNUMBER(INDEX(상세표[종료],$U1127)),TEXT(INDEX(상세표[종료],$U1127),"yyyy-mm-dd hh:mm"),INDEX(상세표[종료],$U1127)&amp;""))</f>
        <v/>
      </c>
      <c r="P1127" s="20">
        <f>IF($U1127="","",INDEX(상세표[06~07시],$U1127))</f>
        <v/>
      </c>
      <c r="Q1127" s="20">
        <f>IF($U1127="","",INDEX(상세표[07~18시],$U1127))</f>
        <v/>
      </c>
      <c r="R1127" s="20">
        <f>IF($U1127="","",INDEX(상세표[18~22시],$U1127))</f>
        <v/>
      </c>
      <c r="S1127" s="20">
        <f>IF($U1127="","",INDEX(상세표[22~06시],$U1127))</f>
        <v/>
      </c>
      <c r="T1127" s="20">
        <f>IF($U1127="","",INDEX(상세표[기록 시간외],$U1127))</f>
        <v/>
      </c>
      <c r="U1127" s="4">
        <f>IFERROR(MATCH(1122,상세표[발송순번],0),"")</f>
        <v/>
      </c>
    </row>
    <row r="1128">
      <c r="J1128">
        <f>IF($U1128="","",INDEX(상세표[사번],$U1128)&amp;"")</f>
        <v/>
      </c>
      <c r="K1128">
        <f>IF($U1128="","",INDEX(상세표[성명],$U1128)&amp;"")</f>
        <v/>
      </c>
      <c r="L1128">
        <f>IF($U1128="","",INDEX(상세표[직위],$U1128)&amp;"")</f>
        <v/>
      </c>
      <c r="M1128">
        <f>IF($U1128="","",IF(ISNUMBER(INDEX(상세표[근무일자],$U1128)),TEXT(INDEX(상세표[근무일자],$U1128),"yyyy-mm-dd"),INDEX(상세표[근무일자],$U1128)&amp;""))</f>
        <v/>
      </c>
      <c r="N1128">
        <f>IF($U1128="","",IF(ISNUMBER(INDEX(상세표[시작],$U1128)),TEXT(INDEX(상세표[시작],$U1128),"yyyy-mm-dd hh:mm"),INDEX(상세표[시작],$U1128)&amp;""))</f>
        <v/>
      </c>
      <c r="O1128">
        <f>IF($U1128="","",IF(ISNUMBER(INDEX(상세표[종료],$U1128)),TEXT(INDEX(상세표[종료],$U1128),"yyyy-mm-dd hh:mm"),INDEX(상세표[종료],$U1128)&amp;""))</f>
        <v/>
      </c>
      <c r="P1128" s="20">
        <f>IF($U1128="","",INDEX(상세표[06~07시],$U1128))</f>
        <v/>
      </c>
      <c r="Q1128" s="20">
        <f>IF($U1128="","",INDEX(상세표[07~18시],$U1128))</f>
        <v/>
      </c>
      <c r="R1128" s="20">
        <f>IF($U1128="","",INDEX(상세표[18~22시],$U1128))</f>
        <v/>
      </c>
      <c r="S1128" s="20">
        <f>IF($U1128="","",INDEX(상세표[22~06시],$U1128))</f>
        <v/>
      </c>
      <c r="T1128" s="20">
        <f>IF($U1128="","",INDEX(상세표[기록 시간외],$U1128))</f>
        <v/>
      </c>
      <c r="U1128" s="4">
        <f>IFERROR(MATCH(1123,상세표[발송순번],0),"")</f>
        <v/>
      </c>
    </row>
    <row r="1129">
      <c r="J1129">
        <f>IF($U1129="","",INDEX(상세표[사번],$U1129)&amp;"")</f>
        <v/>
      </c>
      <c r="K1129">
        <f>IF($U1129="","",INDEX(상세표[성명],$U1129)&amp;"")</f>
        <v/>
      </c>
      <c r="L1129">
        <f>IF($U1129="","",INDEX(상세표[직위],$U1129)&amp;"")</f>
        <v/>
      </c>
      <c r="M1129">
        <f>IF($U1129="","",IF(ISNUMBER(INDEX(상세표[근무일자],$U1129)),TEXT(INDEX(상세표[근무일자],$U1129),"yyyy-mm-dd"),INDEX(상세표[근무일자],$U1129)&amp;""))</f>
        <v/>
      </c>
      <c r="N1129">
        <f>IF($U1129="","",IF(ISNUMBER(INDEX(상세표[시작],$U1129)),TEXT(INDEX(상세표[시작],$U1129),"yyyy-mm-dd hh:mm"),INDEX(상세표[시작],$U1129)&amp;""))</f>
        <v/>
      </c>
      <c r="O1129">
        <f>IF($U1129="","",IF(ISNUMBER(INDEX(상세표[종료],$U1129)),TEXT(INDEX(상세표[종료],$U1129),"yyyy-mm-dd hh:mm"),INDEX(상세표[종료],$U1129)&amp;""))</f>
        <v/>
      </c>
      <c r="P1129" s="20">
        <f>IF($U1129="","",INDEX(상세표[06~07시],$U1129))</f>
        <v/>
      </c>
      <c r="Q1129" s="20">
        <f>IF($U1129="","",INDEX(상세표[07~18시],$U1129))</f>
        <v/>
      </c>
      <c r="R1129" s="20">
        <f>IF($U1129="","",INDEX(상세표[18~22시],$U1129))</f>
        <v/>
      </c>
      <c r="S1129" s="20">
        <f>IF($U1129="","",INDEX(상세표[22~06시],$U1129))</f>
        <v/>
      </c>
      <c r="T1129" s="20">
        <f>IF($U1129="","",INDEX(상세표[기록 시간외],$U1129))</f>
        <v/>
      </c>
      <c r="U1129" s="4">
        <f>IFERROR(MATCH(1124,상세표[발송순번],0),"")</f>
        <v/>
      </c>
    </row>
    <row r="1130">
      <c r="J1130">
        <f>IF($U1130="","",INDEX(상세표[사번],$U1130)&amp;"")</f>
        <v/>
      </c>
      <c r="K1130">
        <f>IF($U1130="","",INDEX(상세표[성명],$U1130)&amp;"")</f>
        <v/>
      </c>
      <c r="L1130">
        <f>IF($U1130="","",INDEX(상세표[직위],$U1130)&amp;"")</f>
        <v/>
      </c>
      <c r="M1130">
        <f>IF($U1130="","",IF(ISNUMBER(INDEX(상세표[근무일자],$U1130)),TEXT(INDEX(상세표[근무일자],$U1130),"yyyy-mm-dd"),INDEX(상세표[근무일자],$U1130)&amp;""))</f>
        <v/>
      </c>
      <c r="N1130">
        <f>IF($U1130="","",IF(ISNUMBER(INDEX(상세표[시작],$U1130)),TEXT(INDEX(상세표[시작],$U1130),"yyyy-mm-dd hh:mm"),INDEX(상세표[시작],$U1130)&amp;""))</f>
        <v/>
      </c>
      <c r="O1130">
        <f>IF($U1130="","",IF(ISNUMBER(INDEX(상세표[종료],$U1130)),TEXT(INDEX(상세표[종료],$U1130),"yyyy-mm-dd hh:mm"),INDEX(상세표[종료],$U1130)&amp;""))</f>
        <v/>
      </c>
      <c r="P1130" s="20">
        <f>IF($U1130="","",INDEX(상세표[06~07시],$U1130))</f>
        <v/>
      </c>
      <c r="Q1130" s="20">
        <f>IF($U1130="","",INDEX(상세표[07~18시],$U1130))</f>
        <v/>
      </c>
      <c r="R1130" s="20">
        <f>IF($U1130="","",INDEX(상세표[18~22시],$U1130))</f>
        <v/>
      </c>
      <c r="S1130" s="20">
        <f>IF($U1130="","",INDEX(상세표[22~06시],$U1130))</f>
        <v/>
      </c>
      <c r="T1130" s="20">
        <f>IF($U1130="","",INDEX(상세표[기록 시간외],$U1130))</f>
        <v/>
      </c>
      <c r="U1130" s="4">
        <f>IFERROR(MATCH(1125,상세표[발송순번],0),"")</f>
        <v/>
      </c>
    </row>
    <row r="1131">
      <c r="J1131">
        <f>IF($U1131="","",INDEX(상세표[사번],$U1131)&amp;"")</f>
        <v/>
      </c>
      <c r="K1131">
        <f>IF($U1131="","",INDEX(상세표[성명],$U1131)&amp;"")</f>
        <v/>
      </c>
      <c r="L1131">
        <f>IF($U1131="","",INDEX(상세표[직위],$U1131)&amp;"")</f>
        <v/>
      </c>
      <c r="M1131">
        <f>IF($U1131="","",IF(ISNUMBER(INDEX(상세표[근무일자],$U1131)),TEXT(INDEX(상세표[근무일자],$U1131),"yyyy-mm-dd"),INDEX(상세표[근무일자],$U1131)&amp;""))</f>
        <v/>
      </c>
      <c r="N1131">
        <f>IF($U1131="","",IF(ISNUMBER(INDEX(상세표[시작],$U1131)),TEXT(INDEX(상세표[시작],$U1131),"yyyy-mm-dd hh:mm"),INDEX(상세표[시작],$U1131)&amp;""))</f>
        <v/>
      </c>
      <c r="O1131">
        <f>IF($U1131="","",IF(ISNUMBER(INDEX(상세표[종료],$U1131)),TEXT(INDEX(상세표[종료],$U1131),"yyyy-mm-dd hh:mm"),INDEX(상세표[종료],$U1131)&amp;""))</f>
        <v/>
      </c>
      <c r="P1131" s="20">
        <f>IF($U1131="","",INDEX(상세표[06~07시],$U1131))</f>
        <v/>
      </c>
      <c r="Q1131" s="20">
        <f>IF($U1131="","",INDEX(상세표[07~18시],$U1131))</f>
        <v/>
      </c>
      <c r="R1131" s="20">
        <f>IF($U1131="","",INDEX(상세표[18~22시],$U1131))</f>
        <v/>
      </c>
      <c r="S1131" s="20">
        <f>IF($U1131="","",INDEX(상세표[22~06시],$U1131))</f>
        <v/>
      </c>
      <c r="T1131" s="20">
        <f>IF($U1131="","",INDEX(상세표[기록 시간외],$U1131))</f>
        <v/>
      </c>
      <c r="U1131" s="4">
        <f>IFERROR(MATCH(1126,상세표[발송순번],0),"")</f>
        <v/>
      </c>
    </row>
    <row r="1132">
      <c r="J1132">
        <f>IF($U1132="","",INDEX(상세표[사번],$U1132)&amp;"")</f>
        <v/>
      </c>
      <c r="K1132">
        <f>IF($U1132="","",INDEX(상세표[성명],$U1132)&amp;"")</f>
        <v/>
      </c>
      <c r="L1132">
        <f>IF($U1132="","",INDEX(상세표[직위],$U1132)&amp;"")</f>
        <v/>
      </c>
      <c r="M1132">
        <f>IF($U1132="","",IF(ISNUMBER(INDEX(상세표[근무일자],$U1132)),TEXT(INDEX(상세표[근무일자],$U1132),"yyyy-mm-dd"),INDEX(상세표[근무일자],$U1132)&amp;""))</f>
        <v/>
      </c>
      <c r="N1132">
        <f>IF($U1132="","",IF(ISNUMBER(INDEX(상세표[시작],$U1132)),TEXT(INDEX(상세표[시작],$U1132),"yyyy-mm-dd hh:mm"),INDEX(상세표[시작],$U1132)&amp;""))</f>
        <v/>
      </c>
      <c r="O1132">
        <f>IF($U1132="","",IF(ISNUMBER(INDEX(상세표[종료],$U1132)),TEXT(INDEX(상세표[종료],$U1132),"yyyy-mm-dd hh:mm"),INDEX(상세표[종료],$U1132)&amp;""))</f>
        <v/>
      </c>
      <c r="P1132" s="20">
        <f>IF($U1132="","",INDEX(상세표[06~07시],$U1132))</f>
        <v/>
      </c>
      <c r="Q1132" s="20">
        <f>IF($U1132="","",INDEX(상세표[07~18시],$U1132))</f>
        <v/>
      </c>
      <c r="R1132" s="20">
        <f>IF($U1132="","",INDEX(상세표[18~22시],$U1132))</f>
        <v/>
      </c>
      <c r="S1132" s="20">
        <f>IF($U1132="","",INDEX(상세표[22~06시],$U1132))</f>
        <v/>
      </c>
      <c r="T1132" s="20">
        <f>IF($U1132="","",INDEX(상세표[기록 시간외],$U1132))</f>
        <v/>
      </c>
      <c r="U1132" s="4">
        <f>IFERROR(MATCH(1127,상세표[발송순번],0),"")</f>
        <v/>
      </c>
    </row>
    <row r="1133">
      <c r="J1133">
        <f>IF($U1133="","",INDEX(상세표[사번],$U1133)&amp;"")</f>
        <v/>
      </c>
      <c r="K1133">
        <f>IF($U1133="","",INDEX(상세표[성명],$U1133)&amp;"")</f>
        <v/>
      </c>
      <c r="L1133">
        <f>IF($U1133="","",INDEX(상세표[직위],$U1133)&amp;"")</f>
        <v/>
      </c>
      <c r="M1133">
        <f>IF($U1133="","",IF(ISNUMBER(INDEX(상세표[근무일자],$U1133)),TEXT(INDEX(상세표[근무일자],$U1133),"yyyy-mm-dd"),INDEX(상세표[근무일자],$U1133)&amp;""))</f>
        <v/>
      </c>
      <c r="N1133">
        <f>IF($U1133="","",IF(ISNUMBER(INDEX(상세표[시작],$U1133)),TEXT(INDEX(상세표[시작],$U1133),"yyyy-mm-dd hh:mm"),INDEX(상세표[시작],$U1133)&amp;""))</f>
        <v/>
      </c>
      <c r="O1133">
        <f>IF($U1133="","",IF(ISNUMBER(INDEX(상세표[종료],$U1133)),TEXT(INDEX(상세표[종료],$U1133),"yyyy-mm-dd hh:mm"),INDEX(상세표[종료],$U1133)&amp;""))</f>
        <v/>
      </c>
      <c r="P1133" s="20">
        <f>IF($U1133="","",INDEX(상세표[06~07시],$U1133))</f>
        <v/>
      </c>
      <c r="Q1133" s="20">
        <f>IF($U1133="","",INDEX(상세표[07~18시],$U1133))</f>
        <v/>
      </c>
      <c r="R1133" s="20">
        <f>IF($U1133="","",INDEX(상세표[18~22시],$U1133))</f>
        <v/>
      </c>
      <c r="S1133" s="20">
        <f>IF($U1133="","",INDEX(상세표[22~06시],$U1133))</f>
        <v/>
      </c>
      <c r="T1133" s="20">
        <f>IF($U1133="","",INDEX(상세표[기록 시간외],$U1133))</f>
        <v/>
      </c>
      <c r="U1133" s="4">
        <f>IFERROR(MATCH(1128,상세표[발송순번],0),"")</f>
        <v/>
      </c>
    </row>
    <row r="1134">
      <c r="J1134">
        <f>IF($U1134="","",INDEX(상세표[사번],$U1134)&amp;"")</f>
        <v/>
      </c>
      <c r="K1134">
        <f>IF($U1134="","",INDEX(상세표[성명],$U1134)&amp;"")</f>
        <v/>
      </c>
      <c r="L1134">
        <f>IF($U1134="","",INDEX(상세표[직위],$U1134)&amp;"")</f>
        <v/>
      </c>
      <c r="M1134">
        <f>IF($U1134="","",IF(ISNUMBER(INDEX(상세표[근무일자],$U1134)),TEXT(INDEX(상세표[근무일자],$U1134),"yyyy-mm-dd"),INDEX(상세표[근무일자],$U1134)&amp;""))</f>
        <v/>
      </c>
      <c r="N1134">
        <f>IF($U1134="","",IF(ISNUMBER(INDEX(상세표[시작],$U1134)),TEXT(INDEX(상세표[시작],$U1134),"yyyy-mm-dd hh:mm"),INDEX(상세표[시작],$U1134)&amp;""))</f>
        <v/>
      </c>
      <c r="O1134">
        <f>IF($U1134="","",IF(ISNUMBER(INDEX(상세표[종료],$U1134)),TEXT(INDEX(상세표[종료],$U1134),"yyyy-mm-dd hh:mm"),INDEX(상세표[종료],$U1134)&amp;""))</f>
        <v/>
      </c>
      <c r="P1134" s="20">
        <f>IF($U1134="","",INDEX(상세표[06~07시],$U1134))</f>
        <v/>
      </c>
      <c r="Q1134" s="20">
        <f>IF($U1134="","",INDEX(상세표[07~18시],$U1134))</f>
        <v/>
      </c>
      <c r="R1134" s="20">
        <f>IF($U1134="","",INDEX(상세표[18~22시],$U1134))</f>
        <v/>
      </c>
      <c r="S1134" s="20">
        <f>IF($U1134="","",INDEX(상세표[22~06시],$U1134))</f>
        <v/>
      </c>
      <c r="T1134" s="20">
        <f>IF($U1134="","",INDEX(상세표[기록 시간외],$U1134))</f>
        <v/>
      </c>
      <c r="U1134" s="4">
        <f>IFERROR(MATCH(1129,상세표[발송순번],0),"")</f>
        <v/>
      </c>
    </row>
    <row r="1135">
      <c r="J1135">
        <f>IF($U1135="","",INDEX(상세표[사번],$U1135)&amp;"")</f>
        <v/>
      </c>
      <c r="K1135">
        <f>IF($U1135="","",INDEX(상세표[성명],$U1135)&amp;"")</f>
        <v/>
      </c>
      <c r="L1135">
        <f>IF($U1135="","",INDEX(상세표[직위],$U1135)&amp;"")</f>
        <v/>
      </c>
      <c r="M1135">
        <f>IF($U1135="","",IF(ISNUMBER(INDEX(상세표[근무일자],$U1135)),TEXT(INDEX(상세표[근무일자],$U1135),"yyyy-mm-dd"),INDEX(상세표[근무일자],$U1135)&amp;""))</f>
        <v/>
      </c>
      <c r="N1135">
        <f>IF($U1135="","",IF(ISNUMBER(INDEX(상세표[시작],$U1135)),TEXT(INDEX(상세표[시작],$U1135),"yyyy-mm-dd hh:mm"),INDEX(상세표[시작],$U1135)&amp;""))</f>
        <v/>
      </c>
      <c r="O1135">
        <f>IF($U1135="","",IF(ISNUMBER(INDEX(상세표[종료],$U1135)),TEXT(INDEX(상세표[종료],$U1135),"yyyy-mm-dd hh:mm"),INDEX(상세표[종료],$U1135)&amp;""))</f>
        <v/>
      </c>
      <c r="P1135" s="20">
        <f>IF($U1135="","",INDEX(상세표[06~07시],$U1135))</f>
        <v/>
      </c>
      <c r="Q1135" s="20">
        <f>IF($U1135="","",INDEX(상세표[07~18시],$U1135))</f>
        <v/>
      </c>
      <c r="R1135" s="20">
        <f>IF($U1135="","",INDEX(상세표[18~22시],$U1135))</f>
        <v/>
      </c>
      <c r="S1135" s="20">
        <f>IF($U1135="","",INDEX(상세표[22~06시],$U1135))</f>
        <v/>
      </c>
      <c r="T1135" s="20">
        <f>IF($U1135="","",INDEX(상세표[기록 시간외],$U1135))</f>
        <v/>
      </c>
      <c r="U1135" s="4">
        <f>IFERROR(MATCH(1130,상세표[발송순번],0),"")</f>
        <v/>
      </c>
    </row>
    <row r="1136">
      <c r="J1136">
        <f>IF($U1136="","",INDEX(상세표[사번],$U1136)&amp;"")</f>
        <v/>
      </c>
      <c r="K1136">
        <f>IF($U1136="","",INDEX(상세표[성명],$U1136)&amp;"")</f>
        <v/>
      </c>
      <c r="L1136">
        <f>IF($U1136="","",INDEX(상세표[직위],$U1136)&amp;"")</f>
        <v/>
      </c>
      <c r="M1136">
        <f>IF($U1136="","",IF(ISNUMBER(INDEX(상세표[근무일자],$U1136)),TEXT(INDEX(상세표[근무일자],$U1136),"yyyy-mm-dd"),INDEX(상세표[근무일자],$U1136)&amp;""))</f>
        <v/>
      </c>
      <c r="N1136">
        <f>IF($U1136="","",IF(ISNUMBER(INDEX(상세표[시작],$U1136)),TEXT(INDEX(상세표[시작],$U1136),"yyyy-mm-dd hh:mm"),INDEX(상세표[시작],$U1136)&amp;""))</f>
        <v/>
      </c>
      <c r="O1136">
        <f>IF($U1136="","",IF(ISNUMBER(INDEX(상세표[종료],$U1136)),TEXT(INDEX(상세표[종료],$U1136),"yyyy-mm-dd hh:mm"),INDEX(상세표[종료],$U1136)&amp;""))</f>
        <v/>
      </c>
      <c r="P1136" s="20">
        <f>IF($U1136="","",INDEX(상세표[06~07시],$U1136))</f>
        <v/>
      </c>
      <c r="Q1136" s="20">
        <f>IF($U1136="","",INDEX(상세표[07~18시],$U1136))</f>
        <v/>
      </c>
      <c r="R1136" s="20">
        <f>IF($U1136="","",INDEX(상세표[18~22시],$U1136))</f>
        <v/>
      </c>
      <c r="S1136" s="20">
        <f>IF($U1136="","",INDEX(상세표[22~06시],$U1136))</f>
        <v/>
      </c>
      <c r="T1136" s="20">
        <f>IF($U1136="","",INDEX(상세표[기록 시간외],$U1136))</f>
        <v/>
      </c>
      <c r="U1136" s="4">
        <f>IFERROR(MATCH(1131,상세표[발송순번],0),"")</f>
        <v/>
      </c>
    </row>
    <row r="1137">
      <c r="J1137">
        <f>IF($U1137="","",INDEX(상세표[사번],$U1137)&amp;"")</f>
        <v/>
      </c>
      <c r="K1137">
        <f>IF($U1137="","",INDEX(상세표[성명],$U1137)&amp;"")</f>
        <v/>
      </c>
      <c r="L1137">
        <f>IF($U1137="","",INDEX(상세표[직위],$U1137)&amp;"")</f>
        <v/>
      </c>
      <c r="M1137">
        <f>IF($U1137="","",IF(ISNUMBER(INDEX(상세표[근무일자],$U1137)),TEXT(INDEX(상세표[근무일자],$U1137),"yyyy-mm-dd"),INDEX(상세표[근무일자],$U1137)&amp;""))</f>
        <v/>
      </c>
      <c r="N1137">
        <f>IF($U1137="","",IF(ISNUMBER(INDEX(상세표[시작],$U1137)),TEXT(INDEX(상세표[시작],$U1137),"yyyy-mm-dd hh:mm"),INDEX(상세표[시작],$U1137)&amp;""))</f>
        <v/>
      </c>
      <c r="O1137">
        <f>IF($U1137="","",IF(ISNUMBER(INDEX(상세표[종료],$U1137)),TEXT(INDEX(상세표[종료],$U1137),"yyyy-mm-dd hh:mm"),INDEX(상세표[종료],$U1137)&amp;""))</f>
        <v/>
      </c>
      <c r="P1137" s="20">
        <f>IF($U1137="","",INDEX(상세표[06~07시],$U1137))</f>
        <v/>
      </c>
      <c r="Q1137" s="20">
        <f>IF($U1137="","",INDEX(상세표[07~18시],$U1137))</f>
        <v/>
      </c>
      <c r="R1137" s="20">
        <f>IF($U1137="","",INDEX(상세표[18~22시],$U1137))</f>
        <v/>
      </c>
      <c r="S1137" s="20">
        <f>IF($U1137="","",INDEX(상세표[22~06시],$U1137))</f>
        <v/>
      </c>
      <c r="T1137" s="20">
        <f>IF($U1137="","",INDEX(상세표[기록 시간외],$U1137))</f>
        <v/>
      </c>
      <c r="U1137" s="4">
        <f>IFERROR(MATCH(1132,상세표[발송순번],0),"")</f>
        <v/>
      </c>
    </row>
    <row r="1138">
      <c r="J1138">
        <f>IF($U1138="","",INDEX(상세표[사번],$U1138)&amp;"")</f>
        <v/>
      </c>
      <c r="K1138">
        <f>IF($U1138="","",INDEX(상세표[성명],$U1138)&amp;"")</f>
        <v/>
      </c>
      <c r="L1138">
        <f>IF($U1138="","",INDEX(상세표[직위],$U1138)&amp;"")</f>
        <v/>
      </c>
      <c r="M1138">
        <f>IF($U1138="","",IF(ISNUMBER(INDEX(상세표[근무일자],$U1138)),TEXT(INDEX(상세표[근무일자],$U1138),"yyyy-mm-dd"),INDEX(상세표[근무일자],$U1138)&amp;""))</f>
        <v/>
      </c>
      <c r="N1138">
        <f>IF($U1138="","",IF(ISNUMBER(INDEX(상세표[시작],$U1138)),TEXT(INDEX(상세표[시작],$U1138),"yyyy-mm-dd hh:mm"),INDEX(상세표[시작],$U1138)&amp;""))</f>
        <v/>
      </c>
      <c r="O1138">
        <f>IF($U1138="","",IF(ISNUMBER(INDEX(상세표[종료],$U1138)),TEXT(INDEX(상세표[종료],$U1138),"yyyy-mm-dd hh:mm"),INDEX(상세표[종료],$U1138)&amp;""))</f>
        <v/>
      </c>
      <c r="P1138" s="20">
        <f>IF($U1138="","",INDEX(상세표[06~07시],$U1138))</f>
        <v/>
      </c>
      <c r="Q1138" s="20">
        <f>IF($U1138="","",INDEX(상세표[07~18시],$U1138))</f>
        <v/>
      </c>
      <c r="R1138" s="20">
        <f>IF($U1138="","",INDEX(상세표[18~22시],$U1138))</f>
        <v/>
      </c>
      <c r="S1138" s="20">
        <f>IF($U1138="","",INDEX(상세표[22~06시],$U1138))</f>
        <v/>
      </c>
      <c r="T1138" s="20">
        <f>IF($U1138="","",INDEX(상세표[기록 시간외],$U1138))</f>
        <v/>
      </c>
      <c r="U1138" s="4">
        <f>IFERROR(MATCH(1133,상세표[발송순번],0),"")</f>
        <v/>
      </c>
    </row>
    <row r="1139">
      <c r="J1139">
        <f>IF($U1139="","",INDEX(상세표[사번],$U1139)&amp;"")</f>
        <v/>
      </c>
      <c r="K1139">
        <f>IF($U1139="","",INDEX(상세표[성명],$U1139)&amp;"")</f>
        <v/>
      </c>
      <c r="L1139">
        <f>IF($U1139="","",INDEX(상세표[직위],$U1139)&amp;"")</f>
        <v/>
      </c>
      <c r="M1139">
        <f>IF($U1139="","",IF(ISNUMBER(INDEX(상세표[근무일자],$U1139)),TEXT(INDEX(상세표[근무일자],$U1139),"yyyy-mm-dd"),INDEX(상세표[근무일자],$U1139)&amp;""))</f>
        <v/>
      </c>
      <c r="N1139">
        <f>IF($U1139="","",IF(ISNUMBER(INDEX(상세표[시작],$U1139)),TEXT(INDEX(상세표[시작],$U1139),"yyyy-mm-dd hh:mm"),INDEX(상세표[시작],$U1139)&amp;""))</f>
        <v/>
      </c>
      <c r="O1139">
        <f>IF($U1139="","",IF(ISNUMBER(INDEX(상세표[종료],$U1139)),TEXT(INDEX(상세표[종료],$U1139),"yyyy-mm-dd hh:mm"),INDEX(상세표[종료],$U1139)&amp;""))</f>
        <v/>
      </c>
      <c r="P1139" s="20">
        <f>IF($U1139="","",INDEX(상세표[06~07시],$U1139))</f>
        <v/>
      </c>
      <c r="Q1139" s="20">
        <f>IF($U1139="","",INDEX(상세표[07~18시],$U1139))</f>
        <v/>
      </c>
      <c r="R1139" s="20">
        <f>IF($U1139="","",INDEX(상세표[18~22시],$U1139))</f>
        <v/>
      </c>
      <c r="S1139" s="20">
        <f>IF($U1139="","",INDEX(상세표[22~06시],$U1139))</f>
        <v/>
      </c>
      <c r="T1139" s="20">
        <f>IF($U1139="","",INDEX(상세표[기록 시간외],$U1139))</f>
        <v/>
      </c>
      <c r="U1139" s="4">
        <f>IFERROR(MATCH(1134,상세표[발송순번],0),"")</f>
        <v/>
      </c>
    </row>
    <row r="1140">
      <c r="J1140">
        <f>IF($U1140="","",INDEX(상세표[사번],$U1140)&amp;"")</f>
        <v/>
      </c>
      <c r="K1140">
        <f>IF($U1140="","",INDEX(상세표[성명],$U1140)&amp;"")</f>
        <v/>
      </c>
      <c r="L1140">
        <f>IF($U1140="","",INDEX(상세표[직위],$U1140)&amp;"")</f>
        <v/>
      </c>
      <c r="M1140">
        <f>IF($U1140="","",IF(ISNUMBER(INDEX(상세표[근무일자],$U1140)),TEXT(INDEX(상세표[근무일자],$U1140),"yyyy-mm-dd"),INDEX(상세표[근무일자],$U1140)&amp;""))</f>
        <v/>
      </c>
      <c r="N1140">
        <f>IF($U1140="","",IF(ISNUMBER(INDEX(상세표[시작],$U1140)),TEXT(INDEX(상세표[시작],$U1140),"yyyy-mm-dd hh:mm"),INDEX(상세표[시작],$U1140)&amp;""))</f>
        <v/>
      </c>
      <c r="O1140">
        <f>IF($U1140="","",IF(ISNUMBER(INDEX(상세표[종료],$U1140)),TEXT(INDEX(상세표[종료],$U1140),"yyyy-mm-dd hh:mm"),INDEX(상세표[종료],$U1140)&amp;""))</f>
        <v/>
      </c>
      <c r="P1140" s="20">
        <f>IF($U1140="","",INDEX(상세표[06~07시],$U1140))</f>
        <v/>
      </c>
      <c r="Q1140" s="20">
        <f>IF($U1140="","",INDEX(상세표[07~18시],$U1140))</f>
        <v/>
      </c>
      <c r="R1140" s="20">
        <f>IF($U1140="","",INDEX(상세표[18~22시],$U1140))</f>
        <v/>
      </c>
      <c r="S1140" s="20">
        <f>IF($U1140="","",INDEX(상세표[22~06시],$U1140))</f>
        <v/>
      </c>
      <c r="T1140" s="20">
        <f>IF($U1140="","",INDEX(상세표[기록 시간외],$U1140))</f>
        <v/>
      </c>
      <c r="U1140" s="4">
        <f>IFERROR(MATCH(1135,상세표[발송순번],0),"")</f>
        <v/>
      </c>
    </row>
    <row r="1141">
      <c r="J1141">
        <f>IF($U1141="","",INDEX(상세표[사번],$U1141)&amp;"")</f>
        <v/>
      </c>
      <c r="K1141">
        <f>IF($U1141="","",INDEX(상세표[성명],$U1141)&amp;"")</f>
        <v/>
      </c>
      <c r="L1141">
        <f>IF($U1141="","",INDEX(상세표[직위],$U1141)&amp;"")</f>
        <v/>
      </c>
      <c r="M1141">
        <f>IF($U1141="","",IF(ISNUMBER(INDEX(상세표[근무일자],$U1141)),TEXT(INDEX(상세표[근무일자],$U1141),"yyyy-mm-dd"),INDEX(상세표[근무일자],$U1141)&amp;""))</f>
        <v/>
      </c>
      <c r="N1141">
        <f>IF($U1141="","",IF(ISNUMBER(INDEX(상세표[시작],$U1141)),TEXT(INDEX(상세표[시작],$U1141),"yyyy-mm-dd hh:mm"),INDEX(상세표[시작],$U1141)&amp;""))</f>
        <v/>
      </c>
      <c r="O1141">
        <f>IF($U1141="","",IF(ISNUMBER(INDEX(상세표[종료],$U1141)),TEXT(INDEX(상세표[종료],$U1141),"yyyy-mm-dd hh:mm"),INDEX(상세표[종료],$U1141)&amp;""))</f>
        <v/>
      </c>
      <c r="P1141" s="20">
        <f>IF($U1141="","",INDEX(상세표[06~07시],$U1141))</f>
        <v/>
      </c>
      <c r="Q1141" s="20">
        <f>IF($U1141="","",INDEX(상세표[07~18시],$U1141))</f>
        <v/>
      </c>
      <c r="R1141" s="20">
        <f>IF($U1141="","",INDEX(상세표[18~22시],$U1141))</f>
        <v/>
      </c>
      <c r="S1141" s="20">
        <f>IF($U1141="","",INDEX(상세표[22~06시],$U1141))</f>
        <v/>
      </c>
      <c r="T1141" s="20">
        <f>IF($U1141="","",INDEX(상세표[기록 시간외],$U1141))</f>
        <v/>
      </c>
      <c r="U1141" s="4">
        <f>IFERROR(MATCH(1136,상세표[발송순번],0),"")</f>
        <v/>
      </c>
    </row>
    <row r="1142">
      <c r="J1142">
        <f>IF($U1142="","",INDEX(상세표[사번],$U1142)&amp;"")</f>
        <v/>
      </c>
      <c r="K1142">
        <f>IF($U1142="","",INDEX(상세표[성명],$U1142)&amp;"")</f>
        <v/>
      </c>
      <c r="L1142">
        <f>IF($U1142="","",INDEX(상세표[직위],$U1142)&amp;"")</f>
        <v/>
      </c>
      <c r="M1142">
        <f>IF($U1142="","",IF(ISNUMBER(INDEX(상세표[근무일자],$U1142)),TEXT(INDEX(상세표[근무일자],$U1142),"yyyy-mm-dd"),INDEX(상세표[근무일자],$U1142)&amp;""))</f>
        <v/>
      </c>
      <c r="N1142">
        <f>IF($U1142="","",IF(ISNUMBER(INDEX(상세표[시작],$U1142)),TEXT(INDEX(상세표[시작],$U1142),"yyyy-mm-dd hh:mm"),INDEX(상세표[시작],$U1142)&amp;""))</f>
        <v/>
      </c>
      <c r="O1142">
        <f>IF($U1142="","",IF(ISNUMBER(INDEX(상세표[종료],$U1142)),TEXT(INDEX(상세표[종료],$U1142),"yyyy-mm-dd hh:mm"),INDEX(상세표[종료],$U1142)&amp;""))</f>
        <v/>
      </c>
      <c r="P1142" s="20">
        <f>IF($U1142="","",INDEX(상세표[06~07시],$U1142))</f>
        <v/>
      </c>
      <c r="Q1142" s="20">
        <f>IF($U1142="","",INDEX(상세표[07~18시],$U1142))</f>
        <v/>
      </c>
      <c r="R1142" s="20">
        <f>IF($U1142="","",INDEX(상세표[18~22시],$U1142))</f>
        <v/>
      </c>
      <c r="S1142" s="20">
        <f>IF($U1142="","",INDEX(상세표[22~06시],$U1142))</f>
        <v/>
      </c>
      <c r="T1142" s="20">
        <f>IF($U1142="","",INDEX(상세표[기록 시간외],$U1142))</f>
        <v/>
      </c>
      <c r="U1142" s="4">
        <f>IFERROR(MATCH(1137,상세표[발송순번],0),"")</f>
        <v/>
      </c>
    </row>
    <row r="1143">
      <c r="J1143">
        <f>IF($U1143="","",INDEX(상세표[사번],$U1143)&amp;"")</f>
        <v/>
      </c>
      <c r="K1143">
        <f>IF($U1143="","",INDEX(상세표[성명],$U1143)&amp;"")</f>
        <v/>
      </c>
      <c r="L1143">
        <f>IF($U1143="","",INDEX(상세표[직위],$U1143)&amp;"")</f>
        <v/>
      </c>
      <c r="M1143">
        <f>IF($U1143="","",IF(ISNUMBER(INDEX(상세표[근무일자],$U1143)),TEXT(INDEX(상세표[근무일자],$U1143),"yyyy-mm-dd"),INDEX(상세표[근무일자],$U1143)&amp;""))</f>
        <v/>
      </c>
      <c r="N1143">
        <f>IF($U1143="","",IF(ISNUMBER(INDEX(상세표[시작],$U1143)),TEXT(INDEX(상세표[시작],$U1143),"yyyy-mm-dd hh:mm"),INDEX(상세표[시작],$U1143)&amp;""))</f>
        <v/>
      </c>
      <c r="O1143">
        <f>IF($U1143="","",IF(ISNUMBER(INDEX(상세표[종료],$U1143)),TEXT(INDEX(상세표[종료],$U1143),"yyyy-mm-dd hh:mm"),INDEX(상세표[종료],$U1143)&amp;""))</f>
        <v/>
      </c>
      <c r="P1143" s="20">
        <f>IF($U1143="","",INDEX(상세표[06~07시],$U1143))</f>
        <v/>
      </c>
      <c r="Q1143" s="20">
        <f>IF($U1143="","",INDEX(상세표[07~18시],$U1143))</f>
        <v/>
      </c>
      <c r="R1143" s="20">
        <f>IF($U1143="","",INDEX(상세표[18~22시],$U1143))</f>
        <v/>
      </c>
      <c r="S1143" s="20">
        <f>IF($U1143="","",INDEX(상세표[22~06시],$U1143))</f>
        <v/>
      </c>
      <c r="T1143" s="20">
        <f>IF($U1143="","",INDEX(상세표[기록 시간외],$U1143))</f>
        <v/>
      </c>
      <c r="U1143" s="4">
        <f>IFERROR(MATCH(1138,상세표[발송순번],0),"")</f>
        <v/>
      </c>
    </row>
    <row r="1144">
      <c r="J1144">
        <f>IF($U1144="","",INDEX(상세표[사번],$U1144)&amp;"")</f>
        <v/>
      </c>
      <c r="K1144">
        <f>IF($U1144="","",INDEX(상세표[성명],$U1144)&amp;"")</f>
        <v/>
      </c>
      <c r="L1144">
        <f>IF($U1144="","",INDEX(상세표[직위],$U1144)&amp;"")</f>
        <v/>
      </c>
      <c r="M1144">
        <f>IF($U1144="","",IF(ISNUMBER(INDEX(상세표[근무일자],$U1144)),TEXT(INDEX(상세표[근무일자],$U1144),"yyyy-mm-dd"),INDEX(상세표[근무일자],$U1144)&amp;""))</f>
        <v/>
      </c>
      <c r="N1144">
        <f>IF($U1144="","",IF(ISNUMBER(INDEX(상세표[시작],$U1144)),TEXT(INDEX(상세표[시작],$U1144),"yyyy-mm-dd hh:mm"),INDEX(상세표[시작],$U1144)&amp;""))</f>
        <v/>
      </c>
      <c r="O1144">
        <f>IF($U1144="","",IF(ISNUMBER(INDEX(상세표[종료],$U1144)),TEXT(INDEX(상세표[종료],$U1144),"yyyy-mm-dd hh:mm"),INDEX(상세표[종료],$U1144)&amp;""))</f>
        <v/>
      </c>
      <c r="P1144" s="20">
        <f>IF($U1144="","",INDEX(상세표[06~07시],$U1144))</f>
        <v/>
      </c>
      <c r="Q1144" s="20">
        <f>IF($U1144="","",INDEX(상세표[07~18시],$U1144))</f>
        <v/>
      </c>
      <c r="R1144" s="20">
        <f>IF($U1144="","",INDEX(상세표[18~22시],$U1144))</f>
        <v/>
      </c>
      <c r="S1144" s="20">
        <f>IF($U1144="","",INDEX(상세표[22~06시],$U1144))</f>
        <v/>
      </c>
      <c r="T1144" s="20">
        <f>IF($U1144="","",INDEX(상세표[기록 시간외],$U1144))</f>
        <v/>
      </c>
      <c r="U1144" s="4">
        <f>IFERROR(MATCH(1139,상세표[발송순번],0),"")</f>
        <v/>
      </c>
    </row>
    <row r="1145">
      <c r="J1145">
        <f>IF($U1145="","",INDEX(상세표[사번],$U1145)&amp;"")</f>
        <v/>
      </c>
      <c r="K1145">
        <f>IF($U1145="","",INDEX(상세표[성명],$U1145)&amp;"")</f>
        <v/>
      </c>
      <c r="L1145">
        <f>IF($U1145="","",INDEX(상세표[직위],$U1145)&amp;"")</f>
        <v/>
      </c>
      <c r="M1145">
        <f>IF($U1145="","",IF(ISNUMBER(INDEX(상세표[근무일자],$U1145)),TEXT(INDEX(상세표[근무일자],$U1145),"yyyy-mm-dd"),INDEX(상세표[근무일자],$U1145)&amp;""))</f>
        <v/>
      </c>
      <c r="N1145">
        <f>IF($U1145="","",IF(ISNUMBER(INDEX(상세표[시작],$U1145)),TEXT(INDEX(상세표[시작],$U1145),"yyyy-mm-dd hh:mm"),INDEX(상세표[시작],$U1145)&amp;""))</f>
        <v/>
      </c>
      <c r="O1145">
        <f>IF($U1145="","",IF(ISNUMBER(INDEX(상세표[종료],$U1145)),TEXT(INDEX(상세표[종료],$U1145),"yyyy-mm-dd hh:mm"),INDEX(상세표[종료],$U1145)&amp;""))</f>
        <v/>
      </c>
      <c r="P1145" s="20">
        <f>IF($U1145="","",INDEX(상세표[06~07시],$U1145))</f>
        <v/>
      </c>
      <c r="Q1145" s="20">
        <f>IF($U1145="","",INDEX(상세표[07~18시],$U1145))</f>
        <v/>
      </c>
      <c r="R1145" s="20">
        <f>IF($U1145="","",INDEX(상세표[18~22시],$U1145))</f>
        <v/>
      </c>
      <c r="S1145" s="20">
        <f>IF($U1145="","",INDEX(상세표[22~06시],$U1145))</f>
        <v/>
      </c>
      <c r="T1145" s="20">
        <f>IF($U1145="","",INDEX(상세표[기록 시간외],$U1145))</f>
        <v/>
      </c>
      <c r="U1145" s="4">
        <f>IFERROR(MATCH(1140,상세표[발송순번],0),"")</f>
        <v/>
      </c>
    </row>
    <row r="1146">
      <c r="J1146">
        <f>IF($U1146="","",INDEX(상세표[사번],$U1146)&amp;"")</f>
        <v/>
      </c>
      <c r="K1146">
        <f>IF($U1146="","",INDEX(상세표[성명],$U1146)&amp;"")</f>
        <v/>
      </c>
      <c r="L1146">
        <f>IF($U1146="","",INDEX(상세표[직위],$U1146)&amp;"")</f>
        <v/>
      </c>
      <c r="M1146">
        <f>IF($U1146="","",IF(ISNUMBER(INDEX(상세표[근무일자],$U1146)),TEXT(INDEX(상세표[근무일자],$U1146),"yyyy-mm-dd"),INDEX(상세표[근무일자],$U1146)&amp;""))</f>
        <v/>
      </c>
      <c r="N1146">
        <f>IF($U1146="","",IF(ISNUMBER(INDEX(상세표[시작],$U1146)),TEXT(INDEX(상세표[시작],$U1146),"yyyy-mm-dd hh:mm"),INDEX(상세표[시작],$U1146)&amp;""))</f>
        <v/>
      </c>
      <c r="O1146">
        <f>IF($U1146="","",IF(ISNUMBER(INDEX(상세표[종료],$U1146)),TEXT(INDEX(상세표[종료],$U1146),"yyyy-mm-dd hh:mm"),INDEX(상세표[종료],$U1146)&amp;""))</f>
        <v/>
      </c>
      <c r="P1146" s="20">
        <f>IF($U1146="","",INDEX(상세표[06~07시],$U1146))</f>
        <v/>
      </c>
      <c r="Q1146" s="20">
        <f>IF($U1146="","",INDEX(상세표[07~18시],$U1146))</f>
        <v/>
      </c>
      <c r="R1146" s="20">
        <f>IF($U1146="","",INDEX(상세표[18~22시],$U1146))</f>
        <v/>
      </c>
      <c r="S1146" s="20">
        <f>IF($U1146="","",INDEX(상세표[22~06시],$U1146))</f>
        <v/>
      </c>
      <c r="T1146" s="20">
        <f>IF($U1146="","",INDEX(상세표[기록 시간외],$U1146))</f>
        <v/>
      </c>
      <c r="U1146" s="4">
        <f>IFERROR(MATCH(1141,상세표[발송순번],0),"")</f>
        <v/>
      </c>
    </row>
    <row r="1147">
      <c r="J1147">
        <f>IF($U1147="","",INDEX(상세표[사번],$U1147)&amp;"")</f>
        <v/>
      </c>
      <c r="K1147">
        <f>IF($U1147="","",INDEX(상세표[성명],$U1147)&amp;"")</f>
        <v/>
      </c>
      <c r="L1147">
        <f>IF($U1147="","",INDEX(상세표[직위],$U1147)&amp;"")</f>
        <v/>
      </c>
      <c r="M1147">
        <f>IF($U1147="","",IF(ISNUMBER(INDEX(상세표[근무일자],$U1147)),TEXT(INDEX(상세표[근무일자],$U1147),"yyyy-mm-dd"),INDEX(상세표[근무일자],$U1147)&amp;""))</f>
        <v/>
      </c>
      <c r="N1147">
        <f>IF($U1147="","",IF(ISNUMBER(INDEX(상세표[시작],$U1147)),TEXT(INDEX(상세표[시작],$U1147),"yyyy-mm-dd hh:mm"),INDEX(상세표[시작],$U1147)&amp;""))</f>
        <v/>
      </c>
      <c r="O1147">
        <f>IF($U1147="","",IF(ISNUMBER(INDEX(상세표[종료],$U1147)),TEXT(INDEX(상세표[종료],$U1147),"yyyy-mm-dd hh:mm"),INDEX(상세표[종료],$U1147)&amp;""))</f>
        <v/>
      </c>
      <c r="P1147" s="20">
        <f>IF($U1147="","",INDEX(상세표[06~07시],$U1147))</f>
        <v/>
      </c>
      <c r="Q1147" s="20">
        <f>IF($U1147="","",INDEX(상세표[07~18시],$U1147))</f>
        <v/>
      </c>
      <c r="R1147" s="20">
        <f>IF($U1147="","",INDEX(상세표[18~22시],$U1147))</f>
        <v/>
      </c>
      <c r="S1147" s="20">
        <f>IF($U1147="","",INDEX(상세표[22~06시],$U1147))</f>
        <v/>
      </c>
      <c r="T1147" s="20">
        <f>IF($U1147="","",INDEX(상세표[기록 시간외],$U1147))</f>
        <v/>
      </c>
      <c r="U1147" s="4">
        <f>IFERROR(MATCH(1142,상세표[발송순번],0),"")</f>
        <v/>
      </c>
    </row>
    <row r="1148">
      <c r="J1148">
        <f>IF($U1148="","",INDEX(상세표[사번],$U1148)&amp;"")</f>
        <v/>
      </c>
      <c r="K1148">
        <f>IF($U1148="","",INDEX(상세표[성명],$U1148)&amp;"")</f>
        <v/>
      </c>
      <c r="L1148">
        <f>IF($U1148="","",INDEX(상세표[직위],$U1148)&amp;"")</f>
        <v/>
      </c>
      <c r="M1148">
        <f>IF($U1148="","",IF(ISNUMBER(INDEX(상세표[근무일자],$U1148)),TEXT(INDEX(상세표[근무일자],$U1148),"yyyy-mm-dd"),INDEX(상세표[근무일자],$U1148)&amp;""))</f>
        <v/>
      </c>
      <c r="N1148">
        <f>IF($U1148="","",IF(ISNUMBER(INDEX(상세표[시작],$U1148)),TEXT(INDEX(상세표[시작],$U1148),"yyyy-mm-dd hh:mm"),INDEX(상세표[시작],$U1148)&amp;""))</f>
        <v/>
      </c>
      <c r="O1148">
        <f>IF($U1148="","",IF(ISNUMBER(INDEX(상세표[종료],$U1148)),TEXT(INDEX(상세표[종료],$U1148),"yyyy-mm-dd hh:mm"),INDEX(상세표[종료],$U1148)&amp;""))</f>
        <v/>
      </c>
      <c r="P1148" s="20">
        <f>IF($U1148="","",INDEX(상세표[06~07시],$U1148))</f>
        <v/>
      </c>
      <c r="Q1148" s="20">
        <f>IF($U1148="","",INDEX(상세표[07~18시],$U1148))</f>
        <v/>
      </c>
      <c r="R1148" s="20">
        <f>IF($U1148="","",INDEX(상세표[18~22시],$U1148))</f>
        <v/>
      </c>
      <c r="S1148" s="20">
        <f>IF($U1148="","",INDEX(상세표[22~06시],$U1148))</f>
        <v/>
      </c>
      <c r="T1148" s="20">
        <f>IF($U1148="","",INDEX(상세표[기록 시간외],$U1148))</f>
        <v/>
      </c>
      <c r="U1148" s="4">
        <f>IFERROR(MATCH(1143,상세표[발송순번],0),"")</f>
        <v/>
      </c>
    </row>
    <row r="1149">
      <c r="J1149">
        <f>IF($U1149="","",INDEX(상세표[사번],$U1149)&amp;"")</f>
        <v/>
      </c>
      <c r="K1149">
        <f>IF($U1149="","",INDEX(상세표[성명],$U1149)&amp;"")</f>
        <v/>
      </c>
      <c r="L1149">
        <f>IF($U1149="","",INDEX(상세표[직위],$U1149)&amp;"")</f>
        <v/>
      </c>
      <c r="M1149">
        <f>IF($U1149="","",IF(ISNUMBER(INDEX(상세표[근무일자],$U1149)),TEXT(INDEX(상세표[근무일자],$U1149),"yyyy-mm-dd"),INDEX(상세표[근무일자],$U1149)&amp;""))</f>
        <v/>
      </c>
      <c r="N1149">
        <f>IF($U1149="","",IF(ISNUMBER(INDEX(상세표[시작],$U1149)),TEXT(INDEX(상세표[시작],$U1149),"yyyy-mm-dd hh:mm"),INDEX(상세표[시작],$U1149)&amp;""))</f>
        <v/>
      </c>
      <c r="O1149">
        <f>IF($U1149="","",IF(ISNUMBER(INDEX(상세표[종료],$U1149)),TEXT(INDEX(상세표[종료],$U1149),"yyyy-mm-dd hh:mm"),INDEX(상세표[종료],$U1149)&amp;""))</f>
        <v/>
      </c>
      <c r="P1149" s="20">
        <f>IF($U1149="","",INDEX(상세표[06~07시],$U1149))</f>
        <v/>
      </c>
      <c r="Q1149" s="20">
        <f>IF($U1149="","",INDEX(상세표[07~18시],$U1149))</f>
        <v/>
      </c>
      <c r="R1149" s="20">
        <f>IF($U1149="","",INDEX(상세표[18~22시],$U1149))</f>
        <v/>
      </c>
      <c r="S1149" s="20">
        <f>IF($U1149="","",INDEX(상세표[22~06시],$U1149))</f>
        <v/>
      </c>
      <c r="T1149" s="20">
        <f>IF($U1149="","",INDEX(상세표[기록 시간외],$U1149))</f>
        <v/>
      </c>
      <c r="U1149" s="4">
        <f>IFERROR(MATCH(1144,상세표[발송순번],0),"")</f>
        <v/>
      </c>
    </row>
    <row r="1150">
      <c r="J1150">
        <f>IF($U1150="","",INDEX(상세표[사번],$U1150)&amp;"")</f>
        <v/>
      </c>
      <c r="K1150">
        <f>IF($U1150="","",INDEX(상세표[성명],$U1150)&amp;"")</f>
        <v/>
      </c>
      <c r="L1150">
        <f>IF($U1150="","",INDEX(상세표[직위],$U1150)&amp;"")</f>
        <v/>
      </c>
      <c r="M1150">
        <f>IF($U1150="","",IF(ISNUMBER(INDEX(상세표[근무일자],$U1150)),TEXT(INDEX(상세표[근무일자],$U1150),"yyyy-mm-dd"),INDEX(상세표[근무일자],$U1150)&amp;""))</f>
        <v/>
      </c>
      <c r="N1150">
        <f>IF($U1150="","",IF(ISNUMBER(INDEX(상세표[시작],$U1150)),TEXT(INDEX(상세표[시작],$U1150),"yyyy-mm-dd hh:mm"),INDEX(상세표[시작],$U1150)&amp;""))</f>
        <v/>
      </c>
      <c r="O1150">
        <f>IF($U1150="","",IF(ISNUMBER(INDEX(상세표[종료],$U1150)),TEXT(INDEX(상세표[종료],$U1150),"yyyy-mm-dd hh:mm"),INDEX(상세표[종료],$U1150)&amp;""))</f>
        <v/>
      </c>
      <c r="P1150" s="20">
        <f>IF($U1150="","",INDEX(상세표[06~07시],$U1150))</f>
        <v/>
      </c>
      <c r="Q1150" s="20">
        <f>IF($U1150="","",INDEX(상세표[07~18시],$U1150))</f>
        <v/>
      </c>
      <c r="R1150" s="20">
        <f>IF($U1150="","",INDEX(상세표[18~22시],$U1150))</f>
        <v/>
      </c>
      <c r="S1150" s="20">
        <f>IF($U1150="","",INDEX(상세표[22~06시],$U1150))</f>
        <v/>
      </c>
      <c r="T1150" s="20">
        <f>IF($U1150="","",INDEX(상세표[기록 시간외],$U1150))</f>
        <v/>
      </c>
      <c r="U1150" s="4">
        <f>IFERROR(MATCH(1145,상세표[발송순번],0),"")</f>
        <v/>
      </c>
    </row>
    <row r="1151">
      <c r="J1151">
        <f>IF($U1151="","",INDEX(상세표[사번],$U1151)&amp;"")</f>
        <v/>
      </c>
      <c r="K1151">
        <f>IF($U1151="","",INDEX(상세표[성명],$U1151)&amp;"")</f>
        <v/>
      </c>
      <c r="L1151">
        <f>IF($U1151="","",INDEX(상세표[직위],$U1151)&amp;"")</f>
        <v/>
      </c>
      <c r="M1151">
        <f>IF($U1151="","",IF(ISNUMBER(INDEX(상세표[근무일자],$U1151)),TEXT(INDEX(상세표[근무일자],$U1151),"yyyy-mm-dd"),INDEX(상세표[근무일자],$U1151)&amp;""))</f>
        <v/>
      </c>
      <c r="N1151">
        <f>IF($U1151="","",IF(ISNUMBER(INDEX(상세표[시작],$U1151)),TEXT(INDEX(상세표[시작],$U1151),"yyyy-mm-dd hh:mm"),INDEX(상세표[시작],$U1151)&amp;""))</f>
        <v/>
      </c>
      <c r="O1151">
        <f>IF($U1151="","",IF(ISNUMBER(INDEX(상세표[종료],$U1151)),TEXT(INDEX(상세표[종료],$U1151),"yyyy-mm-dd hh:mm"),INDEX(상세표[종료],$U1151)&amp;""))</f>
        <v/>
      </c>
      <c r="P1151" s="20">
        <f>IF($U1151="","",INDEX(상세표[06~07시],$U1151))</f>
        <v/>
      </c>
      <c r="Q1151" s="20">
        <f>IF($U1151="","",INDEX(상세표[07~18시],$U1151))</f>
        <v/>
      </c>
      <c r="R1151" s="20">
        <f>IF($U1151="","",INDEX(상세표[18~22시],$U1151))</f>
        <v/>
      </c>
      <c r="S1151" s="20">
        <f>IF($U1151="","",INDEX(상세표[22~06시],$U1151))</f>
        <v/>
      </c>
      <c r="T1151" s="20">
        <f>IF($U1151="","",INDEX(상세표[기록 시간외],$U1151))</f>
        <v/>
      </c>
      <c r="U1151" s="4">
        <f>IFERROR(MATCH(1146,상세표[발송순번],0),"")</f>
        <v/>
      </c>
    </row>
    <row r="1152">
      <c r="J1152">
        <f>IF($U1152="","",INDEX(상세표[사번],$U1152)&amp;"")</f>
        <v/>
      </c>
      <c r="K1152">
        <f>IF($U1152="","",INDEX(상세표[성명],$U1152)&amp;"")</f>
        <v/>
      </c>
      <c r="L1152">
        <f>IF($U1152="","",INDEX(상세표[직위],$U1152)&amp;"")</f>
        <v/>
      </c>
      <c r="M1152">
        <f>IF($U1152="","",IF(ISNUMBER(INDEX(상세표[근무일자],$U1152)),TEXT(INDEX(상세표[근무일자],$U1152),"yyyy-mm-dd"),INDEX(상세표[근무일자],$U1152)&amp;""))</f>
        <v/>
      </c>
      <c r="N1152">
        <f>IF($U1152="","",IF(ISNUMBER(INDEX(상세표[시작],$U1152)),TEXT(INDEX(상세표[시작],$U1152),"yyyy-mm-dd hh:mm"),INDEX(상세표[시작],$U1152)&amp;""))</f>
        <v/>
      </c>
      <c r="O1152">
        <f>IF($U1152="","",IF(ISNUMBER(INDEX(상세표[종료],$U1152)),TEXT(INDEX(상세표[종료],$U1152),"yyyy-mm-dd hh:mm"),INDEX(상세표[종료],$U1152)&amp;""))</f>
        <v/>
      </c>
      <c r="P1152" s="20">
        <f>IF($U1152="","",INDEX(상세표[06~07시],$U1152))</f>
        <v/>
      </c>
      <c r="Q1152" s="20">
        <f>IF($U1152="","",INDEX(상세표[07~18시],$U1152))</f>
        <v/>
      </c>
      <c r="R1152" s="20">
        <f>IF($U1152="","",INDEX(상세표[18~22시],$U1152))</f>
        <v/>
      </c>
      <c r="S1152" s="20">
        <f>IF($U1152="","",INDEX(상세표[22~06시],$U1152))</f>
        <v/>
      </c>
      <c r="T1152" s="20">
        <f>IF($U1152="","",INDEX(상세표[기록 시간외],$U1152))</f>
        <v/>
      </c>
      <c r="U1152" s="4">
        <f>IFERROR(MATCH(1147,상세표[발송순번],0),"")</f>
        <v/>
      </c>
    </row>
    <row r="1153">
      <c r="J1153">
        <f>IF($U1153="","",INDEX(상세표[사번],$U1153)&amp;"")</f>
        <v/>
      </c>
      <c r="K1153">
        <f>IF($U1153="","",INDEX(상세표[성명],$U1153)&amp;"")</f>
        <v/>
      </c>
      <c r="L1153">
        <f>IF($U1153="","",INDEX(상세표[직위],$U1153)&amp;"")</f>
        <v/>
      </c>
      <c r="M1153">
        <f>IF($U1153="","",IF(ISNUMBER(INDEX(상세표[근무일자],$U1153)),TEXT(INDEX(상세표[근무일자],$U1153),"yyyy-mm-dd"),INDEX(상세표[근무일자],$U1153)&amp;""))</f>
        <v/>
      </c>
      <c r="N1153">
        <f>IF($U1153="","",IF(ISNUMBER(INDEX(상세표[시작],$U1153)),TEXT(INDEX(상세표[시작],$U1153),"yyyy-mm-dd hh:mm"),INDEX(상세표[시작],$U1153)&amp;""))</f>
        <v/>
      </c>
      <c r="O1153">
        <f>IF($U1153="","",IF(ISNUMBER(INDEX(상세표[종료],$U1153)),TEXT(INDEX(상세표[종료],$U1153),"yyyy-mm-dd hh:mm"),INDEX(상세표[종료],$U1153)&amp;""))</f>
        <v/>
      </c>
      <c r="P1153" s="20">
        <f>IF($U1153="","",INDEX(상세표[06~07시],$U1153))</f>
        <v/>
      </c>
      <c r="Q1153" s="20">
        <f>IF($U1153="","",INDEX(상세표[07~18시],$U1153))</f>
        <v/>
      </c>
      <c r="R1153" s="20">
        <f>IF($U1153="","",INDEX(상세표[18~22시],$U1153))</f>
        <v/>
      </c>
      <c r="S1153" s="20">
        <f>IF($U1153="","",INDEX(상세표[22~06시],$U1153))</f>
        <v/>
      </c>
      <c r="T1153" s="20">
        <f>IF($U1153="","",INDEX(상세표[기록 시간외],$U1153))</f>
        <v/>
      </c>
      <c r="U1153" s="4">
        <f>IFERROR(MATCH(1148,상세표[발송순번],0),"")</f>
        <v/>
      </c>
    </row>
    <row r="1154">
      <c r="J1154">
        <f>IF($U1154="","",INDEX(상세표[사번],$U1154)&amp;"")</f>
        <v/>
      </c>
      <c r="K1154">
        <f>IF($U1154="","",INDEX(상세표[성명],$U1154)&amp;"")</f>
        <v/>
      </c>
      <c r="L1154">
        <f>IF($U1154="","",INDEX(상세표[직위],$U1154)&amp;"")</f>
        <v/>
      </c>
      <c r="M1154">
        <f>IF($U1154="","",IF(ISNUMBER(INDEX(상세표[근무일자],$U1154)),TEXT(INDEX(상세표[근무일자],$U1154),"yyyy-mm-dd"),INDEX(상세표[근무일자],$U1154)&amp;""))</f>
        <v/>
      </c>
      <c r="N1154">
        <f>IF($U1154="","",IF(ISNUMBER(INDEX(상세표[시작],$U1154)),TEXT(INDEX(상세표[시작],$U1154),"yyyy-mm-dd hh:mm"),INDEX(상세표[시작],$U1154)&amp;""))</f>
        <v/>
      </c>
      <c r="O1154">
        <f>IF($U1154="","",IF(ISNUMBER(INDEX(상세표[종료],$U1154)),TEXT(INDEX(상세표[종료],$U1154),"yyyy-mm-dd hh:mm"),INDEX(상세표[종료],$U1154)&amp;""))</f>
        <v/>
      </c>
      <c r="P1154" s="20">
        <f>IF($U1154="","",INDEX(상세표[06~07시],$U1154))</f>
        <v/>
      </c>
      <c r="Q1154" s="20">
        <f>IF($U1154="","",INDEX(상세표[07~18시],$U1154))</f>
        <v/>
      </c>
      <c r="R1154" s="20">
        <f>IF($U1154="","",INDEX(상세표[18~22시],$U1154))</f>
        <v/>
      </c>
      <c r="S1154" s="20">
        <f>IF($U1154="","",INDEX(상세표[22~06시],$U1154))</f>
        <v/>
      </c>
      <c r="T1154" s="20">
        <f>IF($U1154="","",INDEX(상세표[기록 시간외],$U1154))</f>
        <v/>
      </c>
      <c r="U1154" s="4">
        <f>IFERROR(MATCH(1149,상세표[발송순번],0),"")</f>
        <v/>
      </c>
    </row>
    <row r="1155">
      <c r="J1155">
        <f>IF($U1155="","",INDEX(상세표[사번],$U1155)&amp;"")</f>
        <v/>
      </c>
      <c r="K1155">
        <f>IF($U1155="","",INDEX(상세표[성명],$U1155)&amp;"")</f>
        <v/>
      </c>
      <c r="L1155">
        <f>IF($U1155="","",INDEX(상세표[직위],$U1155)&amp;"")</f>
        <v/>
      </c>
      <c r="M1155">
        <f>IF($U1155="","",IF(ISNUMBER(INDEX(상세표[근무일자],$U1155)),TEXT(INDEX(상세표[근무일자],$U1155),"yyyy-mm-dd"),INDEX(상세표[근무일자],$U1155)&amp;""))</f>
        <v/>
      </c>
      <c r="N1155">
        <f>IF($U1155="","",IF(ISNUMBER(INDEX(상세표[시작],$U1155)),TEXT(INDEX(상세표[시작],$U1155),"yyyy-mm-dd hh:mm"),INDEX(상세표[시작],$U1155)&amp;""))</f>
        <v/>
      </c>
      <c r="O1155">
        <f>IF($U1155="","",IF(ISNUMBER(INDEX(상세표[종료],$U1155)),TEXT(INDEX(상세표[종료],$U1155),"yyyy-mm-dd hh:mm"),INDEX(상세표[종료],$U1155)&amp;""))</f>
        <v/>
      </c>
      <c r="P1155" s="20">
        <f>IF($U1155="","",INDEX(상세표[06~07시],$U1155))</f>
        <v/>
      </c>
      <c r="Q1155" s="20">
        <f>IF($U1155="","",INDEX(상세표[07~18시],$U1155))</f>
        <v/>
      </c>
      <c r="R1155" s="20">
        <f>IF($U1155="","",INDEX(상세표[18~22시],$U1155))</f>
        <v/>
      </c>
      <c r="S1155" s="20">
        <f>IF($U1155="","",INDEX(상세표[22~06시],$U1155))</f>
        <v/>
      </c>
      <c r="T1155" s="20">
        <f>IF($U1155="","",INDEX(상세표[기록 시간외],$U1155))</f>
        <v/>
      </c>
      <c r="U1155" s="4">
        <f>IFERROR(MATCH(1150,상세표[발송순번],0),"")</f>
        <v/>
      </c>
    </row>
    <row r="1156">
      <c r="J1156">
        <f>IF($U1156="","",INDEX(상세표[사번],$U1156)&amp;"")</f>
        <v/>
      </c>
      <c r="K1156">
        <f>IF($U1156="","",INDEX(상세표[성명],$U1156)&amp;"")</f>
        <v/>
      </c>
      <c r="L1156">
        <f>IF($U1156="","",INDEX(상세표[직위],$U1156)&amp;"")</f>
        <v/>
      </c>
      <c r="M1156">
        <f>IF($U1156="","",IF(ISNUMBER(INDEX(상세표[근무일자],$U1156)),TEXT(INDEX(상세표[근무일자],$U1156),"yyyy-mm-dd"),INDEX(상세표[근무일자],$U1156)&amp;""))</f>
        <v/>
      </c>
      <c r="N1156">
        <f>IF($U1156="","",IF(ISNUMBER(INDEX(상세표[시작],$U1156)),TEXT(INDEX(상세표[시작],$U1156),"yyyy-mm-dd hh:mm"),INDEX(상세표[시작],$U1156)&amp;""))</f>
        <v/>
      </c>
      <c r="O1156">
        <f>IF($U1156="","",IF(ISNUMBER(INDEX(상세표[종료],$U1156)),TEXT(INDEX(상세표[종료],$U1156),"yyyy-mm-dd hh:mm"),INDEX(상세표[종료],$U1156)&amp;""))</f>
        <v/>
      </c>
      <c r="P1156" s="20">
        <f>IF($U1156="","",INDEX(상세표[06~07시],$U1156))</f>
        <v/>
      </c>
      <c r="Q1156" s="20">
        <f>IF($U1156="","",INDEX(상세표[07~18시],$U1156))</f>
        <v/>
      </c>
      <c r="R1156" s="20">
        <f>IF($U1156="","",INDEX(상세표[18~22시],$U1156))</f>
        <v/>
      </c>
      <c r="S1156" s="20">
        <f>IF($U1156="","",INDEX(상세표[22~06시],$U1156))</f>
        <v/>
      </c>
      <c r="T1156" s="20">
        <f>IF($U1156="","",INDEX(상세표[기록 시간외],$U1156))</f>
        <v/>
      </c>
      <c r="U1156" s="4">
        <f>IFERROR(MATCH(1151,상세표[발송순번],0),"")</f>
        <v/>
      </c>
    </row>
    <row r="1157">
      <c r="J1157">
        <f>IF($U1157="","",INDEX(상세표[사번],$U1157)&amp;"")</f>
        <v/>
      </c>
      <c r="K1157">
        <f>IF($U1157="","",INDEX(상세표[성명],$U1157)&amp;"")</f>
        <v/>
      </c>
      <c r="L1157">
        <f>IF($U1157="","",INDEX(상세표[직위],$U1157)&amp;"")</f>
        <v/>
      </c>
      <c r="M1157">
        <f>IF($U1157="","",IF(ISNUMBER(INDEX(상세표[근무일자],$U1157)),TEXT(INDEX(상세표[근무일자],$U1157),"yyyy-mm-dd"),INDEX(상세표[근무일자],$U1157)&amp;""))</f>
        <v/>
      </c>
      <c r="N1157">
        <f>IF($U1157="","",IF(ISNUMBER(INDEX(상세표[시작],$U1157)),TEXT(INDEX(상세표[시작],$U1157),"yyyy-mm-dd hh:mm"),INDEX(상세표[시작],$U1157)&amp;""))</f>
        <v/>
      </c>
      <c r="O1157">
        <f>IF($U1157="","",IF(ISNUMBER(INDEX(상세표[종료],$U1157)),TEXT(INDEX(상세표[종료],$U1157),"yyyy-mm-dd hh:mm"),INDEX(상세표[종료],$U1157)&amp;""))</f>
        <v/>
      </c>
      <c r="P1157" s="20">
        <f>IF($U1157="","",INDEX(상세표[06~07시],$U1157))</f>
        <v/>
      </c>
      <c r="Q1157" s="20">
        <f>IF($U1157="","",INDEX(상세표[07~18시],$U1157))</f>
        <v/>
      </c>
      <c r="R1157" s="20">
        <f>IF($U1157="","",INDEX(상세표[18~22시],$U1157))</f>
        <v/>
      </c>
      <c r="S1157" s="20">
        <f>IF($U1157="","",INDEX(상세표[22~06시],$U1157))</f>
        <v/>
      </c>
      <c r="T1157" s="20">
        <f>IF($U1157="","",INDEX(상세표[기록 시간외],$U1157))</f>
        <v/>
      </c>
      <c r="U1157" s="4">
        <f>IFERROR(MATCH(1152,상세표[발송순번],0),"")</f>
        <v/>
      </c>
    </row>
    <row r="1158">
      <c r="J1158">
        <f>IF($U1158="","",INDEX(상세표[사번],$U1158)&amp;"")</f>
        <v/>
      </c>
      <c r="K1158">
        <f>IF($U1158="","",INDEX(상세표[성명],$U1158)&amp;"")</f>
        <v/>
      </c>
      <c r="L1158">
        <f>IF($U1158="","",INDEX(상세표[직위],$U1158)&amp;"")</f>
        <v/>
      </c>
      <c r="M1158">
        <f>IF($U1158="","",IF(ISNUMBER(INDEX(상세표[근무일자],$U1158)),TEXT(INDEX(상세표[근무일자],$U1158),"yyyy-mm-dd"),INDEX(상세표[근무일자],$U1158)&amp;""))</f>
        <v/>
      </c>
      <c r="N1158">
        <f>IF($U1158="","",IF(ISNUMBER(INDEX(상세표[시작],$U1158)),TEXT(INDEX(상세표[시작],$U1158),"yyyy-mm-dd hh:mm"),INDEX(상세표[시작],$U1158)&amp;""))</f>
        <v/>
      </c>
      <c r="O1158">
        <f>IF($U1158="","",IF(ISNUMBER(INDEX(상세표[종료],$U1158)),TEXT(INDEX(상세표[종료],$U1158),"yyyy-mm-dd hh:mm"),INDEX(상세표[종료],$U1158)&amp;""))</f>
        <v/>
      </c>
      <c r="P1158" s="20">
        <f>IF($U1158="","",INDEX(상세표[06~07시],$U1158))</f>
        <v/>
      </c>
      <c r="Q1158" s="20">
        <f>IF($U1158="","",INDEX(상세표[07~18시],$U1158))</f>
        <v/>
      </c>
      <c r="R1158" s="20">
        <f>IF($U1158="","",INDEX(상세표[18~22시],$U1158))</f>
        <v/>
      </c>
      <c r="S1158" s="20">
        <f>IF($U1158="","",INDEX(상세표[22~06시],$U1158))</f>
        <v/>
      </c>
      <c r="T1158" s="20">
        <f>IF($U1158="","",INDEX(상세표[기록 시간외],$U1158))</f>
        <v/>
      </c>
      <c r="U1158" s="4">
        <f>IFERROR(MATCH(1153,상세표[발송순번],0),"")</f>
        <v/>
      </c>
    </row>
    <row r="1159">
      <c r="J1159">
        <f>IF($U1159="","",INDEX(상세표[사번],$U1159)&amp;"")</f>
        <v/>
      </c>
      <c r="K1159">
        <f>IF($U1159="","",INDEX(상세표[성명],$U1159)&amp;"")</f>
        <v/>
      </c>
      <c r="L1159">
        <f>IF($U1159="","",INDEX(상세표[직위],$U1159)&amp;"")</f>
        <v/>
      </c>
      <c r="M1159">
        <f>IF($U1159="","",IF(ISNUMBER(INDEX(상세표[근무일자],$U1159)),TEXT(INDEX(상세표[근무일자],$U1159),"yyyy-mm-dd"),INDEX(상세표[근무일자],$U1159)&amp;""))</f>
        <v/>
      </c>
      <c r="N1159">
        <f>IF($U1159="","",IF(ISNUMBER(INDEX(상세표[시작],$U1159)),TEXT(INDEX(상세표[시작],$U1159),"yyyy-mm-dd hh:mm"),INDEX(상세표[시작],$U1159)&amp;""))</f>
        <v/>
      </c>
      <c r="O1159">
        <f>IF($U1159="","",IF(ISNUMBER(INDEX(상세표[종료],$U1159)),TEXT(INDEX(상세표[종료],$U1159),"yyyy-mm-dd hh:mm"),INDEX(상세표[종료],$U1159)&amp;""))</f>
        <v/>
      </c>
      <c r="P1159" s="20">
        <f>IF($U1159="","",INDEX(상세표[06~07시],$U1159))</f>
        <v/>
      </c>
      <c r="Q1159" s="20">
        <f>IF($U1159="","",INDEX(상세표[07~18시],$U1159))</f>
        <v/>
      </c>
      <c r="R1159" s="20">
        <f>IF($U1159="","",INDEX(상세표[18~22시],$U1159))</f>
        <v/>
      </c>
      <c r="S1159" s="20">
        <f>IF($U1159="","",INDEX(상세표[22~06시],$U1159))</f>
        <v/>
      </c>
      <c r="T1159" s="20">
        <f>IF($U1159="","",INDEX(상세표[기록 시간외],$U1159))</f>
        <v/>
      </c>
      <c r="U1159" s="4">
        <f>IFERROR(MATCH(1154,상세표[발송순번],0),"")</f>
        <v/>
      </c>
    </row>
    <row r="1160">
      <c r="J1160">
        <f>IF($U1160="","",INDEX(상세표[사번],$U1160)&amp;"")</f>
        <v/>
      </c>
      <c r="K1160">
        <f>IF($U1160="","",INDEX(상세표[성명],$U1160)&amp;"")</f>
        <v/>
      </c>
      <c r="L1160">
        <f>IF($U1160="","",INDEX(상세표[직위],$U1160)&amp;"")</f>
        <v/>
      </c>
      <c r="M1160">
        <f>IF($U1160="","",IF(ISNUMBER(INDEX(상세표[근무일자],$U1160)),TEXT(INDEX(상세표[근무일자],$U1160),"yyyy-mm-dd"),INDEX(상세표[근무일자],$U1160)&amp;""))</f>
        <v/>
      </c>
      <c r="N1160">
        <f>IF($U1160="","",IF(ISNUMBER(INDEX(상세표[시작],$U1160)),TEXT(INDEX(상세표[시작],$U1160),"yyyy-mm-dd hh:mm"),INDEX(상세표[시작],$U1160)&amp;""))</f>
        <v/>
      </c>
      <c r="O1160">
        <f>IF($U1160="","",IF(ISNUMBER(INDEX(상세표[종료],$U1160)),TEXT(INDEX(상세표[종료],$U1160),"yyyy-mm-dd hh:mm"),INDEX(상세표[종료],$U1160)&amp;""))</f>
        <v/>
      </c>
      <c r="P1160" s="20">
        <f>IF($U1160="","",INDEX(상세표[06~07시],$U1160))</f>
        <v/>
      </c>
      <c r="Q1160" s="20">
        <f>IF($U1160="","",INDEX(상세표[07~18시],$U1160))</f>
        <v/>
      </c>
      <c r="R1160" s="20">
        <f>IF($U1160="","",INDEX(상세표[18~22시],$U1160))</f>
        <v/>
      </c>
      <c r="S1160" s="20">
        <f>IF($U1160="","",INDEX(상세표[22~06시],$U1160))</f>
        <v/>
      </c>
      <c r="T1160" s="20">
        <f>IF($U1160="","",INDEX(상세표[기록 시간외],$U1160))</f>
        <v/>
      </c>
      <c r="U1160" s="4">
        <f>IFERROR(MATCH(1155,상세표[발송순번],0),"")</f>
        <v/>
      </c>
    </row>
    <row r="1161">
      <c r="J1161">
        <f>IF($U1161="","",INDEX(상세표[사번],$U1161)&amp;"")</f>
        <v/>
      </c>
      <c r="K1161">
        <f>IF($U1161="","",INDEX(상세표[성명],$U1161)&amp;"")</f>
        <v/>
      </c>
      <c r="L1161">
        <f>IF($U1161="","",INDEX(상세표[직위],$U1161)&amp;"")</f>
        <v/>
      </c>
      <c r="M1161">
        <f>IF($U1161="","",IF(ISNUMBER(INDEX(상세표[근무일자],$U1161)),TEXT(INDEX(상세표[근무일자],$U1161),"yyyy-mm-dd"),INDEX(상세표[근무일자],$U1161)&amp;""))</f>
        <v/>
      </c>
      <c r="N1161">
        <f>IF($U1161="","",IF(ISNUMBER(INDEX(상세표[시작],$U1161)),TEXT(INDEX(상세표[시작],$U1161),"yyyy-mm-dd hh:mm"),INDEX(상세표[시작],$U1161)&amp;""))</f>
        <v/>
      </c>
      <c r="O1161">
        <f>IF($U1161="","",IF(ISNUMBER(INDEX(상세표[종료],$U1161)),TEXT(INDEX(상세표[종료],$U1161),"yyyy-mm-dd hh:mm"),INDEX(상세표[종료],$U1161)&amp;""))</f>
        <v/>
      </c>
      <c r="P1161" s="20">
        <f>IF($U1161="","",INDEX(상세표[06~07시],$U1161))</f>
        <v/>
      </c>
      <c r="Q1161" s="20">
        <f>IF($U1161="","",INDEX(상세표[07~18시],$U1161))</f>
        <v/>
      </c>
      <c r="R1161" s="20">
        <f>IF($U1161="","",INDEX(상세표[18~22시],$U1161))</f>
        <v/>
      </c>
      <c r="S1161" s="20">
        <f>IF($U1161="","",INDEX(상세표[22~06시],$U1161))</f>
        <v/>
      </c>
      <c r="T1161" s="20">
        <f>IF($U1161="","",INDEX(상세표[기록 시간외],$U1161))</f>
        <v/>
      </c>
      <c r="U1161" s="4">
        <f>IFERROR(MATCH(1156,상세표[발송순번],0),"")</f>
        <v/>
      </c>
    </row>
    <row r="1162">
      <c r="J1162">
        <f>IF($U1162="","",INDEX(상세표[사번],$U1162)&amp;"")</f>
        <v/>
      </c>
      <c r="K1162">
        <f>IF($U1162="","",INDEX(상세표[성명],$U1162)&amp;"")</f>
        <v/>
      </c>
      <c r="L1162">
        <f>IF($U1162="","",INDEX(상세표[직위],$U1162)&amp;"")</f>
        <v/>
      </c>
      <c r="M1162">
        <f>IF($U1162="","",IF(ISNUMBER(INDEX(상세표[근무일자],$U1162)),TEXT(INDEX(상세표[근무일자],$U1162),"yyyy-mm-dd"),INDEX(상세표[근무일자],$U1162)&amp;""))</f>
        <v/>
      </c>
      <c r="N1162">
        <f>IF($U1162="","",IF(ISNUMBER(INDEX(상세표[시작],$U1162)),TEXT(INDEX(상세표[시작],$U1162),"yyyy-mm-dd hh:mm"),INDEX(상세표[시작],$U1162)&amp;""))</f>
        <v/>
      </c>
      <c r="O1162">
        <f>IF($U1162="","",IF(ISNUMBER(INDEX(상세표[종료],$U1162)),TEXT(INDEX(상세표[종료],$U1162),"yyyy-mm-dd hh:mm"),INDEX(상세표[종료],$U1162)&amp;""))</f>
        <v/>
      </c>
      <c r="P1162" s="20">
        <f>IF($U1162="","",INDEX(상세표[06~07시],$U1162))</f>
        <v/>
      </c>
      <c r="Q1162" s="20">
        <f>IF($U1162="","",INDEX(상세표[07~18시],$U1162))</f>
        <v/>
      </c>
      <c r="R1162" s="20">
        <f>IF($U1162="","",INDEX(상세표[18~22시],$U1162))</f>
        <v/>
      </c>
      <c r="S1162" s="20">
        <f>IF($U1162="","",INDEX(상세표[22~06시],$U1162))</f>
        <v/>
      </c>
      <c r="T1162" s="20">
        <f>IF($U1162="","",INDEX(상세표[기록 시간외],$U1162))</f>
        <v/>
      </c>
      <c r="U1162" s="4">
        <f>IFERROR(MATCH(1157,상세표[발송순번],0),"")</f>
        <v/>
      </c>
    </row>
    <row r="1163">
      <c r="J1163">
        <f>IF($U1163="","",INDEX(상세표[사번],$U1163)&amp;"")</f>
        <v/>
      </c>
      <c r="K1163">
        <f>IF($U1163="","",INDEX(상세표[성명],$U1163)&amp;"")</f>
        <v/>
      </c>
      <c r="L1163">
        <f>IF($U1163="","",INDEX(상세표[직위],$U1163)&amp;"")</f>
        <v/>
      </c>
      <c r="M1163">
        <f>IF($U1163="","",IF(ISNUMBER(INDEX(상세표[근무일자],$U1163)),TEXT(INDEX(상세표[근무일자],$U1163),"yyyy-mm-dd"),INDEX(상세표[근무일자],$U1163)&amp;""))</f>
        <v/>
      </c>
      <c r="N1163">
        <f>IF($U1163="","",IF(ISNUMBER(INDEX(상세표[시작],$U1163)),TEXT(INDEX(상세표[시작],$U1163),"yyyy-mm-dd hh:mm"),INDEX(상세표[시작],$U1163)&amp;""))</f>
        <v/>
      </c>
      <c r="O1163">
        <f>IF($U1163="","",IF(ISNUMBER(INDEX(상세표[종료],$U1163)),TEXT(INDEX(상세표[종료],$U1163),"yyyy-mm-dd hh:mm"),INDEX(상세표[종료],$U1163)&amp;""))</f>
        <v/>
      </c>
      <c r="P1163" s="20">
        <f>IF($U1163="","",INDEX(상세표[06~07시],$U1163))</f>
        <v/>
      </c>
      <c r="Q1163" s="20">
        <f>IF($U1163="","",INDEX(상세표[07~18시],$U1163))</f>
        <v/>
      </c>
      <c r="R1163" s="20">
        <f>IF($U1163="","",INDEX(상세표[18~22시],$U1163))</f>
        <v/>
      </c>
      <c r="S1163" s="20">
        <f>IF($U1163="","",INDEX(상세표[22~06시],$U1163))</f>
        <v/>
      </c>
      <c r="T1163" s="20">
        <f>IF($U1163="","",INDEX(상세표[기록 시간외],$U1163))</f>
        <v/>
      </c>
      <c r="U1163" s="4">
        <f>IFERROR(MATCH(1158,상세표[발송순번],0),"")</f>
        <v/>
      </c>
    </row>
    <row r="1164">
      <c r="J1164">
        <f>IF($U1164="","",INDEX(상세표[사번],$U1164)&amp;"")</f>
        <v/>
      </c>
      <c r="K1164">
        <f>IF($U1164="","",INDEX(상세표[성명],$U1164)&amp;"")</f>
        <v/>
      </c>
      <c r="L1164">
        <f>IF($U1164="","",INDEX(상세표[직위],$U1164)&amp;"")</f>
        <v/>
      </c>
      <c r="M1164">
        <f>IF($U1164="","",IF(ISNUMBER(INDEX(상세표[근무일자],$U1164)),TEXT(INDEX(상세표[근무일자],$U1164),"yyyy-mm-dd"),INDEX(상세표[근무일자],$U1164)&amp;""))</f>
        <v/>
      </c>
      <c r="N1164">
        <f>IF($U1164="","",IF(ISNUMBER(INDEX(상세표[시작],$U1164)),TEXT(INDEX(상세표[시작],$U1164),"yyyy-mm-dd hh:mm"),INDEX(상세표[시작],$U1164)&amp;""))</f>
        <v/>
      </c>
      <c r="O1164">
        <f>IF($U1164="","",IF(ISNUMBER(INDEX(상세표[종료],$U1164)),TEXT(INDEX(상세표[종료],$U1164),"yyyy-mm-dd hh:mm"),INDEX(상세표[종료],$U1164)&amp;""))</f>
        <v/>
      </c>
      <c r="P1164" s="20">
        <f>IF($U1164="","",INDEX(상세표[06~07시],$U1164))</f>
        <v/>
      </c>
      <c r="Q1164" s="20">
        <f>IF($U1164="","",INDEX(상세표[07~18시],$U1164))</f>
        <v/>
      </c>
      <c r="R1164" s="20">
        <f>IF($U1164="","",INDEX(상세표[18~22시],$U1164))</f>
        <v/>
      </c>
      <c r="S1164" s="20">
        <f>IF($U1164="","",INDEX(상세표[22~06시],$U1164))</f>
        <v/>
      </c>
      <c r="T1164" s="20">
        <f>IF($U1164="","",INDEX(상세표[기록 시간외],$U1164))</f>
        <v/>
      </c>
      <c r="U1164" s="4">
        <f>IFERROR(MATCH(1159,상세표[발송순번],0),"")</f>
        <v/>
      </c>
    </row>
    <row r="1165">
      <c r="J1165">
        <f>IF($U1165="","",INDEX(상세표[사번],$U1165)&amp;"")</f>
        <v/>
      </c>
      <c r="K1165">
        <f>IF($U1165="","",INDEX(상세표[성명],$U1165)&amp;"")</f>
        <v/>
      </c>
      <c r="L1165">
        <f>IF($U1165="","",INDEX(상세표[직위],$U1165)&amp;"")</f>
        <v/>
      </c>
      <c r="M1165">
        <f>IF($U1165="","",IF(ISNUMBER(INDEX(상세표[근무일자],$U1165)),TEXT(INDEX(상세표[근무일자],$U1165),"yyyy-mm-dd"),INDEX(상세표[근무일자],$U1165)&amp;""))</f>
        <v/>
      </c>
      <c r="N1165">
        <f>IF($U1165="","",IF(ISNUMBER(INDEX(상세표[시작],$U1165)),TEXT(INDEX(상세표[시작],$U1165),"yyyy-mm-dd hh:mm"),INDEX(상세표[시작],$U1165)&amp;""))</f>
        <v/>
      </c>
      <c r="O1165">
        <f>IF($U1165="","",IF(ISNUMBER(INDEX(상세표[종료],$U1165)),TEXT(INDEX(상세표[종료],$U1165),"yyyy-mm-dd hh:mm"),INDEX(상세표[종료],$U1165)&amp;""))</f>
        <v/>
      </c>
      <c r="P1165" s="20">
        <f>IF($U1165="","",INDEX(상세표[06~07시],$U1165))</f>
        <v/>
      </c>
      <c r="Q1165" s="20">
        <f>IF($U1165="","",INDEX(상세표[07~18시],$U1165))</f>
        <v/>
      </c>
      <c r="R1165" s="20">
        <f>IF($U1165="","",INDEX(상세표[18~22시],$U1165))</f>
        <v/>
      </c>
      <c r="S1165" s="20">
        <f>IF($U1165="","",INDEX(상세표[22~06시],$U1165))</f>
        <v/>
      </c>
      <c r="T1165" s="20">
        <f>IF($U1165="","",INDEX(상세표[기록 시간외],$U1165))</f>
        <v/>
      </c>
      <c r="U1165" s="4">
        <f>IFERROR(MATCH(1160,상세표[발송순번],0),"")</f>
        <v/>
      </c>
    </row>
    <row r="1166">
      <c r="J1166">
        <f>IF($U1166="","",INDEX(상세표[사번],$U1166)&amp;"")</f>
        <v/>
      </c>
      <c r="K1166">
        <f>IF($U1166="","",INDEX(상세표[성명],$U1166)&amp;"")</f>
        <v/>
      </c>
      <c r="L1166">
        <f>IF($U1166="","",INDEX(상세표[직위],$U1166)&amp;"")</f>
        <v/>
      </c>
      <c r="M1166">
        <f>IF($U1166="","",IF(ISNUMBER(INDEX(상세표[근무일자],$U1166)),TEXT(INDEX(상세표[근무일자],$U1166),"yyyy-mm-dd"),INDEX(상세표[근무일자],$U1166)&amp;""))</f>
        <v/>
      </c>
      <c r="N1166">
        <f>IF($U1166="","",IF(ISNUMBER(INDEX(상세표[시작],$U1166)),TEXT(INDEX(상세표[시작],$U1166),"yyyy-mm-dd hh:mm"),INDEX(상세표[시작],$U1166)&amp;""))</f>
        <v/>
      </c>
      <c r="O1166">
        <f>IF($U1166="","",IF(ISNUMBER(INDEX(상세표[종료],$U1166)),TEXT(INDEX(상세표[종료],$U1166),"yyyy-mm-dd hh:mm"),INDEX(상세표[종료],$U1166)&amp;""))</f>
        <v/>
      </c>
      <c r="P1166" s="20">
        <f>IF($U1166="","",INDEX(상세표[06~07시],$U1166))</f>
        <v/>
      </c>
      <c r="Q1166" s="20">
        <f>IF($U1166="","",INDEX(상세표[07~18시],$U1166))</f>
        <v/>
      </c>
      <c r="R1166" s="20">
        <f>IF($U1166="","",INDEX(상세표[18~22시],$U1166))</f>
        <v/>
      </c>
      <c r="S1166" s="20">
        <f>IF($U1166="","",INDEX(상세표[22~06시],$U1166))</f>
        <v/>
      </c>
      <c r="T1166" s="20">
        <f>IF($U1166="","",INDEX(상세표[기록 시간외],$U1166))</f>
        <v/>
      </c>
      <c r="U1166" s="4">
        <f>IFERROR(MATCH(1161,상세표[발송순번],0),"")</f>
        <v/>
      </c>
    </row>
    <row r="1167">
      <c r="J1167">
        <f>IF($U1167="","",INDEX(상세표[사번],$U1167)&amp;"")</f>
        <v/>
      </c>
      <c r="K1167">
        <f>IF($U1167="","",INDEX(상세표[성명],$U1167)&amp;"")</f>
        <v/>
      </c>
      <c r="L1167">
        <f>IF($U1167="","",INDEX(상세표[직위],$U1167)&amp;"")</f>
        <v/>
      </c>
      <c r="M1167">
        <f>IF($U1167="","",IF(ISNUMBER(INDEX(상세표[근무일자],$U1167)),TEXT(INDEX(상세표[근무일자],$U1167),"yyyy-mm-dd"),INDEX(상세표[근무일자],$U1167)&amp;""))</f>
        <v/>
      </c>
      <c r="N1167">
        <f>IF($U1167="","",IF(ISNUMBER(INDEX(상세표[시작],$U1167)),TEXT(INDEX(상세표[시작],$U1167),"yyyy-mm-dd hh:mm"),INDEX(상세표[시작],$U1167)&amp;""))</f>
        <v/>
      </c>
      <c r="O1167">
        <f>IF($U1167="","",IF(ISNUMBER(INDEX(상세표[종료],$U1167)),TEXT(INDEX(상세표[종료],$U1167),"yyyy-mm-dd hh:mm"),INDEX(상세표[종료],$U1167)&amp;""))</f>
        <v/>
      </c>
      <c r="P1167" s="20">
        <f>IF($U1167="","",INDEX(상세표[06~07시],$U1167))</f>
        <v/>
      </c>
      <c r="Q1167" s="20">
        <f>IF($U1167="","",INDEX(상세표[07~18시],$U1167))</f>
        <v/>
      </c>
      <c r="R1167" s="20">
        <f>IF($U1167="","",INDEX(상세표[18~22시],$U1167))</f>
        <v/>
      </c>
      <c r="S1167" s="20">
        <f>IF($U1167="","",INDEX(상세표[22~06시],$U1167))</f>
        <v/>
      </c>
      <c r="T1167" s="20">
        <f>IF($U1167="","",INDEX(상세표[기록 시간외],$U1167))</f>
        <v/>
      </c>
      <c r="U1167" s="4">
        <f>IFERROR(MATCH(1162,상세표[발송순번],0),"")</f>
        <v/>
      </c>
    </row>
    <row r="1168">
      <c r="J1168">
        <f>IF($U1168="","",INDEX(상세표[사번],$U1168)&amp;"")</f>
        <v/>
      </c>
      <c r="K1168">
        <f>IF($U1168="","",INDEX(상세표[성명],$U1168)&amp;"")</f>
        <v/>
      </c>
      <c r="L1168">
        <f>IF($U1168="","",INDEX(상세표[직위],$U1168)&amp;"")</f>
        <v/>
      </c>
      <c r="M1168">
        <f>IF($U1168="","",IF(ISNUMBER(INDEX(상세표[근무일자],$U1168)),TEXT(INDEX(상세표[근무일자],$U1168),"yyyy-mm-dd"),INDEX(상세표[근무일자],$U1168)&amp;""))</f>
        <v/>
      </c>
      <c r="N1168">
        <f>IF($U1168="","",IF(ISNUMBER(INDEX(상세표[시작],$U1168)),TEXT(INDEX(상세표[시작],$U1168),"yyyy-mm-dd hh:mm"),INDEX(상세표[시작],$U1168)&amp;""))</f>
        <v/>
      </c>
      <c r="O1168">
        <f>IF($U1168="","",IF(ISNUMBER(INDEX(상세표[종료],$U1168)),TEXT(INDEX(상세표[종료],$U1168),"yyyy-mm-dd hh:mm"),INDEX(상세표[종료],$U1168)&amp;""))</f>
        <v/>
      </c>
      <c r="P1168" s="20">
        <f>IF($U1168="","",INDEX(상세표[06~07시],$U1168))</f>
        <v/>
      </c>
      <c r="Q1168" s="20">
        <f>IF($U1168="","",INDEX(상세표[07~18시],$U1168))</f>
        <v/>
      </c>
      <c r="R1168" s="20">
        <f>IF($U1168="","",INDEX(상세표[18~22시],$U1168))</f>
        <v/>
      </c>
      <c r="S1168" s="20">
        <f>IF($U1168="","",INDEX(상세표[22~06시],$U1168))</f>
        <v/>
      </c>
      <c r="T1168" s="20">
        <f>IF($U1168="","",INDEX(상세표[기록 시간외],$U1168))</f>
        <v/>
      </c>
      <c r="U1168" s="4">
        <f>IFERROR(MATCH(1163,상세표[발송순번],0),"")</f>
        <v/>
      </c>
    </row>
    <row r="1169">
      <c r="J1169">
        <f>IF($U1169="","",INDEX(상세표[사번],$U1169)&amp;"")</f>
        <v/>
      </c>
      <c r="K1169">
        <f>IF($U1169="","",INDEX(상세표[성명],$U1169)&amp;"")</f>
        <v/>
      </c>
      <c r="L1169">
        <f>IF($U1169="","",INDEX(상세표[직위],$U1169)&amp;"")</f>
        <v/>
      </c>
      <c r="M1169">
        <f>IF($U1169="","",IF(ISNUMBER(INDEX(상세표[근무일자],$U1169)),TEXT(INDEX(상세표[근무일자],$U1169),"yyyy-mm-dd"),INDEX(상세표[근무일자],$U1169)&amp;""))</f>
        <v/>
      </c>
      <c r="N1169">
        <f>IF($U1169="","",IF(ISNUMBER(INDEX(상세표[시작],$U1169)),TEXT(INDEX(상세표[시작],$U1169),"yyyy-mm-dd hh:mm"),INDEX(상세표[시작],$U1169)&amp;""))</f>
        <v/>
      </c>
      <c r="O1169">
        <f>IF($U1169="","",IF(ISNUMBER(INDEX(상세표[종료],$U1169)),TEXT(INDEX(상세표[종료],$U1169),"yyyy-mm-dd hh:mm"),INDEX(상세표[종료],$U1169)&amp;""))</f>
        <v/>
      </c>
      <c r="P1169" s="20">
        <f>IF($U1169="","",INDEX(상세표[06~07시],$U1169))</f>
        <v/>
      </c>
      <c r="Q1169" s="20">
        <f>IF($U1169="","",INDEX(상세표[07~18시],$U1169))</f>
        <v/>
      </c>
      <c r="R1169" s="20">
        <f>IF($U1169="","",INDEX(상세표[18~22시],$U1169))</f>
        <v/>
      </c>
      <c r="S1169" s="20">
        <f>IF($U1169="","",INDEX(상세표[22~06시],$U1169))</f>
        <v/>
      </c>
      <c r="T1169" s="20">
        <f>IF($U1169="","",INDEX(상세표[기록 시간외],$U1169))</f>
        <v/>
      </c>
      <c r="U1169" s="4">
        <f>IFERROR(MATCH(1164,상세표[발송순번],0),"")</f>
        <v/>
      </c>
    </row>
    <row r="1170">
      <c r="J1170">
        <f>IF($U1170="","",INDEX(상세표[사번],$U1170)&amp;"")</f>
        <v/>
      </c>
      <c r="K1170">
        <f>IF($U1170="","",INDEX(상세표[성명],$U1170)&amp;"")</f>
        <v/>
      </c>
      <c r="L1170">
        <f>IF($U1170="","",INDEX(상세표[직위],$U1170)&amp;"")</f>
        <v/>
      </c>
      <c r="M1170">
        <f>IF($U1170="","",IF(ISNUMBER(INDEX(상세표[근무일자],$U1170)),TEXT(INDEX(상세표[근무일자],$U1170),"yyyy-mm-dd"),INDEX(상세표[근무일자],$U1170)&amp;""))</f>
        <v/>
      </c>
      <c r="N1170">
        <f>IF($U1170="","",IF(ISNUMBER(INDEX(상세표[시작],$U1170)),TEXT(INDEX(상세표[시작],$U1170),"yyyy-mm-dd hh:mm"),INDEX(상세표[시작],$U1170)&amp;""))</f>
        <v/>
      </c>
      <c r="O1170">
        <f>IF($U1170="","",IF(ISNUMBER(INDEX(상세표[종료],$U1170)),TEXT(INDEX(상세표[종료],$U1170),"yyyy-mm-dd hh:mm"),INDEX(상세표[종료],$U1170)&amp;""))</f>
        <v/>
      </c>
      <c r="P1170" s="20">
        <f>IF($U1170="","",INDEX(상세표[06~07시],$U1170))</f>
        <v/>
      </c>
      <c r="Q1170" s="20">
        <f>IF($U1170="","",INDEX(상세표[07~18시],$U1170))</f>
        <v/>
      </c>
      <c r="R1170" s="20">
        <f>IF($U1170="","",INDEX(상세표[18~22시],$U1170))</f>
        <v/>
      </c>
      <c r="S1170" s="20">
        <f>IF($U1170="","",INDEX(상세표[22~06시],$U1170))</f>
        <v/>
      </c>
      <c r="T1170" s="20">
        <f>IF($U1170="","",INDEX(상세표[기록 시간외],$U1170))</f>
        <v/>
      </c>
      <c r="U1170" s="4">
        <f>IFERROR(MATCH(1165,상세표[발송순번],0),"")</f>
        <v/>
      </c>
    </row>
    <row r="1171">
      <c r="J1171">
        <f>IF($U1171="","",INDEX(상세표[사번],$U1171)&amp;"")</f>
        <v/>
      </c>
      <c r="K1171">
        <f>IF($U1171="","",INDEX(상세표[성명],$U1171)&amp;"")</f>
        <v/>
      </c>
      <c r="L1171">
        <f>IF($U1171="","",INDEX(상세표[직위],$U1171)&amp;"")</f>
        <v/>
      </c>
      <c r="M1171">
        <f>IF($U1171="","",IF(ISNUMBER(INDEX(상세표[근무일자],$U1171)),TEXT(INDEX(상세표[근무일자],$U1171),"yyyy-mm-dd"),INDEX(상세표[근무일자],$U1171)&amp;""))</f>
        <v/>
      </c>
      <c r="N1171">
        <f>IF($U1171="","",IF(ISNUMBER(INDEX(상세표[시작],$U1171)),TEXT(INDEX(상세표[시작],$U1171),"yyyy-mm-dd hh:mm"),INDEX(상세표[시작],$U1171)&amp;""))</f>
        <v/>
      </c>
      <c r="O1171">
        <f>IF($U1171="","",IF(ISNUMBER(INDEX(상세표[종료],$U1171)),TEXT(INDEX(상세표[종료],$U1171),"yyyy-mm-dd hh:mm"),INDEX(상세표[종료],$U1171)&amp;""))</f>
        <v/>
      </c>
      <c r="P1171" s="20">
        <f>IF($U1171="","",INDEX(상세표[06~07시],$U1171))</f>
        <v/>
      </c>
      <c r="Q1171" s="20">
        <f>IF($U1171="","",INDEX(상세표[07~18시],$U1171))</f>
        <v/>
      </c>
      <c r="R1171" s="20">
        <f>IF($U1171="","",INDEX(상세표[18~22시],$U1171))</f>
        <v/>
      </c>
      <c r="S1171" s="20">
        <f>IF($U1171="","",INDEX(상세표[22~06시],$U1171))</f>
        <v/>
      </c>
      <c r="T1171" s="20">
        <f>IF($U1171="","",INDEX(상세표[기록 시간외],$U1171))</f>
        <v/>
      </c>
      <c r="U1171" s="4">
        <f>IFERROR(MATCH(1166,상세표[발송순번],0),"")</f>
        <v/>
      </c>
    </row>
    <row r="1172">
      <c r="J1172">
        <f>IF($U1172="","",INDEX(상세표[사번],$U1172)&amp;"")</f>
        <v/>
      </c>
      <c r="K1172">
        <f>IF($U1172="","",INDEX(상세표[성명],$U1172)&amp;"")</f>
        <v/>
      </c>
      <c r="L1172">
        <f>IF($U1172="","",INDEX(상세표[직위],$U1172)&amp;"")</f>
        <v/>
      </c>
      <c r="M1172">
        <f>IF($U1172="","",IF(ISNUMBER(INDEX(상세표[근무일자],$U1172)),TEXT(INDEX(상세표[근무일자],$U1172),"yyyy-mm-dd"),INDEX(상세표[근무일자],$U1172)&amp;""))</f>
        <v/>
      </c>
      <c r="N1172">
        <f>IF($U1172="","",IF(ISNUMBER(INDEX(상세표[시작],$U1172)),TEXT(INDEX(상세표[시작],$U1172),"yyyy-mm-dd hh:mm"),INDEX(상세표[시작],$U1172)&amp;""))</f>
        <v/>
      </c>
      <c r="O1172">
        <f>IF($U1172="","",IF(ISNUMBER(INDEX(상세표[종료],$U1172)),TEXT(INDEX(상세표[종료],$U1172),"yyyy-mm-dd hh:mm"),INDEX(상세표[종료],$U1172)&amp;""))</f>
        <v/>
      </c>
      <c r="P1172" s="20">
        <f>IF($U1172="","",INDEX(상세표[06~07시],$U1172))</f>
        <v/>
      </c>
      <c r="Q1172" s="20">
        <f>IF($U1172="","",INDEX(상세표[07~18시],$U1172))</f>
        <v/>
      </c>
      <c r="R1172" s="20">
        <f>IF($U1172="","",INDEX(상세표[18~22시],$U1172))</f>
        <v/>
      </c>
      <c r="S1172" s="20">
        <f>IF($U1172="","",INDEX(상세표[22~06시],$U1172))</f>
        <v/>
      </c>
      <c r="T1172" s="20">
        <f>IF($U1172="","",INDEX(상세표[기록 시간외],$U1172))</f>
        <v/>
      </c>
      <c r="U1172" s="4">
        <f>IFERROR(MATCH(1167,상세표[발송순번],0),"")</f>
        <v/>
      </c>
    </row>
    <row r="1173">
      <c r="J1173">
        <f>IF($U1173="","",INDEX(상세표[사번],$U1173)&amp;"")</f>
        <v/>
      </c>
      <c r="K1173">
        <f>IF($U1173="","",INDEX(상세표[성명],$U1173)&amp;"")</f>
        <v/>
      </c>
      <c r="L1173">
        <f>IF($U1173="","",INDEX(상세표[직위],$U1173)&amp;"")</f>
        <v/>
      </c>
      <c r="M1173">
        <f>IF($U1173="","",IF(ISNUMBER(INDEX(상세표[근무일자],$U1173)),TEXT(INDEX(상세표[근무일자],$U1173),"yyyy-mm-dd"),INDEX(상세표[근무일자],$U1173)&amp;""))</f>
        <v/>
      </c>
      <c r="N1173">
        <f>IF($U1173="","",IF(ISNUMBER(INDEX(상세표[시작],$U1173)),TEXT(INDEX(상세표[시작],$U1173),"yyyy-mm-dd hh:mm"),INDEX(상세표[시작],$U1173)&amp;""))</f>
        <v/>
      </c>
      <c r="O1173">
        <f>IF($U1173="","",IF(ISNUMBER(INDEX(상세표[종료],$U1173)),TEXT(INDEX(상세표[종료],$U1173),"yyyy-mm-dd hh:mm"),INDEX(상세표[종료],$U1173)&amp;""))</f>
        <v/>
      </c>
      <c r="P1173" s="20">
        <f>IF($U1173="","",INDEX(상세표[06~07시],$U1173))</f>
        <v/>
      </c>
      <c r="Q1173" s="20">
        <f>IF($U1173="","",INDEX(상세표[07~18시],$U1173))</f>
        <v/>
      </c>
      <c r="R1173" s="20">
        <f>IF($U1173="","",INDEX(상세표[18~22시],$U1173))</f>
        <v/>
      </c>
      <c r="S1173" s="20">
        <f>IF($U1173="","",INDEX(상세표[22~06시],$U1173))</f>
        <v/>
      </c>
      <c r="T1173" s="20">
        <f>IF($U1173="","",INDEX(상세표[기록 시간외],$U1173))</f>
        <v/>
      </c>
      <c r="U1173" s="4">
        <f>IFERROR(MATCH(1168,상세표[발송순번],0),"")</f>
        <v/>
      </c>
    </row>
    <row r="1174">
      <c r="J1174">
        <f>IF($U1174="","",INDEX(상세표[사번],$U1174)&amp;"")</f>
        <v/>
      </c>
      <c r="K1174">
        <f>IF($U1174="","",INDEX(상세표[성명],$U1174)&amp;"")</f>
        <v/>
      </c>
      <c r="L1174">
        <f>IF($U1174="","",INDEX(상세표[직위],$U1174)&amp;"")</f>
        <v/>
      </c>
      <c r="M1174">
        <f>IF($U1174="","",IF(ISNUMBER(INDEX(상세표[근무일자],$U1174)),TEXT(INDEX(상세표[근무일자],$U1174),"yyyy-mm-dd"),INDEX(상세표[근무일자],$U1174)&amp;""))</f>
        <v/>
      </c>
      <c r="N1174">
        <f>IF($U1174="","",IF(ISNUMBER(INDEX(상세표[시작],$U1174)),TEXT(INDEX(상세표[시작],$U1174),"yyyy-mm-dd hh:mm"),INDEX(상세표[시작],$U1174)&amp;""))</f>
        <v/>
      </c>
      <c r="O1174">
        <f>IF($U1174="","",IF(ISNUMBER(INDEX(상세표[종료],$U1174)),TEXT(INDEX(상세표[종료],$U1174),"yyyy-mm-dd hh:mm"),INDEX(상세표[종료],$U1174)&amp;""))</f>
        <v/>
      </c>
      <c r="P1174" s="20">
        <f>IF($U1174="","",INDEX(상세표[06~07시],$U1174))</f>
        <v/>
      </c>
      <c r="Q1174" s="20">
        <f>IF($U1174="","",INDEX(상세표[07~18시],$U1174))</f>
        <v/>
      </c>
      <c r="R1174" s="20">
        <f>IF($U1174="","",INDEX(상세표[18~22시],$U1174))</f>
        <v/>
      </c>
      <c r="S1174" s="20">
        <f>IF($U1174="","",INDEX(상세표[22~06시],$U1174))</f>
        <v/>
      </c>
      <c r="T1174" s="20">
        <f>IF($U1174="","",INDEX(상세표[기록 시간외],$U1174))</f>
        <v/>
      </c>
      <c r="U1174" s="4">
        <f>IFERROR(MATCH(1169,상세표[발송순번],0),"")</f>
        <v/>
      </c>
    </row>
    <row r="1175">
      <c r="J1175">
        <f>IF($U1175="","",INDEX(상세표[사번],$U1175)&amp;"")</f>
        <v/>
      </c>
      <c r="K1175">
        <f>IF($U1175="","",INDEX(상세표[성명],$U1175)&amp;"")</f>
        <v/>
      </c>
      <c r="L1175">
        <f>IF($U1175="","",INDEX(상세표[직위],$U1175)&amp;"")</f>
        <v/>
      </c>
      <c r="M1175">
        <f>IF($U1175="","",IF(ISNUMBER(INDEX(상세표[근무일자],$U1175)),TEXT(INDEX(상세표[근무일자],$U1175),"yyyy-mm-dd"),INDEX(상세표[근무일자],$U1175)&amp;""))</f>
        <v/>
      </c>
      <c r="N1175">
        <f>IF($U1175="","",IF(ISNUMBER(INDEX(상세표[시작],$U1175)),TEXT(INDEX(상세표[시작],$U1175),"yyyy-mm-dd hh:mm"),INDEX(상세표[시작],$U1175)&amp;""))</f>
        <v/>
      </c>
      <c r="O1175">
        <f>IF($U1175="","",IF(ISNUMBER(INDEX(상세표[종료],$U1175)),TEXT(INDEX(상세표[종료],$U1175),"yyyy-mm-dd hh:mm"),INDEX(상세표[종료],$U1175)&amp;""))</f>
        <v/>
      </c>
      <c r="P1175" s="20">
        <f>IF($U1175="","",INDEX(상세표[06~07시],$U1175))</f>
        <v/>
      </c>
      <c r="Q1175" s="20">
        <f>IF($U1175="","",INDEX(상세표[07~18시],$U1175))</f>
        <v/>
      </c>
      <c r="R1175" s="20">
        <f>IF($U1175="","",INDEX(상세표[18~22시],$U1175))</f>
        <v/>
      </c>
      <c r="S1175" s="20">
        <f>IF($U1175="","",INDEX(상세표[22~06시],$U1175))</f>
        <v/>
      </c>
      <c r="T1175" s="20">
        <f>IF($U1175="","",INDEX(상세표[기록 시간외],$U1175))</f>
        <v/>
      </c>
      <c r="U1175" s="4">
        <f>IFERROR(MATCH(1170,상세표[발송순번],0),"")</f>
        <v/>
      </c>
    </row>
    <row r="1176">
      <c r="J1176">
        <f>IF($U1176="","",INDEX(상세표[사번],$U1176)&amp;"")</f>
        <v/>
      </c>
      <c r="K1176">
        <f>IF($U1176="","",INDEX(상세표[성명],$U1176)&amp;"")</f>
        <v/>
      </c>
      <c r="L1176">
        <f>IF($U1176="","",INDEX(상세표[직위],$U1176)&amp;"")</f>
        <v/>
      </c>
      <c r="M1176">
        <f>IF($U1176="","",IF(ISNUMBER(INDEX(상세표[근무일자],$U1176)),TEXT(INDEX(상세표[근무일자],$U1176),"yyyy-mm-dd"),INDEX(상세표[근무일자],$U1176)&amp;""))</f>
        <v/>
      </c>
      <c r="N1176">
        <f>IF($U1176="","",IF(ISNUMBER(INDEX(상세표[시작],$U1176)),TEXT(INDEX(상세표[시작],$U1176),"yyyy-mm-dd hh:mm"),INDEX(상세표[시작],$U1176)&amp;""))</f>
        <v/>
      </c>
      <c r="O1176">
        <f>IF($U1176="","",IF(ISNUMBER(INDEX(상세표[종료],$U1176)),TEXT(INDEX(상세표[종료],$U1176),"yyyy-mm-dd hh:mm"),INDEX(상세표[종료],$U1176)&amp;""))</f>
        <v/>
      </c>
      <c r="P1176" s="20">
        <f>IF($U1176="","",INDEX(상세표[06~07시],$U1176))</f>
        <v/>
      </c>
      <c r="Q1176" s="20">
        <f>IF($U1176="","",INDEX(상세표[07~18시],$U1176))</f>
        <v/>
      </c>
      <c r="R1176" s="20">
        <f>IF($U1176="","",INDEX(상세표[18~22시],$U1176))</f>
        <v/>
      </c>
      <c r="S1176" s="20">
        <f>IF($U1176="","",INDEX(상세표[22~06시],$U1176))</f>
        <v/>
      </c>
      <c r="T1176" s="20">
        <f>IF($U1176="","",INDEX(상세표[기록 시간외],$U1176))</f>
        <v/>
      </c>
      <c r="U1176" s="4">
        <f>IFERROR(MATCH(1171,상세표[발송순번],0),"")</f>
        <v/>
      </c>
    </row>
    <row r="1177">
      <c r="J1177">
        <f>IF($U1177="","",INDEX(상세표[사번],$U1177)&amp;"")</f>
        <v/>
      </c>
      <c r="K1177">
        <f>IF($U1177="","",INDEX(상세표[성명],$U1177)&amp;"")</f>
        <v/>
      </c>
      <c r="L1177">
        <f>IF($U1177="","",INDEX(상세표[직위],$U1177)&amp;"")</f>
        <v/>
      </c>
      <c r="M1177">
        <f>IF($U1177="","",IF(ISNUMBER(INDEX(상세표[근무일자],$U1177)),TEXT(INDEX(상세표[근무일자],$U1177),"yyyy-mm-dd"),INDEX(상세표[근무일자],$U1177)&amp;""))</f>
        <v/>
      </c>
      <c r="N1177">
        <f>IF($U1177="","",IF(ISNUMBER(INDEX(상세표[시작],$U1177)),TEXT(INDEX(상세표[시작],$U1177),"yyyy-mm-dd hh:mm"),INDEX(상세표[시작],$U1177)&amp;""))</f>
        <v/>
      </c>
      <c r="O1177">
        <f>IF($U1177="","",IF(ISNUMBER(INDEX(상세표[종료],$U1177)),TEXT(INDEX(상세표[종료],$U1177),"yyyy-mm-dd hh:mm"),INDEX(상세표[종료],$U1177)&amp;""))</f>
        <v/>
      </c>
      <c r="P1177" s="20">
        <f>IF($U1177="","",INDEX(상세표[06~07시],$U1177))</f>
        <v/>
      </c>
      <c r="Q1177" s="20">
        <f>IF($U1177="","",INDEX(상세표[07~18시],$U1177))</f>
        <v/>
      </c>
      <c r="R1177" s="20">
        <f>IF($U1177="","",INDEX(상세표[18~22시],$U1177))</f>
        <v/>
      </c>
      <c r="S1177" s="20">
        <f>IF($U1177="","",INDEX(상세표[22~06시],$U1177))</f>
        <v/>
      </c>
      <c r="T1177" s="20">
        <f>IF($U1177="","",INDEX(상세표[기록 시간외],$U1177))</f>
        <v/>
      </c>
      <c r="U1177" s="4">
        <f>IFERROR(MATCH(1172,상세표[발송순번],0),"")</f>
        <v/>
      </c>
    </row>
    <row r="1178">
      <c r="J1178">
        <f>IF($U1178="","",INDEX(상세표[사번],$U1178)&amp;"")</f>
        <v/>
      </c>
      <c r="K1178">
        <f>IF($U1178="","",INDEX(상세표[성명],$U1178)&amp;"")</f>
        <v/>
      </c>
      <c r="L1178">
        <f>IF($U1178="","",INDEX(상세표[직위],$U1178)&amp;"")</f>
        <v/>
      </c>
      <c r="M1178">
        <f>IF($U1178="","",IF(ISNUMBER(INDEX(상세표[근무일자],$U1178)),TEXT(INDEX(상세표[근무일자],$U1178),"yyyy-mm-dd"),INDEX(상세표[근무일자],$U1178)&amp;""))</f>
        <v/>
      </c>
      <c r="N1178">
        <f>IF($U1178="","",IF(ISNUMBER(INDEX(상세표[시작],$U1178)),TEXT(INDEX(상세표[시작],$U1178),"yyyy-mm-dd hh:mm"),INDEX(상세표[시작],$U1178)&amp;""))</f>
        <v/>
      </c>
      <c r="O1178">
        <f>IF($U1178="","",IF(ISNUMBER(INDEX(상세표[종료],$U1178)),TEXT(INDEX(상세표[종료],$U1178),"yyyy-mm-dd hh:mm"),INDEX(상세표[종료],$U1178)&amp;""))</f>
        <v/>
      </c>
      <c r="P1178" s="20">
        <f>IF($U1178="","",INDEX(상세표[06~07시],$U1178))</f>
        <v/>
      </c>
      <c r="Q1178" s="20">
        <f>IF($U1178="","",INDEX(상세표[07~18시],$U1178))</f>
        <v/>
      </c>
      <c r="R1178" s="20">
        <f>IF($U1178="","",INDEX(상세표[18~22시],$U1178))</f>
        <v/>
      </c>
      <c r="S1178" s="20">
        <f>IF($U1178="","",INDEX(상세표[22~06시],$U1178))</f>
        <v/>
      </c>
      <c r="T1178" s="20">
        <f>IF($U1178="","",INDEX(상세표[기록 시간외],$U1178))</f>
        <v/>
      </c>
      <c r="U1178" s="4">
        <f>IFERROR(MATCH(1173,상세표[발송순번],0),"")</f>
        <v/>
      </c>
    </row>
    <row r="1179">
      <c r="J1179">
        <f>IF($U1179="","",INDEX(상세표[사번],$U1179)&amp;"")</f>
        <v/>
      </c>
      <c r="K1179">
        <f>IF($U1179="","",INDEX(상세표[성명],$U1179)&amp;"")</f>
        <v/>
      </c>
      <c r="L1179">
        <f>IF($U1179="","",INDEX(상세표[직위],$U1179)&amp;"")</f>
        <v/>
      </c>
      <c r="M1179">
        <f>IF($U1179="","",IF(ISNUMBER(INDEX(상세표[근무일자],$U1179)),TEXT(INDEX(상세표[근무일자],$U1179),"yyyy-mm-dd"),INDEX(상세표[근무일자],$U1179)&amp;""))</f>
        <v/>
      </c>
      <c r="N1179">
        <f>IF($U1179="","",IF(ISNUMBER(INDEX(상세표[시작],$U1179)),TEXT(INDEX(상세표[시작],$U1179),"yyyy-mm-dd hh:mm"),INDEX(상세표[시작],$U1179)&amp;""))</f>
        <v/>
      </c>
      <c r="O1179">
        <f>IF($U1179="","",IF(ISNUMBER(INDEX(상세표[종료],$U1179)),TEXT(INDEX(상세표[종료],$U1179),"yyyy-mm-dd hh:mm"),INDEX(상세표[종료],$U1179)&amp;""))</f>
        <v/>
      </c>
      <c r="P1179" s="20">
        <f>IF($U1179="","",INDEX(상세표[06~07시],$U1179))</f>
        <v/>
      </c>
      <c r="Q1179" s="20">
        <f>IF($U1179="","",INDEX(상세표[07~18시],$U1179))</f>
        <v/>
      </c>
      <c r="R1179" s="20">
        <f>IF($U1179="","",INDEX(상세표[18~22시],$U1179))</f>
        <v/>
      </c>
      <c r="S1179" s="20">
        <f>IF($U1179="","",INDEX(상세표[22~06시],$U1179))</f>
        <v/>
      </c>
      <c r="T1179" s="20">
        <f>IF($U1179="","",INDEX(상세표[기록 시간외],$U1179))</f>
        <v/>
      </c>
      <c r="U1179" s="4">
        <f>IFERROR(MATCH(1174,상세표[발송순번],0),"")</f>
        <v/>
      </c>
    </row>
    <row r="1180">
      <c r="J1180">
        <f>IF($U1180="","",INDEX(상세표[사번],$U1180)&amp;"")</f>
        <v/>
      </c>
      <c r="K1180">
        <f>IF($U1180="","",INDEX(상세표[성명],$U1180)&amp;"")</f>
        <v/>
      </c>
      <c r="L1180">
        <f>IF($U1180="","",INDEX(상세표[직위],$U1180)&amp;"")</f>
        <v/>
      </c>
      <c r="M1180">
        <f>IF($U1180="","",IF(ISNUMBER(INDEX(상세표[근무일자],$U1180)),TEXT(INDEX(상세표[근무일자],$U1180),"yyyy-mm-dd"),INDEX(상세표[근무일자],$U1180)&amp;""))</f>
        <v/>
      </c>
      <c r="N1180">
        <f>IF($U1180="","",IF(ISNUMBER(INDEX(상세표[시작],$U1180)),TEXT(INDEX(상세표[시작],$U1180),"yyyy-mm-dd hh:mm"),INDEX(상세표[시작],$U1180)&amp;""))</f>
        <v/>
      </c>
      <c r="O1180">
        <f>IF($U1180="","",IF(ISNUMBER(INDEX(상세표[종료],$U1180)),TEXT(INDEX(상세표[종료],$U1180),"yyyy-mm-dd hh:mm"),INDEX(상세표[종료],$U1180)&amp;""))</f>
        <v/>
      </c>
      <c r="P1180" s="20">
        <f>IF($U1180="","",INDEX(상세표[06~07시],$U1180))</f>
        <v/>
      </c>
      <c r="Q1180" s="20">
        <f>IF($U1180="","",INDEX(상세표[07~18시],$U1180))</f>
        <v/>
      </c>
      <c r="R1180" s="20">
        <f>IF($U1180="","",INDEX(상세표[18~22시],$U1180))</f>
        <v/>
      </c>
      <c r="S1180" s="20">
        <f>IF($U1180="","",INDEX(상세표[22~06시],$U1180))</f>
        <v/>
      </c>
      <c r="T1180" s="20">
        <f>IF($U1180="","",INDEX(상세표[기록 시간외],$U1180))</f>
        <v/>
      </c>
      <c r="U1180" s="4">
        <f>IFERROR(MATCH(1175,상세표[발송순번],0),"")</f>
        <v/>
      </c>
    </row>
    <row r="1181">
      <c r="J1181">
        <f>IF($U1181="","",INDEX(상세표[사번],$U1181)&amp;"")</f>
        <v/>
      </c>
      <c r="K1181">
        <f>IF($U1181="","",INDEX(상세표[성명],$U1181)&amp;"")</f>
        <v/>
      </c>
      <c r="L1181">
        <f>IF($U1181="","",INDEX(상세표[직위],$U1181)&amp;"")</f>
        <v/>
      </c>
      <c r="M1181">
        <f>IF($U1181="","",IF(ISNUMBER(INDEX(상세표[근무일자],$U1181)),TEXT(INDEX(상세표[근무일자],$U1181),"yyyy-mm-dd"),INDEX(상세표[근무일자],$U1181)&amp;""))</f>
        <v/>
      </c>
      <c r="N1181">
        <f>IF($U1181="","",IF(ISNUMBER(INDEX(상세표[시작],$U1181)),TEXT(INDEX(상세표[시작],$U1181),"yyyy-mm-dd hh:mm"),INDEX(상세표[시작],$U1181)&amp;""))</f>
        <v/>
      </c>
      <c r="O1181">
        <f>IF($U1181="","",IF(ISNUMBER(INDEX(상세표[종료],$U1181)),TEXT(INDEX(상세표[종료],$U1181),"yyyy-mm-dd hh:mm"),INDEX(상세표[종료],$U1181)&amp;""))</f>
        <v/>
      </c>
      <c r="P1181" s="20">
        <f>IF($U1181="","",INDEX(상세표[06~07시],$U1181))</f>
        <v/>
      </c>
      <c r="Q1181" s="20">
        <f>IF($U1181="","",INDEX(상세표[07~18시],$U1181))</f>
        <v/>
      </c>
      <c r="R1181" s="20">
        <f>IF($U1181="","",INDEX(상세표[18~22시],$U1181))</f>
        <v/>
      </c>
      <c r="S1181" s="20">
        <f>IF($U1181="","",INDEX(상세표[22~06시],$U1181))</f>
        <v/>
      </c>
      <c r="T1181" s="20">
        <f>IF($U1181="","",INDEX(상세표[기록 시간외],$U1181))</f>
        <v/>
      </c>
      <c r="U1181" s="4">
        <f>IFERROR(MATCH(1176,상세표[발송순번],0),"")</f>
        <v/>
      </c>
    </row>
    <row r="1182">
      <c r="J1182">
        <f>IF($U1182="","",INDEX(상세표[사번],$U1182)&amp;"")</f>
        <v/>
      </c>
      <c r="K1182">
        <f>IF($U1182="","",INDEX(상세표[성명],$U1182)&amp;"")</f>
        <v/>
      </c>
      <c r="L1182">
        <f>IF($U1182="","",INDEX(상세표[직위],$U1182)&amp;"")</f>
        <v/>
      </c>
      <c r="M1182">
        <f>IF($U1182="","",IF(ISNUMBER(INDEX(상세표[근무일자],$U1182)),TEXT(INDEX(상세표[근무일자],$U1182),"yyyy-mm-dd"),INDEX(상세표[근무일자],$U1182)&amp;""))</f>
        <v/>
      </c>
      <c r="N1182">
        <f>IF($U1182="","",IF(ISNUMBER(INDEX(상세표[시작],$U1182)),TEXT(INDEX(상세표[시작],$U1182),"yyyy-mm-dd hh:mm"),INDEX(상세표[시작],$U1182)&amp;""))</f>
        <v/>
      </c>
      <c r="O1182">
        <f>IF($U1182="","",IF(ISNUMBER(INDEX(상세표[종료],$U1182)),TEXT(INDEX(상세표[종료],$U1182),"yyyy-mm-dd hh:mm"),INDEX(상세표[종료],$U1182)&amp;""))</f>
        <v/>
      </c>
      <c r="P1182" s="20">
        <f>IF($U1182="","",INDEX(상세표[06~07시],$U1182))</f>
        <v/>
      </c>
      <c r="Q1182" s="20">
        <f>IF($U1182="","",INDEX(상세표[07~18시],$U1182))</f>
        <v/>
      </c>
      <c r="R1182" s="20">
        <f>IF($U1182="","",INDEX(상세표[18~22시],$U1182))</f>
        <v/>
      </c>
      <c r="S1182" s="20">
        <f>IF($U1182="","",INDEX(상세표[22~06시],$U1182))</f>
        <v/>
      </c>
      <c r="T1182" s="20">
        <f>IF($U1182="","",INDEX(상세표[기록 시간외],$U1182))</f>
        <v/>
      </c>
      <c r="U1182" s="4">
        <f>IFERROR(MATCH(1177,상세표[발송순번],0),"")</f>
        <v/>
      </c>
    </row>
    <row r="1183">
      <c r="J1183">
        <f>IF($U1183="","",INDEX(상세표[사번],$U1183)&amp;"")</f>
        <v/>
      </c>
      <c r="K1183">
        <f>IF($U1183="","",INDEX(상세표[성명],$U1183)&amp;"")</f>
        <v/>
      </c>
      <c r="L1183">
        <f>IF($U1183="","",INDEX(상세표[직위],$U1183)&amp;"")</f>
        <v/>
      </c>
      <c r="M1183">
        <f>IF($U1183="","",IF(ISNUMBER(INDEX(상세표[근무일자],$U1183)),TEXT(INDEX(상세표[근무일자],$U1183),"yyyy-mm-dd"),INDEX(상세표[근무일자],$U1183)&amp;""))</f>
        <v/>
      </c>
      <c r="N1183">
        <f>IF($U1183="","",IF(ISNUMBER(INDEX(상세표[시작],$U1183)),TEXT(INDEX(상세표[시작],$U1183),"yyyy-mm-dd hh:mm"),INDEX(상세표[시작],$U1183)&amp;""))</f>
        <v/>
      </c>
      <c r="O1183">
        <f>IF($U1183="","",IF(ISNUMBER(INDEX(상세표[종료],$U1183)),TEXT(INDEX(상세표[종료],$U1183),"yyyy-mm-dd hh:mm"),INDEX(상세표[종료],$U1183)&amp;""))</f>
        <v/>
      </c>
      <c r="P1183" s="20">
        <f>IF($U1183="","",INDEX(상세표[06~07시],$U1183))</f>
        <v/>
      </c>
      <c r="Q1183" s="20">
        <f>IF($U1183="","",INDEX(상세표[07~18시],$U1183))</f>
        <v/>
      </c>
      <c r="R1183" s="20">
        <f>IF($U1183="","",INDEX(상세표[18~22시],$U1183))</f>
        <v/>
      </c>
      <c r="S1183" s="20">
        <f>IF($U1183="","",INDEX(상세표[22~06시],$U1183))</f>
        <v/>
      </c>
      <c r="T1183" s="20">
        <f>IF($U1183="","",INDEX(상세표[기록 시간외],$U1183))</f>
        <v/>
      </c>
      <c r="U1183" s="4">
        <f>IFERROR(MATCH(1178,상세표[발송순번],0),"")</f>
        <v/>
      </c>
    </row>
    <row r="1184">
      <c r="J1184">
        <f>IF($U1184="","",INDEX(상세표[사번],$U1184)&amp;"")</f>
        <v/>
      </c>
      <c r="K1184">
        <f>IF($U1184="","",INDEX(상세표[성명],$U1184)&amp;"")</f>
        <v/>
      </c>
      <c r="L1184">
        <f>IF($U1184="","",INDEX(상세표[직위],$U1184)&amp;"")</f>
        <v/>
      </c>
      <c r="M1184">
        <f>IF($U1184="","",IF(ISNUMBER(INDEX(상세표[근무일자],$U1184)),TEXT(INDEX(상세표[근무일자],$U1184),"yyyy-mm-dd"),INDEX(상세표[근무일자],$U1184)&amp;""))</f>
        <v/>
      </c>
      <c r="N1184">
        <f>IF($U1184="","",IF(ISNUMBER(INDEX(상세표[시작],$U1184)),TEXT(INDEX(상세표[시작],$U1184),"yyyy-mm-dd hh:mm"),INDEX(상세표[시작],$U1184)&amp;""))</f>
        <v/>
      </c>
      <c r="O1184">
        <f>IF($U1184="","",IF(ISNUMBER(INDEX(상세표[종료],$U1184)),TEXT(INDEX(상세표[종료],$U1184),"yyyy-mm-dd hh:mm"),INDEX(상세표[종료],$U1184)&amp;""))</f>
        <v/>
      </c>
      <c r="P1184" s="20">
        <f>IF($U1184="","",INDEX(상세표[06~07시],$U1184))</f>
        <v/>
      </c>
      <c r="Q1184" s="20">
        <f>IF($U1184="","",INDEX(상세표[07~18시],$U1184))</f>
        <v/>
      </c>
      <c r="R1184" s="20">
        <f>IF($U1184="","",INDEX(상세표[18~22시],$U1184))</f>
        <v/>
      </c>
      <c r="S1184" s="20">
        <f>IF($U1184="","",INDEX(상세표[22~06시],$U1184))</f>
        <v/>
      </c>
      <c r="T1184" s="20">
        <f>IF($U1184="","",INDEX(상세표[기록 시간외],$U1184))</f>
        <v/>
      </c>
      <c r="U1184" s="4">
        <f>IFERROR(MATCH(1179,상세표[발송순번],0),"")</f>
        <v/>
      </c>
    </row>
    <row r="1185">
      <c r="J1185">
        <f>IF($U1185="","",INDEX(상세표[사번],$U1185)&amp;"")</f>
        <v/>
      </c>
      <c r="K1185">
        <f>IF($U1185="","",INDEX(상세표[성명],$U1185)&amp;"")</f>
        <v/>
      </c>
      <c r="L1185">
        <f>IF($U1185="","",INDEX(상세표[직위],$U1185)&amp;"")</f>
        <v/>
      </c>
      <c r="M1185">
        <f>IF($U1185="","",IF(ISNUMBER(INDEX(상세표[근무일자],$U1185)),TEXT(INDEX(상세표[근무일자],$U1185),"yyyy-mm-dd"),INDEX(상세표[근무일자],$U1185)&amp;""))</f>
        <v/>
      </c>
      <c r="N1185">
        <f>IF($U1185="","",IF(ISNUMBER(INDEX(상세표[시작],$U1185)),TEXT(INDEX(상세표[시작],$U1185),"yyyy-mm-dd hh:mm"),INDEX(상세표[시작],$U1185)&amp;""))</f>
        <v/>
      </c>
      <c r="O1185">
        <f>IF($U1185="","",IF(ISNUMBER(INDEX(상세표[종료],$U1185)),TEXT(INDEX(상세표[종료],$U1185),"yyyy-mm-dd hh:mm"),INDEX(상세표[종료],$U1185)&amp;""))</f>
        <v/>
      </c>
      <c r="P1185" s="20">
        <f>IF($U1185="","",INDEX(상세표[06~07시],$U1185))</f>
        <v/>
      </c>
      <c r="Q1185" s="20">
        <f>IF($U1185="","",INDEX(상세표[07~18시],$U1185))</f>
        <v/>
      </c>
      <c r="R1185" s="20">
        <f>IF($U1185="","",INDEX(상세표[18~22시],$U1185))</f>
        <v/>
      </c>
      <c r="S1185" s="20">
        <f>IF($U1185="","",INDEX(상세표[22~06시],$U1185))</f>
        <v/>
      </c>
      <c r="T1185" s="20">
        <f>IF($U1185="","",INDEX(상세표[기록 시간외],$U1185))</f>
        <v/>
      </c>
      <c r="U1185" s="4">
        <f>IFERROR(MATCH(1180,상세표[발송순번],0),"")</f>
        <v/>
      </c>
    </row>
    <row r="1186">
      <c r="J1186">
        <f>IF($U1186="","",INDEX(상세표[사번],$U1186)&amp;"")</f>
        <v/>
      </c>
      <c r="K1186">
        <f>IF($U1186="","",INDEX(상세표[성명],$U1186)&amp;"")</f>
        <v/>
      </c>
      <c r="L1186">
        <f>IF($U1186="","",INDEX(상세표[직위],$U1186)&amp;"")</f>
        <v/>
      </c>
      <c r="M1186">
        <f>IF($U1186="","",IF(ISNUMBER(INDEX(상세표[근무일자],$U1186)),TEXT(INDEX(상세표[근무일자],$U1186),"yyyy-mm-dd"),INDEX(상세표[근무일자],$U1186)&amp;""))</f>
        <v/>
      </c>
      <c r="N1186">
        <f>IF($U1186="","",IF(ISNUMBER(INDEX(상세표[시작],$U1186)),TEXT(INDEX(상세표[시작],$U1186),"yyyy-mm-dd hh:mm"),INDEX(상세표[시작],$U1186)&amp;""))</f>
        <v/>
      </c>
      <c r="O1186">
        <f>IF($U1186="","",IF(ISNUMBER(INDEX(상세표[종료],$U1186)),TEXT(INDEX(상세표[종료],$U1186),"yyyy-mm-dd hh:mm"),INDEX(상세표[종료],$U1186)&amp;""))</f>
        <v/>
      </c>
      <c r="P1186" s="20">
        <f>IF($U1186="","",INDEX(상세표[06~07시],$U1186))</f>
        <v/>
      </c>
      <c r="Q1186" s="20">
        <f>IF($U1186="","",INDEX(상세표[07~18시],$U1186))</f>
        <v/>
      </c>
      <c r="R1186" s="20">
        <f>IF($U1186="","",INDEX(상세표[18~22시],$U1186))</f>
        <v/>
      </c>
      <c r="S1186" s="20">
        <f>IF($U1186="","",INDEX(상세표[22~06시],$U1186))</f>
        <v/>
      </c>
      <c r="T1186" s="20">
        <f>IF($U1186="","",INDEX(상세표[기록 시간외],$U1186))</f>
        <v/>
      </c>
      <c r="U1186" s="4">
        <f>IFERROR(MATCH(1181,상세표[발송순번],0),"")</f>
        <v/>
      </c>
    </row>
    <row r="1187">
      <c r="J1187">
        <f>IF($U1187="","",INDEX(상세표[사번],$U1187)&amp;"")</f>
        <v/>
      </c>
      <c r="K1187">
        <f>IF($U1187="","",INDEX(상세표[성명],$U1187)&amp;"")</f>
        <v/>
      </c>
      <c r="L1187">
        <f>IF($U1187="","",INDEX(상세표[직위],$U1187)&amp;"")</f>
        <v/>
      </c>
      <c r="M1187">
        <f>IF($U1187="","",IF(ISNUMBER(INDEX(상세표[근무일자],$U1187)),TEXT(INDEX(상세표[근무일자],$U1187),"yyyy-mm-dd"),INDEX(상세표[근무일자],$U1187)&amp;""))</f>
        <v/>
      </c>
      <c r="N1187">
        <f>IF($U1187="","",IF(ISNUMBER(INDEX(상세표[시작],$U1187)),TEXT(INDEX(상세표[시작],$U1187),"yyyy-mm-dd hh:mm"),INDEX(상세표[시작],$U1187)&amp;""))</f>
        <v/>
      </c>
      <c r="O1187">
        <f>IF($U1187="","",IF(ISNUMBER(INDEX(상세표[종료],$U1187)),TEXT(INDEX(상세표[종료],$U1187),"yyyy-mm-dd hh:mm"),INDEX(상세표[종료],$U1187)&amp;""))</f>
        <v/>
      </c>
      <c r="P1187" s="20">
        <f>IF($U1187="","",INDEX(상세표[06~07시],$U1187))</f>
        <v/>
      </c>
      <c r="Q1187" s="20">
        <f>IF($U1187="","",INDEX(상세표[07~18시],$U1187))</f>
        <v/>
      </c>
      <c r="R1187" s="20">
        <f>IF($U1187="","",INDEX(상세표[18~22시],$U1187))</f>
        <v/>
      </c>
      <c r="S1187" s="20">
        <f>IF($U1187="","",INDEX(상세표[22~06시],$U1187))</f>
        <v/>
      </c>
      <c r="T1187" s="20">
        <f>IF($U1187="","",INDEX(상세표[기록 시간외],$U1187))</f>
        <v/>
      </c>
      <c r="U1187" s="4">
        <f>IFERROR(MATCH(1182,상세표[발송순번],0),"")</f>
        <v/>
      </c>
    </row>
    <row r="1188">
      <c r="J1188">
        <f>IF($U1188="","",INDEX(상세표[사번],$U1188)&amp;"")</f>
        <v/>
      </c>
      <c r="K1188">
        <f>IF($U1188="","",INDEX(상세표[성명],$U1188)&amp;"")</f>
        <v/>
      </c>
      <c r="L1188">
        <f>IF($U1188="","",INDEX(상세표[직위],$U1188)&amp;"")</f>
        <v/>
      </c>
      <c r="M1188">
        <f>IF($U1188="","",IF(ISNUMBER(INDEX(상세표[근무일자],$U1188)),TEXT(INDEX(상세표[근무일자],$U1188),"yyyy-mm-dd"),INDEX(상세표[근무일자],$U1188)&amp;""))</f>
        <v/>
      </c>
      <c r="N1188">
        <f>IF($U1188="","",IF(ISNUMBER(INDEX(상세표[시작],$U1188)),TEXT(INDEX(상세표[시작],$U1188),"yyyy-mm-dd hh:mm"),INDEX(상세표[시작],$U1188)&amp;""))</f>
        <v/>
      </c>
      <c r="O1188">
        <f>IF($U1188="","",IF(ISNUMBER(INDEX(상세표[종료],$U1188)),TEXT(INDEX(상세표[종료],$U1188),"yyyy-mm-dd hh:mm"),INDEX(상세표[종료],$U1188)&amp;""))</f>
        <v/>
      </c>
      <c r="P1188" s="20">
        <f>IF($U1188="","",INDEX(상세표[06~07시],$U1188))</f>
        <v/>
      </c>
      <c r="Q1188" s="20">
        <f>IF($U1188="","",INDEX(상세표[07~18시],$U1188))</f>
        <v/>
      </c>
      <c r="R1188" s="20">
        <f>IF($U1188="","",INDEX(상세표[18~22시],$U1188))</f>
        <v/>
      </c>
      <c r="S1188" s="20">
        <f>IF($U1188="","",INDEX(상세표[22~06시],$U1188))</f>
        <v/>
      </c>
      <c r="T1188" s="20">
        <f>IF($U1188="","",INDEX(상세표[기록 시간외],$U1188))</f>
        <v/>
      </c>
      <c r="U1188" s="4">
        <f>IFERROR(MATCH(1183,상세표[발송순번],0),"")</f>
        <v/>
      </c>
    </row>
    <row r="1189">
      <c r="J1189">
        <f>IF($U1189="","",INDEX(상세표[사번],$U1189)&amp;"")</f>
        <v/>
      </c>
      <c r="K1189">
        <f>IF($U1189="","",INDEX(상세표[성명],$U1189)&amp;"")</f>
        <v/>
      </c>
      <c r="L1189">
        <f>IF($U1189="","",INDEX(상세표[직위],$U1189)&amp;"")</f>
        <v/>
      </c>
      <c r="M1189">
        <f>IF($U1189="","",IF(ISNUMBER(INDEX(상세표[근무일자],$U1189)),TEXT(INDEX(상세표[근무일자],$U1189),"yyyy-mm-dd"),INDEX(상세표[근무일자],$U1189)&amp;""))</f>
        <v/>
      </c>
      <c r="N1189">
        <f>IF($U1189="","",IF(ISNUMBER(INDEX(상세표[시작],$U1189)),TEXT(INDEX(상세표[시작],$U1189),"yyyy-mm-dd hh:mm"),INDEX(상세표[시작],$U1189)&amp;""))</f>
        <v/>
      </c>
      <c r="O1189">
        <f>IF($U1189="","",IF(ISNUMBER(INDEX(상세표[종료],$U1189)),TEXT(INDEX(상세표[종료],$U1189),"yyyy-mm-dd hh:mm"),INDEX(상세표[종료],$U1189)&amp;""))</f>
        <v/>
      </c>
      <c r="P1189" s="20">
        <f>IF($U1189="","",INDEX(상세표[06~07시],$U1189))</f>
        <v/>
      </c>
      <c r="Q1189" s="20">
        <f>IF($U1189="","",INDEX(상세표[07~18시],$U1189))</f>
        <v/>
      </c>
      <c r="R1189" s="20">
        <f>IF($U1189="","",INDEX(상세표[18~22시],$U1189))</f>
        <v/>
      </c>
      <c r="S1189" s="20">
        <f>IF($U1189="","",INDEX(상세표[22~06시],$U1189))</f>
        <v/>
      </c>
      <c r="T1189" s="20">
        <f>IF($U1189="","",INDEX(상세표[기록 시간외],$U1189))</f>
        <v/>
      </c>
      <c r="U1189" s="4">
        <f>IFERROR(MATCH(1184,상세표[발송순번],0),"")</f>
        <v/>
      </c>
    </row>
    <row r="1190">
      <c r="J1190">
        <f>IF($U1190="","",INDEX(상세표[사번],$U1190)&amp;"")</f>
        <v/>
      </c>
      <c r="K1190">
        <f>IF($U1190="","",INDEX(상세표[성명],$U1190)&amp;"")</f>
        <v/>
      </c>
      <c r="L1190">
        <f>IF($U1190="","",INDEX(상세표[직위],$U1190)&amp;"")</f>
        <v/>
      </c>
      <c r="M1190">
        <f>IF($U1190="","",IF(ISNUMBER(INDEX(상세표[근무일자],$U1190)),TEXT(INDEX(상세표[근무일자],$U1190),"yyyy-mm-dd"),INDEX(상세표[근무일자],$U1190)&amp;""))</f>
        <v/>
      </c>
      <c r="N1190">
        <f>IF($U1190="","",IF(ISNUMBER(INDEX(상세표[시작],$U1190)),TEXT(INDEX(상세표[시작],$U1190),"yyyy-mm-dd hh:mm"),INDEX(상세표[시작],$U1190)&amp;""))</f>
        <v/>
      </c>
      <c r="O1190">
        <f>IF($U1190="","",IF(ISNUMBER(INDEX(상세표[종료],$U1190)),TEXT(INDEX(상세표[종료],$U1190),"yyyy-mm-dd hh:mm"),INDEX(상세표[종료],$U1190)&amp;""))</f>
        <v/>
      </c>
      <c r="P1190" s="20">
        <f>IF($U1190="","",INDEX(상세표[06~07시],$U1190))</f>
        <v/>
      </c>
      <c r="Q1190" s="20">
        <f>IF($U1190="","",INDEX(상세표[07~18시],$U1190))</f>
        <v/>
      </c>
      <c r="R1190" s="20">
        <f>IF($U1190="","",INDEX(상세표[18~22시],$U1190))</f>
        <v/>
      </c>
      <c r="S1190" s="20">
        <f>IF($U1190="","",INDEX(상세표[22~06시],$U1190))</f>
        <v/>
      </c>
      <c r="T1190" s="20">
        <f>IF($U1190="","",INDEX(상세표[기록 시간외],$U1190))</f>
        <v/>
      </c>
      <c r="U1190" s="4">
        <f>IFERROR(MATCH(1185,상세표[발송순번],0),"")</f>
        <v/>
      </c>
    </row>
    <row r="1191">
      <c r="J1191">
        <f>IF($U1191="","",INDEX(상세표[사번],$U1191)&amp;"")</f>
        <v/>
      </c>
      <c r="K1191">
        <f>IF($U1191="","",INDEX(상세표[성명],$U1191)&amp;"")</f>
        <v/>
      </c>
      <c r="L1191">
        <f>IF($U1191="","",INDEX(상세표[직위],$U1191)&amp;"")</f>
        <v/>
      </c>
      <c r="M1191">
        <f>IF($U1191="","",IF(ISNUMBER(INDEX(상세표[근무일자],$U1191)),TEXT(INDEX(상세표[근무일자],$U1191),"yyyy-mm-dd"),INDEX(상세표[근무일자],$U1191)&amp;""))</f>
        <v/>
      </c>
      <c r="N1191">
        <f>IF($U1191="","",IF(ISNUMBER(INDEX(상세표[시작],$U1191)),TEXT(INDEX(상세표[시작],$U1191),"yyyy-mm-dd hh:mm"),INDEX(상세표[시작],$U1191)&amp;""))</f>
        <v/>
      </c>
      <c r="O1191">
        <f>IF($U1191="","",IF(ISNUMBER(INDEX(상세표[종료],$U1191)),TEXT(INDEX(상세표[종료],$U1191),"yyyy-mm-dd hh:mm"),INDEX(상세표[종료],$U1191)&amp;""))</f>
        <v/>
      </c>
      <c r="P1191" s="20">
        <f>IF($U1191="","",INDEX(상세표[06~07시],$U1191))</f>
        <v/>
      </c>
      <c r="Q1191" s="20">
        <f>IF($U1191="","",INDEX(상세표[07~18시],$U1191))</f>
        <v/>
      </c>
      <c r="R1191" s="20">
        <f>IF($U1191="","",INDEX(상세표[18~22시],$U1191))</f>
        <v/>
      </c>
      <c r="S1191" s="20">
        <f>IF($U1191="","",INDEX(상세표[22~06시],$U1191))</f>
        <v/>
      </c>
      <c r="T1191" s="20">
        <f>IF($U1191="","",INDEX(상세표[기록 시간외],$U1191))</f>
        <v/>
      </c>
      <c r="U1191" s="4">
        <f>IFERROR(MATCH(1186,상세표[발송순번],0),"")</f>
        <v/>
      </c>
    </row>
    <row r="1192">
      <c r="J1192">
        <f>IF($U1192="","",INDEX(상세표[사번],$U1192)&amp;"")</f>
        <v/>
      </c>
      <c r="K1192">
        <f>IF($U1192="","",INDEX(상세표[성명],$U1192)&amp;"")</f>
        <v/>
      </c>
      <c r="L1192">
        <f>IF($U1192="","",INDEX(상세표[직위],$U1192)&amp;"")</f>
        <v/>
      </c>
      <c r="M1192">
        <f>IF($U1192="","",IF(ISNUMBER(INDEX(상세표[근무일자],$U1192)),TEXT(INDEX(상세표[근무일자],$U1192),"yyyy-mm-dd"),INDEX(상세표[근무일자],$U1192)&amp;""))</f>
        <v/>
      </c>
      <c r="N1192">
        <f>IF($U1192="","",IF(ISNUMBER(INDEX(상세표[시작],$U1192)),TEXT(INDEX(상세표[시작],$U1192),"yyyy-mm-dd hh:mm"),INDEX(상세표[시작],$U1192)&amp;""))</f>
        <v/>
      </c>
      <c r="O1192">
        <f>IF($U1192="","",IF(ISNUMBER(INDEX(상세표[종료],$U1192)),TEXT(INDEX(상세표[종료],$U1192),"yyyy-mm-dd hh:mm"),INDEX(상세표[종료],$U1192)&amp;""))</f>
        <v/>
      </c>
      <c r="P1192" s="20">
        <f>IF($U1192="","",INDEX(상세표[06~07시],$U1192))</f>
        <v/>
      </c>
      <c r="Q1192" s="20">
        <f>IF($U1192="","",INDEX(상세표[07~18시],$U1192))</f>
        <v/>
      </c>
      <c r="R1192" s="20">
        <f>IF($U1192="","",INDEX(상세표[18~22시],$U1192))</f>
        <v/>
      </c>
      <c r="S1192" s="20">
        <f>IF($U1192="","",INDEX(상세표[22~06시],$U1192))</f>
        <v/>
      </c>
      <c r="T1192" s="20">
        <f>IF($U1192="","",INDEX(상세표[기록 시간외],$U1192))</f>
        <v/>
      </c>
      <c r="U1192" s="4">
        <f>IFERROR(MATCH(1187,상세표[발송순번],0),"")</f>
        <v/>
      </c>
    </row>
    <row r="1193">
      <c r="J1193">
        <f>IF($U1193="","",INDEX(상세표[사번],$U1193)&amp;"")</f>
        <v/>
      </c>
      <c r="K1193">
        <f>IF($U1193="","",INDEX(상세표[성명],$U1193)&amp;"")</f>
        <v/>
      </c>
      <c r="L1193">
        <f>IF($U1193="","",INDEX(상세표[직위],$U1193)&amp;"")</f>
        <v/>
      </c>
      <c r="M1193">
        <f>IF($U1193="","",IF(ISNUMBER(INDEX(상세표[근무일자],$U1193)),TEXT(INDEX(상세표[근무일자],$U1193),"yyyy-mm-dd"),INDEX(상세표[근무일자],$U1193)&amp;""))</f>
        <v/>
      </c>
      <c r="N1193">
        <f>IF($U1193="","",IF(ISNUMBER(INDEX(상세표[시작],$U1193)),TEXT(INDEX(상세표[시작],$U1193),"yyyy-mm-dd hh:mm"),INDEX(상세표[시작],$U1193)&amp;""))</f>
        <v/>
      </c>
      <c r="O1193">
        <f>IF($U1193="","",IF(ISNUMBER(INDEX(상세표[종료],$U1193)),TEXT(INDEX(상세표[종료],$U1193),"yyyy-mm-dd hh:mm"),INDEX(상세표[종료],$U1193)&amp;""))</f>
        <v/>
      </c>
      <c r="P1193" s="20">
        <f>IF($U1193="","",INDEX(상세표[06~07시],$U1193))</f>
        <v/>
      </c>
      <c r="Q1193" s="20">
        <f>IF($U1193="","",INDEX(상세표[07~18시],$U1193))</f>
        <v/>
      </c>
      <c r="R1193" s="20">
        <f>IF($U1193="","",INDEX(상세표[18~22시],$U1193))</f>
        <v/>
      </c>
      <c r="S1193" s="20">
        <f>IF($U1193="","",INDEX(상세표[22~06시],$U1193))</f>
        <v/>
      </c>
      <c r="T1193" s="20">
        <f>IF($U1193="","",INDEX(상세표[기록 시간외],$U1193))</f>
        <v/>
      </c>
      <c r="U1193" s="4">
        <f>IFERROR(MATCH(1188,상세표[발송순번],0),"")</f>
        <v/>
      </c>
    </row>
    <row r="1194">
      <c r="J1194">
        <f>IF($U1194="","",INDEX(상세표[사번],$U1194)&amp;"")</f>
        <v/>
      </c>
      <c r="K1194">
        <f>IF($U1194="","",INDEX(상세표[성명],$U1194)&amp;"")</f>
        <v/>
      </c>
      <c r="L1194">
        <f>IF($U1194="","",INDEX(상세표[직위],$U1194)&amp;"")</f>
        <v/>
      </c>
      <c r="M1194">
        <f>IF($U1194="","",IF(ISNUMBER(INDEX(상세표[근무일자],$U1194)),TEXT(INDEX(상세표[근무일자],$U1194),"yyyy-mm-dd"),INDEX(상세표[근무일자],$U1194)&amp;""))</f>
        <v/>
      </c>
      <c r="N1194">
        <f>IF($U1194="","",IF(ISNUMBER(INDEX(상세표[시작],$U1194)),TEXT(INDEX(상세표[시작],$U1194),"yyyy-mm-dd hh:mm"),INDEX(상세표[시작],$U1194)&amp;""))</f>
        <v/>
      </c>
      <c r="O1194">
        <f>IF($U1194="","",IF(ISNUMBER(INDEX(상세표[종료],$U1194)),TEXT(INDEX(상세표[종료],$U1194),"yyyy-mm-dd hh:mm"),INDEX(상세표[종료],$U1194)&amp;""))</f>
        <v/>
      </c>
      <c r="P1194" s="20">
        <f>IF($U1194="","",INDEX(상세표[06~07시],$U1194))</f>
        <v/>
      </c>
      <c r="Q1194" s="20">
        <f>IF($U1194="","",INDEX(상세표[07~18시],$U1194))</f>
        <v/>
      </c>
      <c r="R1194" s="20">
        <f>IF($U1194="","",INDEX(상세표[18~22시],$U1194))</f>
        <v/>
      </c>
      <c r="S1194" s="20">
        <f>IF($U1194="","",INDEX(상세표[22~06시],$U1194))</f>
        <v/>
      </c>
      <c r="T1194" s="20">
        <f>IF($U1194="","",INDEX(상세표[기록 시간외],$U1194))</f>
        <v/>
      </c>
      <c r="U1194" s="4">
        <f>IFERROR(MATCH(1189,상세표[발송순번],0),"")</f>
        <v/>
      </c>
    </row>
    <row r="1195">
      <c r="J1195">
        <f>IF($U1195="","",INDEX(상세표[사번],$U1195)&amp;"")</f>
        <v/>
      </c>
      <c r="K1195">
        <f>IF($U1195="","",INDEX(상세표[성명],$U1195)&amp;"")</f>
        <v/>
      </c>
      <c r="L1195">
        <f>IF($U1195="","",INDEX(상세표[직위],$U1195)&amp;"")</f>
        <v/>
      </c>
      <c r="M1195">
        <f>IF($U1195="","",IF(ISNUMBER(INDEX(상세표[근무일자],$U1195)),TEXT(INDEX(상세표[근무일자],$U1195),"yyyy-mm-dd"),INDEX(상세표[근무일자],$U1195)&amp;""))</f>
        <v/>
      </c>
      <c r="N1195">
        <f>IF($U1195="","",IF(ISNUMBER(INDEX(상세표[시작],$U1195)),TEXT(INDEX(상세표[시작],$U1195),"yyyy-mm-dd hh:mm"),INDEX(상세표[시작],$U1195)&amp;""))</f>
        <v/>
      </c>
      <c r="O1195">
        <f>IF($U1195="","",IF(ISNUMBER(INDEX(상세표[종료],$U1195)),TEXT(INDEX(상세표[종료],$U1195),"yyyy-mm-dd hh:mm"),INDEX(상세표[종료],$U1195)&amp;""))</f>
        <v/>
      </c>
      <c r="P1195" s="20">
        <f>IF($U1195="","",INDEX(상세표[06~07시],$U1195))</f>
        <v/>
      </c>
      <c r="Q1195" s="20">
        <f>IF($U1195="","",INDEX(상세표[07~18시],$U1195))</f>
        <v/>
      </c>
      <c r="R1195" s="20">
        <f>IF($U1195="","",INDEX(상세표[18~22시],$U1195))</f>
        <v/>
      </c>
      <c r="S1195" s="20">
        <f>IF($U1195="","",INDEX(상세표[22~06시],$U1195))</f>
        <v/>
      </c>
      <c r="T1195" s="20">
        <f>IF($U1195="","",INDEX(상세표[기록 시간외],$U1195))</f>
        <v/>
      </c>
      <c r="U1195" s="4">
        <f>IFERROR(MATCH(1190,상세표[발송순번],0),"")</f>
        <v/>
      </c>
    </row>
    <row r="1196">
      <c r="J1196">
        <f>IF($U1196="","",INDEX(상세표[사번],$U1196)&amp;"")</f>
        <v/>
      </c>
      <c r="K1196">
        <f>IF($U1196="","",INDEX(상세표[성명],$U1196)&amp;"")</f>
        <v/>
      </c>
      <c r="L1196">
        <f>IF($U1196="","",INDEX(상세표[직위],$U1196)&amp;"")</f>
        <v/>
      </c>
      <c r="M1196">
        <f>IF($U1196="","",IF(ISNUMBER(INDEX(상세표[근무일자],$U1196)),TEXT(INDEX(상세표[근무일자],$U1196),"yyyy-mm-dd"),INDEX(상세표[근무일자],$U1196)&amp;""))</f>
        <v/>
      </c>
      <c r="N1196">
        <f>IF($U1196="","",IF(ISNUMBER(INDEX(상세표[시작],$U1196)),TEXT(INDEX(상세표[시작],$U1196),"yyyy-mm-dd hh:mm"),INDEX(상세표[시작],$U1196)&amp;""))</f>
        <v/>
      </c>
      <c r="O1196">
        <f>IF($U1196="","",IF(ISNUMBER(INDEX(상세표[종료],$U1196)),TEXT(INDEX(상세표[종료],$U1196),"yyyy-mm-dd hh:mm"),INDEX(상세표[종료],$U1196)&amp;""))</f>
        <v/>
      </c>
      <c r="P1196" s="20">
        <f>IF($U1196="","",INDEX(상세표[06~07시],$U1196))</f>
        <v/>
      </c>
      <c r="Q1196" s="20">
        <f>IF($U1196="","",INDEX(상세표[07~18시],$U1196))</f>
        <v/>
      </c>
      <c r="R1196" s="20">
        <f>IF($U1196="","",INDEX(상세표[18~22시],$U1196))</f>
        <v/>
      </c>
      <c r="S1196" s="20">
        <f>IF($U1196="","",INDEX(상세표[22~06시],$U1196))</f>
        <v/>
      </c>
      <c r="T1196" s="20">
        <f>IF($U1196="","",INDEX(상세표[기록 시간외],$U1196))</f>
        <v/>
      </c>
      <c r="U1196" s="4">
        <f>IFERROR(MATCH(1191,상세표[발송순번],0),"")</f>
        <v/>
      </c>
    </row>
    <row r="1197">
      <c r="J1197">
        <f>IF($U1197="","",INDEX(상세표[사번],$U1197)&amp;"")</f>
        <v/>
      </c>
      <c r="K1197">
        <f>IF($U1197="","",INDEX(상세표[성명],$U1197)&amp;"")</f>
        <v/>
      </c>
      <c r="L1197">
        <f>IF($U1197="","",INDEX(상세표[직위],$U1197)&amp;"")</f>
        <v/>
      </c>
      <c r="M1197">
        <f>IF($U1197="","",IF(ISNUMBER(INDEX(상세표[근무일자],$U1197)),TEXT(INDEX(상세표[근무일자],$U1197),"yyyy-mm-dd"),INDEX(상세표[근무일자],$U1197)&amp;""))</f>
        <v/>
      </c>
      <c r="N1197">
        <f>IF($U1197="","",IF(ISNUMBER(INDEX(상세표[시작],$U1197)),TEXT(INDEX(상세표[시작],$U1197),"yyyy-mm-dd hh:mm"),INDEX(상세표[시작],$U1197)&amp;""))</f>
        <v/>
      </c>
      <c r="O1197">
        <f>IF($U1197="","",IF(ISNUMBER(INDEX(상세표[종료],$U1197)),TEXT(INDEX(상세표[종료],$U1197),"yyyy-mm-dd hh:mm"),INDEX(상세표[종료],$U1197)&amp;""))</f>
        <v/>
      </c>
      <c r="P1197" s="20">
        <f>IF($U1197="","",INDEX(상세표[06~07시],$U1197))</f>
        <v/>
      </c>
      <c r="Q1197" s="20">
        <f>IF($U1197="","",INDEX(상세표[07~18시],$U1197))</f>
        <v/>
      </c>
      <c r="R1197" s="20">
        <f>IF($U1197="","",INDEX(상세표[18~22시],$U1197))</f>
        <v/>
      </c>
      <c r="S1197" s="20">
        <f>IF($U1197="","",INDEX(상세표[22~06시],$U1197))</f>
        <v/>
      </c>
      <c r="T1197" s="20">
        <f>IF($U1197="","",INDEX(상세표[기록 시간외],$U1197))</f>
        <v/>
      </c>
      <c r="U1197" s="4">
        <f>IFERROR(MATCH(1192,상세표[발송순번],0),"")</f>
        <v/>
      </c>
    </row>
    <row r="1198">
      <c r="J1198">
        <f>IF($U1198="","",INDEX(상세표[사번],$U1198)&amp;"")</f>
        <v/>
      </c>
      <c r="K1198">
        <f>IF($U1198="","",INDEX(상세표[성명],$U1198)&amp;"")</f>
        <v/>
      </c>
      <c r="L1198">
        <f>IF($U1198="","",INDEX(상세표[직위],$U1198)&amp;"")</f>
        <v/>
      </c>
      <c r="M1198">
        <f>IF($U1198="","",IF(ISNUMBER(INDEX(상세표[근무일자],$U1198)),TEXT(INDEX(상세표[근무일자],$U1198),"yyyy-mm-dd"),INDEX(상세표[근무일자],$U1198)&amp;""))</f>
        <v/>
      </c>
      <c r="N1198">
        <f>IF($U1198="","",IF(ISNUMBER(INDEX(상세표[시작],$U1198)),TEXT(INDEX(상세표[시작],$U1198),"yyyy-mm-dd hh:mm"),INDEX(상세표[시작],$U1198)&amp;""))</f>
        <v/>
      </c>
      <c r="O1198">
        <f>IF($U1198="","",IF(ISNUMBER(INDEX(상세표[종료],$U1198)),TEXT(INDEX(상세표[종료],$U1198),"yyyy-mm-dd hh:mm"),INDEX(상세표[종료],$U1198)&amp;""))</f>
        <v/>
      </c>
      <c r="P1198" s="20">
        <f>IF($U1198="","",INDEX(상세표[06~07시],$U1198))</f>
        <v/>
      </c>
      <c r="Q1198" s="20">
        <f>IF($U1198="","",INDEX(상세표[07~18시],$U1198))</f>
        <v/>
      </c>
      <c r="R1198" s="20">
        <f>IF($U1198="","",INDEX(상세표[18~22시],$U1198))</f>
        <v/>
      </c>
      <c r="S1198" s="20">
        <f>IF($U1198="","",INDEX(상세표[22~06시],$U1198))</f>
        <v/>
      </c>
      <c r="T1198" s="20">
        <f>IF($U1198="","",INDEX(상세표[기록 시간외],$U1198))</f>
        <v/>
      </c>
      <c r="U1198" s="4">
        <f>IFERROR(MATCH(1193,상세표[발송순번],0),"")</f>
        <v/>
      </c>
    </row>
    <row r="1199">
      <c r="J1199">
        <f>IF($U1199="","",INDEX(상세표[사번],$U1199)&amp;"")</f>
        <v/>
      </c>
      <c r="K1199">
        <f>IF($U1199="","",INDEX(상세표[성명],$U1199)&amp;"")</f>
        <v/>
      </c>
      <c r="L1199">
        <f>IF($U1199="","",INDEX(상세표[직위],$U1199)&amp;"")</f>
        <v/>
      </c>
      <c r="M1199">
        <f>IF($U1199="","",IF(ISNUMBER(INDEX(상세표[근무일자],$U1199)),TEXT(INDEX(상세표[근무일자],$U1199),"yyyy-mm-dd"),INDEX(상세표[근무일자],$U1199)&amp;""))</f>
        <v/>
      </c>
      <c r="N1199">
        <f>IF($U1199="","",IF(ISNUMBER(INDEX(상세표[시작],$U1199)),TEXT(INDEX(상세표[시작],$U1199),"yyyy-mm-dd hh:mm"),INDEX(상세표[시작],$U1199)&amp;""))</f>
        <v/>
      </c>
      <c r="O1199">
        <f>IF($U1199="","",IF(ISNUMBER(INDEX(상세표[종료],$U1199)),TEXT(INDEX(상세표[종료],$U1199),"yyyy-mm-dd hh:mm"),INDEX(상세표[종료],$U1199)&amp;""))</f>
        <v/>
      </c>
      <c r="P1199" s="20">
        <f>IF($U1199="","",INDEX(상세표[06~07시],$U1199))</f>
        <v/>
      </c>
      <c r="Q1199" s="20">
        <f>IF($U1199="","",INDEX(상세표[07~18시],$U1199))</f>
        <v/>
      </c>
      <c r="R1199" s="20">
        <f>IF($U1199="","",INDEX(상세표[18~22시],$U1199))</f>
        <v/>
      </c>
      <c r="S1199" s="20">
        <f>IF($U1199="","",INDEX(상세표[22~06시],$U1199))</f>
        <v/>
      </c>
      <c r="T1199" s="20">
        <f>IF($U1199="","",INDEX(상세표[기록 시간외],$U1199))</f>
        <v/>
      </c>
      <c r="U1199" s="4">
        <f>IFERROR(MATCH(1194,상세표[발송순번],0),"")</f>
        <v/>
      </c>
    </row>
    <row r="1200">
      <c r="J1200">
        <f>IF($U1200="","",INDEX(상세표[사번],$U1200)&amp;"")</f>
        <v/>
      </c>
      <c r="K1200">
        <f>IF($U1200="","",INDEX(상세표[성명],$U1200)&amp;"")</f>
        <v/>
      </c>
      <c r="L1200">
        <f>IF($U1200="","",INDEX(상세표[직위],$U1200)&amp;"")</f>
        <v/>
      </c>
      <c r="M1200">
        <f>IF($U1200="","",IF(ISNUMBER(INDEX(상세표[근무일자],$U1200)),TEXT(INDEX(상세표[근무일자],$U1200),"yyyy-mm-dd"),INDEX(상세표[근무일자],$U1200)&amp;""))</f>
        <v/>
      </c>
      <c r="N1200">
        <f>IF($U1200="","",IF(ISNUMBER(INDEX(상세표[시작],$U1200)),TEXT(INDEX(상세표[시작],$U1200),"yyyy-mm-dd hh:mm"),INDEX(상세표[시작],$U1200)&amp;""))</f>
        <v/>
      </c>
      <c r="O1200">
        <f>IF($U1200="","",IF(ISNUMBER(INDEX(상세표[종료],$U1200)),TEXT(INDEX(상세표[종료],$U1200),"yyyy-mm-dd hh:mm"),INDEX(상세표[종료],$U1200)&amp;""))</f>
        <v/>
      </c>
      <c r="P1200" s="20">
        <f>IF($U1200="","",INDEX(상세표[06~07시],$U1200))</f>
        <v/>
      </c>
      <c r="Q1200" s="20">
        <f>IF($U1200="","",INDEX(상세표[07~18시],$U1200))</f>
        <v/>
      </c>
      <c r="R1200" s="20">
        <f>IF($U1200="","",INDEX(상세표[18~22시],$U1200))</f>
        <v/>
      </c>
      <c r="S1200" s="20">
        <f>IF($U1200="","",INDEX(상세표[22~06시],$U1200))</f>
        <v/>
      </c>
      <c r="T1200" s="20">
        <f>IF($U1200="","",INDEX(상세표[기록 시간외],$U1200))</f>
        <v/>
      </c>
      <c r="U1200" s="4">
        <f>IFERROR(MATCH(1195,상세표[발송순번],0),"")</f>
        <v/>
      </c>
    </row>
    <row r="1201">
      <c r="J1201">
        <f>IF($U1201="","",INDEX(상세표[사번],$U1201)&amp;"")</f>
        <v/>
      </c>
      <c r="K1201">
        <f>IF($U1201="","",INDEX(상세표[성명],$U1201)&amp;"")</f>
        <v/>
      </c>
      <c r="L1201">
        <f>IF($U1201="","",INDEX(상세표[직위],$U1201)&amp;"")</f>
        <v/>
      </c>
      <c r="M1201">
        <f>IF($U1201="","",IF(ISNUMBER(INDEX(상세표[근무일자],$U1201)),TEXT(INDEX(상세표[근무일자],$U1201),"yyyy-mm-dd"),INDEX(상세표[근무일자],$U1201)&amp;""))</f>
        <v/>
      </c>
      <c r="N1201">
        <f>IF($U1201="","",IF(ISNUMBER(INDEX(상세표[시작],$U1201)),TEXT(INDEX(상세표[시작],$U1201),"yyyy-mm-dd hh:mm"),INDEX(상세표[시작],$U1201)&amp;""))</f>
        <v/>
      </c>
      <c r="O1201">
        <f>IF($U1201="","",IF(ISNUMBER(INDEX(상세표[종료],$U1201)),TEXT(INDEX(상세표[종료],$U1201),"yyyy-mm-dd hh:mm"),INDEX(상세표[종료],$U1201)&amp;""))</f>
        <v/>
      </c>
      <c r="P1201" s="20">
        <f>IF($U1201="","",INDEX(상세표[06~07시],$U1201))</f>
        <v/>
      </c>
      <c r="Q1201" s="20">
        <f>IF($U1201="","",INDEX(상세표[07~18시],$U1201))</f>
        <v/>
      </c>
      <c r="R1201" s="20">
        <f>IF($U1201="","",INDEX(상세표[18~22시],$U1201))</f>
        <v/>
      </c>
      <c r="S1201" s="20">
        <f>IF($U1201="","",INDEX(상세표[22~06시],$U1201))</f>
        <v/>
      </c>
      <c r="T1201" s="20">
        <f>IF($U1201="","",INDEX(상세표[기록 시간외],$U1201))</f>
        <v/>
      </c>
      <c r="U1201" s="4">
        <f>IFERROR(MATCH(1196,상세표[발송순번],0),"")</f>
        <v/>
      </c>
    </row>
    <row r="1202">
      <c r="J1202">
        <f>IF($U1202="","",INDEX(상세표[사번],$U1202)&amp;"")</f>
        <v/>
      </c>
      <c r="K1202">
        <f>IF($U1202="","",INDEX(상세표[성명],$U1202)&amp;"")</f>
        <v/>
      </c>
      <c r="L1202">
        <f>IF($U1202="","",INDEX(상세표[직위],$U1202)&amp;"")</f>
        <v/>
      </c>
      <c r="M1202">
        <f>IF($U1202="","",IF(ISNUMBER(INDEX(상세표[근무일자],$U1202)),TEXT(INDEX(상세표[근무일자],$U1202),"yyyy-mm-dd"),INDEX(상세표[근무일자],$U1202)&amp;""))</f>
        <v/>
      </c>
      <c r="N1202">
        <f>IF($U1202="","",IF(ISNUMBER(INDEX(상세표[시작],$U1202)),TEXT(INDEX(상세표[시작],$U1202),"yyyy-mm-dd hh:mm"),INDEX(상세표[시작],$U1202)&amp;""))</f>
        <v/>
      </c>
      <c r="O1202">
        <f>IF($U1202="","",IF(ISNUMBER(INDEX(상세표[종료],$U1202)),TEXT(INDEX(상세표[종료],$U1202),"yyyy-mm-dd hh:mm"),INDEX(상세표[종료],$U1202)&amp;""))</f>
        <v/>
      </c>
      <c r="P1202" s="20">
        <f>IF($U1202="","",INDEX(상세표[06~07시],$U1202))</f>
        <v/>
      </c>
      <c r="Q1202" s="20">
        <f>IF($U1202="","",INDEX(상세표[07~18시],$U1202))</f>
        <v/>
      </c>
      <c r="R1202" s="20">
        <f>IF($U1202="","",INDEX(상세표[18~22시],$U1202))</f>
        <v/>
      </c>
      <c r="S1202" s="20">
        <f>IF($U1202="","",INDEX(상세표[22~06시],$U1202))</f>
        <v/>
      </c>
      <c r="T1202" s="20">
        <f>IF($U1202="","",INDEX(상세표[기록 시간외],$U1202))</f>
        <v/>
      </c>
      <c r="U1202" s="4">
        <f>IFERROR(MATCH(1197,상세표[발송순번],0),"")</f>
        <v/>
      </c>
    </row>
    <row r="1203">
      <c r="J1203">
        <f>IF($U1203="","",INDEX(상세표[사번],$U1203)&amp;"")</f>
        <v/>
      </c>
      <c r="K1203">
        <f>IF($U1203="","",INDEX(상세표[성명],$U1203)&amp;"")</f>
        <v/>
      </c>
      <c r="L1203">
        <f>IF($U1203="","",INDEX(상세표[직위],$U1203)&amp;"")</f>
        <v/>
      </c>
      <c r="M1203">
        <f>IF($U1203="","",IF(ISNUMBER(INDEX(상세표[근무일자],$U1203)),TEXT(INDEX(상세표[근무일자],$U1203),"yyyy-mm-dd"),INDEX(상세표[근무일자],$U1203)&amp;""))</f>
        <v/>
      </c>
      <c r="N1203">
        <f>IF($U1203="","",IF(ISNUMBER(INDEX(상세표[시작],$U1203)),TEXT(INDEX(상세표[시작],$U1203),"yyyy-mm-dd hh:mm"),INDEX(상세표[시작],$U1203)&amp;""))</f>
        <v/>
      </c>
      <c r="O1203">
        <f>IF($U1203="","",IF(ISNUMBER(INDEX(상세표[종료],$U1203)),TEXT(INDEX(상세표[종료],$U1203),"yyyy-mm-dd hh:mm"),INDEX(상세표[종료],$U1203)&amp;""))</f>
        <v/>
      </c>
      <c r="P1203" s="20">
        <f>IF($U1203="","",INDEX(상세표[06~07시],$U1203))</f>
        <v/>
      </c>
      <c r="Q1203" s="20">
        <f>IF($U1203="","",INDEX(상세표[07~18시],$U1203))</f>
        <v/>
      </c>
      <c r="R1203" s="20">
        <f>IF($U1203="","",INDEX(상세표[18~22시],$U1203))</f>
        <v/>
      </c>
      <c r="S1203" s="20">
        <f>IF($U1203="","",INDEX(상세표[22~06시],$U1203))</f>
        <v/>
      </c>
      <c r="T1203" s="20">
        <f>IF($U1203="","",INDEX(상세표[기록 시간외],$U1203))</f>
        <v/>
      </c>
      <c r="U1203" s="4">
        <f>IFERROR(MATCH(1198,상세표[발송순번],0),"")</f>
        <v/>
      </c>
    </row>
    <row r="1204">
      <c r="J1204">
        <f>IF($U1204="","",INDEX(상세표[사번],$U1204)&amp;"")</f>
        <v/>
      </c>
      <c r="K1204">
        <f>IF($U1204="","",INDEX(상세표[성명],$U1204)&amp;"")</f>
        <v/>
      </c>
      <c r="L1204">
        <f>IF($U1204="","",INDEX(상세표[직위],$U1204)&amp;"")</f>
        <v/>
      </c>
      <c r="M1204">
        <f>IF($U1204="","",IF(ISNUMBER(INDEX(상세표[근무일자],$U1204)),TEXT(INDEX(상세표[근무일자],$U1204),"yyyy-mm-dd"),INDEX(상세표[근무일자],$U1204)&amp;""))</f>
        <v/>
      </c>
      <c r="N1204">
        <f>IF($U1204="","",IF(ISNUMBER(INDEX(상세표[시작],$U1204)),TEXT(INDEX(상세표[시작],$U1204),"yyyy-mm-dd hh:mm"),INDEX(상세표[시작],$U1204)&amp;""))</f>
        <v/>
      </c>
      <c r="O1204">
        <f>IF($U1204="","",IF(ISNUMBER(INDEX(상세표[종료],$U1204)),TEXT(INDEX(상세표[종료],$U1204),"yyyy-mm-dd hh:mm"),INDEX(상세표[종료],$U1204)&amp;""))</f>
        <v/>
      </c>
      <c r="P1204" s="20">
        <f>IF($U1204="","",INDEX(상세표[06~07시],$U1204))</f>
        <v/>
      </c>
      <c r="Q1204" s="20">
        <f>IF($U1204="","",INDEX(상세표[07~18시],$U1204))</f>
        <v/>
      </c>
      <c r="R1204" s="20">
        <f>IF($U1204="","",INDEX(상세표[18~22시],$U1204))</f>
        <v/>
      </c>
      <c r="S1204" s="20">
        <f>IF($U1204="","",INDEX(상세표[22~06시],$U1204))</f>
        <v/>
      </c>
      <c r="T1204" s="20">
        <f>IF($U1204="","",INDEX(상세표[기록 시간외],$U1204))</f>
        <v/>
      </c>
      <c r="U1204" s="4">
        <f>IFERROR(MATCH(1199,상세표[발송순번],0),"")</f>
        <v/>
      </c>
    </row>
    <row r="1205">
      <c r="J1205">
        <f>IF($U1205="","",INDEX(상세표[사번],$U1205)&amp;"")</f>
        <v/>
      </c>
      <c r="K1205">
        <f>IF($U1205="","",INDEX(상세표[성명],$U1205)&amp;"")</f>
        <v/>
      </c>
      <c r="L1205">
        <f>IF($U1205="","",INDEX(상세표[직위],$U1205)&amp;"")</f>
        <v/>
      </c>
      <c r="M1205">
        <f>IF($U1205="","",IF(ISNUMBER(INDEX(상세표[근무일자],$U1205)),TEXT(INDEX(상세표[근무일자],$U1205),"yyyy-mm-dd"),INDEX(상세표[근무일자],$U1205)&amp;""))</f>
        <v/>
      </c>
      <c r="N1205">
        <f>IF($U1205="","",IF(ISNUMBER(INDEX(상세표[시작],$U1205)),TEXT(INDEX(상세표[시작],$U1205),"yyyy-mm-dd hh:mm"),INDEX(상세표[시작],$U1205)&amp;""))</f>
        <v/>
      </c>
      <c r="O1205">
        <f>IF($U1205="","",IF(ISNUMBER(INDEX(상세표[종료],$U1205)),TEXT(INDEX(상세표[종료],$U1205),"yyyy-mm-dd hh:mm"),INDEX(상세표[종료],$U1205)&amp;""))</f>
        <v/>
      </c>
      <c r="P1205" s="20">
        <f>IF($U1205="","",INDEX(상세표[06~07시],$U1205))</f>
        <v/>
      </c>
      <c r="Q1205" s="20">
        <f>IF($U1205="","",INDEX(상세표[07~18시],$U1205))</f>
        <v/>
      </c>
      <c r="R1205" s="20">
        <f>IF($U1205="","",INDEX(상세표[18~22시],$U1205))</f>
        <v/>
      </c>
      <c r="S1205" s="20">
        <f>IF($U1205="","",INDEX(상세표[22~06시],$U1205))</f>
        <v/>
      </c>
      <c r="T1205" s="20">
        <f>IF($U1205="","",INDEX(상세표[기록 시간외],$U1205))</f>
        <v/>
      </c>
      <c r="U1205" s="4">
        <f>IFERROR(MATCH(1200,상세표[발송순번],0),"")</f>
        <v/>
      </c>
    </row>
    <row r="1206">
      <c r="J1206">
        <f>IF($U1206="","",INDEX(상세표[사번],$U1206)&amp;"")</f>
        <v/>
      </c>
      <c r="K1206">
        <f>IF($U1206="","",INDEX(상세표[성명],$U1206)&amp;"")</f>
        <v/>
      </c>
      <c r="L1206">
        <f>IF($U1206="","",INDEX(상세표[직위],$U1206)&amp;"")</f>
        <v/>
      </c>
      <c r="M1206">
        <f>IF($U1206="","",IF(ISNUMBER(INDEX(상세표[근무일자],$U1206)),TEXT(INDEX(상세표[근무일자],$U1206),"yyyy-mm-dd"),INDEX(상세표[근무일자],$U1206)&amp;""))</f>
        <v/>
      </c>
      <c r="N1206">
        <f>IF($U1206="","",IF(ISNUMBER(INDEX(상세표[시작],$U1206)),TEXT(INDEX(상세표[시작],$U1206),"yyyy-mm-dd hh:mm"),INDEX(상세표[시작],$U1206)&amp;""))</f>
        <v/>
      </c>
      <c r="O1206">
        <f>IF($U1206="","",IF(ISNUMBER(INDEX(상세표[종료],$U1206)),TEXT(INDEX(상세표[종료],$U1206),"yyyy-mm-dd hh:mm"),INDEX(상세표[종료],$U1206)&amp;""))</f>
        <v/>
      </c>
      <c r="P1206" s="20">
        <f>IF($U1206="","",INDEX(상세표[06~07시],$U1206))</f>
        <v/>
      </c>
      <c r="Q1206" s="20">
        <f>IF($U1206="","",INDEX(상세표[07~18시],$U1206))</f>
        <v/>
      </c>
      <c r="R1206" s="20">
        <f>IF($U1206="","",INDEX(상세표[18~22시],$U1206))</f>
        <v/>
      </c>
      <c r="S1206" s="20">
        <f>IF($U1206="","",INDEX(상세표[22~06시],$U1206))</f>
        <v/>
      </c>
      <c r="T1206" s="20">
        <f>IF($U1206="","",INDEX(상세표[기록 시간외],$U1206))</f>
        <v/>
      </c>
      <c r="U1206" s="4">
        <f>IFERROR(MATCH(1201,상세표[발송순번],0),"")</f>
        <v/>
      </c>
    </row>
    <row r="1207">
      <c r="J1207">
        <f>IF($U1207="","",INDEX(상세표[사번],$U1207)&amp;"")</f>
        <v/>
      </c>
      <c r="K1207">
        <f>IF($U1207="","",INDEX(상세표[성명],$U1207)&amp;"")</f>
        <v/>
      </c>
      <c r="L1207">
        <f>IF($U1207="","",INDEX(상세표[직위],$U1207)&amp;"")</f>
        <v/>
      </c>
      <c r="M1207">
        <f>IF($U1207="","",IF(ISNUMBER(INDEX(상세표[근무일자],$U1207)),TEXT(INDEX(상세표[근무일자],$U1207),"yyyy-mm-dd"),INDEX(상세표[근무일자],$U1207)&amp;""))</f>
        <v/>
      </c>
      <c r="N1207">
        <f>IF($U1207="","",IF(ISNUMBER(INDEX(상세표[시작],$U1207)),TEXT(INDEX(상세표[시작],$U1207),"yyyy-mm-dd hh:mm"),INDEX(상세표[시작],$U1207)&amp;""))</f>
        <v/>
      </c>
      <c r="O1207">
        <f>IF($U1207="","",IF(ISNUMBER(INDEX(상세표[종료],$U1207)),TEXT(INDEX(상세표[종료],$U1207),"yyyy-mm-dd hh:mm"),INDEX(상세표[종료],$U1207)&amp;""))</f>
        <v/>
      </c>
      <c r="P1207" s="20">
        <f>IF($U1207="","",INDEX(상세표[06~07시],$U1207))</f>
        <v/>
      </c>
      <c r="Q1207" s="20">
        <f>IF($U1207="","",INDEX(상세표[07~18시],$U1207))</f>
        <v/>
      </c>
      <c r="R1207" s="20">
        <f>IF($U1207="","",INDEX(상세표[18~22시],$U1207))</f>
        <v/>
      </c>
      <c r="S1207" s="20">
        <f>IF($U1207="","",INDEX(상세표[22~06시],$U1207))</f>
        <v/>
      </c>
      <c r="T1207" s="20">
        <f>IF($U1207="","",INDEX(상세표[기록 시간외],$U1207))</f>
        <v/>
      </c>
      <c r="U1207" s="4">
        <f>IFERROR(MATCH(1202,상세표[발송순번],0),"")</f>
        <v/>
      </c>
    </row>
    <row r="1208">
      <c r="J1208">
        <f>IF($U1208="","",INDEX(상세표[사번],$U1208)&amp;"")</f>
        <v/>
      </c>
      <c r="K1208">
        <f>IF($U1208="","",INDEX(상세표[성명],$U1208)&amp;"")</f>
        <v/>
      </c>
      <c r="L1208">
        <f>IF($U1208="","",INDEX(상세표[직위],$U1208)&amp;"")</f>
        <v/>
      </c>
      <c r="M1208">
        <f>IF($U1208="","",IF(ISNUMBER(INDEX(상세표[근무일자],$U1208)),TEXT(INDEX(상세표[근무일자],$U1208),"yyyy-mm-dd"),INDEX(상세표[근무일자],$U1208)&amp;""))</f>
        <v/>
      </c>
      <c r="N1208">
        <f>IF($U1208="","",IF(ISNUMBER(INDEX(상세표[시작],$U1208)),TEXT(INDEX(상세표[시작],$U1208),"yyyy-mm-dd hh:mm"),INDEX(상세표[시작],$U1208)&amp;""))</f>
        <v/>
      </c>
      <c r="O1208">
        <f>IF($U1208="","",IF(ISNUMBER(INDEX(상세표[종료],$U1208)),TEXT(INDEX(상세표[종료],$U1208),"yyyy-mm-dd hh:mm"),INDEX(상세표[종료],$U1208)&amp;""))</f>
        <v/>
      </c>
      <c r="P1208" s="20">
        <f>IF($U1208="","",INDEX(상세표[06~07시],$U1208))</f>
        <v/>
      </c>
      <c r="Q1208" s="20">
        <f>IF($U1208="","",INDEX(상세표[07~18시],$U1208))</f>
        <v/>
      </c>
      <c r="R1208" s="20">
        <f>IF($U1208="","",INDEX(상세표[18~22시],$U1208))</f>
        <v/>
      </c>
      <c r="S1208" s="20">
        <f>IF($U1208="","",INDEX(상세표[22~06시],$U1208))</f>
        <v/>
      </c>
      <c r="T1208" s="20">
        <f>IF($U1208="","",INDEX(상세표[기록 시간외],$U1208))</f>
        <v/>
      </c>
      <c r="U1208" s="4">
        <f>IFERROR(MATCH(1203,상세표[발송순번],0),"")</f>
        <v/>
      </c>
    </row>
    <row r="1209">
      <c r="J1209">
        <f>IF($U1209="","",INDEX(상세표[사번],$U1209)&amp;"")</f>
        <v/>
      </c>
      <c r="K1209">
        <f>IF($U1209="","",INDEX(상세표[성명],$U1209)&amp;"")</f>
        <v/>
      </c>
      <c r="L1209">
        <f>IF($U1209="","",INDEX(상세표[직위],$U1209)&amp;"")</f>
        <v/>
      </c>
      <c r="M1209">
        <f>IF($U1209="","",IF(ISNUMBER(INDEX(상세표[근무일자],$U1209)),TEXT(INDEX(상세표[근무일자],$U1209),"yyyy-mm-dd"),INDEX(상세표[근무일자],$U1209)&amp;""))</f>
        <v/>
      </c>
      <c r="N1209">
        <f>IF($U1209="","",IF(ISNUMBER(INDEX(상세표[시작],$U1209)),TEXT(INDEX(상세표[시작],$U1209),"yyyy-mm-dd hh:mm"),INDEX(상세표[시작],$U1209)&amp;""))</f>
        <v/>
      </c>
      <c r="O1209">
        <f>IF($U1209="","",IF(ISNUMBER(INDEX(상세표[종료],$U1209)),TEXT(INDEX(상세표[종료],$U1209),"yyyy-mm-dd hh:mm"),INDEX(상세표[종료],$U1209)&amp;""))</f>
        <v/>
      </c>
      <c r="P1209" s="20">
        <f>IF($U1209="","",INDEX(상세표[06~07시],$U1209))</f>
        <v/>
      </c>
      <c r="Q1209" s="20">
        <f>IF($U1209="","",INDEX(상세표[07~18시],$U1209))</f>
        <v/>
      </c>
      <c r="R1209" s="20">
        <f>IF($U1209="","",INDEX(상세표[18~22시],$U1209))</f>
        <v/>
      </c>
      <c r="S1209" s="20">
        <f>IF($U1209="","",INDEX(상세표[22~06시],$U1209))</f>
        <v/>
      </c>
      <c r="T1209" s="20">
        <f>IF($U1209="","",INDEX(상세표[기록 시간외],$U1209))</f>
        <v/>
      </c>
      <c r="U1209" s="4">
        <f>IFERROR(MATCH(1204,상세표[발송순번],0),"")</f>
        <v/>
      </c>
    </row>
    <row r="1210">
      <c r="J1210">
        <f>IF($U1210="","",INDEX(상세표[사번],$U1210)&amp;"")</f>
        <v/>
      </c>
      <c r="K1210">
        <f>IF($U1210="","",INDEX(상세표[성명],$U1210)&amp;"")</f>
        <v/>
      </c>
      <c r="L1210">
        <f>IF($U1210="","",INDEX(상세표[직위],$U1210)&amp;"")</f>
        <v/>
      </c>
      <c r="M1210">
        <f>IF($U1210="","",IF(ISNUMBER(INDEX(상세표[근무일자],$U1210)),TEXT(INDEX(상세표[근무일자],$U1210),"yyyy-mm-dd"),INDEX(상세표[근무일자],$U1210)&amp;""))</f>
        <v/>
      </c>
      <c r="N1210">
        <f>IF($U1210="","",IF(ISNUMBER(INDEX(상세표[시작],$U1210)),TEXT(INDEX(상세표[시작],$U1210),"yyyy-mm-dd hh:mm"),INDEX(상세표[시작],$U1210)&amp;""))</f>
        <v/>
      </c>
      <c r="O1210">
        <f>IF($U1210="","",IF(ISNUMBER(INDEX(상세표[종료],$U1210)),TEXT(INDEX(상세표[종료],$U1210),"yyyy-mm-dd hh:mm"),INDEX(상세표[종료],$U1210)&amp;""))</f>
        <v/>
      </c>
      <c r="P1210" s="20">
        <f>IF($U1210="","",INDEX(상세표[06~07시],$U1210))</f>
        <v/>
      </c>
      <c r="Q1210" s="20">
        <f>IF($U1210="","",INDEX(상세표[07~18시],$U1210))</f>
        <v/>
      </c>
      <c r="R1210" s="20">
        <f>IF($U1210="","",INDEX(상세표[18~22시],$U1210))</f>
        <v/>
      </c>
      <c r="S1210" s="20">
        <f>IF($U1210="","",INDEX(상세표[22~06시],$U1210))</f>
        <v/>
      </c>
      <c r="T1210" s="20">
        <f>IF($U1210="","",INDEX(상세표[기록 시간외],$U1210))</f>
        <v/>
      </c>
      <c r="U1210" s="4">
        <f>IFERROR(MATCH(1205,상세표[발송순번],0),"")</f>
        <v/>
      </c>
    </row>
    <row r="1211">
      <c r="J1211">
        <f>IF($U1211="","",INDEX(상세표[사번],$U1211)&amp;"")</f>
        <v/>
      </c>
      <c r="K1211">
        <f>IF($U1211="","",INDEX(상세표[성명],$U1211)&amp;"")</f>
        <v/>
      </c>
      <c r="L1211">
        <f>IF($U1211="","",INDEX(상세표[직위],$U1211)&amp;"")</f>
        <v/>
      </c>
      <c r="M1211">
        <f>IF($U1211="","",IF(ISNUMBER(INDEX(상세표[근무일자],$U1211)),TEXT(INDEX(상세표[근무일자],$U1211),"yyyy-mm-dd"),INDEX(상세표[근무일자],$U1211)&amp;""))</f>
        <v/>
      </c>
      <c r="N1211">
        <f>IF($U1211="","",IF(ISNUMBER(INDEX(상세표[시작],$U1211)),TEXT(INDEX(상세표[시작],$U1211),"yyyy-mm-dd hh:mm"),INDEX(상세표[시작],$U1211)&amp;""))</f>
        <v/>
      </c>
      <c r="O1211">
        <f>IF($U1211="","",IF(ISNUMBER(INDEX(상세표[종료],$U1211)),TEXT(INDEX(상세표[종료],$U1211),"yyyy-mm-dd hh:mm"),INDEX(상세표[종료],$U1211)&amp;""))</f>
        <v/>
      </c>
      <c r="P1211" s="20">
        <f>IF($U1211="","",INDEX(상세표[06~07시],$U1211))</f>
        <v/>
      </c>
      <c r="Q1211" s="20">
        <f>IF($U1211="","",INDEX(상세표[07~18시],$U1211))</f>
        <v/>
      </c>
      <c r="R1211" s="20">
        <f>IF($U1211="","",INDEX(상세표[18~22시],$U1211))</f>
        <v/>
      </c>
      <c r="S1211" s="20">
        <f>IF($U1211="","",INDEX(상세표[22~06시],$U1211))</f>
        <v/>
      </c>
      <c r="T1211" s="20">
        <f>IF($U1211="","",INDEX(상세표[기록 시간외],$U1211))</f>
        <v/>
      </c>
      <c r="U1211" s="4">
        <f>IFERROR(MATCH(1206,상세표[발송순번],0),"")</f>
        <v/>
      </c>
    </row>
    <row r="1212">
      <c r="J1212">
        <f>IF($U1212="","",INDEX(상세표[사번],$U1212)&amp;"")</f>
        <v/>
      </c>
      <c r="K1212">
        <f>IF($U1212="","",INDEX(상세표[성명],$U1212)&amp;"")</f>
        <v/>
      </c>
      <c r="L1212">
        <f>IF($U1212="","",INDEX(상세표[직위],$U1212)&amp;"")</f>
        <v/>
      </c>
      <c r="M1212">
        <f>IF($U1212="","",IF(ISNUMBER(INDEX(상세표[근무일자],$U1212)),TEXT(INDEX(상세표[근무일자],$U1212),"yyyy-mm-dd"),INDEX(상세표[근무일자],$U1212)&amp;""))</f>
        <v/>
      </c>
      <c r="N1212">
        <f>IF($U1212="","",IF(ISNUMBER(INDEX(상세표[시작],$U1212)),TEXT(INDEX(상세표[시작],$U1212),"yyyy-mm-dd hh:mm"),INDEX(상세표[시작],$U1212)&amp;""))</f>
        <v/>
      </c>
      <c r="O1212">
        <f>IF($U1212="","",IF(ISNUMBER(INDEX(상세표[종료],$U1212)),TEXT(INDEX(상세표[종료],$U1212),"yyyy-mm-dd hh:mm"),INDEX(상세표[종료],$U1212)&amp;""))</f>
        <v/>
      </c>
      <c r="P1212" s="20">
        <f>IF($U1212="","",INDEX(상세표[06~07시],$U1212))</f>
        <v/>
      </c>
      <c r="Q1212" s="20">
        <f>IF($U1212="","",INDEX(상세표[07~18시],$U1212))</f>
        <v/>
      </c>
      <c r="R1212" s="20">
        <f>IF($U1212="","",INDEX(상세표[18~22시],$U1212))</f>
        <v/>
      </c>
      <c r="S1212" s="20">
        <f>IF($U1212="","",INDEX(상세표[22~06시],$U1212))</f>
        <v/>
      </c>
      <c r="T1212" s="20">
        <f>IF($U1212="","",INDEX(상세표[기록 시간외],$U1212))</f>
        <v/>
      </c>
      <c r="U1212" s="4">
        <f>IFERROR(MATCH(1207,상세표[발송순번],0),"")</f>
        <v/>
      </c>
    </row>
    <row r="1213">
      <c r="J1213">
        <f>IF($U1213="","",INDEX(상세표[사번],$U1213)&amp;"")</f>
        <v/>
      </c>
      <c r="K1213">
        <f>IF($U1213="","",INDEX(상세표[성명],$U1213)&amp;"")</f>
        <v/>
      </c>
      <c r="L1213">
        <f>IF($U1213="","",INDEX(상세표[직위],$U1213)&amp;"")</f>
        <v/>
      </c>
      <c r="M1213">
        <f>IF($U1213="","",IF(ISNUMBER(INDEX(상세표[근무일자],$U1213)),TEXT(INDEX(상세표[근무일자],$U1213),"yyyy-mm-dd"),INDEX(상세표[근무일자],$U1213)&amp;""))</f>
        <v/>
      </c>
      <c r="N1213">
        <f>IF($U1213="","",IF(ISNUMBER(INDEX(상세표[시작],$U1213)),TEXT(INDEX(상세표[시작],$U1213),"yyyy-mm-dd hh:mm"),INDEX(상세표[시작],$U1213)&amp;""))</f>
        <v/>
      </c>
      <c r="O1213">
        <f>IF($U1213="","",IF(ISNUMBER(INDEX(상세표[종료],$U1213)),TEXT(INDEX(상세표[종료],$U1213),"yyyy-mm-dd hh:mm"),INDEX(상세표[종료],$U1213)&amp;""))</f>
        <v/>
      </c>
      <c r="P1213" s="20">
        <f>IF($U1213="","",INDEX(상세표[06~07시],$U1213))</f>
        <v/>
      </c>
      <c r="Q1213" s="20">
        <f>IF($U1213="","",INDEX(상세표[07~18시],$U1213))</f>
        <v/>
      </c>
      <c r="R1213" s="20">
        <f>IF($U1213="","",INDEX(상세표[18~22시],$U1213))</f>
        <v/>
      </c>
      <c r="S1213" s="20">
        <f>IF($U1213="","",INDEX(상세표[22~06시],$U1213))</f>
        <v/>
      </c>
      <c r="T1213" s="20">
        <f>IF($U1213="","",INDEX(상세표[기록 시간외],$U1213))</f>
        <v/>
      </c>
      <c r="U1213" s="4">
        <f>IFERROR(MATCH(1208,상세표[발송순번],0),"")</f>
        <v/>
      </c>
    </row>
    <row r="1214">
      <c r="J1214">
        <f>IF($U1214="","",INDEX(상세표[사번],$U1214)&amp;"")</f>
        <v/>
      </c>
      <c r="K1214">
        <f>IF($U1214="","",INDEX(상세표[성명],$U1214)&amp;"")</f>
        <v/>
      </c>
      <c r="L1214">
        <f>IF($U1214="","",INDEX(상세표[직위],$U1214)&amp;"")</f>
        <v/>
      </c>
      <c r="M1214">
        <f>IF($U1214="","",IF(ISNUMBER(INDEX(상세표[근무일자],$U1214)),TEXT(INDEX(상세표[근무일자],$U1214),"yyyy-mm-dd"),INDEX(상세표[근무일자],$U1214)&amp;""))</f>
        <v/>
      </c>
      <c r="N1214">
        <f>IF($U1214="","",IF(ISNUMBER(INDEX(상세표[시작],$U1214)),TEXT(INDEX(상세표[시작],$U1214),"yyyy-mm-dd hh:mm"),INDEX(상세표[시작],$U1214)&amp;""))</f>
        <v/>
      </c>
      <c r="O1214">
        <f>IF($U1214="","",IF(ISNUMBER(INDEX(상세표[종료],$U1214)),TEXT(INDEX(상세표[종료],$U1214),"yyyy-mm-dd hh:mm"),INDEX(상세표[종료],$U1214)&amp;""))</f>
        <v/>
      </c>
      <c r="P1214" s="20">
        <f>IF($U1214="","",INDEX(상세표[06~07시],$U1214))</f>
        <v/>
      </c>
      <c r="Q1214" s="20">
        <f>IF($U1214="","",INDEX(상세표[07~18시],$U1214))</f>
        <v/>
      </c>
      <c r="R1214" s="20">
        <f>IF($U1214="","",INDEX(상세표[18~22시],$U1214))</f>
        <v/>
      </c>
      <c r="S1214" s="20">
        <f>IF($U1214="","",INDEX(상세표[22~06시],$U1214))</f>
        <v/>
      </c>
      <c r="T1214" s="20">
        <f>IF($U1214="","",INDEX(상세표[기록 시간외],$U1214))</f>
        <v/>
      </c>
      <c r="U1214" s="4">
        <f>IFERROR(MATCH(1209,상세표[발송순번],0),"")</f>
        <v/>
      </c>
    </row>
    <row r="1215">
      <c r="J1215">
        <f>IF($U1215="","",INDEX(상세표[사번],$U1215)&amp;"")</f>
        <v/>
      </c>
      <c r="K1215">
        <f>IF($U1215="","",INDEX(상세표[성명],$U1215)&amp;"")</f>
        <v/>
      </c>
      <c r="L1215">
        <f>IF($U1215="","",INDEX(상세표[직위],$U1215)&amp;"")</f>
        <v/>
      </c>
      <c r="M1215">
        <f>IF($U1215="","",IF(ISNUMBER(INDEX(상세표[근무일자],$U1215)),TEXT(INDEX(상세표[근무일자],$U1215),"yyyy-mm-dd"),INDEX(상세표[근무일자],$U1215)&amp;""))</f>
        <v/>
      </c>
      <c r="N1215">
        <f>IF($U1215="","",IF(ISNUMBER(INDEX(상세표[시작],$U1215)),TEXT(INDEX(상세표[시작],$U1215),"yyyy-mm-dd hh:mm"),INDEX(상세표[시작],$U1215)&amp;""))</f>
        <v/>
      </c>
      <c r="O1215">
        <f>IF($U1215="","",IF(ISNUMBER(INDEX(상세표[종료],$U1215)),TEXT(INDEX(상세표[종료],$U1215),"yyyy-mm-dd hh:mm"),INDEX(상세표[종료],$U1215)&amp;""))</f>
        <v/>
      </c>
      <c r="P1215" s="20">
        <f>IF($U1215="","",INDEX(상세표[06~07시],$U1215))</f>
        <v/>
      </c>
      <c r="Q1215" s="20">
        <f>IF($U1215="","",INDEX(상세표[07~18시],$U1215))</f>
        <v/>
      </c>
      <c r="R1215" s="20">
        <f>IF($U1215="","",INDEX(상세표[18~22시],$U1215))</f>
        <v/>
      </c>
      <c r="S1215" s="20">
        <f>IF($U1215="","",INDEX(상세표[22~06시],$U1215))</f>
        <v/>
      </c>
      <c r="T1215" s="20">
        <f>IF($U1215="","",INDEX(상세표[기록 시간외],$U1215))</f>
        <v/>
      </c>
      <c r="U1215" s="4">
        <f>IFERROR(MATCH(1210,상세표[발송순번],0),"")</f>
        <v/>
      </c>
    </row>
    <row r="1216">
      <c r="J1216">
        <f>IF($U1216="","",INDEX(상세표[사번],$U1216)&amp;"")</f>
        <v/>
      </c>
      <c r="K1216">
        <f>IF($U1216="","",INDEX(상세표[성명],$U1216)&amp;"")</f>
        <v/>
      </c>
      <c r="L1216">
        <f>IF($U1216="","",INDEX(상세표[직위],$U1216)&amp;"")</f>
        <v/>
      </c>
      <c r="M1216">
        <f>IF($U1216="","",IF(ISNUMBER(INDEX(상세표[근무일자],$U1216)),TEXT(INDEX(상세표[근무일자],$U1216),"yyyy-mm-dd"),INDEX(상세표[근무일자],$U1216)&amp;""))</f>
        <v/>
      </c>
      <c r="N1216">
        <f>IF($U1216="","",IF(ISNUMBER(INDEX(상세표[시작],$U1216)),TEXT(INDEX(상세표[시작],$U1216),"yyyy-mm-dd hh:mm"),INDEX(상세표[시작],$U1216)&amp;""))</f>
        <v/>
      </c>
      <c r="O1216">
        <f>IF($U1216="","",IF(ISNUMBER(INDEX(상세표[종료],$U1216)),TEXT(INDEX(상세표[종료],$U1216),"yyyy-mm-dd hh:mm"),INDEX(상세표[종료],$U1216)&amp;""))</f>
        <v/>
      </c>
      <c r="P1216" s="20">
        <f>IF($U1216="","",INDEX(상세표[06~07시],$U1216))</f>
        <v/>
      </c>
      <c r="Q1216" s="20">
        <f>IF($U1216="","",INDEX(상세표[07~18시],$U1216))</f>
        <v/>
      </c>
      <c r="R1216" s="20">
        <f>IF($U1216="","",INDEX(상세표[18~22시],$U1216))</f>
        <v/>
      </c>
      <c r="S1216" s="20">
        <f>IF($U1216="","",INDEX(상세표[22~06시],$U1216))</f>
        <v/>
      </c>
      <c r="T1216" s="20">
        <f>IF($U1216="","",INDEX(상세표[기록 시간외],$U1216))</f>
        <v/>
      </c>
      <c r="U1216" s="4">
        <f>IFERROR(MATCH(1211,상세표[발송순번],0),"")</f>
        <v/>
      </c>
    </row>
    <row r="1217">
      <c r="J1217">
        <f>IF($U1217="","",INDEX(상세표[사번],$U1217)&amp;"")</f>
        <v/>
      </c>
      <c r="K1217">
        <f>IF($U1217="","",INDEX(상세표[성명],$U1217)&amp;"")</f>
        <v/>
      </c>
      <c r="L1217">
        <f>IF($U1217="","",INDEX(상세표[직위],$U1217)&amp;"")</f>
        <v/>
      </c>
      <c r="M1217">
        <f>IF($U1217="","",IF(ISNUMBER(INDEX(상세표[근무일자],$U1217)),TEXT(INDEX(상세표[근무일자],$U1217),"yyyy-mm-dd"),INDEX(상세표[근무일자],$U1217)&amp;""))</f>
        <v/>
      </c>
      <c r="N1217">
        <f>IF($U1217="","",IF(ISNUMBER(INDEX(상세표[시작],$U1217)),TEXT(INDEX(상세표[시작],$U1217),"yyyy-mm-dd hh:mm"),INDEX(상세표[시작],$U1217)&amp;""))</f>
        <v/>
      </c>
      <c r="O1217">
        <f>IF($U1217="","",IF(ISNUMBER(INDEX(상세표[종료],$U1217)),TEXT(INDEX(상세표[종료],$U1217),"yyyy-mm-dd hh:mm"),INDEX(상세표[종료],$U1217)&amp;""))</f>
        <v/>
      </c>
      <c r="P1217" s="20">
        <f>IF($U1217="","",INDEX(상세표[06~07시],$U1217))</f>
        <v/>
      </c>
      <c r="Q1217" s="20">
        <f>IF($U1217="","",INDEX(상세표[07~18시],$U1217))</f>
        <v/>
      </c>
      <c r="R1217" s="20">
        <f>IF($U1217="","",INDEX(상세표[18~22시],$U1217))</f>
        <v/>
      </c>
      <c r="S1217" s="20">
        <f>IF($U1217="","",INDEX(상세표[22~06시],$U1217))</f>
        <v/>
      </c>
      <c r="T1217" s="20">
        <f>IF($U1217="","",INDEX(상세표[기록 시간외],$U1217))</f>
        <v/>
      </c>
      <c r="U1217" s="4">
        <f>IFERROR(MATCH(1212,상세표[발송순번],0),"")</f>
        <v/>
      </c>
    </row>
    <row r="1218">
      <c r="J1218">
        <f>IF($U1218="","",INDEX(상세표[사번],$U1218)&amp;"")</f>
        <v/>
      </c>
      <c r="K1218">
        <f>IF($U1218="","",INDEX(상세표[성명],$U1218)&amp;"")</f>
        <v/>
      </c>
      <c r="L1218">
        <f>IF($U1218="","",INDEX(상세표[직위],$U1218)&amp;"")</f>
        <v/>
      </c>
      <c r="M1218">
        <f>IF($U1218="","",IF(ISNUMBER(INDEX(상세표[근무일자],$U1218)),TEXT(INDEX(상세표[근무일자],$U1218),"yyyy-mm-dd"),INDEX(상세표[근무일자],$U1218)&amp;""))</f>
        <v/>
      </c>
      <c r="N1218">
        <f>IF($U1218="","",IF(ISNUMBER(INDEX(상세표[시작],$U1218)),TEXT(INDEX(상세표[시작],$U1218),"yyyy-mm-dd hh:mm"),INDEX(상세표[시작],$U1218)&amp;""))</f>
        <v/>
      </c>
      <c r="O1218">
        <f>IF($U1218="","",IF(ISNUMBER(INDEX(상세표[종료],$U1218)),TEXT(INDEX(상세표[종료],$U1218),"yyyy-mm-dd hh:mm"),INDEX(상세표[종료],$U1218)&amp;""))</f>
        <v/>
      </c>
      <c r="P1218" s="20">
        <f>IF($U1218="","",INDEX(상세표[06~07시],$U1218))</f>
        <v/>
      </c>
      <c r="Q1218" s="20">
        <f>IF($U1218="","",INDEX(상세표[07~18시],$U1218))</f>
        <v/>
      </c>
      <c r="R1218" s="20">
        <f>IF($U1218="","",INDEX(상세표[18~22시],$U1218))</f>
        <v/>
      </c>
      <c r="S1218" s="20">
        <f>IF($U1218="","",INDEX(상세표[22~06시],$U1218))</f>
        <v/>
      </c>
      <c r="T1218" s="20">
        <f>IF($U1218="","",INDEX(상세표[기록 시간외],$U1218))</f>
        <v/>
      </c>
      <c r="U1218" s="4">
        <f>IFERROR(MATCH(1213,상세표[발송순번],0),"")</f>
        <v/>
      </c>
    </row>
    <row r="1219">
      <c r="J1219">
        <f>IF($U1219="","",INDEX(상세표[사번],$U1219)&amp;"")</f>
        <v/>
      </c>
      <c r="K1219">
        <f>IF($U1219="","",INDEX(상세표[성명],$U1219)&amp;"")</f>
        <v/>
      </c>
      <c r="L1219">
        <f>IF($U1219="","",INDEX(상세표[직위],$U1219)&amp;"")</f>
        <v/>
      </c>
      <c r="M1219">
        <f>IF($U1219="","",IF(ISNUMBER(INDEX(상세표[근무일자],$U1219)),TEXT(INDEX(상세표[근무일자],$U1219),"yyyy-mm-dd"),INDEX(상세표[근무일자],$U1219)&amp;""))</f>
        <v/>
      </c>
      <c r="N1219">
        <f>IF($U1219="","",IF(ISNUMBER(INDEX(상세표[시작],$U1219)),TEXT(INDEX(상세표[시작],$U1219),"yyyy-mm-dd hh:mm"),INDEX(상세표[시작],$U1219)&amp;""))</f>
        <v/>
      </c>
      <c r="O1219">
        <f>IF($U1219="","",IF(ISNUMBER(INDEX(상세표[종료],$U1219)),TEXT(INDEX(상세표[종료],$U1219),"yyyy-mm-dd hh:mm"),INDEX(상세표[종료],$U1219)&amp;""))</f>
        <v/>
      </c>
      <c r="P1219" s="20">
        <f>IF($U1219="","",INDEX(상세표[06~07시],$U1219))</f>
        <v/>
      </c>
      <c r="Q1219" s="20">
        <f>IF($U1219="","",INDEX(상세표[07~18시],$U1219))</f>
        <v/>
      </c>
      <c r="R1219" s="20">
        <f>IF($U1219="","",INDEX(상세표[18~22시],$U1219))</f>
        <v/>
      </c>
      <c r="S1219" s="20">
        <f>IF($U1219="","",INDEX(상세표[22~06시],$U1219))</f>
        <v/>
      </c>
      <c r="T1219" s="20">
        <f>IF($U1219="","",INDEX(상세표[기록 시간외],$U1219))</f>
        <v/>
      </c>
      <c r="U1219" s="4">
        <f>IFERROR(MATCH(1214,상세표[발송순번],0),"")</f>
        <v/>
      </c>
    </row>
    <row r="1220">
      <c r="J1220">
        <f>IF($U1220="","",INDEX(상세표[사번],$U1220)&amp;"")</f>
        <v/>
      </c>
      <c r="K1220">
        <f>IF($U1220="","",INDEX(상세표[성명],$U1220)&amp;"")</f>
        <v/>
      </c>
      <c r="L1220">
        <f>IF($U1220="","",INDEX(상세표[직위],$U1220)&amp;"")</f>
        <v/>
      </c>
      <c r="M1220">
        <f>IF($U1220="","",IF(ISNUMBER(INDEX(상세표[근무일자],$U1220)),TEXT(INDEX(상세표[근무일자],$U1220),"yyyy-mm-dd"),INDEX(상세표[근무일자],$U1220)&amp;""))</f>
        <v/>
      </c>
      <c r="N1220">
        <f>IF($U1220="","",IF(ISNUMBER(INDEX(상세표[시작],$U1220)),TEXT(INDEX(상세표[시작],$U1220),"yyyy-mm-dd hh:mm"),INDEX(상세표[시작],$U1220)&amp;""))</f>
        <v/>
      </c>
      <c r="O1220">
        <f>IF($U1220="","",IF(ISNUMBER(INDEX(상세표[종료],$U1220)),TEXT(INDEX(상세표[종료],$U1220),"yyyy-mm-dd hh:mm"),INDEX(상세표[종료],$U1220)&amp;""))</f>
        <v/>
      </c>
      <c r="P1220" s="20">
        <f>IF($U1220="","",INDEX(상세표[06~07시],$U1220))</f>
        <v/>
      </c>
      <c r="Q1220" s="20">
        <f>IF($U1220="","",INDEX(상세표[07~18시],$U1220))</f>
        <v/>
      </c>
      <c r="R1220" s="20">
        <f>IF($U1220="","",INDEX(상세표[18~22시],$U1220))</f>
        <v/>
      </c>
      <c r="S1220" s="20">
        <f>IF($U1220="","",INDEX(상세표[22~06시],$U1220))</f>
        <v/>
      </c>
      <c r="T1220" s="20">
        <f>IF($U1220="","",INDEX(상세표[기록 시간외],$U1220))</f>
        <v/>
      </c>
      <c r="U1220" s="4">
        <f>IFERROR(MATCH(1215,상세표[발송순번],0),"")</f>
        <v/>
      </c>
    </row>
    <row r="1221">
      <c r="J1221">
        <f>IF($U1221="","",INDEX(상세표[사번],$U1221)&amp;"")</f>
        <v/>
      </c>
      <c r="K1221">
        <f>IF($U1221="","",INDEX(상세표[성명],$U1221)&amp;"")</f>
        <v/>
      </c>
      <c r="L1221">
        <f>IF($U1221="","",INDEX(상세표[직위],$U1221)&amp;"")</f>
        <v/>
      </c>
      <c r="M1221">
        <f>IF($U1221="","",IF(ISNUMBER(INDEX(상세표[근무일자],$U1221)),TEXT(INDEX(상세표[근무일자],$U1221),"yyyy-mm-dd"),INDEX(상세표[근무일자],$U1221)&amp;""))</f>
        <v/>
      </c>
      <c r="N1221">
        <f>IF($U1221="","",IF(ISNUMBER(INDEX(상세표[시작],$U1221)),TEXT(INDEX(상세표[시작],$U1221),"yyyy-mm-dd hh:mm"),INDEX(상세표[시작],$U1221)&amp;""))</f>
        <v/>
      </c>
      <c r="O1221">
        <f>IF($U1221="","",IF(ISNUMBER(INDEX(상세표[종료],$U1221)),TEXT(INDEX(상세표[종료],$U1221),"yyyy-mm-dd hh:mm"),INDEX(상세표[종료],$U1221)&amp;""))</f>
        <v/>
      </c>
      <c r="P1221" s="20">
        <f>IF($U1221="","",INDEX(상세표[06~07시],$U1221))</f>
        <v/>
      </c>
      <c r="Q1221" s="20">
        <f>IF($U1221="","",INDEX(상세표[07~18시],$U1221))</f>
        <v/>
      </c>
      <c r="R1221" s="20">
        <f>IF($U1221="","",INDEX(상세표[18~22시],$U1221))</f>
        <v/>
      </c>
      <c r="S1221" s="20">
        <f>IF($U1221="","",INDEX(상세표[22~06시],$U1221))</f>
        <v/>
      </c>
      <c r="T1221" s="20">
        <f>IF($U1221="","",INDEX(상세표[기록 시간외],$U1221))</f>
        <v/>
      </c>
      <c r="U1221" s="4">
        <f>IFERROR(MATCH(1216,상세표[발송순번],0),"")</f>
        <v/>
      </c>
    </row>
    <row r="1222">
      <c r="J1222">
        <f>IF($U1222="","",INDEX(상세표[사번],$U1222)&amp;"")</f>
        <v/>
      </c>
      <c r="K1222">
        <f>IF($U1222="","",INDEX(상세표[성명],$U1222)&amp;"")</f>
        <v/>
      </c>
      <c r="L1222">
        <f>IF($U1222="","",INDEX(상세표[직위],$U1222)&amp;"")</f>
        <v/>
      </c>
      <c r="M1222">
        <f>IF($U1222="","",IF(ISNUMBER(INDEX(상세표[근무일자],$U1222)),TEXT(INDEX(상세표[근무일자],$U1222),"yyyy-mm-dd"),INDEX(상세표[근무일자],$U1222)&amp;""))</f>
        <v/>
      </c>
      <c r="N1222">
        <f>IF($U1222="","",IF(ISNUMBER(INDEX(상세표[시작],$U1222)),TEXT(INDEX(상세표[시작],$U1222),"yyyy-mm-dd hh:mm"),INDEX(상세표[시작],$U1222)&amp;""))</f>
        <v/>
      </c>
      <c r="O1222">
        <f>IF($U1222="","",IF(ISNUMBER(INDEX(상세표[종료],$U1222)),TEXT(INDEX(상세표[종료],$U1222),"yyyy-mm-dd hh:mm"),INDEX(상세표[종료],$U1222)&amp;""))</f>
        <v/>
      </c>
      <c r="P1222" s="20">
        <f>IF($U1222="","",INDEX(상세표[06~07시],$U1222))</f>
        <v/>
      </c>
      <c r="Q1222" s="20">
        <f>IF($U1222="","",INDEX(상세표[07~18시],$U1222))</f>
        <v/>
      </c>
      <c r="R1222" s="20">
        <f>IF($U1222="","",INDEX(상세표[18~22시],$U1222))</f>
        <v/>
      </c>
      <c r="S1222" s="20">
        <f>IF($U1222="","",INDEX(상세표[22~06시],$U1222))</f>
        <v/>
      </c>
      <c r="T1222" s="20">
        <f>IF($U1222="","",INDEX(상세표[기록 시간외],$U1222))</f>
        <v/>
      </c>
      <c r="U1222" s="4">
        <f>IFERROR(MATCH(1217,상세표[발송순번],0),"")</f>
        <v/>
      </c>
    </row>
    <row r="1223">
      <c r="J1223">
        <f>IF($U1223="","",INDEX(상세표[사번],$U1223)&amp;"")</f>
        <v/>
      </c>
      <c r="K1223">
        <f>IF($U1223="","",INDEX(상세표[성명],$U1223)&amp;"")</f>
        <v/>
      </c>
      <c r="L1223">
        <f>IF($U1223="","",INDEX(상세표[직위],$U1223)&amp;"")</f>
        <v/>
      </c>
      <c r="M1223">
        <f>IF($U1223="","",IF(ISNUMBER(INDEX(상세표[근무일자],$U1223)),TEXT(INDEX(상세표[근무일자],$U1223),"yyyy-mm-dd"),INDEX(상세표[근무일자],$U1223)&amp;""))</f>
        <v/>
      </c>
      <c r="N1223">
        <f>IF($U1223="","",IF(ISNUMBER(INDEX(상세표[시작],$U1223)),TEXT(INDEX(상세표[시작],$U1223),"yyyy-mm-dd hh:mm"),INDEX(상세표[시작],$U1223)&amp;""))</f>
        <v/>
      </c>
      <c r="O1223">
        <f>IF($U1223="","",IF(ISNUMBER(INDEX(상세표[종료],$U1223)),TEXT(INDEX(상세표[종료],$U1223),"yyyy-mm-dd hh:mm"),INDEX(상세표[종료],$U1223)&amp;""))</f>
        <v/>
      </c>
      <c r="P1223" s="20">
        <f>IF($U1223="","",INDEX(상세표[06~07시],$U1223))</f>
        <v/>
      </c>
      <c r="Q1223" s="20">
        <f>IF($U1223="","",INDEX(상세표[07~18시],$U1223))</f>
        <v/>
      </c>
      <c r="R1223" s="20">
        <f>IF($U1223="","",INDEX(상세표[18~22시],$U1223))</f>
        <v/>
      </c>
      <c r="S1223" s="20">
        <f>IF($U1223="","",INDEX(상세표[22~06시],$U1223))</f>
        <v/>
      </c>
      <c r="T1223" s="20">
        <f>IF($U1223="","",INDEX(상세표[기록 시간외],$U1223))</f>
        <v/>
      </c>
      <c r="U1223" s="4">
        <f>IFERROR(MATCH(1218,상세표[발송순번],0),"")</f>
        <v/>
      </c>
    </row>
    <row r="1224">
      <c r="J1224">
        <f>IF($U1224="","",INDEX(상세표[사번],$U1224)&amp;"")</f>
        <v/>
      </c>
      <c r="K1224">
        <f>IF($U1224="","",INDEX(상세표[성명],$U1224)&amp;"")</f>
        <v/>
      </c>
      <c r="L1224">
        <f>IF($U1224="","",INDEX(상세표[직위],$U1224)&amp;"")</f>
        <v/>
      </c>
      <c r="M1224">
        <f>IF($U1224="","",IF(ISNUMBER(INDEX(상세표[근무일자],$U1224)),TEXT(INDEX(상세표[근무일자],$U1224),"yyyy-mm-dd"),INDEX(상세표[근무일자],$U1224)&amp;""))</f>
        <v/>
      </c>
      <c r="N1224">
        <f>IF($U1224="","",IF(ISNUMBER(INDEX(상세표[시작],$U1224)),TEXT(INDEX(상세표[시작],$U1224),"yyyy-mm-dd hh:mm"),INDEX(상세표[시작],$U1224)&amp;""))</f>
        <v/>
      </c>
      <c r="O1224">
        <f>IF($U1224="","",IF(ISNUMBER(INDEX(상세표[종료],$U1224)),TEXT(INDEX(상세표[종료],$U1224),"yyyy-mm-dd hh:mm"),INDEX(상세표[종료],$U1224)&amp;""))</f>
        <v/>
      </c>
      <c r="P1224" s="20">
        <f>IF($U1224="","",INDEX(상세표[06~07시],$U1224))</f>
        <v/>
      </c>
      <c r="Q1224" s="20">
        <f>IF($U1224="","",INDEX(상세표[07~18시],$U1224))</f>
        <v/>
      </c>
      <c r="R1224" s="20">
        <f>IF($U1224="","",INDEX(상세표[18~22시],$U1224))</f>
        <v/>
      </c>
      <c r="S1224" s="20">
        <f>IF($U1224="","",INDEX(상세표[22~06시],$U1224))</f>
        <v/>
      </c>
      <c r="T1224" s="20">
        <f>IF($U1224="","",INDEX(상세표[기록 시간외],$U1224))</f>
        <v/>
      </c>
      <c r="U1224" s="4">
        <f>IFERROR(MATCH(1219,상세표[발송순번],0),"")</f>
        <v/>
      </c>
    </row>
    <row r="1225">
      <c r="J1225">
        <f>IF($U1225="","",INDEX(상세표[사번],$U1225)&amp;"")</f>
        <v/>
      </c>
      <c r="K1225">
        <f>IF($U1225="","",INDEX(상세표[성명],$U1225)&amp;"")</f>
        <v/>
      </c>
      <c r="L1225">
        <f>IF($U1225="","",INDEX(상세표[직위],$U1225)&amp;"")</f>
        <v/>
      </c>
      <c r="M1225">
        <f>IF($U1225="","",IF(ISNUMBER(INDEX(상세표[근무일자],$U1225)),TEXT(INDEX(상세표[근무일자],$U1225),"yyyy-mm-dd"),INDEX(상세표[근무일자],$U1225)&amp;""))</f>
        <v/>
      </c>
      <c r="N1225">
        <f>IF($U1225="","",IF(ISNUMBER(INDEX(상세표[시작],$U1225)),TEXT(INDEX(상세표[시작],$U1225),"yyyy-mm-dd hh:mm"),INDEX(상세표[시작],$U1225)&amp;""))</f>
        <v/>
      </c>
      <c r="O1225">
        <f>IF($U1225="","",IF(ISNUMBER(INDEX(상세표[종료],$U1225)),TEXT(INDEX(상세표[종료],$U1225),"yyyy-mm-dd hh:mm"),INDEX(상세표[종료],$U1225)&amp;""))</f>
        <v/>
      </c>
      <c r="P1225" s="20">
        <f>IF($U1225="","",INDEX(상세표[06~07시],$U1225))</f>
        <v/>
      </c>
      <c r="Q1225" s="20">
        <f>IF($U1225="","",INDEX(상세표[07~18시],$U1225))</f>
        <v/>
      </c>
      <c r="R1225" s="20">
        <f>IF($U1225="","",INDEX(상세표[18~22시],$U1225))</f>
        <v/>
      </c>
      <c r="S1225" s="20">
        <f>IF($U1225="","",INDEX(상세표[22~06시],$U1225))</f>
        <v/>
      </c>
      <c r="T1225" s="20">
        <f>IF($U1225="","",INDEX(상세표[기록 시간외],$U1225))</f>
        <v/>
      </c>
      <c r="U1225" s="4">
        <f>IFERROR(MATCH(1220,상세표[발송순번],0),"")</f>
        <v/>
      </c>
    </row>
    <row r="1226">
      <c r="J1226">
        <f>IF($U1226="","",INDEX(상세표[사번],$U1226)&amp;"")</f>
        <v/>
      </c>
      <c r="K1226">
        <f>IF($U1226="","",INDEX(상세표[성명],$U1226)&amp;"")</f>
        <v/>
      </c>
      <c r="L1226">
        <f>IF($U1226="","",INDEX(상세표[직위],$U1226)&amp;"")</f>
        <v/>
      </c>
      <c r="M1226">
        <f>IF($U1226="","",IF(ISNUMBER(INDEX(상세표[근무일자],$U1226)),TEXT(INDEX(상세표[근무일자],$U1226),"yyyy-mm-dd"),INDEX(상세표[근무일자],$U1226)&amp;""))</f>
        <v/>
      </c>
      <c r="N1226">
        <f>IF($U1226="","",IF(ISNUMBER(INDEX(상세표[시작],$U1226)),TEXT(INDEX(상세표[시작],$U1226),"yyyy-mm-dd hh:mm"),INDEX(상세표[시작],$U1226)&amp;""))</f>
        <v/>
      </c>
      <c r="O1226">
        <f>IF($U1226="","",IF(ISNUMBER(INDEX(상세표[종료],$U1226)),TEXT(INDEX(상세표[종료],$U1226),"yyyy-mm-dd hh:mm"),INDEX(상세표[종료],$U1226)&amp;""))</f>
        <v/>
      </c>
      <c r="P1226" s="20">
        <f>IF($U1226="","",INDEX(상세표[06~07시],$U1226))</f>
        <v/>
      </c>
      <c r="Q1226" s="20">
        <f>IF($U1226="","",INDEX(상세표[07~18시],$U1226))</f>
        <v/>
      </c>
      <c r="R1226" s="20">
        <f>IF($U1226="","",INDEX(상세표[18~22시],$U1226))</f>
        <v/>
      </c>
      <c r="S1226" s="20">
        <f>IF($U1226="","",INDEX(상세표[22~06시],$U1226))</f>
        <v/>
      </c>
      <c r="T1226" s="20">
        <f>IF($U1226="","",INDEX(상세표[기록 시간외],$U1226))</f>
        <v/>
      </c>
      <c r="U1226" s="4">
        <f>IFERROR(MATCH(1221,상세표[발송순번],0),"")</f>
        <v/>
      </c>
    </row>
    <row r="1227">
      <c r="J1227">
        <f>IF($U1227="","",INDEX(상세표[사번],$U1227)&amp;"")</f>
        <v/>
      </c>
      <c r="K1227">
        <f>IF($U1227="","",INDEX(상세표[성명],$U1227)&amp;"")</f>
        <v/>
      </c>
      <c r="L1227">
        <f>IF($U1227="","",INDEX(상세표[직위],$U1227)&amp;"")</f>
        <v/>
      </c>
      <c r="M1227">
        <f>IF($U1227="","",IF(ISNUMBER(INDEX(상세표[근무일자],$U1227)),TEXT(INDEX(상세표[근무일자],$U1227),"yyyy-mm-dd"),INDEX(상세표[근무일자],$U1227)&amp;""))</f>
        <v/>
      </c>
      <c r="N1227">
        <f>IF($U1227="","",IF(ISNUMBER(INDEX(상세표[시작],$U1227)),TEXT(INDEX(상세표[시작],$U1227),"yyyy-mm-dd hh:mm"),INDEX(상세표[시작],$U1227)&amp;""))</f>
        <v/>
      </c>
      <c r="O1227">
        <f>IF($U1227="","",IF(ISNUMBER(INDEX(상세표[종료],$U1227)),TEXT(INDEX(상세표[종료],$U1227),"yyyy-mm-dd hh:mm"),INDEX(상세표[종료],$U1227)&amp;""))</f>
        <v/>
      </c>
      <c r="P1227" s="20">
        <f>IF($U1227="","",INDEX(상세표[06~07시],$U1227))</f>
        <v/>
      </c>
      <c r="Q1227" s="20">
        <f>IF($U1227="","",INDEX(상세표[07~18시],$U1227))</f>
        <v/>
      </c>
      <c r="R1227" s="20">
        <f>IF($U1227="","",INDEX(상세표[18~22시],$U1227))</f>
        <v/>
      </c>
      <c r="S1227" s="20">
        <f>IF($U1227="","",INDEX(상세표[22~06시],$U1227))</f>
        <v/>
      </c>
      <c r="T1227" s="20">
        <f>IF($U1227="","",INDEX(상세표[기록 시간외],$U1227))</f>
        <v/>
      </c>
      <c r="U1227" s="4">
        <f>IFERROR(MATCH(1222,상세표[발송순번],0),"")</f>
        <v/>
      </c>
    </row>
    <row r="1228">
      <c r="J1228">
        <f>IF($U1228="","",INDEX(상세표[사번],$U1228)&amp;"")</f>
        <v/>
      </c>
      <c r="K1228">
        <f>IF($U1228="","",INDEX(상세표[성명],$U1228)&amp;"")</f>
        <v/>
      </c>
      <c r="L1228">
        <f>IF($U1228="","",INDEX(상세표[직위],$U1228)&amp;"")</f>
        <v/>
      </c>
      <c r="M1228">
        <f>IF($U1228="","",IF(ISNUMBER(INDEX(상세표[근무일자],$U1228)),TEXT(INDEX(상세표[근무일자],$U1228),"yyyy-mm-dd"),INDEX(상세표[근무일자],$U1228)&amp;""))</f>
        <v/>
      </c>
      <c r="N1228">
        <f>IF($U1228="","",IF(ISNUMBER(INDEX(상세표[시작],$U1228)),TEXT(INDEX(상세표[시작],$U1228),"yyyy-mm-dd hh:mm"),INDEX(상세표[시작],$U1228)&amp;""))</f>
        <v/>
      </c>
      <c r="O1228">
        <f>IF($U1228="","",IF(ISNUMBER(INDEX(상세표[종료],$U1228)),TEXT(INDEX(상세표[종료],$U1228),"yyyy-mm-dd hh:mm"),INDEX(상세표[종료],$U1228)&amp;""))</f>
        <v/>
      </c>
      <c r="P1228" s="20">
        <f>IF($U1228="","",INDEX(상세표[06~07시],$U1228))</f>
        <v/>
      </c>
      <c r="Q1228" s="20">
        <f>IF($U1228="","",INDEX(상세표[07~18시],$U1228))</f>
        <v/>
      </c>
      <c r="R1228" s="20">
        <f>IF($U1228="","",INDEX(상세표[18~22시],$U1228))</f>
        <v/>
      </c>
      <c r="S1228" s="20">
        <f>IF($U1228="","",INDEX(상세표[22~06시],$U1228))</f>
        <v/>
      </c>
      <c r="T1228" s="20">
        <f>IF($U1228="","",INDEX(상세표[기록 시간외],$U1228))</f>
        <v/>
      </c>
      <c r="U1228" s="4">
        <f>IFERROR(MATCH(1223,상세표[발송순번],0),"")</f>
        <v/>
      </c>
    </row>
    <row r="1229">
      <c r="J1229">
        <f>IF($U1229="","",INDEX(상세표[사번],$U1229)&amp;"")</f>
        <v/>
      </c>
      <c r="K1229">
        <f>IF($U1229="","",INDEX(상세표[성명],$U1229)&amp;"")</f>
        <v/>
      </c>
      <c r="L1229">
        <f>IF($U1229="","",INDEX(상세표[직위],$U1229)&amp;"")</f>
        <v/>
      </c>
      <c r="M1229">
        <f>IF($U1229="","",IF(ISNUMBER(INDEX(상세표[근무일자],$U1229)),TEXT(INDEX(상세표[근무일자],$U1229),"yyyy-mm-dd"),INDEX(상세표[근무일자],$U1229)&amp;""))</f>
        <v/>
      </c>
      <c r="N1229">
        <f>IF($U1229="","",IF(ISNUMBER(INDEX(상세표[시작],$U1229)),TEXT(INDEX(상세표[시작],$U1229),"yyyy-mm-dd hh:mm"),INDEX(상세표[시작],$U1229)&amp;""))</f>
        <v/>
      </c>
      <c r="O1229">
        <f>IF($U1229="","",IF(ISNUMBER(INDEX(상세표[종료],$U1229)),TEXT(INDEX(상세표[종료],$U1229),"yyyy-mm-dd hh:mm"),INDEX(상세표[종료],$U1229)&amp;""))</f>
        <v/>
      </c>
      <c r="P1229" s="20">
        <f>IF($U1229="","",INDEX(상세표[06~07시],$U1229))</f>
        <v/>
      </c>
      <c r="Q1229" s="20">
        <f>IF($U1229="","",INDEX(상세표[07~18시],$U1229))</f>
        <v/>
      </c>
      <c r="R1229" s="20">
        <f>IF($U1229="","",INDEX(상세표[18~22시],$U1229))</f>
        <v/>
      </c>
      <c r="S1229" s="20">
        <f>IF($U1229="","",INDEX(상세표[22~06시],$U1229))</f>
        <v/>
      </c>
      <c r="T1229" s="20">
        <f>IF($U1229="","",INDEX(상세표[기록 시간외],$U1229))</f>
        <v/>
      </c>
      <c r="U1229" s="4">
        <f>IFERROR(MATCH(1224,상세표[발송순번],0),"")</f>
        <v/>
      </c>
    </row>
    <row r="1230">
      <c r="J1230">
        <f>IF($U1230="","",INDEX(상세표[사번],$U1230)&amp;"")</f>
        <v/>
      </c>
      <c r="K1230">
        <f>IF($U1230="","",INDEX(상세표[성명],$U1230)&amp;"")</f>
        <v/>
      </c>
      <c r="L1230">
        <f>IF($U1230="","",INDEX(상세표[직위],$U1230)&amp;"")</f>
        <v/>
      </c>
      <c r="M1230">
        <f>IF($U1230="","",IF(ISNUMBER(INDEX(상세표[근무일자],$U1230)),TEXT(INDEX(상세표[근무일자],$U1230),"yyyy-mm-dd"),INDEX(상세표[근무일자],$U1230)&amp;""))</f>
        <v/>
      </c>
      <c r="N1230">
        <f>IF($U1230="","",IF(ISNUMBER(INDEX(상세표[시작],$U1230)),TEXT(INDEX(상세표[시작],$U1230),"yyyy-mm-dd hh:mm"),INDEX(상세표[시작],$U1230)&amp;""))</f>
        <v/>
      </c>
      <c r="O1230">
        <f>IF($U1230="","",IF(ISNUMBER(INDEX(상세표[종료],$U1230)),TEXT(INDEX(상세표[종료],$U1230),"yyyy-mm-dd hh:mm"),INDEX(상세표[종료],$U1230)&amp;""))</f>
        <v/>
      </c>
      <c r="P1230" s="20">
        <f>IF($U1230="","",INDEX(상세표[06~07시],$U1230))</f>
        <v/>
      </c>
      <c r="Q1230" s="20">
        <f>IF($U1230="","",INDEX(상세표[07~18시],$U1230))</f>
        <v/>
      </c>
      <c r="R1230" s="20">
        <f>IF($U1230="","",INDEX(상세표[18~22시],$U1230))</f>
        <v/>
      </c>
      <c r="S1230" s="20">
        <f>IF($U1230="","",INDEX(상세표[22~06시],$U1230))</f>
        <v/>
      </c>
      <c r="T1230" s="20">
        <f>IF($U1230="","",INDEX(상세표[기록 시간외],$U1230))</f>
        <v/>
      </c>
      <c r="U1230" s="4">
        <f>IFERROR(MATCH(1225,상세표[발송순번],0),"")</f>
        <v/>
      </c>
    </row>
    <row r="1231">
      <c r="J1231">
        <f>IF($U1231="","",INDEX(상세표[사번],$U1231)&amp;"")</f>
        <v/>
      </c>
      <c r="K1231">
        <f>IF($U1231="","",INDEX(상세표[성명],$U1231)&amp;"")</f>
        <v/>
      </c>
      <c r="L1231">
        <f>IF($U1231="","",INDEX(상세표[직위],$U1231)&amp;"")</f>
        <v/>
      </c>
      <c r="M1231">
        <f>IF($U1231="","",IF(ISNUMBER(INDEX(상세표[근무일자],$U1231)),TEXT(INDEX(상세표[근무일자],$U1231),"yyyy-mm-dd"),INDEX(상세표[근무일자],$U1231)&amp;""))</f>
        <v/>
      </c>
      <c r="N1231">
        <f>IF($U1231="","",IF(ISNUMBER(INDEX(상세표[시작],$U1231)),TEXT(INDEX(상세표[시작],$U1231),"yyyy-mm-dd hh:mm"),INDEX(상세표[시작],$U1231)&amp;""))</f>
        <v/>
      </c>
      <c r="O1231">
        <f>IF($U1231="","",IF(ISNUMBER(INDEX(상세표[종료],$U1231)),TEXT(INDEX(상세표[종료],$U1231),"yyyy-mm-dd hh:mm"),INDEX(상세표[종료],$U1231)&amp;""))</f>
        <v/>
      </c>
      <c r="P1231" s="20">
        <f>IF($U1231="","",INDEX(상세표[06~07시],$U1231))</f>
        <v/>
      </c>
      <c r="Q1231" s="20">
        <f>IF($U1231="","",INDEX(상세표[07~18시],$U1231))</f>
        <v/>
      </c>
      <c r="R1231" s="20">
        <f>IF($U1231="","",INDEX(상세표[18~22시],$U1231))</f>
        <v/>
      </c>
      <c r="S1231" s="20">
        <f>IF($U1231="","",INDEX(상세표[22~06시],$U1231))</f>
        <v/>
      </c>
      <c r="T1231" s="20">
        <f>IF($U1231="","",INDEX(상세표[기록 시간외],$U1231))</f>
        <v/>
      </c>
      <c r="U1231" s="4">
        <f>IFERROR(MATCH(1226,상세표[발송순번],0),"")</f>
        <v/>
      </c>
    </row>
    <row r="1232">
      <c r="J1232">
        <f>IF($U1232="","",INDEX(상세표[사번],$U1232)&amp;"")</f>
        <v/>
      </c>
      <c r="K1232">
        <f>IF($U1232="","",INDEX(상세표[성명],$U1232)&amp;"")</f>
        <v/>
      </c>
      <c r="L1232">
        <f>IF($U1232="","",INDEX(상세표[직위],$U1232)&amp;"")</f>
        <v/>
      </c>
      <c r="M1232">
        <f>IF($U1232="","",IF(ISNUMBER(INDEX(상세표[근무일자],$U1232)),TEXT(INDEX(상세표[근무일자],$U1232),"yyyy-mm-dd"),INDEX(상세표[근무일자],$U1232)&amp;""))</f>
        <v/>
      </c>
      <c r="N1232">
        <f>IF($U1232="","",IF(ISNUMBER(INDEX(상세표[시작],$U1232)),TEXT(INDEX(상세표[시작],$U1232),"yyyy-mm-dd hh:mm"),INDEX(상세표[시작],$U1232)&amp;""))</f>
        <v/>
      </c>
      <c r="O1232">
        <f>IF($U1232="","",IF(ISNUMBER(INDEX(상세표[종료],$U1232)),TEXT(INDEX(상세표[종료],$U1232),"yyyy-mm-dd hh:mm"),INDEX(상세표[종료],$U1232)&amp;""))</f>
        <v/>
      </c>
      <c r="P1232" s="20">
        <f>IF($U1232="","",INDEX(상세표[06~07시],$U1232))</f>
        <v/>
      </c>
      <c r="Q1232" s="20">
        <f>IF($U1232="","",INDEX(상세표[07~18시],$U1232))</f>
        <v/>
      </c>
      <c r="R1232" s="20">
        <f>IF($U1232="","",INDEX(상세표[18~22시],$U1232))</f>
        <v/>
      </c>
      <c r="S1232" s="20">
        <f>IF($U1232="","",INDEX(상세표[22~06시],$U1232))</f>
        <v/>
      </c>
      <c r="T1232" s="20">
        <f>IF($U1232="","",INDEX(상세표[기록 시간외],$U1232))</f>
        <v/>
      </c>
      <c r="U1232" s="4">
        <f>IFERROR(MATCH(1227,상세표[발송순번],0),"")</f>
        <v/>
      </c>
    </row>
    <row r="1233">
      <c r="J1233">
        <f>IF($U1233="","",INDEX(상세표[사번],$U1233)&amp;"")</f>
        <v/>
      </c>
      <c r="K1233">
        <f>IF($U1233="","",INDEX(상세표[성명],$U1233)&amp;"")</f>
        <v/>
      </c>
      <c r="L1233">
        <f>IF($U1233="","",INDEX(상세표[직위],$U1233)&amp;"")</f>
        <v/>
      </c>
      <c r="M1233">
        <f>IF($U1233="","",IF(ISNUMBER(INDEX(상세표[근무일자],$U1233)),TEXT(INDEX(상세표[근무일자],$U1233),"yyyy-mm-dd"),INDEX(상세표[근무일자],$U1233)&amp;""))</f>
        <v/>
      </c>
      <c r="N1233">
        <f>IF($U1233="","",IF(ISNUMBER(INDEX(상세표[시작],$U1233)),TEXT(INDEX(상세표[시작],$U1233),"yyyy-mm-dd hh:mm"),INDEX(상세표[시작],$U1233)&amp;""))</f>
        <v/>
      </c>
      <c r="O1233">
        <f>IF($U1233="","",IF(ISNUMBER(INDEX(상세표[종료],$U1233)),TEXT(INDEX(상세표[종료],$U1233),"yyyy-mm-dd hh:mm"),INDEX(상세표[종료],$U1233)&amp;""))</f>
        <v/>
      </c>
      <c r="P1233" s="20">
        <f>IF($U1233="","",INDEX(상세표[06~07시],$U1233))</f>
        <v/>
      </c>
      <c r="Q1233" s="20">
        <f>IF($U1233="","",INDEX(상세표[07~18시],$U1233))</f>
        <v/>
      </c>
      <c r="R1233" s="20">
        <f>IF($U1233="","",INDEX(상세표[18~22시],$U1233))</f>
        <v/>
      </c>
      <c r="S1233" s="20">
        <f>IF($U1233="","",INDEX(상세표[22~06시],$U1233))</f>
        <v/>
      </c>
      <c r="T1233" s="20">
        <f>IF($U1233="","",INDEX(상세표[기록 시간외],$U1233))</f>
        <v/>
      </c>
      <c r="U1233" s="4">
        <f>IFERROR(MATCH(1228,상세표[발송순번],0),"")</f>
        <v/>
      </c>
    </row>
    <row r="1234">
      <c r="J1234">
        <f>IF($U1234="","",INDEX(상세표[사번],$U1234)&amp;"")</f>
        <v/>
      </c>
      <c r="K1234">
        <f>IF($U1234="","",INDEX(상세표[성명],$U1234)&amp;"")</f>
        <v/>
      </c>
      <c r="L1234">
        <f>IF($U1234="","",INDEX(상세표[직위],$U1234)&amp;"")</f>
        <v/>
      </c>
      <c r="M1234">
        <f>IF($U1234="","",IF(ISNUMBER(INDEX(상세표[근무일자],$U1234)),TEXT(INDEX(상세표[근무일자],$U1234),"yyyy-mm-dd"),INDEX(상세표[근무일자],$U1234)&amp;""))</f>
        <v/>
      </c>
      <c r="N1234">
        <f>IF($U1234="","",IF(ISNUMBER(INDEX(상세표[시작],$U1234)),TEXT(INDEX(상세표[시작],$U1234),"yyyy-mm-dd hh:mm"),INDEX(상세표[시작],$U1234)&amp;""))</f>
        <v/>
      </c>
      <c r="O1234">
        <f>IF($U1234="","",IF(ISNUMBER(INDEX(상세표[종료],$U1234)),TEXT(INDEX(상세표[종료],$U1234),"yyyy-mm-dd hh:mm"),INDEX(상세표[종료],$U1234)&amp;""))</f>
        <v/>
      </c>
      <c r="P1234" s="20">
        <f>IF($U1234="","",INDEX(상세표[06~07시],$U1234))</f>
        <v/>
      </c>
      <c r="Q1234" s="20">
        <f>IF($U1234="","",INDEX(상세표[07~18시],$U1234))</f>
        <v/>
      </c>
      <c r="R1234" s="20">
        <f>IF($U1234="","",INDEX(상세표[18~22시],$U1234))</f>
        <v/>
      </c>
      <c r="S1234" s="20">
        <f>IF($U1234="","",INDEX(상세표[22~06시],$U1234))</f>
        <v/>
      </c>
      <c r="T1234" s="20">
        <f>IF($U1234="","",INDEX(상세표[기록 시간외],$U1234))</f>
        <v/>
      </c>
      <c r="U1234" s="4">
        <f>IFERROR(MATCH(1229,상세표[발송순번],0),"")</f>
        <v/>
      </c>
    </row>
    <row r="1235">
      <c r="J1235">
        <f>IF($U1235="","",INDEX(상세표[사번],$U1235)&amp;"")</f>
        <v/>
      </c>
      <c r="K1235">
        <f>IF($U1235="","",INDEX(상세표[성명],$U1235)&amp;"")</f>
        <v/>
      </c>
      <c r="L1235">
        <f>IF($U1235="","",INDEX(상세표[직위],$U1235)&amp;"")</f>
        <v/>
      </c>
      <c r="M1235">
        <f>IF($U1235="","",IF(ISNUMBER(INDEX(상세표[근무일자],$U1235)),TEXT(INDEX(상세표[근무일자],$U1235),"yyyy-mm-dd"),INDEX(상세표[근무일자],$U1235)&amp;""))</f>
        <v/>
      </c>
      <c r="N1235">
        <f>IF($U1235="","",IF(ISNUMBER(INDEX(상세표[시작],$U1235)),TEXT(INDEX(상세표[시작],$U1235),"yyyy-mm-dd hh:mm"),INDEX(상세표[시작],$U1235)&amp;""))</f>
        <v/>
      </c>
      <c r="O1235">
        <f>IF($U1235="","",IF(ISNUMBER(INDEX(상세표[종료],$U1235)),TEXT(INDEX(상세표[종료],$U1235),"yyyy-mm-dd hh:mm"),INDEX(상세표[종료],$U1235)&amp;""))</f>
        <v/>
      </c>
      <c r="P1235" s="20">
        <f>IF($U1235="","",INDEX(상세표[06~07시],$U1235))</f>
        <v/>
      </c>
      <c r="Q1235" s="20">
        <f>IF($U1235="","",INDEX(상세표[07~18시],$U1235))</f>
        <v/>
      </c>
      <c r="R1235" s="20">
        <f>IF($U1235="","",INDEX(상세표[18~22시],$U1235))</f>
        <v/>
      </c>
      <c r="S1235" s="20">
        <f>IF($U1235="","",INDEX(상세표[22~06시],$U1235))</f>
        <v/>
      </c>
      <c r="T1235" s="20">
        <f>IF($U1235="","",INDEX(상세표[기록 시간외],$U1235))</f>
        <v/>
      </c>
      <c r="U1235" s="4">
        <f>IFERROR(MATCH(1230,상세표[발송순번],0),"")</f>
        <v/>
      </c>
    </row>
    <row r="1236">
      <c r="J1236">
        <f>IF($U1236="","",INDEX(상세표[사번],$U1236)&amp;"")</f>
        <v/>
      </c>
      <c r="K1236">
        <f>IF($U1236="","",INDEX(상세표[성명],$U1236)&amp;"")</f>
        <v/>
      </c>
      <c r="L1236">
        <f>IF($U1236="","",INDEX(상세표[직위],$U1236)&amp;"")</f>
        <v/>
      </c>
      <c r="M1236">
        <f>IF($U1236="","",IF(ISNUMBER(INDEX(상세표[근무일자],$U1236)),TEXT(INDEX(상세표[근무일자],$U1236),"yyyy-mm-dd"),INDEX(상세표[근무일자],$U1236)&amp;""))</f>
        <v/>
      </c>
      <c r="N1236">
        <f>IF($U1236="","",IF(ISNUMBER(INDEX(상세표[시작],$U1236)),TEXT(INDEX(상세표[시작],$U1236),"yyyy-mm-dd hh:mm"),INDEX(상세표[시작],$U1236)&amp;""))</f>
        <v/>
      </c>
      <c r="O1236">
        <f>IF($U1236="","",IF(ISNUMBER(INDEX(상세표[종료],$U1236)),TEXT(INDEX(상세표[종료],$U1236),"yyyy-mm-dd hh:mm"),INDEX(상세표[종료],$U1236)&amp;""))</f>
        <v/>
      </c>
      <c r="P1236" s="20">
        <f>IF($U1236="","",INDEX(상세표[06~07시],$U1236))</f>
        <v/>
      </c>
      <c r="Q1236" s="20">
        <f>IF($U1236="","",INDEX(상세표[07~18시],$U1236))</f>
        <v/>
      </c>
      <c r="R1236" s="20">
        <f>IF($U1236="","",INDEX(상세표[18~22시],$U1236))</f>
        <v/>
      </c>
      <c r="S1236" s="20">
        <f>IF($U1236="","",INDEX(상세표[22~06시],$U1236))</f>
        <v/>
      </c>
      <c r="T1236" s="20">
        <f>IF($U1236="","",INDEX(상세표[기록 시간외],$U1236))</f>
        <v/>
      </c>
      <c r="U1236" s="4">
        <f>IFERROR(MATCH(1231,상세표[발송순번],0),"")</f>
        <v/>
      </c>
    </row>
    <row r="1237">
      <c r="J1237">
        <f>IF($U1237="","",INDEX(상세표[사번],$U1237)&amp;"")</f>
        <v/>
      </c>
      <c r="K1237">
        <f>IF($U1237="","",INDEX(상세표[성명],$U1237)&amp;"")</f>
        <v/>
      </c>
      <c r="L1237">
        <f>IF($U1237="","",INDEX(상세표[직위],$U1237)&amp;"")</f>
        <v/>
      </c>
      <c r="M1237">
        <f>IF($U1237="","",IF(ISNUMBER(INDEX(상세표[근무일자],$U1237)),TEXT(INDEX(상세표[근무일자],$U1237),"yyyy-mm-dd"),INDEX(상세표[근무일자],$U1237)&amp;""))</f>
        <v/>
      </c>
      <c r="N1237">
        <f>IF($U1237="","",IF(ISNUMBER(INDEX(상세표[시작],$U1237)),TEXT(INDEX(상세표[시작],$U1237),"yyyy-mm-dd hh:mm"),INDEX(상세표[시작],$U1237)&amp;""))</f>
        <v/>
      </c>
      <c r="O1237">
        <f>IF($U1237="","",IF(ISNUMBER(INDEX(상세표[종료],$U1237)),TEXT(INDEX(상세표[종료],$U1237),"yyyy-mm-dd hh:mm"),INDEX(상세표[종료],$U1237)&amp;""))</f>
        <v/>
      </c>
      <c r="P1237" s="20">
        <f>IF($U1237="","",INDEX(상세표[06~07시],$U1237))</f>
        <v/>
      </c>
      <c r="Q1237" s="20">
        <f>IF($U1237="","",INDEX(상세표[07~18시],$U1237))</f>
        <v/>
      </c>
      <c r="R1237" s="20">
        <f>IF($U1237="","",INDEX(상세표[18~22시],$U1237))</f>
        <v/>
      </c>
      <c r="S1237" s="20">
        <f>IF($U1237="","",INDEX(상세표[22~06시],$U1237))</f>
        <v/>
      </c>
      <c r="T1237" s="20">
        <f>IF($U1237="","",INDEX(상세표[기록 시간외],$U1237))</f>
        <v/>
      </c>
      <c r="U1237" s="4">
        <f>IFERROR(MATCH(1232,상세표[발송순번],0),"")</f>
        <v/>
      </c>
    </row>
    <row r="1238">
      <c r="J1238">
        <f>IF($U1238="","",INDEX(상세표[사번],$U1238)&amp;"")</f>
        <v/>
      </c>
      <c r="K1238">
        <f>IF($U1238="","",INDEX(상세표[성명],$U1238)&amp;"")</f>
        <v/>
      </c>
      <c r="L1238">
        <f>IF($U1238="","",INDEX(상세표[직위],$U1238)&amp;"")</f>
        <v/>
      </c>
      <c r="M1238">
        <f>IF($U1238="","",IF(ISNUMBER(INDEX(상세표[근무일자],$U1238)),TEXT(INDEX(상세표[근무일자],$U1238),"yyyy-mm-dd"),INDEX(상세표[근무일자],$U1238)&amp;""))</f>
        <v/>
      </c>
      <c r="N1238">
        <f>IF($U1238="","",IF(ISNUMBER(INDEX(상세표[시작],$U1238)),TEXT(INDEX(상세표[시작],$U1238),"yyyy-mm-dd hh:mm"),INDEX(상세표[시작],$U1238)&amp;""))</f>
        <v/>
      </c>
      <c r="O1238">
        <f>IF($U1238="","",IF(ISNUMBER(INDEX(상세표[종료],$U1238)),TEXT(INDEX(상세표[종료],$U1238),"yyyy-mm-dd hh:mm"),INDEX(상세표[종료],$U1238)&amp;""))</f>
        <v/>
      </c>
      <c r="P1238" s="20">
        <f>IF($U1238="","",INDEX(상세표[06~07시],$U1238))</f>
        <v/>
      </c>
      <c r="Q1238" s="20">
        <f>IF($U1238="","",INDEX(상세표[07~18시],$U1238))</f>
        <v/>
      </c>
      <c r="R1238" s="20">
        <f>IF($U1238="","",INDEX(상세표[18~22시],$U1238))</f>
        <v/>
      </c>
      <c r="S1238" s="20">
        <f>IF($U1238="","",INDEX(상세표[22~06시],$U1238))</f>
        <v/>
      </c>
      <c r="T1238" s="20">
        <f>IF($U1238="","",INDEX(상세표[기록 시간외],$U1238))</f>
        <v/>
      </c>
      <c r="U1238" s="4">
        <f>IFERROR(MATCH(1233,상세표[발송순번],0),"")</f>
        <v/>
      </c>
    </row>
    <row r="1239">
      <c r="J1239">
        <f>IF($U1239="","",INDEX(상세표[사번],$U1239)&amp;"")</f>
        <v/>
      </c>
      <c r="K1239">
        <f>IF($U1239="","",INDEX(상세표[성명],$U1239)&amp;"")</f>
        <v/>
      </c>
      <c r="L1239">
        <f>IF($U1239="","",INDEX(상세표[직위],$U1239)&amp;"")</f>
        <v/>
      </c>
      <c r="M1239">
        <f>IF($U1239="","",IF(ISNUMBER(INDEX(상세표[근무일자],$U1239)),TEXT(INDEX(상세표[근무일자],$U1239),"yyyy-mm-dd"),INDEX(상세표[근무일자],$U1239)&amp;""))</f>
        <v/>
      </c>
      <c r="N1239">
        <f>IF($U1239="","",IF(ISNUMBER(INDEX(상세표[시작],$U1239)),TEXT(INDEX(상세표[시작],$U1239),"yyyy-mm-dd hh:mm"),INDEX(상세표[시작],$U1239)&amp;""))</f>
        <v/>
      </c>
      <c r="O1239">
        <f>IF($U1239="","",IF(ISNUMBER(INDEX(상세표[종료],$U1239)),TEXT(INDEX(상세표[종료],$U1239),"yyyy-mm-dd hh:mm"),INDEX(상세표[종료],$U1239)&amp;""))</f>
        <v/>
      </c>
      <c r="P1239" s="20">
        <f>IF($U1239="","",INDEX(상세표[06~07시],$U1239))</f>
        <v/>
      </c>
      <c r="Q1239" s="20">
        <f>IF($U1239="","",INDEX(상세표[07~18시],$U1239))</f>
        <v/>
      </c>
      <c r="R1239" s="20">
        <f>IF($U1239="","",INDEX(상세표[18~22시],$U1239))</f>
        <v/>
      </c>
      <c r="S1239" s="20">
        <f>IF($U1239="","",INDEX(상세표[22~06시],$U1239))</f>
        <v/>
      </c>
      <c r="T1239" s="20">
        <f>IF($U1239="","",INDEX(상세표[기록 시간외],$U1239))</f>
        <v/>
      </c>
      <c r="U1239" s="4">
        <f>IFERROR(MATCH(1234,상세표[발송순번],0),"")</f>
        <v/>
      </c>
    </row>
    <row r="1240">
      <c r="J1240">
        <f>IF($U1240="","",INDEX(상세표[사번],$U1240)&amp;"")</f>
        <v/>
      </c>
      <c r="K1240">
        <f>IF($U1240="","",INDEX(상세표[성명],$U1240)&amp;"")</f>
        <v/>
      </c>
      <c r="L1240">
        <f>IF($U1240="","",INDEX(상세표[직위],$U1240)&amp;"")</f>
        <v/>
      </c>
      <c r="M1240">
        <f>IF($U1240="","",IF(ISNUMBER(INDEX(상세표[근무일자],$U1240)),TEXT(INDEX(상세표[근무일자],$U1240),"yyyy-mm-dd"),INDEX(상세표[근무일자],$U1240)&amp;""))</f>
        <v/>
      </c>
      <c r="N1240">
        <f>IF($U1240="","",IF(ISNUMBER(INDEX(상세표[시작],$U1240)),TEXT(INDEX(상세표[시작],$U1240),"yyyy-mm-dd hh:mm"),INDEX(상세표[시작],$U1240)&amp;""))</f>
        <v/>
      </c>
      <c r="O1240">
        <f>IF($U1240="","",IF(ISNUMBER(INDEX(상세표[종료],$U1240)),TEXT(INDEX(상세표[종료],$U1240),"yyyy-mm-dd hh:mm"),INDEX(상세표[종료],$U1240)&amp;""))</f>
        <v/>
      </c>
      <c r="P1240" s="20">
        <f>IF($U1240="","",INDEX(상세표[06~07시],$U1240))</f>
        <v/>
      </c>
      <c r="Q1240" s="20">
        <f>IF($U1240="","",INDEX(상세표[07~18시],$U1240))</f>
        <v/>
      </c>
      <c r="R1240" s="20">
        <f>IF($U1240="","",INDEX(상세표[18~22시],$U1240))</f>
        <v/>
      </c>
      <c r="S1240" s="20">
        <f>IF($U1240="","",INDEX(상세표[22~06시],$U1240))</f>
        <v/>
      </c>
      <c r="T1240" s="20">
        <f>IF($U1240="","",INDEX(상세표[기록 시간외],$U1240))</f>
        <v/>
      </c>
      <c r="U1240" s="4">
        <f>IFERROR(MATCH(1235,상세표[발송순번],0),"")</f>
        <v/>
      </c>
    </row>
    <row r="1241">
      <c r="J1241">
        <f>IF($U1241="","",INDEX(상세표[사번],$U1241)&amp;"")</f>
        <v/>
      </c>
      <c r="K1241">
        <f>IF($U1241="","",INDEX(상세표[성명],$U1241)&amp;"")</f>
        <v/>
      </c>
      <c r="L1241">
        <f>IF($U1241="","",INDEX(상세표[직위],$U1241)&amp;"")</f>
        <v/>
      </c>
      <c r="M1241">
        <f>IF($U1241="","",IF(ISNUMBER(INDEX(상세표[근무일자],$U1241)),TEXT(INDEX(상세표[근무일자],$U1241),"yyyy-mm-dd"),INDEX(상세표[근무일자],$U1241)&amp;""))</f>
        <v/>
      </c>
      <c r="N1241">
        <f>IF($U1241="","",IF(ISNUMBER(INDEX(상세표[시작],$U1241)),TEXT(INDEX(상세표[시작],$U1241),"yyyy-mm-dd hh:mm"),INDEX(상세표[시작],$U1241)&amp;""))</f>
        <v/>
      </c>
      <c r="O1241">
        <f>IF($U1241="","",IF(ISNUMBER(INDEX(상세표[종료],$U1241)),TEXT(INDEX(상세표[종료],$U1241),"yyyy-mm-dd hh:mm"),INDEX(상세표[종료],$U1241)&amp;""))</f>
        <v/>
      </c>
      <c r="P1241" s="20">
        <f>IF($U1241="","",INDEX(상세표[06~07시],$U1241))</f>
        <v/>
      </c>
      <c r="Q1241" s="20">
        <f>IF($U1241="","",INDEX(상세표[07~18시],$U1241))</f>
        <v/>
      </c>
      <c r="R1241" s="20">
        <f>IF($U1241="","",INDEX(상세표[18~22시],$U1241))</f>
        <v/>
      </c>
      <c r="S1241" s="20">
        <f>IF($U1241="","",INDEX(상세표[22~06시],$U1241))</f>
        <v/>
      </c>
      <c r="T1241" s="20">
        <f>IF($U1241="","",INDEX(상세표[기록 시간외],$U1241))</f>
        <v/>
      </c>
      <c r="U1241" s="4">
        <f>IFERROR(MATCH(1236,상세표[발송순번],0),"")</f>
        <v/>
      </c>
    </row>
    <row r="1242">
      <c r="J1242">
        <f>IF($U1242="","",INDEX(상세표[사번],$U1242)&amp;"")</f>
        <v/>
      </c>
      <c r="K1242">
        <f>IF($U1242="","",INDEX(상세표[성명],$U1242)&amp;"")</f>
        <v/>
      </c>
      <c r="L1242">
        <f>IF($U1242="","",INDEX(상세표[직위],$U1242)&amp;"")</f>
        <v/>
      </c>
      <c r="M1242">
        <f>IF($U1242="","",IF(ISNUMBER(INDEX(상세표[근무일자],$U1242)),TEXT(INDEX(상세표[근무일자],$U1242),"yyyy-mm-dd"),INDEX(상세표[근무일자],$U1242)&amp;""))</f>
        <v/>
      </c>
      <c r="N1242">
        <f>IF($U1242="","",IF(ISNUMBER(INDEX(상세표[시작],$U1242)),TEXT(INDEX(상세표[시작],$U1242),"yyyy-mm-dd hh:mm"),INDEX(상세표[시작],$U1242)&amp;""))</f>
        <v/>
      </c>
      <c r="O1242">
        <f>IF($U1242="","",IF(ISNUMBER(INDEX(상세표[종료],$U1242)),TEXT(INDEX(상세표[종료],$U1242),"yyyy-mm-dd hh:mm"),INDEX(상세표[종료],$U1242)&amp;""))</f>
        <v/>
      </c>
      <c r="P1242" s="20">
        <f>IF($U1242="","",INDEX(상세표[06~07시],$U1242))</f>
        <v/>
      </c>
      <c r="Q1242" s="20">
        <f>IF($U1242="","",INDEX(상세표[07~18시],$U1242))</f>
        <v/>
      </c>
      <c r="R1242" s="20">
        <f>IF($U1242="","",INDEX(상세표[18~22시],$U1242))</f>
        <v/>
      </c>
      <c r="S1242" s="20">
        <f>IF($U1242="","",INDEX(상세표[22~06시],$U1242))</f>
        <v/>
      </c>
      <c r="T1242" s="20">
        <f>IF($U1242="","",INDEX(상세표[기록 시간외],$U1242))</f>
        <v/>
      </c>
      <c r="U1242" s="4">
        <f>IFERROR(MATCH(1237,상세표[발송순번],0),"")</f>
        <v/>
      </c>
    </row>
    <row r="1243">
      <c r="J1243">
        <f>IF($U1243="","",INDEX(상세표[사번],$U1243)&amp;"")</f>
        <v/>
      </c>
      <c r="K1243">
        <f>IF($U1243="","",INDEX(상세표[성명],$U1243)&amp;"")</f>
        <v/>
      </c>
      <c r="L1243">
        <f>IF($U1243="","",INDEX(상세표[직위],$U1243)&amp;"")</f>
        <v/>
      </c>
      <c r="M1243">
        <f>IF($U1243="","",IF(ISNUMBER(INDEX(상세표[근무일자],$U1243)),TEXT(INDEX(상세표[근무일자],$U1243),"yyyy-mm-dd"),INDEX(상세표[근무일자],$U1243)&amp;""))</f>
        <v/>
      </c>
      <c r="N1243">
        <f>IF($U1243="","",IF(ISNUMBER(INDEX(상세표[시작],$U1243)),TEXT(INDEX(상세표[시작],$U1243),"yyyy-mm-dd hh:mm"),INDEX(상세표[시작],$U1243)&amp;""))</f>
        <v/>
      </c>
      <c r="O1243">
        <f>IF($U1243="","",IF(ISNUMBER(INDEX(상세표[종료],$U1243)),TEXT(INDEX(상세표[종료],$U1243),"yyyy-mm-dd hh:mm"),INDEX(상세표[종료],$U1243)&amp;""))</f>
        <v/>
      </c>
      <c r="P1243" s="20">
        <f>IF($U1243="","",INDEX(상세표[06~07시],$U1243))</f>
        <v/>
      </c>
      <c r="Q1243" s="20">
        <f>IF($U1243="","",INDEX(상세표[07~18시],$U1243))</f>
        <v/>
      </c>
      <c r="R1243" s="20">
        <f>IF($U1243="","",INDEX(상세표[18~22시],$U1243))</f>
        <v/>
      </c>
      <c r="S1243" s="20">
        <f>IF($U1243="","",INDEX(상세표[22~06시],$U1243))</f>
        <v/>
      </c>
      <c r="T1243" s="20">
        <f>IF($U1243="","",INDEX(상세표[기록 시간외],$U1243))</f>
        <v/>
      </c>
      <c r="U1243" s="4">
        <f>IFERROR(MATCH(1238,상세표[발송순번],0),"")</f>
        <v/>
      </c>
    </row>
    <row r="1244">
      <c r="J1244">
        <f>IF($U1244="","",INDEX(상세표[사번],$U1244)&amp;"")</f>
        <v/>
      </c>
      <c r="K1244">
        <f>IF($U1244="","",INDEX(상세표[성명],$U1244)&amp;"")</f>
        <v/>
      </c>
      <c r="L1244">
        <f>IF($U1244="","",INDEX(상세표[직위],$U1244)&amp;"")</f>
        <v/>
      </c>
      <c r="M1244">
        <f>IF($U1244="","",IF(ISNUMBER(INDEX(상세표[근무일자],$U1244)),TEXT(INDEX(상세표[근무일자],$U1244),"yyyy-mm-dd"),INDEX(상세표[근무일자],$U1244)&amp;""))</f>
        <v/>
      </c>
      <c r="N1244">
        <f>IF($U1244="","",IF(ISNUMBER(INDEX(상세표[시작],$U1244)),TEXT(INDEX(상세표[시작],$U1244),"yyyy-mm-dd hh:mm"),INDEX(상세표[시작],$U1244)&amp;""))</f>
        <v/>
      </c>
      <c r="O1244">
        <f>IF($U1244="","",IF(ISNUMBER(INDEX(상세표[종료],$U1244)),TEXT(INDEX(상세표[종료],$U1244),"yyyy-mm-dd hh:mm"),INDEX(상세표[종료],$U1244)&amp;""))</f>
        <v/>
      </c>
      <c r="P1244" s="20">
        <f>IF($U1244="","",INDEX(상세표[06~07시],$U1244))</f>
        <v/>
      </c>
      <c r="Q1244" s="20">
        <f>IF($U1244="","",INDEX(상세표[07~18시],$U1244))</f>
        <v/>
      </c>
      <c r="R1244" s="20">
        <f>IF($U1244="","",INDEX(상세표[18~22시],$U1244))</f>
        <v/>
      </c>
      <c r="S1244" s="20">
        <f>IF($U1244="","",INDEX(상세표[22~06시],$U1244))</f>
        <v/>
      </c>
      <c r="T1244" s="20">
        <f>IF($U1244="","",INDEX(상세표[기록 시간외],$U1244))</f>
        <v/>
      </c>
      <c r="U1244" s="4">
        <f>IFERROR(MATCH(1239,상세표[발송순번],0),"")</f>
        <v/>
      </c>
    </row>
    <row r="1245">
      <c r="J1245">
        <f>IF($U1245="","",INDEX(상세표[사번],$U1245)&amp;"")</f>
        <v/>
      </c>
      <c r="K1245">
        <f>IF($U1245="","",INDEX(상세표[성명],$U1245)&amp;"")</f>
        <v/>
      </c>
      <c r="L1245">
        <f>IF($U1245="","",INDEX(상세표[직위],$U1245)&amp;"")</f>
        <v/>
      </c>
      <c r="M1245">
        <f>IF($U1245="","",IF(ISNUMBER(INDEX(상세표[근무일자],$U1245)),TEXT(INDEX(상세표[근무일자],$U1245),"yyyy-mm-dd"),INDEX(상세표[근무일자],$U1245)&amp;""))</f>
        <v/>
      </c>
      <c r="N1245">
        <f>IF($U1245="","",IF(ISNUMBER(INDEX(상세표[시작],$U1245)),TEXT(INDEX(상세표[시작],$U1245),"yyyy-mm-dd hh:mm"),INDEX(상세표[시작],$U1245)&amp;""))</f>
        <v/>
      </c>
      <c r="O1245">
        <f>IF($U1245="","",IF(ISNUMBER(INDEX(상세표[종료],$U1245)),TEXT(INDEX(상세표[종료],$U1245),"yyyy-mm-dd hh:mm"),INDEX(상세표[종료],$U1245)&amp;""))</f>
        <v/>
      </c>
      <c r="P1245" s="20">
        <f>IF($U1245="","",INDEX(상세표[06~07시],$U1245))</f>
        <v/>
      </c>
      <c r="Q1245" s="20">
        <f>IF($U1245="","",INDEX(상세표[07~18시],$U1245))</f>
        <v/>
      </c>
      <c r="R1245" s="20">
        <f>IF($U1245="","",INDEX(상세표[18~22시],$U1245))</f>
        <v/>
      </c>
      <c r="S1245" s="20">
        <f>IF($U1245="","",INDEX(상세표[22~06시],$U1245))</f>
        <v/>
      </c>
      <c r="T1245" s="20">
        <f>IF($U1245="","",INDEX(상세표[기록 시간외],$U1245))</f>
        <v/>
      </c>
      <c r="U1245" s="4">
        <f>IFERROR(MATCH(1240,상세표[발송순번],0),"")</f>
        <v/>
      </c>
    </row>
    <row r="1246">
      <c r="J1246">
        <f>IF($U1246="","",INDEX(상세표[사번],$U1246)&amp;"")</f>
        <v/>
      </c>
      <c r="K1246">
        <f>IF($U1246="","",INDEX(상세표[성명],$U1246)&amp;"")</f>
        <v/>
      </c>
      <c r="L1246">
        <f>IF($U1246="","",INDEX(상세표[직위],$U1246)&amp;"")</f>
        <v/>
      </c>
      <c r="M1246">
        <f>IF($U1246="","",IF(ISNUMBER(INDEX(상세표[근무일자],$U1246)),TEXT(INDEX(상세표[근무일자],$U1246),"yyyy-mm-dd"),INDEX(상세표[근무일자],$U1246)&amp;""))</f>
        <v/>
      </c>
      <c r="N1246">
        <f>IF($U1246="","",IF(ISNUMBER(INDEX(상세표[시작],$U1246)),TEXT(INDEX(상세표[시작],$U1246),"yyyy-mm-dd hh:mm"),INDEX(상세표[시작],$U1246)&amp;""))</f>
        <v/>
      </c>
      <c r="O1246">
        <f>IF($U1246="","",IF(ISNUMBER(INDEX(상세표[종료],$U1246)),TEXT(INDEX(상세표[종료],$U1246),"yyyy-mm-dd hh:mm"),INDEX(상세표[종료],$U1246)&amp;""))</f>
        <v/>
      </c>
      <c r="P1246" s="20">
        <f>IF($U1246="","",INDEX(상세표[06~07시],$U1246))</f>
        <v/>
      </c>
      <c r="Q1246" s="20">
        <f>IF($U1246="","",INDEX(상세표[07~18시],$U1246))</f>
        <v/>
      </c>
      <c r="R1246" s="20">
        <f>IF($U1246="","",INDEX(상세표[18~22시],$U1246))</f>
        <v/>
      </c>
      <c r="S1246" s="20">
        <f>IF($U1246="","",INDEX(상세표[22~06시],$U1246))</f>
        <v/>
      </c>
      <c r="T1246" s="20">
        <f>IF($U1246="","",INDEX(상세표[기록 시간외],$U1246))</f>
        <v/>
      </c>
      <c r="U1246" s="4">
        <f>IFERROR(MATCH(1241,상세표[발송순번],0),"")</f>
        <v/>
      </c>
    </row>
    <row r="1247">
      <c r="J1247">
        <f>IF($U1247="","",INDEX(상세표[사번],$U1247)&amp;"")</f>
        <v/>
      </c>
      <c r="K1247">
        <f>IF($U1247="","",INDEX(상세표[성명],$U1247)&amp;"")</f>
        <v/>
      </c>
      <c r="L1247">
        <f>IF($U1247="","",INDEX(상세표[직위],$U1247)&amp;"")</f>
        <v/>
      </c>
      <c r="M1247">
        <f>IF($U1247="","",IF(ISNUMBER(INDEX(상세표[근무일자],$U1247)),TEXT(INDEX(상세표[근무일자],$U1247),"yyyy-mm-dd"),INDEX(상세표[근무일자],$U1247)&amp;""))</f>
        <v/>
      </c>
      <c r="N1247">
        <f>IF($U1247="","",IF(ISNUMBER(INDEX(상세표[시작],$U1247)),TEXT(INDEX(상세표[시작],$U1247),"yyyy-mm-dd hh:mm"),INDEX(상세표[시작],$U1247)&amp;""))</f>
        <v/>
      </c>
      <c r="O1247">
        <f>IF($U1247="","",IF(ISNUMBER(INDEX(상세표[종료],$U1247)),TEXT(INDEX(상세표[종료],$U1247),"yyyy-mm-dd hh:mm"),INDEX(상세표[종료],$U1247)&amp;""))</f>
        <v/>
      </c>
      <c r="P1247" s="20">
        <f>IF($U1247="","",INDEX(상세표[06~07시],$U1247))</f>
        <v/>
      </c>
      <c r="Q1247" s="20">
        <f>IF($U1247="","",INDEX(상세표[07~18시],$U1247))</f>
        <v/>
      </c>
      <c r="R1247" s="20">
        <f>IF($U1247="","",INDEX(상세표[18~22시],$U1247))</f>
        <v/>
      </c>
      <c r="S1247" s="20">
        <f>IF($U1247="","",INDEX(상세표[22~06시],$U1247))</f>
        <v/>
      </c>
      <c r="T1247" s="20">
        <f>IF($U1247="","",INDEX(상세표[기록 시간외],$U1247))</f>
        <v/>
      </c>
      <c r="U1247" s="4">
        <f>IFERROR(MATCH(1242,상세표[발송순번],0),"")</f>
        <v/>
      </c>
    </row>
    <row r="1248">
      <c r="J1248">
        <f>IF($U1248="","",INDEX(상세표[사번],$U1248)&amp;"")</f>
        <v/>
      </c>
      <c r="K1248">
        <f>IF($U1248="","",INDEX(상세표[성명],$U1248)&amp;"")</f>
        <v/>
      </c>
      <c r="L1248">
        <f>IF($U1248="","",INDEX(상세표[직위],$U1248)&amp;"")</f>
        <v/>
      </c>
      <c r="M1248">
        <f>IF($U1248="","",IF(ISNUMBER(INDEX(상세표[근무일자],$U1248)),TEXT(INDEX(상세표[근무일자],$U1248),"yyyy-mm-dd"),INDEX(상세표[근무일자],$U1248)&amp;""))</f>
        <v/>
      </c>
      <c r="N1248">
        <f>IF($U1248="","",IF(ISNUMBER(INDEX(상세표[시작],$U1248)),TEXT(INDEX(상세표[시작],$U1248),"yyyy-mm-dd hh:mm"),INDEX(상세표[시작],$U1248)&amp;""))</f>
        <v/>
      </c>
      <c r="O1248">
        <f>IF($U1248="","",IF(ISNUMBER(INDEX(상세표[종료],$U1248)),TEXT(INDEX(상세표[종료],$U1248),"yyyy-mm-dd hh:mm"),INDEX(상세표[종료],$U1248)&amp;""))</f>
        <v/>
      </c>
      <c r="P1248" s="20">
        <f>IF($U1248="","",INDEX(상세표[06~07시],$U1248))</f>
        <v/>
      </c>
      <c r="Q1248" s="20">
        <f>IF($U1248="","",INDEX(상세표[07~18시],$U1248))</f>
        <v/>
      </c>
      <c r="R1248" s="20">
        <f>IF($U1248="","",INDEX(상세표[18~22시],$U1248))</f>
        <v/>
      </c>
      <c r="S1248" s="20">
        <f>IF($U1248="","",INDEX(상세표[22~06시],$U1248))</f>
        <v/>
      </c>
      <c r="T1248" s="20">
        <f>IF($U1248="","",INDEX(상세표[기록 시간외],$U1248))</f>
        <v/>
      </c>
      <c r="U1248" s="4">
        <f>IFERROR(MATCH(1243,상세표[발송순번],0),"")</f>
        <v/>
      </c>
    </row>
    <row r="1249">
      <c r="J1249">
        <f>IF($U1249="","",INDEX(상세표[사번],$U1249)&amp;"")</f>
        <v/>
      </c>
      <c r="K1249">
        <f>IF($U1249="","",INDEX(상세표[성명],$U1249)&amp;"")</f>
        <v/>
      </c>
      <c r="L1249">
        <f>IF($U1249="","",INDEX(상세표[직위],$U1249)&amp;"")</f>
        <v/>
      </c>
      <c r="M1249">
        <f>IF($U1249="","",IF(ISNUMBER(INDEX(상세표[근무일자],$U1249)),TEXT(INDEX(상세표[근무일자],$U1249),"yyyy-mm-dd"),INDEX(상세표[근무일자],$U1249)&amp;""))</f>
        <v/>
      </c>
      <c r="N1249">
        <f>IF($U1249="","",IF(ISNUMBER(INDEX(상세표[시작],$U1249)),TEXT(INDEX(상세표[시작],$U1249),"yyyy-mm-dd hh:mm"),INDEX(상세표[시작],$U1249)&amp;""))</f>
        <v/>
      </c>
      <c r="O1249">
        <f>IF($U1249="","",IF(ISNUMBER(INDEX(상세표[종료],$U1249)),TEXT(INDEX(상세표[종료],$U1249),"yyyy-mm-dd hh:mm"),INDEX(상세표[종료],$U1249)&amp;""))</f>
        <v/>
      </c>
      <c r="P1249" s="20">
        <f>IF($U1249="","",INDEX(상세표[06~07시],$U1249))</f>
        <v/>
      </c>
      <c r="Q1249" s="20">
        <f>IF($U1249="","",INDEX(상세표[07~18시],$U1249))</f>
        <v/>
      </c>
      <c r="R1249" s="20">
        <f>IF($U1249="","",INDEX(상세표[18~22시],$U1249))</f>
        <v/>
      </c>
      <c r="S1249" s="20">
        <f>IF($U1249="","",INDEX(상세표[22~06시],$U1249))</f>
        <v/>
      </c>
      <c r="T1249" s="20">
        <f>IF($U1249="","",INDEX(상세표[기록 시간외],$U1249))</f>
        <v/>
      </c>
      <c r="U1249" s="4">
        <f>IFERROR(MATCH(1244,상세표[발송순번],0),"")</f>
        <v/>
      </c>
    </row>
    <row r="1250">
      <c r="J1250">
        <f>IF($U1250="","",INDEX(상세표[사번],$U1250)&amp;"")</f>
        <v/>
      </c>
      <c r="K1250">
        <f>IF($U1250="","",INDEX(상세표[성명],$U1250)&amp;"")</f>
        <v/>
      </c>
      <c r="L1250">
        <f>IF($U1250="","",INDEX(상세표[직위],$U1250)&amp;"")</f>
        <v/>
      </c>
      <c r="M1250">
        <f>IF($U1250="","",IF(ISNUMBER(INDEX(상세표[근무일자],$U1250)),TEXT(INDEX(상세표[근무일자],$U1250),"yyyy-mm-dd"),INDEX(상세표[근무일자],$U1250)&amp;""))</f>
        <v/>
      </c>
      <c r="N1250">
        <f>IF($U1250="","",IF(ISNUMBER(INDEX(상세표[시작],$U1250)),TEXT(INDEX(상세표[시작],$U1250),"yyyy-mm-dd hh:mm"),INDEX(상세표[시작],$U1250)&amp;""))</f>
        <v/>
      </c>
      <c r="O1250">
        <f>IF($U1250="","",IF(ISNUMBER(INDEX(상세표[종료],$U1250)),TEXT(INDEX(상세표[종료],$U1250),"yyyy-mm-dd hh:mm"),INDEX(상세표[종료],$U1250)&amp;""))</f>
        <v/>
      </c>
      <c r="P1250" s="20">
        <f>IF($U1250="","",INDEX(상세표[06~07시],$U1250))</f>
        <v/>
      </c>
      <c r="Q1250" s="20">
        <f>IF($U1250="","",INDEX(상세표[07~18시],$U1250))</f>
        <v/>
      </c>
      <c r="R1250" s="20">
        <f>IF($U1250="","",INDEX(상세표[18~22시],$U1250))</f>
        <v/>
      </c>
      <c r="S1250" s="20">
        <f>IF($U1250="","",INDEX(상세표[22~06시],$U1250))</f>
        <v/>
      </c>
      <c r="T1250" s="20">
        <f>IF($U1250="","",INDEX(상세표[기록 시간외],$U1250))</f>
        <v/>
      </c>
      <c r="U1250" s="4">
        <f>IFERROR(MATCH(1245,상세표[발송순번],0),"")</f>
        <v/>
      </c>
    </row>
    <row r="1251">
      <c r="J1251">
        <f>IF($U1251="","",INDEX(상세표[사번],$U1251)&amp;"")</f>
        <v/>
      </c>
      <c r="K1251">
        <f>IF($U1251="","",INDEX(상세표[성명],$U1251)&amp;"")</f>
        <v/>
      </c>
      <c r="L1251">
        <f>IF($U1251="","",INDEX(상세표[직위],$U1251)&amp;"")</f>
        <v/>
      </c>
      <c r="M1251">
        <f>IF($U1251="","",IF(ISNUMBER(INDEX(상세표[근무일자],$U1251)),TEXT(INDEX(상세표[근무일자],$U1251),"yyyy-mm-dd"),INDEX(상세표[근무일자],$U1251)&amp;""))</f>
        <v/>
      </c>
      <c r="N1251">
        <f>IF($U1251="","",IF(ISNUMBER(INDEX(상세표[시작],$U1251)),TEXT(INDEX(상세표[시작],$U1251),"yyyy-mm-dd hh:mm"),INDEX(상세표[시작],$U1251)&amp;""))</f>
        <v/>
      </c>
      <c r="O1251">
        <f>IF($U1251="","",IF(ISNUMBER(INDEX(상세표[종료],$U1251)),TEXT(INDEX(상세표[종료],$U1251),"yyyy-mm-dd hh:mm"),INDEX(상세표[종료],$U1251)&amp;""))</f>
        <v/>
      </c>
      <c r="P1251" s="20">
        <f>IF($U1251="","",INDEX(상세표[06~07시],$U1251))</f>
        <v/>
      </c>
      <c r="Q1251" s="20">
        <f>IF($U1251="","",INDEX(상세표[07~18시],$U1251))</f>
        <v/>
      </c>
      <c r="R1251" s="20">
        <f>IF($U1251="","",INDEX(상세표[18~22시],$U1251))</f>
        <v/>
      </c>
      <c r="S1251" s="20">
        <f>IF($U1251="","",INDEX(상세표[22~06시],$U1251))</f>
        <v/>
      </c>
      <c r="T1251" s="20">
        <f>IF($U1251="","",INDEX(상세표[기록 시간외],$U1251))</f>
        <v/>
      </c>
      <c r="U1251" s="4">
        <f>IFERROR(MATCH(1246,상세표[발송순번],0),"")</f>
        <v/>
      </c>
    </row>
    <row r="1252">
      <c r="J1252">
        <f>IF($U1252="","",INDEX(상세표[사번],$U1252)&amp;"")</f>
        <v/>
      </c>
      <c r="K1252">
        <f>IF($U1252="","",INDEX(상세표[성명],$U1252)&amp;"")</f>
        <v/>
      </c>
      <c r="L1252">
        <f>IF($U1252="","",INDEX(상세표[직위],$U1252)&amp;"")</f>
        <v/>
      </c>
      <c r="M1252">
        <f>IF($U1252="","",IF(ISNUMBER(INDEX(상세표[근무일자],$U1252)),TEXT(INDEX(상세표[근무일자],$U1252),"yyyy-mm-dd"),INDEX(상세표[근무일자],$U1252)&amp;""))</f>
        <v/>
      </c>
      <c r="N1252">
        <f>IF($U1252="","",IF(ISNUMBER(INDEX(상세표[시작],$U1252)),TEXT(INDEX(상세표[시작],$U1252),"yyyy-mm-dd hh:mm"),INDEX(상세표[시작],$U1252)&amp;""))</f>
        <v/>
      </c>
      <c r="O1252">
        <f>IF($U1252="","",IF(ISNUMBER(INDEX(상세표[종료],$U1252)),TEXT(INDEX(상세표[종료],$U1252),"yyyy-mm-dd hh:mm"),INDEX(상세표[종료],$U1252)&amp;""))</f>
        <v/>
      </c>
      <c r="P1252" s="20">
        <f>IF($U1252="","",INDEX(상세표[06~07시],$U1252))</f>
        <v/>
      </c>
      <c r="Q1252" s="20">
        <f>IF($U1252="","",INDEX(상세표[07~18시],$U1252))</f>
        <v/>
      </c>
      <c r="R1252" s="20">
        <f>IF($U1252="","",INDEX(상세표[18~22시],$U1252))</f>
        <v/>
      </c>
      <c r="S1252" s="20">
        <f>IF($U1252="","",INDEX(상세표[22~06시],$U1252))</f>
        <v/>
      </c>
      <c r="T1252" s="20">
        <f>IF($U1252="","",INDEX(상세표[기록 시간외],$U1252))</f>
        <v/>
      </c>
      <c r="U1252" s="4">
        <f>IFERROR(MATCH(1247,상세표[발송순번],0),"")</f>
        <v/>
      </c>
    </row>
    <row r="1253">
      <c r="J1253">
        <f>IF($U1253="","",INDEX(상세표[사번],$U1253)&amp;"")</f>
        <v/>
      </c>
      <c r="K1253">
        <f>IF($U1253="","",INDEX(상세표[성명],$U1253)&amp;"")</f>
        <v/>
      </c>
      <c r="L1253">
        <f>IF($U1253="","",INDEX(상세표[직위],$U1253)&amp;"")</f>
        <v/>
      </c>
      <c r="M1253">
        <f>IF($U1253="","",IF(ISNUMBER(INDEX(상세표[근무일자],$U1253)),TEXT(INDEX(상세표[근무일자],$U1253),"yyyy-mm-dd"),INDEX(상세표[근무일자],$U1253)&amp;""))</f>
        <v/>
      </c>
      <c r="N1253">
        <f>IF($U1253="","",IF(ISNUMBER(INDEX(상세표[시작],$U1253)),TEXT(INDEX(상세표[시작],$U1253),"yyyy-mm-dd hh:mm"),INDEX(상세표[시작],$U1253)&amp;""))</f>
        <v/>
      </c>
      <c r="O1253">
        <f>IF($U1253="","",IF(ISNUMBER(INDEX(상세표[종료],$U1253)),TEXT(INDEX(상세표[종료],$U1253),"yyyy-mm-dd hh:mm"),INDEX(상세표[종료],$U1253)&amp;""))</f>
        <v/>
      </c>
      <c r="P1253" s="20">
        <f>IF($U1253="","",INDEX(상세표[06~07시],$U1253))</f>
        <v/>
      </c>
      <c r="Q1253" s="20">
        <f>IF($U1253="","",INDEX(상세표[07~18시],$U1253))</f>
        <v/>
      </c>
      <c r="R1253" s="20">
        <f>IF($U1253="","",INDEX(상세표[18~22시],$U1253))</f>
        <v/>
      </c>
      <c r="S1253" s="20">
        <f>IF($U1253="","",INDEX(상세표[22~06시],$U1253))</f>
        <v/>
      </c>
      <c r="T1253" s="20">
        <f>IF($U1253="","",INDEX(상세표[기록 시간외],$U1253))</f>
        <v/>
      </c>
      <c r="U1253" s="4">
        <f>IFERROR(MATCH(1248,상세표[발송순번],0),"")</f>
        <v/>
      </c>
    </row>
    <row r="1254">
      <c r="J1254">
        <f>IF($U1254="","",INDEX(상세표[사번],$U1254)&amp;"")</f>
        <v/>
      </c>
      <c r="K1254">
        <f>IF($U1254="","",INDEX(상세표[성명],$U1254)&amp;"")</f>
        <v/>
      </c>
      <c r="L1254">
        <f>IF($U1254="","",INDEX(상세표[직위],$U1254)&amp;"")</f>
        <v/>
      </c>
      <c r="M1254">
        <f>IF($U1254="","",IF(ISNUMBER(INDEX(상세표[근무일자],$U1254)),TEXT(INDEX(상세표[근무일자],$U1254),"yyyy-mm-dd"),INDEX(상세표[근무일자],$U1254)&amp;""))</f>
        <v/>
      </c>
      <c r="N1254">
        <f>IF($U1254="","",IF(ISNUMBER(INDEX(상세표[시작],$U1254)),TEXT(INDEX(상세표[시작],$U1254),"yyyy-mm-dd hh:mm"),INDEX(상세표[시작],$U1254)&amp;""))</f>
        <v/>
      </c>
      <c r="O1254">
        <f>IF($U1254="","",IF(ISNUMBER(INDEX(상세표[종료],$U1254)),TEXT(INDEX(상세표[종료],$U1254),"yyyy-mm-dd hh:mm"),INDEX(상세표[종료],$U1254)&amp;""))</f>
        <v/>
      </c>
      <c r="P1254" s="20">
        <f>IF($U1254="","",INDEX(상세표[06~07시],$U1254))</f>
        <v/>
      </c>
      <c r="Q1254" s="20">
        <f>IF($U1254="","",INDEX(상세표[07~18시],$U1254))</f>
        <v/>
      </c>
      <c r="R1254" s="20">
        <f>IF($U1254="","",INDEX(상세표[18~22시],$U1254))</f>
        <v/>
      </c>
      <c r="S1254" s="20">
        <f>IF($U1254="","",INDEX(상세표[22~06시],$U1254))</f>
        <v/>
      </c>
      <c r="T1254" s="20">
        <f>IF($U1254="","",INDEX(상세표[기록 시간외],$U1254))</f>
        <v/>
      </c>
      <c r="U1254" s="4">
        <f>IFERROR(MATCH(1249,상세표[발송순번],0),"")</f>
        <v/>
      </c>
    </row>
    <row r="1255">
      <c r="J1255">
        <f>IF($U1255="","",INDEX(상세표[사번],$U1255)&amp;"")</f>
        <v/>
      </c>
      <c r="K1255">
        <f>IF($U1255="","",INDEX(상세표[성명],$U1255)&amp;"")</f>
        <v/>
      </c>
      <c r="L1255">
        <f>IF($U1255="","",INDEX(상세표[직위],$U1255)&amp;"")</f>
        <v/>
      </c>
      <c r="M1255">
        <f>IF($U1255="","",IF(ISNUMBER(INDEX(상세표[근무일자],$U1255)),TEXT(INDEX(상세표[근무일자],$U1255),"yyyy-mm-dd"),INDEX(상세표[근무일자],$U1255)&amp;""))</f>
        <v/>
      </c>
      <c r="N1255">
        <f>IF($U1255="","",IF(ISNUMBER(INDEX(상세표[시작],$U1255)),TEXT(INDEX(상세표[시작],$U1255),"yyyy-mm-dd hh:mm"),INDEX(상세표[시작],$U1255)&amp;""))</f>
        <v/>
      </c>
      <c r="O1255">
        <f>IF($U1255="","",IF(ISNUMBER(INDEX(상세표[종료],$U1255)),TEXT(INDEX(상세표[종료],$U1255),"yyyy-mm-dd hh:mm"),INDEX(상세표[종료],$U1255)&amp;""))</f>
        <v/>
      </c>
      <c r="P1255" s="20">
        <f>IF($U1255="","",INDEX(상세표[06~07시],$U1255))</f>
        <v/>
      </c>
      <c r="Q1255" s="20">
        <f>IF($U1255="","",INDEX(상세표[07~18시],$U1255))</f>
        <v/>
      </c>
      <c r="R1255" s="20">
        <f>IF($U1255="","",INDEX(상세표[18~22시],$U1255))</f>
        <v/>
      </c>
      <c r="S1255" s="20">
        <f>IF($U1255="","",INDEX(상세표[22~06시],$U1255))</f>
        <v/>
      </c>
      <c r="T1255" s="20">
        <f>IF($U1255="","",INDEX(상세표[기록 시간외],$U1255))</f>
        <v/>
      </c>
      <c r="U1255" s="4">
        <f>IFERROR(MATCH(1250,상세표[발송순번],0),"")</f>
        <v/>
      </c>
    </row>
    <row r="1256">
      <c r="J1256">
        <f>IF($U1256="","",INDEX(상세표[사번],$U1256)&amp;"")</f>
        <v/>
      </c>
      <c r="K1256">
        <f>IF($U1256="","",INDEX(상세표[성명],$U1256)&amp;"")</f>
        <v/>
      </c>
      <c r="L1256">
        <f>IF($U1256="","",INDEX(상세표[직위],$U1256)&amp;"")</f>
        <v/>
      </c>
      <c r="M1256">
        <f>IF($U1256="","",IF(ISNUMBER(INDEX(상세표[근무일자],$U1256)),TEXT(INDEX(상세표[근무일자],$U1256),"yyyy-mm-dd"),INDEX(상세표[근무일자],$U1256)&amp;""))</f>
        <v/>
      </c>
      <c r="N1256">
        <f>IF($U1256="","",IF(ISNUMBER(INDEX(상세표[시작],$U1256)),TEXT(INDEX(상세표[시작],$U1256),"yyyy-mm-dd hh:mm"),INDEX(상세표[시작],$U1256)&amp;""))</f>
        <v/>
      </c>
      <c r="O1256">
        <f>IF($U1256="","",IF(ISNUMBER(INDEX(상세표[종료],$U1256)),TEXT(INDEX(상세표[종료],$U1256),"yyyy-mm-dd hh:mm"),INDEX(상세표[종료],$U1256)&amp;""))</f>
        <v/>
      </c>
      <c r="P1256" s="20">
        <f>IF($U1256="","",INDEX(상세표[06~07시],$U1256))</f>
        <v/>
      </c>
      <c r="Q1256" s="20">
        <f>IF($U1256="","",INDEX(상세표[07~18시],$U1256))</f>
        <v/>
      </c>
      <c r="R1256" s="20">
        <f>IF($U1256="","",INDEX(상세표[18~22시],$U1256))</f>
        <v/>
      </c>
      <c r="S1256" s="20">
        <f>IF($U1256="","",INDEX(상세표[22~06시],$U1256))</f>
        <v/>
      </c>
      <c r="T1256" s="20">
        <f>IF($U1256="","",INDEX(상세표[기록 시간외],$U1256))</f>
        <v/>
      </c>
      <c r="U1256" s="4">
        <f>IFERROR(MATCH(1251,상세표[발송순번],0),"")</f>
        <v/>
      </c>
    </row>
    <row r="1257">
      <c r="J1257">
        <f>IF($U1257="","",INDEX(상세표[사번],$U1257)&amp;"")</f>
        <v/>
      </c>
      <c r="K1257">
        <f>IF($U1257="","",INDEX(상세표[성명],$U1257)&amp;"")</f>
        <v/>
      </c>
      <c r="L1257">
        <f>IF($U1257="","",INDEX(상세표[직위],$U1257)&amp;"")</f>
        <v/>
      </c>
      <c r="M1257">
        <f>IF($U1257="","",IF(ISNUMBER(INDEX(상세표[근무일자],$U1257)),TEXT(INDEX(상세표[근무일자],$U1257),"yyyy-mm-dd"),INDEX(상세표[근무일자],$U1257)&amp;""))</f>
        <v/>
      </c>
      <c r="N1257">
        <f>IF($U1257="","",IF(ISNUMBER(INDEX(상세표[시작],$U1257)),TEXT(INDEX(상세표[시작],$U1257),"yyyy-mm-dd hh:mm"),INDEX(상세표[시작],$U1257)&amp;""))</f>
        <v/>
      </c>
      <c r="O1257">
        <f>IF($U1257="","",IF(ISNUMBER(INDEX(상세표[종료],$U1257)),TEXT(INDEX(상세표[종료],$U1257),"yyyy-mm-dd hh:mm"),INDEX(상세표[종료],$U1257)&amp;""))</f>
        <v/>
      </c>
      <c r="P1257" s="20">
        <f>IF($U1257="","",INDEX(상세표[06~07시],$U1257))</f>
        <v/>
      </c>
      <c r="Q1257" s="20">
        <f>IF($U1257="","",INDEX(상세표[07~18시],$U1257))</f>
        <v/>
      </c>
      <c r="R1257" s="20">
        <f>IF($U1257="","",INDEX(상세표[18~22시],$U1257))</f>
        <v/>
      </c>
      <c r="S1257" s="20">
        <f>IF($U1257="","",INDEX(상세표[22~06시],$U1257))</f>
        <v/>
      </c>
      <c r="T1257" s="20">
        <f>IF($U1257="","",INDEX(상세표[기록 시간외],$U1257))</f>
        <v/>
      </c>
      <c r="U1257" s="4">
        <f>IFERROR(MATCH(1252,상세표[발송순번],0),"")</f>
        <v/>
      </c>
    </row>
    <row r="1258">
      <c r="J1258">
        <f>IF($U1258="","",INDEX(상세표[사번],$U1258)&amp;"")</f>
        <v/>
      </c>
      <c r="K1258">
        <f>IF($U1258="","",INDEX(상세표[성명],$U1258)&amp;"")</f>
        <v/>
      </c>
      <c r="L1258">
        <f>IF($U1258="","",INDEX(상세표[직위],$U1258)&amp;"")</f>
        <v/>
      </c>
      <c r="M1258">
        <f>IF($U1258="","",IF(ISNUMBER(INDEX(상세표[근무일자],$U1258)),TEXT(INDEX(상세표[근무일자],$U1258),"yyyy-mm-dd"),INDEX(상세표[근무일자],$U1258)&amp;""))</f>
        <v/>
      </c>
      <c r="N1258">
        <f>IF($U1258="","",IF(ISNUMBER(INDEX(상세표[시작],$U1258)),TEXT(INDEX(상세표[시작],$U1258),"yyyy-mm-dd hh:mm"),INDEX(상세표[시작],$U1258)&amp;""))</f>
        <v/>
      </c>
      <c r="O1258">
        <f>IF($U1258="","",IF(ISNUMBER(INDEX(상세표[종료],$U1258)),TEXT(INDEX(상세표[종료],$U1258),"yyyy-mm-dd hh:mm"),INDEX(상세표[종료],$U1258)&amp;""))</f>
        <v/>
      </c>
      <c r="P1258" s="20">
        <f>IF($U1258="","",INDEX(상세표[06~07시],$U1258))</f>
        <v/>
      </c>
      <c r="Q1258" s="20">
        <f>IF($U1258="","",INDEX(상세표[07~18시],$U1258))</f>
        <v/>
      </c>
      <c r="R1258" s="20">
        <f>IF($U1258="","",INDEX(상세표[18~22시],$U1258))</f>
        <v/>
      </c>
      <c r="S1258" s="20">
        <f>IF($U1258="","",INDEX(상세표[22~06시],$U1258))</f>
        <v/>
      </c>
      <c r="T1258" s="20">
        <f>IF($U1258="","",INDEX(상세표[기록 시간외],$U1258))</f>
        <v/>
      </c>
      <c r="U1258" s="4">
        <f>IFERROR(MATCH(1253,상세표[발송순번],0),"")</f>
        <v/>
      </c>
    </row>
    <row r="1259">
      <c r="J1259">
        <f>IF($U1259="","",INDEX(상세표[사번],$U1259)&amp;"")</f>
        <v/>
      </c>
      <c r="K1259">
        <f>IF($U1259="","",INDEX(상세표[성명],$U1259)&amp;"")</f>
        <v/>
      </c>
      <c r="L1259">
        <f>IF($U1259="","",INDEX(상세표[직위],$U1259)&amp;"")</f>
        <v/>
      </c>
      <c r="M1259">
        <f>IF($U1259="","",IF(ISNUMBER(INDEX(상세표[근무일자],$U1259)),TEXT(INDEX(상세표[근무일자],$U1259),"yyyy-mm-dd"),INDEX(상세표[근무일자],$U1259)&amp;""))</f>
        <v/>
      </c>
      <c r="N1259">
        <f>IF($U1259="","",IF(ISNUMBER(INDEX(상세표[시작],$U1259)),TEXT(INDEX(상세표[시작],$U1259),"yyyy-mm-dd hh:mm"),INDEX(상세표[시작],$U1259)&amp;""))</f>
        <v/>
      </c>
      <c r="O1259">
        <f>IF($U1259="","",IF(ISNUMBER(INDEX(상세표[종료],$U1259)),TEXT(INDEX(상세표[종료],$U1259),"yyyy-mm-dd hh:mm"),INDEX(상세표[종료],$U1259)&amp;""))</f>
        <v/>
      </c>
      <c r="P1259" s="20">
        <f>IF($U1259="","",INDEX(상세표[06~07시],$U1259))</f>
        <v/>
      </c>
      <c r="Q1259" s="20">
        <f>IF($U1259="","",INDEX(상세표[07~18시],$U1259))</f>
        <v/>
      </c>
      <c r="R1259" s="20">
        <f>IF($U1259="","",INDEX(상세표[18~22시],$U1259))</f>
        <v/>
      </c>
      <c r="S1259" s="20">
        <f>IF($U1259="","",INDEX(상세표[22~06시],$U1259))</f>
        <v/>
      </c>
      <c r="T1259" s="20">
        <f>IF($U1259="","",INDEX(상세표[기록 시간외],$U1259))</f>
        <v/>
      </c>
      <c r="U1259" s="4">
        <f>IFERROR(MATCH(1254,상세표[발송순번],0),"")</f>
        <v/>
      </c>
    </row>
    <row r="1260">
      <c r="J1260">
        <f>IF($U1260="","",INDEX(상세표[사번],$U1260)&amp;"")</f>
        <v/>
      </c>
      <c r="K1260">
        <f>IF($U1260="","",INDEX(상세표[성명],$U1260)&amp;"")</f>
        <v/>
      </c>
      <c r="L1260">
        <f>IF($U1260="","",INDEX(상세표[직위],$U1260)&amp;"")</f>
        <v/>
      </c>
      <c r="M1260">
        <f>IF($U1260="","",IF(ISNUMBER(INDEX(상세표[근무일자],$U1260)),TEXT(INDEX(상세표[근무일자],$U1260),"yyyy-mm-dd"),INDEX(상세표[근무일자],$U1260)&amp;""))</f>
        <v/>
      </c>
      <c r="N1260">
        <f>IF($U1260="","",IF(ISNUMBER(INDEX(상세표[시작],$U1260)),TEXT(INDEX(상세표[시작],$U1260),"yyyy-mm-dd hh:mm"),INDEX(상세표[시작],$U1260)&amp;""))</f>
        <v/>
      </c>
      <c r="O1260">
        <f>IF($U1260="","",IF(ISNUMBER(INDEX(상세표[종료],$U1260)),TEXT(INDEX(상세표[종료],$U1260),"yyyy-mm-dd hh:mm"),INDEX(상세표[종료],$U1260)&amp;""))</f>
        <v/>
      </c>
      <c r="P1260" s="20">
        <f>IF($U1260="","",INDEX(상세표[06~07시],$U1260))</f>
        <v/>
      </c>
      <c r="Q1260" s="20">
        <f>IF($U1260="","",INDEX(상세표[07~18시],$U1260))</f>
        <v/>
      </c>
      <c r="R1260" s="20">
        <f>IF($U1260="","",INDEX(상세표[18~22시],$U1260))</f>
        <v/>
      </c>
      <c r="S1260" s="20">
        <f>IF($U1260="","",INDEX(상세표[22~06시],$U1260))</f>
        <v/>
      </c>
      <c r="T1260" s="20">
        <f>IF($U1260="","",INDEX(상세표[기록 시간외],$U1260))</f>
        <v/>
      </c>
      <c r="U1260" s="4">
        <f>IFERROR(MATCH(1255,상세표[발송순번],0),"")</f>
        <v/>
      </c>
    </row>
    <row r="1261">
      <c r="J1261">
        <f>IF($U1261="","",INDEX(상세표[사번],$U1261)&amp;"")</f>
        <v/>
      </c>
      <c r="K1261">
        <f>IF($U1261="","",INDEX(상세표[성명],$U1261)&amp;"")</f>
        <v/>
      </c>
      <c r="L1261">
        <f>IF($U1261="","",INDEX(상세표[직위],$U1261)&amp;"")</f>
        <v/>
      </c>
      <c r="M1261">
        <f>IF($U1261="","",IF(ISNUMBER(INDEX(상세표[근무일자],$U1261)),TEXT(INDEX(상세표[근무일자],$U1261),"yyyy-mm-dd"),INDEX(상세표[근무일자],$U1261)&amp;""))</f>
        <v/>
      </c>
      <c r="N1261">
        <f>IF($U1261="","",IF(ISNUMBER(INDEX(상세표[시작],$U1261)),TEXT(INDEX(상세표[시작],$U1261),"yyyy-mm-dd hh:mm"),INDEX(상세표[시작],$U1261)&amp;""))</f>
        <v/>
      </c>
      <c r="O1261">
        <f>IF($U1261="","",IF(ISNUMBER(INDEX(상세표[종료],$U1261)),TEXT(INDEX(상세표[종료],$U1261),"yyyy-mm-dd hh:mm"),INDEX(상세표[종료],$U1261)&amp;""))</f>
        <v/>
      </c>
      <c r="P1261" s="20">
        <f>IF($U1261="","",INDEX(상세표[06~07시],$U1261))</f>
        <v/>
      </c>
      <c r="Q1261" s="20">
        <f>IF($U1261="","",INDEX(상세표[07~18시],$U1261))</f>
        <v/>
      </c>
      <c r="R1261" s="20">
        <f>IF($U1261="","",INDEX(상세표[18~22시],$U1261))</f>
        <v/>
      </c>
      <c r="S1261" s="20">
        <f>IF($U1261="","",INDEX(상세표[22~06시],$U1261))</f>
        <v/>
      </c>
      <c r="T1261" s="20">
        <f>IF($U1261="","",INDEX(상세표[기록 시간외],$U1261))</f>
        <v/>
      </c>
      <c r="U1261" s="4">
        <f>IFERROR(MATCH(1256,상세표[발송순번],0),"")</f>
        <v/>
      </c>
    </row>
    <row r="1262">
      <c r="J1262">
        <f>IF($U1262="","",INDEX(상세표[사번],$U1262)&amp;"")</f>
        <v/>
      </c>
      <c r="K1262">
        <f>IF($U1262="","",INDEX(상세표[성명],$U1262)&amp;"")</f>
        <v/>
      </c>
      <c r="L1262">
        <f>IF($U1262="","",INDEX(상세표[직위],$U1262)&amp;"")</f>
        <v/>
      </c>
      <c r="M1262">
        <f>IF($U1262="","",IF(ISNUMBER(INDEX(상세표[근무일자],$U1262)),TEXT(INDEX(상세표[근무일자],$U1262),"yyyy-mm-dd"),INDEX(상세표[근무일자],$U1262)&amp;""))</f>
        <v/>
      </c>
      <c r="N1262">
        <f>IF($U1262="","",IF(ISNUMBER(INDEX(상세표[시작],$U1262)),TEXT(INDEX(상세표[시작],$U1262),"yyyy-mm-dd hh:mm"),INDEX(상세표[시작],$U1262)&amp;""))</f>
        <v/>
      </c>
      <c r="O1262">
        <f>IF($U1262="","",IF(ISNUMBER(INDEX(상세표[종료],$U1262)),TEXT(INDEX(상세표[종료],$U1262),"yyyy-mm-dd hh:mm"),INDEX(상세표[종료],$U1262)&amp;""))</f>
        <v/>
      </c>
      <c r="P1262" s="20">
        <f>IF($U1262="","",INDEX(상세표[06~07시],$U1262))</f>
        <v/>
      </c>
      <c r="Q1262" s="20">
        <f>IF($U1262="","",INDEX(상세표[07~18시],$U1262))</f>
        <v/>
      </c>
      <c r="R1262" s="20">
        <f>IF($U1262="","",INDEX(상세표[18~22시],$U1262))</f>
        <v/>
      </c>
      <c r="S1262" s="20">
        <f>IF($U1262="","",INDEX(상세표[22~06시],$U1262))</f>
        <v/>
      </c>
      <c r="T1262" s="20">
        <f>IF($U1262="","",INDEX(상세표[기록 시간외],$U1262))</f>
        <v/>
      </c>
      <c r="U1262" s="4">
        <f>IFERROR(MATCH(1257,상세표[발송순번],0),"")</f>
        <v/>
      </c>
    </row>
    <row r="1263">
      <c r="J1263">
        <f>IF($U1263="","",INDEX(상세표[사번],$U1263)&amp;"")</f>
        <v/>
      </c>
      <c r="K1263">
        <f>IF($U1263="","",INDEX(상세표[성명],$U1263)&amp;"")</f>
        <v/>
      </c>
      <c r="L1263">
        <f>IF($U1263="","",INDEX(상세표[직위],$U1263)&amp;"")</f>
        <v/>
      </c>
      <c r="M1263">
        <f>IF($U1263="","",IF(ISNUMBER(INDEX(상세표[근무일자],$U1263)),TEXT(INDEX(상세표[근무일자],$U1263),"yyyy-mm-dd"),INDEX(상세표[근무일자],$U1263)&amp;""))</f>
        <v/>
      </c>
      <c r="N1263">
        <f>IF($U1263="","",IF(ISNUMBER(INDEX(상세표[시작],$U1263)),TEXT(INDEX(상세표[시작],$U1263),"yyyy-mm-dd hh:mm"),INDEX(상세표[시작],$U1263)&amp;""))</f>
        <v/>
      </c>
      <c r="O1263">
        <f>IF($U1263="","",IF(ISNUMBER(INDEX(상세표[종료],$U1263)),TEXT(INDEX(상세표[종료],$U1263),"yyyy-mm-dd hh:mm"),INDEX(상세표[종료],$U1263)&amp;""))</f>
        <v/>
      </c>
      <c r="P1263" s="20">
        <f>IF($U1263="","",INDEX(상세표[06~07시],$U1263))</f>
        <v/>
      </c>
      <c r="Q1263" s="20">
        <f>IF($U1263="","",INDEX(상세표[07~18시],$U1263))</f>
        <v/>
      </c>
      <c r="R1263" s="20">
        <f>IF($U1263="","",INDEX(상세표[18~22시],$U1263))</f>
        <v/>
      </c>
      <c r="S1263" s="20">
        <f>IF($U1263="","",INDEX(상세표[22~06시],$U1263))</f>
        <v/>
      </c>
      <c r="T1263" s="20">
        <f>IF($U1263="","",INDEX(상세표[기록 시간외],$U1263))</f>
        <v/>
      </c>
      <c r="U1263" s="4">
        <f>IFERROR(MATCH(1258,상세표[발송순번],0),"")</f>
        <v/>
      </c>
    </row>
    <row r="1264">
      <c r="J1264">
        <f>IF($U1264="","",INDEX(상세표[사번],$U1264)&amp;"")</f>
        <v/>
      </c>
      <c r="K1264">
        <f>IF($U1264="","",INDEX(상세표[성명],$U1264)&amp;"")</f>
        <v/>
      </c>
      <c r="L1264">
        <f>IF($U1264="","",INDEX(상세표[직위],$U1264)&amp;"")</f>
        <v/>
      </c>
      <c r="M1264">
        <f>IF($U1264="","",IF(ISNUMBER(INDEX(상세표[근무일자],$U1264)),TEXT(INDEX(상세표[근무일자],$U1264),"yyyy-mm-dd"),INDEX(상세표[근무일자],$U1264)&amp;""))</f>
        <v/>
      </c>
      <c r="N1264">
        <f>IF($U1264="","",IF(ISNUMBER(INDEX(상세표[시작],$U1264)),TEXT(INDEX(상세표[시작],$U1264),"yyyy-mm-dd hh:mm"),INDEX(상세표[시작],$U1264)&amp;""))</f>
        <v/>
      </c>
      <c r="O1264">
        <f>IF($U1264="","",IF(ISNUMBER(INDEX(상세표[종료],$U1264)),TEXT(INDEX(상세표[종료],$U1264),"yyyy-mm-dd hh:mm"),INDEX(상세표[종료],$U1264)&amp;""))</f>
        <v/>
      </c>
      <c r="P1264" s="20">
        <f>IF($U1264="","",INDEX(상세표[06~07시],$U1264))</f>
        <v/>
      </c>
      <c r="Q1264" s="20">
        <f>IF($U1264="","",INDEX(상세표[07~18시],$U1264))</f>
        <v/>
      </c>
      <c r="R1264" s="20">
        <f>IF($U1264="","",INDEX(상세표[18~22시],$U1264))</f>
        <v/>
      </c>
      <c r="S1264" s="20">
        <f>IF($U1264="","",INDEX(상세표[22~06시],$U1264))</f>
        <v/>
      </c>
      <c r="T1264" s="20">
        <f>IF($U1264="","",INDEX(상세표[기록 시간외],$U1264))</f>
        <v/>
      </c>
      <c r="U1264" s="4">
        <f>IFERROR(MATCH(1259,상세표[발송순번],0),"")</f>
        <v/>
      </c>
    </row>
    <row r="1265">
      <c r="J1265">
        <f>IF($U1265="","",INDEX(상세표[사번],$U1265)&amp;"")</f>
        <v/>
      </c>
      <c r="K1265">
        <f>IF($U1265="","",INDEX(상세표[성명],$U1265)&amp;"")</f>
        <v/>
      </c>
      <c r="L1265">
        <f>IF($U1265="","",INDEX(상세표[직위],$U1265)&amp;"")</f>
        <v/>
      </c>
      <c r="M1265">
        <f>IF($U1265="","",IF(ISNUMBER(INDEX(상세표[근무일자],$U1265)),TEXT(INDEX(상세표[근무일자],$U1265),"yyyy-mm-dd"),INDEX(상세표[근무일자],$U1265)&amp;""))</f>
        <v/>
      </c>
      <c r="N1265">
        <f>IF($U1265="","",IF(ISNUMBER(INDEX(상세표[시작],$U1265)),TEXT(INDEX(상세표[시작],$U1265),"yyyy-mm-dd hh:mm"),INDEX(상세표[시작],$U1265)&amp;""))</f>
        <v/>
      </c>
      <c r="O1265">
        <f>IF($U1265="","",IF(ISNUMBER(INDEX(상세표[종료],$U1265)),TEXT(INDEX(상세표[종료],$U1265),"yyyy-mm-dd hh:mm"),INDEX(상세표[종료],$U1265)&amp;""))</f>
        <v/>
      </c>
      <c r="P1265" s="20">
        <f>IF($U1265="","",INDEX(상세표[06~07시],$U1265))</f>
        <v/>
      </c>
      <c r="Q1265" s="20">
        <f>IF($U1265="","",INDEX(상세표[07~18시],$U1265))</f>
        <v/>
      </c>
      <c r="R1265" s="20">
        <f>IF($U1265="","",INDEX(상세표[18~22시],$U1265))</f>
        <v/>
      </c>
      <c r="S1265" s="20">
        <f>IF($U1265="","",INDEX(상세표[22~06시],$U1265))</f>
        <v/>
      </c>
      <c r="T1265" s="20">
        <f>IF($U1265="","",INDEX(상세표[기록 시간외],$U1265))</f>
        <v/>
      </c>
      <c r="U1265" s="4">
        <f>IFERROR(MATCH(1260,상세표[발송순번],0),"")</f>
        <v/>
      </c>
    </row>
    <row r="1266">
      <c r="J1266">
        <f>IF($U1266="","",INDEX(상세표[사번],$U1266)&amp;"")</f>
        <v/>
      </c>
      <c r="K1266">
        <f>IF($U1266="","",INDEX(상세표[성명],$U1266)&amp;"")</f>
        <v/>
      </c>
      <c r="L1266">
        <f>IF($U1266="","",INDEX(상세표[직위],$U1266)&amp;"")</f>
        <v/>
      </c>
      <c r="M1266">
        <f>IF($U1266="","",IF(ISNUMBER(INDEX(상세표[근무일자],$U1266)),TEXT(INDEX(상세표[근무일자],$U1266),"yyyy-mm-dd"),INDEX(상세표[근무일자],$U1266)&amp;""))</f>
        <v/>
      </c>
      <c r="N1266">
        <f>IF($U1266="","",IF(ISNUMBER(INDEX(상세표[시작],$U1266)),TEXT(INDEX(상세표[시작],$U1266),"yyyy-mm-dd hh:mm"),INDEX(상세표[시작],$U1266)&amp;""))</f>
        <v/>
      </c>
      <c r="O1266">
        <f>IF($U1266="","",IF(ISNUMBER(INDEX(상세표[종료],$U1266)),TEXT(INDEX(상세표[종료],$U1266),"yyyy-mm-dd hh:mm"),INDEX(상세표[종료],$U1266)&amp;""))</f>
        <v/>
      </c>
      <c r="P1266" s="20">
        <f>IF($U1266="","",INDEX(상세표[06~07시],$U1266))</f>
        <v/>
      </c>
      <c r="Q1266" s="20">
        <f>IF($U1266="","",INDEX(상세표[07~18시],$U1266))</f>
        <v/>
      </c>
      <c r="R1266" s="20">
        <f>IF($U1266="","",INDEX(상세표[18~22시],$U1266))</f>
        <v/>
      </c>
      <c r="S1266" s="20">
        <f>IF($U1266="","",INDEX(상세표[22~06시],$U1266))</f>
        <v/>
      </c>
      <c r="T1266" s="20">
        <f>IF($U1266="","",INDEX(상세표[기록 시간외],$U1266))</f>
        <v/>
      </c>
      <c r="U1266" s="4">
        <f>IFERROR(MATCH(1261,상세표[발송순번],0),"")</f>
        <v/>
      </c>
    </row>
    <row r="1267">
      <c r="J1267">
        <f>IF($U1267="","",INDEX(상세표[사번],$U1267)&amp;"")</f>
        <v/>
      </c>
      <c r="K1267">
        <f>IF($U1267="","",INDEX(상세표[성명],$U1267)&amp;"")</f>
        <v/>
      </c>
      <c r="L1267">
        <f>IF($U1267="","",INDEX(상세표[직위],$U1267)&amp;"")</f>
        <v/>
      </c>
      <c r="M1267">
        <f>IF($U1267="","",IF(ISNUMBER(INDEX(상세표[근무일자],$U1267)),TEXT(INDEX(상세표[근무일자],$U1267),"yyyy-mm-dd"),INDEX(상세표[근무일자],$U1267)&amp;""))</f>
        <v/>
      </c>
      <c r="N1267">
        <f>IF($U1267="","",IF(ISNUMBER(INDEX(상세표[시작],$U1267)),TEXT(INDEX(상세표[시작],$U1267),"yyyy-mm-dd hh:mm"),INDEX(상세표[시작],$U1267)&amp;""))</f>
        <v/>
      </c>
      <c r="O1267">
        <f>IF($U1267="","",IF(ISNUMBER(INDEX(상세표[종료],$U1267)),TEXT(INDEX(상세표[종료],$U1267),"yyyy-mm-dd hh:mm"),INDEX(상세표[종료],$U1267)&amp;""))</f>
        <v/>
      </c>
      <c r="P1267" s="20">
        <f>IF($U1267="","",INDEX(상세표[06~07시],$U1267))</f>
        <v/>
      </c>
      <c r="Q1267" s="20">
        <f>IF($U1267="","",INDEX(상세표[07~18시],$U1267))</f>
        <v/>
      </c>
      <c r="R1267" s="20">
        <f>IF($U1267="","",INDEX(상세표[18~22시],$U1267))</f>
        <v/>
      </c>
      <c r="S1267" s="20">
        <f>IF($U1267="","",INDEX(상세표[22~06시],$U1267))</f>
        <v/>
      </c>
      <c r="T1267" s="20">
        <f>IF($U1267="","",INDEX(상세표[기록 시간외],$U1267))</f>
        <v/>
      </c>
      <c r="U1267" s="4">
        <f>IFERROR(MATCH(1262,상세표[발송순번],0),"")</f>
        <v/>
      </c>
    </row>
    <row r="1268">
      <c r="J1268">
        <f>IF($U1268="","",INDEX(상세표[사번],$U1268)&amp;"")</f>
        <v/>
      </c>
      <c r="K1268">
        <f>IF($U1268="","",INDEX(상세표[성명],$U1268)&amp;"")</f>
        <v/>
      </c>
      <c r="L1268">
        <f>IF($U1268="","",INDEX(상세표[직위],$U1268)&amp;"")</f>
        <v/>
      </c>
      <c r="M1268">
        <f>IF($U1268="","",IF(ISNUMBER(INDEX(상세표[근무일자],$U1268)),TEXT(INDEX(상세표[근무일자],$U1268),"yyyy-mm-dd"),INDEX(상세표[근무일자],$U1268)&amp;""))</f>
        <v/>
      </c>
      <c r="N1268">
        <f>IF($U1268="","",IF(ISNUMBER(INDEX(상세표[시작],$U1268)),TEXT(INDEX(상세표[시작],$U1268),"yyyy-mm-dd hh:mm"),INDEX(상세표[시작],$U1268)&amp;""))</f>
        <v/>
      </c>
      <c r="O1268">
        <f>IF($U1268="","",IF(ISNUMBER(INDEX(상세표[종료],$U1268)),TEXT(INDEX(상세표[종료],$U1268),"yyyy-mm-dd hh:mm"),INDEX(상세표[종료],$U1268)&amp;""))</f>
        <v/>
      </c>
      <c r="P1268" s="20">
        <f>IF($U1268="","",INDEX(상세표[06~07시],$U1268))</f>
        <v/>
      </c>
      <c r="Q1268" s="20">
        <f>IF($U1268="","",INDEX(상세표[07~18시],$U1268))</f>
        <v/>
      </c>
      <c r="R1268" s="20">
        <f>IF($U1268="","",INDEX(상세표[18~22시],$U1268))</f>
        <v/>
      </c>
      <c r="S1268" s="20">
        <f>IF($U1268="","",INDEX(상세표[22~06시],$U1268))</f>
        <v/>
      </c>
      <c r="T1268" s="20">
        <f>IF($U1268="","",INDEX(상세표[기록 시간외],$U1268))</f>
        <v/>
      </c>
      <c r="U1268" s="4">
        <f>IFERROR(MATCH(1263,상세표[발송순번],0),"")</f>
        <v/>
      </c>
    </row>
    <row r="1269">
      <c r="J1269">
        <f>IF($U1269="","",INDEX(상세표[사번],$U1269)&amp;"")</f>
        <v/>
      </c>
      <c r="K1269">
        <f>IF($U1269="","",INDEX(상세표[성명],$U1269)&amp;"")</f>
        <v/>
      </c>
      <c r="L1269">
        <f>IF($U1269="","",INDEX(상세표[직위],$U1269)&amp;"")</f>
        <v/>
      </c>
      <c r="M1269">
        <f>IF($U1269="","",IF(ISNUMBER(INDEX(상세표[근무일자],$U1269)),TEXT(INDEX(상세표[근무일자],$U1269),"yyyy-mm-dd"),INDEX(상세표[근무일자],$U1269)&amp;""))</f>
        <v/>
      </c>
      <c r="N1269">
        <f>IF($U1269="","",IF(ISNUMBER(INDEX(상세표[시작],$U1269)),TEXT(INDEX(상세표[시작],$U1269),"yyyy-mm-dd hh:mm"),INDEX(상세표[시작],$U1269)&amp;""))</f>
        <v/>
      </c>
      <c r="O1269">
        <f>IF($U1269="","",IF(ISNUMBER(INDEX(상세표[종료],$U1269)),TEXT(INDEX(상세표[종료],$U1269),"yyyy-mm-dd hh:mm"),INDEX(상세표[종료],$U1269)&amp;""))</f>
        <v/>
      </c>
      <c r="P1269" s="20">
        <f>IF($U1269="","",INDEX(상세표[06~07시],$U1269))</f>
        <v/>
      </c>
      <c r="Q1269" s="20">
        <f>IF($U1269="","",INDEX(상세표[07~18시],$U1269))</f>
        <v/>
      </c>
      <c r="R1269" s="20">
        <f>IF($U1269="","",INDEX(상세표[18~22시],$U1269))</f>
        <v/>
      </c>
      <c r="S1269" s="20">
        <f>IF($U1269="","",INDEX(상세표[22~06시],$U1269))</f>
        <v/>
      </c>
      <c r="T1269" s="20">
        <f>IF($U1269="","",INDEX(상세표[기록 시간외],$U1269))</f>
        <v/>
      </c>
      <c r="U1269" s="4">
        <f>IFERROR(MATCH(1264,상세표[발송순번],0),"")</f>
        <v/>
      </c>
    </row>
    <row r="1270">
      <c r="J1270">
        <f>IF($U1270="","",INDEX(상세표[사번],$U1270)&amp;"")</f>
        <v/>
      </c>
      <c r="K1270">
        <f>IF($U1270="","",INDEX(상세표[성명],$U1270)&amp;"")</f>
        <v/>
      </c>
      <c r="L1270">
        <f>IF($U1270="","",INDEX(상세표[직위],$U1270)&amp;"")</f>
        <v/>
      </c>
      <c r="M1270">
        <f>IF($U1270="","",IF(ISNUMBER(INDEX(상세표[근무일자],$U1270)),TEXT(INDEX(상세표[근무일자],$U1270),"yyyy-mm-dd"),INDEX(상세표[근무일자],$U1270)&amp;""))</f>
        <v/>
      </c>
      <c r="N1270">
        <f>IF($U1270="","",IF(ISNUMBER(INDEX(상세표[시작],$U1270)),TEXT(INDEX(상세표[시작],$U1270),"yyyy-mm-dd hh:mm"),INDEX(상세표[시작],$U1270)&amp;""))</f>
        <v/>
      </c>
      <c r="O1270">
        <f>IF($U1270="","",IF(ISNUMBER(INDEX(상세표[종료],$U1270)),TEXT(INDEX(상세표[종료],$U1270),"yyyy-mm-dd hh:mm"),INDEX(상세표[종료],$U1270)&amp;""))</f>
        <v/>
      </c>
      <c r="P1270" s="20">
        <f>IF($U1270="","",INDEX(상세표[06~07시],$U1270))</f>
        <v/>
      </c>
      <c r="Q1270" s="20">
        <f>IF($U1270="","",INDEX(상세표[07~18시],$U1270))</f>
        <v/>
      </c>
      <c r="R1270" s="20">
        <f>IF($U1270="","",INDEX(상세표[18~22시],$U1270))</f>
        <v/>
      </c>
      <c r="S1270" s="20">
        <f>IF($U1270="","",INDEX(상세표[22~06시],$U1270))</f>
        <v/>
      </c>
      <c r="T1270" s="20">
        <f>IF($U1270="","",INDEX(상세표[기록 시간외],$U1270))</f>
        <v/>
      </c>
      <c r="U1270" s="4">
        <f>IFERROR(MATCH(1265,상세표[발송순번],0),"")</f>
        <v/>
      </c>
    </row>
    <row r="1271">
      <c r="J1271">
        <f>IF($U1271="","",INDEX(상세표[사번],$U1271)&amp;"")</f>
        <v/>
      </c>
      <c r="K1271">
        <f>IF($U1271="","",INDEX(상세표[성명],$U1271)&amp;"")</f>
        <v/>
      </c>
      <c r="L1271">
        <f>IF($U1271="","",INDEX(상세표[직위],$U1271)&amp;"")</f>
        <v/>
      </c>
      <c r="M1271">
        <f>IF($U1271="","",IF(ISNUMBER(INDEX(상세표[근무일자],$U1271)),TEXT(INDEX(상세표[근무일자],$U1271),"yyyy-mm-dd"),INDEX(상세표[근무일자],$U1271)&amp;""))</f>
        <v/>
      </c>
      <c r="N1271">
        <f>IF($U1271="","",IF(ISNUMBER(INDEX(상세표[시작],$U1271)),TEXT(INDEX(상세표[시작],$U1271),"yyyy-mm-dd hh:mm"),INDEX(상세표[시작],$U1271)&amp;""))</f>
        <v/>
      </c>
      <c r="O1271">
        <f>IF($U1271="","",IF(ISNUMBER(INDEX(상세표[종료],$U1271)),TEXT(INDEX(상세표[종료],$U1271),"yyyy-mm-dd hh:mm"),INDEX(상세표[종료],$U1271)&amp;""))</f>
        <v/>
      </c>
      <c r="P1271" s="20">
        <f>IF($U1271="","",INDEX(상세표[06~07시],$U1271))</f>
        <v/>
      </c>
      <c r="Q1271" s="20">
        <f>IF($U1271="","",INDEX(상세표[07~18시],$U1271))</f>
        <v/>
      </c>
      <c r="R1271" s="20">
        <f>IF($U1271="","",INDEX(상세표[18~22시],$U1271))</f>
        <v/>
      </c>
      <c r="S1271" s="20">
        <f>IF($U1271="","",INDEX(상세표[22~06시],$U1271))</f>
        <v/>
      </c>
      <c r="T1271" s="20">
        <f>IF($U1271="","",INDEX(상세표[기록 시간외],$U1271))</f>
        <v/>
      </c>
      <c r="U1271" s="4">
        <f>IFERROR(MATCH(1266,상세표[발송순번],0),"")</f>
        <v/>
      </c>
    </row>
    <row r="1272">
      <c r="J1272">
        <f>IF($U1272="","",INDEX(상세표[사번],$U1272)&amp;"")</f>
        <v/>
      </c>
      <c r="K1272">
        <f>IF($U1272="","",INDEX(상세표[성명],$U1272)&amp;"")</f>
        <v/>
      </c>
      <c r="L1272">
        <f>IF($U1272="","",INDEX(상세표[직위],$U1272)&amp;"")</f>
        <v/>
      </c>
      <c r="M1272">
        <f>IF($U1272="","",IF(ISNUMBER(INDEX(상세표[근무일자],$U1272)),TEXT(INDEX(상세표[근무일자],$U1272),"yyyy-mm-dd"),INDEX(상세표[근무일자],$U1272)&amp;""))</f>
        <v/>
      </c>
      <c r="N1272">
        <f>IF($U1272="","",IF(ISNUMBER(INDEX(상세표[시작],$U1272)),TEXT(INDEX(상세표[시작],$U1272),"yyyy-mm-dd hh:mm"),INDEX(상세표[시작],$U1272)&amp;""))</f>
        <v/>
      </c>
      <c r="O1272">
        <f>IF($U1272="","",IF(ISNUMBER(INDEX(상세표[종료],$U1272)),TEXT(INDEX(상세표[종료],$U1272),"yyyy-mm-dd hh:mm"),INDEX(상세표[종료],$U1272)&amp;""))</f>
        <v/>
      </c>
      <c r="P1272" s="20">
        <f>IF($U1272="","",INDEX(상세표[06~07시],$U1272))</f>
        <v/>
      </c>
      <c r="Q1272" s="20">
        <f>IF($U1272="","",INDEX(상세표[07~18시],$U1272))</f>
        <v/>
      </c>
      <c r="R1272" s="20">
        <f>IF($U1272="","",INDEX(상세표[18~22시],$U1272))</f>
        <v/>
      </c>
      <c r="S1272" s="20">
        <f>IF($U1272="","",INDEX(상세표[22~06시],$U1272))</f>
        <v/>
      </c>
      <c r="T1272" s="20">
        <f>IF($U1272="","",INDEX(상세표[기록 시간외],$U1272))</f>
        <v/>
      </c>
      <c r="U1272" s="4">
        <f>IFERROR(MATCH(1267,상세표[발송순번],0),"")</f>
        <v/>
      </c>
    </row>
    <row r="1273">
      <c r="J1273">
        <f>IF($U1273="","",INDEX(상세표[사번],$U1273)&amp;"")</f>
        <v/>
      </c>
      <c r="K1273">
        <f>IF($U1273="","",INDEX(상세표[성명],$U1273)&amp;"")</f>
        <v/>
      </c>
      <c r="L1273">
        <f>IF($U1273="","",INDEX(상세표[직위],$U1273)&amp;"")</f>
        <v/>
      </c>
      <c r="M1273">
        <f>IF($U1273="","",IF(ISNUMBER(INDEX(상세표[근무일자],$U1273)),TEXT(INDEX(상세표[근무일자],$U1273),"yyyy-mm-dd"),INDEX(상세표[근무일자],$U1273)&amp;""))</f>
        <v/>
      </c>
      <c r="N1273">
        <f>IF($U1273="","",IF(ISNUMBER(INDEX(상세표[시작],$U1273)),TEXT(INDEX(상세표[시작],$U1273),"yyyy-mm-dd hh:mm"),INDEX(상세표[시작],$U1273)&amp;""))</f>
        <v/>
      </c>
      <c r="O1273">
        <f>IF($U1273="","",IF(ISNUMBER(INDEX(상세표[종료],$U1273)),TEXT(INDEX(상세표[종료],$U1273),"yyyy-mm-dd hh:mm"),INDEX(상세표[종료],$U1273)&amp;""))</f>
        <v/>
      </c>
      <c r="P1273" s="20">
        <f>IF($U1273="","",INDEX(상세표[06~07시],$U1273))</f>
        <v/>
      </c>
      <c r="Q1273" s="20">
        <f>IF($U1273="","",INDEX(상세표[07~18시],$U1273))</f>
        <v/>
      </c>
      <c r="R1273" s="20">
        <f>IF($U1273="","",INDEX(상세표[18~22시],$U1273))</f>
        <v/>
      </c>
      <c r="S1273" s="20">
        <f>IF($U1273="","",INDEX(상세표[22~06시],$U1273))</f>
        <v/>
      </c>
      <c r="T1273" s="20">
        <f>IF($U1273="","",INDEX(상세표[기록 시간외],$U1273))</f>
        <v/>
      </c>
      <c r="U1273" s="4">
        <f>IFERROR(MATCH(1268,상세표[발송순번],0),"")</f>
        <v/>
      </c>
    </row>
    <row r="1274">
      <c r="J1274">
        <f>IF($U1274="","",INDEX(상세표[사번],$U1274)&amp;"")</f>
        <v/>
      </c>
      <c r="K1274">
        <f>IF($U1274="","",INDEX(상세표[성명],$U1274)&amp;"")</f>
        <v/>
      </c>
      <c r="L1274">
        <f>IF($U1274="","",INDEX(상세표[직위],$U1274)&amp;"")</f>
        <v/>
      </c>
      <c r="M1274">
        <f>IF($U1274="","",IF(ISNUMBER(INDEX(상세표[근무일자],$U1274)),TEXT(INDEX(상세표[근무일자],$U1274),"yyyy-mm-dd"),INDEX(상세표[근무일자],$U1274)&amp;""))</f>
        <v/>
      </c>
      <c r="N1274">
        <f>IF($U1274="","",IF(ISNUMBER(INDEX(상세표[시작],$U1274)),TEXT(INDEX(상세표[시작],$U1274),"yyyy-mm-dd hh:mm"),INDEX(상세표[시작],$U1274)&amp;""))</f>
        <v/>
      </c>
      <c r="O1274">
        <f>IF($U1274="","",IF(ISNUMBER(INDEX(상세표[종료],$U1274)),TEXT(INDEX(상세표[종료],$U1274),"yyyy-mm-dd hh:mm"),INDEX(상세표[종료],$U1274)&amp;""))</f>
        <v/>
      </c>
      <c r="P1274" s="20">
        <f>IF($U1274="","",INDEX(상세표[06~07시],$U1274))</f>
        <v/>
      </c>
      <c r="Q1274" s="20">
        <f>IF($U1274="","",INDEX(상세표[07~18시],$U1274))</f>
        <v/>
      </c>
      <c r="R1274" s="20">
        <f>IF($U1274="","",INDEX(상세표[18~22시],$U1274))</f>
        <v/>
      </c>
      <c r="S1274" s="20">
        <f>IF($U1274="","",INDEX(상세표[22~06시],$U1274))</f>
        <v/>
      </c>
      <c r="T1274" s="20">
        <f>IF($U1274="","",INDEX(상세표[기록 시간외],$U1274))</f>
        <v/>
      </c>
      <c r="U1274" s="4">
        <f>IFERROR(MATCH(1269,상세표[발송순번],0),"")</f>
        <v/>
      </c>
    </row>
    <row r="1275">
      <c r="J1275">
        <f>IF($U1275="","",INDEX(상세표[사번],$U1275)&amp;"")</f>
        <v/>
      </c>
      <c r="K1275">
        <f>IF($U1275="","",INDEX(상세표[성명],$U1275)&amp;"")</f>
        <v/>
      </c>
      <c r="L1275">
        <f>IF($U1275="","",INDEX(상세표[직위],$U1275)&amp;"")</f>
        <v/>
      </c>
      <c r="M1275">
        <f>IF($U1275="","",IF(ISNUMBER(INDEX(상세표[근무일자],$U1275)),TEXT(INDEX(상세표[근무일자],$U1275),"yyyy-mm-dd"),INDEX(상세표[근무일자],$U1275)&amp;""))</f>
        <v/>
      </c>
      <c r="N1275">
        <f>IF($U1275="","",IF(ISNUMBER(INDEX(상세표[시작],$U1275)),TEXT(INDEX(상세표[시작],$U1275),"yyyy-mm-dd hh:mm"),INDEX(상세표[시작],$U1275)&amp;""))</f>
        <v/>
      </c>
      <c r="O1275">
        <f>IF($U1275="","",IF(ISNUMBER(INDEX(상세표[종료],$U1275)),TEXT(INDEX(상세표[종료],$U1275),"yyyy-mm-dd hh:mm"),INDEX(상세표[종료],$U1275)&amp;""))</f>
        <v/>
      </c>
      <c r="P1275" s="20">
        <f>IF($U1275="","",INDEX(상세표[06~07시],$U1275))</f>
        <v/>
      </c>
      <c r="Q1275" s="20">
        <f>IF($U1275="","",INDEX(상세표[07~18시],$U1275))</f>
        <v/>
      </c>
      <c r="R1275" s="20">
        <f>IF($U1275="","",INDEX(상세표[18~22시],$U1275))</f>
        <v/>
      </c>
      <c r="S1275" s="20">
        <f>IF($U1275="","",INDEX(상세표[22~06시],$U1275))</f>
        <v/>
      </c>
      <c r="T1275" s="20">
        <f>IF($U1275="","",INDEX(상세표[기록 시간외],$U1275))</f>
        <v/>
      </c>
      <c r="U1275" s="4">
        <f>IFERROR(MATCH(1270,상세표[발송순번],0),"")</f>
        <v/>
      </c>
    </row>
    <row r="1276">
      <c r="J1276">
        <f>IF($U1276="","",INDEX(상세표[사번],$U1276)&amp;"")</f>
        <v/>
      </c>
      <c r="K1276">
        <f>IF($U1276="","",INDEX(상세표[성명],$U1276)&amp;"")</f>
        <v/>
      </c>
      <c r="L1276">
        <f>IF($U1276="","",INDEX(상세표[직위],$U1276)&amp;"")</f>
        <v/>
      </c>
      <c r="M1276">
        <f>IF($U1276="","",IF(ISNUMBER(INDEX(상세표[근무일자],$U1276)),TEXT(INDEX(상세표[근무일자],$U1276),"yyyy-mm-dd"),INDEX(상세표[근무일자],$U1276)&amp;""))</f>
        <v/>
      </c>
      <c r="N1276">
        <f>IF($U1276="","",IF(ISNUMBER(INDEX(상세표[시작],$U1276)),TEXT(INDEX(상세표[시작],$U1276),"yyyy-mm-dd hh:mm"),INDEX(상세표[시작],$U1276)&amp;""))</f>
        <v/>
      </c>
      <c r="O1276">
        <f>IF($U1276="","",IF(ISNUMBER(INDEX(상세표[종료],$U1276)),TEXT(INDEX(상세표[종료],$U1276),"yyyy-mm-dd hh:mm"),INDEX(상세표[종료],$U1276)&amp;""))</f>
        <v/>
      </c>
      <c r="P1276" s="20">
        <f>IF($U1276="","",INDEX(상세표[06~07시],$U1276))</f>
        <v/>
      </c>
      <c r="Q1276" s="20">
        <f>IF($U1276="","",INDEX(상세표[07~18시],$U1276))</f>
        <v/>
      </c>
      <c r="R1276" s="20">
        <f>IF($U1276="","",INDEX(상세표[18~22시],$U1276))</f>
        <v/>
      </c>
      <c r="S1276" s="20">
        <f>IF($U1276="","",INDEX(상세표[22~06시],$U1276))</f>
        <v/>
      </c>
      <c r="T1276" s="20">
        <f>IF($U1276="","",INDEX(상세표[기록 시간외],$U1276))</f>
        <v/>
      </c>
      <c r="U1276" s="4">
        <f>IFERROR(MATCH(1271,상세표[발송순번],0),"")</f>
        <v/>
      </c>
    </row>
    <row r="1277">
      <c r="J1277">
        <f>IF($U1277="","",INDEX(상세표[사번],$U1277)&amp;"")</f>
        <v/>
      </c>
      <c r="K1277">
        <f>IF($U1277="","",INDEX(상세표[성명],$U1277)&amp;"")</f>
        <v/>
      </c>
      <c r="L1277">
        <f>IF($U1277="","",INDEX(상세표[직위],$U1277)&amp;"")</f>
        <v/>
      </c>
      <c r="M1277">
        <f>IF($U1277="","",IF(ISNUMBER(INDEX(상세표[근무일자],$U1277)),TEXT(INDEX(상세표[근무일자],$U1277),"yyyy-mm-dd"),INDEX(상세표[근무일자],$U1277)&amp;""))</f>
        <v/>
      </c>
      <c r="N1277">
        <f>IF($U1277="","",IF(ISNUMBER(INDEX(상세표[시작],$U1277)),TEXT(INDEX(상세표[시작],$U1277),"yyyy-mm-dd hh:mm"),INDEX(상세표[시작],$U1277)&amp;""))</f>
        <v/>
      </c>
      <c r="O1277">
        <f>IF($U1277="","",IF(ISNUMBER(INDEX(상세표[종료],$U1277)),TEXT(INDEX(상세표[종료],$U1277),"yyyy-mm-dd hh:mm"),INDEX(상세표[종료],$U1277)&amp;""))</f>
        <v/>
      </c>
      <c r="P1277" s="20">
        <f>IF($U1277="","",INDEX(상세표[06~07시],$U1277))</f>
        <v/>
      </c>
      <c r="Q1277" s="20">
        <f>IF($U1277="","",INDEX(상세표[07~18시],$U1277))</f>
        <v/>
      </c>
      <c r="R1277" s="20">
        <f>IF($U1277="","",INDEX(상세표[18~22시],$U1277))</f>
        <v/>
      </c>
      <c r="S1277" s="20">
        <f>IF($U1277="","",INDEX(상세표[22~06시],$U1277))</f>
        <v/>
      </c>
      <c r="T1277" s="20">
        <f>IF($U1277="","",INDEX(상세표[기록 시간외],$U1277))</f>
        <v/>
      </c>
      <c r="U1277" s="4">
        <f>IFERROR(MATCH(1272,상세표[발송순번],0),"")</f>
        <v/>
      </c>
    </row>
    <row r="1278">
      <c r="J1278">
        <f>IF($U1278="","",INDEX(상세표[사번],$U1278)&amp;"")</f>
        <v/>
      </c>
      <c r="K1278">
        <f>IF($U1278="","",INDEX(상세표[성명],$U1278)&amp;"")</f>
        <v/>
      </c>
      <c r="L1278">
        <f>IF($U1278="","",INDEX(상세표[직위],$U1278)&amp;"")</f>
        <v/>
      </c>
      <c r="M1278">
        <f>IF($U1278="","",IF(ISNUMBER(INDEX(상세표[근무일자],$U1278)),TEXT(INDEX(상세표[근무일자],$U1278),"yyyy-mm-dd"),INDEX(상세표[근무일자],$U1278)&amp;""))</f>
        <v/>
      </c>
      <c r="N1278">
        <f>IF($U1278="","",IF(ISNUMBER(INDEX(상세표[시작],$U1278)),TEXT(INDEX(상세표[시작],$U1278),"yyyy-mm-dd hh:mm"),INDEX(상세표[시작],$U1278)&amp;""))</f>
        <v/>
      </c>
      <c r="O1278">
        <f>IF($U1278="","",IF(ISNUMBER(INDEX(상세표[종료],$U1278)),TEXT(INDEX(상세표[종료],$U1278),"yyyy-mm-dd hh:mm"),INDEX(상세표[종료],$U1278)&amp;""))</f>
        <v/>
      </c>
      <c r="P1278" s="20">
        <f>IF($U1278="","",INDEX(상세표[06~07시],$U1278))</f>
        <v/>
      </c>
      <c r="Q1278" s="20">
        <f>IF($U1278="","",INDEX(상세표[07~18시],$U1278))</f>
        <v/>
      </c>
      <c r="R1278" s="20">
        <f>IF($U1278="","",INDEX(상세표[18~22시],$U1278))</f>
        <v/>
      </c>
      <c r="S1278" s="20">
        <f>IF($U1278="","",INDEX(상세표[22~06시],$U1278))</f>
        <v/>
      </c>
      <c r="T1278" s="20">
        <f>IF($U1278="","",INDEX(상세표[기록 시간외],$U1278))</f>
        <v/>
      </c>
      <c r="U1278" s="4">
        <f>IFERROR(MATCH(1273,상세표[발송순번],0),"")</f>
        <v/>
      </c>
    </row>
    <row r="1279">
      <c r="J1279">
        <f>IF($U1279="","",INDEX(상세표[사번],$U1279)&amp;"")</f>
        <v/>
      </c>
      <c r="K1279">
        <f>IF($U1279="","",INDEX(상세표[성명],$U1279)&amp;"")</f>
        <v/>
      </c>
      <c r="L1279">
        <f>IF($U1279="","",INDEX(상세표[직위],$U1279)&amp;"")</f>
        <v/>
      </c>
      <c r="M1279">
        <f>IF($U1279="","",IF(ISNUMBER(INDEX(상세표[근무일자],$U1279)),TEXT(INDEX(상세표[근무일자],$U1279),"yyyy-mm-dd"),INDEX(상세표[근무일자],$U1279)&amp;""))</f>
        <v/>
      </c>
      <c r="N1279">
        <f>IF($U1279="","",IF(ISNUMBER(INDEX(상세표[시작],$U1279)),TEXT(INDEX(상세표[시작],$U1279),"yyyy-mm-dd hh:mm"),INDEX(상세표[시작],$U1279)&amp;""))</f>
        <v/>
      </c>
      <c r="O1279">
        <f>IF($U1279="","",IF(ISNUMBER(INDEX(상세표[종료],$U1279)),TEXT(INDEX(상세표[종료],$U1279),"yyyy-mm-dd hh:mm"),INDEX(상세표[종료],$U1279)&amp;""))</f>
        <v/>
      </c>
      <c r="P1279" s="20">
        <f>IF($U1279="","",INDEX(상세표[06~07시],$U1279))</f>
        <v/>
      </c>
      <c r="Q1279" s="20">
        <f>IF($U1279="","",INDEX(상세표[07~18시],$U1279))</f>
        <v/>
      </c>
      <c r="R1279" s="20">
        <f>IF($U1279="","",INDEX(상세표[18~22시],$U1279))</f>
        <v/>
      </c>
      <c r="S1279" s="20">
        <f>IF($U1279="","",INDEX(상세표[22~06시],$U1279))</f>
        <v/>
      </c>
      <c r="T1279" s="20">
        <f>IF($U1279="","",INDEX(상세표[기록 시간외],$U1279))</f>
        <v/>
      </c>
      <c r="U1279" s="4">
        <f>IFERROR(MATCH(1274,상세표[발송순번],0),"")</f>
        <v/>
      </c>
    </row>
    <row r="1280">
      <c r="J1280">
        <f>IF($U1280="","",INDEX(상세표[사번],$U1280)&amp;"")</f>
        <v/>
      </c>
      <c r="K1280">
        <f>IF($U1280="","",INDEX(상세표[성명],$U1280)&amp;"")</f>
        <v/>
      </c>
      <c r="L1280">
        <f>IF($U1280="","",INDEX(상세표[직위],$U1280)&amp;"")</f>
        <v/>
      </c>
      <c r="M1280">
        <f>IF($U1280="","",IF(ISNUMBER(INDEX(상세표[근무일자],$U1280)),TEXT(INDEX(상세표[근무일자],$U1280),"yyyy-mm-dd"),INDEX(상세표[근무일자],$U1280)&amp;""))</f>
        <v/>
      </c>
      <c r="N1280">
        <f>IF($U1280="","",IF(ISNUMBER(INDEX(상세표[시작],$U1280)),TEXT(INDEX(상세표[시작],$U1280),"yyyy-mm-dd hh:mm"),INDEX(상세표[시작],$U1280)&amp;""))</f>
        <v/>
      </c>
      <c r="O1280">
        <f>IF($U1280="","",IF(ISNUMBER(INDEX(상세표[종료],$U1280)),TEXT(INDEX(상세표[종료],$U1280),"yyyy-mm-dd hh:mm"),INDEX(상세표[종료],$U1280)&amp;""))</f>
        <v/>
      </c>
      <c r="P1280" s="20">
        <f>IF($U1280="","",INDEX(상세표[06~07시],$U1280))</f>
        <v/>
      </c>
      <c r="Q1280" s="20">
        <f>IF($U1280="","",INDEX(상세표[07~18시],$U1280))</f>
        <v/>
      </c>
      <c r="R1280" s="20">
        <f>IF($U1280="","",INDEX(상세표[18~22시],$U1280))</f>
        <v/>
      </c>
      <c r="S1280" s="20">
        <f>IF($U1280="","",INDEX(상세표[22~06시],$U1280))</f>
        <v/>
      </c>
      <c r="T1280" s="20">
        <f>IF($U1280="","",INDEX(상세표[기록 시간외],$U1280))</f>
        <v/>
      </c>
      <c r="U1280" s="4">
        <f>IFERROR(MATCH(1275,상세표[발송순번],0),"")</f>
        <v/>
      </c>
    </row>
    <row r="1281">
      <c r="J1281">
        <f>IF($U1281="","",INDEX(상세표[사번],$U1281)&amp;"")</f>
        <v/>
      </c>
      <c r="K1281">
        <f>IF($U1281="","",INDEX(상세표[성명],$U1281)&amp;"")</f>
        <v/>
      </c>
      <c r="L1281">
        <f>IF($U1281="","",INDEX(상세표[직위],$U1281)&amp;"")</f>
        <v/>
      </c>
      <c r="M1281">
        <f>IF($U1281="","",IF(ISNUMBER(INDEX(상세표[근무일자],$U1281)),TEXT(INDEX(상세표[근무일자],$U1281),"yyyy-mm-dd"),INDEX(상세표[근무일자],$U1281)&amp;""))</f>
        <v/>
      </c>
      <c r="N1281">
        <f>IF($U1281="","",IF(ISNUMBER(INDEX(상세표[시작],$U1281)),TEXT(INDEX(상세표[시작],$U1281),"yyyy-mm-dd hh:mm"),INDEX(상세표[시작],$U1281)&amp;""))</f>
        <v/>
      </c>
      <c r="O1281">
        <f>IF($U1281="","",IF(ISNUMBER(INDEX(상세표[종료],$U1281)),TEXT(INDEX(상세표[종료],$U1281),"yyyy-mm-dd hh:mm"),INDEX(상세표[종료],$U1281)&amp;""))</f>
        <v/>
      </c>
      <c r="P1281" s="20">
        <f>IF($U1281="","",INDEX(상세표[06~07시],$U1281))</f>
        <v/>
      </c>
      <c r="Q1281" s="20">
        <f>IF($U1281="","",INDEX(상세표[07~18시],$U1281))</f>
        <v/>
      </c>
      <c r="R1281" s="20">
        <f>IF($U1281="","",INDEX(상세표[18~22시],$U1281))</f>
        <v/>
      </c>
      <c r="S1281" s="20">
        <f>IF($U1281="","",INDEX(상세표[22~06시],$U1281))</f>
        <v/>
      </c>
      <c r="T1281" s="20">
        <f>IF($U1281="","",INDEX(상세표[기록 시간외],$U1281))</f>
        <v/>
      </c>
      <c r="U1281" s="4">
        <f>IFERROR(MATCH(1276,상세표[발송순번],0),"")</f>
        <v/>
      </c>
    </row>
    <row r="1282">
      <c r="J1282">
        <f>IF($U1282="","",INDEX(상세표[사번],$U1282)&amp;"")</f>
        <v/>
      </c>
      <c r="K1282">
        <f>IF($U1282="","",INDEX(상세표[성명],$U1282)&amp;"")</f>
        <v/>
      </c>
      <c r="L1282">
        <f>IF($U1282="","",INDEX(상세표[직위],$U1282)&amp;"")</f>
        <v/>
      </c>
      <c r="M1282">
        <f>IF($U1282="","",IF(ISNUMBER(INDEX(상세표[근무일자],$U1282)),TEXT(INDEX(상세표[근무일자],$U1282),"yyyy-mm-dd"),INDEX(상세표[근무일자],$U1282)&amp;""))</f>
        <v/>
      </c>
      <c r="N1282">
        <f>IF($U1282="","",IF(ISNUMBER(INDEX(상세표[시작],$U1282)),TEXT(INDEX(상세표[시작],$U1282),"yyyy-mm-dd hh:mm"),INDEX(상세표[시작],$U1282)&amp;""))</f>
        <v/>
      </c>
      <c r="O1282">
        <f>IF($U1282="","",IF(ISNUMBER(INDEX(상세표[종료],$U1282)),TEXT(INDEX(상세표[종료],$U1282),"yyyy-mm-dd hh:mm"),INDEX(상세표[종료],$U1282)&amp;""))</f>
        <v/>
      </c>
      <c r="P1282" s="20">
        <f>IF($U1282="","",INDEX(상세표[06~07시],$U1282))</f>
        <v/>
      </c>
      <c r="Q1282" s="20">
        <f>IF($U1282="","",INDEX(상세표[07~18시],$U1282))</f>
        <v/>
      </c>
      <c r="R1282" s="20">
        <f>IF($U1282="","",INDEX(상세표[18~22시],$U1282))</f>
        <v/>
      </c>
      <c r="S1282" s="20">
        <f>IF($U1282="","",INDEX(상세표[22~06시],$U1282))</f>
        <v/>
      </c>
      <c r="T1282" s="20">
        <f>IF($U1282="","",INDEX(상세표[기록 시간외],$U1282))</f>
        <v/>
      </c>
      <c r="U1282" s="4">
        <f>IFERROR(MATCH(1277,상세표[발송순번],0),"")</f>
        <v/>
      </c>
    </row>
    <row r="1283">
      <c r="J1283">
        <f>IF($U1283="","",INDEX(상세표[사번],$U1283)&amp;"")</f>
        <v/>
      </c>
      <c r="K1283">
        <f>IF($U1283="","",INDEX(상세표[성명],$U1283)&amp;"")</f>
        <v/>
      </c>
      <c r="L1283">
        <f>IF($U1283="","",INDEX(상세표[직위],$U1283)&amp;"")</f>
        <v/>
      </c>
      <c r="M1283">
        <f>IF($U1283="","",IF(ISNUMBER(INDEX(상세표[근무일자],$U1283)),TEXT(INDEX(상세표[근무일자],$U1283),"yyyy-mm-dd"),INDEX(상세표[근무일자],$U1283)&amp;""))</f>
        <v/>
      </c>
      <c r="N1283">
        <f>IF($U1283="","",IF(ISNUMBER(INDEX(상세표[시작],$U1283)),TEXT(INDEX(상세표[시작],$U1283),"yyyy-mm-dd hh:mm"),INDEX(상세표[시작],$U1283)&amp;""))</f>
        <v/>
      </c>
      <c r="O1283">
        <f>IF($U1283="","",IF(ISNUMBER(INDEX(상세표[종료],$U1283)),TEXT(INDEX(상세표[종료],$U1283),"yyyy-mm-dd hh:mm"),INDEX(상세표[종료],$U1283)&amp;""))</f>
        <v/>
      </c>
      <c r="P1283" s="20">
        <f>IF($U1283="","",INDEX(상세표[06~07시],$U1283))</f>
        <v/>
      </c>
      <c r="Q1283" s="20">
        <f>IF($U1283="","",INDEX(상세표[07~18시],$U1283))</f>
        <v/>
      </c>
      <c r="R1283" s="20">
        <f>IF($U1283="","",INDEX(상세표[18~22시],$U1283))</f>
        <v/>
      </c>
      <c r="S1283" s="20">
        <f>IF($U1283="","",INDEX(상세표[22~06시],$U1283))</f>
        <v/>
      </c>
      <c r="T1283" s="20">
        <f>IF($U1283="","",INDEX(상세표[기록 시간외],$U1283))</f>
        <v/>
      </c>
      <c r="U1283" s="4">
        <f>IFERROR(MATCH(1278,상세표[발송순번],0),"")</f>
        <v/>
      </c>
    </row>
    <row r="1284">
      <c r="J1284">
        <f>IF($U1284="","",INDEX(상세표[사번],$U1284)&amp;"")</f>
        <v/>
      </c>
      <c r="K1284">
        <f>IF($U1284="","",INDEX(상세표[성명],$U1284)&amp;"")</f>
        <v/>
      </c>
      <c r="L1284">
        <f>IF($U1284="","",INDEX(상세표[직위],$U1284)&amp;"")</f>
        <v/>
      </c>
      <c r="M1284">
        <f>IF($U1284="","",IF(ISNUMBER(INDEX(상세표[근무일자],$U1284)),TEXT(INDEX(상세표[근무일자],$U1284),"yyyy-mm-dd"),INDEX(상세표[근무일자],$U1284)&amp;""))</f>
        <v/>
      </c>
      <c r="N1284">
        <f>IF($U1284="","",IF(ISNUMBER(INDEX(상세표[시작],$U1284)),TEXT(INDEX(상세표[시작],$U1284),"yyyy-mm-dd hh:mm"),INDEX(상세표[시작],$U1284)&amp;""))</f>
        <v/>
      </c>
      <c r="O1284">
        <f>IF($U1284="","",IF(ISNUMBER(INDEX(상세표[종료],$U1284)),TEXT(INDEX(상세표[종료],$U1284),"yyyy-mm-dd hh:mm"),INDEX(상세표[종료],$U1284)&amp;""))</f>
        <v/>
      </c>
      <c r="P1284" s="20">
        <f>IF($U1284="","",INDEX(상세표[06~07시],$U1284))</f>
        <v/>
      </c>
      <c r="Q1284" s="20">
        <f>IF($U1284="","",INDEX(상세표[07~18시],$U1284))</f>
        <v/>
      </c>
      <c r="R1284" s="20">
        <f>IF($U1284="","",INDEX(상세표[18~22시],$U1284))</f>
        <v/>
      </c>
      <c r="S1284" s="20">
        <f>IF($U1284="","",INDEX(상세표[22~06시],$U1284))</f>
        <v/>
      </c>
      <c r="T1284" s="20">
        <f>IF($U1284="","",INDEX(상세표[기록 시간외],$U1284))</f>
        <v/>
      </c>
      <c r="U1284" s="4">
        <f>IFERROR(MATCH(1279,상세표[발송순번],0),"")</f>
        <v/>
      </c>
    </row>
    <row r="1285">
      <c r="J1285">
        <f>IF($U1285="","",INDEX(상세표[사번],$U1285)&amp;"")</f>
        <v/>
      </c>
      <c r="K1285">
        <f>IF($U1285="","",INDEX(상세표[성명],$U1285)&amp;"")</f>
        <v/>
      </c>
      <c r="L1285">
        <f>IF($U1285="","",INDEX(상세표[직위],$U1285)&amp;"")</f>
        <v/>
      </c>
      <c r="M1285">
        <f>IF($U1285="","",IF(ISNUMBER(INDEX(상세표[근무일자],$U1285)),TEXT(INDEX(상세표[근무일자],$U1285),"yyyy-mm-dd"),INDEX(상세표[근무일자],$U1285)&amp;""))</f>
        <v/>
      </c>
      <c r="N1285">
        <f>IF($U1285="","",IF(ISNUMBER(INDEX(상세표[시작],$U1285)),TEXT(INDEX(상세표[시작],$U1285),"yyyy-mm-dd hh:mm"),INDEX(상세표[시작],$U1285)&amp;""))</f>
        <v/>
      </c>
      <c r="O1285">
        <f>IF($U1285="","",IF(ISNUMBER(INDEX(상세표[종료],$U1285)),TEXT(INDEX(상세표[종료],$U1285),"yyyy-mm-dd hh:mm"),INDEX(상세표[종료],$U1285)&amp;""))</f>
        <v/>
      </c>
      <c r="P1285" s="20">
        <f>IF($U1285="","",INDEX(상세표[06~07시],$U1285))</f>
        <v/>
      </c>
      <c r="Q1285" s="20">
        <f>IF($U1285="","",INDEX(상세표[07~18시],$U1285))</f>
        <v/>
      </c>
      <c r="R1285" s="20">
        <f>IF($U1285="","",INDEX(상세표[18~22시],$U1285))</f>
        <v/>
      </c>
      <c r="S1285" s="20">
        <f>IF($U1285="","",INDEX(상세표[22~06시],$U1285))</f>
        <v/>
      </c>
      <c r="T1285" s="20">
        <f>IF($U1285="","",INDEX(상세표[기록 시간외],$U1285))</f>
        <v/>
      </c>
      <c r="U1285" s="4">
        <f>IFERROR(MATCH(1280,상세표[발송순번],0),"")</f>
        <v/>
      </c>
    </row>
    <row r="1286">
      <c r="J1286">
        <f>IF($U1286="","",INDEX(상세표[사번],$U1286)&amp;"")</f>
        <v/>
      </c>
      <c r="K1286">
        <f>IF($U1286="","",INDEX(상세표[성명],$U1286)&amp;"")</f>
        <v/>
      </c>
      <c r="L1286">
        <f>IF($U1286="","",INDEX(상세표[직위],$U1286)&amp;"")</f>
        <v/>
      </c>
      <c r="M1286">
        <f>IF($U1286="","",IF(ISNUMBER(INDEX(상세표[근무일자],$U1286)),TEXT(INDEX(상세표[근무일자],$U1286),"yyyy-mm-dd"),INDEX(상세표[근무일자],$U1286)&amp;""))</f>
        <v/>
      </c>
      <c r="N1286">
        <f>IF($U1286="","",IF(ISNUMBER(INDEX(상세표[시작],$U1286)),TEXT(INDEX(상세표[시작],$U1286),"yyyy-mm-dd hh:mm"),INDEX(상세표[시작],$U1286)&amp;""))</f>
        <v/>
      </c>
      <c r="O1286">
        <f>IF($U1286="","",IF(ISNUMBER(INDEX(상세표[종료],$U1286)),TEXT(INDEX(상세표[종료],$U1286),"yyyy-mm-dd hh:mm"),INDEX(상세표[종료],$U1286)&amp;""))</f>
        <v/>
      </c>
      <c r="P1286" s="20">
        <f>IF($U1286="","",INDEX(상세표[06~07시],$U1286))</f>
        <v/>
      </c>
      <c r="Q1286" s="20">
        <f>IF($U1286="","",INDEX(상세표[07~18시],$U1286))</f>
        <v/>
      </c>
      <c r="R1286" s="20">
        <f>IF($U1286="","",INDEX(상세표[18~22시],$U1286))</f>
        <v/>
      </c>
      <c r="S1286" s="20">
        <f>IF($U1286="","",INDEX(상세표[22~06시],$U1286))</f>
        <v/>
      </c>
      <c r="T1286" s="20">
        <f>IF($U1286="","",INDEX(상세표[기록 시간외],$U1286))</f>
        <v/>
      </c>
      <c r="U1286" s="4">
        <f>IFERROR(MATCH(1281,상세표[발송순번],0),"")</f>
        <v/>
      </c>
    </row>
    <row r="1287">
      <c r="J1287">
        <f>IF($U1287="","",INDEX(상세표[사번],$U1287)&amp;"")</f>
        <v/>
      </c>
      <c r="K1287">
        <f>IF($U1287="","",INDEX(상세표[성명],$U1287)&amp;"")</f>
        <v/>
      </c>
      <c r="L1287">
        <f>IF($U1287="","",INDEX(상세표[직위],$U1287)&amp;"")</f>
        <v/>
      </c>
      <c r="M1287">
        <f>IF($U1287="","",IF(ISNUMBER(INDEX(상세표[근무일자],$U1287)),TEXT(INDEX(상세표[근무일자],$U1287),"yyyy-mm-dd"),INDEX(상세표[근무일자],$U1287)&amp;""))</f>
        <v/>
      </c>
      <c r="N1287">
        <f>IF($U1287="","",IF(ISNUMBER(INDEX(상세표[시작],$U1287)),TEXT(INDEX(상세표[시작],$U1287),"yyyy-mm-dd hh:mm"),INDEX(상세표[시작],$U1287)&amp;""))</f>
        <v/>
      </c>
      <c r="O1287">
        <f>IF($U1287="","",IF(ISNUMBER(INDEX(상세표[종료],$U1287)),TEXT(INDEX(상세표[종료],$U1287),"yyyy-mm-dd hh:mm"),INDEX(상세표[종료],$U1287)&amp;""))</f>
        <v/>
      </c>
      <c r="P1287" s="20">
        <f>IF($U1287="","",INDEX(상세표[06~07시],$U1287))</f>
        <v/>
      </c>
      <c r="Q1287" s="20">
        <f>IF($U1287="","",INDEX(상세표[07~18시],$U1287))</f>
        <v/>
      </c>
      <c r="R1287" s="20">
        <f>IF($U1287="","",INDEX(상세표[18~22시],$U1287))</f>
        <v/>
      </c>
      <c r="S1287" s="20">
        <f>IF($U1287="","",INDEX(상세표[22~06시],$U1287))</f>
        <v/>
      </c>
      <c r="T1287" s="20">
        <f>IF($U1287="","",INDEX(상세표[기록 시간외],$U1287))</f>
        <v/>
      </c>
      <c r="U1287" s="4">
        <f>IFERROR(MATCH(1282,상세표[발송순번],0),"")</f>
        <v/>
      </c>
    </row>
    <row r="1288">
      <c r="J1288">
        <f>IF($U1288="","",INDEX(상세표[사번],$U1288)&amp;"")</f>
        <v/>
      </c>
      <c r="K1288">
        <f>IF($U1288="","",INDEX(상세표[성명],$U1288)&amp;"")</f>
        <v/>
      </c>
      <c r="L1288">
        <f>IF($U1288="","",INDEX(상세표[직위],$U1288)&amp;"")</f>
        <v/>
      </c>
      <c r="M1288">
        <f>IF($U1288="","",IF(ISNUMBER(INDEX(상세표[근무일자],$U1288)),TEXT(INDEX(상세표[근무일자],$U1288),"yyyy-mm-dd"),INDEX(상세표[근무일자],$U1288)&amp;""))</f>
        <v/>
      </c>
      <c r="N1288">
        <f>IF($U1288="","",IF(ISNUMBER(INDEX(상세표[시작],$U1288)),TEXT(INDEX(상세표[시작],$U1288),"yyyy-mm-dd hh:mm"),INDEX(상세표[시작],$U1288)&amp;""))</f>
        <v/>
      </c>
      <c r="O1288">
        <f>IF($U1288="","",IF(ISNUMBER(INDEX(상세표[종료],$U1288)),TEXT(INDEX(상세표[종료],$U1288),"yyyy-mm-dd hh:mm"),INDEX(상세표[종료],$U1288)&amp;""))</f>
        <v/>
      </c>
      <c r="P1288" s="20">
        <f>IF($U1288="","",INDEX(상세표[06~07시],$U1288))</f>
        <v/>
      </c>
      <c r="Q1288" s="20">
        <f>IF($U1288="","",INDEX(상세표[07~18시],$U1288))</f>
        <v/>
      </c>
      <c r="R1288" s="20">
        <f>IF($U1288="","",INDEX(상세표[18~22시],$U1288))</f>
        <v/>
      </c>
      <c r="S1288" s="20">
        <f>IF($U1288="","",INDEX(상세표[22~06시],$U1288))</f>
        <v/>
      </c>
      <c r="T1288" s="20">
        <f>IF($U1288="","",INDEX(상세표[기록 시간외],$U1288))</f>
        <v/>
      </c>
      <c r="U1288" s="4">
        <f>IFERROR(MATCH(1283,상세표[발송순번],0),"")</f>
        <v/>
      </c>
    </row>
    <row r="1289">
      <c r="J1289">
        <f>IF($U1289="","",INDEX(상세표[사번],$U1289)&amp;"")</f>
        <v/>
      </c>
      <c r="K1289">
        <f>IF($U1289="","",INDEX(상세표[성명],$U1289)&amp;"")</f>
        <v/>
      </c>
      <c r="L1289">
        <f>IF($U1289="","",INDEX(상세표[직위],$U1289)&amp;"")</f>
        <v/>
      </c>
      <c r="M1289">
        <f>IF($U1289="","",IF(ISNUMBER(INDEX(상세표[근무일자],$U1289)),TEXT(INDEX(상세표[근무일자],$U1289),"yyyy-mm-dd"),INDEX(상세표[근무일자],$U1289)&amp;""))</f>
        <v/>
      </c>
      <c r="N1289">
        <f>IF($U1289="","",IF(ISNUMBER(INDEX(상세표[시작],$U1289)),TEXT(INDEX(상세표[시작],$U1289),"yyyy-mm-dd hh:mm"),INDEX(상세표[시작],$U1289)&amp;""))</f>
        <v/>
      </c>
      <c r="O1289">
        <f>IF($U1289="","",IF(ISNUMBER(INDEX(상세표[종료],$U1289)),TEXT(INDEX(상세표[종료],$U1289),"yyyy-mm-dd hh:mm"),INDEX(상세표[종료],$U1289)&amp;""))</f>
        <v/>
      </c>
      <c r="P1289" s="20">
        <f>IF($U1289="","",INDEX(상세표[06~07시],$U1289))</f>
        <v/>
      </c>
      <c r="Q1289" s="20">
        <f>IF($U1289="","",INDEX(상세표[07~18시],$U1289))</f>
        <v/>
      </c>
      <c r="R1289" s="20">
        <f>IF($U1289="","",INDEX(상세표[18~22시],$U1289))</f>
        <v/>
      </c>
      <c r="S1289" s="20">
        <f>IF($U1289="","",INDEX(상세표[22~06시],$U1289))</f>
        <v/>
      </c>
      <c r="T1289" s="20">
        <f>IF($U1289="","",INDEX(상세표[기록 시간외],$U1289))</f>
        <v/>
      </c>
      <c r="U1289" s="4">
        <f>IFERROR(MATCH(1284,상세표[발송순번],0),"")</f>
        <v/>
      </c>
    </row>
    <row r="1290">
      <c r="J1290">
        <f>IF($U1290="","",INDEX(상세표[사번],$U1290)&amp;"")</f>
        <v/>
      </c>
      <c r="K1290">
        <f>IF($U1290="","",INDEX(상세표[성명],$U1290)&amp;"")</f>
        <v/>
      </c>
      <c r="L1290">
        <f>IF($U1290="","",INDEX(상세표[직위],$U1290)&amp;"")</f>
        <v/>
      </c>
      <c r="M1290">
        <f>IF($U1290="","",IF(ISNUMBER(INDEX(상세표[근무일자],$U1290)),TEXT(INDEX(상세표[근무일자],$U1290),"yyyy-mm-dd"),INDEX(상세표[근무일자],$U1290)&amp;""))</f>
        <v/>
      </c>
      <c r="N1290">
        <f>IF($U1290="","",IF(ISNUMBER(INDEX(상세표[시작],$U1290)),TEXT(INDEX(상세표[시작],$U1290),"yyyy-mm-dd hh:mm"),INDEX(상세표[시작],$U1290)&amp;""))</f>
        <v/>
      </c>
      <c r="O1290">
        <f>IF($U1290="","",IF(ISNUMBER(INDEX(상세표[종료],$U1290)),TEXT(INDEX(상세표[종료],$U1290),"yyyy-mm-dd hh:mm"),INDEX(상세표[종료],$U1290)&amp;""))</f>
        <v/>
      </c>
      <c r="P1290" s="20">
        <f>IF($U1290="","",INDEX(상세표[06~07시],$U1290))</f>
        <v/>
      </c>
      <c r="Q1290" s="20">
        <f>IF($U1290="","",INDEX(상세표[07~18시],$U1290))</f>
        <v/>
      </c>
      <c r="R1290" s="20">
        <f>IF($U1290="","",INDEX(상세표[18~22시],$U1290))</f>
        <v/>
      </c>
      <c r="S1290" s="20">
        <f>IF($U1290="","",INDEX(상세표[22~06시],$U1290))</f>
        <v/>
      </c>
      <c r="T1290" s="20">
        <f>IF($U1290="","",INDEX(상세표[기록 시간외],$U1290))</f>
        <v/>
      </c>
      <c r="U1290" s="4">
        <f>IFERROR(MATCH(1285,상세표[발송순번],0),"")</f>
        <v/>
      </c>
    </row>
    <row r="1291">
      <c r="J1291">
        <f>IF($U1291="","",INDEX(상세표[사번],$U1291)&amp;"")</f>
        <v/>
      </c>
      <c r="K1291">
        <f>IF($U1291="","",INDEX(상세표[성명],$U1291)&amp;"")</f>
        <v/>
      </c>
      <c r="L1291">
        <f>IF($U1291="","",INDEX(상세표[직위],$U1291)&amp;"")</f>
        <v/>
      </c>
      <c r="M1291">
        <f>IF($U1291="","",IF(ISNUMBER(INDEX(상세표[근무일자],$U1291)),TEXT(INDEX(상세표[근무일자],$U1291),"yyyy-mm-dd"),INDEX(상세표[근무일자],$U1291)&amp;""))</f>
        <v/>
      </c>
      <c r="N1291">
        <f>IF($U1291="","",IF(ISNUMBER(INDEX(상세표[시작],$U1291)),TEXT(INDEX(상세표[시작],$U1291),"yyyy-mm-dd hh:mm"),INDEX(상세표[시작],$U1291)&amp;""))</f>
        <v/>
      </c>
      <c r="O1291">
        <f>IF($U1291="","",IF(ISNUMBER(INDEX(상세표[종료],$U1291)),TEXT(INDEX(상세표[종료],$U1291),"yyyy-mm-dd hh:mm"),INDEX(상세표[종료],$U1291)&amp;""))</f>
        <v/>
      </c>
      <c r="P1291" s="20">
        <f>IF($U1291="","",INDEX(상세표[06~07시],$U1291))</f>
        <v/>
      </c>
      <c r="Q1291" s="20">
        <f>IF($U1291="","",INDEX(상세표[07~18시],$U1291))</f>
        <v/>
      </c>
      <c r="R1291" s="20">
        <f>IF($U1291="","",INDEX(상세표[18~22시],$U1291))</f>
        <v/>
      </c>
      <c r="S1291" s="20">
        <f>IF($U1291="","",INDEX(상세표[22~06시],$U1291))</f>
        <v/>
      </c>
      <c r="T1291" s="20">
        <f>IF($U1291="","",INDEX(상세표[기록 시간외],$U1291))</f>
        <v/>
      </c>
      <c r="U1291" s="4">
        <f>IFERROR(MATCH(1286,상세표[발송순번],0),"")</f>
        <v/>
      </c>
    </row>
    <row r="1292">
      <c r="J1292">
        <f>IF($U1292="","",INDEX(상세표[사번],$U1292)&amp;"")</f>
        <v/>
      </c>
      <c r="K1292">
        <f>IF($U1292="","",INDEX(상세표[성명],$U1292)&amp;"")</f>
        <v/>
      </c>
      <c r="L1292">
        <f>IF($U1292="","",INDEX(상세표[직위],$U1292)&amp;"")</f>
        <v/>
      </c>
      <c r="M1292">
        <f>IF($U1292="","",IF(ISNUMBER(INDEX(상세표[근무일자],$U1292)),TEXT(INDEX(상세표[근무일자],$U1292),"yyyy-mm-dd"),INDEX(상세표[근무일자],$U1292)&amp;""))</f>
        <v/>
      </c>
      <c r="N1292">
        <f>IF($U1292="","",IF(ISNUMBER(INDEX(상세표[시작],$U1292)),TEXT(INDEX(상세표[시작],$U1292),"yyyy-mm-dd hh:mm"),INDEX(상세표[시작],$U1292)&amp;""))</f>
        <v/>
      </c>
      <c r="O1292">
        <f>IF($U1292="","",IF(ISNUMBER(INDEX(상세표[종료],$U1292)),TEXT(INDEX(상세표[종료],$U1292),"yyyy-mm-dd hh:mm"),INDEX(상세표[종료],$U1292)&amp;""))</f>
        <v/>
      </c>
      <c r="P1292" s="20">
        <f>IF($U1292="","",INDEX(상세표[06~07시],$U1292))</f>
        <v/>
      </c>
      <c r="Q1292" s="20">
        <f>IF($U1292="","",INDEX(상세표[07~18시],$U1292))</f>
        <v/>
      </c>
      <c r="R1292" s="20">
        <f>IF($U1292="","",INDEX(상세표[18~22시],$U1292))</f>
        <v/>
      </c>
      <c r="S1292" s="20">
        <f>IF($U1292="","",INDEX(상세표[22~06시],$U1292))</f>
        <v/>
      </c>
      <c r="T1292" s="20">
        <f>IF($U1292="","",INDEX(상세표[기록 시간외],$U1292))</f>
        <v/>
      </c>
      <c r="U1292" s="4">
        <f>IFERROR(MATCH(1287,상세표[발송순번],0),"")</f>
        <v/>
      </c>
    </row>
    <row r="1293">
      <c r="J1293">
        <f>IF($U1293="","",INDEX(상세표[사번],$U1293)&amp;"")</f>
        <v/>
      </c>
      <c r="K1293">
        <f>IF($U1293="","",INDEX(상세표[성명],$U1293)&amp;"")</f>
        <v/>
      </c>
      <c r="L1293">
        <f>IF($U1293="","",INDEX(상세표[직위],$U1293)&amp;"")</f>
        <v/>
      </c>
      <c r="M1293">
        <f>IF($U1293="","",IF(ISNUMBER(INDEX(상세표[근무일자],$U1293)),TEXT(INDEX(상세표[근무일자],$U1293),"yyyy-mm-dd"),INDEX(상세표[근무일자],$U1293)&amp;""))</f>
        <v/>
      </c>
      <c r="N1293">
        <f>IF($U1293="","",IF(ISNUMBER(INDEX(상세표[시작],$U1293)),TEXT(INDEX(상세표[시작],$U1293),"yyyy-mm-dd hh:mm"),INDEX(상세표[시작],$U1293)&amp;""))</f>
        <v/>
      </c>
      <c r="O1293">
        <f>IF($U1293="","",IF(ISNUMBER(INDEX(상세표[종료],$U1293)),TEXT(INDEX(상세표[종료],$U1293),"yyyy-mm-dd hh:mm"),INDEX(상세표[종료],$U1293)&amp;""))</f>
        <v/>
      </c>
      <c r="P1293" s="20">
        <f>IF($U1293="","",INDEX(상세표[06~07시],$U1293))</f>
        <v/>
      </c>
      <c r="Q1293" s="20">
        <f>IF($U1293="","",INDEX(상세표[07~18시],$U1293))</f>
        <v/>
      </c>
      <c r="R1293" s="20">
        <f>IF($U1293="","",INDEX(상세표[18~22시],$U1293))</f>
        <v/>
      </c>
      <c r="S1293" s="20">
        <f>IF($U1293="","",INDEX(상세표[22~06시],$U1293))</f>
        <v/>
      </c>
      <c r="T1293" s="20">
        <f>IF($U1293="","",INDEX(상세표[기록 시간외],$U1293))</f>
        <v/>
      </c>
      <c r="U1293" s="4">
        <f>IFERROR(MATCH(1288,상세표[발송순번],0),"")</f>
        <v/>
      </c>
    </row>
    <row r="1294">
      <c r="J1294">
        <f>IF($U1294="","",INDEX(상세표[사번],$U1294)&amp;"")</f>
        <v/>
      </c>
      <c r="K1294">
        <f>IF($U1294="","",INDEX(상세표[성명],$U1294)&amp;"")</f>
        <v/>
      </c>
      <c r="L1294">
        <f>IF($U1294="","",INDEX(상세표[직위],$U1294)&amp;"")</f>
        <v/>
      </c>
      <c r="M1294">
        <f>IF($U1294="","",IF(ISNUMBER(INDEX(상세표[근무일자],$U1294)),TEXT(INDEX(상세표[근무일자],$U1294),"yyyy-mm-dd"),INDEX(상세표[근무일자],$U1294)&amp;""))</f>
        <v/>
      </c>
      <c r="N1294">
        <f>IF($U1294="","",IF(ISNUMBER(INDEX(상세표[시작],$U1294)),TEXT(INDEX(상세표[시작],$U1294),"yyyy-mm-dd hh:mm"),INDEX(상세표[시작],$U1294)&amp;""))</f>
        <v/>
      </c>
      <c r="O1294">
        <f>IF($U1294="","",IF(ISNUMBER(INDEX(상세표[종료],$U1294)),TEXT(INDEX(상세표[종료],$U1294),"yyyy-mm-dd hh:mm"),INDEX(상세표[종료],$U1294)&amp;""))</f>
        <v/>
      </c>
      <c r="P1294" s="20">
        <f>IF($U1294="","",INDEX(상세표[06~07시],$U1294))</f>
        <v/>
      </c>
      <c r="Q1294" s="20">
        <f>IF($U1294="","",INDEX(상세표[07~18시],$U1294))</f>
        <v/>
      </c>
      <c r="R1294" s="20">
        <f>IF($U1294="","",INDEX(상세표[18~22시],$U1294))</f>
        <v/>
      </c>
      <c r="S1294" s="20">
        <f>IF($U1294="","",INDEX(상세표[22~06시],$U1294))</f>
        <v/>
      </c>
      <c r="T1294" s="20">
        <f>IF($U1294="","",INDEX(상세표[기록 시간외],$U1294))</f>
        <v/>
      </c>
      <c r="U1294" s="4">
        <f>IFERROR(MATCH(1289,상세표[발송순번],0),"")</f>
        <v/>
      </c>
    </row>
    <row r="1295">
      <c r="J1295">
        <f>IF($U1295="","",INDEX(상세표[사번],$U1295)&amp;"")</f>
        <v/>
      </c>
      <c r="K1295">
        <f>IF($U1295="","",INDEX(상세표[성명],$U1295)&amp;"")</f>
        <v/>
      </c>
      <c r="L1295">
        <f>IF($U1295="","",INDEX(상세표[직위],$U1295)&amp;"")</f>
        <v/>
      </c>
      <c r="M1295">
        <f>IF($U1295="","",IF(ISNUMBER(INDEX(상세표[근무일자],$U1295)),TEXT(INDEX(상세표[근무일자],$U1295),"yyyy-mm-dd"),INDEX(상세표[근무일자],$U1295)&amp;""))</f>
        <v/>
      </c>
      <c r="N1295">
        <f>IF($U1295="","",IF(ISNUMBER(INDEX(상세표[시작],$U1295)),TEXT(INDEX(상세표[시작],$U1295),"yyyy-mm-dd hh:mm"),INDEX(상세표[시작],$U1295)&amp;""))</f>
        <v/>
      </c>
      <c r="O1295">
        <f>IF($U1295="","",IF(ISNUMBER(INDEX(상세표[종료],$U1295)),TEXT(INDEX(상세표[종료],$U1295),"yyyy-mm-dd hh:mm"),INDEX(상세표[종료],$U1295)&amp;""))</f>
        <v/>
      </c>
      <c r="P1295" s="20">
        <f>IF($U1295="","",INDEX(상세표[06~07시],$U1295))</f>
        <v/>
      </c>
      <c r="Q1295" s="20">
        <f>IF($U1295="","",INDEX(상세표[07~18시],$U1295))</f>
        <v/>
      </c>
      <c r="R1295" s="20">
        <f>IF($U1295="","",INDEX(상세표[18~22시],$U1295))</f>
        <v/>
      </c>
      <c r="S1295" s="20">
        <f>IF($U1295="","",INDEX(상세표[22~06시],$U1295))</f>
        <v/>
      </c>
      <c r="T1295" s="20">
        <f>IF($U1295="","",INDEX(상세표[기록 시간외],$U1295))</f>
        <v/>
      </c>
      <c r="U1295" s="4">
        <f>IFERROR(MATCH(1290,상세표[발송순번],0),"")</f>
        <v/>
      </c>
    </row>
    <row r="1296">
      <c r="J1296">
        <f>IF($U1296="","",INDEX(상세표[사번],$U1296)&amp;"")</f>
        <v/>
      </c>
      <c r="K1296">
        <f>IF($U1296="","",INDEX(상세표[성명],$U1296)&amp;"")</f>
        <v/>
      </c>
      <c r="L1296">
        <f>IF($U1296="","",INDEX(상세표[직위],$U1296)&amp;"")</f>
        <v/>
      </c>
      <c r="M1296">
        <f>IF($U1296="","",IF(ISNUMBER(INDEX(상세표[근무일자],$U1296)),TEXT(INDEX(상세표[근무일자],$U1296),"yyyy-mm-dd"),INDEX(상세표[근무일자],$U1296)&amp;""))</f>
        <v/>
      </c>
      <c r="N1296">
        <f>IF($U1296="","",IF(ISNUMBER(INDEX(상세표[시작],$U1296)),TEXT(INDEX(상세표[시작],$U1296),"yyyy-mm-dd hh:mm"),INDEX(상세표[시작],$U1296)&amp;""))</f>
        <v/>
      </c>
      <c r="O1296">
        <f>IF($U1296="","",IF(ISNUMBER(INDEX(상세표[종료],$U1296)),TEXT(INDEX(상세표[종료],$U1296),"yyyy-mm-dd hh:mm"),INDEX(상세표[종료],$U1296)&amp;""))</f>
        <v/>
      </c>
      <c r="P1296" s="20">
        <f>IF($U1296="","",INDEX(상세표[06~07시],$U1296))</f>
        <v/>
      </c>
      <c r="Q1296" s="20">
        <f>IF($U1296="","",INDEX(상세표[07~18시],$U1296))</f>
        <v/>
      </c>
      <c r="R1296" s="20">
        <f>IF($U1296="","",INDEX(상세표[18~22시],$U1296))</f>
        <v/>
      </c>
      <c r="S1296" s="20">
        <f>IF($U1296="","",INDEX(상세표[22~06시],$U1296))</f>
        <v/>
      </c>
      <c r="T1296" s="20">
        <f>IF($U1296="","",INDEX(상세표[기록 시간외],$U1296))</f>
        <v/>
      </c>
      <c r="U1296" s="4">
        <f>IFERROR(MATCH(1291,상세표[발송순번],0),"")</f>
        <v/>
      </c>
    </row>
    <row r="1297">
      <c r="J1297">
        <f>IF($U1297="","",INDEX(상세표[사번],$U1297)&amp;"")</f>
        <v/>
      </c>
      <c r="K1297">
        <f>IF($U1297="","",INDEX(상세표[성명],$U1297)&amp;"")</f>
        <v/>
      </c>
      <c r="L1297">
        <f>IF($U1297="","",INDEX(상세표[직위],$U1297)&amp;"")</f>
        <v/>
      </c>
      <c r="M1297">
        <f>IF($U1297="","",IF(ISNUMBER(INDEX(상세표[근무일자],$U1297)),TEXT(INDEX(상세표[근무일자],$U1297),"yyyy-mm-dd"),INDEX(상세표[근무일자],$U1297)&amp;""))</f>
        <v/>
      </c>
      <c r="N1297">
        <f>IF($U1297="","",IF(ISNUMBER(INDEX(상세표[시작],$U1297)),TEXT(INDEX(상세표[시작],$U1297),"yyyy-mm-dd hh:mm"),INDEX(상세표[시작],$U1297)&amp;""))</f>
        <v/>
      </c>
      <c r="O1297">
        <f>IF($U1297="","",IF(ISNUMBER(INDEX(상세표[종료],$U1297)),TEXT(INDEX(상세표[종료],$U1297),"yyyy-mm-dd hh:mm"),INDEX(상세표[종료],$U1297)&amp;""))</f>
        <v/>
      </c>
      <c r="P1297" s="20">
        <f>IF($U1297="","",INDEX(상세표[06~07시],$U1297))</f>
        <v/>
      </c>
      <c r="Q1297" s="20">
        <f>IF($U1297="","",INDEX(상세표[07~18시],$U1297))</f>
        <v/>
      </c>
      <c r="R1297" s="20">
        <f>IF($U1297="","",INDEX(상세표[18~22시],$U1297))</f>
        <v/>
      </c>
      <c r="S1297" s="20">
        <f>IF($U1297="","",INDEX(상세표[22~06시],$U1297))</f>
        <v/>
      </c>
      <c r="T1297" s="20">
        <f>IF($U1297="","",INDEX(상세표[기록 시간외],$U1297))</f>
        <v/>
      </c>
      <c r="U1297" s="4">
        <f>IFERROR(MATCH(1292,상세표[발송순번],0),"")</f>
        <v/>
      </c>
    </row>
    <row r="1298">
      <c r="J1298">
        <f>IF($U1298="","",INDEX(상세표[사번],$U1298)&amp;"")</f>
        <v/>
      </c>
      <c r="K1298">
        <f>IF($U1298="","",INDEX(상세표[성명],$U1298)&amp;"")</f>
        <v/>
      </c>
      <c r="L1298">
        <f>IF($U1298="","",INDEX(상세표[직위],$U1298)&amp;"")</f>
        <v/>
      </c>
      <c r="M1298">
        <f>IF($U1298="","",IF(ISNUMBER(INDEX(상세표[근무일자],$U1298)),TEXT(INDEX(상세표[근무일자],$U1298),"yyyy-mm-dd"),INDEX(상세표[근무일자],$U1298)&amp;""))</f>
        <v/>
      </c>
      <c r="N1298">
        <f>IF($U1298="","",IF(ISNUMBER(INDEX(상세표[시작],$U1298)),TEXT(INDEX(상세표[시작],$U1298),"yyyy-mm-dd hh:mm"),INDEX(상세표[시작],$U1298)&amp;""))</f>
        <v/>
      </c>
      <c r="O1298">
        <f>IF($U1298="","",IF(ISNUMBER(INDEX(상세표[종료],$U1298)),TEXT(INDEX(상세표[종료],$U1298),"yyyy-mm-dd hh:mm"),INDEX(상세표[종료],$U1298)&amp;""))</f>
        <v/>
      </c>
      <c r="P1298" s="20">
        <f>IF($U1298="","",INDEX(상세표[06~07시],$U1298))</f>
        <v/>
      </c>
      <c r="Q1298" s="20">
        <f>IF($U1298="","",INDEX(상세표[07~18시],$U1298))</f>
        <v/>
      </c>
      <c r="R1298" s="20">
        <f>IF($U1298="","",INDEX(상세표[18~22시],$U1298))</f>
        <v/>
      </c>
      <c r="S1298" s="20">
        <f>IF($U1298="","",INDEX(상세표[22~06시],$U1298))</f>
        <v/>
      </c>
      <c r="T1298" s="20">
        <f>IF($U1298="","",INDEX(상세표[기록 시간외],$U1298))</f>
        <v/>
      </c>
      <c r="U1298" s="4">
        <f>IFERROR(MATCH(1293,상세표[발송순번],0),"")</f>
        <v/>
      </c>
    </row>
    <row r="1299">
      <c r="J1299">
        <f>IF($U1299="","",INDEX(상세표[사번],$U1299)&amp;"")</f>
        <v/>
      </c>
      <c r="K1299">
        <f>IF($U1299="","",INDEX(상세표[성명],$U1299)&amp;"")</f>
        <v/>
      </c>
      <c r="L1299">
        <f>IF($U1299="","",INDEX(상세표[직위],$U1299)&amp;"")</f>
        <v/>
      </c>
      <c r="M1299">
        <f>IF($U1299="","",IF(ISNUMBER(INDEX(상세표[근무일자],$U1299)),TEXT(INDEX(상세표[근무일자],$U1299),"yyyy-mm-dd"),INDEX(상세표[근무일자],$U1299)&amp;""))</f>
        <v/>
      </c>
      <c r="N1299">
        <f>IF($U1299="","",IF(ISNUMBER(INDEX(상세표[시작],$U1299)),TEXT(INDEX(상세표[시작],$U1299),"yyyy-mm-dd hh:mm"),INDEX(상세표[시작],$U1299)&amp;""))</f>
        <v/>
      </c>
      <c r="O1299">
        <f>IF($U1299="","",IF(ISNUMBER(INDEX(상세표[종료],$U1299)),TEXT(INDEX(상세표[종료],$U1299),"yyyy-mm-dd hh:mm"),INDEX(상세표[종료],$U1299)&amp;""))</f>
        <v/>
      </c>
      <c r="P1299" s="20">
        <f>IF($U1299="","",INDEX(상세표[06~07시],$U1299))</f>
        <v/>
      </c>
      <c r="Q1299" s="20">
        <f>IF($U1299="","",INDEX(상세표[07~18시],$U1299))</f>
        <v/>
      </c>
      <c r="R1299" s="20">
        <f>IF($U1299="","",INDEX(상세표[18~22시],$U1299))</f>
        <v/>
      </c>
      <c r="S1299" s="20">
        <f>IF($U1299="","",INDEX(상세표[22~06시],$U1299))</f>
        <v/>
      </c>
      <c r="T1299" s="20">
        <f>IF($U1299="","",INDEX(상세표[기록 시간외],$U1299))</f>
        <v/>
      </c>
      <c r="U1299" s="4">
        <f>IFERROR(MATCH(1294,상세표[발송순번],0),"")</f>
        <v/>
      </c>
    </row>
    <row r="1300">
      <c r="J1300">
        <f>IF($U1300="","",INDEX(상세표[사번],$U1300)&amp;"")</f>
        <v/>
      </c>
      <c r="K1300">
        <f>IF($U1300="","",INDEX(상세표[성명],$U1300)&amp;"")</f>
        <v/>
      </c>
      <c r="L1300">
        <f>IF($U1300="","",INDEX(상세표[직위],$U1300)&amp;"")</f>
        <v/>
      </c>
      <c r="M1300">
        <f>IF($U1300="","",IF(ISNUMBER(INDEX(상세표[근무일자],$U1300)),TEXT(INDEX(상세표[근무일자],$U1300),"yyyy-mm-dd"),INDEX(상세표[근무일자],$U1300)&amp;""))</f>
        <v/>
      </c>
      <c r="N1300">
        <f>IF($U1300="","",IF(ISNUMBER(INDEX(상세표[시작],$U1300)),TEXT(INDEX(상세표[시작],$U1300),"yyyy-mm-dd hh:mm"),INDEX(상세표[시작],$U1300)&amp;""))</f>
        <v/>
      </c>
      <c r="O1300">
        <f>IF($U1300="","",IF(ISNUMBER(INDEX(상세표[종료],$U1300)),TEXT(INDEX(상세표[종료],$U1300),"yyyy-mm-dd hh:mm"),INDEX(상세표[종료],$U1300)&amp;""))</f>
        <v/>
      </c>
      <c r="P1300" s="20">
        <f>IF($U1300="","",INDEX(상세표[06~07시],$U1300))</f>
        <v/>
      </c>
      <c r="Q1300" s="20">
        <f>IF($U1300="","",INDEX(상세표[07~18시],$U1300))</f>
        <v/>
      </c>
      <c r="R1300" s="20">
        <f>IF($U1300="","",INDEX(상세표[18~22시],$U1300))</f>
        <v/>
      </c>
      <c r="S1300" s="20">
        <f>IF($U1300="","",INDEX(상세표[22~06시],$U1300))</f>
        <v/>
      </c>
      <c r="T1300" s="20">
        <f>IF($U1300="","",INDEX(상세표[기록 시간외],$U1300))</f>
        <v/>
      </c>
      <c r="U1300" s="4">
        <f>IFERROR(MATCH(1295,상세표[발송순번],0),"")</f>
        <v/>
      </c>
    </row>
    <row r="1301">
      <c r="J1301">
        <f>IF($U1301="","",INDEX(상세표[사번],$U1301)&amp;"")</f>
        <v/>
      </c>
      <c r="K1301">
        <f>IF($U1301="","",INDEX(상세표[성명],$U1301)&amp;"")</f>
        <v/>
      </c>
      <c r="L1301">
        <f>IF($U1301="","",INDEX(상세표[직위],$U1301)&amp;"")</f>
        <v/>
      </c>
      <c r="M1301">
        <f>IF($U1301="","",IF(ISNUMBER(INDEX(상세표[근무일자],$U1301)),TEXT(INDEX(상세표[근무일자],$U1301),"yyyy-mm-dd"),INDEX(상세표[근무일자],$U1301)&amp;""))</f>
        <v/>
      </c>
      <c r="N1301">
        <f>IF($U1301="","",IF(ISNUMBER(INDEX(상세표[시작],$U1301)),TEXT(INDEX(상세표[시작],$U1301),"yyyy-mm-dd hh:mm"),INDEX(상세표[시작],$U1301)&amp;""))</f>
        <v/>
      </c>
      <c r="O1301">
        <f>IF($U1301="","",IF(ISNUMBER(INDEX(상세표[종료],$U1301)),TEXT(INDEX(상세표[종료],$U1301),"yyyy-mm-dd hh:mm"),INDEX(상세표[종료],$U1301)&amp;""))</f>
        <v/>
      </c>
      <c r="P1301" s="20">
        <f>IF($U1301="","",INDEX(상세표[06~07시],$U1301))</f>
        <v/>
      </c>
      <c r="Q1301" s="20">
        <f>IF($U1301="","",INDEX(상세표[07~18시],$U1301))</f>
        <v/>
      </c>
      <c r="R1301" s="20">
        <f>IF($U1301="","",INDEX(상세표[18~22시],$U1301))</f>
        <v/>
      </c>
      <c r="S1301" s="20">
        <f>IF($U1301="","",INDEX(상세표[22~06시],$U1301))</f>
        <v/>
      </c>
      <c r="T1301" s="20">
        <f>IF($U1301="","",INDEX(상세표[기록 시간외],$U1301))</f>
        <v/>
      </c>
      <c r="U1301" s="4">
        <f>IFERROR(MATCH(1296,상세표[발송순번],0),"")</f>
        <v/>
      </c>
    </row>
    <row r="1302">
      <c r="J1302">
        <f>IF($U1302="","",INDEX(상세표[사번],$U1302)&amp;"")</f>
        <v/>
      </c>
      <c r="K1302">
        <f>IF($U1302="","",INDEX(상세표[성명],$U1302)&amp;"")</f>
        <v/>
      </c>
      <c r="L1302">
        <f>IF($U1302="","",INDEX(상세표[직위],$U1302)&amp;"")</f>
        <v/>
      </c>
      <c r="M1302">
        <f>IF($U1302="","",IF(ISNUMBER(INDEX(상세표[근무일자],$U1302)),TEXT(INDEX(상세표[근무일자],$U1302),"yyyy-mm-dd"),INDEX(상세표[근무일자],$U1302)&amp;""))</f>
        <v/>
      </c>
      <c r="N1302">
        <f>IF($U1302="","",IF(ISNUMBER(INDEX(상세표[시작],$U1302)),TEXT(INDEX(상세표[시작],$U1302),"yyyy-mm-dd hh:mm"),INDEX(상세표[시작],$U1302)&amp;""))</f>
        <v/>
      </c>
      <c r="O1302">
        <f>IF($U1302="","",IF(ISNUMBER(INDEX(상세표[종료],$U1302)),TEXT(INDEX(상세표[종료],$U1302),"yyyy-mm-dd hh:mm"),INDEX(상세표[종료],$U1302)&amp;""))</f>
        <v/>
      </c>
      <c r="P1302" s="20">
        <f>IF($U1302="","",INDEX(상세표[06~07시],$U1302))</f>
        <v/>
      </c>
      <c r="Q1302" s="20">
        <f>IF($U1302="","",INDEX(상세표[07~18시],$U1302))</f>
        <v/>
      </c>
      <c r="R1302" s="20">
        <f>IF($U1302="","",INDEX(상세표[18~22시],$U1302))</f>
        <v/>
      </c>
      <c r="S1302" s="20">
        <f>IF($U1302="","",INDEX(상세표[22~06시],$U1302))</f>
        <v/>
      </c>
      <c r="T1302" s="20">
        <f>IF($U1302="","",INDEX(상세표[기록 시간외],$U1302))</f>
        <v/>
      </c>
      <c r="U1302" s="4">
        <f>IFERROR(MATCH(1297,상세표[발송순번],0),"")</f>
        <v/>
      </c>
    </row>
    <row r="1303">
      <c r="J1303">
        <f>IF($U1303="","",INDEX(상세표[사번],$U1303)&amp;"")</f>
        <v/>
      </c>
      <c r="K1303">
        <f>IF($U1303="","",INDEX(상세표[성명],$U1303)&amp;"")</f>
        <v/>
      </c>
      <c r="L1303">
        <f>IF($U1303="","",INDEX(상세표[직위],$U1303)&amp;"")</f>
        <v/>
      </c>
      <c r="M1303">
        <f>IF($U1303="","",IF(ISNUMBER(INDEX(상세표[근무일자],$U1303)),TEXT(INDEX(상세표[근무일자],$U1303),"yyyy-mm-dd"),INDEX(상세표[근무일자],$U1303)&amp;""))</f>
        <v/>
      </c>
      <c r="N1303">
        <f>IF($U1303="","",IF(ISNUMBER(INDEX(상세표[시작],$U1303)),TEXT(INDEX(상세표[시작],$U1303),"yyyy-mm-dd hh:mm"),INDEX(상세표[시작],$U1303)&amp;""))</f>
        <v/>
      </c>
      <c r="O1303">
        <f>IF($U1303="","",IF(ISNUMBER(INDEX(상세표[종료],$U1303)),TEXT(INDEX(상세표[종료],$U1303),"yyyy-mm-dd hh:mm"),INDEX(상세표[종료],$U1303)&amp;""))</f>
        <v/>
      </c>
      <c r="P1303" s="20">
        <f>IF($U1303="","",INDEX(상세표[06~07시],$U1303))</f>
        <v/>
      </c>
      <c r="Q1303" s="20">
        <f>IF($U1303="","",INDEX(상세표[07~18시],$U1303))</f>
        <v/>
      </c>
      <c r="R1303" s="20">
        <f>IF($U1303="","",INDEX(상세표[18~22시],$U1303))</f>
        <v/>
      </c>
      <c r="S1303" s="20">
        <f>IF($U1303="","",INDEX(상세표[22~06시],$U1303))</f>
        <v/>
      </c>
      <c r="T1303" s="20">
        <f>IF($U1303="","",INDEX(상세표[기록 시간외],$U1303))</f>
        <v/>
      </c>
      <c r="U1303" s="4">
        <f>IFERROR(MATCH(1298,상세표[발송순번],0),"")</f>
        <v/>
      </c>
    </row>
    <row r="1304">
      <c r="J1304">
        <f>IF($U1304="","",INDEX(상세표[사번],$U1304)&amp;"")</f>
        <v/>
      </c>
      <c r="K1304">
        <f>IF($U1304="","",INDEX(상세표[성명],$U1304)&amp;"")</f>
        <v/>
      </c>
      <c r="L1304">
        <f>IF($U1304="","",INDEX(상세표[직위],$U1304)&amp;"")</f>
        <v/>
      </c>
      <c r="M1304">
        <f>IF($U1304="","",IF(ISNUMBER(INDEX(상세표[근무일자],$U1304)),TEXT(INDEX(상세표[근무일자],$U1304),"yyyy-mm-dd"),INDEX(상세표[근무일자],$U1304)&amp;""))</f>
        <v/>
      </c>
      <c r="N1304">
        <f>IF($U1304="","",IF(ISNUMBER(INDEX(상세표[시작],$U1304)),TEXT(INDEX(상세표[시작],$U1304),"yyyy-mm-dd hh:mm"),INDEX(상세표[시작],$U1304)&amp;""))</f>
        <v/>
      </c>
      <c r="O1304">
        <f>IF($U1304="","",IF(ISNUMBER(INDEX(상세표[종료],$U1304)),TEXT(INDEX(상세표[종료],$U1304),"yyyy-mm-dd hh:mm"),INDEX(상세표[종료],$U1304)&amp;""))</f>
        <v/>
      </c>
      <c r="P1304" s="20">
        <f>IF($U1304="","",INDEX(상세표[06~07시],$U1304))</f>
        <v/>
      </c>
      <c r="Q1304" s="20">
        <f>IF($U1304="","",INDEX(상세표[07~18시],$U1304))</f>
        <v/>
      </c>
      <c r="R1304" s="20">
        <f>IF($U1304="","",INDEX(상세표[18~22시],$U1304))</f>
        <v/>
      </c>
      <c r="S1304" s="20">
        <f>IF($U1304="","",INDEX(상세표[22~06시],$U1304))</f>
        <v/>
      </c>
      <c r="T1304" s="20">
        <f>IF($U1304="","",INDEX(상세표[기록 시간외],$U1304))</f>
        <v/>
      </c>
      <c r="U1304" s="4">
        <f>IFERROR(MATCH(1299,상세표[발송순번],0),"")</f>
        <v/>
      </c>
    </row>
    <row r="1305">
      <c r="J1305">
        <f>IF($U1305="","",INDEX(상세표[사번],$U1305)&amp;"")</f>
        <v/>
      </c>
      <c r="K1305">
        <f>IF($U1305="","",INDEX(상세표[성명],$U1305)&amp;"")</f>
        <v/>
      </c>
      <c r="L1305">
        <f>IF($U1305="","",INDEX(상세표[직위],$U1305)&amp;"")</f>
        <v/>
      </c>
      <c r="M1305">
        <f>IF($U1305="","",IF(ISNUMBER(INDEX(상세표[근무일자],$U1305)),TEXT(INDEX(상세표[근무일자],$U1305),"yyyy-mm-dd"),INDEX(상세표[근무일자],$U1305)&amp;""))</f>
        <v/>
      </c>
      <c r="N1305">
        <f>IF($U1305="","",IF(ISNUMBER(INDEX(상세표[시작],$U1305)),TEXT(INDEX(상세표[시작],$U1305),"yyyy-mm-dd hh:mm"),INDEX(상세표[시작],$U1305)&amp;""))</f>
        <v/>
      </c>
      <c r="O1305">
        <f>IF($U1305="","",IF(ISNUMBER(INDEX(상세표[종료],$U1305)),TEXT(INDEX(상세표[종료],$U1305),"yyyy-mm-dd hh:mm"),INDEX(상세표[종료],$U1305)&amp;""))</f>
        <v/>
      </c>
      <c r="P1305" s="20">
        <f>IF($U1305="","",INDEX(상세표[06~07시],$U1305))</f>
        <v/>
      </c>
      <c r="Q1305" s="20">
        <f>IF($U1305="","",INDEX(상세표[07~18시],$U1305))</f>
        <v/>
      </c>
      <c r="R1305" s="20">
        <f>IF($U1305="","",INDEX(상세표[18~22시],$U1305))</f>
        <v/>
      </c>
      <c r="S1305" s="20">
        <f>IF($U1305="","",INDEX(상세표[22~06시],$U1305))</f>
        <v/>
      </c>
      <c r="T1305" s="20">
        <f>IF($U1305="","",INDEX(상세표[기록 시간외],$U1305))</f>
        <v/>
      </c>
      <c r="U1305" s="4">
        <f>IFERROR(MATCH(1300,상세표[발송순번],0),"")</f>
        <v/>
      </c>
    </row>
    <row r="1306">
      <c r="J1306">
        <f>IF($U1306="","",INDEX(상세표[사번],$U1306)&amp;"")</f>
        <v/>
      </c>
      <c r="K1306">
        <f>IF($U1306="","",INDEX(상세표[성명],$U1306)&amp;"")</f>
        <v/>
      </c>
      <c r="L1306">
        <f>IF($U1306="","",INDEX(상세표[직위],$U1306)&amp;"")</f>
        <v/>
      </c>
      <c r="M1306">
        <f>IF($U1306="","",IF(ISNUMBER(INDEX(상세표[근무일자],$U1306)),TEXT(INDEX(상세표[근무일자],$U1306),"yyyy-mm-dd"),INDEX(상세표[근무일자],$U1306)&amp;""))</f>
        <v/>
      </c>
      <c r="N1306">
        <f>IF($U1306="","",IF(ISNUMBER(INDEX(상세표[시작],$U1306)),TEXT(INDEX(상세표[시작],$U1306),"yyyy-mm-dd hh:mm"),INDEX(상세표[시작],$U1306)&amp;""))</f>
        <v/>
      </c>
      <c r="O1306">
        <f>IF($U1306="","",IF(ISNUMBER(INDEX(상세표[종료],$U1306)),TEXT(INDEX(상세표[종료],$U1306),"yyyy-mm-dd hh:mm"),INDEX(상세표[종료],$U1306)&amp;""))</f>
        <v/>
      </c>
      <c r="P1306" s="20">
        <f>IF($U1306="","",INDEX(상세표[06~07시],$U1306))</f>
        <v/>
      </c>
      <c r="Q1306" s="20">
        <f>IF($U1306="","",INDEX(상세표[07~18시],$U1306))</f>
        <v/>
      </c>
      <c r="R1306" s="20">
        <f>IF($U1306="","",INDEX(상세표[18~22시],$U1306))</f>
        <v/>
      </c>
      <c r="S1306" s="20">
        <f>IF($U1306="","",INDEX(상세표[22~06시],$U1306))</f>
        <v/>
      </c>
      <c r="T1306" s="20">
        <f>IF($U1306="","",INDEX(상세표[기록 시간외],$U1306))</f>
        <v/>
      </c>
      <c r="U1306" s="4">
        <f>IFERROR(MATCH(1301,상세표[발송순번],0),"")</f>
        <v/>
      </c>
    </row>
    <row r="1307">
      <c r="J1307">
        <f>IF($U1307="","",INDEX(상세표[사번],$U1307)&amp;"")</f>
        <v/>
      </c>
      <c r="K1307">
        <f>IF($U1307="","",INDEX(상세표[성명],$U1307)&amp;"")</f>
        <v/>
      </c>
      <c r="L1307">
        <f>IF($U1307="","",INDEX(상세표[직위],$U1307)&amp;"")</f>
        <v/>
      </c>
      <c r="M1307">
        <f>IF($U1307="","",IF(ISNUMBER(INDEX(상세표[근무일자],$U1307)),TEXT(INDEX(상세표[근무일자],$U1307),"yyyy-mm-dd"),INDEX(상세표[근무일자],$U1307)&amp;""))</f>
        <v/>
      </c>
      <c r="N1307">
        <f>IF($U1307="","",IF(ISNUMBER(INDEX(상세표[시작],$U1307)),TEXT(INDEX(상세표[시작],$U1307),"yyyy-mm-dd hh:mm"),INDEX(상세표[시작],$U1307)&amp;""))</f>
        <v/>
      </c>
      <c r="O1307">
        <f>IF($U1307="","",IF(ISNUMBER(INDEX(상세표[종료],$U1307)),TEXT(INDEX(상세표[종료],$U1307),"yyyy-mm-dd hh:mm"),INDEX(상세표[종료],$U1307)&amp;""))</f>
        <v/>
      </c>
      <c r="P1307" s="20">
        <f>IF($U1307="","",INDEX(상세표[06~07시],$U1307))</f>
        <v/>
      </c>
      <c r="Q1307" s="20">
        <f>IF($U1307="","",INDEX(상세표[07~18시],$U1307))</f>
        <v/>
      </c>
      <c r="R1307" s="20">
        <f>IF($U1307="","",INDEX(상세표[18~22시],$U1307))</f>
        <v/>
      </c>
      <c r="S1307" s="20">
        <f>IF($U1307="","",INDEX(상세표[22~06시],$U1307))</f>
        <v/>
      </c>
      <c r="T1307" s="20">
        <f>IF($U1307="","",INDEX(상세표[기록 시간외],$U1307))</f>
        <v/>
      </c>
      <c r="U1307" s="4">
        <f>IFERROR(MATCH(1302,상세표[발송순번],0),"")</f>
        <v/>
      </c>
    </row>
    <row r="1308">
      <c r="J1308">
        <f>IF($U1308="","",INDEX(상세표[사번],$U1308)&amp;"")</f>
        <v/>
      </c>
      <c r="K1308">
        <f>IF($U1308="","",INDEX(상세표[성명],$U1308)&amp;"")</f>
        <v/>
      </c>
      <c r="L1308">
        <f>IF($U1308="","",INDEX(상세표[직위],$U1308)&amp;"")</f>
        <v/>
      </c>
      <c r="M1308">
        <f>IF($U1308="","",IF(ISNUMBER(INDEX(상세표[근무일자],$U1308)),TEXT(INDEX(상세표[근무일자],$U1308),"yyyy-mm-dd"),INDEX(상세표[근무일자],$U1308)&amp;""))</f>
        <v/>
      </c>
      <c r="N1308">
        <f>IF($U1308="","",IF(ISNUMBER(INDEX(상세표[시작],$U1308)),TEXT(INDEX(상세표[시작],$U1308),"yyyy-mm-dd hh:mm"),INDEX(상세표[시작],$U1308)&amp;""))</f>
        <v/>
      </c>
      <c r="O1308">
        <f>IF($U1308="","",IF(ISNUMBER(INDEX(상세표[종료],$U1308)),TEXT(INDEX(상세표[종료],$U1308),"yyyy-mm-dd hh:mm"),INDEX(상세표[종료],$U1308)&amp;""))</f>
        <v/>
      </c>
      <c r="P1308" s="20">
        <f>IF($U1308="","",INDEX(상세표[06~07시],$U1308))</f>
        <v/>
      </c>
      <c r="Q1308" s="20">
        <f>IF($U1308="","",INDEX(상세표[07~18시],$U1308))</f>
        <v/>
      </c>
      <c r="R1308" s="20">
        <f>IF($U1308="","",INDEX(상세표[18~22시],$U1308))</f>
        <v/>
      </c>
      <c r="S1308" s="20">
        <f>IF($U1308="","",INDEX(상세표[22~06시],$U1308))</f>
        <v/>
      </c>
      <c r="T1308" s="20">
        <f>IF($U1308="","",INDEX(상세표[기록 시간외],$U1308))</f>
        <v/>
      </c>
      <c r="U1308" s="4">
        <f>IFERROR(MATCH(1303,상세표[발송순번],0),"")</f>
        <v/>
      </c>
    </row>
    <row r="1309">
      <c r="J1309">
        <f>IF($U1309="","",INDEX(상세표[사번],$U1309)&amp;"")</f>
        <v/>
      </c>
      <c r="K1309">
        <f>IF($U1309="","",INDEX(상세표[성명],$U1309)&amp;"")</f>
        <v/>
      </c>
      <c r="L1309">
        <f>IF($U1309="","",INDEX(상세표[직위],$U1309)&amp;"")</f>
        <v/>
      </c>
      <c r="M1309">
        <f>IF($U1309="","",IF(ISNUMBER(INDEX(상세표[근무일자],$U1309)),TEXT(INDEX(상세표[근무일자],$U1309),"yyyy-mm-dd"),INDEX(상세표[근무일자],$U1309)&amp;""))</f>
        <v/>
      </c>
      <c r="N1309">
        <f>IF($U1309="","",IF(ISNUMBER(INDEX(상세표[시작],$U1309)),TEXT(INDEX(상세표[시작],$U1309),"yyyy-mm-dd hh:mm"),INDEX(상세표[시작],$U1309)&amp;""))</f>
        <v/>
      </c>
      <c r="O1309">
        <f>IF($U1309="","",IF(ISNUMBER(INDEX(상세표[종료],$U1309)),TEXT(INDEX(상세표[종료],$U1309),"yyyy-mm-dd hh:mm"),INDEX(상세표[종료],$U1309)&amp;""))</f>
        <v/>
      </c>
      <c r="P1309" s="20">
        <f>IF($U1309="","",INDEX(상세표[06~07시],$U1309))</f>
        <v/>
      </c>
      <c r="Q1309" s="20">
        <f>IF($U1309="","",INDEX(상세표[07~18시],$U1309))</f>
        <v/>
      </c>
      <c r="R1309" s="20">
        <f>IF($U1309="","",INDEX(상세표[18~22시],$U1309))</f>
        <v/>
      </c>
      <c r="S1309" s="20">
        <f>IF($U1309="","",INDEX(상세표[22~06시],$U1309))</f>
        <v/>
      </c>
      <c r="T1309" s="20">
        <f>IF($U1309="","",INDEX(상세표[기록 시간외],$U1309))</f>
        <v/>
      </c>
      <c r="U1309" s="4">
        <f>IFERROR(MATCH(1304,상세표[발송순번],0),"")</f>
        <v/>
      </c>
    </row>
    <row r="1310">
      <c r="J1310">
        <f>IF($U1310="","",INDEX(상세표[사번],$U1310)&amp;"")</f>
        <v/>
      </c>
      <c r="K1310">
        <f>IF($U1310="","",INDEX(상세표[성명],$U1310)&amp;"")</f>
        <v/>
      </c>
      <c r="L1310">
        <f>IF($U1310="","",INDEX(상세표[직위],$U1310)&amp;"")</f>
        <v/>
      </c>
      <c r="M1310">
        <f>IF($U1310="","",IF(ISNUMBER(INDEX(상세표[근무일자],$U1310)),TEXT(INDEX(상세표[근무일자],$U1310),"yyyy-mm-dd"),INDEX(상세표[근무일자],$U1310)&amp;""))</f>
        <v/>
      </c>
      <c r="N1310">
        <f>IF($U1310="","",IF(ISNUMBER(INDEX(상세표[시작],$U1310)),TEXT(INDEX(상세표[시작],$U1310),"yyyy-mm-dd hh:mm"),INDEX(상세표[시작],$U1310)&amp;""))</f>
        <v/>
      </c>
      <c r="O1310">
        <f>IF($U1310="","",IF(ISNUMBER(INDEX(상세표[종료],$U1310)),TEXT(INDEX(상세표[종료],$U1310),"yyyy-mm-dd hh:mm"),INDEX(상세표[종료],$U1310)&amp;""))</f>
        <v/>
      </c>
      <c r="P1310" s="20">
        <f>IF($U1310="","",INDEX(상세표[06~07시],$U1310))</f>
        <v/>
      </c>
      <c r="Q1310" s="20">
        <f>IF($U1310="","",INDEX(상세표[07~18시],$U1310))</f>
        <v/>
      </c>
      <c r="R1310" s="20">
        <f>IF($U1310="","",INDEX(상세표[18~22시],$U1310))</f>
        <v/>
      </c>
      <c r="S1310" s="20">
        <f>IF($U1310="","",INDEX(상세표[22~06시],$U1310))</f>
        <v/>
      </c>
      <c r="T1310" s="20">
        <f>IF($U1310="","",INDEX(상세표[기록 시간외],$U1310))</f>
        <v/>
      </c>
      <c r="U1310" s="4">
        <f>IFERROR(MATCH(1305,상세표[발송순번],0),"")</f>
        <v/>
      </c>
    </row>
    <row r="1311">
      <c r="J1311">
        <f>IF($U1311="","",INDEX(상세표[사번],$U1311)&amp;"")</f>
        <v/>
      </c>
      <c r="K1311">
        <f>IF($U1311="","",INDEX(상세표[성명],$U1311)&amp;"")</f>
        <v/>
      </c>
      <c r="L1311">
        <f>IF($U1311="","",INDEX(상세표[직위],$U1311)&amp;"")</f>
        <v/>
      </c>
      <c r="M1311">
        <f>IF($U1311="","",IF(ISNUMBER(INDEX(상세표[근무일자],$U1311)),TEXT(INDEX(상세표[근무일자],$U1311),"yyyy-mm-dd"),INDEX(상세표[근무일자],$U1311)&amp;""))</f>
        <v/>
      </c>
      <c r="N1311">
        <f>IF($U1311="","",IF(ISNUMBER(INDEX(상세표[시작],$U1311)),TEXT(INDEX(상세표[시작],$U1311),"yyyy-mm-dd hh:mm"),INDEX(상세표[시작],$U1311)&amp;""))</f>
        <v/>
      </c>
      <c r="O1311">
        <f>IF($U1311="","",IF(ISNUMBER(INDEX(상세표[종료],$U1311)),TEXT(INDEX(상세표[종료],$U1311),"yyyy-mm-dd hh:mm"),INDEX(상세표[종료],$U1311)&amp;""))</f>
        <v/>
      </c>
      <c r="P1311" s="20">
        <f>IF($U1311="","",INDEX(상세표[06~07시],$U1311))</f>
        <v/>
      </c>
      <c r="Q1311" s="20">
        <f>IF($U1311="","",INDEX(상세표[07~18시],$U1311))</f>
        <v/>
      </c>
      <c r="R1311" s="20">
        <f>IF($U1311="","",INDEX(상세표[18~22시],$U1311))</f>
        <v/>
      </c>
      <c r="S1311" s="20">
        <f>IF($U1311="","",INDEX(상세표[22~06시],$U1311))</f>
        <v/>
      </c>
      <c r="T1311" s="20">
        <f>IF($U1311="","",INDEX(상세표[기록 시간외],$U1311))</f>
        <v/>
      </c>
      <c r="U1311" s="4">
        <f>IFERROR(MATCH(1306,상세표[발송순번],0),"")</f>
        <v/>
      </c>
    </row>
    <row r="1312">
      <c r="J1312">
        <f>IF($U1312="","",INDEX(상세표[사번],$U1312)&amp;"")</f>
        <v/>
      </c>
      <c r="K1312">
        <f>IF($U1312="","",INDEX(상세표[성명],$U1312)&amp;"")</f>
        <v/>
      </c>
      <c r="L1312">
        <f>IF($U1312="","",INDEX(상세표[직위],$U1312)&amp;"")</f>
        <v/>
      </c>
      <c r="M1312">
        <f>IF($U1312="","",IF(ISNUMBER(INDEX(상세표[근무일자],$U1312)),TEXT(INDEX(상세표[근무일자],$U1312),"yyyy-mm-dd"),INDEX(상세표[근무일자],$U1312)&amp;""))</f>
        <v/>
      </c>
      <c r="N1312">
        <f>IF($U1312="","",IF(ISNUMBER(INDEX(상세표[시작],$U1312)),TEXT(INDEX(상세표[시작],$U1312),"yyyy-mm-dd hh:mm"),INDEX(상세표[시작],$U1312)&amp;""))</f>
        <v/>
      </c>
      <c r="O1312">
        <f>IF($U1312="","",IF(ISNUMBER(INDEX(상세표[종료],$U1312)),TEXT(INDEX(상세표[종료],$U1312),"yyyy-mm-dd hh:mm"),INDEX(상세표[종료],$U1312)&amp;""))</f>
        <v/>
      </c>
      <c r="P1312" s="20">
        <f>IF($U1312="","",INDEX(상세표[06~07시],$U1312))</f>
        <v/>
      </c>
      <c r="Q1312" s="20">
        <f>IF($U1312="","",INDEX(상세표[07~18시],$U1312))</f>
        <v/>
      </c>
      <c r="R1312" s="20">
        <f>IF($U1312="","",INDEX(상세표[18~22시],$U1312))</f>
        <v/>
      </c>
      <c r="S1312" s="20">
        <f>IF($U1312="","",INDEX(상세표[22~06시],$U1312))</f>
        <v/>
      </c>
      <c r="T1312" s="20">
        <f>IF($U1312="","",INDEX(상세표[기록 시간외],$U1312))</f>
        <v/>
      </c>
      <c r="U1312" s="4">
        <f>IFERROR(MATCH(1307,상세표[발송순번],0),"")</f>
        <v/>
      </c>
    </row>
    <row r="1313">
      <c r="J1313">
        <f>IF($U1313="","",INDEX(상세표[사번],$U1313)&amp;"")</f>
        <v/>
      </c>
      <c r="K1313">
        <f>IF($U1313="","",INDEX(상세표[성명],$U1313)&amp;"")</f>
        <v/>
      </c>
      <c r="L1313">
        <f>IF($U1313="","",INDEX(상세표[직위],$U1313)&amp;"")</f>
        <v/>
      </c>
      <c r="M1313">
        <f>IF($U1313="","",IF(ISNUMBER(INDEX(상세표[근무일자],$U1313)),TEXT(INDEX(상세표[근무일자],$U1313),"yyyy-mm-dd"),INDEX(상세표[근무일자],$U1313)&amp;""))</f>
        <v/>
      </c>
      <c r="N1313">
        <f>IF($U1313="","",IF(ISNUMBER(INDEX(상세표[시작],$U1313)),TEXT(INDEX(상세표[시작],$U1313),"yyyy-mm-dd hh:mm"),INDEX(상세표[시작],$U1313)&amp;""))</f>
        <v/>
      </c>
      <c r="O1313">
        <f>IF($U1313="","",IF(ISNUMBER(INDEX(상세표[종료],$U1313)),TEXT(INDEX(상세표[종료],$U1313),"yyyy-mm-dd hh:mm"),INDEX(상세표[종료],$U1313)&amp;""))</f>
        <v/>
      </c>
      <c r="P1313" s="20">
        <f>IF($U1313="","",INDEX(상세표[06~07시],$U1313))</f>
        <v/>
      </c>
      <c r="Q1313" s="20">
        <f>IF($U1313="","",INDEX(상세표[07~18시],$U1313))</f>
        <v/>
      </c>
      <c r="R1313" s="20">
        <f>IF($U1313="","",INDEX(상세표[18~22시],$U1313))</f>
        <v/>
      </c>
      <c r="S1313" s="20">
        <f>IF($U1313="","",INDEX(상세표[22~06시],$U1313))</f>
        <v/>
      </c>
      <c r="T1313" s="20">
        <f>IF($U1313="","",INDEX(상세표[기록 시간외],$U1313))</f>
        <v/>
      </c>
      <c r="U1313" s="4">
        <f>IFERROR(MATCH(1308,상세표[발송순번],0),"")</f>
        <v/>
      </c>
    </row>
    <row r="1314">
      <c r="J1314">
        <f>IF($U1314="","",INDEX(상세표[사번],$U1314)&amp;"")</f>
        <v/>
      </c>
      <c r="K1314">
        <f>IF($U1314="","",INDEX(상세표[성명],$U1314)&amp;"")</f>
        <v/>
      </c>
      <c r="L1314">
        <f>IF($U1314="","",INDEX(상세표[직위],$U1314)&amp;"")</f>
        <v/>
      </c>
      <c r="M1314">
        <f>IF($U1314="","",IF(ISNUMBER(INDEX(상세표[근무일자],$U1314)),TEXT(INDEX(상세표[근무일자],$U1314),"yyyy-mm-dd"),INDEX(상세표[근무일자],$U1314)&amp;""))</f>
        <v/>
      </c>
      <c r="N1314">
        <f>IF($U1314="","",IF(ISNUMBER(INDEX(상세표[시작],$U1314)),TEXT(INDEX(상세표[시작],$U1314),"yyyy-mm-dd hh:mm"),INDEX(상세표[시작],$U1314)&amp;""))</f>
        <v/>
      </c>
      <c r="O1314">
        <f>IF($U1314="","",IF(ISNUMBER(INDEX(상세표[종료],$U1314)),TEXT(INDEX(상세표[종료],$U1314),"yyyy-mm-dd hh:mm"),INDEX(상세표[종료],$U1314)&amp;""))</f>
        <v/>
      </c>
      <c r="P1314" s="20">
        <f>IF($U1314="","",INDEX(상세표[06~07시],$U1314))</f>
        <v/>
      </c>
      <c r="Q1314" s="20">
        <f>IF($U1314="","",INDEX(상세표[07~18시],$U1314))</f>
        <v/>
      </c>
      <c r="R1314" s="20">
        <f>IF($U1314="","",INDEX(상세표[18~22시],$U1314))</f>
        <v/>
      </c>
      <c r="S1314" s="20">
        <f>IF($U1314="","",INDEX(상세표[22~06시],$U1314))</f>
        <v/>
      </c>
      <c r="T1314" s="20">
        <f>IF($U1314="","",INDEX(상세표[기록 시간외],$U1314))</f>
        <v/>
      </c>
      <c r="U1314" s="4">
        <f>IFERROR(MATCH(1309,상세표[발송순번],0),"")</f>
        <v/>
      </c>
    </row>
    <row r="1315">
      <c r="J1315">
        <f>IF($U1315="","",INDEX(상세표[사번],$U1315)&amp;"")</f>
        <v/>
      </c>
      <c r="K1315">
        <f>IF($U1315="","",INDEX(상세표[성명],$U1315)&amp;"")</f>
        <v/>
      </c>
      <c r="L1315">
        <f>IF($U1315="","",INDEX(상세표[직위],$U1315)&amp;"")</f>
        <v/>
      </c>
      <c r="M1315">
        <f>IF($U1315="","",IF(ISNUMBER(INDEX(상세표[근무일자],$U1315)),TEXT(INDEX(상세표[근무일자],$U1315),"yyyy-mm-dd"),INDEX(상세표[근무일자],$U1315)&amp;""))</f>
        <v/>
      </c>
      <c r="N1315">
        <f>IF($U1315="","",IF(ISNUMBER(INDEX(상세표[시작],$U1315)),TEXT(INDEX(상세표[시작],$U1315),"yyyy-mm-dd hh:mm"),INDEX(상세표[시작],$U1315)&amp;""))</f>
        <v/>
      </c>
      <c r="O1315">
        <f>IF($U1315="","",IF(ISNUMBER(INDEX(상세표[종료],$U1315)),TEXT(INDEX(상세표[종료],$U1315),"yyyy-mm-dd hh:mm"),INDEX(상세표[종료],$U1315)&amp;""))</f>
        <v/>
      </c>
      <c r="P1315" s="20">
        <f>IF($U1315="","",INDEX(상세표[06~07시],$U1315))</f>
        <v/>
      </c>
      <c r="Q1315" s="20">
        <f>IF($U1315="","",INDEX(상세표[07~18시],$U1315))</f>
        <v/>
      </c>
      <c r="R1315" s="20">
        <f>IF($U1315="","",INDEX(상세표[18~22시],$U1315))</f>
        <v/>
      </c>
      <c r="S1315" s="20">
        <f>IF($U1315="","",INDEX(상세표[22~06시],$U1315))</f>
        <v/>
      </c>
      <c r="T1315" s="20">
        <f>IF($U1315="","",INDEX(상세표[기록 시간외],$U1315))</f>
        <v/>
      </c>
      <c r="U1315" s="4">
        <f>IFERROR(MATCH(1310,상세표[발송순번],0),"")</f>
        <v/>
      </c>
    </row>
    <row r="1316">
      <c r="J1316">
        <f>IF($U1316="","",INDEX(상세표[사번],$U1316)&amp;"")</f>
        <v/>
      </c>
      <c r="K1316">
        <f>IF($U1316="","",INDEX(상세표[성명],$U1316)&amp;"")</f>
        <v/>
      </c>
      <c r="L1316">
        <f>IF($U1316="","",INDEX(상세표[직위],$U1316)&amp;"")</f>
        <v/>
      </c>
      <c r="M1316">
        <f>IF($U1316="","",IF(ISNUMBER(INDEX(상세표[근무일자],$U1316)),TEXT(INDEX(상세표[근무일자],$U1316),"yyyy-mm-dd"),INDEX(상세표[근무일자],$U1316)&amp;""))</f>
        <v/>
      </c>
      <c r="N1316">
        <f>IF($U1316="","",IF(ISNUMBER(INDEX(상세표[시작],$U1316)),TEXT(INDEX(상세표[시작],$U1316),"yyyy-mm-dd hh:mm"),INDEX(상세표[시작],$U1316)&amp;""))</f>
        <v/>
      </c>
      <c r="O1316">
        <f>IF($U1316="","",IF(ISNUMBER(INDEX(상세표[종료],$U1316)),TEXT(INDEX(상세표[종료],$U1316),"yyyy-mm-dd hh:mm"),INDEX(상세표[종료],$U1316)&amp;""))</f>
        <v/>
      </c>
      <c r="P1316" s="20">
        <f>IF($U1316="","",INDEX(상세표[06~07시],$U1316))</f>
        <v/>
      </c>
      <c r="Q1316" s="20">
        <f>IF($U1316="","",INDEX(상세표[07~18시],$U1316))</f>
        <v/>
      </c>
      <c r="R1316" s="20">
        <f>IF($U1316="","",INDEX(상세표[18~22시],$U1316))</f>
        <v/>
      </c>
      <c r="S1316" s="20">
        <f>IF($U1316="","",INDEX(상세표[22~06시],$U1316))</f>
        <v/>
      </c>
      <c r="T1316" s="20">
        <f>IF($U1316="","",INDEX(상세표[기록 시간외],$U1316))</f>
        <v/>
      </c>
      <c r="U1316" s="4">
        <f>IFERROR(MATCH(1311,상세표[발송순번],0),"")</f>
        <v/>
      </c>
    </row>
    <row r="1317">
      <c r="J1317">
        <f>IF($U1317="","",INDEX(상세표[사번],$U1317)&amp;"")</f>
        <v/>
      </c>
      <c r="K1317">
        <f>IF($U1317="","",INDEX(상세표[성명],$U1317)&amp;"")</f>
        <v/>
      </c>
      <c r="L1317">
        <f>IF($U1317="","",INDEX(상세표[직위],$U1317)&amp;"")</f>
        <v/>
      </c>
      <c r="M1317">
        <f>IF($U1317="","",IF(ISNUMBER(INDEX(상세표[근무일자],$U1317)),TEXT(INDEX(상세표[근무일자],$U1317),"yyyy-mm-dd"),INDEX(상세표[근무일자],$U1317)&amp;""))</f>
        <v/>
      </c>
      <c r="N1317">
        <f>IF($U1317="","",IF(ISNUMBER(INDEX(상세표[시작],$U1317)),TEXT(INDEX(상세표[시작],$U1317),"yyyy-mm-dd hh:mm"),INDEX(상세표[시작],$U1317)&amp;""))</f>
        <v/>
      </c>
      <c r="O1317">
        <f>IF($U1317="","",IF(ISNUMBER(INDEX(상세표[종료],$U1317)),TEXT(INDEX(상세표[종료],$U1317),"yyyy-mm-dd hh:mm"),INDEX(상세표[종료],$U1317)&amp;""))</f>
        <v/>
      </c>
      <c r="P1317" s="20">
        <f>IF($U1317="","",INDEX(상세표[06~07시],$U1317))</f>
        <v/>
      </c>
      <c r="Q1317" s="20">
        <f>IF($U1317="","",INDEX(상세표[07~18시],$U1317))</f>
        <v/>
      </c>
      <c r="R1317" s="20">
        <f>IF($U1317="","",INDEX(상세표[18~22시],$U1317))</f>
        <v/>
      </c>
      <c r="S1317" s="20">
        <f>IF($U1317="","",INDEX(상세표[22~06시],$U1317))</f>
        <v/>
      </c>
      <c r="T1317" s="20">
        <f>IF($U1317="","",INDEX(상세표[기록 시간외],$U1317))</f>
        <v/>
      </c>
      <c r="U1317" s="4">
        <f>IFERROR(MATCH(1312,상세표[발송순번],0),"")</f>
        <v/>
      </c>
    </row>
    <row r="1318">
      <c r="J1318">
        <f>IF($U1318="","",INDEX(상세표[사번],$U1318)&amp;"")</f>
        <v/>
      </c>
      <c r="K1318">
        <f>IF($U1318="","",INDEX(상세표[성명],$U1318)&amp;"")</f>
        <v/>
      </c>
      <c r="L1318">
        <f>IF($U1318="","",INDEX(상세표[직위],$U1318)&amp;"")</f>
        <v/>
      </c>
      <c r="M1318">
        <f>IF($U1318="","",IF(ISNUMBER(INDEX(상세표[근무일자],$U1318)),TEXT(INDEX(상세표[근무일자],$U1318),"yyyy-mm-dd"),INDEX(상세표[근무일자],$U1318)&amp;""))</f>
        <v/>
      </c>
      <c r="N1318">
        <f>IF($U1318="","",IF(ISNUMBER(INDEX(상세표[시작],$U1318)),TEXT(INDEX(상세표[시작],$U1318),"yyyy-mm-dd hh:mm"),INDEX(상세표[시작],$U1318)&amp;""))</f>
        <v/>
      </c>
      <c r="O1318">
        <f>IF($U1318="","",IF(ISNUMBER(INDEX(상세표[종료],$U1318)),TEXT(INDEX(상세표[종료],$U1318),"yyyy-mm-dd hh:mm"),INDEX(상세표[종료],$U1318)&amp;""))</f>
        <v/>
      </c>
      <c r="P1318" s="20">
        <f>IF($U1318="","",INDEX(상세표[06~07시],$U1318))</f>
        <v/>
      </c>
      <c r="Q1318" s="20">
        <f>IF($U1318="","",INDEX(상세표[07~18시],$U1318))</f>
        <v/>
      </c>
      <c r="R1318" s="20">
        <f>IF($U1318="","",INDEX(상세표[18~22시],$U1318))</f>
        <v/>
      </c>
      <c r="S1318" s="20">
        <f>IF($U1318="","",INDEX(상세표[22~06시],$U1318))</f>
        <v/>
      </c>
      <c r="T1318" s="20">
        <f>IF($U1318="","",INDEX(상세표[기록 시간외],$U1318))</f>
        <v/>
      </c>
      <c r="U1318" s="4">
        <f>IFERROR(MATCH(1313,상세표[발송순번],0),"")</f>
        <v/>
      </c>
    </row>
    <row r="1319">
      <c r="J1319">
        <f>IF($U1319="","",INDEX(상세표[사번],$U1319)&amp;"")</f>
        <v/>
      </c>
      <c r="K1319">
        <f>IF($U1319="","",INDEX(상세표[성명],$U1319)&amp;"")</f>
        <v/>
      </c>
      <c r="L1319">
        <f>IF($U1319="","",INDEX(상세표[직위],$U1319)&amp;"")</f>
        <v/>
      </c>
      <c r="M1319">
        <f>IF($U1319="","",IF(ISNUMBER(INDEX(상세표[근무일자],$U1319)),TEXT(INDEX(상세표[근무일자],$U1319),"yyyy-mm-dd"),INDEX(상세표[근무일자],$U1319)&amp;""))</f>
        <v/>
      </c>
      <c r="N1319">
        <f>IF($U1319="","",IF(ISNUMBER(INDEX(상세표[시작],$U1319)),TEXT(INDEX(상세표[시작],$U1319),"yyyy-mm-dd hh:mm"),INDEX(상세표[시작],$U1319)&amp;""))</f>
        <v/>
      </c>
      <c r="O1319">
        <f>IF($U1319="","",IF(ISNUMBER(INDEX(상세표[종료],$U1319)),TEXT(INDEX(상세표[종료],$U1319),"yyyy-mm-dd hh:mm"),INDEX(상세표[종료],$U1319)&amp;""))</f>
        <v/>
      </c>
      <c r="P1319" s="20">
        <f>IF($U1319="","",INDEX(상세표[06~07시],$U1319))</f>
        <v/>
      </c>
      <c r="Q1319" s="20">
        <f>IF($U1319="","",INDEX(상세표[07~18시],$U1319))</f>
        <v/>
      </c>
      <c r="R1319" s="20">
        <f>IF($U1319="","",INDEX(상세표[18~22시],$U1319))</f>
        <v/>
      </c>
      <c r="S1319" s="20">
        <f>IF($U1319="","",INDEX(상세표[22~06시],$U1319))</f>
        <v/>
      </c>
      <c r="T1319" s="20">
        <f>IF($U1319="","",INDEX(상세표[기록 시간외],$U1319))</f>
        <v/>
      </c>
      <c r="U1319" s="4">
        <f>IFERROR(MATCH(1314,상세표[발송순번],0),"")</f>
        <v/>
      </c>
    </row>
    <row r="1320">
      <c r="J1320">
        <f>IF($U1320="","",INDEX(상세표[사번],$U1320)&amp;"")</f>
        <v/>
      </c>
      <c r="K1320">
        <f>IF($U1320="","",INDEX(상세표[성명],$U1320)&amp;"")</f>
        <v/>
      </c>
      <c r="L1320">
        <f>IF($U1320="","",INDEX(상세표[직위],$U1320)&amp;"")</f>
        <v/>
      </c>
      <c r="M1320">
        <f>IF($U1320="","",IF(ISNUMBER(INDEX(상세표[근무일자],$U1320)),TEXT(INDEX(상세표[근무일자],$U1320),"yyyy-mm-dd"),INDEX(상세표[근무일자],$U1320)&amp;""))</f>
        <v/>
      </c>
      <c r="N1320">
        <f>IF($U1320="","",IF(ISNUMBER(INDEX(상세표[시작],$U1320)),TEXT(INDEX(상세표[시작],$U1320),"yyyy-mm-dd hh:mm"),INDEX(상세표[시작],$U1320)&amp;""))</f>
        <v/>
      </c>
      <c r="O1320">
        <f>IF($U1320="","",IF(ISNUMBER(INDEX(상세표[종료],$U1320)),TEXT(INDEX(상세표[종료],$U1320),"yyyy-mm-dd hh:mm"),INDEX(상세표[종료],$U1320)&amp;""))</f>
        <v/>
      </c>
      <c r="P1320" s="20">
        <f>IF($U1320="","",INDEX(상세표[06~07시],$U1320))</f>
        <v/>
      </c>
      <c r="Q1320" s="20">
        <f>IF($U1320="","",INDEX(상세표[07~18시],$U1320))</f>
        <v/>
      </c>
      <c r="R1320" s="20">
        <f>IF($U1320="","",INDEX(상세표[18~22시],$U1320))</f>
        <v/>
      </c>
      <c r="S1320" s="20">
        <f>IF($U1320="","",INDEX(상세표[22~06시],$U1320))</f>
        <v/>
      </c>
      <c r="T1320" s="20">
        <f>IF($U1320="","",INDEX(상세표[기록 시간외],$U1320))</f>
        <v/>
      </c>
      <c r="U1320" s="4">
        <f>IFERROR(MATCH(1315,상세표[발송순번],0),"")</f>
        <v/>
      </c>
    </row>
    <row r="1321">
      <c r="J1321">
        <f>IF($U1321="","",INDEX(상세표[사번],$U1321)&amp;"")</f>
        <v/>
      </c>
      <c r="K1321">
        <f>IF($U1321="","",INDEX(상세표[성명],$U1321)&amp;"")</f>
        <v/>
      </c>
      <c r="L1321">
        <f>IF($U1321="","",INDEX(상세표[직위],$U1321)&amp;"")</f>
        <v/>
      </c>
      <c r="M1321">
        <f>IF($U1321="","",IF(ISNUMBER(INDEX(상세표[근무일자],$U1321)),TEXT(INDEX(상세표[근무일자],$U1321),"yyyy-mm-dd"),INDEX(상세표[근무일자],$U1321)&amp;""))</f>
        <v/>
      </c>
      <c r="N1321">
        <f>IF($U1321="","",IF(ISNUMBER(INDEX(상세표[시작],$U1321)),TEXT(INDEX(상세표[시작],$U1321),"yyyy-mm-dd hh:mm"),INDEX(상세표[시작],$U1321)&amp;""))</f>
        <v/>
      </c>
      <c r="O1321">
        <f>IF($U1321="","",IF(ISNUMBER(INDEX(상세표[종료],$U1321)),TEXT(INDEX(상세표[종료],$U1321),"yyyy-mm-dd hh:mm"),INDEX(상세표[종료],$U1321)&amp;""))</f>
        <v/>
      </c>
      <c r="P1321" s="20">
        <f>IF($U1321="","",INDEX(상세표[06~07시],$U1321))</f>
        <v/>
      </c>
      <c r="Q1321" s="20">
        <f>IF($U1321="","",INDEX(상세표[07~18시],$U1321))</f>
        <v/>
      </c>
      <c r="R1321" s="20">
        <f>IF($U1321="","",INDEX(상세표[18~22시],$U1321))</f>
        <v/>
      </c>
      <c r="S1321" s="20">
        <f>IF($U1321="","",INDEX(상세표[22~06시],$U1321))</f>
        <v/>
      </c>
      <c r="T1321" s="20">
        <f>IF($U1321="","",INDEX(상세표[기록 시간외],$U1321))</f>
        <v/>
      </c>
      <c r="U1321" s="4">
        <f>IFERROR(MATCH(1316,상세표[발송순번],0),"")</f>
        <v/>
      </c>
    </row>
    <row r="1322">
      <c r="J1322">
        <f>IF($U1322="","",INDEX(상세표[사번],$U1322)&amp;"")</f>
        <v/>
      </c>
      <c r="K1322">
        <f>IF($U1322="","",INDEX(상세표[성명],$U1322)&amp;"")</f>
        <v/>
      </c>
      <c r="L1322">
        <f>IF($U1322="","",INDEX(상세표[직위],$U1322)&amp;"")</f>
        <v/>
      </c>
      <c r="M1322">
        <f>IF($U1322="","",IF(ISNUMBER(INDEX(상세표[근무일자],$U1322)),TEXT(INDEX(상세표[근무일자],$U1322),"yyyy-mm-dd"),INDEX(상세표[근무일자],$U1322)&amp;""))</f>
        <v/>
      </c>
      <c r="N1322">
        <f>IF($U1322="","",IF(ISNUMBER(INDEX(상세표[시작],$U1322)),TEXT(INDEX(상세표[시작],$U1322),"yyyy-mm-dd hh:mm"),INDEX(상세표[시작],$U1322)&amp;""))</f>
        <v/>
      </c>
      <c r="O1322">
        <f>IF($U1322="","",IF(ISNUMBER(INDEX(상세표[종료],$U1322)),TEXT(INDEX(상세표[종료],$U1322),"yyyy-mm-dd hh:mm"),INDEX(상세표[종료],$U1322)&amp;""))</f>
        <v/>
      </c>
      <c r="P1322" s="20">
        <f>IF($U1322="","",INDEX(상세표[06~07시],$U1322))</f>
        <v/>
      </c>
      <c r="Q1322" s="20">
        <f>IF($U1322="","",INDEX(상세표[07~18시],$U1322))</f>
        <v/>
      </c>
      <c r="R1322" s="20">
        <f>IF($U1322="","",INDEX(상세표[18~22시],$U1322))</f>
        <v/>
      </c>
      <c r="S1322" s="20">
        <f>IF($U1322="","",INDEX(상세표[22~06시],$U1322))</f>
        <v/>
      </c>
      <c r="T1322" s="20">
        <f>IF($U1322="","",INDEX(상세표[기록 시간외],$U1322))</f>
        <v/>
      </c>
      <c r="U1322" s="4">
        <f>IFERROR(MATCH(1317,상세표[발송순번],0),"")</f>
        <v/>
      </c>
    </row>
    <row r="1323">
      <c r="J1323">
        <f>IF($U1323="","",INDEX(상세표[사번],$U1323)&amp;"")</f>
        <v/>
      </c>
      <c r="K1323">
        <f>IF($U1323="","",INDEX(상세표[성명],$U1323)&amp;"")</f>
        <v/>
      </c>
      <c r="L1323">
        <f>IF($U1323="","",INDEX(상세표[직위],$U1323)&amp;"")</f>
        <v/>
      </c>
      <c r="M1323">
        <f>IF($U1323="","",IF(ISNUMBER(INDEX(상세표[근무일자],$U1323)),TEXT(INDEX(상세표[근무일자],$U1323),"yyyy-mm-dd"),INDEX(상세표[근무일자],$U1323)&amp;""))</f>
        <v/>
      </c>
      <c r="N1323">
        <f>IF($U1323="","",IF(ISNUMBER(INDEX(상세표[시작],$U1323)),TEXT(INDEX(상세표[시작],$U1323),"yyyy-mm-dd hh:mm"),INDEX(상세표[시작],$U1323)&amp;""))</f>
        <v/>
      </c>
      <c r="O1323">
        <f>IF($U1323="","",IF(ISNUMBER(INDEX(상세표[종료],$U1323)),TEXT(INDEX(상세표[종료],$U1323),"yyyy-mm-dd hh:mm"),INDEX(상세표[종료],$U1323)&amp;""))</f>
        <v/>
      </c>
      <c r="P1323" s="20">
        <f>IF($U1323="","",INDEX(상세표[06~07시],$U1323))</f>
        <v/>
      </c>
      <c r="Q1323" s="20">
        <f>IF($U1323="","",INDEX(상세표[07~18시],$U1323))</f>
        <v/>
      </c>
      <c r="R1323" s="20">
        <f>IF($U1323="","",INDEX(상세표[18~22시],$U1323))</f>
        <v/>
      </c>
      <c r="S1323" s="20">
        <f>IF($U1323="","",INDEX(상세표[22~06시],$U1323))</f>
        <v/>
      </c>
      <c r="T1323" s="20">
        <f>IF($U1323="","",INDEX(상세표[기록 시간외],$U1323))</f>
        <v/>
      </c>
      <c r="U1323" s="4">
        <f>IFERROR(MATCH(1318,상세표[발송순번],0),"")</f>
        <v/>
      </c>
    </row>
    <row r="1324">
      <c r="J1324">
        <f>IF($U1324="","",INDEX(상세표[사번],$U1324)&amp;"")</f>
        <v/>
      </c>
      <c r="K1324">
        <f>IF($U1324="","",INDEX(상세표[성명],$U1324)&amp;"")</f>
        <v/>
      </c>
      <c r="L1324">
        <f>IF($U1324="","",INDEX(상세표[직위],$U1324)&amp;"")</f>
        <v/>
      </c>
      <c r="M1324">
        <f>IF($U1324="","",IF(ISNUMBER(INDEX(상세표[근무일자],$U1324)),TEXT(INDEX(상세표[근무일자],$U1324),"yyyy-mm-dd"),INDEX(상세표[근무일자],$U1324)&amp;""))</f>
        <v/>
      </c>
      <c r="N1324">
        <f>IF($U1324="","",IF(ISNUMBER(INDEX(상세표[시작],$U1324)),TEXT(INDEX(상세표[시작],$U1324),"yyyy-mm-dd hh:mm"),INDEX(상세표[시작],$U1324)&amp;""))</f>
        <v/>
      </c>
      <c r="O1324">
        <f>IF($U1324="","",IF(ISNUMBER(INDEX(상세표[종료],$U1324)),TEXT(INDEX(상세표[종료],$U1324),"yyyy-mm-dd hh:mm"),INDEX(상세표[종료],$U1324)&amp;""))</f>
        <v/>
      </c>
      <c r="P1324" s="20">
        <f>IF($U1324="","",INDEX(상세표[06~07시],$U1324))</f>
        <v/>
      </c>
      <c r="Q1324" s="20">
        <f>IF($U1324="","",INDEX(상세표[07~18시],$U1324))</f>
        <v/>
      </c>
      <c r="R1324" s="20">
        <f>IF($U1324="","",INDEX(상세표[18~22시],$U1324))</f>
        <v/>
      </c>
      <c r="S1324" s="20">
        <f>IF($U1324="","",INDEX(상세표[22~06시],$U1324))</f>
        <v/>
      </c>
      <c r="T1324" s="20">
        <f>IF($U1324="","",INDEX(상세표[기록 시간외],$U1324))</f>
        <v/>
      </c>
      <c r="U1324" s="4">
        <f>IFERROR(MATCH(1319,상세표[발송순번],0),"")</f>
        <v/>
      </c>
    </row>
    <row r="1325">
      <c r="J1325">
        <f>IF($U1325="","",INDEX(상세표[사번],$U1325)&amp;"")</f>
        <v/>
      </c>
      <c r="K1325">
        <f>IF($U1325="","",INDEX(상세표[성명],$U1325)&amp;"")</f>
        <v/>
      </c>
      <c r="L1325">
        <f>IF($U1325="","",INDEX(상세표[직위],$U1325)&amp;"")</f>
        <v/>
      </c>
      <c r="M1325">
        <f>IF($U1325="","",IF(ISNUMBER(INDEX(상세표[근무일자],$U1325)),TEXT(INDEX(상세표[근무일자],$U1325),"yyyy-mm-dd"),INDEX(상세표[근무일자],$U1325)&amp;""))</f>
        <v/>
      </c>
      <c r="N1325">
        <f>IF($U1325="","",IF(ISNUMBER(INDEX(상세표[시작],$U1325)),TEXT(INDEX(상세표[시작],$U1325),"yyyy-mm-dd hh:mm"),INDEX(상세표[시작],$U1325)&amp;""))</f>
        <v/>
      </c>
      <c r="O1325">
        <f>IF($U1325="","",IF(ISNUMBER(INDEX(상세표[종료],$U1325)),TEXT(INDEX(상세표[종료],$U1325),"yyyy-mm-dd hh:mm"),INDEX(상세표[종료],$U1325)&amp;""))</f>
        <v/>
      </c>
      <c r="P1325" s="20">
        <f>IF($U1325="","",INDEX(상세표[06~07시],$U1325))</f>
        <v/>
      </c>
      <c r="Q1325" s="20">
        <f>IF($U1325="","",INDEX(상세표[07~18시],$U1325))</f>
        <v/>
      </c>
      <c r="R1325" s="20">
        <f>IF($U1325="","",INDEX(상세표[18~22시],$U1325))</f>
        <v/>
      </c>
      <c r="S1325" s="20">
        <f>IF($U1325="","",INDEX(상세표[22~06시],$U1325))</f>
        <v/>
      </c>
      <c r="T1325" s="20">
        <f>IF($U1325="","",INDEX(상세표[기록 시간외],$U1325))</f>
        <v/>
      </c>
      <c r="U1325" s="4">
        <f>IFERROR(MATCH(1320,상세표[발송순번],0),"")</f>
        <v/>
      </c>
    </row>
    <row r="1326">
      <c r="J1326">
        <f>IF($U1326="","",INDEX(상세표[사번],$U1326)&amp;"")</f>
        <v/>
      </c>
      <c r="K1326">
        <f>IF($U1326="","",INDEX(상세표[성명],$U1326)&amp;"")</f>
        <v/>
      </c>
      <c r="L1326">
        <f>IF($U1326="","",INDEX(상세표[직위],$U1326)&amp;"")</f>
        <v/>
      </c>
      <c r="M1326">
        <f>IF($U1326="","",IF(ISNUMBER(INDEX(상세표[근무일자],$U1326)),TEXT(INDEX(상세표[근무일자],$U1326),"yyyy-mm-dd"),INDEX(상세표[근무일자],$U1326)&amp;""))</f>
        <v/>
      </c>
      <c r="N1326">
        <f>IF($U1326="","",IF(ISNUMBER(INDEX(상세표[시작],$U1326)),TEXT(INDEX(상세표[시작],$U1326),"yyyy-mm-dd hh:mm"),INDEX(상세표[시작],$U1326)&amp;""))</f>
        <v/>
      </c>
      <c r="O1326">
        <f>IF($U1326="","",IF(ISNUMBER(INDEX(상세표[종료],$U1326)),TEXT(INDEX(상세표[종료],$U1326),"yyyy-mm-dd hh:mm"),INDEX(상세표[종료],$U1326)&amp;""))</f>
        <v/>
      </c>
      <c r="P1326" s="20">
        <f>IF($U1326="","",INDEX(상세표[06~07시],$U1326))</f>
        <v/>
      </c>
      <c r="Q1326" s="20">
        <f>IF($U1326="","",INDEX(상세표[07~18시],$U1326))</f>
        <v/>
      </c>
      <c r="R1326" s="20">
        <f>IF($U1326="","",INDEX(상세표[18~22시],$U1326))</f>
        <v/>
      </c>
      <c r="S1326" s="20">
        <f>IF($U1326="","",INDEX(상세표[22~06시],$U1326))</f>
        <v/>
      </c>
      <c r="T1326" s="20">
        <f>IF($U1326="","",INDEX(상세표[기록 시간외],$U1326))</f>
        <v/>
      </c>
      <c r="U1326" s="4">
        <f>IFERROR(MATCH(1321,상세표[발송순번],0),"")</f>
        <v/>
      </c>
    </row>
    <row r="1327">
      <c r="J1327">
        <f>IF($U1327="","",INDEX(상세표[사번],$U1327)&amp;"")</f>
        <v/>
      </c>
      <c r="K1327">
        <f>IF($U1327="","",INDEX(상세표[성명],$U1327)&amp;"")</f>
        <v/>
      </c>
      <c r="L1327">
        <f>IF($U1327="","",INDEX(상세표[직위],$U1327)&amp;"")</f>
        <v/>
      </c>
      <c r="M1327">
        <f>IF($U1327="","",IF(ISNUMBER(INDEX(상세표[근무일자],$U1327)),TEXT(INDEX(상세표[근무일자],$U1327),"yyyy-mm-dd"),INDEX(상세표[근무일자],$U1327)&amp;""))</f>
        <v/>
      </c>
      <c r="N1327">
        <f>IF($U1327="","",IF(ISNUMBER(INDEX(상세표[시작],$U1327)),TEXT(INDEX(상세표[시작],$U1327),"yyyy-mm-dd hh:mm"),INDEX(상세표[시작],$U1327)&amp;""))</f>
        <v/>
      </c>
      <c r="O1327">
        <f>IF($U1327="","",IF(ISNUMBER(INDEX(상세표[종료],$U1327)),TEXT(INDEX(상세표[종료],$U1327),"yyyy-mm-dd hh:mm"),INDEX(상세표[종료],$U1327)&amp;""))</f>
        <v/>
      </c>
      <c r="P1327" s="20">
        <f>IF($U1327="","",INDEX(상세표[06~07시],$U1327))</f>
        <v/>
      </c>
      <c r="Q1327" s="20">
        <f>IF($U1327="","",INDEX(상세표[07~18시],$U1327))</f>
        <v/>
      </c>
      <c r="R1327" s="20">
        <f>IF($U1327="","",INDEX(상세표[18~22시],$U1327))</f>
        <v/>
      </c>
      <c r="S1327" s="20">
        <f>IF($U1327="","",INDEX(상세표[22~06시],$U1327))</f>
        <v/>
      </c>
      <c r="T1327" s="20">
        <f>IF($U1327="","",INDEX(상세표[기록 시간외],$U1327))</f>
        <v/>
      </c>
      <c r="U1327" s="4">
        <f>IFERROR(MATCH(1322,상세표[발송순번],0),"")</f>
        <v/>
      </c>
    </row>
    <row r="1328">
      <c r="J1328">
        <f>IF($U1328="","",INDEX(상세표[사번],$U1328)&amp;"")</f>
        <v/>
      </c>
      <c r="K1328">
        <f>IF($U1328="","",INDEX(상세표[성명],$U1328)&amp;"")</f>
        <v/>
      </c>
      <c r="L1328">
        <f>IF($U1328="","",INDEX(상세표[직위],$U1328)&amp;"")</f>
        <v/>
      </c>
      <c r="M1328">
        <f>IF($U1328="","",IF(ISNUMBER(INDEX(상세표[근무일자],$U1328)),TEXT(INDEX(상세표[근무일자],$U1328),"yyyy-mm-dd"),INDEX(상세표[근무일자],$U1328)&amp;""))</f>
        <v/>
      </c>
      <c r="N1328">
        <f>IF($U1328="","",IF(ISNUMBER(INDEX(상세표[시작],$U1328)),TEXT(INDEX(상세표[시작],$U1328),"yyyy-mm-dd hh:mm"),INDEX(상세표[시작],$U1328)&amp;""))</f>
        <v/>
      </c>
      <c r="O1328">
        <f>IF($U1328="","",IF(ISNUMBER(INDEX(상세표[종료],$U1328)),TEXT(INDEX(상세표[종료],$U1328),"yyyy-mm-dd hh:mm"),INDEX(상세표[종료],$U1328)&amp;""))</f>
        <v/>
      </c>
      <c r="P1328" s="20">
        <f>IF($U1328="","",INDEX(상세표[06~07시],$U1328))</f>
        <v/>
      </c>
      <c r="Q1328" s="20">
        <f>IF($U1328="","",INDEX(상세표[07~18시],$U1328))</f>
        <v/>
      </c>
      <c r="R1328" s="20">
        <f>IF($U1328="","",INDEX(상세표[18~22시],$U1328))</f>
        <v/>
      </c>
      <c r="S1328" s="20">
        <f>IF($U1328="","",INDEX(상세표[22~06시],$U1328))</f>
        <v/>
      </c>
      <c r="T1328" s="20">
        <f>IF($U1328="","",INDEX(상세표[기록 시간외],$U1328))</f>
        <v/>
      </c>
      <c r="U1328" s="4">
        <f>IFERROR(MATCH(1323,상세표[발송순번],0),"")</f>
        <v/>
      </c>
    </row>
    <row r="1329">
      <c r="J1329">
        <f>IF($U1329="","",INDEX(상세표[사번],$U1329)&amp;"")</f>
        <v/>
      </c>
      <c r="K1329">
        <f>IF($U1329="","",INDEX(상세표[성명],$U1329)&amp;"")</f>
        <v/>
      </c>
      <c r="L1329">
        <f>IF($U1329="","",INDEX(상세표[직위],$U1329)&amp;"")</f>
        <v/>
      </c>
      <c r="M1329">
        <f>IF($U1329="","",IF(ISNUMBER(INDEX(상세표[근무일자],$U1329)),TEXT(INDEX(상세표[근무일자],$U1329),"yyyy-mm-dd"),INDEX(상세표[근무일자],$U1329)&amp;""))</f>
        <v/>
      </c>
      <c r="N1329">
        <f>IF($U1329="","",IF(ISNUMBER(INDEX(상세표[시작],$U1329)),TEXT(INDEX(상세표[시작],$U1329),"yyyy-mm-dd hh:mm"),INDEX(상세표[시작],$U1329)&amp;""))</f>
        <v/>
      </c>
      <c r="O1329">
        <f>IF($U1329="","",IF(ISNUMBER(INDEX(상세표[종료],$U1329)),TEXT(INDEX(상세표[종료],$U1329),"yyyy-mm-dd hh:mm"),INDEX(상세표[종료],$U1329)&amp;""))</f>
        <v/>
      </c>
      <c r="P1329" s="20">
        <f>IF($U1329="","",INDEX(상세표[06~07시],$U1329))</f>
        <v/>
      </c>
      <c r="Q1329" s="20">
        <f>IF($U1329="","",INDEX(상세표[07~18시],$U1329))</f>
        <v/>
      </c>
      <c r="R1329" s="20">
        <f>IF($U1329="","",INDEX(상세표[18~22시],$U1329))</f>
        <v/>
      </c>
      <c r="S1329" s="20">
        <f>IF($U1329="","",INDEX(상세표[22~06시],$U1329))</f>
        <v/>
      </c>
      <c r="T1329" s="20">
        <f>IF($U1329="","",INDEX(상세표[기록 시간외],$U1329))</f>
        <v/>
      </c>
      <c r="U1329" s="4">
        <f>IFERROR(MATCH(1324,상세표[발송순번],0),"")</f>
        <v/>
      </c>
    </row>
    <row r="1330">
      <c r="J1330">
        <f>IF($U1330="","",INDEX(상세표[사번],$U1330)&amp;"")</f>
        <v/>
      </c>
      <c r="K1330">
        <f>IF($U1330="","",INDEX(상세표[성명],$U1330)&amp;"")</f>
        <v/>
      </c>
      <c r="L1330">
        <f>IF($U1330="","",INDEX(상세표[직위],$U1330)&amp;"")</f>
        <v/>
      </c>
      <c r="M1330">
        <f>IF($U1330="","",IF(ISNUMBER(INDEX(상세표[근무일자],$U1330)),TEXT(INDEX(상세표[근무일자],$U1330),"yyyy-mm-dd"),INDEX(상세표[근무일자],$U1330)&amp;""))</f>
        <v/>
      </c>
      <c r="N1330">
        <f>IF($U1330="","",IF(ISNUMBER(INDEX(상세표[시작],$U1330)),TEXT(INDEX(상세표[시작],$U1330),"yyyy-mm-dd hh:mm"),INDEX(상세표[시작],$U1330)&amp;""))</f>
        <v/>
      </c>
      <c r="O1330">
        <f>IF($U1330="","",IF(ISNUMBER(INDEX(상세표[종료],$U1330)),TEXT(INDEX(상세표[종료],$U1330),"yyyy-mm-dd hh:mm"),INDEX(상세표[종료],$U1330)&amp;""))</f>
        <v/>
      </c>
      <c r="P1330" s="20">
        <f>IF($U1330="","",INDEX(상세표[06~07시],$U1330))</f>
        <v/>
      </c>
      <c r="Q1330" s="20">
        <f>IF($U1330="","",INDEX(상세표[07~18시],$U1330))</f>
        <v/>
      </c>
      <c r="R1330" s="20">
        <f>IF($U1330="","",INDEX(상세표[18~22시],$U1330))</f>
        <v/>
      </c>
      <c r="S1330" s="20">
        <f>IF($U1330="","",INDEX(상세표[22~06시],$U1330))</f>
        <v/>
      </c>
      <c r="T1330" s="20">
        <f>IF($U1330="","",INDEX(상세표[기록 시간외],$U1330))</f>
        <v/>
      </c>
      <c r="U1330" s="4">
        <f>IFERROR(MATCH(1325,상세표[발송순번],0),"")</f>
        <v/>
      </c>
    </row>
    <row r="1331">
      <c r="J1331">
        <f>IF($U1331="","",INDEX(상세표[사번],$U1331)&amp;"")</f>
        <v/>
      </c>
      <c r="K1331">
        <f>IF($U1331="","",INDEX(상세표[성명],$U1331)&amp;"")</f>
        <v/>
      </c>
      <c r="L1331">
        <f>IF($U1331="","",INDEX(상세표[직위],$U1331)&amp;"")</f>
        <v/>
      </c>
      <c r="M1331">
        <f>IF($U1331="","",IF(ISNUMBER(INDEX(상세표[근무일자],$U1331)),TEXT(INDEX(상세표[근무일자],$U1331),"yyyy-mm-dd"),INDEX(상세표[근무일자],$U1331)&amp;""))</f>
        <v/>
      </c>
      <c r="N1331">
        <f>IF($U1331="","",IF(ISNUMBER(INDEX(상세표[시작],$U1331)),TEXT(INDEX(상세표[시작],$U1331),"yyyy-mm-dd hh:mm"),INDEX(상세표[시작],$U1331)&amp;""))</f>
        <v/>
      </c>
      <c r="O1331">
        <f>IF($U1331="","",IF(ISNUMBER(INDEX(상세표[종료],$U1331)),TEXT(INDEX(상세표[종료],$U1331),"yyyy-mm-dd hh:mm"),INDEX(상세표[종료],$U1331)&amp;""))</f>
        <v/>
      </c>
      <c r="P1331" s="20">
        <f>IF($U1331="","",INDEX(상세표[06~07시],$U1331))</f>
        <v/>
      </c>
      <c r="Q1331" s="20">
        <f>IF($U1331="","",INDEX(상세표[07~18시],$U1331))</f>
        <v/>
      </c>
      <c r="R1331" s="20">
        <f>IF($U1331="","",INDEX(상세표[18~22시],$U1331))</f>
        <v/>
      </c>
      <c r="S1331" s="20">
        <f>IF($U1331="","",INDEX(상세표[22~06시],$U1331))</f>
        <v/>
      </c>
      <c r="T1331" s="20">
        <f>IF($U1331="","",INDEX(상세표[기록 시간외],$U1331))</f>
        <v/>
      </c>
      <c r="U1331" s="4">
        <f>IFERROR(MATCH(1326,상세표[발송순번],0),"")</f>
        <v/>
      </c>
    </row>
    <row r="1332">
      <c r="J1332">
        <f>IF($U1332="","",INDEX(상세표[사번],$U1332)&amp;"")</f>
        <v/>
      </c>
      <c r="K1332">
        <f>IF($U1332="","",INDEX(상세표[성명],$U1332)&amp;"")</f>
        <v/>
      </c>
      <c r="L1332">
        <f>IF($U1332="","",INDEX(상세표[직위],$U1332)&amp;"")</f>
        <v/>
      </c>
      <c r="M1332">
        <f>IF($U1332="","",IF(ISNUMBER(INDEX(상세표[근무일자],$U1332)),TEXT(INDEX(상세표[근무일자],$U1332),"yyyy-mm-dd"),INDEX(상세표[근무일자],$U1332)&amp;""))</f>
        <v/>
      </c>
      <c r="N1332">
        <f>IF($U1332="","",IF(ISNUMBER(INDEX(상세표[시작],$U1332)),TEXT(INDEX(상세표[시작],$U1332),"yyyy-mm-dd hh:mm"),INDEX(상세표[시작],$U1332)&amp;""))</f>
        <v/>
      </c>
      <c r="O1332">
        <f>IF($U1332="","",IF(ISNUMBER(INDEX(상세표[종료],$U1332)),TEXT(INDEX(상세표[종료],$U1332),"yyyy-mm-dd hh:mm"),INDEX(상세표[종료],$U1332)&amp;""))</f>
        <v/>
      </c>
      <c r="P1332" s="20">
        <f>IF($U1332="","",INDEX(상세표[06~07시],$U1332))</f>
        <v/>
      </c>
      <c r="Q1332" s="20">
        <f>IF($U1332="","",INDEX(상세표[07~18시],$U1332))</f>
        <v/>
      </c>
      <c r="R1332" s="20">
        <f>IF($U1332="","",INDEX(상세표[18~22시],$U1332))</f>
        <v/>
      </c>
      <c r="S1332" s="20">
        <f>IF($U1332="","",INDEX(상세표[22~06시],$U1332))</f>
        <v/>
      </c>
      <c r="T1332" s="20">
        <f>IF($U1332="","",INDEX(상세표[기록 시간외],$U1332))</f>
        <v/>
      </c>
      <c r="U1332" s="4">
        <f>IFERROR(MATCH(1327,상세표[발송순번],0),"")</f>
        <v/>
      </c>
    </row>
    <row r="1333">
      <c r="J1333">
        <f>IF($U1333="","",INDEX(상세표[사번],$U1333)&amp;"")</f>
        <v/>
      </c>
      <c r="K1333">
        <f>IF($U1333="","",INDEX(상세표[성명],$U1333)&amp;"")</f>
        <v/>
      </c>
      <c r="L1333">
        <f>IF($U1333="","",INDEX(상세표[직위],$U1333)&amp;"")</f>
        <v/>
      </c>
      <c r="M1333">
        <f>IF($U1333="","",IF(ISNUMBER(INDEX(상세표[근무일자],$U1333)),TEXT(INDEX(상세표[근무일자],$U1333),"yyyy-mm-dd"),INDEX(상세표[근무일자],$U1333)&amp;""))</f>
        <v/>
      </c>
      <c r="N1333">
        <f>IF($U1333="","",IF(ISNUMBER(INDEX(상세표[시작],$U1333)),TEXT(INDEX(상세표[시작],$U1333),"yyyy-mm-dd hh:mm"),INDEX(상세표[시작],$U1333)&amp;""))</f>
        <v/>
      </c>
      <c r="O1333">
        <f>IF($U1333="","",IF(ISNUMBER(INDEX(상세표[종료],$U1333)),TEXT(INDEX(상세표[종료],$U1333),"yyyy-mm-dd hh:mm"),INDEX(상세표[종료],$U1333)&amp;""))</f>
        <v/>
      </c>
      <c r="P1333" s="20">
        <f>IF($U1333="","",INDEX(상세표[06~07시],$U1333))</f>
        <v/>
      </c>
      <c r="Q1333" s="20">
        <f>IF($U1333="","",INDEX(상세표[07~18시],$U1333))</f>
        <v/>
      </c>
      <c r="R1333" s="20">
        <f>IF($U1333="","",INDEX(상세표[18~22시],$U1333))</f>
        <v/>
      </c>
      <c r="S1333" s="20">
        <f>IF($U1333="","",INDEX(상세표[22~06시],$U1333))</f>
        <v/>
      </c>
      <c r="T1333" s="20">
        <f>IF($U1333="","",INDEX(상세표[기록 시간외],$U1333))</f>
        <v/>
      </c>
      <c r="U1333" s="4">
        <f>IFERROR(MATCH(1328,상세표[발송순번],0),"")</f>
        <v/>
      </c>
    </row>
    <row r="1334">
      <c r="J1334">
        <f>IF($U1334="","",INDEX(상세표[사번],$U1334)&amp;"")</f>
        <v/>
      </c>
      <c r="K1334">
        <f>IF($U1334="","",INDEX(상세표[성명],$U1334)&amp;"")</f>
        <v/>
      </c>
      <c r="L1334">
        <f>IF($U1334="","",INDEX(상세표[직위],$U1334)&amp;"")</f>
        <v/>
      </c>
      <c r="M1334">
        <f>IF($U1334="","",IF(ISNUMBER(INDEX(상세표[근무일자],$U1334)),TEXT(INDEX(상세표[근무일자],$U1334),"yyyy-mm-dd"),INDEX(상세표[근무일자],$U1334)&amp;""))</f>
        <v/>
      </c>
      <c r="N1334">
        <f>IF($U1334="","",IF(ISNUMBER(INDEX(상세표[시작],$U1334)),TEXT(INDEX(상세표[시작],$U1334),"yyyy-mm-dd hh:mm"),INDEX(상세표[시작],$U1334)&amp;""))</f>
        <v/>
      </c>
      <c r="O1334">
        <f>IF($U1334="","",IF(ISNUMBER(INDEX(상세표[종료],$U1334)),TEXT(INDEX(상세표[종료],$U1334),"yyyy-mm-dd hh:mm"),INDEX(상세표[종료],$U1334)&amp;""))</f>
        <v/>
      </c>
      <c r="P1334" s="20">
        <f>IF($U1334="","",INDEX(상세표[06~07시],$U1334))</f>
        <v/>
      </c>
      <c r="Q1334" s="20">
        <f>IF($U1334="","",INDEX(상세표[07~18시],$U1334))</f>
        <v/>
      </c>
      <c r="R1334" s="20">
        <f>IF($U1334="","",INDEX(상세표[18~22시],$U1334))</f>
        <v/>
      </c>
      <c r="S1334" s="20">
        <f>IF($U1334="","",INDEX(상세표[22~06시],$U1334))</f>
        <v/>
      </c>
      <c r="T1334" s="20">
        <f>IF($U1334="","",INDEX(상세표[기록 시간외],$U1334))</f>
        <v/>
      </c>
      <c r="U1334" s="4">
        <f>IFERROR(MATCH(1329,상세표[발송순번],0),"")</f>
        <v/>
      </c>
    </row>
    <row r="1335">
      <c r="J1335">
        <f>IF($U1335="","",INDEX(상세표[사번],$U1335)&amp;"")</f>
        <v/>
      </c>
      <c r="K1335">
        <f>IF($U1335="","",INDEX(상세표[성명],$U1335)&amp;"")</f>
        <v/>
      </c>
      <c r="L1335">
        <f>IF($U1335="","",INDEX(상세표[직위],$U1335)&amp;"")</f>
        <v/>
      </c>
      <c r="M1335">
        <f>IF($U1335="","",IF(ISNUMBER(INDEX(상세표[근무일자],$U1335)),TEXT(INDEX(상세표[근무일자],$U1335),"yyyy-mm-dd"),INDEX(상세표[근무일자],$U1335)&amp;""))</f>
        <v/>
      </c>
      <c r="N1335">
        <f>IF($U1335="","",IF(ISNUMBER(INDEX(상세표[시작],$U1335)),TEXT(INDEX(상세표[시작],$U1335),"yyyy-mm-dd hh:mm"),INDEX(상세표[시작],$U1335)&amp;""))</f>
        <v/>
      </c>
      <c r="O1335">
        <f>IF($U1335="","",IF(ISNUMBER(INDEX(상세표[종료],$U1335)),TEXT(INDEX(상세표[종료],$U1335),"yyyy-mm-dd hh:mm"),INDEX(상세표[종료],$U1335)&amp;""))</f>
        <v/>
      </c>
      <c r="P1335" s="20">
        <f>IF($U1335="","",INDEX(상세표[06~07시],$U1335))</f>
        <v/>
      </c>
      <c r="Q1335" s="20">
        <f>IF($U1335="","",INDEX(상세표[07~18시],$U1335))</f>
        <v/>
      </c>
      <c r="R1335" s="20">
        <f>IF($U1335="","",INDEX(상세표[18~22시],$U1335))</f>
        <v/>
      </c>
      <c r="S1335" s="20">
        <f>IF($U1335="","",INDEX(상세표[22~06시],$U1335))</f>
        <v/>
      </c>
      <c r="T1335" s="20">
        <f>IF($U1335="","",INDEX(상세표[기록 시간외],$U1335))</f>
        <v/>
      </c>
      <c r="U1335" s="4">
        <f>IFERROR(MATCH(1330,상세표[발송순번],0),"")</f>
        <v/>
      </c>
    </row>
    <row r="1336">
      <c r="J1336">
        <f>IF($U1336="","",INDEX(상세표[사번],$U1336)&amp;"")</f>
        <v/>
      </c>
      <c r="K1336">
        <f>IF($U1336="","",INDEX(상세표[성명],$U1336)&amp;"")</f>
        <v/>
      </c>
      <c r="L1336">
        <f>IF($U1336="","",INDEX(상세표[직위],$U1336)&amp;"")</f>
        <v/>
      </c>
      <c r="M1336">
        <f>IF($U1336="","",IF(ISNUMBER(INDEX(상세표[근무일자],$U1336)),TEXT(INDEX(상세표[근무일자],$U1336),"yyyy-mm-dd"),INDEX(상세표[근무일자],$U1336)&amp;""))</f>
        <v/>
      </c>
      <c r="N1336">
        <f>IF($U1336="","",IF(ISNUMBER(INDEX(상세표[시작],$U1336)),TEXT(INDEX(상세표[시작],$U1336),"yyyy-mm-dd hh:mm"),INDEX(상세표[시작],$U1336)&amp;""))</f>
        <v/>
      </c>
      <c r="O1336">
        <f>IF($U1336="","",IF(ISNUMBER(INDEX(상세표[종료],$U1336)),TEXT(INDEX(상세표[종료],$U1336),"yyyy-mm-dd hh:mm"),INDEX(상세표[종료],$U1336)&amp;""))</f>
        <v/>
      </c>
      <c r="P1336" s="20">
        <f>IF($U1336="","",INDEX(상세표[06~07시],$U1336))</f>
        <v/>
      </c>
      <c r="Q1336" s="20">
        <f>IF($U1336="","",INDEX(상세표[07~18시],$U1336))</f>
        <v/>
      </c>
      <c r="R1336" s="20">
        <f>IF($U1336="","",INDEX(상세표[18~22시],$U1336))</f>
        <v/>
      </c>
      <c r="S1336" s="20">
        <f>IF($U1336="","",INDEX(상세표[22~06시],$U1336))</f>
        <v/>
      </c>
      <c r="T1336" s="20">
        <f>IF($U1336="","",INDEX(상세표[기록 시간외],$U1336))</f>
        <v/>
      </c>
      <c r="U1336" s="4">
        <f>IFERROR(MATCH(1331,상세표[발송순번],0),"")</f>
        <v/>
      </c>
    </row>
    <row r="1337">
      <c r="J1337">
        <f>IF($U1337="","",INDEX(상세표[사번],$U1337)&amp;"")</f>
        <v/>
      </c>
      <c r="K1337">
        <f>IF($U1337="","",INDEX(상세표[성명],$U1337)&amp;"")</f>
        <v/>
      </c>
      <c r="L1337">
        <f>IF($U1337="","",INDEX(상세표[직위],$U1337)&amp;"")</f>
        <v/>
      </c>
      <c r="M1337">
        <f>IF($U1337="","",IF(ISNUMBER(INDEX(상세표[근무일자],$U1337)),TEXT(INDEX(상세표[근무일자],$U1337),"yyyy-mm-dd"),INDEX(상세표[근무일자],$U1337)&amp;""))</f>
        <v/>
      </c>
      <c r="N1337">
        <f>IF($U1337="","",IF(ISNUMBER(INDEX(상세표[시작],$U1337)),TEXT(INDEX(상세표[시작],$U1337),"yyyy-mm-dd hh:mm"),INDEX(상세표[시작],$U1337)&amp;""))</f>
        <v/>
      </c>
      <c r="O1337">
        <f>IF($U1337="","",IF(ISNUMBER(INDEX(상세표[종료],$U1337)),TEXT(INDEX(상세표[종료],$U1337),"yyyy-mm-dd hh:mm"),INDEX(상세표[종료],$U1337)&amp;""))</f>
        <v/>
      </c>
      <c r="P1337" s="20">
        <f>IF($U1337="","",INDEX(상세표[06~07시],$U1337))</f>
        <v/>
      </c>
      <c r="Q1337" s="20">
        <f>IF($U1337="","",INDEX(상세표[07~18시],$U1337))</f>
        <v/>
      </c>
      <c r="R1337" s="20">
        <f>IF($U1337="","",INDEX(상세표[18~22시],$U1337))</f>
        <v/>
      </c>
      <c r="S1337" s="20">
        <f>IF($U1337="","",INDEX(상세표[22~06시],$U1337))</f>
        <v/>
      </c>
      <c r="T1337" s="20">
        <f>IF($U1337="","",INDEX(상세표[기록 시간외],$U1337))</f>
        <v/>
      </c>
      <c r="U1337" s="4">
        <f>IFERROR(MATCH(1332,상세표[발송순번],0),"")</f>
        <v/>
      </c>
    </row>
    <row r="1338">
      <c r="J1338">
        <f>IF($U1338="","",INDEX(상세표[사번],$U1338)&amp;"")</f>
        <v/>
      </c>
      <c r="K1338">
        <f>IF($U1338="","",INDEX(상세표[성명],$U1338)&amp;"")</f>
        <v/>
      </c>
      <c r="L1338">
        <f>IF($U1338="","",INDEX(상세표[직위],$U1338)&amp;"")</f>
        <v/>
      </c>
      <c r="M1338">
        <f>IF($U1338="","",IF(ISNUMBER(INDEX(상세표[근무일자],$U1338)),TEXT(INDEX(상세표[근무일자],$U1338),"yyyy-mm-dd"),INDEX(상세표[근무일자],$U1338)&amp;""))</f>
        <v/>
      </c>
      <c r="N1338">
        <f>IF($U1338="","",IF(ISNUMBER(INDEX(상세표[시작],$U1338)),TEXT(INDEX(상세표[시작],$U1338),"yyyy-mm-dd hh:mm"),INDEX(상세표[시작],$U1338)&amp;""))</f>
        <v/>
      </c>
      <c r="O1338">
        <f>IF($U1338="","",IF(ISNUMBER(INDEX(상세표[종료],$U1338)),TEXT(INDEX(상세표[종료],$U1338),"yyyy-mm-dd hh:mm"),INDEX(상세표[종료],$U1338)&amp;""))</f>
        <v/>
      </c>
      <c r="P1338" s="20">
        <f>IF($U1338="","",INDEX(상세표[06~07시],$U1338))</f>
        <v/>
      </c>
      <c r="Q1338" s="20">
        <f>IF($U1338="","",INDEX(상세표[07~18시],$U1338))</f>
        <v/>
      </c>
      <c r="R1338" s="20">
        <f>IF($U1338="","",INDEX(상세표[18~22시],$U1338))</f>
        <v/>
      </c>
      <c r="S1338" s="20">
        <f>IF($U1338="","",INDEX(상세표[22~06시],$U1338))</f>
        <v/>
      </c>
      <c r="T1338" s="20">
        <f>IF($U1338="","",INDEX(상세표[기록 시간외],$U1338))</f>
        <v/>
      </c>
      <c r="U1338" s="4">
        <f>IFERROR(MATCH(1333,상세표[발송순번],0),"")</f>
        <v/>
      </c>
    </row>
    <row r="1339">
      <c r="J1339">
        <f>IF($U1339="","",INDEX(상세표[사번],$U1339)&amp;"")</f>
        <v/>
      </c>
      <c r="K1339">
        <f>IF($U1339="","",INDEX(상세표[성명],$U1339)&amp;"")</f>
        <v/>
      </c>
      <c r="L1339">
        <f>IF($U1339="","",INDEX(상세표[직위],$U1339)&amp;"")</f>
        <v/>
      </c>
      <c r="M1339">
        <f>IF($U1339="","",IF(ISNUMBER(INDEX(상세표[근무일자],$U1339)),TEXT(INDEX(상세표[근무일자],$U1339),"yyyy-mm-dd"),INDEX(상세표[근무일자],$U1339)&amp;""))</f>
        <v/>
      </c>
      <c r="N1339">
        <f>IF($U1339="","",IF(ISNUMBER(INDEX(상세표[시작],$U1339)),TEXT(INDEX(상세표[시작],$U1339),"yyyy-mm-dd hh:mm"),INDEX(상세표[시작],$U1339)&amp;""))</f>
        <v/>
      </c>
      <c r="O1339">
        <f>IF($U1339="","",IF(ISNUMBER(INDEX(상세표[종료],$U1339)),TEXT(INDEX(상세표[종료],$U1339),"yyyy-mm-dd hh:mm"),INDEX(상세표[종료],$U1339)&amp;""))</f>
        <v/>
      </c>
      <c r="P1339" s="20">
        <f>IF($U1339="","",INDEX(상세표[06~07시],$U1339))</f>
        <v/>
      </c>
      <c r="Q1339" s="20">
        <f>IF($U1339="","",INDEX(상세표[07~18시],$U1339))</f>
        <v/>
      </c>
      <c r="R1339" s="20">
        <f>IF($U1339="","",INDEX(상세표[18~22시],$U1339))</f>
        <v/>
      </c>
      <c r="S1339" s="20">
        <f>IF($U1339="","",INDEX(상세표[22~06시],$U1339))</f>
        <v/>
      </c>
      <c r="T1339" s="20">
        <f>IF($U1339="","",INDEX(상세표[기록 시간외],$U1339))</f>
        <v/>
      </c>
      <c r="U1339" s="4">
        <f>IFERROR(MATCH(1334,상세표[발송순번],0),"")</f>
        <v/>
      </c>
    </row>
    <row r="1340">
      <c r="J1340">
        <f>IF($U1340="","",INDEX(상세표[사번],$U1340)&amp;"")</f>
        <v/>
      </c>
      <c r="K1340">
        <f>IF($U1340="","",INDEX(상세표[성명],$U1340)&amp;"")</f>
        <v/>
      </c>
      <c r="L1340">
        <f>IF($U1340="","",INDEX(상세표[직위],$U1340)&amp;"")</f>
        <v/>
      </c>
      <c r="M1340">
        <f>IF($U1340="","",IF(ISNUMBER(INDEX(상세표[근무일자],$U1340)),TEXT(INDEX(상세표[근무일자],$U1340),"yyyy-mm-dd"),INDEX(상세표[근무일자],$U1340)&amp;""))</f>
        <v/>
      </c>
      <c r="N1340">
        <f>IF($U1340="","",IF(ISNUMBER(INDEX(상세표[시작],$U1340)),TEXT(INDEX(상세표[시작],$U1340),"yyyy-mm-dd hh:mm"),INDEX(상세표[시작],$U1340)&amp;""))</f>
        <v/>
      </c>
      <c r="O1340">
        <f>IF($U1340="","",IF(ISNUMBER(INDEX(상세표[종료],$U1340)),TEXT(INDEX(상세표[종료],$U1340),"yyyy-mm-dd hh:mm"),INDEX(상세표[종료],$U1340)&amp;""))</f>
        <v/>
      </c>
      <c r="P1340" s="20">
        <f>IF($U1340="","",INDEX(상세표[06~07시],$U1340))</f>
        <v/>
      </c>
      <c r="Q1340" s="20">
        <f>IF($U1340="","",INDEX(상세표[07~18시],$U1340))</f>
        <v/>
      </c>
      <c r="R1340" s="20">
        <f>IF($U1340="","",INDEX(상세표[18~22시],$U1340))</f>
        <v/>
      </c>
      <c r="S1340" s="20">
        <f>IF($U1340="","",INDEX(상세표[22~06시],$U1340))</f>
        <v/>
      </c>
      <c r="T1340" s="20">
        <f>IF($U1340="","",INDEX(상세표[기록 시간외],$U1340))</f>
        <v/>
      </c>
      <c r="U1340" s="4">
        <f>IFERROR(MATCH(1335,상세표[발송순번],0),"")</f>
        <v/>
      </c>
    </row>
    <row r="1341">
      <c r="J1341">
        <f>IF($U1341="","",INDEX(상세표[사번],$U1341)&amp;"")</f>
        <v/>
      </c>
      <c r="K1341">
        <f>IF($U1341="","",INDEX(상세표[성명],$U1341)&amp;"")</f>
        <v/>
      </c>
      <c r="L1341">
        <f>IF($U1341="","",INDEX(상세표[직위],$U1341)&amp;"")</f>
        <v/>
      </c>
      <c r="M1341">
        <f>IF($U1341="","",IF(ISNUMBER(INDEX(상세표[근무일자],$U1341)),TEXT(INDEX(상세표[근무일자],$U1341),"yyyy-mm-dd"),INDEX(상세표[근무일자],$U1341)&amp;""))</f>
        <v/>
      </c>
      <c r="N1341">
        <f>IF($U1341="","",IF(ISNUMBER(INDEX(상세표[시작],$U1341)),TEXT(INDEX(상세표[시작],$U1341),"yyyy-mm-dd hh:mm"),INDEX(상세표[시작],$U1341)&amp;""))</f>
        <v/>
      </c>
      <c r="O1341">
        <f>IF($U1341="","",IF(ISNUMBER(INDEX(상세표[종료],$U1341)),TEXT(INDEX(상세표[종료],$U1341),"yyyy-mm-dd hh:mm"),INDEX(상세표[종료],$U1341)&amp;""))</f>
        <v/>
      </c>
      <c r="P1341" s="20">
        <f>IF($U1341="","",INDEX(상세표[06~07시],$U1341))</f>
        <v/>
      </c>
      <c r="Q1341" s="20">
        <f>IF($U1341="","",INDEX(상세표[07~18시],$U1341))</f>
        <v/>
      </c>
      <c r="R1341" s="20">
        <f>IF($U1341="","",INDEX(상세표[18~22시],$U1341))</f>
        <v/>
      </c>
      <c r="S1341" s="20">
        <f>IF($U1341="","",INDEX(상세표[22~06시],$U1341))</f>
        <v/>
      </c>
      <c r="T1341" s="20">
        <f>IF($U1341="","",INDEX(상세표[기록 시간외],$U1341))</f>
        <v/>
      </c>
      <c r="U1341" s="4">
        <f>IFERROR(MATCH(1336,상세표[발송순번],0),"")</f>
        <v/>
      </c>
    </row>
    <row r="1342">
      <c r="J1342">
        <f>IF($U1342="","",INDEX(상세표[사번],$U1342)&amp;"")</f>
        <v/>
      </c>
      <c r="K1342">
        <f>IF($U1342="","",INDEX(상세표[성명],$U1342)&amp;"")</f>
        <v/>
      </c>
      <c r="L1342">
        <f>IF($U1342="","",INDEX(상세표[직위],$U1342)&amp;"")</f>
        <v/>
      </c>
      <c r="M1342">
        <f>IF($U1342="","",IF(ISNUMBER(INDEX(상세표[근무일자],$U1342)),TEXT(INDEX(상세표[근무일자],$U1342),"yyyy-mm-dd"),INDEX(상세표[근무일자],$U1342)&amp;""))</f>
        <v/>
      </c>
      <c r="N1342">
        <f>IF($U1342="","",IF(ISNUMBER(INDEX(상세표[시작],$U1342)),TEXT(INDEX(상세표[시작],$U1342),"yyyy-mm-dd hh:mm"),INDEX(상세표[시작],$U1342)&amp;""))</f>
        <v/>
      </c>
      <c r="O1342">
        <f>IF($U1342="","",IF(ISNUMBER(INDEX(상세표[종료],$U1342)),TEXT(INDEX(상세표[종료],$U1342),"yyyy-mm-dd hh:mm"),INDEX(상세표[종료],$U1342)&amp;""))</f>
        <v/>
      </c>
      <c r="P1342" s="20">
        <f>IF($U1342="","",INDEX(상세표[06~07시],$U1342))</f>
        <v/>
      </c>
      <c r="Q1342" s="20">
        <f>IF($U1342="","",INDEX(상세표[07~18시],$U1342))</f>
        <v/>
      </c>
      <c r="R1342" s="20">
        <f>IF($U1342="","",INDEX(상세표[18~22시],$U1342))</f>
        <v/>
      </c>
      <c r="S1342" s="20">
        <f>IF($U1342="","",INDEX(상세표[22~06시],$U1342))</f>
        <v/>
      </c>
      <c r="T1342" s="20">
        <f>IF($U1342="","",INDEX(상세표[기록 시간외],$U1342))</f>
        <v/>
      </c>
      <c r="U1342" s="4">
        <f>IFERROR(MATCH(1337,상세표[발송순번],0),"")</f>
        <v/>
      </c>
    </row>
    <row r="1343">
      <c r="J1343">
        <f>IF($U1343="","",INDEX(상세표[사번],$U1343)&amp;"")</f>
        <v/>
      </c>
      <c r="K1343">
        <f>IF($U1343="","",INDEX(상세표[성명],$U1343)&amp;"")</f>
        <v/>
      </c>
      <c r="L1343">
        <f>IF($U1343="","",INDEX(상세표[직위],$U1343)&amp;"")</f>
        <v/>
      </c>
      <c r="M1343">
        <f>IF($U1343="","",IF(ISNUMBER(INDEX(상세표[근무일자],$U1343)),TEXT(INDEX(상세표[근무일자],$U1343),"yyyy-mm-dd"),INDEX(상세표[근무일자],$U1343)&amp;""))</f>
        <v/>
      </c>
      <c r="N1343">
        <f>IF($U1343="","",IF(ISNUMBER(INDEX(상세표[시작],$U1343)),TEXT(INDEX(상세표[시작],$U1343),"yyyy-mm-dd hh:mm"),INDEX(상세표[시작],$U1343)&amp;""))</f>
        <v/>
      </c>
      <c r="O1343">
        <f>IF($U1343="","",IF(ISNUMBER(INDEX(상세표[종료],$U1343)),TEXT(INDEX(상세표[종료],$U1343),"yyyy-mm-dd hh:mm"),INDEX(상세표[종료],$U1343)&amp;""))</f>
        <v/>
      </c>
      <c r="P1343" s="20">
        <f>IF($U1343="","",INDEX(상세표[06~07시],$U1343))</f>
        <v/>
      </c>
      <c r="Q1343" s="20">
        <f>IF($U1343="","",INDEX(상세표[07~18시],$U1343))</f>
        <v/>
      </c>
      <c r="R1343" s="20">
        <f>IF($U1343="","",INDEX(상세표[18~22시],$U1343))</f>
        <v/>
      </c>
      <c r="S1343" s="20">
        <f>IF($U1343="","",INDEX(상세표[22~06시],$U1343))</f>
        <v/>
      </c>
      <c r="T1343" s="20">
        <f>IF($U1343="","",INDEX(상세표[기록 시간외],$U1343))</f>
        <v/>
      </c>
      <c r="U1343" s="4">
        <f>IFERROR(MATCH(1338,상세표[발송순번],0),"")</f>
        <v/>
      </c>
    </row>
    <row r="1344">
      <c r="J1344">
        <f>IF($U1344="","",INDEX(상세표[사번],$U1344)&amp;"")</f>
        <v/>
      </c>
      <c r="K1344">
        <f>IF($U1344="","",INDEX(상세표[성명],$U1344)&amp;"")</f>
        <v/>
      </c>
      <c r="L1344">
        <f>IF($U1344="","",INDEX(상세표[직위],$U1344)&amp;"")</f>
        <v/>
      </c>
      <c r="M1344">
        <f>IF($U1344="","",IF(ISNUMBER(INDEX(상세표[근무일자],$U1344)),TEXT(INDEX(상세표[근무일자],$U1344),"yyyy-mm-dd"),INDEX(상세표[근무일자],$U1344)&amp;""))</f>
        <v/>
      </c>
      <c r="N1344">
        <f>IF($U1344="","",IF(ISNUMBER(INDEX(상세표[시작],$U1344)),TEXT(INDEX(상세표[시작],$U1344),"yyyy-mm-dd hh:mm"),INDEX(상세표[시작],$U1344)&amp;""))</f>
        <v/>
      </c>
      <c r="O1344">
        <f>IF($U1344="","",IF(ISNUMBER(INDEX(상세표[종료],$U1344)),TEXT(INDEX(상세표[종료],$U1344),"yyyy-mm-dd hh:mm"),INDEX(상세표[종료],$U1344)&amp;""))</f>
        <v/>
      </c>
      <c r="P1344" s="20">
        <f>IF($U1344="","",INDEX(상세표[06~07시],$U1344))</f>
        <v/>
      </c>
      <c r="Q1344" s="20">
        <f>IF($U1344="","",INDEX(상세표[07~18시],$U1344))</f>
        <v/>
      </c>
      <c r="R1344" s="20">
        <f>IF($U1344="","",INDEX(상세표[18~22시],$U1344))</f>
        <v/>
      </c>
      <c r="S1344" s="20">
        <f>IF($U1344="","",INDEX(상세표[22~06시],$U1344))</f>
        <v/>
      </c>
      <c r="T1344" s="20">
        <f>IF($U1344="","",INDEX(상세표[기록 시간외],$U1344))</f>
        <v/>
      </c>
      <c r="U1344" s="4">
        <f>IFERROR(MATCH(1339,상세표[발송순번],0),"")</f>
        <v/>
      </c>
    </row>
    <row r="1345">
      <c r="J1345">
        <f>IF($U1345="","",INDEX(상세표[사번],$U1345)&amp;"")</f>
        <v/>
      </c>
      <c r="K1345">
        <f>IF($U1345="","",INDEX(상세표[성명],$U1345)&amp;"")</f>
        <v/>
      </c>
      <c r="L1345">
        <f>IF($U1345="","",INDEX(상세표[직위],$U1345)&amp;"")</f>
        <v/>
      </c>
      <c r="M1345">
        <f>IF($U1345="","",IF(ISNUMBER(INDEX(상세표[근무일자],$U1345)),TEXT(INDEX(상세표[근무일자],$U1345),"yyyy-mm-dd"),INDEX(상세표[근무일자],$U1345)&amp;""))</f>
        <v/>
      </c>
      <c r="N1345">
        <f>IF($U1345="","",IF(ISNUMBER(INDEX(상세표[시작],$U1345)),TEXT(INDEX(상세표[시작],$U1345),"yyyy-mm-dd hh:mm"),INDEX(상세표[시작],$U1345)&amp;""))</f>
        <v/>
      </c>
      <c r="O1345">
        <f>IF($U1345="","",IF(ISNUMBER(INDEX(상세표[종료],$U1345)),TEXT(INDEX(상세표[종료],$U1345),"yyyy-mm-dd hh:mm"),INDEX(상세표[종료],$U1345)&amp;""))</f>
        <v/>
      </c>
      <c r="P1345" s="20">
        <f>IF($U1345="","",INDEX(상세표[06~07시],$U1345))</f>
        <v/>
      </c>
      <c r="Q1345" s="20">
        <f>IF($U1345="","",INDEX(상세표[07~18시],$U1345))</f>
        <v/>
      </c>
      <c r="R1345" s="20">
        <f>IF($U1345="","",INDEX(상세표[18~22시],$U1345))</f>
        <v/>
      </c>
      <c r="S1345" s="20">
        <f>IF($U1345="","",INDEX(상세표[22~06시],$U1345))</f>
        <v/>
      </c>
      <c r="T1345" s="20">
        <f>IF($U1345="","",INDEX(상세표[기록 시간외],$U1345))</f>
        <v/>
      </c>
      <c r="U1345" s="4">
        <f>IFERROR(MATCH(1340,상세표[발송순번],0),"")</f>
        <v/>
      </c>
    </row>
    <row r="1346">
      <c r="J1346">
        <f>IF($U1346="","",INDEX(상세표[사번],$U1346)&amp;"")</f>
        <v/>
      </c>
      <c r="K1346">
        <f>IF($U1346="","",INDEX(상세표[성명],$U1346)&amp;"")</f>
        <v/>
      </c>
      <c r="L1346">
        <f>IF($U1346="","",INDEX(상세표[직위],$U1346)&amp;"")</f>
        <v/>
      </c>
      <c r="M1346">
        <f>IF($U1346="","",IF(ISNUMBER(INDEX(상세표[근무일자],$U1346)),TEXT(INDEX(상세표[근무일자],$U1346),"yyyy-mm-dd"),INDEX(상세표[근무일자],$U1346)&amp;""))</f>
        <v/>
      </c>
      <c r="N1346">
        <f>IF($U1346="","",IF(ISNUMBER(INDEX(상세표[시작],$U1346)),TEXT(INDEX(상세표[시작],$U1346),"yyyy-mm-dd hh:mm"),INDEX(상세표[시작],$U1346)&amp;""))</f>
        <v/>
      </c>
      <c r="O1346">
        <f>IF($U1346="","",IF(ISNUMBER(INDEX(상세표[종료],$U1346)),TEXT(INDEX(상세표[종료],$U1346),"yyyy-mm-dd hh:mm"),INDEX(상세표[종료],$U1346)&amp;""))</f>
        <v/>
      </c>
      <c r="P1346" s="20">
        <f>IF($U1346="","",INDEX(상세표[06~07시],$U1346))</f>
        <v/>
      </c>
      <c r="Q1346" s="20">
        <f>IF($U1346="","",INDEX(상세표[07~18시],$U1346))</f>
        <v/>
      </c>
      <c r="R1346" s="20">
        <f>IF($U1346="","",INDEX(상세표[18~22시],$U1346))</f>
        <v/>
      </c>
      <c r="S1346" s="20">
        <f>IF($U1346="","",INDEX(상세표[22~06시],$U1346))</f>
        <v/>
      </c>
      <c r="T1346" s="20">
        <f>IF($U1346="","",INDEX(상세표[기록 시간외],$U1346))</f>
        <v/>
      </c>
      <c r="U1346" s="4">
        <f>IFERROR(MATCH(1341,상세표[발송순번],0),"")</f>
        <v/>
      </c>
    </row>
    <row r="1347">
      <c r="J1347">
        <f>IF($U1347="","",INDEX(상세표[사번],$U1347)&amp;"")</f>
        <v/>
      </c>
      <c r="K1347">
        <f>IF($U1347="","",INDEX(상세표[성명],$U1347)&amp;"")</f>
        <v/>
      </c>
      <c r="L1347">
        <f>IF($U1347="","",INDEX(상세표[직위],$U1347)&amp;"")</f>
        <v/>
      </c>
      <c r="M1347">
        <f>IF($U1347="","",IF(ISNUMBER(INDEX(상세표[근무일자],$U1347)),TEXT(INDEX(상세표[근무일자],$U1347),"yyyy-mm-dd"),INDEX(상세표[근무일자],$U1347)&amp;""))</f>
        <v/>
      </c>
      <c r="N1347">
        <f>IF($U1347="","",IF(ISNUMBER(INDEX(상세표[시작],$U1347)),TEXT(INDEX(상세표[시작],$U1347),"yyyy-mm-dd hh:mm"),INDEX(상세표[시작],$U1347)&amp;""))</f>
        <v/>
      </c>
      <c r="O1347">
        <f>IF($U1347="","",IF(ISNUMBER(INDEX(상세표[종료],$U1347)),TEXT(INDEX(상세표[종료],$U1347),"yyyy-mm-dd hh:mm"),INDEX(상세표[종료],$U1347)&amp;""))</f>
        <v/>
      </c>
      <c r="P1347" s="20">
        <f>IF($U1347="","",INDEX(상세표[06~07시],$U1347))</f>
        <v/>
      </c>
      <c r="Q1347" s="20">
        <f>IF($U1347="","",INDEX(상세표[07~18시],$U1347))</f>
        <v/>
      </c>
      <c r="R1347" s="20">
        <f>IF($U1347="","",INDEX(상세표[18~22시],$U1347))</f>
        <v/>
      </c>
      <c r="S1347" s="20">
        <f>IF($U1347="","",INDEX(상세표[22~06시],$U1347))</f>
        <v/>
      </c>
      <c r="T1347" s="20">
        <f>IF($U1347="","",INDEX(상세표[기록 시간외],$U1347))</f>
        <v/>
      </c>
      <c r="U1347" s="4">
        <f>IFERROR(MATCH(1342,상세표[발송순번],0),"")</f>
        <v/>
      </c>
    </row>
    <row r="1348">
      <c r="J1348">
        <f>IF($U1348="","",INDEX(상세표[사번],$U1348)&amp;"")</f>
        <v/>
      </c>
      <c r="K1348">
        <f>IF($U1348="","",INDEX(상세표[성명],$U1348)&amp;"")</f>
        <v/>
      </c>
      <c r="L1348">
        <f>IF($U1348="","",INDEX(상세표[직위],$U1348)&amp;"")</f>
        <v/>
      </c>
      <c r="M1348">
        <f>IF($U1348="","",IF(ISNUMBER(INDEX(상세표[근무일자],$U1348)),TEXT(INDEX(상세표[근무일자],$U1348),"yyyy-mm-dd"),INDEX(상세표[근무일자],$U1348)&amp;""))</f>
        <v/>
      </c>
      <c r="N1348">
        <f>IF($U1348="","",IF(ISNUMBER(INDEX(상세표[시작],$U1348)),TEXT(INDEX(상세표[시작],$U1348),"yyyy-mm-dd hh:mm"),INDEX(상세표[시작],$U1348)&amp;""))</f>
        <v/>
      </c>
      <c r="O1348">
        <f>IF($U1348="","",IF(ISNUMBER(INDEX(상세표[종료],$U1348)),TEXT(INDEX(상세표[종료],$U1348),"yyyy-mm-dd hh:mm"),INDEX(상세표[종료],$U1348)&amp;""))</f>
        <v/>
      </c>
      <c r="P1348" s="20">
        <f>IF($U1348="","",INDEX(상세표[06~07시],$U1348))</f>
        <v/>
      </c>
      <c r="Q1348" s="20">
        <f>IF($U1348="","",INDEX(상세표[07~18시],$U1348))</f>
        <v/>
      </c>
      <c r="R1348" s="20">
        <f>IF($U1348="","",INDEX(상세표[18~22시],$U1348))</f>
        <v/>
      </c>
      <c r="S1348" s="20">
        <f>IF($U1348="","",INDEX(상세표[22~06시],$U1348))</f>
        <v/>
      </c>
      <c r="T1348" s="20">
        <f>IF($U1348="","",INDEX(상세표[기록 시간외],$U1348))</f>
        <v/>
      </c>
      <c r="U1348" s="4">
        <f>IFERROR(MATCH(1343,상세표[발송순번],0),"")</f>
        <v/>
      </c>
    </row>
    <row r="1349">
      <c r="J1349">
        <f>IF($U1349="","",INDEX(상세표[사번],$U1349)&amp;"")</f>
        <v/>
      </c>
      <c r="K1349">
        <f>IF($U1349="","",INDEX(상세표[성명],$U1349)&amp;"")</f>
        <v/>
      </c>
      <c r="L1349">
        <f>IF($U1349="","",INDEX(상세표[직위],$U1349)&amp;"")</f>
        <v/>
      </c>
      <c r="M1349">
        <f>IF($U1349="","",IF(ISNUMBER(INDEX(상세표[근무일자],$U1349)),TEXT(INDEX(상세표[근무일자],$U1349),"yyyy-mm-dd"),INDEX(상세표[근무일자],$U1349)&amp;""))</f>
        <v/>
      </c>
      <c r="N1349">
        <f>IF($U1349="","",IF(ISNUMBER(INDEX(상세표[시작],$U1349)),TEXT(INDEX(상세표[시작],$U1349),"yyyy-mm-dd hh:mm"),INDEX(상세표[시작],$U1349)&amp;""))</f>
        <v/>
      </c>
      <c r="O1349">
        <f>IF($U1349="","",IF(ISNUMBER(INDEX(상세표[종료],$U1349)),TEXT(INDEX(상세표[종료],$U1349),"yyyy-mm-dd hh:mm"),INDEX(상세표[종료],$U1349)&amp;""))</f>
        <v/>
      </c>
      <c r="P1349" s="20">
        <f>IF($U1349="","",INDEX(상세표[06~07시],$U1349))</f>
        <v/>
      </c>
      <c r="Q1349" s="20">
        <f>IF($U1349="","",INDEX(상세표[07~18시],$U1349))</f>
        <v/>
      </c>
      <c r="R1349" s="20">
        <f>IF($U1349="","",INDEX(상세표[18~22시],$U1349))</f>
        <v/>
      </c>
      <c r="S1349" s="20">
        <f>IF($U1349="","",INDEX(상세표[22~06시],$U1349))</f>
        <v/>
      </c>
      <c r="T1349" s="20">
        <f>IF($U1349="","",INDEX(상세표[기록 시간외],$U1349))</f>
        <v/>
      </c>
      <c r="U1349" s="4">
        <f>IFERROR(MATCH(1344,상세표[발송순번],0),"")</f>
        <v/>
      </c>
    </row>
    <row r="1350">
      <c r="J1350">
        <f>IF($U1350="","",INDEX(상세표[사번],$U1350)&amp;"")</f>
        <v/>
      </c>
      <c r="K1350">
        <f>IF($U1350="","",INDEX(상세표[성명],$U1350)&amp;"")</f>
        <v/>
      </c>
      <c r="L1350">
        <f>IF($U1350="","",INDEX(상세표[직위],$U1350)&amp;"")</f>
        <v/>
      </c>
      <c r="M1350">
        <f>IF($U1350="","",IF(ISNUMBER(INDEX(상세표[근무일자],$U1350)),TEXT(INDEX(상세표[근무일자],$U1350),"yyyy-mm-dd"),INDEX(상세표[근무일자],$U1350)&amp;""))</f>
        <v/>
      </c>
      <c r="N1350">
        <f>IF($U1350="","",IF(ISNUMBER(INDEX(상세표[시작],$U1350)),TEXT(INDEX(상세표[시작],$U1350),"yyyy-mm-dd hh:mm"),INDEX(상세표[시작],$U1350)&amp;""))</f>
        <v/>
      </c>
      <c r="O1350">
        <f>IF($U1350="","",IF(ISNUMBER(INDEX(상세표[종료],$U1350)),TEXT(INDEX(상세표[종료],$U1350),"yyyy-mm-dd hh:mm"),INDEX(상세표[종료],$U1350)&amp;""))</f>
        <v/>
      </c>
      <c r="P1350" s="20">
        <f>IF($U1350="","",INDEX(상세표[06~07시],$U1350))</f>
        <v/>
      </c>
      <c r="Q1350" s="20">
        <f>IF($U1350="","",INDEX(상세표[07~18시],$U1350))</f>
        <v/>
      </c>
      <c r="R1350" s="20">
        <f>IF($U1350="","",INDEX(상세표[18~22시],$U1350))</f>
        <v/>
      </c>
      <c r="S1350" s="20">
        <f>IF($U1350="","",INDEX(상세표[22~06시],$U1350))</f>
        <v/>
      </c>
      <c r="T1350" s="20">
        <f>IF($U1350="","",INDEX(상세표[기록 시간외],$U1350))</f>
        <v/>
      </c>
      <c r="U1350" s="4">
        <f>IFERROR(MATCH(1345,상세표[발송순번],0),"")</f>
        <v/>
      </c>
    </row>
    <row r="1351">
      <c r="J1351">
        <f>IF($U1351="","",INDEX(상세표[사번],$U1351)&amp;"")</f>
        <v/>
      </c>
      <c r="K1351">
        <f>IF($U1351="","",INDEX(상세표[성명],$U1351)&amp;"")</f>
        <v/>
      </c>
      <c r="L1351">
        <f>IF($U1351="","",INDEX(상세표[직위],$U1351)&amp;"")</f>
        <v/>
      </c>
      <c r="M1351">
        <f>IF($U1351="","",IF(ISNUMBER(INDEX(상세표[근무일자],$U1351)),TEXT(INDEX(상세표[근무일자],$U1351),"yyyy-mm-dd"),INDEX(상세표[근무일자],$U1351)&amp;""))</f>
        <v/>
      </c>
      <c r="N1351">
        <f>IF($U1351="","",IF(ISNUMBER(INDEX(상세표[시작],$U1351)),TEXT(INDEX(상세표[시작],$U1351),"yyyy-mm-dd hh:mm"),INDEX(상세표[시작],$U1351)&amp;""))</f>
        <v/>
      </c>
      <c r="O1351">
        <f>IF($U1351="","",IF(ISNUMBER(INDEX(상세표[종료],$U1351)),TEXT(INDEX(상세표[종료],$U1351),"yyyy-mm-dd hh:mm"),INDEX(상세표[종료],$U1351)&amp;""))</f>
        <v/>
      </c>
      <c r="P1351" s="20">
        <f>IF($U1351="","",INDEX(상세표[06~07시],$U1351))</f>
        <v/>
      </c>
      <c r="Q1351" s="20">
        <f>IF($U1351="","",INDEX(상세표[07~18시],$U1351))</f>
        <v/>
      </c>
      <c r="R1351" s="20">
        <f>IF($U1351="","",INDEX(상세표[18~22시],$U1351))</f>
        <v/>
      </c>
      <c r="S1351" s="20">
        <f>IF($U1351="","",INDEX(상세표[22~06시],$U1351))</f>
        <v/>
      </c>
      <c r="T1351" s="20">
        <f>IF($U1351="","",INDEX(상세표[기록 시간외],$U1351))</f>
        <v/>
      </c>
      <c r="U1351" s="4">
        <f>IFERROR(MATCH(1346,상세표[발송순번],0),"")</f>
        <v/>
      </c>
    </row>
    <row r="1352">
      <c r="J1352">
        <f>IF($U1352="","",INDEX(상세표[사번],$U1352)&amp;"")</f>
        <v/>
      </c>
      <c r="K1352">
        <f>IF($U1352="","",INDEX(상세표[성명],$U1352)&amp;"")</f>
        <v/>
      </c>
      <c r="L1352">
        <f>IF($U1352="","",INDEX(상세표[직위],$U1352)&amp;"")</f>
        <v/>
      </c>
      <c r="M1352">
        <f>IF($U1352="","",IF(ISNUMBER(INDEX(상세표[근무일자],$U1352)),TEXT(INDEX(상세표[근무일자],$U1352),"yyyy-mm-dd"),INDEX(상세표[근무일자],$U1352)&amp;""))</f>
        <v/>
      </c>
      <c r="N1352">
        <f>IF($U1352="","",IF(ISNUMBER(INDEX(상세표[시작],$U1352)),TEXT(INDEX(상세표[시작],$U1352),"yyyy-mm-dd hh:mm"),INDEX(상세표[시작],$U1352)&amp;""))</f>
        <v/>
      </c>
      <c r="O1352">
        <f>IF($U1352="","",IF(ISNUMBER(INDEX(상세표[종료],$U1352)),TEXT(INDEX(상세표[종료],$U1352),"yyyy-mm-dd hh:mm"),INDEX(상세표[종료],$U1352)&amp;""))</f>
        <v/>
      </c>
      <c r="P1352" s="20">
        <f>IF($U1352="","",INDEX(상세표[06~07시],$U1352))</f>
        <v/>
      </c>
      <c r="Q1352" s="20">
        <f>IF($U1352="","",INDEX(상세표[07~18시],$U1352))</f>
        <v/>
      </c>
      <c r="R1352" s="20">
        <f>IF($U1352="","",INDEX(상세표[18~22시],$U1352))</f>
        <v/>
      </c>
      <c r="S1352" s="20">
        <f>IF($U1352="","",INDEX(상세표[22~06시],$U1352))</f>
        <v/>
      </c>
      <c r="T1352" s="20">
        <f>IF($U1352="","",INDEX(상세표[기록 시간외],$U1352))</f>
        <v/>
      </c>
      <c r="U1352" s="4">
        <f>IFERROR(MATCH(1347,상세표[발송순번],0),"")</f>
        <v/>
      </c>
    </row>
    <row r="1353">
      <c r="J1353">
        <f>IF($U1353="","",INDEX(상세표[사번],$U1353)&amp;"")</f>
        <v/>
      </c>
      <c r="K1353">
        <f>IF($U1353="","",INDEX(상세표[성명],$U1353)&amp;"")</f>
        <v/>
      </c>
      <c r="L1353">
        <f>IF($U1353="","",INDEX(상세표[직위],$U1353)&amp;"")</f>
        <v/>
      </c>
      <c r="M1353">
        <f>IF($U1353="","",IF(ISNUMBER(INDEX(상세표[근무일자],$U1353)),TEXT(INDEX(상세표[근무일자],$U1353),"yyyy-mm-dd"),INDEX(상세표[근무일자],$U1353)&amp;""))</f>
        <v/>
      </c>
      <c r="N1353">
        <f>IF($U1353="","",IF(ISNUMBER(INDEX(상세표[시작],$U1353)),TEXT(INDEX(상세표[시작],$U1353),"yyyy-mm-dd hh:mm"),INDEX(상세표[시작],$U1353)&amp;""))</f>
        <v/>
      </c>
      <c r="O1353">
        <f>IF($U1353="","",IF(ISNUMBER(INDEX(상세표[종료],$U1353)),TEXT(INDEX(상세표[종료],$U1353),"yyyy-mm-dd hh:mm"),INDEX(상세표[종료],$U1353)&amp;""))</f>
        <v/>
      </c>
      <c r="P1353" s="20">
        <f>IF($U1353="","",INDEX(상세표[06~07시],$U1353))</f>
        <v/>
      </c>
      <c r="Q1353" s="20">
        <f>IF($U1353="","",INDEX(상세표[07~18시],$U1353))</f>
        <v/>
      </c>
      <c r="R1353" s="20">
        <f>IF($U1353="","",INDEX(상세표[18~22시],$U1353))</f>
        <v/>
      </c>
      <c r="S1353" s="20">
        <f>IF($U1353="","",INDEX(상세표[22~06시],$U1353))</f>
        <v/>
      </c>
      <c r="T1353" s="20">
        <f>IF($U1353="","",INDEX(상세표[기록 시간외],$U1353))</f>
        <v/>
      </c>
      <c r="U1353" s="4">
        <f>IFERROR(MATCH(1348,상세표[발송순번],0),"")</f>
        <v/>
      </c>
    </row>
    <row r="1354">
      <c r="J1354">
        <f>IF($U1354="","",INDEX(상세표[사번],$U1354)&amp;"")</f>
        <v/>
      </c>
      <c r="K1354">
        <f>IF($U1354="","",INDEX(상세표[성명],$U1354)&amp;"")</f>
        <v/>
      </c>
      <c r="L1354">
        <f>IF($U1354="","",INDEX(상세표[직위],$U1354)&amp;"")</f>
        <v/>
      </c>
      <c r="M1354">
        <f>IF($U1354="","",IF(ISNUMBER(INDEX(상세표[근무일자],$U1354)),TEXT(INDEX(상세표[근무일자],$U1354),"yyyy-mm-dd"),INDEX(상세표[근무일자],$U1354)&amp;""))</f>
        <v/>
      </c>
      <c r="N1354">
        <f>IF($U1354="","",IF(ISNUMBER(INDEX(상세표[시작],$U1354)),TEXT(INDEX(상세표[시작],$U1354),"yyyy-mm-dd hh:mm"),INDEX(상세표[시작],$U1354)&amp;""))</f>
        <v/>
      </c>
      <c r="O1354">
        <f>IF($U1354="","",IF(ISNUMBER(INDEX(상세표[종료],$U1354)),TEXT(INDEX(상세표[종료],$U1354),"yyyy-mm-dd hh:mm"),INDEX(상세표[종료],$U1354)&amp;""))</f>
        <v/>
      </c>
      <c r="P1354" s="20">
        <f>IF($U1354="","",INDEX(상세표[06~07시],$U1354))</f>
        <v/>
      </c>
      <c r="Q1354" s="20">
        <f>IF($U1354="","",INDEX(상세표[07~18시],$U1354))</f>
        <v/>
      </c>
      <c r="R1354" s="20">
        <f>IF($U1354="","",INDEX(상세표[18~22시],$U1354))</f>
        <v/>
      </c>
      <c r="S1354" s="20">
        <f>IF($U1354="","",INDEX(상세표[22~06시],$U1354))</f>
        <v/>
      </c>
      <c r="T1354" s="20">
        <f>IF($U1354="","",INDEX(상세표[기록 시간외],$U1354))</f>
        <v/>
      </c>
      <c r="U1354" s="4">
        <f>IFERROR(MATCH(1349,상세표[발송순번],0),"")</f>
        <v/>
      </c>
    </row>
    <row r="1355">
      <c r="J1355">
        <f>IF($U1355="","",INDEX(상세표[사번],$U1355)&amp;"")</f>
        <v/>
      </c>
      <c r="K1355">
        <f>IF($U1355="","",INDEX(상세표[성명],$U1355)&amp;"")</f>
        <v/>
      </c>
      <c r="L1355">
        <f>IF($U1355="","",INDEX(상세표[직위],$U1355)&amp;"")</f>
        <v/>
      </c>
      <c r="M1355">
        <f>IF($U1355="","",IF(ISNUMBER(INDEX(상세표[근무일자],$U1355)),TEXT(INDEX(상세표[근무일자],$U1355),"yyyy-mm-dd"),INDEX(상세표[근무일자],$U1355)&amp;""))</f>
        <v/>
      </c>
      <c r="N1355">
        <f>IF($U1355="","",IF(ISNUMBER(INDEX(상세표[시작],$U1355)),TEXT(INDEX(상세표[시작],$U1355),"yyyy-mm-dd hh:mm"),INDEX(상세표[시작],$U1355)&amp;""))</f>
        <v/>
      </c>
      <c r="O1355">
        <f>IF($U1355="","",IF(ISNUMBER(INDEX(상세표[종료],$U1355)),TEXT(INDEX(상세표[종료],$U1355),"yyyy-mm-dd hh:mm"),INDEX(상세표[종료],$U1355)&amp;""))</f>
        <v/>
      </c>
      <c r="P1355" s="20">
        <f>IF($U1355="","",INDEX(상세표[06~07시],$U1355))</f>
        <v/>
      </c>
      <c r="Q1355" s="20">
        <f>IF($U1355="","",INDEX(상세표[07~18시],$U1355))</f>
        <v/>
      </c>
      <c r="R1355" s="20">
        <f>IF($U1355="","",INDEX(상세표[18~22시],$U1355))</f>
        <v/>
      </c>
      <c r="S1355" s="20">
        <f>IF($U1355="","",INDEX(상세표[22~06시],$U1355))</f>
        <v/>
      </c>
      <c r="T1355" s="20">
        <f>IF($U1355="","",INDEX(상세표[기록 시간외],$U1355))</f>
        <v/>
      </c>
      <c r="U1355" s="4">
        <f>IFERROR(MATCH(1350,상세표[발송순번],0),"")</f>
        <v/>
      </c>
    </row>
    <row r="1356">
      <c r="J1356">
        <f>IF($U1356="","",INDEX(상세표[사번],$U1356)&amp;"")</f>
        <v/>
      </c>
      <c r="K1356">
        <f>IF($U1356="","",INDEX(상세표[성명],$U1356)&amp;"")</f>
        <v/>
      </c>
      <c r="L1356">
        <f>IF($U1356="","",INDEX(상세표[직위],$U1356)&amp;"")</f>
        <v/>
      </c>
      <c r="M1356">
        <f>IF($U1356="","",IF(ISNUMBER(INDEX(상세표[근무일자],$U1356)),TEXT(INDEX(상세표[근무일자],$U1356),"yyyy-mm-dd"),INDEX(상세표[근무일자],$U1356)&amp;""))</f>
        <v/>
      </c>
      <c r="N1356">
        <f>IF($U1356="","",IF(ISNUMBER(INDEX(상세표[시작],$U1356)),TEXT(INDEX(상세표[시작],$U1356),"yyyy-mm-dd hh:mm"),INDEX(상세표[시작],$U1356)&amp;""))</f>
        <v/>
      </c>
      <c r="O1356">
        <f>IF($U1356="","",IF(ISNUMBER(INDEX(상세표[종료],$U1356)),TEXT(INDEX(상세표[종료],$U1356),"yyyy-mm-dd hh:mm"),INDEX(상세표[종료],$U1356)&amp;""))</f>
        <v/>
      </c>
      <c r="P1356" s="20">
        <f>IF($U1356="","",INDEX(상세표[06~07시],$U1356))</f>
        <v/>
      </c>
      <c r="Q1356" s="20">
        <f>IF($U1356="","",INDEX(상세표[07~18시],$U1356))</f>
        <v/>
      </c>
      <c r="R1356" s="20">
        <f>IF($U1356="","",INDEX(상세표[18~22시],$U1356))</f>
        <v/>
      </c>
      <c r="S1356" s="20">
        <f>IF($U1356="","",INDEX(상세표[22~06시],$U1356))</f>
        <v/>
      </c>
      <c r="T1356" s="20">
        <f>IF($U1356="","",INDEX(상세표[기록 시간외],$U1356))</f>
        <v/>
      </c>
      <c r="U1356" s="4">
        <f>IFERROR(MATCH(1351,상세표[발송순번],0),"")</f>
        <v/>
      </c>
    </row>
    <row r="1357">
      <c r="J1357">
        <f>IF($U1357="","",INDEX(상세표[사번],$U1357)&amp;"")</f>
        <v/>
      </c>
      <c r="K1357">
        <f>IF($U1357="","",INDEX(상세표[성명],$U1357)&amp;"")</f>
        <v/>
      </c>
      <c r="L1357">
        <f>IF($U1357="","",INDEX(상세표[직위],$U1357)&amp;"")</f>
        <v/>
      </c>
      <c r="M1357">
        <f>IF($U1357="","",IF(ISNUMBER(INDEX(상세표[근무일자],$U1357)),TEXT(INDEX(상세표[근무일자],$U1357),"yyyy-mm-dd"),INDEX(상세표[근무일자],$U1357)&amp;""))</f>
        <v/>
      </c>
      <c r="N1357">
        <f>IF($U1357="","",IF(ISNUMBER(INDEX(상세표[시작],$U1357)),TEXT(INDEX(상세표[시작],$U1357),"yyyy-mm-dd hh:mm"),INDEX(상세표[시작],$U1357)&amp;""))</f>
        <v/>
      </c>
      <c r="O1357">
        <f>IF($U1357="","",IF(ISNUMBER(INDEX(상세표[종료],$U1357)),TEXT(INDEX(상세표[종료],$U1357),"yyyy-mm-dd hh:mm"),INDEX(상세표[종료],$U1357)&amp;""))</f>
        <v/>
      </c>
      <c r="P1357" s="20">
        <f>IF($U1357="","",INDEX(상세표[06~07시],$U1357))</f>
        <v/>
      </c>
      <c r="Q1357" s="20">
        <f>IF($U1357="","",INDEX(상세표[07~18시],$U1357))</f>
        <v/>
      </c>
      <c r="R1357" s="20">
        <f>IF($U1357="","",INDEX(상세표[18~22시],$U1357))</f>
        <v/>
      </c>
      <c r="S1357" s="20">
        <f>IF($U1357="","",INDEX(상세표[22~06시],$U1357))</f>
        <v/>
      </c>
      <c r="T1357" s="20">
        <f>IF($U1357="","",INDEX(상세표[기록 시간외],$U1357))</f>
        <v/>
      </c>
      <c r="U1357" s="4">
        <f>IFERROR(MATCH(1352,상세표[발송순번],0),"")</f>
        <v/>
      </c>
    </row>
    <row r="1358">
      <c r="J1358">
        <f>IF($U1358="","",INDEX(상세표[사번],$U1358)&amp;"")</f>
        <v/>
      </c>
      <c r="K1358">
        <f>IF($U1358="","",INDEX(상세표[성명],$U1358)&amp;"")</f>
        <v/>
      </c>
      <c r="L1358">
        <f>IF($U1358="","",INDEX(상세표[직위],$U1358)&amp;"")</f>
        <v/>
      </c>
      <c r="M1358">
        <f>IF($U1358="","",IF(ISNUMBER(INDEX(상세표[근무일자],$U1358)),TEXT(INDEX(상세표[근무일자],$U1358),"yyyy-mm-dd"),INDEX(상세표[근무일자],$U1358)&amp;""))</f>
        <v/>
      </c>
      <c r="N1358">
        <f>IF($U1358="","",IF(ISNUMBER(INDEX(상세표[시작],$U1358)),TEXT(INDEX(상세표[시작],$U1358),"yyyy-mm-dd hh:mm"),INDEX(상세표[시작],$U1358)&amp;""))</f>
        <v/>
      </c>
      <c r="O1358">
        <f>IF($U1358="","",IF(ISNUMBER(INDEX(상세표[종료],$U1358)),TEXT(INDEX(상세표[종료],$U1358),"yyyy-mm-dd hh:mm"),INDEX(상세표[종료],$U1358)&amp;""))</f>
        <v/>
      </c>
      <c r="P1358" s="20">
        <f>IF($U1358="","",INDEX(상세표[06~07시],$U1358))</f>
        <v/>
      </c>
      <c r="Q1358" s="20">
        <f>IF($U1358="","",INDEX(상세표[07~18시],$U1358))</f>
        <v/>
      </c>
      <c r="R1358" s="20">
        <f>IF($U1358="","",INDEX(상세표[18~22시],$U1358))</f>
        <v/>
      </c>
      <c r="S1358" s="20">
        <f>IF($U1358="","",INDEX(상세표[22~06시],$U1358))</f>
        <v/>
      </c>
      <c r="T1358" s="20">
        <f>IF($U1358="","",INDEX(상세표[기록 시간외],$U1358))</f>
        <v/>
      </c>
      <c r="U1358" s="4">
        <f>IFERROR(MATCH(1353,상세표[발송순번],0),"")</f>
        <v/>
      </c>
    </row>
    <row r="1359">
      <c r="J1359">
        <f>IF($U1359="","",INDEX(상세표[사번],$U1359)&amp;"")</f>
        <v/>
      </c>
      <c r="K1359">
        <f>IF($U1359="","",INDEX(상세표[성명],$U1359)&amp;"")</f>
        <v/>
      </c>
      <c r="L1359">
        <f>IF($U1359="","",INDEX(상세표[직위],$U1359)&amp;"")</f>
        <v/>
      </c>
      <c r="M1359">
        <f>IF($U1359="","",IF(ISNUMBER(INDEX(상세표[근무일자],$U1359)),TEXT(INDEX(상세표[근무일자],$U1359),"yyyy-mm-dd"),INDEX(상세표[근무일자],$U1359)&amp;""))</f>
        <v/>
      </c>
      <c r="N1359">
        <f>IF($U1359="","",IF(ISNUMBER(INDEX(상세표[시작],$U1359)),TEXT(INDEX(상세표[시작],$U1359),"yyyy-mm-dd hh:mm"),INDEX(상세표[시작],$U1359)&amp;""))</f>
        <v/>
      </c>
      <c r="O1359">
        <f>IF($U1359="","",IF(ISNUMBER(INDEX(상세표[종료],$U1359)),TEXT(INDEX(상세표[종료],$U1359),"yyyy-mm-dd hh:mm"),INDEX(상세표[종료],$U1359)&amp;""))</f>
        <v/>
      </c>
      <c r="P1359" s="20">
        <f>IF($U1359="","",INDEX(상세표[06~07시],$U1359))</f>
        <v/>
      </c>
      <c r="Q1359" s="20">
        <f>IF($U1359="","",INDEX(상세표[07~18시],$U1359))</f>
        <v/>
      </c>
      <c r="R1359" s="20">
        <f>IF($U1359="","",INDEX(상세표[18~22시],$U1359))</f>
        <v/>
      </c>
      <c r="S1359" s="20">
        <f>IF($U1359="","",INDEX(상세표[22~06시],$U1359))</f>
        <v/>
      </c>
      <c r="T1359" s="20">
        <f>IF($U1359="","",INDEX(상세표[기록 시간외],$U1359))</f>
        <v/>
      </c>
      <c r="U1359" s="4">
        <f>IFERROR(MATCH(1354,상세표[발송순번],0),"")</f>
        <v/>
      </c>
    </row>
    <row r="1360">
      <c r="J1360">
        <f>IF($U1360="","",INDEX(상세표[사번],$U1360)&amp;"")</f>
        <v/>
      </c>
      <c r="K1360">
        <f>IF($U1360="","",INDEX(상세표[성명],$U1360)&amp;"")</f>
        <v/>
      </c>
      <c r="L1360">
        <f>IF($U1360="","",INDEX(상세표[직위],$U1360)&amp;"")</f>
        <v/>
      </c>
      <c r="M1360">
        <f>IF($U1360="","",IF(ISNUMBER(INDEX(상세표[근무일자],$U1360)),TEXT(INDEX(상세표[근무일자],$U1360),"yyyy-mm-dd"),INDEX(상세표[근무일자],$U1360)&amp;""))</f>
        <v/>
      </c>
      <c r="N1360">
        <f>IF($U1360="","",IF(ISNUMBER(INDEX(상세표[시작],$U1360)),TEXT(INDEX(상세표[시작],$U1360),"yyyy-mm-dd hh:mm"),INDEX(상세표[시작],$U1360)&amp;""))</f>
        <v/>
      </c>
      <c r="O1360">
        <f>IF($U1360="","",IF(ISNUMBER(INDEX(상세표[종료],$U1360)),TEXT(INDEX(상세표[종료],$U1360),"yyyy-mm-dd hh:mm"),INDEX(상세표[종료],$U1360)&amp;""))</f>
        <v/>
      </c>
      <c r="P1360" s="20">
        <f>IF($U1360="","",INDEX(상세표[06~07시],$U1360))</f>
        <v/>
      </c>
      <c r="Q1360" s="20">
        <f>IF($U1360="","",INDEX(상세표[07~18시],$U1360))</f>
        <v/>
      </c>
      <c r="R1360" s="20">
        <f>IF($U1360="","",INDEX(상세표[18~22시],$U1360))</f>
        <v/>
      </c>
      <c r="S1360" s="20">
        <f>IF($U1360="","",INDEX(상세표[22~06시],$U1360))</f>
        <v/>
      </c>
      <c r="T1360" s="20">
        <f>IF($U1360="","",INDEX(상세표[기록 시간외],$U1360))</f>
        <v/>
      </c>
      <c r="U1360" s="4">
        <f>IFERROR(MATCH(1355,상세표[발송순번],0),"")</f>
        <v/>
      </c>
    </row>
    <row r="1361">
      <c r="J1361">
        <f>IF($U1361="","",INDEX(상세표[사번],$U1361)&amp;"")</f>
        <v/>
      </c>
      <c r="K1361">
        <f>IF($U1361="","",INDEX(상세표[성명],$U1361)&amp;"")</f>
        <v/>
      </c>
      <c r="L1361">
        <f>IF($U1361="","",INDEX(상세표[직위],$U1361)&amp;"")</f>
        <v/>
      </c>
      <c r="M1361">
        <f>IF($U1361="","",IF(ISNUMBER(INDEX(상세표[근무일자],$U1361)),TEXT(INDEX(상세표[근무일자],$U1361),"yyyy-mm-dd"),INDEX(상세표[근무일자],$U1361)&amp;""))</f>
        <v/>
      </c>
      <c r="N1361">
        <f>IF($U1361="","",IF(ISNUMBER(INDEX(상세표[시작],$U1361)),TEXT(INDEX(상세표[시작],$U1361),"yyyy-mm-dd hh:mm"),INDEX(상세표[시작],$U1361)&amp;""))</f>
        <v/>
      </c>
      <c r="O1361">
        <f>IF($U1361="","",IF(ISNUMBER(INDEX(상세표[종료],$U1361)),TEXT(INDEX(상세표[종료],$U1361),"yyyy-mm-dd hh:mm"),INDEX(상세표[종료],$U1361)&amp;""))</f>
        <v/>
      </c>
      <c r="P1361" s="20">
        <f>IF($U1361="","",INDEX(상세표[06~07시],$U1361))</f>
        <v/>
      </c>
      <c r="Q1361" s="20">
        <f>IF($U1361="","",INDEX(상세표[07~18시],$U1361))</f>
        <v/>
      </c>
      <c r="R1361" s="20">
        <f>IF($U1361="","",INDEX(상세표[18~22시],$U1361))</f>
        <v/>
      </c>
      <c r="S1361" s="20">
        <f>IF($U1361="","",INDEX(상세표[22~06시],$U1361))</f>
        <v/>
      </c>
      <c r="T1361" s="20">
        <f>IF($U1361="","",INDEX(상세표[기록 시간외],$U1361))</f>
        <v/>
      </c>
      <c r="U1361" s="4">
        <f>IFERROR(MATCH(1356,상세표[발송순번],0),"")</f>
        <v/>
      </c>
    </row>
    <row r="1362">
      <c r="J1362">
        <f>IF($U1362="","",INDEX(상세표[사번],$U1362)&amp;"")</f>
        <v/>
      </c>
      <c r="K1362">
        <f>IF($U1362="","",INDEX(상세표[성명],$U1362)&amp;"")</f>
        <v/>
      </c>
      <c r="L1362">
        <f>IF($U1362="","",INDEX(상세표[직위],$U1362)&amp;"")</f>
        <v/>
      </c>
      <c r="M1362">
        <f>IF($U1362="","",IF(ISNUMBER(INDEX(상세표[근무일자],$U1362)),TEXT(INDEX(상세표[근무일자],$U1362),"yyyy-mm-dd"),INDEX(상세표[근무일자],$U1362)&amp;""))</f>
        <v/>
      </c>
      <c r="N1362">
        <f>IF($U1362="","",IF(ISNUMBER(INDEX(상세표[시작],$U1362)),TEXT(INDEX(상세표[시작],$U1362),"yyyy-mm-dd hh:mm"),INDEX(상세표[시작],$U1362)&amp;""))</f>
        <v/>
      </c>
      <c r="O1362">
        <f>IF($U1362="","",IF(ISNUMBER(INDEX(상세표[종료],$U1362)),TEXT(INDEX(상세표[종료],$U1362),"yyyy-mm-dd hh:mm"),INDEX(상세표[종료],$U1362)&amp;""))</f>
        <v/>
      </c>
      <c r="P1362" s="20">
        <f>IF($U1362="","",INDEX(상세표[06~07시],$U1362))</f>
        <v/>
      </c>
      <c r="Q1362" s="20">
        <f>IF($U1362="","",INDEX(상세표[07~18시],$U1362))</f>
        <v/>
      </c>
      <c r="R1362" s="20">
        <f>IF($U1362="","",INDEX(상세표[18~22시],$U1362))</f>
        <v/>
      </c>
      <c r="S1362" s="20">
        <f>IF($U1362="","",INDEX(상세표[22~06시],$U1362))</f>
        <v/>
      </c>
      <c r="T1362" s="20">
        <f>IF($U1362="","",INDEX(상세표[기록 시간외],$U1362))</f>
        <v/>
      </c>
      <c r="U1362" s="4">
        <f>IFERROR(MATCH(1357,상세표[발송순번],0),"")</f>
        <v/>
      </c>
    </row>
    <row r="1363">
      <c r="J1363">
        <f>IF($U1363="","",INDEX(상세표[사번],$U1363)&amp;"")</f>
        <v/>
      </c>
      <c r="K1363">
        <f>IF($U1363="","",INDEX(상세표[성명],$U1363)&amp;"")</f>
        <v/>
      </c>
      <c r="L1363">
        <f>IF($U1363="","",INDEX(상세표[직위],$U1363)&amp;"")</f>
        <v/>
      </c>
      <c r="M1363">
        <f>IF($U1363="","",IF(ISNUMBER(INDEX(상세표[근무일자],$U1363)),TEXT(INDEX(상세표[근무일자],$U1363),"yyyy-mm-dd"),INDEX(상세표[근무일자],$U1363)&amp;""))</f>
        <v/>
      </c>
      <c r="N1363">
        <f>IF($U1363="","",IF(ISNUMBER(INDEX(상세표[시작],$U1363)),TEXT(INDEX(상세표[시작],$U1363),"yyyy-mm-dd hh:mm"),INDEX(상세표[시작],$U1363)&amp;""))</f>
        <v/>
      </c>
      <c r="O1363">
        <f>IF($U1363="","",IF(ISNUMBER(INDEX(상세표[종료],$U1363)),TEXT(INDEX(상세표[종료],$U1363),"yyyy-mm-dd hh:mm"),INDEX(상세표[종료],$U1363)&amp;""))</f>
        <v/>
      </c>
      <c r="P1363" s="20">
        <f>IF($U1363="","",INDEX(상세표[06~07시],$U1363))</f>
        <v/>
      </c>
      <c r="Q1363" s="20">
        <f>IF($U1363="","",INDEX(상세표[07~18시],$U1363))</f>
        <v/>
      </c>
      <c r="R1363" s="20">
        <f>IF($U1363="","",INDEX(상세표[18~22시],$U1363))</f>
        <v/>
      </c>
      <c r="S1363" s="20">
        <f>IF($U1363="","",INDEX(상세표[22~06시],$U1363))</f>
        <v/>
      </c>
      <c r="T1363" s="20">
        <f>IF($U1363="","",INDEX(상세표[기록 시간외],$U1363))</f>
        <v/>
      </c>
      <c r="U1363" s="4">
        <f>IFERROR(MATCH(1358,상세표[발송순번],0),"")</f>
        <v/>
      </c>
    </row>
    <row r="1364">
      <c r="J1364">
        <f>IF($U1364="","",INDEX(상세표[사번],$U1364)&amp;"")</f>
        <v/>
      </c>
      <c r="K1364">
        <f>IF($U1364="","",INDEX(상세표[성명],$U1364)&amp;"")</f>
        <v/>
      </c>
      <c r="L1364">
        <f>IF($U1364="","",INDEX(상세표[직위],$U1364)&amp;"")</f>
        <v/>
      </c>
      <c r="M1364">
        <f>IF($U1364="","",IF(ISNUMBER(INDEX(상세표[근무일자],$U1364)),TEXT(INDEX(상세표[근무일자],$U1364),"yyyy-mm-dd"),INDEX(상세표[근무일자],$U1364)&amp;""))</f>
        <v/>
      </c>
      <c r="N1364">
        <f>IF($U1364="","",IF(ISNUMBER(INDEX(상세표[시작],$U1364)),TEXT(INDEX(상세표[시작],$U1364),"yyyy-mm-dd hh:mm"),INDEX(상세표[시작],$U1364)&amp;""))</f>
        <v/>
      </c>
      <c r="O1364">
        <f>IF($U1364="","",IF(ISNUMBER(INDEX(상세표[종료],$U1364)),TEXT(INDEX(상세표[종료],$U1364),"yyyy-mm-dd hh:mm"),INDEX(상세표[종료],$U1364)&amp;""))</f>
        <v/>
      </c>
      <c r="P1364" s="20">
        <f>IF($U1364="","",INDEX(상세표[06~07시],$U1364))</f>
        <v/>
      </c>
      <c r="Q1364" s="20">
        <f>IF($U1364="","",INDEX(상세표[07~18시],$U1364))</f>
        <v/>
      </c>
      <c r="R1364" s="20">
        <f>IF($U1364="","",INDEX(상세표[18~22시],$U1364))</f>
        <v/>
      </c>
      <c r="S1364" s="20">
        <f>IF($U1364="","",INDEX(상세표[22~06시],$U1364))</f>
        <v/>
      </c>
      <c r="T1364" s="20">
        <f>IF($U1364="","",INDEX(상세표[기록 시간외],$U1364))</f>
        <v/>
      </c>
      <c r="U1364" s="4">
        <f>IFERROR(MATCH(1359,상세표[발송순번],0),"")</f>
        <v/>
      </c>
    </row>
    <row r="1365">
      <c r="J1365">
        <f>IF($U1365="","",INDEX(상세표[사번],$U1365)&amp;"")</f>
        <v/>
      </c>
      <c r="K1365">
        <f>IF($U1365="","",INDEX(상세표[성명],$U1365)&amp;"")</f>
        <v/>
      </c>
      <c r="L1365">
        <f>IF($U1365="","",INDEX(상세표[직위],$U1365)&amp;"")</f>
        <v/>
      </c>
      <c r="M1365">
        <f>IF($U1365="","",IF(ISNUMBER(INDEX(상세표[근무일자],$U1365)),TEXT(INDEX(상세표[근무일자],$U1365),"yyyy-mm-dd"),INDEX(상세표[근무일자],$U1365)&amp;""))</f>
        <v/>
      </c>
      <c r="N1365">
        <f>IF($U1365="","",IF(ISNUMBER(INDEX(상세표[시작],$U1365)),TEXT(INDEX(상세표[시작],$U1365),"yyyy-mm-dd hh:mm"),INDEX(상세표[시작],$U1365)&amp;""))</f>
        <v/>
      </c>
      <c r="O1365">
        <f>IF($U1365="","",IF(ISNUMBER(INDEX(상세표[종료],$U1365)),TEXT(INDEX(상세표[종료],$U1365),"yyyy-mm-dd hh:mm"),INDEX(상세표[종료],$U1365)&amp;""))</f>
        <v/>
      </c>
      <c r="P1365" s="20">
        <f>IF($U1365="","",INDEX(상세표[06~07시],$U1365))</f>
        <v/>
      </c>
      <c r="Q1365" s="20">
        <f>IF($U1365="","",INDEX(상세표[07~18시],$U1365))</f>
        <v/>
      </c>
      <c r="R1365" s="20">
        <f>IF($U1365="","",INDEX(상세표[18~22시],$U1365))</f>
        <v/>
      </c>
      <c r="S1365" s="20">
        <f>IF($U1365="","",INDEX(상세표[22~06시],$U1365))</f>
        <v/>
      </c>
      <c r="T1365" s="20">
        <f>IF($U1365="","",INDEX(상세표[기록 시간외],$U1365))</f>
        <v/>
      </c>
      <c r="U1365" s="4">
        <f>IFERROR(MATCH(1360,상세표[발송순번],0),"")</f>
        <v/>
      </c>
    </row>
    <row r="1366">
      <c r="J1366">
        <f>IF($U1366="","",INDEX(상세표[사번],$U1366)&amp;"")</f>
        <v/>
      </c>
      <c r="K1366">
        <f>IF($U1366="","",INDEX(상세표[성명],$U1366)&amp;"")</f>
        <v/>
      </c>
      <c r="L1366">
        <f>IF($U1366="","",INDEX(상세표[직위],$U1366)&amp;"")</f>
        <v/>
      </c>
      <c r="M1366">
        <f>IF($U1366="","",IF(ISNUMBER(INDEX(상세표[근무일자],$U1366)),TEXT(INDEX(상세표[근무일자],$U1366),"yyyy-mm-dd"),INDEX(상세표[근무일자],$U1366)&amp;""))</f>
        <v/>
      </c>
      <c r="N1366">
        <f>IF($U1366="","",IF(ISNUMBER(INDEX(상세표[시작],$U1366)),TEXT(INDEX(상세표[시작],$U1366),"yyyy-mm-dd hh:mm"),INDEX(상세표[시작],$U1366)&amp;""))</f>
        <v/>
      </c>
      <c r="O1366">
        <f>IF($U1366="","",IF(ISNUMBER(INDEX(상세표[종료],$U1366)),TEXT(INDEX(상세표[종료],$U1366),"yyyy-mm-dd hh:mm"),INDEX(상세표[종료],$U1366)&amp;""))</f>
        <v/>
      </c>
      <c r="P1366" s="20">
        <f>IF($U1366="","",INDEX(상세표[06~07시],$U1366))</f>
        <v/>
      </c>
      <c r="Q1366" s="20">
        <f>IF($U1366="","",INDEX(상세표[07~18시],$U1366))</f>
        <v/>
      </c>
      <c r="R1366" s="20">
        <f>IF($U1366="","",INDEX(상세표[18~22시],$U1366))</f>
        <v/>
      </c>
      <c r="S1366" s="20">
        <f>IF($U1366="","",INDEX(상세표[22~06시],$U1366))</f>
        <v/>
      </c>
      <c r="T1366" s="20">
        <f>IF($U1366="","",INDEX(상세표[기록 시간외],$U1366))</f>
        <v/>
      </c>
      <c r="U1366" s="4">
        <f>IFERROR(MATCH(1361,상세표[발송순번],0),"")</f>
        <v/>
      </c>
    </row>
    <row r="1367">
      <c r="J1367">
        <f>IF($U1367="","",INDEX(상세표[사번],$U1367)&amp;"")</f>
        <v/>
      </c>
      <c r="K1367">
        <f>IF($U1367="","",INDEX(상세표[성명],$U1367)&amp;"")</f>
        <v/>
      </c>
      <c r="L1367">
        <f>IF($U1367="","",INDEX(상세표[직위],$U1367)&amp;"")</f>
        <v/>
      </c>
      <c r="M1367">
        <f>IF($U1367="","",IF(ISNUMBER(INDEX(상세표[근무일자],$U1367)),TEXT(INDEX(상세표[근무일자],$U1367),"yyyy-mm-dd"),INDEX(상세표[근무일자],$U1367)&amp;""))</f>
        <v/>
      </c>
      <c r="N1367">
        <f>IF($U1367="","",IF(ISNUMBER(INDEX(상세표[시작],$U1367)),TEXT(INDEX(상세표[시작],$U1367),"yyyy-mm-dd hh:mm"),INDEX(상세표[시작],$U1367)&amp;""))</f>
        <v/>
      </c>
      <c r="O1367">
        <f>IF($U1367="","",IF(ISNUMBER(INDEX(상세표[종료],$U1367)),TEXT(INDEX(상세표[종료],$U1367),"yyyy-mm-dd hh:mm"),INDEX(상세표[종료],$U1367)&amp;""))</f>
        <v/>
      </c>
      <c r="P1367" s="20">
        <f>IF($U1367="","",INDEX(상세표[06~07시],$U1367))</f>
        <v/>
      </c>
      <c r="Q1367" s="20">
        <f>IF($U1367="","",INDEX(상세표[07~18시],$U1367))</f>
        <v/>
      </c>
      <c r="R1367" s="20">
        <f>IF($U1367="","",INDEX(상세표[18~22시],$U1367))</f>
        <v/>
      </c>
      <c r="S1367" s="20">
        <f>IF($U1367="","",INDEX(상세표[22~06시],$U1367))</f>
        <v/>
      </c>
      <c r="T1367" s="20">
        <f>IF($U1367="","",INDEX(상세표[기록 시간외],$U1367))</f>
        <v/>
      </c>
      <c r="U1367" s="4">
        <f>IFERROR(MATCH(1362,상세표[발송순번],0),"")</f>
        <v/>
      </c>
    </row>
    <row r="1368">
      <c r="J1368">
        <f>IF($U1368="","",INDEX(상세표[사번],$U1368)&amp;"")</f>
        <v/>
      </c>
      <c r="K1368">
        <f>IF($U1368="","",INDEX(상세표[성명],$U1368)&amp;"")</f>
        <v/>
      </c>
      <c r="L1368">
        <f>IF($U1368="","",INDEX(상세표[직위],$U1368)&amp;"")</f>
        <v/>
      </c>
      <c r="M1368">
        <f>IF($U1368="","",IF(ISNUMBER(INDEX(상세표[근무일자],$U1368)),TEXT(INDEX(상세표[근무일자],$U1368),"yyyy-mm-dd"),INDEX(상세표[근무일자],$U1368)&amp;""))</f>
        <v/>
      </c>
      <c r="N1368">
        <f>IF($U1368="","",IF(ISNUMBER(INDEX(상세표[시작],$U1368)),TEXT(INDEX(상세표[시작],$U1368),"yyyy-mm-dd hh:mm"),INDEX(상세표[시작],$U1368)&amp;""))</f>
        <v/>
      </c>
      <c r="O1368">
        <f>IF($U1368="","",IF(ISNUMBER(INDEX(상세표[종료],$U1368)),TEXT(INDEX(상세표[종료],$U1368),"yyyy-mm-dd hh:mm"),INDEX(상세표[종료],$U1368)&amp;""))</f>
        <v/>
      </c>
      <c r="P1368" s="20">
        <f>IF($U1368="","",INDEX(상세표[06~07시],$U1368))</f>
        <v/>
      </c>
      <c r="Q1368" s="20">
        <f>IF($U1368="","",INDEX(상세표[07~18시],$U1368))</f>
        <v/>
      </c>
      <c r="R1368" s="20">
        <f>IF($U1368="","",INDEX(상세표[18~22시],$U1368))</f>
        <v/>
      </c>
      <c r="S1368" s="20">
        <f>IF($U1368="","",INDEX(상세표[22~06시],$U1368))</f>
        <v/>
      </c>
      <c r="T1368" s="20">
        <f>IF($U1368="","",INDEX(상세표[기록 시간외],$U1368))</f>
        <v/>
      </c>
      <c r="U1368" s="4">
        <f>IFERROR(MATCH(1363,상세표[발송순번],0),"")</f>
        <v/>
      </c>
    </row>
    <row r="1369">
      <c r="J1369">
        <f>IF($U1369="","",INDEX(상세표[사번],$U1369)&amp;"")</f>
        <v/>
      </c>
      <c r="K1369">
        <f>IF($U1369="","",INDEX(상세표[성명],$U1369)&amp;"")</f>
        <v/>
      </c>
      <c r="L1369">
        <f>IF($U1369="","",INDEX(상세표[직위],$U1369)&amp;"")</f>
        <v/>
      </c>
      <c r="M1369">
        <f>IF($U1369="","",IF(ISNUMBER(INDEX(상세표[근무일자],$U1369)),TEXT(INDEX(상세표[근무일자],$U1369),"yyyy-mm-dd"),INDEX(상세표[근무일자],$U1369)&amp;""))</f>
        <v/>
      </c>
      <c r="N1369">
        <f>IF($U1369="","",IF(ISNUMBER(INDEX(상세표[시작],$U1369)),TEXT(INDEX(상세표[시작],$U1369),"yyyy-mm-dd hh:mm"),INDEX(상세표[시작],$U1369)&amp;""))</f>
        <v/>
      </c>
      <c r="O1369">
        <f>IF($U1369="","",IF(ISNUMBER(INDEX(상세표[종료],$U1369)),TEXT(INDEX(상세표[종료],$U1369),"yyyy-mm-dd hh:mm"),INDEX(상세표[종료],$U1369)&amp;""))</f>
        <v/>
      </c>
      <c r="P1369" s="20">
        <f>IF($U1369="","",INDEX(상세표[06~07시],$U1369))</f>
        <v/>
      </c>
      <c r="Q1369" s="20">
        <f>IF($U1369="","",INDEX(상세표[07~18시],$U1369))</f>
        <v/>
      </c>
      <c r="R1369" s="20">
        <f>IF($U1369="","",INDEX(상세표[18~22시],$U1369))</f>
        <v/>
      </c>
      <c r="S1369" s="20">
        <f>IF($U1369="","",INDEX(상세표[22~06시],$U1369))</f>
        <v/>
      </c>
      <c r="T1369" s="20">
        <f>IF($U1369="","",INDEX(상세표[기록 시간외],$U1369))</f>
        <v/>
      </c>
      <c r="U1369" s="4">
        <f>IFERROR(MATCH(1364,상세표[발송순번],0),"")</f>
        <v/>
      </c>
    </row>
    <row r="1370">
      <c r="J1370">
        <f>IF($U1370="","",INDEX(상세표[사번],$U1370)&amp;"")</f>
        <v/>
      </c>
      <c r="K1370">
        <f>IF($U1370="","",INDEX(상세표[성명],$U1370)&amp;"")</f>
        <v/>
      </c>
      <c r="L1370">
        <f>IF($U1370="","",INDEX(상세표[직위],$U1370)&amp;"")</f>
        <v/>
      </c>
      <c r="M1370">
        <f>IF($U1370="","",IF(ISNUMBER(INDEX(상세표[근무일자],$U1370)),TEXT(INDEX(상세표[근무일자],$U1370),"yyyy-mm-dd"),INDEX(상세표[근무일자],$U1370)&amp;""))</f>
        <v/>
      </c>
      <c r="N1370">
        <f>IF($U1370="","",IF(ISNUMBER(INDEX(상세표[시작],$U1370)),TEXT(INDEX(상세표[시작],$U1370),"yyyy-mm-dd hh:mm"),INDEX(상세표[시작],$U1370)&amp;""))</f>
        <v/>
      </c>
      <c r="O1370">
        <f>IF($U1370="","",IF(ISNUMBER(INDEX(상세표[종료],$U1370)),TEXT(INDEX(상세표[종료],$U1370),"yyyy-mm-dd hh:mm"),INDEX(상세표[종료],$U1370)&amp;""))</f>
        <v/>
      </c>
      <c r="P1370" s="20">
        <f>IF($U1370="","",INDEX(상세표[06~07시],$U1370))</f>
        <v/>
      </c>
      <c r="Q1370" s="20">
        <f>IF($U1370="","",INDEX(상세표[07~18시],$U1370))</f>
        <v/>
      </c>
      <c r="R1370" s="20">
        <f>IF($U1370="","",INDEX(상세표[18~22시],$U1370))</f>
        <v/>
      </c>
      <c r="S1370" s="20">
        <f>IF($U1370="","",INDEX(상세표[22~06시],$U1370))</f>
        <v/>
      </c>
      <c r="T1370" s="20">
        <f>IF($U1370="","",INDEX(상세표[기록 시간외],$U1370))</f>
        <v/>
      </c>
      <c r="U1370" s="4">
        <f>IFERROR(MATCH(1365,상세표[발송순번],0),"")</f>
        <v/>
      </c>
    </row>
    <row r="1371">
      <c r="J1371">
        <f>IF($U1371="","",INDEX(상세표[사번],$U1371)&amp;"")</f>
        <v/>
      </c>
      <c r="K1371">
        <f>IF($U1371="","",INDEX(상세표[성명],$U1371)&amp;"")</f>
        <v/>
      </c>
      <c r="L1371">
        <f>IF($U1371="","",INDEX(상세표[직위],$U1371)&amp;"")</f>
        <v/>
      </c>
      <c r="M1371">
        <f>IF($U1371="","",IF(ISNUMBER(INDEX(상세표[근무일자],$U1371)),TEXT(INDEX(상세표[근무일자],$U1371),"yyyy-mm-dd"),INDEX(상세표[근무일자],$U1371)&amp;""))</f>
        <v/>
      </c>
      <c r="N1371">
        <f>IF($U1371="","",IF(ISNUMBER(INDEX(상세표[시작],$U1371)),TEXT(INDEX(상세표[시작],$U1371),"yyyy-mm-dd hh:mm"),INDEX(상세표[시작],$U1371)&amp;""))</f>
        <v/>
      </c>
      <c r="O1371">
        <f>IF($U1371="","",IF(ISNUMBER(INDEX(상세표[종료],$U1371)),TEXT(INDEX(상세표[종료],$U1371),"yyyy-mm-dd hh:mm"),INDEX(상세표[종료],$U1371)&amp;""))</f>
        <v/>
      </c>
      <c r="P1371" s="20">
        <f>IF($U1371="","",INDEX(상세표[06~07시],$U1371))</f>
        <v/>
      </c>
      <c r="Q1371" s="20">
        <f>IF($U1371="","",INDEX(상세표[07~18시],$U1371))</f>
        <v/>
      </c>
      <c r="R1371" s="20">
        <f>IF($U1371="","",INDEX(상세표[18~22시],$U1371))</f>
        <v/>
      </c>
      <c r="S1371" s="20">
        <f>IF($U1371="","",INDEX(상세표[22~06시],$U1371))</f>
        <v/>
      </c>
      <c r="T1371" s="20">
        <f>IF($U1371="","",INDEX(상세표[기록 시간외],$U1371))</f>
        <v/>
      </c>
      <c r="U1371" s="4">
        <f>IFERROR(MATCH(1366,상세표[발송순번],0),"")</f>
        <v/>
      </c>
    </row>
    <row r="1372">
      <c r="J1372">
        <f>IF($U1372="","",INDEX(상세표[사번],$U1372)&amp;"")</f>
        <v/>
      </c>
      <c r="K1372">
        <f>IF($U1372="","",INDEX(상세표[성명],$U1372)&amp;"")</f>
        <v/>
      </c>
      <c r="L1372">
        <f>IF($U1372="","",INDEX(상세표[직위],$U1372)&amp;"")</f>
        <v/>
      </c>
      <c r="M1372">
        <f>IF($U1372="","",IF(ISNUMBER(INDEX(상세표[근무일자],$U1372)),TEXT(INDEX(상세표[근무일자],$U1372),"yyyy-mm-dd"),INDEX(상세표[근무일자],$U1372)&amp;""))</f>
        <v/>
      </c>
      <c r="N1372">
        <f>IF($U1372="","",IF(ISNUMBER(INDEX(상세표[시작],$U1372)),TEXT(INDEX(상세표[시작],$U1372),"yyyy-mm-dd hh:mm"),INDEX(상세표[시작],$U1372)&amp;""))</f>
        <v/>
      </c>
      <c r="O1372">
        <f>IF($U1372="","",IF(ISNUMBER(INDEX(상세표[종료],$U1372)),TEXT(INDEX(상세표[종료],$U1372),"yyyy-mm-dd hh:mm"),INDEX(상세표[종료],$U1372)&amp;""))</f>
        <v/>
      </c>
      <c r="P1372" s="20">
        <f>IF($U1372="","",INDEX(상세표[06~07시],$U1372))</f>
        <v/>
      </c>
      <c r="Q1372" s="20">
        <f>IF($U1372="","",INDEX(상세표[07~18시],$U1372))</f>
        <v/>
      </c>
      <c r="R1372" s="20">
        <f>IF($U1372="","",INDEX(상세표[18~22시],$U1372))</f>
        <v/>
      </c>
      <c r="S1372" s="20">
        <f>IF($U1372="","",INDEX(상세표[22~06시],$U1372))</f>
        <v/>
      </c>
      <c r="T1372" s="20">
        <f>IF($U1372="","",INDEX(상세표[기록 시간외],$U1372))</f>
        <v/>
      </c>
      <c r="U1372" s="4">
        <f>IFERROR(MATCH(1367,상세표[발송순번],0),"")</f>
        <v/>
      </c>
    </row>
    <row r="1373">
      <c r="J1373">
        <f>IF($U1373="","",INDEX(상세표[사번],$U1373)&amp;"")</f>
        <v/>
      </c>
      <c r="K1373">
        <f>IF($U1373="","",INDEX(상세표[성명],$U1373)&amp;"")</f>
        <v/>
      </c>
      <c r="L1373">
        <f>IF($U1373="","",INDEX(상세표[직위],$U1373)&amp;"")</f>
        <v/>
      </c>
      <c r="M1373">
        <f>IF($U1373="","",IF(ISNUMBER(INDEX(상세표[근무일자],$U1373)),TEXT(INDEX(상세표[근무일자],$U1373),"yyyy-mm-dd"),INDEX(상세표[근무일자],$U1373)&amp;""))</f>
        <v/>
      </c>
      <c r="N1373">
        <f>IF($U1373="","",IF(ISNUMBER(INDEX(상세표[시작],$U1373)),TEXT(INDEX(상세표[시작],$U1373),"yyyy-mm-dd hh:mm"),INDEX(상세표[시작],$U1373)&amp;""))</f>
        <v/>
      </c>
      <c r="O1373">
        <f>IF($U1373="","",IF(ISNUMBER(INDEX(상세표[종료],$U1373)),TEXT(INDEX(상세표[종료],$U1373),"yyyy-mm-dd hh:mm"),INDEX(상세표[종료],$U1373)&amp;""))</f>
        <v/>
      </c>
      <c r="P1373" s="20">
        <f>IF($U1373="","",INDEX(상세표[06~07시],$U1373))</f>
        <v/>
      </c>
      <c r="Q1373" s="20">
        <f>IF($U1373="","",INDEX(상세표[07~18시],$U1373))</f>
        <v/>
      </c>
      <c r="R1373" s="20">
        <f>IF($U1373="","",INDEX(상세표[18~22시],$U1373))</f>
        <v/>
      </c>
      <c r="S1373" s="20">
        <f>IF($U1373="","",INDEX(상세표[22~06시],$U1373))</f>
        <v/>
      </c>
      <c r="T1373" s="20">
        <f>IF($U1373="","",INDEX(상세표[기록 시간외],$U1373))</f>
        <v/>
      </c>
      <c r="U1373" s="4">
        <f>IFERROR(MATCH(1368,상세표[발송순번],0),"")</f>
        <v/>
      </c>
    </row>
    <row r="1374">
      <c r="J1374">
        <f>IF($U1374="","",INDEX(상세표[사번],$U1374)&amp;"")</f>
        <v/>
      </c>
      <c r="K1374">
        <f>IF($U1374="","",INDEX(상세표[성명],$U1374)&amp;"")</f>
        <v/>
      </c>
      <c r="L1374">
        <f>IF($U1374="","",INDEX(상세표[직위],$U1374)&amp;"")</f>
        <v/>
      </c>
      <c r="M1374">
        <f>IF($U1374="","",IF(ISNUMBER(INDEX(상세표[근무일자],$U1374)),TEXT(INDEX(상세표[근무일자],$U1374),"yyyy-mm-dd"),INDEX(상세표[근무일자],$U1374)&amp;""))</f>
        <v/>
      </c>
      <c r="N1374">
        <f>IF($U1374="","",IF(ISNUMBER(INDEX(상세표[시작],$U1374)),TEXT(INDEX(상세표[시작],$U1374),"yyyy-mm-dd hh:mm"),INDEX(상세표[시작],$U1374)&amp;""))</f>
        <v/>
      </c>
      <c r="O1374">
        <f>IF($U1374="","",IF(ISNUMBER(INDEX(상세표[종료],$U1374)),TEXT(INDEX(상세표[종료],$U1374),"yyyy-mm-dd hh:mm"),INDEX(상세표[종료],$U1374)&amp;""))</f>
        <v/>
      </c>
      <c r="P1374" s="20">
        <f>IF($U1374="","",INDEX(상세표[06~07시],$U1374))</f>
        <v/>
      </c>
      <c r="Q1374" s="20">
        <f>IF($U1374="","",INDEX(상세표[07~18시],$U1374))</f>
        <v/>
      </c>
      <c r="R1374" s="20">
        <f>IF($U1374="","",INDEX(상세표[18~22시],$U1374))</f>
        <v/>
      </c>
      <c r="S1374" s="20">
        <f>IF($U1374="","",INDEX(상세표[22~06시],$U1374))</f>
        <v/>
      </c>
      <c r="T1374" s="20">
        <f>IF($U1374="","",INDEX(상세표[기록 시간외],$U1374))</f>
        <v/>
      </c>
      <c r="U1374" s="4">
        <f>IFERROR(MATCH(1369,상세표[발송순번],0),"")</f>
        <v/>
      </c>
    </row>
    <row r="1375">
      <c r="J1375">
        <f>IF($U1375="","",INDEX(상세표[사번],$U1375)&amp;"")</f>
        <v/>
      </c>
      <c r="K1375">
        <f>IF($U1375="","",INDEX(상세표[성명],$U1375)&amp;"")</f>
        <v/>
      </c>
      <c r="L1375">
        <f>IF($U1375="","",INDEX(상세표[직위],$U1375)&amp;"")</f>
        <v/>
      </c>
      <c r="M1375">
        <f>IF($U1375="","",IF(ISNUMBER(INDEX(상세표[근무일자],$U1375)),TEXT(INDEX(상세표[근무일자],$U1375),"yyyy-mm-dd"),INDEX(상세표[근무일자],$U1375)&amp;""))</f>
        <v/>
      </c>
      <c r="N1375">
        <f>IF($U1375="","",IF(ISNUMBER(INDEX(상세표[시작],$U1375)),TEXT(INDEX(상세표[시작],$U1375),"yyyy-mm-dd hh:mm"),INDEX(상세표[시작],$U1375)&amp;""))</f>
        <v/>
      </c>
      <c r="O1375">
        <f>IF($U1375="","",IF(ISNUMBER(INDEX(상세표[종료],$U1375)),TEXT(INDEX(상세표[종료],$U1375),"yyyy-mm-dd hh:mm"),INDEX(상세표[종료],$U1375)&amp;""))</f>
        <v/>
      </c>
      <c r="P1375" s="20">
        <f>IF($U1375="","",INDEX(상세표[06~07시],$U1375))</f>
        <v/>
      </c>
      <c r="Q1375" s="20">
        <f>IF($U1375="","",INDEX(상세표[07~18시],$U1375))</f>
        <v/>
      </c>
      <c r="R1375" s="20">
        <f>IF($U1375="","",INDEX(상세표[18~22시],$U1375))</f>
        <v/>
      </c>
      <c r="S1375" s="20">
        <f>IF($U1375="","",INDEX(상세표[22~06시],$U1375))</f>
        <v/>
      </c>
      <c r="T1375" s="20">
        <f>IF($U1375="","",INDEX(상세표[기록 시간외],$U1375))</f>
        <v/>
      </c>
      <c r="U1375" s="4">
        <f>IFERROR(MATCH(1370,상세표[발송순번],0),"")</f>
        <v/>
      </c>
    </row>
    <row r="1376">
      <c r="J1376">
        <f>IF($U1376="","",INDEX(상세표[사번],$U1376)&amp;"")</f>
        <v/>
      </c>
      <c r="K1376">
        <f>IF($U1376="","",INDEX(상세표[성명],$U1376)&amp;"")</f>
        <v/>
      </c>
      <c r="L1376">
        <f>IF($U1376="","",INDEX(상세표[직위],$U1376)&amp;"")</f>
        <v/>
      </c>
      <c r="M1376">
        <f>IF($U1376="","",IF(ISNUMBER(INDEX(상세표[근무일자],$U1376)),TEXT(INDEX(상세표[근무일자],$U1376),"yyyy-mm-dd"),INDEX(상세표[근무일자],$U1376)&amp;""))</f>
        <v/>
      </c>
      <c r="N1376">
        <f>IF($U1376="","",IF(ISNUMBER(INDEX(상세표[시작],$U1376)),TEXT(INDEX(상세표[시작],$U1376),"yyyy-mm-dd hh:mm"),INDEX(상세표[시작],$U1376)&amp;""))</f>
        <v/>
      </c>
      <c r="O1376">
        <f>IF($U1376="","",IF(ISNUMBER(INDEX(상세표[종료],$U1376)),TEXT(INDEX(상세표[종료],$U1376),"yyyy-mm-dd hh:mm"),INDEX(상세표[종료],$U1376)&amp;""))</f>
        <v/>
      </c>
      <c r="P1376" s="20">
        <f>IF($U1376="","",INDEX(상세표[06~07시],$U1376))</f>
        <v/>
      </c>
      <c r="Q1376" s="20">
        <f>IF($U1376="","",INDEX(상세표[07~18시],$U1376))</f>
        <v/>
      </c>
      <c r="R1376" s="20">
        <f>IF($U1376="","",INDEX(상세표[18~22시],$U1376))</f>
        <v/>
      </c>
      <c r="S1376" s="20">
        <f>IF($U1376="","",INDEX(상세표[22~06시],$U1376))</f>
        <v/>
      </c>
      <c r="T1376" s="20">
        <f>IF($U1376="","",INDEX(상세표[기록 시간외],$U1376))</f>
        <v/>
      </c>
      <c r="U1376" s="4">
        <f>IFERROR(MATCH(1371,상세표[발송순번],0),"")</f>
        <v/>
      </c>
    </row>
    <row r="1377">
      <c r="J1377">
        <f>IF($U1377="","",INDEX(상세표[사번],$U1377)&amp;"")</f>
        <v/>
      </c>
      <c r="K1377">
        <f>IF($U1377="","",INDEX(상세표[성명],$U1377)&amp;"")</f>
        <v/>
      </c>
      <c r="L1377">
        <f>IF($U1377="","",INDEX(상세표[직위],$U1377)&amp;"")</f>
        <v/>
      </c>
      <c r="M1377">
        <f>IF($U1377="","",IF(ISNUMBER(INDEX(상세표[근무일자],$U1377)),TEXT(INDEX(상세표[근무일자],$U1377),"yyyy-mm-dd"),INDEX(상세표[근무일자],$U1377)&amp;""))</f>
        <v/>
      </c>
      <c r="N1377">
        <f>IF($U1377="","",IF(ISNUMBER(INDEX(상세표[시작],$U1377)),TEXT(INDEX(상세표[시작],$U1377),"yyyy-mm-dd hh:mm"),INDEX(상세표[시작],$U1377)&amp;""))</f>
        <v/>
      </c>
      <c r="O1377">
        <f>IF($U1377="","",IF(ISNUMBER(INDEX(상세표[종료],$U1377)),TEXT(INDEX(상세표[종료],$U1377),"yyyy-mm-dd hh:mm"),INDEX(상세표[종료],$U1377)&amp;""))</f>
        <v/>
      </c>
      <c r="P1377" s="20">
        <f>IF($U1377="","",INDEX(상세표[06~07시],$U1377))</f>
        <v/>
      </c>
      <c r="Q1377" s="20">
        <f>IF($U1377="","",INDEX(상세표[07~18시],$U1377))</f>
        <v/>
      </c>
      <c r="R1377" s="20">
        <f>IF($U1377="","",INDEX(상세표[18~22시],$U1377))</f>
        <v/>
      </c>
      <c r="S1377" s="20">
        <f>IF($U1377="","",INDEX(상세표[22~06시],$U1377))</f>
        <v/>
      </c>
      <c r="T1377" s="20">
        <f>IF($U1377="","",INDEX(상세표[기록 시간외],$U1377))</f>
        <v/>
      </c>
      <c r="U1377" s="4">
        <f>IFERROR(MATCH(1372,상세표[발송순번],0),"")</f>
        <v/>
      </c>
    </row>
    <row r="1378">
      <c r="J1378">
        <f>IF($U1378="","",INDEX(상세표[사번],$U1378)&amp;"")</f>
        <v/>
      </c>
      <c r="K1378">
        <f>IF($U1378="","",INDEX(상세표[성명],$U1378)&amp;"")</f>
        <v/>
      </c>
      <c r="L1378">
        <f>IF($U1378="","",INDEX(상세표[직위],$U1378)&amp;"")</f>
        <v/>
      </c>
      <c r="M1378">
        <f>IF($U1378="","",IF(ISNUMBER(INDEX(상세표[근무일자],$U1378)),TEXT(INDEX(상세표[근무일자],$U1378),"yyyy-mm-dd"),INDEX(상세표[근무일자],$U1378)&amp;""))</f>
        <v/>
      </c>
      <c r="N1378">
        <f>IF($U1378="","",IF(ISNUMBER(INDEX(상세표[시작],$U1378)),TEXT(INDEX(상세표[시작],$U1378),"yyyy-mm-dd hh:mm"),INDEX(상세표[시작],$U1378)&amp;""))</f>
        <v/>
      </c>
      <c r="O1378">
        <f>IF($U1378="","",IF(ISNUMBER(INDEX(상세표[종료],$U1378)),TEXT(INDEX(상세표[종료],$U1378),"yyyy-mm-dd hh:mm"),INDEX(상세표[종료],$U1378)&amp;""))</f>
        <v/>
      </c>
      <c r="P1378" s="20">
        <f>IF($U1378="","",INDEX(상세표[06~07시],$U1378))</f>
        <v/>
      </c>
      <c r="Q1378" s="20">
        <f>IF($U1378="","",INDEX(상세표[07~18시],$U1378))</f>
        <v/>
      </c>
      <c r="R1378" s="20">
        <f>IF($U1378="","",INDEX(상세표[18~22시],$U1378))</f>
        <v/>
      </c>
      <c r="S1378" s="20">
        <f>IF($U1378="","",INDEX(상세표[22~06시],$U1378))</f>
        <v/>
      </c>
      <c r="T1378" s="20">
        <f>IF($U1378="","",INDEX(상세표[기록 시간외],$U1378))</f>
        <v/>
      </c>
      <c r="U1378" s="4">
        <f>IFERROR(MATCH(1373,상세표[발송순번],0),"")</f>
        <v/>
      </c>
    </row>
    <row r="1379">
      <c r="J1379">
        <f>IF($U1379="","",INDEX(상세표[사번],$U1379)&amp;"")</f>
        <v/>
      </c>
      <c r="K1379">
        <f>IF($U1379="","",INDEX(상세표[성명],$U1379)&amp;"")</f>
        <v/>
      </c>
      <c r="L1379">
        <f>IF($U1379="","",INDEX(상세표[직위],$U1379)&amp;"")</f>
        <v/>
      </c>
      <c r="M1379">
        <f>IF($U1379="","",IF(ISNUMBER(INDEX(상세표[근무일자],$U1379)),TEXT(INDEX(상세표[근무일자],$U1379),"yyyy-mm-dd"),INDEX(상세표[근무일자],$U1379)&amp;""))</f>
        <v/>
      </c>
      <c r="N1379">
        <f>IF($U1379="","",IF(ISNUMBER(INDEX(상세표[시작],$U1379)),TEXT(INDEX(상세표[시작],$U1379),"yyyy-mm-dd hh:mm"),INDEX(상세표[시작],$U1379)&amp;""))</f>
        <v/>
      </c>
      <c r="O1379">
        <f>IF($U1379="","",IF(ISNUMBER(INDEX(상세표[종료],$U1379)),TEXT(INDEX(상세표[종료],$U1379),"yyyy-mm-dd hh:mm"),INDEX(상세표[종료],$U1379)&amp;""))</f>
        <v/>
      </c>
      <c r="P1379" s="20">
        <f>IF($U1379="","",INDEX(상세표[06~07시],$U1379))</f>
        <v/>
      </c>
      <c r="Q1379" s="20">
        <f>IF($U1379="","",INDEX(상세표[07~18시],$U1379))</f>
        <v/>
      </c>
      <c r="R1379" s="20">
        <f>IF($U1379="","",INDEX(상세표[18~22시],$U1379))</f>
        <v/>
      </c>
      <c r="S1379" s="20">
        <f>IF($U1379="","",INDEX(상세표[22~06시],$U1379))</f>
        <v/>
      </c>
      <c r="T1379" s="20">
        <f>IF($U1379="","",INDEX(상세표[기록 시간외],$U1379))</f>
        <v/>
      </c>
      <c r="U1379" s="4">
        <f>IFERROR(MATCH(1374,상세표[발송순번],0),"")</f>
        <v/>
      </c>
    </row>
    <row r="1380">
      <c r="J1380">
        <f>IF($U1380="","",INDEX(상세표[사번],$U1380)&amp;"")</f>
        <v/>
      </c>
      <c r="K1380">
        <f>IF($U1380="","",INDEX(상세표[성명],$U1380)&amp;"")</f>
        <v/>
      </c>
      <c r="L1380">
        <f>IF($U1380="","",INDEX(상세표[직위],$U1380)&amp;"")</f>
        <v/>
      </c>
      <c r="M1380">
        <f>IF($U1380="","",IF(ISNUMBER(INDEX(상세표[근무일자],$U1380)),TEXT(INDEX(상세표[근무일자],$U1380),"yyyy-mm-dd"),INDEX(상세표[근무일자],$U1380)&amp;""))</f>
        <v/>
      </c>
      <c r="N1380">
        <f>IF($U1380="","",IF(ISNUMBER(INDEX(상세표[시작],$U1380)),TEXT(INDEX(상세표[시작],$U1380),"yyyy-mm-dd hh:mm"),INDEX(상세표[시작],$U1380)&amp;""))</f>
        <v/>
      </c>
      <c r="O1380">
        <f>IF($U1380="","",IF(ISNUMBER(INDEX(상세표[종료],$U1380)),TEXT(INDEX(상세표[종료],$U1380),"yyyy-mm-dd hh:mm"),INDEX(상세표[종료],$U1380)&amp;""))</f>
        <v/>
      </c>
      <c r="P1380" s="20">
        <f>IF($U1380="","",INDEX(상세표[06~07시],$U1380))</f>
        <v/>
      </c>
      <c r="Q1380" s="20">
        <f>IF($U1380="","",INDEX(상세표[07~18시],$U1380))</f>
        <v/>
      </c>
      <c r="R1380" s="20">
        <f>IF($U1380="","",INDEX(상세표[18~22시],$U1380))</f>
        <v/>
      </c>
      <c r="S1380" s="20">
        <f>IF($U1380="","",INDEX(상세표[22~06시],$U1380))</f>
        <v/>
      </c>
      <c r="T1380" s="20">
        <f>IF($U1380="","",INDEX(상세표[기록 시간외],$U1380))</f>
        <v/>
      </c>
      <c r="U1380" s="4">
        <f>IFERROR(MATCH(1375,상세표[발송순번],0),"")</f>
        <v/>
      </c>
    </row>
    <row r="1381">
      <c r="J1381">
        <f>IF($U1381="","",INDEX(상세표[사번],$U1381)&amp;"")</f>
        <v/>
      </c>
      <c r="K1381">
        <f>IF($U1381="","",INDEX(상세표[성명],$U1381)&amp;"")</f>
        <v/>
      </c>
      <c r="L1381">
        <f>IF($U1381="","",INDEX(상세표[직위],$U1381)&amp;"")</f>
        <v/>
      </c>
      <c r="M1381">
        <f>IF($U1381="","",IF(ISNUMBER(INDEX(상세표[근무일자],$U1381)),TEXT(INDEX(상세표[근무일자],$U1381),"yyyy-mm-dd"),INDEX(상세표[근무일자],$U1381)&amp;""))</f>
        <v/>
      </c>
      <c r="N1381">
        <f>IF($U1381="","",IF(ISNUMBER(INDEX(상세표[시작],$U1381)),TEXT(INDEX(상세표[시작],$U1381),"yyyy-mm-dd hh:mm"),INDEX(상세표[시작],$U1381)&amp;""))</f>
        <v/>
      </c>
      <c r="O1381">
        <f>IF($U1381="","",IF(ISNUMBER(INDEX(상세표[종료],$U1381)),TEXT(INDEX(상세표[종료],$U1381),"yyyy-mm-dd hh:mm"),INDEX(상세표[종료],$U1381)&amp;""))</f>
        <v/>
      </c>
      <c r="P1381" s="20">
        <f>IF($U1381="","",INDEX(상세표[06~07시],$U1381))</f>
        <v/>
      </c>
      <c r="Q1381" s="20">
        <f>IF($U1381="","",INDEX(상세표[07~18시],$U1381))</f>
        <v/>
      </c>
      <c r="R1381" s="20">
        <f>IF($U1381="","",INDEX(상세표[18~22시],$U1381))</f>
        <v/>
      </c>
      <c r="S1381" s="20">
        <f>IF($U1381="","",INDEX(상세표[22~06시],$U1381))</f>
        <v/>
      </c>
      <c r="T1381" s="20">
        <f>IF($U1381="","",INDEX(상세표[기록 시간외],$U1381))</f>
        <v/>
      </c>
      <c r="U1381" s="4">
        <f>IFERROR(MATCH(1376,상세표[발송순번],0),"")</f>
        <v/>
      </c>
    </row>
    <row r="1382">
      <c r="J1382">
        <f>IF($U1382="","",INDEX(상세표[사번],$U1382)&amp;"")</f>
        <v/>
      </c>
      <c r="K1382">
        <f>IF($U1382="","",INDEX(상세표[성명],$U1382)&amp;"")</f>
        <v/>
      </c>
      <c r="L1382">
        <f>IF($U1382="","",INDEX(상세표[직위],$U1382)&amp;"")</f>
        <v/>
      </c>
      <c r="M1382">
        <f>IF($U1382="","",IF(ISNUMBER(INDEX(상세표[근무일자],$U1382)),TEXT(INDEX(상세표[근무일자],$U1382),"yyyy-mm-dd"),INDEX(상세표[근무일자],$U1382)&amp;""))</f>
        <v/>
      </c>
      <c r="N1382">
        <f>IF($U1382="","",IF(ISNUMBER(INDEX(상세표[시작],$U1382)),TEXT(INDEX(상세표[시작],$U1382),"yyyy-mm-dd hh:mm"),INDEX(상세표[시작],$U1382)&amp;""))</f>
        <v/>
      </c>
      <c r="O1382">
        <f>IF($U1382="","",IF(ISNUMBER(INDEX(상세표[종료],$U1382)),TEXT(INDEX(상세표[종료],$U1382),"yyyy-mm-dd hh:mm"),INDEX(상세표[종료],$U1382)&amp;""))</f>
        <v/>
      </c>
      <c r="P1382" s="20">
        <f>IF($U1382="","",INDEX(상세표[06~07시],$U1382))</f>
        <v/>
      </c>
      <c r="Q1382" s="20">
        <f>IF($U1382="","",INDEX(상세표[07~18시],$U1382))</f>
        <v/>
      </c>
      <c r="R1382" s="20">
        <f>IF($U1382="","",INDEX(상세표[18~22시],$U1382))</f>
        <v/>
      </c>
      <c r="S1382" s="20">
        <f>IF($U1382="","",INDEX(상세표[22~06시],$U1382))</f>
        <v/>
      </c>
      <c r="T1382" s="20">
        <f>IF($U1382="","",INDEX(상세표[기록 시간외],$U1382))</f>
        <v/>
      </c>
      <c r="U1382" s="4">
        <f>IFERROR(MATCH(1377,상세표[발송순번],0),"")</f>
        <v/>
      </c>
    </row>
    <row r="1383">
      <c r="J1383">
        <f>IF($U1383="","",INDEX(상세표[사번],$U1383)&amp;"")</f>
        <v/>
      </c>
      <c r="K1383">
        <f>IF($U1383="","",INDEX(상세표[성명],$U1383)&amp;"")</f>
        <v/>
      </c>
      <c r="L1383">
        <f>IF($U1383="","",INDEX(상세표[직위],$U1383)&amp;"")</f>
        <v/>
      </c>
      <c r="M1383">
        <f>IF($U1383="","",IF(ISNUMBER(INDEX(상세표[근무일자],$U1383)),TEXT(INDEX(상세표[근무일자],$U1383),"yyyy-mm-dd"),INDEX(상세표[근무일자],$U1383)&amp;""))</f>
        <v/>
      </c>
      <c r="N1383">
        <f>IF($U1383="","",IF(ISNUMBER(INDEX(상세표[시작],$U1383)),TEXT(INDEX(상세표[시작],$U1383),"yyyy-mm-dd hh:mm"),INDEX(상세표[시작],$U1383)&amp;""))</f>
        <v/>
      </c>
      <c r="O1383">
        <f>IF($U1383="","",IF(ISNUMBER(INDEX(상세표[종료],$U1383)),TEXT(INDEX(상세표[종료],$U1383),"yyyy-mm-dd hh:mm"),INDEX(상세표[종료],$U1383)&amp;""))</f>
        <v/>
      </c>
      <c r="P1383" s="20">
        <f>IF($U1383="","",INDEX(상세표[06~07시],$U1383))</f>
        <v/>
      </c>
      <c r="Q1383" s="20">
        <f>IF($U1383="","",INDEX(상세표[07~18시],$U1383))</f>
        <v/>
      </c>
      <c r="R1383" s="20">
        <f>IF($U1383="","",INDEX(상세표[18~22시],$U1383))</f>
        <v/>
      </c>
      <c r="S1383" s="20">
        <f>IF($U1383="","",INDEX(상세표[22~06시],$U1383))</f>
        <v/>
      </c>
      <c r="T1383" s="20">
        <f>IF($U1383="","",INDEX(상세표[기록 시간외],$U1383))</f>
        <v/>
      </c>
      <c r="U1383" s="4">
        <f>IFERROR(MATCH(1378,상세표[발송순번],0),"")</f>
        <v/>
      </c>
    </row>
    <row r="1384">
      <c r="J1384">
        <f>IF($U1384="","",INDEX(상세표[사번],$U1384)&amp;"")</f>
        <v/>
      </c>
      <c r="K1384">
        <f>IF($U1384="","",INDEX(상세표[성명],$U1384)&amp;"")</f>
        <v/>
      </c>
      <c r="L1384">
        <f>IF($U1384="","",INDEX(상세표[직위],$U1384)&amp;"")</f>
        <v/>
      </c>
      <c r="M1384">
        <f>IF($U1384="","",IF(ISNUMBER(INDEX(상세표[근무일자],$U1384)),TEXT(INDEX(상세표[근무일자],$U1384),"yyyy-mm-dd"),INDEX(상세표[근무일자],$U1384)&amp;""))</f>
        <v/>
      </c>
      <c r="N1384">
        <f>IF($U1384="","",IF(ISNUMBER(INDEX(상세표[시작],$U1384)),TEXT(INDEX(상세표[시작],$U1384),"yyyy-mm-dd hh:mm"),INDEX(상세표[시작],$U1384)&amp;""))</f>
        <v/>
      </c>
      <c r="O1384">
        <f>IF($U1384="","",IF(ISNUMBER(INDEX(상세표[종료],$U1384)),TEXT(INDEX(상세표[종료],$U1384),"yyyy-mm-dd hh:mm"),INDEX(상세표[종료],$U1384)&amp;""))</f>
        <v/>
      </c>
      <c r="P1384" s="20">
        <f>IF($U1384="","",INDEX(상세표[06~07시],$U1384))</f>
        <v/>
      </c>
      <c r="Q1384" s="20">
        <f>IF($U1384="","",INDEX(상세표[07~18시],$U1384))</f>
        <v/>
      </c>
      <c r="R1384" s="20">
        <f>IF($U1384="","",INDEX(상세표[18~22시],$U1384))</f>
        <v/>
      </c>
      <c r="S1384" s="20">
        <f>IF($U1384="","",INDEX(상세표[22~06시],$U1384))</f>
        <v/>
      </c>
      <c r="T1384" s="20">
        <f>IF($U1384="","",INDEX(상세표[기록 시간외],$U1384))</f>
        <v/>
      </c>
      <c r="U1384" s="4">
        <f>IFERROR(MATCH(1379,상세표[발송순번],0),"")</f>
        <v/>
      </c>
    </row>
    <row r="1385">
      <c r="J1385">
        <f>IF($U1385="","",INDEX(상세표[사번],$U1385)&amp;"")</f>
        <v/>
      </c>
      <c r="K1385">
        <f>IF($U1385="","",INDEX(상세표[성명],$U1385)&amp;"")</f>
        <v/>
      </c>
      <c r="L1385">
        <f>IF($U1385="","",INDEX(상세표[직위],$U1385)&amp;"")</f>
        <v/>
      </c>
      <c r="M1385">
        <f>IF($U1385="","",IF(ISNUMBER(INDEX(상세표[근무일자],$U1385)),TEXT(INDEX(상세표[근무일자],$U1385),"yyyy-mm-dd"),INDEX(상세표[근무일자],$U1385)&amp;""))</f>
        <v/>
      </c>
      <c r="N1385">
        <f>IF($U1385="","",IF(ISNUMBER(INDEX(상세표[시작],$U1385)),TEXT(INDEX(상세표[시작],$U1385),"yyyy-mm-dd hh:mm"),INDEX(상세표[시작],$U1385)&amp;""))</f>
        <v/>
      </c>
      <c r="O1385">
        <f>IF($U1385="","",IF(ISNUMBER(INDEX(상세표[종료],$U1385)),TEXT(INDEX(상세표[종료],$U1385),"yyyy-mm-dd hh:mm"),INDEX(상세표[종료],$U1385)&amp;""))</f>
        <v/>
      </c>
      <c r="P1385" s="20">
        <f>IF($U1385="","",INDEX(상세표[06~07시],$U1385))</f>
        <v/>
      </c>
      <c r="Q1385" s="20">
        <f>IF($U1385="","",INDEX(상세표[07~18시],$U1385))</f>
        <v/>
      </c>
      <c r="R1385" s="20">
        <f>IF($U1385="","",INDEX(상세표[18~22시],$U1385))</f>
        <v/>
      </c>
      <c r="S1385" s="20">
        <f>IF($U1385="","",INDEX(상세표[22~06시],$U1385))</f>
        <v/>
      </c>
      <c r="T1385" s="20">
        <f>IF($U1385="","",INDEX(상세표[기록 시간외],$U1385))</f>
        <v/>
      </c>
      <c r="U1385" s="4">
        <f>IFERROR(MATCH(1380,상세표[발송순번],0),"")</f>
        <v/>
      </c>
    </row>
    <row r="1386">
      <c r="J1386">
        <f>IF($U1386="","",INDEX(상세표[사번],$U1386)&amp;"")</f>
        <v/>
      </c>
      <c r="K1386">
        <f>IF($U1386="","",INDEX(상세표[성명],$U1386)&amp;"")</f>
        <v/>
      </c>
      <c r="L1386">
        <f>IF($U1386="","",INDEX(상세표[직위],$U1386)&amp;"")</f>
        <v/>
      </c>
      <c r="M1386">
        <f>IF($U1386="","",IF(ISNUMBER(INDEX(상세표[근무일자],$U1386)),TEXT(INDEX(상세표[근무일자],$U1386),"yyyy-mm-dd"),INDEX(상세표[근무일자],$U1386)&amp;""))</f>
        <v/>
      </c>
      <c r="N1386">
        <f>IF($U1386="","",IF(ISNUMBER(INDEX(상세표[시작],$U1386)),TEXT(INDEX(상세표[시작],$U1386),"yyyy-mm-dd hh:mm"),INDEX(상세표[시작],$U1386)&amp;""))</f>
        <v/>
      </c>
      <c r="O1386">
        <f>IF($U1386="","",IF(ISNUMBER(INDEX(상세표[종료],$U1386)),TEXT(INDEX(상세표[종료],$U1386),"yyyy-mm-dd hh:mm"),INDEX(상세표[종료],$U1386)&amp;""))</f>
        <v/>
      </c>
      <c r="P1386" s="20">
        <f>IF($U1386="","",INDEX(상세표[06~07시],$U1386))</f>
        <v/>
      </c>
      <c r="Q1386" s="20">
        <f>IF($U1386="","",INDEX(상세표[07~18시],$U1386))</f>
        <v/>
      </c>
      <c r="R1386" s="20">
        <f>IF($U1386="","",INDEX(상세표[18~22시],$U1386))</f>
        <v/>
      </c>
      <c r="S1386" s="20">
        <f>IF($U1386="","",INDEX(상세표[22~06시],$U1386))</f>
        <v/>
      </c>
      <c r="T1386" s="20">
        <f>IF($U1386="","",INDEX(상세표[기록 시간외],$U1386))</f>
        <v/>
      </c>
      <c r="U1386" s="4">
        <f>IFERROR(MATCH(1381,상세표[발송순번],0),"")</f>
        <v/>
      </c>
    </row>
    <row r="1387">
      <c r="J1387">
        <f>IF($U1387="","",INDEX(상세표[사번],$U1387)&amp;"")</f>
        <v/>
      </c>
      <c r="K1387">
        <f>IF($U1387="","",INDEX(상세표[성명],$U1387)&amp;"")</f>
        <v/>
      </c>
      <c r="L1387">
        <f>IF($U1387="","",INDEX(상세표[직위],$U1387)&amp;"")</f>
        <v/>
      </c>
      <c r="M1387">
        <f>IF($U1387="","",IF(ISNUMBER(INDEX(상세표[근무일자],$U1387)),TEXT(INDEX(상세표[근무일자],$U1387),"yyyy-mm-dd"),INDEX(상세표[근무일자],$U1387)&amp;""))</f>
        <v/>
      </c>
      <c r="N1387">
        <f>IF($U1387="","",IF(ISNUMBER(INDEX(상세표[시작],$U1387)),TEXT(INDEX(상세표[시작],$U1387),"yyyy-mm-dd hh:mm"),INDEX(상세표[시작],$U1387)&amp;""))</f>
        <v/>
      </c>
      <c r="O1387">
        <f>IF($U1387="","",IF(ISNUMBER(INDEX(상세표[종료],$U1387)),TEXT(INDEX(상세표[종료],$U1387),"yyyy-mm-dd hh:mm"),INDEX(상세표[종료],$U1387)&amp;""))</f>
        <v/>
      </c>
      <c r="P1387" s="20">
        <f>IF($U1387="","",INDEX(상세표[06~07시],$U1387))</f>
        <v/>
      </c>
      <c r="Q1387" s="20">
        <f>IF($U1387="","",INDEX(상세표[07~18시],$U1387))</f>
        <v/>
      </c>
      <c r="R1387" s="20">
        <f>IF($U1387="","",INDEX(상세표[18~22시],$U1387))</f>
        <v/>
      </c>
      <c r="S1387" s="20">
        <f>IF($U1387="","",INDEX(상세표[22~06시],$U1387))</f>
        <v/>
      </c>
      <c r="T1387" s="20">
        <f>IF($U1387="","",INDEX(상세표[기록 시간외],$U1387))</f>
        <v/>
      </c>
      <c r="U1387" s="4">
        <f>IFERROR(MATCH(1382,상세표[발송순번],0),"")</f>
        <v/>
      </c>
    </row>
    <row r="1388">
      <c r="J1388">
        <f>IF($U1388="","",INDEX(상세표[사번],$U1388)&amp;"")</f>
        <v/>
      </c>
      <c r="K1388">
        <f>IF($U1388="","",INDEX(상세표[성명],$U1388)&amp;"")</f>
        <v/>
      </c>
      <c r="L1388">
        <f>IF($U1388="","",INDEX(상세표[직위],$U1388)&amp;"")</f>
        <v/>
      </c>
      <c r="M1388">
        <f>IF($U1388="","",IF(ISNUMBER(INDEX(상세표[근무일자],$U1388)),TEXT(INDEX(상세표[근무일자],$U1388),"yyyy-mm-dd"),INDEX(상세표[근무일자],$U1388)&amp;""))</f>
        <v/>
      </c>
      <c r="N1388">
        <f>IF($U1388="","",IF(ISNUMBER(INDEX(상세표[시작],$U1388)),TEXT(INDEX(상세표[시작],$U1388),"yyyy-mm-dd hh:mm"),INDEX(상세표[시작],$U1388)&amp;""))</f>
        <v/>
      </c>
      <c r="O1388">
        <f>IF($U1388="","",IF(ISNUMBER(INDEX(상세표[종료],$U1388)),TEXT(INDEX(상세표[종료],$U1388),"yyyy-mm-dd hh:mm"),INDEX(상세표[종료],$U1388)&amp;""))</f>
        <v/>
      </c>
      <c r="P1388" s="20">
        <f>IF($U1388="","",INDEX(상세표[06~07시],$U1388))</f>
        <v/>
      </c>
      <c r="Q1388" s="20">
        <f>IF($U1388="","",INDEX(상세표[07~18시],$U1388))</f>
        <v/>
      </c>
      <c r="R1388" s="20">
        <f>IF($U1388="","",INDEX(상세표[18~22시],$U1388))</f>
        <v/>
      </c>
      <c r="S1388" s="20">
        <f>IF($U1388="","",INDEX(상세표[22~06시],$U1388))</f>
        <v/>
      </c>
      <c r="T1388" s="20">
        <f>IF($U1388="","",INDEX(상세표[기록 시간외],$U1388))</f>
        <v/>
      </c>
      <c r="U1388" s="4">
        <f>IFERROR(MATCH(1383,상세표[발송순번],0),"")</f>
        <v/>
      </c>
    </row>
    <row r="1389">
      <c r="J1389">
        <f>IF($U1389="","",INDEX(상세표[사번],$U1389)&amp;"")</f>
        <v/>
      </c>
      <c r="K1389">
        <f>IF($U1389="","",INDEX(상세표[성명],$U1389)&amp;"")</f>
        <v/>
      </c>
      <c r="L1389">
        <f>IF($U1389="","",INDEX(상세표[직위],$U1389)&amp;"")</f>
        <v/>
      </c>
      <c r="M1389">
        <f>IF($U1389="","",IF(ISNUMBER(INDEX(상세표[근무일자],$U1389)),TEXT(INDEX(상세표[근무일자],$U1389),"yyyy-mm-dd"),INDEX(상세표[근무일자],$U1389)&amp;""))</f>
        <v/>
      </c>
      <c r="N1389">
        <f>IF($U1389="","",IF(ISNUMBER(INDEX(상세표[시작],$U1389)),TEXT(INDEX(상세표[시작],$U1389),"yyyy-mm-dd hh:mm"),INDEX(상세표[시작],$U1389)&amp;""))</f>
        <v/>
      </c>
      <c r="O1389">
        <f>IF($U1389="","",IF(ISNUMBER(INDEX(상세표[종료],$U1389)),TEXT(INDEX(상세표[종료],$U1389),"yyyy-mm-dd hh:mm"),INDEX(상세표[종료],$U1389)&amp;""))</f>
        <v/>
      </c>
      <c r="P1389" s="20">
        <f>IF($U1389="","",INDEX(상세표[06~07시],$U1389))</f>
        <v/>
      </c>
      <c r="Q1389" s="20">
        <f>IF($U1389="","",INDEX(상세표[07~18시],$U1389))</f>
        <v/>
      </c>
      <c r="R1389" s="20">
        <f>IF($U1389="","",INDEX(상세표[18~22시],$U1389))</f>
        <v/>
      </c>
      <c r="S1389" s="20">
        <f>IF($U1389="","",INDEX(상세표[22~06시],$U1389))</f>
        <v/>
      </c>
      <c r="T1389" s="20">
        <f>IF($U1389="","",INDEX(상세표[기록 시간외],$U1389))</f>
        <v/>
      </c>
      <c r="U1389" s="4">
        <f>IFERROR(MATCH(1384,상세표[발송순번],0),"")</f>
        <v/>
      </c>
    </row>
    <row r="1390">
      <c r="J1390">
        <f>IF($U1390="","",INDEX(상세표[사번],$U1390)&amp;"")</f>
        <v/>
      </c>
      <c r="K1390">
        <f>IF($U1390="","",INDEX(상세표[성명],$U1390)&amp;"")</f>
        <v/>
      </c>
      <c r="L1390">
        <f>IF($U1390="","",INDEX(상세표[직위],$U1390)&amp;"")</f>
        <v/>
      </c>
      <c r="M1390">
        <f>IF($U1390="","",IF(ISNUMBER(INDEX(상세표[근무일자],$U1390)),TEXT(INDEX(상세표[근무일자],$U1390),"yyyy-mm-dd"),INDEX(상세표[근무일자],$U1390)&amp;""))</f>
        <v/>
      </c>
      <c r="N1390">
        <f>IF($U1390="","",IF(ISNUMBER(INDEX(상세표[시작],$U1390)),TEXT(INDEX(상세표[시작],$U1390),"yyyy-mm-dd hh:mm"),INDEX(상세표[시작],$U1390)&amp;""))</f>
        <v/>
      </c>
      <c r="O1390">
        <f>IF($U1390="","",IF(ISNUMBER(INDEX(상세표[종료],$U1390)),TEXT(INDEX(상세표[종료],$U1390),"yyyy-mm-dd hh:mm"),INDEX(상세표[종료],$U1390)&amp;""))</f>
        <v/>
      </c>
      <c r="P1390" s="20">
        <f>IF($U1390="","",INDEX(상세표[06~07시],$U1390))</f>
        <v/>
      </c>
      <c r="Q1390" s="20">
        <f>IF($U1390="","",INDEX(상세표[07~18시],$U1390))</f>
        <v/>
      </c>
      <c r="R1390" s="20">
        <f>IF($U1390="","",INDEX(상세표[18~22시],$U1390))</f>
        <v/>
      </c>
      <c r="S1390" s="20">
        <f>IF($U1390="","",INDEX(상세표[22~06시],$U1390))</f>
        <v/>
      </c>
      <c r="T1390" s="20">
        <f>IF($U1390="","",INDEX(상세표[기록 시간외],$U1390))</f>
        <v/>
      </c>
      <c r="U1390" s="4">
        <f>IFERROR(MATCH(1385,상세표[발송순번],0),"")</f>
        <v/>
      </c>
    </row>
    <row r="1391">
      <c r="J1391">
        <f>IF($U1391="","",INDEX(상세표[사번],$U1391)&amp;"")</f>
        <v/>
      </c>
      <c r="K1391">
        <f>IF($U1391="","",INDEX(상세표[성명],$U1391)&amp;"")</f>
        <v/>
      </c>
      <c r="L1391">
        <f>IF($U1391="","",INDEX(상세표[직위],$U1391)&amp;"")</f>
        <v/>
      </c>
      <c r="M1391">
        <f>IF($U1391="","",IF(ISNUMBER(INDEX(상세표[근무일자],$U1391)),TEXT(INDEX(상세표[근무일자],$U1391),"yyyy-mm-dd"),INDEX(상세표[근무일자],$U1391)&amp;""))</f>
        <v/>
      </c>
      <c r="N1391">
        <f>IF($U1391="","",IF(ISNUMBER(INDEX(상세표[시작],$U1391)),TEXT(INDEX(상세표[시작],$U1391),"yyyy-mm-dd hh:mm"),INDEX(상세표[시작],$U1391)&amp;""))</f>
        <v/>
      </c>
      <c r="O1391">
        <f>IF($U1391="","",IF(ISNUMBER(INDEX(상세표[종료],$U1391)),TEXT(INDEX(상세표[종료],$U1391),"yyyy-mm-dd hh:mm"),INDEX(상세표[종료],$U1391)&amp;""))</f>
        <v/>
      </c>
      <c r="P1391" s="20">
        <f>IF($U1391="","",INDEX(상세표[06~07시],$U1391))</f>
        <v/>
      </c>
      <c r="Q1391" s="20">
        <f>IF($U1391="","",INDEX(상세표[07~18시],$U1391))</f>
        <v/>
      </c>
      <c r="R1391" s="20">
        <f>IF($U1391="","",INDEX(상세표[18~22시],$U1391))</f>
        <v/>
      </c>
      <c r="S1391" s="20">
        <f>IF($U1391="","",INDEX(상세표[22~06시],$U1391))</f>
        <v/>
      </c>
      <c r="T1391" s="20">
        <f>IF($U1391="","",INDEX(상세표[기록 시간외],$U1391))</f>
        <v/>
      </c>
      <c r="U1391" s="4">
        <f>IFERROR(MATCH(1386,상세표[발송순번],0),"")</f>
        <v/>
      </c>
    </row>
    <row r="1392">
      <c r="J1392">
        <f>IF($U1392="","",INDEX(상세표[사번],$U1392)&amp;"")</f>
        <v/>
      </c>
      <c r="K1392">
        <f>IF($U1392="","",INDEX(상세표[성명],$U1392)&amp;"")</f>
        <v/>
      </c>
      <c r="L1392">
        <f>IF($U1392="","",INDEX(상세표[직위],$U1392)&amp;"")</f>
        <v/>
      </c>
      <c r="M1392">
        <f>IF($U1392="","",IF(ISNUMBER(INDEX(상세표[근무일자],$U1392)),TEXT(INDEX(상세표[근무일자],$U1392),"yyyy-mm-dd"),INDEX(상세표[근무일자],$U1392)&amp;""))</f>
        <v/>
      </c>
      <c r="N1392">
        <f>IF($U1392="","",IF(ISNUMBER(INDEX(상세표[시작],$U1392)),TEXT(INDEX(상세표[시작],$U1392),"yyyy-mm-dd hh:mm"),INDEX(상세표[시작],$U1392)&amp;""))</f>
        <v/>
      </c>
      <c r="O1392">
        <f>IF($U1392="","",IF(ISNUMBER(INDEX(상세표[종료],$U1392)),TEXT(INDEX(상세표[종료],$U1392),"yyyy-mm-dd hh:mm"),INDEX(상세표[종료],$U1392)&amp;""))</f>
        <v/>
      </c>
      <c r="P1392" s="20">
        <f>IF($U1392="","",INDEX(상세표[06~07시],$U1392))</f>
        <v/>
      </c>
      <c r="Q1392" s="20">
        <f>IF($U1392="","",INDEX(상세표[07~18시],$U1392))</f>
        <v/>
      </c>
      <c r="R1392" s="20">
        <f>IF($U1392="","",INDEX(상세표[18~22시],$U1392))</f>
        <v/>
      </c>
      <c r="S1392" s="20">
        <f>IF($U1392="","",INDEX(상세표[22~06시],$U1392))</f>
        <v/>
      </c>
      <c r="T1392" s="20">
        <f>IF($U1392="","",INDEX(상세표[기록 시간외],$U1392))</f>
        <v/>
      </c>
      <c r="U1392" s="4">
        <f>IFERROR(MATCH(1387,상세표[발송순번],0),"")</f>
        <v/>
      </c>
    </row>
    <row r="1393">
      <c r="J1393">
        <f>IF($U1393="","",INDEX(상세표[사번],$U1393)&amp;"")</f>
        <v/>
      </c>
      <c r="K1393">
        <f>IF($U1393="","",INDEX(상세표[성명],$U1393)&amp;"")</f>
        <v/>
      </c>
      <c r="L1393">
        <f>IF($U1393="","",INDEX(상세표[직위],$U1393)&amp;"")</f>
        <v/>
      </c>
      <c r="M1393">
        <f>IF($U1393="","",IF(ISNUMBER(INDEX(상세표[근무일자],$U1393)),TEXT(INDEX(상세표[근무일자],$U1393),"yyyy-mm-dd"),INDEX(상세표[근무일자],$U1393)&amp;""))</f>
        <v/>
      </c>
      <c r="N1393">
        <f>IF($U1393="","",IF(ISNUMBER(INDEX(상세표[시작],$U1393)),TEXT(INDEX(상세표[시작],$U1393),"yyyy-mm-dd hh:mm"),INDEX(상세표[시작],$U1393)&amp;""))</f>
        <v/>
      </c>
      <c r="O1393">
        <f>IF($U1393="","",IF(ISNUMBER(INDEX(상세표[종료],$U1393)),TEXT(INDEX(상세표[종료],$U1393),"yyyy-mm-dd hh:mm"),INDEX(상세표[종료],$U1393)&amp;""))</f>
        <v/>
      </c>
      <c r="P1393" s="20">
        <f>IF($U1393="","",INDEX(상세표[06~07시],$U1393))</f>
        <v/>
      </c>
      <c r="Q1393" s="20">
        <f>IF($U1393="","",INDEX(상세표[07~18시],$U1393))</f>
        <v/>
      </c>
      <c r="R1393" s="20">
        <f>IF($U1393="","",INDEX(상세표[18~22시],$U1393))</f>
        <v/>
      </c>
      <c r="S1393" s="20">
        <f>IF($U1393="","",INDEX(상세표[22~06시],$U1393))</f>
        <v/>
      </c>
      <c r="T1393" s="20">
        <f>IF($U1393="","",INDEX(상세표[기록 시간외],$U1393))</f>
        <v/>
      </c>
      <c r="U1393" s="4">
        <f>IFERROR(MATCH(1388,상세표[발송순번],0),"")</f>
        <v/>
      </c>
    </row>
    <row r="1394">
      <c r="J1394">
        <f>IF($U1394="","",INDEX(상세표[사번],$U1394)&amp;"")</f>
        <v/>
      </c>
      <c r="K1394">
        <f>IF($U1394="","",INDEX(상세표[성명],$U1394)&amp;"")</f>
        <v/>
      </c>
      <c r="L1394">
        <f>IF($U1394="","",INDEX(상세표[직위],$U1394)&amp;"")</f>
        <v/>
      </c>
      <c r="M1394">
        <f>IF($U1394="","",IF(ISNUMBER(INDEX(상세표[근무일자],$U1394)),TEXT(INDEX(상세표[근무일자],$U1394),"yyyy-mm-dd"),INDEX(상세표[근무일자],$U1394)&amp;""))</f>
        <v/>
      </c>
      <c r="N1394">
        <f>IF($U1394="","",IF(ISNUMBER(INDEX(상세표[시작],$U1394)),TEXT(INDEX(상세표[시작],$U1394),"yyyy-mm-dd hh:mm"),INDEX(상세표[시작],$U1394)&amp;""))</f>
        <v/>
      </c>
      <c r="O1394">
        <f>IF($U1394="","",IF(ISNUMBER(INDEX(상세표[종료],$U1394)),TEXT(INDEX(상세표[종료],$U1394),"yyyy-mm-dd hh:mm"),INDEX(상세표[종료],$U1394)&amp;""))</f>
        <v/>
      </c>
      <c r="P1394" s="20">
        <f>IF($U1394="","",INDEX(상세표[06~07시],$U1394))</f>
        <v/>
      </c>
      <c r="Q1394" s="20">
        <f>IF($U1394="","",INDEX(상세표[07~18시],$U1394))</f>
        <v/>
      </c>
      <c r="R1394" s="20">
        <f>IF($U1394="","",INDEX(상세표[18~22시],$U1394))</f>
        <v/>
      </c>
      <c r="S1394" s="20">
        <f>IF($U1394="","",INDEX(상세표[22~06시],$U1394))</f>
        <v/>
      </c>
      <c r="T1394" s="20">
        <f>IF($U1394="","",INDEX(상세표[기록 시간외],$U1394))</f>
        <v/>
      </c>
      <c r="U1394" s="4">
        <f>IFERROR(MATCH(1389,상세표[발송순번],0),"")</f>
        <v/>
      </c>
    </row>
    <row r="1395">
      <c r="J1395">
        <f>IF($U1395="","",INDEX(상세표[사번],$U1395)&amp;"")</f>
        <v/>
      </c>
      <c r="K1395">
        <f>IF($U1395="","",INDEX(상세표[성명],$U1395)&amp;"")</f>
        <v/>
      </c>
      <c r="L1395">
        <f>IF($U1395="","",INDEX(상세표[직위],$U1395)&amp;"")</f>
        <v/>
      </c>
      <c r="M1395">
        <f>IF($U1395="","",IF(ISNUMBER(INDEX(상세표[근무일자],$U1395)),TEXT(INDEX(상세표[근무일자],$U1395),"yyyy-mm-dd"),INDEX(상세표[근무일자],$U1395)&amp;""))</f>
        <v/>
      </c>
      <c r="N1395">
        <f>IF($U1395="","",IF(ISNUMBER(INDEX(상세표[시작],$U1395)),TEXT(INDEX(상세표[시작],$U1395),"yyyy-mm-dd hh:mm"),INDEX(상세표[시작],$U1395)&amp;""))</f>
        <v/>
      </c>
      <c r="O1395">
        <f>IF($U1395="","",IF(ISNUMBER(INDEX(상세표[종료],$U1395)),TEXT(INDEX(상세표[종료],$U1395),"yyyy-mm-dd hh:mm"),INDEX(상세표[종료],$U1395)&amp;""))</f>
        <v/>
      </c>
      <c r="P1395" s="20">
        <f>IF($U1395="","",INDEX(상세표[06~07시],$U1395))</f>
        <v/>
      </c>
      <c r="Q1395" s="20">
        <f>IF($U1395="","",INDEX(상세표[07~18시],$U1395))</f>
        <v/>
      </c>
      <c r="R1395" s="20">
        <f>IF($U1395="","",INDEX(상세표[18~22시],$U1395))</f>
        <v/>
      </c>
      <c r="S1395" s="20">
        <f>IF($U1395="","",INDEX(상세표[22~06시],$U1395))</f>
        <v/>
      </c>
      <c r="T1395" s="20">
        <f>IF($U1395="","",INDEX(상세표[기록 시간외],$U1395))</f>
        <v/>
      </c>
      <c r="U1395" s="4">
        <f>IFERROR(MATCH(1390,상세표[발송순번],0),"")</f>
        <v/>
      </c>
    </row>
    <row r="1396">
      <c r="J1396">
        <f>IF($U1396="","",INDEX(상세표[사번],$U1396)&amp;"")</f>
        <v/>
      </c>
      <c r="K1396">
        <f>IF($U1396="","",INDEX(상세표[성명],$U1396)&amp;"")</f>
        <v/>
      </c>
      <c r="L1396">
        <f>IF($U1396="","",INDEX(상세표[직위],$U1396)&amp;"")</f>
        <v/>
      </c>
      <c r="M1396">
        <f>IF($U1396="","",IF(ISNUMBER(INDEX(상세표[근무일자],$U1396)),TEXT(INDEX(상세표[근무일자],$U1396),"yyyy-mm-dd"),INDEX(상세표[근무일자],$U1396)&amp;""))</f>
        <v/>
      </c>
      <c r="N1396">
        <f>IF($U1396="","",IF(ISNUMBER(INDEX(상세표[시작],$U1396)),TEXT(INDEX(상세표[시작],$U1396),"yyyy-mm-dd hh:mm"),INDEX(상세표[시작],$U1396)&amp;""))</f>
        <v/>
      </c>
      <c r="O1396">
        <f>IF($U1396="","",IF(ISNUMBER(INDEX(상세표[종료],$U1396)),TEXT(INDEX(상세표[종료],$U1396),"yyyy-mm-dd hh:mm"),INDEX(상세표[종료],$U1396)&amp;""))</f>
        <v/>
      </c>
      <c r="P1396" s="20">
        <f>IF($U1396="","",INDEX(상세표[06~07시],$U1396))</f>
        <v/>
      </c>
      <c r="Q1396" s="20">
        <f>IF($U1396="","",INDEX(상세표[07~18시],$U1396))</f>
        <v/>
      </c>
      <c r="R1396" s="20">
        <f>IF($U1396="","",INDEX(상세표[18~22시],$U1396))</f>
        <v/>
      </c>
      <c r="S1396" s="20">
        <f>IF($U1396="","",INDEX(상세표[22~06시],$U1396))</f>
        <v/>
      </c>
      <c r="T1396" s="20">
        <f>IF($U1396="","",INDEX(상세표[기록 시간외],$U1396))</f>
        <v/>
      </c>
      <c r="U1396" s="4">
        <f>IFERROR(MATCH(1391,상세표[발송순번],0),"")</f>
        <v/>
      </c>
    </row>
    <row r="1397">
      <c r="J1397">
        <f>IF($U1397="","",INDEX(상세표[사번],$U1397)&amp;"")</f>
        <v/>
      </c>
      <c r="K1397">
        <f>IF($U1397="","",INDEX(상세표[성명],$U1397)&amp;"")</f>
        <v/>
      </c>
      <c r="L1397">
        <f>IF($U1397="","",INDEX(상세표[직위],$U1397)&amp;"")</f>
        <v/>
      </c>
      <c r="M1397">
        <f>IF($U1397="","",IF(ISNUMBER(INDEX(상세표[근무일자],$U1397)),TEXT(INDEX(상세표[근무일자],$U1397),"yyyy-mm-dd"),INDEX(상세표[근무일자],$U1397)&amp;""))</f>
        <v/>
      </c>
      <c r="N1397">
        <f>IF($U1397="","",IF(ISNUMBER(INDEX(상세표[시작],$U1397)),TEXT(INDEX(상세표[시작],$U1397),"yyyy-mm-dd hh:mm"),INDEX(상세표[시작],$U1397)&amp;""))</f>
        <v/>
      </c>
      <c r="O1397">
        <f>IF($U1397="","",IF(ISNUMBER(INDEX(상세표[종료],$U1397)),TEXT(INDEX(상세표[종료],$U1397),"yyyy-mm-dd hh:mm"),INDEX(상세표[종료],$U1397)&amp;""))</f>
        <v/>
      </c>
      <c r="P1397" s="20">
        <f>IF($U1397="","",INDEX(상세표[06~07시],$U1397))</f>
        <v/>
      </c>
      <c r="Q1397" s="20">
        <f>IF($U1397="","",INDEX(상세표[07~18시],$U1397))</f>
        <v/>
      </c>
      <c r="R1397" s="20">
        <f>IF($U1397="","",INDEX(상세표[18~22시],$U1397))</f>
        <v/>
      </c>
      <c r="S1397" s="20">
        <f>IF($U1397="","",INDEX(상세표[22~06시],$U1397))</f>
        <v/>
      </c>
      <c r="T1397" s="20">
        <f>IF($U1397="","",INDEX(상세표[기록 시간외],$U1397))</f>
        <v/>
      </c>
      <c r="U1397" s="4">
        <f>IFERROR(MATCH(1392,상세표[발송순번],0),"")</f>
        <v/>
      </c>
    </row>
    <row r="1398">
      <c r="J1398">
        <f>IF($U1398="","",INDEX(상세표[사번],$U1398)&amp;"")</f>
        <v/>
      </c>
      <c r="K1398">
        <f>IF($U1398="","",INDEX(상세표[성명],$U1398)&amp;"")</f>
        <v/>
      </c>
      <c r="L1398">
        <f>IF($U1398="","",INDEX(상세표[직위],$U1398)&amp;"")</f>
        <v/>
      </c>
      <c r="M1398">
        <f>IF($U1398="","",IF(ISNUMBER(INDEX(상세표[근무일자],$U1398)),TEXT(INDEX(상세표[근무일자],$U1398),"yyyy-mm-dd"),INDEX(상세표[근무일자],$U1398)&amp;""))</f>
        <v/>
      </c>
      <c r="N1398">
        <f>IF($U1398="","",IF(ISNUMBER(INDEX(상세표[시작],$U1398)),TEXT(INDEX(상세표[시작],$U1398),"yyyy-mm-dd hh:mm"),INDEX(상세표[시작],$U1398)&amp;""))</f>
        <v/>
      </c>
      <c r="O1398">
        <f>IF($U1398="","",IF(ISNUMBER(INDEX(상세표[종료],$U1398)),TEXT(INDEX(상세표[종료],$U1398),"yyyy-mm-dd hh:mm"),INDEX(상세표[종료],$U1398)&amp;""))</f>
        <v/>
      </c>
      <c r="P1398" s="20">
        <f>IF($U1398="","",INDEX(상세표[06~07시],$U1398))</f>
        <v/>
      </c>
      <c r="Q1398" s="20">
        <f>IF($U1398="","",INDEX(상세표[07~18시],$U1398))</f>
        <v/>
      </c>
      <c r="R1398" s="20">
        <f>IF($U1398="","",INDEX(상세표[18~22시],$U1398))</f>
        <v/>
      </c>
      <c r="S1398" s="20">
        <f>IF($U1398="","",INDEX(상세표[22~06시],$U1398))</f>
        <v/>
      </c>
      <c r="T1398" s="20">
        <f>IF($U1398="","",INDEX(상세표[기록 시간외],$U1398))</f>
        <v/>
      </c>
      <c r="U1398" s="4">
        <f>IFERROR(MATCH(1393,상세표[발송순번],0),"")</f>
        <v/>
      </c>
    </row>
    <row r="1399">
      <c r="J1399">
        <f>IF($U1399="","",INDEX(상세표[사번],$U1399)&amp;"")</f>
        <v/>
      </c>
      <c r="K1399">
        <f>IF($U1399="","",INDEX(상세표[성명],$U1399)&amp;"")</f>
        <v/>
      </c>
      <c r="L1399">
        <f>IF($U1399="","",INDEX(상세표[직위],$U1399)&amp;"")</f>
        <v/>
      </c>
      <c r="M1399">
        <f>IF($U1399="","",IF(ISNUMBER(INDEX(상세표[근무일자],$U1399)),TEXT(INDEX(상세표[근무일자],$U1399),"yyyy-mm-dd"),INDEX(상세표[근무일자],$U1399)&amp;""))</f>
        <v/>
      </c>
      <c r="N1399">
        <f>IF($U1399="","",IF(ISNUMBER(INDEX(상세표[시작],$U1399)),TEXT(INDEX(상세표[시작],$U1399),"yyyy-mm-dd hh:mm"),INDEX(상세표[시작],$U1399)&amp;""))</f>
        <v/>
      </c>
      <c r="O1399">
        <f>IF($U1399="","",IF(ISNUMBER(INDEX(상세표[종료],$U1399)),TEXT(INDEX(상세표[종료],$U1399),"yyyy-mm-dd hh:mm"),INDEX(상세표[종료],$U1399)&amp;""))</f>
        <v/>
      </c>
      <c r="P1399" s="20">
        <f>IF($U1399="","",INDEX(상세표[06~07시],$U1399))</f>
        <v/>
      </c>
      <c r="Q1399" s="20">
        <f>IF($U1399="","",INDEX(상세표[07~18시],$U1399))</f>
        <v/>
      </c>
      <c r="R1399" s="20">
        <f>IF($U1399="","",INDEX(상세표[18~22시],$U1399))</f>
        <v/>
      </c>
      <c r="S1399" s="20">
        <f>IF($U1399="","",INDEX(상세표[22~06시],$U1399))</f>
        <v/>
      </c>
      <c r="T1399" s="20">
        <f>IF($U1399="","",INDEX(상세표[기록 시간외],$U1399))</f>
        <v/>
      </c>
      <c r="U1399" s="4">
        <f>IFERROR(MATCH(1394,상세표[발송순번],0),"")</f>
        <v/>
      </c>
    </row>
    <row r="1400">
      <c r="J1400">
        <f>IF($U1400="","",INDEX(상세표[사번],$U1400)&amp;"")</f>
        <v/>
      </c>
      <c r="K1400">
        <f>IF($U1400="","",INDEX(상세표[성명],$U1400)&amp;"")</f>
        <v/>
      </c>
      <c r="L1400">
        <f>IF($U1400="","",INDEX(상세표[직위],$U1400)&amp;"")</f>
        <v/>
      </c>
      <c r="M1400">
        <f>IF($U1400="","",IF(ISNUMBER(INDEX(상세표[근무일자],$U1400)),TEXT(INDEX(상세표[근무일자],$U1400),"yyyy-mm-dd"),INDEX(상세표[근무일자],$U1400)&amp;""))</f>
        <v/>
      </c>
      <c r="N1400">
        <f>IF($U1400="","",IF(ISNUMBER(INDEX(상세표[시작],$U1400)),TEXT(INDEX(상세표[시작],$U1400),"yyyy-mm-dd hh:mm"),INDEX(상세표[시작],$U1400)&amp;""))</f>
        <v/>
      </c>
      <c r="O1400">
        <f>IF($U1400="","",IF(ISNUMBER(INDEX(상세표[종료],$U1400)),TEXT(INDEX(상세표[종료],$U1400),"yyyy-mm-dd hh:mm"),INDEX(상세표[종료],$U1400)&amp;""))</f>
        <v/>
      </c>
      <c r="P1400" s="20">
        <f>IF($U1400="","",INDEX(상세표[06~07시],$U1400))</f>
        <v/>
      </c>
      <c r="Q1400" s="20">
        <f>IF($U1400="","",INDEX(상세표[07~18시],$U1400))</f>
        <v/>
      </c>
      <c r="R1400" s="20">
        <f>IF($U1400="","",INDEX(상세표[18~22시],$U1400))</f>
        <v/>
      </c>
      <c r="S1400" s="20">
        <f>IF($U1400="","",INDEX(상세표[22~06시],$U1400))</f>
        <v/>
      </c>
      <c r="T1400" s="20">
        <f>IF($U1400="","",INDEX(상세표[기록 시간외],$U1400))</f>
        <v/>
      </c>
      <c r="U1400" s="4">
        <f>IFERROR(MATCH(1395,상세표[발송순번],0),"")</f>
        <v/>
      </c>
    </row>
    <row r="1401">
      <c r="J1401">
        <f>IF($U1401="","",INDEX(상세표[사번],$U1401)&amp;"")</f>
        <v/>
      </c>
      <c r="K1401">
        <f>IF($U1401="","",INDEX(상세표[성명],$U1401)&amp;"")</f>
        <v/>
      </c>
      <c r="L1401">
        <f>IF($U1401="","",INDEX(상세표[직위],$U1401)&amp;"")</f>
        <v/>
      </c>
      <c r="M1401">
        <f>IF($U1401="","",IF(ISNUMBER(INDEX(상세표[근무일자],$U1401)),TEXT(INDEX(상세표[근무일자],$U1401),"yyyy-mm-dd"),INDEX(상세표[근무일자],$U1401)&amp;""))</f>
        <v/>
      </c>
      <c r="N1401">
        <f>IF($U1401="","",IF(ISNUMBER(INDEX(상세표[시작],$U1401)),TEXT(INDEX(상세표[시작],$U1401),"yyyy-mm-dd hh:mm"),INDEX(상세표[시작],$U1401)&amp;""))</f>
        <v/>
      </c>
      <c r="O1401">
        <f>IF($U1401="","",IF(ISNUMBER(INDEX(상세표[종료],$U1401)),TEXT(INDEX(상세표[종료],$U1401),"yyyy-mm-dd hh:mm"),INDEX(상세표[종료],$U1401)&amp;""))</f>
        <v/>
      </c>
      <c r="P1401" s="20">
        <f>IF($U1401="","",INDEX(상세표[06~07시],$U1401))</f>
        <v/>
      </c>
      <c r="Q1401" s="20">
        <f>IF($U1401="","",INDEX(상세표[07~18시],$U1401))</f>
        <v/>
      </c>
      <c r="R1401" s="20">
        <f>IF($U1401="","",INDEX(상세표[18~22시],$U1401))</f>
        <v/>
      </c>
      <c r="S1401" s="20">
        <f>IF($U1401="","",INDEX(상세표[22~06시],$U1401))</f>
        <v/>
      </c>
      <c r="T1401" s="20">
        <f>IF($U1401="","",INDEX(상세표[기록 시간외],$U1401))</f>
        <v/>
      </c>
      <c r="U1401" s="4">
        <f>IFERROR(MATCH(1396,상세표[발송순번],0),"")</f>
        <v/>
      </c>
    </row>
    <row r="1402">
      <c r="J1402">
        <f>IF($U1402="","",INDEX(상세표[사번],$U1402)&amp;"")</f>
        <v/>
      </c>
      <c r="K1402">
        <f>IF($U1402="","",INDEX(상세표[성명],$U1402)&amp;"")</f>
        <v/>
      </c>
      <c r="L1402">
        <f>IF($U1402="","",INDEX(상세표[직위],$U1402)&amp;"")</f>
        <v/>
      </c>
      <c r="M1402">
        <f>IF($U1402="","",IF(ISNUMBER(INDEX(상세표[근무일자],$U1402)),TEXT(INDEX(상세표[근무일자],$U1402),"yyyy-mm-dd"),INDEX(상세표[근무일자],$U1402)&amp;""))</f>
        <v/>
      </c>
      <c r="N1402">
        <f>IF($U1402="","",IF(ISNUMBER(INDEX(상세표[시작],$U1402)),TEXT(INDEX(상세표[시작],$U1402),"yyyy-mm-dd hh:mm"),INDEX(상세표[시작],$U1402)&amp;""))</f>
        <v/>
      </c>
      <c r="O1402">
        <f>IF($U1402="","",IF(ISNUMBER(INDEX(상세표[종료],$U1402)),TEXT(INDEX(상세표[종료],$U1402),"yyyy-mm-dd hh:mm"),INDEX(상세표[종료],$U1402)&amp;""))</f>
        <v/>
      </c>
      <c r="P1402" s="20">
        <f>IF($U1402="","",INDEX(상세표[06~07시],$U1402))</f>
        <v/>
      </c>
      <c r="Q1402" s="20">
        <f>IF($U1402="","",INDEX(상세표[07~18시],$U1402))</f>
        <v/>
      </c>
      <c r="R1402" s="20">
        <f>IF($U1402="","",INDEX(상세표[18~22시],$U1402))</f>
        <v/>
      </c>
      <c r="S1402" s="20">
        <f>IF($U1402="","",INDEX(상세표[22~06시],$U1402))</f>
        <v/>
      </c>
      <c r="T1402" s="20">
        <f>IF($U1402="","",INDEX(상세표[기록 시간외],$U1402))</f>
        <v/>
      </c>
      <c r="U1402" s="4">
        <f>IFERROR(MATCH(1397,상세표[발송순번],0),"")</f>
        <v/>
      </c>
    </row>
    <row r="1403">
      <c r="J1403">
        <f>IF($U1403="","",INDEX(상세표[사번],$U1403)&amp;"")</f>
        <v/>
      </c>
      <c r="K1403">
        <f>IF($U1403="","",INDEX(상세표[성명],$U1403)&amp;"")</f>
        <v/>
      </c>
      <c r="L1403">
        <f>IF($U1403="","",INDEX(상세표[직위],$U1403)&amp;"")</f>
        <v/>
      </c>
      <c r="M1403">
        <f>IF($U1403="","",IF(ISNUMBER(INDEX(상세표[근무일자],$U1403)),TEXT(INDEX(상세표[근무일자],$U1403),"yyyy-mm-dd"),INDEX(상세표[근무일자],$U1403)&amp;""))</f>
        <v/>
      </c>
      <c r="N1403">
        <f>IF($U1403="","",IF(ISNUMBER(INDEX(상세표[시작],$U1403)),TEXT(INDEX(상세표[시작],$U1403),"yyyy-mm-dd hh:mm"),INDEX(상세표[시작],$U1403)&amp;""))</f>
        <v/>
      </c>
      <c r="O1403">
        <f>IF($U1403="","",IF(ISNUMBER(INDEX(상세표[종료],$U1403)),TEXT(INDEX(상세표[종료],$U1403),"yyyy-mm-dd hh:mm"),INDEX(상세표[종료],$U1403)&amp;""))</f>
        <v/>
      </c>
      <c r="P1403" s="20">
        <f>IF($U1403="","",INDEX(상세표[06~07시],$U1403))</f>
        <v/>
      </c>
      <c r="Q1403" s="20">
        <f>IF($U1403="","",INDEX(상세표[07~18시],$U1403))</f>
        <v/>
      </c>
      <c r="R1403" s="20">
        <f>IF($U1403="","",INDEX(상세표[18~22시],$U1403))</f>
        <v/>
      </c>
      <c r="S1403" s="20">
        <f>IF($U1403="","",INDEX(상세표[22~06시],$U1403))</f>
        <v/>
      </c>
      <c r="T1403" s="20">
        <f>IF($U1403="","",INDEX(상세표[기록 시간외],$U1403))</f>
        <v/>
      </c>
      <c r="U1403" s="4">
        <f>IFERROR(MATCH(1398,상세표[발송순번],0),"")</f>
        <v/>
      </c>
    </row>
    <row r="1404">
      <c r="J1404">
        <f>IF($U1404="","",INDEX(상세표[사번],$U1404)&amp;"")</f>
        <v/>
      </c>
      <c r="K1404">
        <f>IF($U1404="","",INDEX(상세표[성명],$U1404)&amp;"")</f>
        <v/>
      </c>
      <c r="L1404">
        <f>IF($U1404="","",INDEX(상세표[직위],$U1404)&amp;"")</f>
        <v/>
      </c>
      <c r="M1404">
        <f>IF($U1404="","",IF(ISNUMBER(INDEX(상세표[근무일자],$U1404)),TEXT(INDEX(상세표[근무일자],$U1404),"yyyy-mm-dd"),INDEX(상세표[근무일자],$U1404)&amp;""))</f>
        <v/>
      </c>
      <c r="N1404">
        <f>IF($U1404="","",IF(ISNUMBER(INDEX(상세표[시작],$U1404)),TEXT(INDEX(상세표[시작],$U1404),"yyyy-mm-dd hh:mm"),INDEX(상세표[시작],$U1404)&amp;""))</f>
        <v/>
      </c>
      <c r="O1404">
        <f>IF($U1404="","",IF(ISNUMBER(INDEX(상세표[종료],$U1404)),TEXT(INDEX(상세표[종료],$U1404),"yyyy-mm-dd hh:mm"),INDEX(상세표[종료],$U1404)&amp;""))</f>
        <v/>
      </c>
      <c r="P1404" s="20">
        <f>IF($U1404="","",INDEX(상세표[06~07시],$U1404))</f>
        <v/>
      </c>
      <c r="Q1404" s="20">
        <f>IF($U1404="","",INDEX(상세표[07~18시],$U1404))</f>
        <v/>
      </c>
      <c r="R1404" s="20">
        <f>IF($U1404="","",INDEX(상세표[18~22시],$U1404))</f>
        <v/>
      </c>
      <c r="S1404" s="20">
        <f>IF($U1404="","",INDEX(상세표[22~06시],$U1404))</f>
        <v/>
      </c>
      <c r="T1404" s="20">
        <f>IF($U1404="","",INDEX(상세표[기록 시간외],$U1404))</f>
        <v/>
      </c>
      <c r="U1404" s="4">
        <f>IFERROR(MATCH(1399,상세표[발송순번],0),"")</f>
        <v/>
      </c>
    </row>
    <row r="1405">
      <c r="J1405">
        <f>IF($U1405="","",INDEX(상세표[사번],$U1405)&amp;"")</f>
        <v/>
      </c>
      <c r="K1405">
        <f>IF($U1405="","",INDEX(상세표[성명],$U1405)&amp;"")</f>
        <v/>
      </c>
      <c r="L1405">
        <f>IF($U1405="","",INDEX(상세표[직위],$U1405)&amp;"")</f>
        <v/>
      </c>
      <c r="M1405">
        <f>IF($U1405="","",IF(ISNUMBER(INDEX(상세표[근무일자],$U1405)),TEXT(INDEX(상세표[근무일자],$U1405),"yyyy-mm-dd"),INDEX(상세표[근무일자],$U1405)&amp;""))</f>
        <v/>
      </c>
      <c r="N1405">
        <f>IF($U1405="","",IF(ISNUMBER(INDEX(상세표[시작],$U1405)),TEXT(INDEX(상세표[시작],$U1405),"yyyy-mm-dd hh:mm"),INDEX(상세표[시작],$U1405)&amp;""))</f>
        <v/>
      </c>
      <c r="O1405">
        <f>IF($U1405="","",IF(ISNUMBER(INDEX(상세표[종료],$U1405)),TEXT(INDEX(상세표[종료],$U1405),"yyyy-mm-dd hh:mm"),INDEX(상세표[종료],$U1405)&amp;""))</f>
        <v/>
      </c>
      <c r="P1405" s="20">
        <f>IF($U1405="","",INDEX(상세표[06~07시],$U1405))</f>
        <v/>
      </c>
      <c r="Q1405" s="20">
        <f>IF($U1405="","",INDEX(상세표[07~18시],$U1405))</f>
        <v/>
      </c>
      <c r="R1405" s="20">
        <f>IF($U1405="","",INDEX(상세표[18~22시],$U1405))</f>
        <v/>
      </c>
      <c r="S1405" s="20">
        <f>IF($U1405="","",INDEX(상세표[22~06시],$U1405))</f>
        <v/>
      </c>
      <c r="T1405" s="20">
        <f>IF($U1405="","",INDEX(상세표[기록 시간외],$U1405))</f>
        <v/>
      </c>
      <c r="U1405" s="4">
        <f>IFERROR(MATCH(1400,상세표[발송순번],0),"")</f>
        <v/>
      </c>
    </row>
    <row r="1406">
      <c r="J1406">
        <f>IF($U1406="","",INDEX(상세표[사번],$U1406)&amp;"")</f>
        <v/>
      </c>
      <c r="K1406">
        <f>IF($U1406="","",INDEX(상세표[성명],$U1406)&amp;"")</f>
        <v/>
      </c>
      <c r="L1406">
        <f>IF($U1406="","",INDEX(상세표[직위],$U1406)&amp;"")</f>
        <v/>
      </c>
      <c r="M1406">
        <f>IF($U1406="","",IF(ISNUMBER(INDEX(상세표[근무일자],$U1406)),TEXT(INDEX(상세표[근무일자],$U1406),"yyyy-mm-dd"),INDEX(상세표[근무일자],$U1406)&amp;""))</f>
        <v/>
      </c>
      <c r="N1406">
        <f>IF($U1406="","",IF(ISNUMBER(INDEX(상세표[시작],$U1406)),TEXT(INDEX(상세표[시작],$U1406),"yyyy-mm-dd hh:mm"),INDEX(상세표[시작],$U1406)&amp;""))</f>
        <v/>
      </c>
      <c r="O1406">
        <f>IF($U1406="","",IF(ISNUMBER(INDEX(상세표[종료],$U1406)),TEXT(INDEX(상세표[종료],$U1406),"yyyy-mm-dd hh:mm"),INDEX(상세표[종료],$U1406)&amp;""))</f>
        <v/>
      </c>
      <c r="P1406" s="20">
        <f>IF($U1406="","",INDEX(상세표[06~07시],$U1406))</f>
        <v/>
      </c>
      <c r="Q1406" s="20">
        <f>IF($U1406="","",INDEX(상세표[07~18시],$U1406))</f>
        <v/>
      </c>
      <c r="R1406" s="20">
        <f>IF($U1406="","",INDEX(상세표[18~22시],$U1406))</f>
        <v/>
      </c>
      <c r="S1406" s="20">
        <f>IF($U1406="","",INDEX(상세표[22~06시],$U1406))</f>
        <v/>
      </c>
      <c r="T1406" s="20">
        <f>IF($U1406="","",INDEX(상세표[기록 시간외],$U1406))</f>
        <v/>
      </c>
      <c r="U1406" s="4">
        <f>IFERROR(MATCH(1401,상세표[발송순번],0),"")</f>
        <v/>
      </c>
    </row>
    <row r="1407">
      <c r="J1407">
        <f>IF($U1407="","",INDEX(상세표[사번],$U1407)&amp;"")</f>
        <v/>
      </c>
      <c r="K1407">
        <f>IF($U1407="","",INDEX(상세표[성명],$U1407)&amp;"")</f>
        <v/>
      </c>
      <c r="L1407">
        <f>IF($U1407="","",INDEX(상세표[직위],$U1407)&amp;"")</f>
        <v/>
      </c>
      <c r="M1407">
        <f>IF($U1407="","",IF(ISNUMBER(INDEX(상세표[근무일자],$U1407)),TEXT(INDEX(상세표[근무일자],$U1407),"yyyy-mm-dd"),INDEX(상세표[근무일자],$U1407)&amp;""))</f>
        <v/>
      </c>
      <c r="N1407">
        <f>IF($U1407="","",IF(ISNUMBER(INDEX(상세표[시작],$U1407)),TEXT(INDEX(상세표[시작],$U1407),"yyyy-mm-dd hh:mm"),INDEX(상세표[시작],$U1407)&amp;""))</f>
        <v/>
      </c>
      <c r="O1407">
        <f>IF($U1407="","",IF(ISNUMBER(INDEX(상세표[종료],$U1407)),TEXT(INDEX(상세표[종료],$U1407),"yyyy-mm-dd hh:mm"),INDEX(상세표[종료],$U1407)&amp;""))</f>
        <v/>
      </c>
      <c r="P1407" s="20">
        <f>IF($U1407="","",INDEX(상세표[06~07시],$U1407))</f>
        <v/>
      </c>
      <c r="Q1407" s="20">
        <f>IF($U1407="","",INDEX(상세표[07~18시],$U1407))</f>
        <v/>
      </c>
      <c r="R1407" s="20">
        <f>IF($U1407="","",INDEX(상세표[18~22시],$U1407))</f>
        <v/>
      </c>
      <c r="S1407" s="20">
        <f>IF($U1407="","",INDEX(상세표[22~06시],$U1407))</f>
        <v/>
      </c>
      <c r="T1407" s="20">
        <f>IF($U1407="","",INDEX(상세표[기록 시간외],$U1407))</f>
        <v/>
      </c>
      <c r="U1407" s="4">
        <f>IFERROR(MATCH(1402,상세표[발송순번],0),"")</f>
        <v/>
      </c>
    </row>
    <row r="1408">
      <c r="J1408">
        <f>IF($U1408="","",INDEX(상세표[사번],$U1408)&amp;"")</f>
        <v/>
      </c>
      <c r="K1408">
        <f>IF($U1408="","",INDEX(상세표[성명],$U1408)&amp;"")</f>
        <v/>
      </c>
      <c r="L1408">
        <f>IF($U1408="","",INDEX(상세표[직위],$U1408)&amp;"")</f>
        <v/>
      </c>
      <c r="M1408">
        <f>IF($U1408="","",IF(ISNUMBER(INDEX(상세표[근무일자],$U1408)),TEXT(INDEX(상세표[근무일자],$U1408),"yyyy-mm-dd"),INDEX(상세표[근무일자],$U1408)&amp;""))</f>
        <v/>
      </c>
      <c r="N1408">
        <f>IF($U1408="","",IF(ISNUMBER(INDEX(상세표[시작],$U1408)),TEXT(INDEX(상세표[시작],$U1408),"yyyy-mm-dd hh:mm"),INDEX(상세표[시작],$U1408)&amp;""))</f>
        <v/>
      </c>
      <c r="O1408">
        <f>IF($U1408="","",IF(ISNUMBER(INDEX(상세표[종료],$U1408)),TEXT(INDEX(상세표[종료],$U1408),"yyyy-mm-dd hh:mm"),INDEX(상세표[종료],$U1408)&amp;""))</f>
        <v/>
      </c>
      <c r="P1408" s="20">
        <f>IF($U1408="","",INDEX(상세표[06~07시],$U1408))</f>
        <v/>
      </c>
      <c r="Q1408" s="20">
        <f>IF($U1408="","",INDEX(상세표[07~18시],$U1408))</f>
        <v/>
      </c>
      <c r="R1408" s="20">
        <f>IF($U1408="","",INDEX(상세표[18~22시],$U1408))</f>
        <v/>
      </c>
      <c r="S1408" s="20">
        <f>IF($U1408="","",INDEX(상세표[22~06시],$U1408))</f>
        <v/>
      </c>
      <c r="T1408" s="20">
        <f>IF($U1408="","",INDEX(상세표[기록 시간외],$U1408))</f>
        <v/>
      </c>
      <c r="U1408" s="4">
        <f>IFERROR(MATCH(1403,상세표[발송순번],0),"")</f>
        <v/>
      </c>
    </row>
    <row r="1409">
      <c r="J1409">
        <f>IF($U1409="","",INDEX(상세표[사번],$U1409)&amp;"")</f>
        <v/>
      </c>
      <c r="K1409">
        <f>IF($U1409="","",INDEX(상세표[성명],$U1409)&amp;"")</f>
        <v/>
      </c>
      <c r="L1409">
        <f>IF($U1409="","",INDEX(상세표[직위],$U1409)&amp;"")</f>
        <v/>
      </c>
      <c r="M1409">
        <f>IF($U1409="","",IF(ISNUMBER(INDEX(상세표[근무일자],$U1409)),TEXT(INDEX(상세표[근무일자],$U1409),"yyyy-mm-dd"),INDEX(상세표[근무일자],$U1409)&amp;""))</f>
        <v/>
      </c>
      <c r="N1409">
        <f>IF($U1409="","",IF(ISNUMBER(INDEX(상세표[시작],$U1409)),TEXT(INDEX(상세표[시작],$U1409),"yyyy-mm-dd hh:mm"),INDEX(상세표[시작],$U1409)&amp;""))</f>
        <v/>
      </c>
      <c r="O1409">
        <f>IF($U1409="","",IF(ISNUMBER(INDEX(상세표[종료],$U1409)),TEXT(INDEX(상세표[종료],$U1409),"yyyy-mm-dd hh:mm"),INDEX(상세표[종료],$U1409)&amp;""))</f>
        <v/>
      </c>
      <c r="P1409" s="20">
        <f>IF($U1409="","",INDEX(상세표[06~07시],$U1409))</f>
        <v/>
      </c>
      <c r="Q1409" s="20">
        <f>IF($U1409="","",INDEX(상세표[07~18시],$U1409))</f>
        <v/>
      </c>
      <c r="R1409" s="20">
        <f>IF($U1409="","",INDEX(상세표[18~22시],$U1409))</f>
        <v/>
      </c>
      <c r="S1409" s="20">
        <f>IF($U1409="","",INDEX(상세표[22~06시],$U1409))</f>
        <v/>
      </c>
      <c r="T1409" s="20">
        <f>IF($U1409="","",INDEX(상세표[기록 시간외],$U1409))</f>
        <v/>
      </c>
      <c r="U1409" s="4">
        <f>IFERROR(MATCH(1404,상세표[발송순번],0),"")</f>
        <v/>
      </c>
    </row>
    <row r="1410">
      <c r="J1410">
        <f>IF($U1410="","",INDEX(상세표[사번],$U1410)&amp;"")</f>
        <v/>
      </c>
      <c r="K1410">
        <f>IF($U1410="","",INDEX(상세표[성명],$U1410)&amp;"")</f>
        <v/>
      </c>
      <c r="L1410">
        <f>IF($U1410="","",INDEX(상세표[직위],$U1410)&amp;"")</f>
        <v/>
      </c>
      <c r="M1410">
        <f>IF($U1410="","",IF(ISNUMBER(INDEX(상세표[근무일자],$U1410)),TEXT(INDEX(상세표[근무일자],$U1410),"yyyy-mm-dd"),INDEX(상세표[근무일자],$U1410)&amp;""))</f>
        <v/>
      </c>
      <c r="N1410">
        <f>IF($U1410="","",IF(ISNUMBER(INDEX(상세표[시작],$U1410)),TEXT(INDEX(상세표[시작],$U1410),"yyyy-mm-dd hh:mm"),INDEX(상세표[시작],$U1410)&amp;""))</f>
        <v/>
      </c>
      <c r="O1410">
        <f>IF($U1410="","",IF(ISNUMBER(INDEX(상세표[종료],$U1410)),TEXT(INDEX(상세표[종료],$U1410),"yyyy-mm-dd hh:mm"),INDEX(상세표[종료],$U1410)&amp;""))</f>
        <v/>
      </c>
      <c r="P1410" s="20">
        <f>IF($U1410="","",INDEX(상세표[06~07시],$U1410))</f>
        <v/>
      </c>
      <c r="Q1410" s="20">
        <f>IF($U1410="","",INDEX(상세표[07~18시],$U1410))</f>
        <v/>
      </c>
      <c r="R1410" s="20">
        <f>IF($U1410="","",INDEX(상세표[18~22시],$U1410))</f>
        <v/>
      </c>
      <c r="S1410" s="20">
        <f>IF($U1410="","",INDEX(상세표[22~06시],$U1410))</f>
        <v/>
      </c>
      <c r="T1410" s="20">
        <f>IF($U1410="","",INDEX(상세표[기록 시간외],$U1410))</f>
        <v/>
      </c>
      <c r="U1410" s="4">
        <f>IFERROR(MATCH(1405,상세표[발송순번],0),"")</f>
        <v/>
      </c>
    </row>
    <row r="1411">
      <c r="J1411">
        <f>IF($U1411="","",INDEX(상세표[사번],$U1411)&amp;"")</f>
        <v/>
      </c>
      <c r="K1411">
        <f>IF($U1411="","",INDEX(상세표[성명],$U1411)&amp;"")</f>
        <v/>
      </c>
      <c r="L1411">
        <f>IF($U1411="","",INDEX(상세표[직위],$U1411)&amp;"")</f>
        <v/>
      </c>
      <c r="M1411">
        <f>IF($U1411="","",IF(ISNUMBER(INDEX(상세표[근무일자],$U1411)),TEXT(INDEX(상세표[근무일자],$U1411),"yyyy-mm-dd"),INDEX(상세표[근무일자],$U1411)&amp;""))</f>
        <v/>
      </c>
      <c r="N1411">
        <f>IF($U1411="","",IF(ISNUMBER(INDEX(상세표[시작],$U1411)),TEXT(INDEX(상세표[시작],$U1411),"yyyy-mm-dd hh:mm"),INDEX(상세표[시작],$U1411)&amp;""))</f>
        <v/>
      </c>
      <c r="O1411">
        <f>IF($U1411="","",IF(ISNUMBER(INDEX(상세표[종료],$U1411)),TEXT(INDEX(상세표[종료],$U1411),"yyyy-mm-dd hh:mm"),INDEX(상세표[종료],$U1411)&amp;""))</f>
        <v/>
      </c>
      <c r="P1411" s="20">
        <f>IF($U1411="","",INDEX(상세표[06~07시],$U1411))</f>
        <v/>
      </c>
      <c r="Q1411" s="20">
        <f>IF($U1411="","",INDEX(상세표[07~18시],$U1411))</f>
        <v/>
      </c>
      <c r="R1411" s="20">
        <f>IF($U1411="","",INDEX(상세표[18~22시],$U1411))</f>
        <v/>
      </c>
      <c r="S1411" s="20">
        <f>IF($U1411="","",INDEX(상세표[22~06시],$U1411))</f>
        <v/>
      </c>
      <c r="T1411" s="20">
        <f>IF($U1411="","",INDEX(상세표[기록 시간외],$U1411))</f>
        <v/>
      </c>
      <c r="U1411" s="4">
        <f>IFERROR(MATCH(1406,상세표[발송순번],0),"")</f>
        <v/>
      </c>
    </row>
    <row r="1412">
      <c r="J1412">
        <f>IF($U1412="","",INDEX(상세표[사번],$U1412)&amp;"")</f>
        <v/>
      </c>
      <c r="K1412">
        <f>IF($U1412="","",INDEX(상세표[성명],$U1412)&amp;"")</f>
        <v/>
      </c>
      <c r="L1412">
        <f>IF($U1412="","",INDEX(상세표[직위],$U1412)&amp;"")</f>
        <v/>
      </c>
      <c r="M1412">
        <f>IF($U1412="","",IF(ISNUMBER(INDEX(상세표[근무일자],$U1412)),TEXT(INDEX(상세표[근무일자],$U1412),"yyyy-mm-dd"),INDEX(상세표[근무일자],$U1412)&amp;""))</f>
        <v/>
      </c>
      <c r="N1412">
        <f>IF($U1412="","",IF(ISNUMBER(INDEX(상세표[시작],$U1412)),TEXT(INDEX(상세표[시작],$U1412),"yyyy-mm-dd hh:mm"),INDEX(상세표[시작],$U1412)&amp;""))</f>
        <v/>
      </c>
      <c r="O1412">
        <f>IF($U1412="","",IF(ISNUMBER(INDEX(상세표[종료],$U1412)),TEXT(INDEX(상세표[종료],$U1412),"yyyy-mm-dd hh:mm"),INDEX(상세표[종료],$U1412)&amp;""))</f>
        <v/>
      </c>
      <c r="P1412" s="20">
        <f>IF($U1412="","",INDEX(상세표[06~07시],$U1412))</f>
        <v/>
      </c>
      <c r="Q1412" s="20">
        <f>IF($U1412="","",INDEX(상세표[07~18시],$U1412))</f>
        <v/>
      </c>
      <c r="R1412" s="20">
        <f>IF($U1412="","",INDEX(상세표[18~22시],$U1412))</f>
        <v/>
      </c>
      <c r="S1412" s="20">
        <f>IF($U1412="","",INDEX(상세표[22~06시],$U1412))</f>
        <v/>
      </c>
      <c r="T1412" s="20">
        <f>IF($U1412="","",INDEX(상세표[기록 시간외],$U1412))</f>
        <v/>
      </c>
      <c r="U1412" s="4">
        <f>IFERROR(MATCH(1407,상세표[발송순번],0),"")</f>
        <v/>
      </c>
    </row>
    <row r="1413">
      <c r="J1413">
        <f>IF($U1413="","",INDEX(상세표[사번],$U1413)&amp;"")</f>
        <v/>
      </c>
      <c r="K1413">
        <f>IF($U1413="","",INDEX(상세표[성명],$U1413)&amp;"")</f>
        <v/>
      </c>
      <c r="L1413">
        <f>IF($U1413="","",INDEX(상세표[직위],$U1413)&amp;"")</f>
        <v/>
      </c>
      <c r="M1413">
        <f>IF($U1413="","",IF(ISNUMBER(INDEX(상세표[근무일자],$U1413)),TEXT(INDEX(상세표[근무일자],$U1413),"yyyy-mm-dd"),INDEX(상세표[근무일자],$U1413)&amp;""))</f>
        <v/>
      </c>
      <c r="N1413">
        <f>IF($U1413="","",IF(ISNUMBER(INDEX(상세표[시작],$U1413)),TEXT(INDEX(상세표[시작],$U1413),"yyyy-mm-dd hh:mm"),INDEX(상세표[시작],$U1413)&amp;""))</f>
        <v/>
      </c>
      <c r="O1413">
        <f>IF($U1413="","",IF(ISNUMBER(INDEX(상세표[종료],$U1413)),TEXT(INDEX(상세표[종료],$U1413),"yyyy-mm-dd hh:mm"),INDEX(상세표[종료],$U1413)&amp;""))</f>
        <v/>
      </c>
      <c r="P1413" s="20">
        <f>IF($U1413="","",INDEX(상세표[06~07시],$U1413))</f>
        <v/>
      </c>
      <c r="Q1413" s="20">
        <f>IF($U1413="","",INDEX(상세표[07~18시],$U1413))</f>
        <v/>
      </c>
      <c r="R1413" s="20">
        <f>IF($U1413="","",INDEX(상세표[18~22시],$U1413))</f>
        <v/>
      </c>
      <c r="S1413" s="20">
        <f>IF($U1413="","",INDEX(상세표[22~06시],$U1413))</f>
        <v/>
      </c>
      <c r="T1413" s="20">
        <f>IF($U1413="","",INDEX(상세표[기록 시간외],$U1413))</f>
        <v/>
      </c>
      <c r="U1413" s="4">
        <f>IFERROR(MATCH(1408,상세표[발송순번],0),"")</f>
        <v/>
      </c>
    </row>
    <row r="1414">
      <c r="J1414">
        <f>IF($U1414="","",INDEX(상세표[사번],$U1414)&amp;"")</f>
        <v/>
      </c>
      <c r="K1414">
        <f>IF($U1414="","",INDEX(상세표[성명],$U1414)&amp;"")</f>
        <v/>
      </c>
      <c r="L1414">
        <f>IF($U1414="","",INDEX(상세표[직위],$U1414)&amp;"")</f>
        <v/>
      </c>
      <c r="M1414">
        <f>IF($U1414="","",IF(ISNUMBER(INDEX(상세표[근무일자],$U1414)),TEXT(INDEX(상세표[근무일자],$U1414),"yyyy-mm-dd"),INDEX(상세표[근무일자],$U1414)&amp;""))</f>
        <v/>
      </c>
      <c r="N1414">
        <f>IF($U1414="","",IF(ISNUMBER(INDEX(상세표[시작],$U1414)),TEXT(INDEX(상세표[시작],$U1414),"yyyy-mm-dd hh:mm"),INDEX(상세표[시작],$U1414)&amp;""))</f>
        <v/>
      </c>
      <c r="O1414">
        <f>IF($U1414="","",IF(ISNUMBER(INDEX(상세표[종료],$U1414)),TEXT(INDEX(상세표[종료],$U1414),"yyyy-mm-dd hh:mm"),INDEX(상세표[종료],$U1414)&amp;""))</f>
        <v/>
      </c>
      <c r="P1414" s="20">
        <f>IF($U1414="","",INDEX(상세표[06~07시],$U1414))</f>
        <v/>
      </c>
      <c r="Q1414" s="20">
        <f>IF($U1414="","",INDEX(상세표[07~18시],$U1414))</f>
        <v/>
      </c>
      <c r="R1414" s="20">
        <f>IF($U1414="","",INDEX(상세표[18~22시],$U1414))</f>
        <v/>
      </c>
      <c r="S1414" s="20">
        <f>IF($U1414="","",INDEX(상세표[22~06시],$U1414))</f>
        <v/>
      </c>
      <c r="T1414" s="20">
        <f>IF($U1414="","",INDEX(상세표[기록 시간외],$U1414))</f>
        <v/>
      </c>
      <c r="U1414" s="4">
        <f>IFERROR(MATCH(1409,상세표[발송순번],0),"")</f>
        <v/>
      </c>
    </row>
    <row r="1415">
      <c r="J1415">
        <f>IF($U1415="","",INDEX(상세표[사번],$U1415)&amp;"")</f>
        <v/>
      </c>
      <c r="K1415">
        <f>IF($U1415="","",INDEX(상세표[성명],$U1415)&amp;"")</f>
        <v/>
      </c>
      <c r="L1415">
        <f>IF($U1415="","",INDEX(상세표[직위],$U1415)&amp;"")</f>
        <v/>
      </c>
      <c r="M1415">
        <f>IF($U1415="","",IF(ISNUMBER(INDEX(상세표[근무일자],$U1415)),TEXT(INDEX(상세표[근무일자],$U1415),"yyyy-mm-dd"),INDEX(상세표[근무일자],$U1415)&amp;""))</f>
        <v/>
      </c>
      <c r="N1415">
        <f>IF($U1415="","",IF(ISNUMBER(INDEX(상세표[시작],$U1415)),TEXT(INDEX(상세표[시작],$U1415),"yyyy-mm-dd hh:mm"),INDEX(상세표[시작],$U1415)&amp;""))</f>
        <v/>
      </c>
      <c r="O1415">
        <f>IF($U1415="","",IF(ISNUMBER(INDEX(상세표[종료],$U1415)),TEXT(INDEX(상세표[종료],$U1415),"yyyy-mm-dd hh:mm"),INDEX(상세표[종료],$U1415)&amp;""))</f>
        <v/>
      </c>
      <c r="P1415" s="20">
        <f>IF($U1415="","",INDEX(상세표[06~07시],$U1415))</f>
        <v/>
      </c>
      <c r="Q1415" s="20">
        <f>IF($U1415="","",INDEX(상세표[07~18시],$U1415))</f>
        <v/>
      </c>
      <c r="R1415" s="20">
        <f>IF($U1415="","",INDEX(상세표[18~22시],$U1415))</f>
        <v/>
      </c>
      <c r="S1415" s="20">
        <f>IF($U1415="","",INDEX(상세표[22~06시],$U1415))</f>
        <v/>
      </c>
      <c r="T1415" s="20">
        <f>IF($U1415="","",INDEX(상세표[기록 시간외],$U1415))</f>
        <v/>
      </c>
      <c r="U1415" s="4">
        <f>IFERROR(MATCH(1410,상세표[발송순번],0),"")</f>
        <v/>
      </c>
    </row>
    <row r="1416">
      <c r="J1416">
        <f>IF($U1416="","",INDEX(상세표[사번],$U1416)&amp;"")</f>
        <v/>
      </c>
      <c r="K1416">
        <f>IF($U1416="","",INDEX(상세표[성명],$U1416)&amp;"")</f>
        <v/>
      </c>
      <c r="L1416">
        <f>IF($U1416="","",INDEX(상세표[직위],$U1416)&amp;"")</f>
        <v/>
      </c>
      <c r="M1416">
        <f>IF($U1416="","",IF(ISNUMBER(INDEX(상세표[근무일자],$U1416)),TEXT(INDEX(상세표[근무일자],$U1416),"yyyy-mm-dd"),INDEX(상세표[근무일자],$U1416)&amp;""))</f>
        <v/>
      </c>
      <c r="N1416">
        <f>IF($U1416="","",IF(ISNUMBER(INDEX(상세표[시작],$U1416)),TEXT(INDEX(상세표[시작],$U1416),"yyyy-mm-dd hh:mm"),INDEX(상세표[시작],$U1416)&amp;""))</f>
        <v/>
      </c>
      <c r="O1416">
        <f>IF($U1416="","",IF(ISNUMBER(INDEX(상세표[종료],$U1416)),TEXT(INDEX(상세표[종료],$U1416),"yyyy-mm-dd hh:mm"),INDEX(상세표[종료],$U1416)&amp;""))</f>
        <v/>
      </c>
      <c r="P1416" s="20">
        <f>IF($U1416="","",INDEX(상세표[06~07시],$U1416))</f>
        <v/>
      </c>
      <c r="Q1416" s="20">
        <f>IF($U1416="","",INDEX(상세표[07~18시],$U1416))</f>
        <v/>
      </c>
      <c r="R1416" s="20">
        <f>IF($U1416="","",INDEX(상세표[18~22시],$U1416))</f>
        <v/>
      </c>
      <c r="S1416" s="20">
        <f>IF($U1416="","",INDEX(상세표[22~06시],$U1416))</f>
        <v/>
      </c>
      <c r="T1416" s="20">
        <f>IF($U1416="","",INDEX(상세표[기록 시간외],$U1416))</f>
        <v/>
      </c>
      <c r="U1416" s="4">
        <f>IFERROR(MATCH(1411,상세표[발송순번],0),"")</f>
        <v/>
      </c>
    </row>
    <row r="1417">
      <c r="J1417">
        <f>IF($U1417="","",INDEX(상세표[사번],$U1417)&amp;"")</f>
        <v/>
      </c>
      <c r="K1417">
        <f>IF($U1417="","",INDEX(상세표[성명],$U1417)&amp;"")</f>
        <v/>
      </c>
      <c r="L1417">
        <f>IF($U1417="","",INDEX(상세표[직위],$U1417)&amp;"")</f>
        <v/>
      </c>
      <c r="M1417">
        <f>IF($U1417="","",IF(ISNUMBER(INDEX(상세표[근무일자],$U1417)),TEXT(INDEX(상세표[근무일자],$U1417),"yyyy-mm-dd"),INDEX(상세표[근무일자],$U1417)&amp;""))</f>
        <v/>
      </c>
      <c r="N1417">
        <f>IF($U1417="","",IF(ISNUMBER(INDEX(상세표[시작],$U1417)),TEXT(INDEX(상세표[시작],$U1417),"yyyy-mm-dd hh:mm"),INDEX(상세표[시작],$U1417)&amp;""))</f>
        <v/>
      </c>
      <c r="O1417">
        <f>IF($U1417="","",IF(ISNUMBER(INDEX(상세표[종료],$U1417)),TEXT(INDEX(상세표[종료],$U1417),"yyyy-mm-dd hh:mm"),INDEX(상세표[종료],$U1417)&amp;""))</f>
        <v/>
      </c>
      <c r="P1417" s="20">
        <f>IF($U1417="","",INDEX(상세표[06~07시],$U1417))</f>
        <v/>
      </c>
      <c r="Q1417" s="20">
        <f>IF($U1417="","",INDEX(상세표[07~18시],$U1417))</f>
        <v/>
      </c>
      <c r="R1417" s="20">
        <f>IF($U1417="","",INDEX(상세표[18~22시],$U1417))</f>
        <v/>
      </c>
      <c r="S1417" s="20">
        <f>IF($U1417="","",INDEX(상세표[22~06시],$U1417))</f>
        <v/>
      </c>
      <c r="T1417" s="20">
        <f>IF($U1417="","",INDEX(상세표[기록 시간외],$U1417))</f>
        <v/>
      </c>
      <c r="U1417" s="4">
        <f>IFERROR(MATCH(1412,상세표[발송순번],0),"")</f>
        <v/>
      </c>
    </row>
    <row r="1418">
      <c r="J1418">
        <f>IF($U1418="","",INDEX(상세표[사번],$U1418)&amp;"")</f>
        <v/>
      </c>
      <c r="K1418">
        <f>IF($U1418="","",INDEX(상세표[성명],$U1418)&amp;"")</f>
        <v/>
      </c>
      <c r="L1418">
        <f>IF($U1418="","",INDEX(상세표[직위],$U1418)&amp;"")</f>
        <v/>
      </c>
      <c r="M1418">
        <f>IF($U1418="","",IF(ISNUMBER(INDEX(상세표[근무일자],$U1418)),TEXT(INDEX(상세표[근무일자],$U1418),"yyyy-mm-dd"),INDEX(상세표[근무일자],$U1418)&amp;""))</f>
        <v/>
      </c>
      <c r="N1418">
        <f>IF($U1418="","",IF(ISNUMBER(INDEX(상세표[시작],$U1418)),TEXT(INDEX(상세표[시작],$U1418),"yyyy-mm-dd hh:mm"),INDEX(상세표[시작],$U1418)&amp;""))</f>
        <v/>
      </c>
      <c r="O1418">
        <f>IF($U1418="","",IF(ISNUMBER(INDEX(상세표[종료],$U1418)),TEXT(INDEX(상세표[종료],$U1418),"yyyy-mm-dd hh:mm"),INDEX(상세표[종료],$U1418)&amp;""))</f>
        <v/>
      </c>
      <c r="P1418" s="20">
        <f>IF($U1418="","",INDEX(상세표[06~07시],$U1418))</f>
        <v/>
      </c>
      <c r="Q1418" s="20">
        <f>IF($U1418="","",INDEX(상세표[07~18시],$U1418))</f>
        <v/>
      </c>
      <c r="R1418" s="20">
        <f>IF($U1418="","",INDEX(상세표[18~22시],$U1418))</f>
        <v/>
      </c>
      <c r="S1418" s="20">
        <f>IF($U1418="","",INDEX(상세표[22~06시],$U1418))</f>
        <v/>
      </c>
      <c r="T1418" s="20">
        <f>IF($U1418="","",INDEX(상세표[기록 시간외],$U1418))</f>
        <v/>
      </c>
      <c r="U1418" s="4">
        <f>IFERROR(MATCH(1413,상세표[발송순번],0),"")</f>
        <v/>
      </c>
    </row>
    <row r="1419">
      <c r="J1419">
        <f>IF($U1419="","",INDEX(상세표[사번],$U1419)&amp;"")</f>
        <v/>
      </c>
      <c r="K1419">
        <f>IF($U1419="","",INDEX(상세표[성명],$U1419)&amp;"")</f>
        <v/>
      </c>
      <c r="L1419">
        <f>IF($U1419="","",INDEX(상세표[직위],$U1419)&amp;"")</f>
        <v/>
      </c>
      <c r="M1419">
        <f>IF($U1419="","",IF(ISNUMBER(INDEX(상세표[근무일자],$U1419)),TEXT(INDEX(상세표[근무일자],$U1419),"yyyy-mm-dd"),INDEX(상세표[근무일자],$U1419)&amp;""))</f>
        <v/>
      </c>
      <c r="N1419">
        <f>IF($U1419="","",IF(ISNUMBER(INDEX(상세표[시작],$U1419)),TEXT(INDEX(상세표[시작],$U1419),"yyyy-mm-dd hh:mm"),INDEX(상세표[시작],$U1419)&amp;""))</f>
        <v/>
      </c>
      <c r="O1419">
        <f>IF($U1419="","",IF(ISNUMBER(INDEX(상세표[종료],$U1419)),TEXT(INDEX(상세표[종료],$U1419),"yyyy-mm-dd hh:mm"),INDEX(상세표[종료],$U1419)&amp;""))</f>
        <v/>
      </c>
      <c r="P1419" s="20">
        <f>IF($U1419="","",INDEX(상세표[06~07시],$U1419))</f>
        <v/>
      </c>
      <c r="Q1419" s="20">
        <f>IF($U1419="","",INDEX(상세표[07~18시],$U1419))</f>
        <v/>
      </c>
      <c r="R1419" s="20">
        <f>IF($U1419="","",INDEX(상세표[18~22시],$U1419))</f>
        <v/>
      </c>
      <c r="S1419" s="20">
        <f>IF($U1419="","",INDEX(상세표[22~06시],$U1419))</f>
        <v/>
      </c>
      <c r="T1419" s="20">
        <f>IF($U1419="","",INDEX(상세표[기록 시간외],$U1419))</f>
        <v/>
      </c>
      <c r="U1419" s="4">
        <f>IFERROR(MATCH(1414,상세표[발송순번],0),"")</f>
        <v/>
      </c>
    </row>
    <row r="1420">
      <c r="J1420">
        <f>IF($U1420="","",INDEX(상세표[사번],$U1420)&amp;"")</f>
        <v/>
      </c>
      <c r="K1420">
        <f>IF($U1420="","",INDEX(상세표[성명],$U1420)&amp;"")</f>
        <v/>
      </c>
      <c r="L1420">
        <f>IF($U1420="","",INDEX(상세표[직위],$U1420)&amp;"")</f>
        <v/>
      </c>
      <c r="M1420">
        <f>IF($U1420="","",IF(ISNUMBER(INDEX(상세표[근무일자],$U1420)),TEXT(INDEX(상세표[근무일자],$U1420),"yyyy-mm-dd"),INDEX(상세표[근무일자],$U1420)&amp;""))</f>
        <v/>
      </c>
      <c r="N1420">
        <f>IF($U1420="","",IF(ISNUMBER(INDEX(상세표[시작],$U1420)),TEXT(INDEX(상세표[시작],$U1420),"yyyy-mm-dd hh:mm"),INDEX(상세표[시작],$U1420)&amp;""))</f>
        <v/>
      </c>
      <c r="O1420">
        <f>IF($U1420="","",IF(ISNUMBER(INDEX(상세표[종료],$U1420)),TEXT(INDEX(상세표[종료],$U1420),"yyyy-mm-dd hh:mm"),INDEX(상세표[종료],$U1420)&amp;""))</f>
        <v/>
      </c>
      <c r="P1420" s="20">
        <f>IF($U1420="","",INDEX(상세표[06~07시],$U1420))</f>
        <v/>
      </c>
      <c r="Q1420" s="20">
        <f>IF($U1420="","",INDEX(상세표[07~18시],$U1420))</f>
        <v/>
      </c>
      <c r="R1420" s="20">
        <f>IF($U1420="","",INDEX(상세표[18~22시],$U1420))</f>
        <v/>
      </c>
      <c r="S1420" s="20">
        <f>IF($U1420="","",INDEX(상세표[22~06시],$U1420))</f>
        <v/>
      </c>
      <c r="T1420" s="20">
        <f>IF($U1420="","",INDEX(상세표[기록 시간외],$U1420))</f>
        <v/>
      </c>
      <c r="U1420" s="4">
        <f>IFERROR(MATCH(1415,상세표[발송순번],0),"")</f>
        <v/>
      </c>
    </row>
    <row r="1421">
      <c r="J1421">
        <f>IF($U1421="","",INDEX(상세표[사번],$U1421)&amp;"")</f>
        <v/>
      </c>
      <c r="K1421">
        <f>IF($U1421="","",INDEX(상세표[성명],$U1421)&amp;"")</f>
        <v/>
      </c>
      <c r="L1421">
        <f>IF($U1421="","",INDEX(상세표[직위],$U1421)&amp;"")</f>
        <v/>
      </c>
      <c r="M1421">
        <f>IF($U1421="","",IF(ISNUMBER(INDEX(상세표[근무일자],$U1421)),TEXT(INDEX(상세표[근무일자],$U1421),"yyyy-mm-dd"),INDEX(상세표[근무일자],$U1421)&amp;""))</f>
        <v/>
      </c>
      <c r="N1421">
        <f>IF($U1421="","",IF(ISNUMBER(INDEX(상세표[시작],$U1421)),TEXT(INDEX(상세표[시작],$U1421),"yyyy-mm-dd hh:mm"),INDEX(상세표[시작],$U1421)&amp;""))</f>
        <v/>
      </c>
      <c r="O1421">
        <f>IF($U1421="","",IF(ISNUMBER(INDEX(상세표[종료],$U1421)),TEXT(INDEX(상세표[종료],$U1421),"yyyy-mm-dd hh:mm"),INDEX(상세표[종료],$U1421)&amp;""))</f>
        <v/>
      </c>
      <c r="P1421" s="20">
        <f>IF($U1421="","",INDEX(상세표[06~07시],$U1421))</f>
        <v/>
      </c>
      <c r="Q1421" s="20">
        <f>IF($U1421="","",INDEX(상세표[07~18시],$U1421))</f>
        <v/>
      </c>
      <c r="R1421" s="20">
        <f>IF($U1421="","",INDEX(상세표[18~22시],$U1421))</f>
        <v/>
      </c>
      <c r="S1421" s="20">
        <f>IF($U1421="","",INDEX(상세표[22~06시],$U1421))</f>
        <v/>
      </c>
      <c r="T1421" s="20">
        <f>IF($U1421="","",INDEX(상세표[기록 시간외],$U1421))</f>
        <v/>
      </c>
      <c r="U1421" s="4">
        <f>IFERROR(MATCH(1416,상세표[발송순번],0),"")</f>
        <v/>
      </c>
    </row>
    <row r="1422">
      <c r="J1422">
        <f>IF($U1422="","",INDEX(상세표[사번],$U1422)&amp;"")</f>
        <v/>
      </c>
      <c r="K1422">
        <f>IF($U1422="","",INDEX(상세표[성명],$U1422)&amp;"")</f>
        <v/>
      </c>
      <c r="L1422">
        <f>IF($U1422="","",INDEX(상세표[직위],$U1422)&amp;"")</f>
        <v/>
      </c>
      <c r="M1422">
        <f>IF($U1422="","",IF(ISNUMBER(INDEX(상세표[근무일자],$U1422)),TEXT(INDEX(상세표[근무일자],$U1422),"yyyy-mm-dd"),INDEX(상세표[근무일자],$U1422)&amp;""))</f>
        <v/>
      </c>
      <c r="N1422">
        <f>IF($U1422="","",IF(ISNUMBER(INDEX(상세표[시작],$U1422)),TEXT(INDEX(상세표[시작],$U1422),"yyyy-mm-dd hh:mm"),INDEX(상세표[시작],$U1422)&amp;""))</f>
        <v/>
      </c>
      <c r="O1422">
        <f>IF($U1422="","",IF(ISNUMBER(INDEX(상세표[종료],$U1422)),TEXT(INDEX(상세표[종료],$U1422),"yyyy-mm-dd hh:mm"),INDEX(상세표[종료],$U1422)&amp;""))</f>
        <v/>
      </c>
      <c r="P1422" s="20">
        <f>IF($U1422="","",INDEX(상세표[06~07시],$U1422))</f>
        <v/>
      </c>
      <c r="Q1422" s="20">
        <f>IF($U1422="","",INDEX(상세표[07~18시],$U1422))</f>
        <v/>
      </c>
      <c r="R1422" s="20">
        <f>IF($U1422="","",INDEX(상세표[18~22시],$U1422))</f>
        <v/>
      </c>
      <c r="S1422" s="20">
        <f>IF($U1422="","",INDEX(상세표[22~06시],$U1422))</f>
        <v/>
      </c>
      <c r="T1422" s="20">
        <f>IF($U1422="","",INDEX(상세표[기록 시간외],$U1422))</f>
        <v/>
      </c>
      <c r="U1422" s="4">
        <f>IFERROR(MATCH(1417,상세표[발송순번],0),"")</f>
        <v/>
      </c>
    </row>
    <row r="1423">
      <c r="J1423">
        <f>IF($U1423="","",INDEX(상세표[사번],$U1423)&amp;"")</f>
        <v/>
      </c>
      <c r="K1423">
        <f>IF($U1423="","",INDEX(상세표[성명],$U1423)&amp;"")</f>
        <v/>
      </c>
      <c r="L1423">
        <f>IF($U1423="","",INDEX(상세표[직위],$U1423)&amp;"")</f>
        <v/>
      </c>
      <c r="M1423">
        <f>IF($U1423="","",IF(ISNUMBER(INDEX(상세표[근무일자],$U1423)),TEXT(INDEX(상세표[근무일자],$U1423),"yyyy-mm-dd"),INDEX(상세표[근무일자],$U1423)&amp;""))</f>
        <v/>
      </c>
      <c r="N1423">
        <f>IF($U1423="","",IF(ISNUMBER(INDEX(상세표[시작],$U1423)),TEXT(INDEX(상세표[시작],$U1423),"yyyy-mm-dd hh:mm"),INDEX(상세표[시작],$U1423)&amp;""))</f>
        <v/>
      </c>
      <c r="O1423">
        <f>IF($U1423="","",IF(ISNUMBER(INDEX(상세표[종료],$U1423)),TEXT(INDEX(상세표[종료],$U1423),"yyyy-mm-dd hh:mm"),INDEX(상세표[종료],$U1423)&amp;""))</f>
        <v/>
      </c>
      <c r="P1423" s="20">
        <f>IF($U1423="","",INDEX(상세표[06~07시],$U1423))</f>
        <v/>
      </c>
      <c r="Q1423" s="20">
        <f>IF($U1423="","",INDEX(상세표[07~18시],$U1423))</f>
        <v/>
      </c>
      <c r="R1423" s="20">
        <f>IF($U1423="","",INDEX(상세표[18~22시],$U1423))</f>
        <v/>
      </c>
      <c r="S1423" s="20">
        <f>IF($U1423="","",INDEX(상세표[22~06시],$U1423))</f>
        <v/>
      </c>
      <c r="T1423" s="20">
        <f>IF($U1423="","",INDEX(상세표[기록 시간외],$U1423))</f>
        <v/>
      </c>
      <c r="U1423" s="4">
        <f>IFERROR(MATCH(1418,상세표[발송순번],0),"")</f>
        <v/>
      </c>
    </row>
    <row r="1424">
      <c r="J1424">
        <f>IF($U1424="","",INDEX(상세표[사번],$U1424)&amp;"")</f>
        <v/>
      </c>
      <c r="K1424">
        <f>IF($U1424="","",INDEX(상세표[성명],$U1424)&amp;"")</f>
        <v/>
      </c>
      <c r="L1424">
        <f>IF($U1424="","",INDEX(상세표[직위],$U1424)&amp;"")</f>
        <v/>
      </c>
      <c r="M1424">
        <f>IF($U1424="","",IF(ISNUMBER(INDEX(상세표[근무일자],$U1424)),TEXT(INDEX(상세표[근무일자],$U1424),"yyyy-mm-dd"),INDEX(상세표[근무일자],$U1424)&amp;""))</f>
        <v/>
      </c>
      <c r="N1424">
        <f>IF($U1424="","",IF(ISNUMBER(INDEX(상세표[시작],$U1424)),TEXT(INDEX(상세표[시작],$U1424),"yyyy-mm-dd hh:mm"),INDEX(상세표[시작],$U1424)&amp;""))</f>
        <v/>
      </c>
      <c r="O1424">
        <f>IF($U1424="","",IF(ISNUMBER(INDEX(상세표[종료],$U1424)),TEXT(INDEX(상세표[종료],$U1424),"yyyy-mm-dd hh:mm"),INDEX(상세표[종료],$U1424)&amp;""))</f>
        <v/>
      </c>
      <c r="P1424" s="20">
        <f>IF($U1424="","",INDEX(상세표[06~07시],$U1424))</f>
        <v/>
      </c>
      <c r="Q1424" s="20">
        <f>IF($U1424="","",INDEX(상세표[07~18시],$U1424))</f>
        <v/>
      </c>
      <c r="R1424" s="20">
        <f>IF($U1424="","",INDEX(상세표[18~22시],$U1424))</f>
        <v/>
      </c>
      <c r="S1424" s="20">
        <f>IF($U1424="","",INDEX(상세표[22~06시],$U1424))</f>
        <v/>
      </c>
      <c r="T1424" s="20">
        <f>IF($U1424="","",INDEX(상세표[기록 시간외],$U1424))</f>
        <v/>
      </c>
      <c r="U1424" s="4">
        <f>IFERROR(MATCH(1419,상세표[발송순번],0),"")</f>
        <v/>
      </c>
    </row>
    <row r="1425">
      <c r="J1425">
        <f>IF($U1425="","",INDEX(상세표[사번],$U1425)&amp;"")</f>
        <v/>
      </c>
      <c r="K1425">
        <f>IF($U1425="","",INDEX(상세표[성명],$U1425)&amp;"")</f>
        <v/>
      </c>
      <c r="L1425">
        <f>IF($U1425="","",INDEX(상세표[직위],$U1425)&amp;"")</f>
        <v/>
      </c>
      <c r="M1425">
        <f>IF($U1425="","",IF(ISNUMBER(INDEX(상세표[근무일자],$U1425)),TEXT(INDEX(상세표[근무일자],$U1425),"yyyy-mm-dd"),INDEX(상세표[근무일자],$U1425)&amp;""))</f>
        <v/>
      </c>
      <c r="N1425">
        <f>IF($U1425="","",IF(ISNUMBER(INDEX(상세표[시작],$U1425)),TEXT(INDEX(상세표[시작],$U1425),"yyyy-mm-dd hh:mm"),INDEX(상세표[시작],$U1425)&amp;""))</f>
        <v/>
      </c>
      <c r="O1425">
        <f>IF($U1425="","",IF(ISNUMBER(INDEX(상세표[종료],$U1425)),TEXT(INDEX(상세표[종료],$U1425),"yyyy-mm-dd hh:mm"),INDEX(상세표[종료],$U1425)&amp;""))</f>
        <v/>
      </c>
      <c r="P1425" s="20">
        <f>IF($U1425="","",INDEX(상세표[06~07시],$U1425))</f>
        <v/>
      </c>
      <c r="Q1425" s="20">
        <f>IF($U1425="","",INDEX(상세표[07~18시],$U1425))</f>
        <v/>
      </c>
      <c r="R1425" s="20">
        <f>IF($U1425="","",INDEX(상세표[18~22시],$U1425))</f>
        <v/>
      </c>
      <c r="S1425" s="20">
        <f>IF($U1425="","",INDEX(상세표[22~06시],$U1425))</f>
        <v/>
      </c>
      <c r="T1425" s="20">
        <f>IF($U1425="","",INDEX(상세표[기록 시간외],$U1425))</f>
        <v/>
      </c>
      <c r="U1425" s="4">
        <f>IFERROR(MATCH(1420,상세표[발송순번],0),"")</f>
        <v/>
      </c>
    </row>
    <row r="1426">
      <c r="J1426">
        <f>IF($U1426="","",INDEX(상세표[사번],$U1426)&amp;"")</f>
        <v/>
      </c>
      <c r="K1426">
        <f>IF($U1426="","",INDEX(상세표[성명],$U1426)&amp;"")</f>
        <v/>
      </c>
      <c r="L1426">
        <f>IF($U1426="","",INDEX(상세표[직위],$U1426)&amp;"")</f>
        <v/>
      </c>
      <c r="M1426">
        <f>IF($U1426="","",IF(ISNUMBER(INDEX(상세표[근무일자],$U1426)),TEXT(INDEX(상세표[근무일자],$U1426),"yyyy-mm-dd"),INDEX(상세표[근무일자],$U1426)&amp;""))</f>
        <v/>
      </c>
      <c r="N1426">
        <f>IF($U1426="","",IF(ISNUMBER(INDEX(상세표[시작],$U1426)),TEXT(INDEX(상세표[시작],$U1426),"yyyy-mm-dd hh:mm"),INDEX(상세표[시작],$U1426)&amp;""))</f>
        <v/>
      </c>
      <c r="O1426">
        <f>IF($U1426="","",IF(ISNUMBER(INDEX(상세표[종료],$U1426)),TEXT(INDEX(상세표[종료],$U1426),"yyyy-mm-dd hh:mm"),INDEX(상세표[종료],$U1426)&amp;""))</f>
        <v/>
      </c>
      <c r="P1426" s="20">
        <f>IF($U1426="","",INDEX(상세표[06~07시],$U1426))</f>
        <v/>
      </c>
      <c r="Q1426" s="20">
        <f>IF($U1426="","",INDEX(상세표[07~18시],$U1426))</f>
        <v/>
      </c>
      <c r="R1426" s="20">
        <f>IF($U1426="","",INDEX(상세표[18~22시],$U1426))</f>
        <v/>
      </c>
      <c r="S1426" s="20">
        <f>IF($U1426="","",INDEX(상세표[22~06시],$U1426))</f>
        <v/>
      </c>
      <c r="T1426" s="20">
        <f>IF($U1426="","",INDEX(상세표[기록 시간외],$U1426))</f>
        <v/>
      </c>
      <c r="U1426" s="4">
        <f>IFERROR(MATCH(1421,상세표[발송순번],0),"")</f>
        <v/>
      </c>
    </row>
    <row r="1427">
      <c r="J1427">
        <f>IF($U1427="","",INDEX(상세표[사번],$U1427)&amp;"")</f>
        <v/>
      </c>
      <c r="K1427">
        <f>IF($U1427="","",INDEX(상세표[성명],$U1427)&amp;"")</f>
        <v/>
      </c>
      <c r="L1427">
        <f>IF($U1427="","",INDEX(상세표[직위],$U1427)&amp;"")</f>
        <v/>
      </c>
      <c r="M1427">
        <f>IF($U1427="","",IF(ISNUMBER(INDEX(상세표[근무일자],$U1427)),TEXT(INDEX(상세표[근무일자],$U1427),"yyyy-mm-dd"),INDEX(상세표[근무일자],$U1427)&amp;""))</f>
        <v/>
      </c>
      <c r="N1427">
        <f>IF($U1427="","",IF(ISNUMBER(INDEX(상세표[시작],$U1427)),TEXT(INDEX(상세표[시작],$U1427),"yyyy-mm-dd hh:mm"),INDEX(상세표[시작],$U1427)&amp;""))</f>
        <v/>
      </c>
      <c r="O1427">
        <f>IF($U1427="","",IF(ISNUMBER(INDEX(상세표[종료],$U1427)),TEXT(INDEX(상세표[종료],$U1427),"yyyy-mm-dd hh:mm"),INDEX(상세표[종료],$U1427)&amp;""))</f>
        <v/>
      </c>
      <c r="P1427" s="20">
        <f>IF($U1427="","",INDEX(상세표[06~07시],$U1427))</f>
        <v/>
      </c>
      <c r="Q1427" s="20">
        <f>IF($U1427="","",INDEX(상세표[07~18시],$U1427))</f>
        <v/>
      </c>
      <c r="R1427" s="20">
        <f>IF($U1427="","",INDEX(상세표[18~22시],$U1427))</f>
        <v/>
      </c>
      <c r="S1427" s="20">
        <f>IF($U1427="","",INDEX(상세표[22~06시],$U1427))</f>
        <v/>
      </c>
      <c r="T1427" s="20">
        <f>IF($U1427="","",INDEX(상세표[기록 시간외],$U1427))</f>
        <v/>
      </c>
      <c r="U1427" s="4">
        <f>IFERROR(MATCH(1422,상세표[발송순번],0),"")</f>
        <v/>
      </c>
    </row>
    <row r="1428">
      <c r="J1428">
        <f>IF($U1428="","",INDEX(상세표[사번],$U1428)&amp;"")</f>
        <v/>
      </c>
      <c r="K1428">
        <f>IF($U1428="","",INDEX(상세표[성명],$U1428)&amp;"")</f>
        <v/>
      </c>
      <c r="L1428">
        <f>IF($U1428="","",INDEX(상세표[직위],$U1428)&amp;"")</f>
        <v/>
      </c>
      <c r="M1428">
        <f>IF($U1428="","",IF(ISNUMBER(INDEX(상세표[근무일자],$U1428)),TEXT(INDEX(상세표[근무일자],$U1428),"yyyy-mm-dd"),INDEX(상세표[근무일자],$U1428)&amp;""))</f>
        <v/>
      </c>
      <c r="N1428">
        <f>IF($U1428="","",IF(ISNUMBER(INDEX(상세표[시작],$U1428)),TEXT(INDEX(상세표[시작],$U1428),"yyyy-mm-dd hh:mm"),INDEX(상세표[시작],$U1428)&amp;""))</f>
        <v/>
      </c>
      <c r="O1428">
        <f>IF($U1428="","",IF(ISNUMBER(INDEX(상세표[종료],$U1428)),TEXT(INDEX(상세표[종료],$U1428),"yyyy-mm-dd hh:mm"),INDEX(상세표[종료],$U1428)&amp;""))</f>
        <v/>
      </c>
      <c r="P1428" s="20">
        <f>IF($U1428="","",INDEX(상세표[06~07시],$U1428))</f>
        <v/>
      </c>
      <c r="Q1428" s="20">
        <f>IF($U1428="","",INDEX(상세표[07~18시],$U1428))</f>
        <v/>
      </c>
      <c r="R1428" s="20">
        <f>IF($U1428="","",INDEX(상세표[18~22시],$U1428))</f>
        <v/>
      </c>
      <c r="S1428" s="20">
        <f>IF($U1428="","",INDEX(상세표[22~06시],$U1428))</f>
        <v/>
      </c>
      <c r="T1428" s="20">
        <f>IF($U1428="","",INDEX(상세표[기록 시간외],$U1428))</f>
        <v/>
      </c>
      <c r="U1428" s="4">
        <f>IFERROR(MATCH(1423,상세표[발송순번],0),"")</f>
        <v/>
      </c>
    </row>
    <row r="1429">
      <c r="J1429">
        <f>IF($U1429="","",INDEX(상세표[사번],$U1429)&amp;"")</f>
        <v/>
      </c>
      <c r="K1429">
        <f>IF($U1429="","",INDEX(상세표[성명],$U1429)&amp;"")</f>
        <v/>
      </c>
      <c r="L1429">
        <f>IF($U1429="","",INDEX(상세표[직위],$U1429)&amp;"")</f>
        <v/>
      </c>
      <c r="M1429">
        <f>IF($U1429="","",IF(ISNUMBER(INDEX(상세표[근무일자],$U1429)),TEXT(INDEX(상세표[근무일자],$U1429),"yyyy-mm-dd"),INDEX(상세표[근무일자],$U1429)&amp;""))</f>
        <v/>
      </c>
      <c r="N1429">
        <f>IF($U1429="","",IF(ISNUMBER(INDEX(상세표[시작],$U1429)),TEXT(INDEX(상세표[시작],$U1429),"yyyy-mm-dd hh:mm"),INDEX(상세표[시작],$U1429)&amp;""))</f>
        <v/>
      </c>
      <c r="O1429">
        <f>IF($U1429="","",IF(ISNUMBER(INDEX(상세표[종료],$U1429)),TEXT(INDEX(상세표[종료],$U1429),"yyyy-mm-dd hh:mm"),INDEX(상세표[종료],$U1429)&amp;""))</f>
        <v/>
      </c>
      <c r="P1429" s="20">
        <f>IF($U1429="","",INDEX(상세표[06~07시],$U1429))</f>
        <v/>
      </c>
      <c r="Q1429" s="20">
        <f>IF($U1429="","",INDEX(상세표[07~18시],$U1429))</f>
        <v/>
      </c>
      <c r="R1429" s="20">
        <f>IF($U1429="","",INDEX(상세표[18~22시],$U1429))</f>
        <v/>
      </c>
      <c r="S1429" s="20">
        <f>IF($U1429="","",INDEX(상세표[22~06시],$U1429))</f>
        <v/>
      </c>
      <c r="T1429" s="20">
        <f>IF($U1429="","",INDEX(상세표[기록 시간외],$U1429))</f>
        <v/>
      </c>
      <c r="U1429" s="4">
        <f>IFERROR(MATCH(1424,상세표[발송순번],0),"")</f>
        <v/>
      </c>
    </row>
    <row r="1430">
      <c r="J1430">
        <f>IF($U1430="","",INDEX(상세표[사번],$U1430)&amp;"")</f>
        <v/>
      </c>
      <c r="K1430">
        <f>IF($U1430="","",INDEX(상세표[성명],$U1430)&amp;"")</f>
        <v/>
      </c>
      <c r="L1430">
        <f>IF($U1430="","",INDEX(상세표[직위],$U1430)&amp;"")</f>
        <v/>
      </c>
      <c r="M1430">
        <f>IF($U1430="","",IF(ISNUMBER(INDEX(상세표[근무일자],$U1430)),TEXT(INDEX(상세표[근무일자],$U1430),"yyyy-mm-dd"),INDEX(상세표[근무일자],$U1430)&amp;""))</f>
        <v/>
      </c>
      <c r="N1430">
        <f>IF($U1430="","",IF(ISNUMBER(INDEX(상세표[시작],$U1430)),TEXT(INDEX(상세표[시작],$U1430),"yyyy-mm-dd hh:mm"),INDEX(상세표[시작],$U1430)&amp;""))</f>
        <v/>
      </c>
      <c r="O1430">
        <f>IF($U1430="","",IF(ISNUMBER(INDEX(상세표[종료],$U1430)),TEXT(INDEX(상세표[종료],$U1430),"yyyy-mm-dd hh:mm"),INDEX(상세표[종료],$U1430)&amp;""))</f>
        <v/>
      </c>
      <c r="P1430" s="20">
        <f>IF($U1430="","",INDEX(상세표[06~07시],$U1430))</f>
        <v/>
      </c>
      <c r="Q1430" s="20">
        <f>IF($U1430="","",INDEX(상세표[07~18시],$U1430))</f>
        <v/>
      </c>
      <c r="R1430" s="20">
        <f>IF($U1430="","",INDEX(상세표[18~22시],$U1430))</f>
        <v/>
      </c>
      <c r="S1430" s="20">
        <f>IF($U1430="","",INDEX(상세표[22~06시],$U1430))</f>
        <v/>
      </c>
      <c r="T1430" s="20">
        <f>IF($U1430="","",INDEX(상세표[기록 시간외],$U1430))</f>
        <v/>
      </c>
      <c r="U1430" s="4">
        <f>IFERROR(MATCH(1425,상세표[발송순번],0),"")</f>
        <v/>
      </c>
    </row>
    <row r="1431">
      <c r="J1431">
        <f>IF($U1431="","",INDEX(상세표[사번],$U1431)&amp;"")</f>
        <v/>
      </c>
      <c r="K1431">
        <f>IF($U1431="","",INDEX(상세표[성명],$U1431)&amp;"")</f>
        <v/>
      </c>
      <c r="L1431">
        <f>IF($U1431="","",INDEX(상세표[직위],$U1431)&amp;"")</f>
        <v/>
      </c>
      <c r="M1431">
        <f>IF($U1431="","",IF(ISNUMBER(INDEX(상세표[근무일자],$U1431)),TEXT(INDEX(상세표[근무일자],$U1431),"yyyy-mm-dd"),INDEX(상세표[근무일자],$U1431)&amp;""))</f>
        <v/>
      </c>
      <c r="N1431">
        <f>IF($U1431="","",IF(ISNUMBER(INDEX(상세표[시작],$U1431)),TEXT(INDEX(상세표[시작],$U1431),"yyyy-mm-dd hh:mm"),INDEX(상세표[시작],$U1431)&amp;""))</f>
        <v/>
      </c>
      <c r="O1431">
        <f>IF($U1431="","",IF(ISNUMBER(INDEX(상세표[종료],$U1431)),TEXT(INDEX(상세표[종료],$U1431),"yyyy-mm-dd hh:mm"),INDEX(상세표[종료],$U1431)&amp;""))</f>
        <v/>
      </c>
      <c r="P1431" s="20">
        <f>IF($U1431="","",INDEX(상세표[06~07시],$U1431))</f>
        <v/>
      </c>
      <c r="Q1431" s="20">
        <f>IF($U1431="","",INDEX(상세표[07~18시],$U1431))</f>
        <v/>
      </c>
      <c r="R1431" s="20">
        <f>IF($U1431="","",INDEX(상세표[18~22시],$U1431))</f>
        <v/>
      </c>
      <c r="S1431" s="20">
        <f>IF($U1431="","",INDEX(상세표[22~06시],$U1431))</f>
        <v/>
      </c>
      <c r="T1431" s="20">
        <f>IF($U1431="","",INDEX(상세표[기록 시간외],$U1431))</f>
        <v/>
      </c>
      <c r="U1431" s="4">
        <f>IFERROR(MATCH(1426,상세표[발송순번],0),"")</f>
        <v/>
      </c>
    </row>
    <row r="1432">
      <c r="J1432">
        <f>IF($U1432="","",INDEX(상세표[사번],$U1432)&amp;"")</f>
        <v/>
      </c>
      <c r="K1432">
        <f>IF($U1432="","",INDEX(상세표[성명],$U1432)&amp;"")</f>
        <v/>
      </c>
      <c r="L1432">
        <f>IF($U1432="","",INDEX(상세표[직위],$U1432)&amp;"")</f>
        <v/>
      </c>
      <c r="M1432">
        <f>IF($U1432="","",IF(ISNUMBER(INDEX(상세표[근무일자],$U1432)),TEXT(INDEX(상세표[근무일자],$U1432),"yyyy-mm-dd"),INDEX(상세표[근무일자],$U1432)&amp;""))</f>
        <v/>
      </c>
      <c r="N1432">
        <f>IF($U1432="","",IF(ISNUMBER(INDEX(상세표[시작],$U1432)),TEXT(INDEX(상세표[시작],$U1432),"yyyy-mm-dd hh:mm"),INDEX(상세표[시작],$U1432)&amp;""))</f>
        <v/>
      </c>
      <c r="O1432">
        <f>IF($U1432="","",IF(ISNUMBER(INDEX(상세표[종료],$U1432)),TEXT(INDEX(상세표[종료],$U1432),"yyyy-mm-dd hh:mm"),INDEX(상세표[종료],$U1432)&amp;""))</f>
        <v/>
      </c>
      <c r="P1432" s="20">
        <f>IF($U1432="","",INDEX(상세표[06~07시],$U1432))</f>
        <v/>
      </c>
      <c r="Q1432" s="20">
        <f>IF($U1432="","",INDEX(상세표[07~18시],$U1432))</f>
        <v/>
      </c>
      <c r="R1432" s="20">
        <f>IF($U1432="","",INDEX(상세표[18~22시],$U1432))</f>
        <v/>
      </c>
      <c r="S1432" s="20">
        <f>IF($U1432="","",INDEX(상세표[22~06시],$U1432))</f>
        <v/>
      </c>
      <c r="T1432" s="20">
        <f>IF($U1432="","",INDEX(상세표[기록 시간외],$U1432))</f>
        <v/>
      </c>
      <c r="U1432" s="4">
        <f>IFERROR(MATCH(1427,상세표[발송순번],0),"")</f>
        <v/>
      </c>
    </row>
    <row r="1433">
      <c r="J1433">
        <f>IF($U1433="","",INDEX(상세표[사번],$U1433)&amp;"")</f>
        <v/>
      </c>
      <c r="K1433">
        <f>IF($U1433="","",INDEX(상세표[성명],$U1433)&amp;"")</f>
        <v/>
      </c>
      <c r="L1433">
        <f>IF($U1433="","",INDEX(상세표[직위],$U1433)&amp;"")</f>
        <v/>
      </c>
      <c r="M1433">
        <f>IF($U1433="","",IF(ISNUMBER(INDEX(상세표[근무일자],$U1433)),TEXT(INDEX(상세표[근무일자],$U1433),"yyyy-mm-dd"),INDEX(상세표[근무일자],$U1433)&amp;""))</f>
        <v/>
      </c>
      <c r="N1433">
        <f>IF($U1433="","",IF(ISNUMBER(INDEX(상세표[시작],$U1433)),TEXT(INDEX(상세표[시작],$U1433),"yyyy-mm-dd hh:mm"),INDEX(상세표[시작],$U1433)&amp;""))</f>
        <v/>
      </c>
      <c r="O1433">
        <f>IF($U1433="","",IF(ISNUMBER(INDEX(상세표[종료],$U1433)),TEXT(INDEX(상세표[종료],$U1433),"yyyy-mm-dd hh:mm"),INDEX(상세표[종료],$U1433)&amp;""))</f>
        <v/>
      </c>
      <c r="P1433" s="20">
        <f>IF($U1433="","",INDEX(상세표[06~07시],$U1433))</f>
        <v/>
      </c>
      <c r="Q1433" s="20">
        <f>IF($U1433="","",INDEX(상세표[07~18시],$U1433))</f>
        <v/>
      </c>
      <c r="R1433" s="20">
        <f>IF($U1433="","",INDEX(상세표[18~22시],$U1433))</f>
        <v/>
      </c>
      <c r="S1433" s="20">
        <f>IF($U1433="","",INDEX(상세표[22~06시],$U1433))</f>
        <v/>
      </c>
      <c r="T1433" s="20">
        <f>IF($U1433="","",INDEX(상세표[기록 시간외],$U1433))</f>
        <v/>
      </c>
      <c r="U1433" s="4">
        <f>IFERROR(MATCH(1428,상세표[발송순번],0),"")</f>
        <v/>
      </c>
    </row>
    <row r="1434">
      <c r="J1434">
        <f>IF($U1434="","",INDEX(상세표[사번],$U1434)&amp;"")</f>
        <v/>
      </c>
      <c r="K1434">
        <f>IF($U1434="","",INDEX(상세표[성명],$U1434)&amp;"")</f>
        <v/>
      </c>
      <c r="L1434">
        <f>IF($U1434="","",INDEX(상세표[직위],$U1434)&amp;"")</f>
        <v/>
      </c>
      <c r="M1434">
        <f>IF($U1434="","",IF(ISNUMBER(INDEX(상세표[근무일자],$U1434)),TEXT(INDEX(상세표[근무일자],$U1434),"yyyy-mm-dd"),INDEX(상세표[근무일자],$U1434)&amp;""))</f>
        <v/>
      </c>
      <c r="N1434">
        <f>IF($U1434="","",IF(ISNUMBER(INDEX(상세표[시작],$U1434)),TEXT(INDEX(상세표[시작],$U1434),"yyyy-mm-dd hh:mm"),INDEX(상세표[시작],$U1434)&amp;""))</f>
        <v/>
      </c>
      <c r="O1434">
        <f>IF($U1434="","",IF(ISNUMBER(INDEX(상세표[종료],$U1434)),TEXT(INDEX(상세표[종료],$U1434),"yyyy-mm-dd hh:mm"),INDEX(상세표[종료],$U1434)&amp;""))</f>
        <v/>
      </c>
      <c r="P1434" s="20">
        <f>IF($U1434="","",INDEX(상세표[06~07시],$U1434))</f>
        <v/>
      </c>
      <c r="Q1434" s="20">
        <f>IF($U1434="","",INDEX(상세표[07~18시],$U1434))</f>
        <v/>
      </c>
      <c r="R1434" s="20">
        <f>IF($U1434="","",INDEX(상세표[18~22시],$U1434))</f>
        <v/>
      </c>
      <c r="S1434" s="20">
        <f>IF($U1434="","",INDEX(상세표[22~06시],$U1434))</f>
        <v/>
      </c>
      <c r="T1434" s="20">
        <f>IF($U1434="","",INDEX(상세표[기록 시간외],$U1434))</f>
        <v/>
      </c>
      <c r="U1434" s="4">
        <f>IFERROR(MATCH(1429,상세표[발송순번],0),"")</f>
        <v/>
      </c>
    </row>
    <row r="1435">
      <c r="J1435">
        <f>IF($U1435="","",INDEX(상세표[사번],$U1435)&amp;"")</f>
        <v/>
      </c>
      <c r="K1435">
        <f>IF($U1435="","",INDEX(상세표[성명],$U1435)&amp;"")</f>
        <v/>
      </c>
      <c r="L1435">
        <f>IF($U1435="","",INDEX(상세표[직위],$U1435)&amp;"")</f>
        <v/>
      </c>
      <c r="M1435">
        <f>IF($U1435="","",IF(ISNUMBER(INDEX(상세표[근무일자],$U1435)),TEXT(INDEX(상세표[근무일자],$U1435),"yyyy-mm-dd"),INDEX(상세표[근무일자],$U1435)&amp;""))</f>
        <v/>
      </c>
      <c r="N1435">
        <f>IF($U1435="","",IF(ISNUMBER(INDEX(상세표[시작],$U1435)),TEXT(INDEX(상세표[시작],$U1435),"yyyy-mm-dd hh:mm"),INDEX(상세표[시작],$U1435)&amp;""))</f>
        <v/>
      </c>
      <c r="O1435">
        <f>IF($U1435="","",IF(ISNUMBER(INDEX(상세표[종료],$U1435)),TEXT(INDEX(상세표[종료],$U1435),"yyyy-mm-dd hh:mm"),INDEX(상세표[종료],$U1435)&amp;""))</f>
        <v/>
      </c>
      <c r="P1435" s="20">
        <f>IF($U1435="","",INDEX(상세표[06~07시],$U1435))</f>
        <v/>
      </c>
      <c r="Q1435" s="20">
        <f>IF($U1435="","",INDEX(상세표[07~18시],$U1435))</f>
        <v/>
      </c>
      <c r="R1435" s="20">
        <f>IF($U1435="","",INDEX(상세표[18~22시],$U1435))</f>
        <v/>
      </c>
      <c r="S1435" s="20">
        <f>IF($U1435="","",INDEX(상세표[22~06시],$U1435))</f>
        <v/>
      </c>
      <c r="T1435" s="20">
        <f>IF($U1435="","",INDEX(상세표[기록 시간외],$U1435))</f>
        <v/>
      </c>
      <c r="U1435" s="4">
        <f>IFERROR(MATCH(1430,상세표[발송순번],0),"")</f>
        <v/>
      </c>
    </row>
    <row r="1436">
      <c r="J1436">
        <f>IF($U1436="","",INDEX(상세표[사번],$U1436)&amp;"")</f>
        <v/>
      </c>
      <c r="K1436">
        <f>IF($U1436="","",INDEX(상세표[성명],$U1436)&amp;"")</f>
        <v/>
      </c>
      <c r="L1436">
        <f>IF($U1436="","",INDEX(상세표[직위],$U1436)&amp;"")</f>
        <v/>
      </c>
      <c r="M1436">
        <f>IF($U1436="","",IF(ISNUMBER(INDEX(상세표[근무일자],$U1436)),TEXT(INDEX(상세표[근무일자],$U1436),"yyyy-mm-dd"),INDEX(상세표[근무일자],$U1436)&amp;""))</f>
        <v/>
      </c>
      <c r="N1436">
        <f>IF($U1436="","",IF(ISNUMBER(INDEX(상세표[시작],$U1436)),TEXT(INDEX(상세표[시작],$U1436),"yyyy-mm-dd hh:mm"),INDEX(상세표[시작],$U1436)&amp;""))</f>
        <v/>
      </c>
      <c r="O1436">
        <f>IF($U1436="","",IF(ISNUMBER(INDEX(상세표[종료],$U1436)),TEXT(INDEX(상세표[종료],$U1436),"yyyy-mm-dd hh:mm"),INDEX(상세표[종료],$U1436)&amp;""))</f>
        <v/>
      </c>
      <c r="P1436" s="20">
        <f>IF($U1436="","",INDEX(상세표[06~07시],$U1436))</f>
        <v/>
      </c>
      <c r="Q1436" s="20">
        <f>IF($U1436="","",INDEX(상세표[07~18시],$U1436))</f>
        <v/>
      </c>
      <c r="R1436" s="20">
        <f>IF($U1436="","",INDEX(상세표[18~22시],$U1436))</f>
        <v/>
      </c>
      <c r="S1436" s="20">
        <f>IF($U1436="","",INDEX(상세표[22~06시],$U1436))</f>
        <v/>
      </c>
      <c r="T1436" s="20">
        <f>IF($U1436="","",INDEX(상세표[기록 시간외],$U1436))</f>
        <v/>
      </c>
      <c r="U1436" s="4">
        <f>IFERROR(MATCH(1431,상세표[발송순번],0),"")</f>
        <v/>
      </c>
    </row>
    <row r="1437">
      <c r="J1437">
        <f>IF($U1437="","",INDEX(상세표[사번],$U1437)&amp;"")</f>
        <v/>
      </c>
      <c r="K1437">
        <f>IF($U1437="","",INDEX(상세표[성명],$U1437)&amp;"")</f>
        <v/>
      </c>
      <c r="L1437">
        <f>IF($U1437="","",INDEX(상세표[직위],$U1437)&amp;"")</f>
        <v/>
      </c>
      <c r="M1437">
        <f>IF($U1437="","",IF(ISNUMBER(INDEX(상세표[근무일자],$U1437)),TEXT(INDEX(상세표[근무일자],$U1437),"yyyy-mm-dd"),INDEX(상세표[근무일자],$U1437)&amp;""))</f>
        <v/>
      </c>
      <c r="N1437">
        <f>IF($U1437="","",IF(ISNUMBER(INDEX(상세표[시작],$U1437)),TEXT(INDEX(상세표[시작],$U1437),"yyyy-mm-dd hh:mm"),INDEX(상세표[시작],$U1437)&amp;""))</f>
        <v/>
      </c>
      <c r="O1437">
        <f>IF($U1437="","",IF(ISNUMBER(INDEX(상세표[종료],$U1437)),TEXT(INDEX(상세표[종료],$U1437),"yyyy-mm-dd hh:mm"),INDEX(상세표[종료],$U1437)&amp;""))</f>
        <v/>
      </c>
      <c r="P1437" s="20">
        <f>IF($U1437="","",INDEX(상세표[06~07시],$U1437))</f>
        <v/>
      </c>
      <c r="Q1437" s="20">
        <f>IF($U1437="","",INDEX(상세표[07~18시],$U1437))</f>
        <v/>
      </c>
      <c r="R1437" s="20">
        <f>IF($U1437="","",INDEX(상세표[18~22시],$U1437))</f>
        <v/>
      </c>
      <c r="S1437" s="20">
        <f>IF($U1437="","",INDEX(상세표[22~06시],$U1437))</f>
        <v/>
      </c>
      <c r="T1437" s="20">
        <f>IF($U1437="","",INDEX(상세표[기록 시간외],$U1437))</f>
        <v/>
      </c>
      <c r="U1437" s="4">
        <f>IFERROR(MATCH(1432,상세표[발송순번],0),"")</f>
        <v/>
      </c>
    </row>
    <row r="1438">
      <c r="J1438">
        <f>IF($U1438="","",INDEX(상세표[사번],$U1438)&amp;"")</f>
        <v/>
      </c>
      <c r="K1438">
        <f>IF($U1438="","",INDEX(상세표[성명],$U1438)&amp;"")</f>
        <v/>
      </c>
      <c r="L1438">
        <f>IF($U1438="","",INDEX(상세표[직위],$U1438)&amp;"")</f>
        <v/>
      </c>
      <c r="M1438">
        <f>IF($U1438="","",IF(ISNUMBER(INDEX(상세표[근무일자],$U1438)),TEXT(INDEX(상세표[근무일자],$U1438),"yyyy-mm-dd"),INDEX(상세표[근무일자],$U1438)&amp;""))</f>
        <v/>
      </c>
      <c r="N1438">
        <f>IF($U1438="","",IF(ISNUMBER(INDEX(상세표[시작],$U1438)),TEXT(INDEX(상세표[시작],$U1438),"yyyy-mm-dd hh:mm"),INDEX(상세표[시작],$U1438)&amp;""))</f>
        <v/>
      </c>
      <c r="O1438">
        <f>IF($U1438="","",IF(ISNUMBER(INDEX(상세표[종료],$U1438)),TEXT(INDEX(상세표[종료],$U1438),"yyyy-mm-dd hh:mm"),INDEX(상세표[종료],$U1438)&amp;""))</f>
        <v/>
      </c>
      <c r="P1438" s="20">
        <f>IF($U1438="","",INDEX(상세표[06~07시],$U1438))</f>
        <v/>
      </c>
      <c r="Q1438" s="20">
        <f>IF($U1438="","",INDEX(상세표[07~18시],$U1438))</f>
        <v/>
      </c>
      <c r="R1438" s="20">
        <f>IF($U1438="","",INDEX(상세표[18~22시],$U1438))</f>
        <v/>
      </c>
      <c r="S1438" s="20">
        <f>IF($U1438="","",INDEX(상세표[22~06시],$U1438))</f>
        <v/>
      </c>
      <c r="T1438" s="20">
        <f>IF($U1438="","",INDEX(상세표[기록 시간외],$U1438))</f>
        <v/>
      </c>
      <c r="U1438" s="4">
        <f>IFERROR(MATCH(1433,상세표[발송순번],0),"")</f>
        <v/>
      </c>
    </row>
    <row r="1439">
      <c r="J1439">
        <f>IF($U1439="","",INDEX(상세표[사번],$U1439)&amp;"")</f>
        <v/>
      </c>
      <c r="K1439">
        <f>IF($U1439="","",INDEX(상세표[성명],$U1439)&amp;"")</f>
        <v/>
      </c>
      <c r="L1439">
        <f>IF($U1439="","",INDEX(상세표[직위],$U1439)&amp;"")</f>
        <v/>
      </c>
      <c r="M1439">
        <f>IF($U1439="","",IF(ISNUMBER(INDEX(상세표[근무일자],$U1439)),TEXT(INDEX(상세표[근무일자],$U1439),"yyyy-mm-dd"),INDEX(상세표[근무일자],$U1439)&amp;""))</f>
        <v/>
      </c>
      <c r="N1439">
        <f>IF($U1439="","",IF(ISNUMBER(INDEX(상세표[시작],$U1439)),TEXT(INDEX(상세표[시작],$U1439),"yyyy-mm-dd hh:mm"),INDEX(상세표[시작],$U1439)&amp;""))</f>
        <v/>
      </c>
      <c r="O1439">
        <f>IF($U1439="","",IF(ISNUMBER(INDEX(상세표[종료],$U1439)),TEXT(INDEX(상세표[종료],$U1439),"yyyy-mm-dd hh:mm"),INDEX(상세표[종료],$U1439)&amp;""))</f>
        <v/>
      </c>
      <c r="P1439" s="20">
        <f>IF($U1439="","",INDEX(상세표[06~07시],$U1439))</f>
        <v/>
      </c>
      <c r="Q1439" s="20">
        <f>IF($U1439="","",INDEX(상세표[07~18시],$U1439))</f>
        <v/>
      </c>
      <c r="R1439" s="20">
        <f>IF($U1439="","",INDEX(상세표[18~22시],$U1439))</f>
        <v/>
      </c>
      <c r="S1439" s="20">
        <f>IF($U1439="","",INDEX(상세표[22~06시],$U1439))</f>
        <v/>
      </c>
      <c r="T1439" s="20">
        <f>IF($U1439="","",INDEX(상세표[기록 시간외],$U1439))</f>
        <v/>
      </c>
      <c r="U1439" s="4">
        <f>IFERROR(MATCH(1434,상세표[발송순번],0),"")</f>
        <v/>
      </c>
    </row>
    <row r="1440">
      <c r="J1440">
        <f>IF($U1440="","",INDEX(상세표[사번],$U1440)&amp;"")</f>
        <v/>
      </c>
      <c r="K1440">
        <f>IF($U1440="","",INDEX(상세표[성명],$U1440)&amp;"")</f>
        <v/>
      </c>
      <c r="L1440">
        <f>IF($U1440="","",INDEX(상세표[직위],$U1440)&amp;"")</f>
        <v/>
      </c>
      <c r="M1440">
        <f>IF($U1440="","",IF(ISNUMBER(INDEX(상세표[근무일자],$U1440)),TEXT(INDEX(상세표[근무일자],$U1440),"yyyy-mm-dd"),INDEX(상세표[근무일자],$U1440)&amp;""))</f>
        <v/>
      </c>
      <c r="N1440">
        <f>IF($U1440="","",IF(ISNUMBER(INDEX(상세표[시작],$U1440)),TEXT(INDEX(상세표[시작],$U1440),"yyyy-mm-dd hh:mm"),INDEX(상세표[시작],$U1440)&amp;""))</f>
        <v/>
      </c>
      <c r="O1440">
        <f>IF($U1440="","",IF(ISNUMBER(INDEX(상세표[종료],$U1440)),TEXT(INDEX(상세표[종료],$U1440),"yyyy-mm-dd hh:mm"),INDEX(상세표[종료],$U1440)&amp;""))</f>
        <v/>
      </c>
      <c r="P1440" s="20">
        <f>IF($U1440="","",INDEX(상세표[06~07시],$U1440))</f>
        <v/>
      </c>
      <c r="Q1440" s="20">
        <f>IF($U1440="","",INDEX(상세표[07~18시],$U1440))</f>
        <v/>
      </c>
      <c r="R1440" s="20">
        <f>IF($U1440="","",INDEX(상세표[18~22시],$U1440))</f>
        <v/>
      </c>
      <c r="S1440" s="20">
        <f>IF($U1440="","",INDEX(상세표[22~06시],$U1440))</f>
        <v/>
      </c>
      <c r="T1440" s="20">
        <f>IF($U1440="","",INDEX(상세표[기록 시간외],$U1440))</f>
        <v/>
      </c>
      <c r="U1440" s="4">
        <f>IFERROR(MATCH(1435,상세표[발송순번],0),"")</f>
        <v/>
      </c>
    </row>
    <row r="1441">
      <c r="J1441">
        <f>IF($U1441="","",INDEX(상세표[사번],$U1441)&amp;"")</f>
        <v/>
      </c>
      <c r="K1441">
        <f>IF($U1441="","",INDEX(상세표[성명],$U1441)&amp;"")</f>
        <v/>
      </c>
      <c r="L1441">
        <f>IF($U1441="","",INDEX(상세표[직위],$U1441)&amp;"")</f>
        <v/>
      </c>
      <c r="M1441">
        <f>IF($U1441="","",IF(ISNUMBER(INDEX(상세표[근무일자],$U1441)),TEXT(INDEX(상세표[근무일자],$U1441),"yyyy-mm-dd"),INDEX(상세표[근무일자],$U1441)&amp;""))</f>
        <v/>
      </c>
      <c r="N1441">
        <f>IF($U1441="","",IF(ISNUMBER(INDEX(상세표[시작],$U1441)),TEXT(INDEX(상세표[시작],$U1441),"yyyy-mm-dd hh:mm"),INDEX(상세표[시작],$U1441)&amp;""))</f>
        <v/>
      </c>
      <c r="O1441">
        <f>IF($U1441="","",IF(ISNUMBER(INDEX(상세표[종료],$U1441)),TEXT(INDEX(상세표[종료],$U1441),"yyyy-mm-dd hh:mm"),INDEX(상세표[종료],$U1441)&amp;""))</f>
        <v/>
      </c>
      <c r="P1441" s="20">
        <f>IF($U1441="","",INDEX(상세표[06~07시],$U1441))</f>
        <v/>
      </c>
      <c r="Q1441" s="20">
        <f>IF($U1441="","",INDEX(상세표[07~18시],$U1441))</f>
        <v/>
      </c>
      <c r="R1441" s="20">
        <f>IF($U1441="","",INDEX(상세표[18~22시],$U1441))</f>
        <v/>
      </c>
      <c r="S1441" s="20">
        <f>IF($U1441="","",INDEX(상세표[22~06시],$U1441))</f>
        <v/>
      </c>
      <c r="T1441" s="20">
        <f>IF($U1441="","",INDEX(상세표[기록 시간외],$U1441))</f>
        <v/>
      </c>
      <c r="U1441" s="4">
        <f>IFERROR(MATCH(1436,상세표[발송순번],0),"")</f>
        <v/>
      </c>
    </row>
    <row r="1442">
      <c r="J1442">
        <f>IF($U1442="","",INDEX(상세표[사번],$U1442)&amp;"")</f>
        <v/>
      </c>
      <c r="K1442">
        <f>IF($U1442="","",INDEX(상세표[성명],$U1442)&amp;"")</f>
        <v/>
      </c>
      <c r="L1442">
        <f>IF($U1442="","",INDEX(상세표[직위],$U1442)&amp;"")</f>
        <v/>
      </c>
      <c r="M1442">
        <f>IF($U1442="","",IF(ISNUMBER(INDEX(상세표[근무일자],$U1442)),TEXT(INDEX(상세표[근무일자],$U1442),"yyyy-mm-dd"),INDEX(상세표[근무일자],$U1442)&amp;""))</f>
        <v/>
      </c>
      <c r="N1442">
        <f>IF($U1442="","",IF(ISNUMBER(INDEX(상세표[시작],$U1442)),TEXT(INDEX(상세표[시작],$U1442),"yyyy-mm-dd hh:mm"),INDEX(상세표[시작],$U1442)&amp;""))</f>
        <v/>
      </c>
      <c r="O1442">
        <f>IF($U1442="","",IF(ISNUMBER(INDEX(상세표[종료],$U1442)),TEXT(INDEX(상세표[종료],$U1442),"yyyy-mm-dd hh:mm"),INDEX(상세표[종료],$U1442)&amp;""))</f>
        <v/>
      </c>
      <c r="P1442" s="20">
        <f>IF($U1442="","",INDEX(상세표[06~07시],$U1442))</f>
        <v/>
      </c>
      <c r="Q1442" s="20">
        <f>IF($U1442="","",INDEX(상세표[07~18시],$U1442))</f>
        <v/>
      </c>
      <c r="R1442" s="20">
        <f>IF($U1442="","",INDEX(상세표[18~22시],$U1442))</f>
        <v/>
      </c>
      <c r="S1442" s="20">
        <f>IF($U1442="","",INDEX(상세표[22~06시],$U1442))</f>
        <v/>
      </c>
      <c r="T1442" s="20">
        <f>IF($U1442="","",INDEX(상세표[기록 시간외],$U1442))</f>
        <v/>
      </c>
      <c r="U1442" s="4">
        <f>IFERROR(MATCH(1437,상세표[발송순번],0),"")</f>
        <v/>
      </c>
    </row>
    <row r="1443">
      <c r="J1443">
        <f>IF($U1443="","",INDEX(상세표[사번],$U1443)&amp;"")</f>
        <v/>
      </c>
      <c r="K1443">
        <f>IF($U1443="","",INDEX(상세표[성명],$U1443)&amp;"")</f>
        <v/>
      </c>
      <c r="L1443">
        <f>IF($U1443="","",INDEX(상세표[직위],$U1443)&amp;"")</f>
        <v/>
      </c>
      <c r="M1443">
        <f>IF($U1443="","",IF(ISNUMBER(INDEX(상세표[근무일자],$U1443)),TEXT(INDEX(상세표[근무일자],$U1443),"yyyy-mm-dd"),INDEX(상세표[근무일자],$U1443)&amp;""))</f>
        <v/>
      </c>
      <c r="N1443">
        <f>IF($U1443="","",IF(ISNUMBER(INDEX(상세표[시작],$U1443)),TEXT(INDEX(상세표[시작],$U1443),"yyyy-mm-dd hh:mm"),INDEX(상세표[시작],$U1443)&amp;""))</f>
        <v/>
      </c>
      <c r="O1443">
        <f>IF($U1443="","",IF(ISNUMBER(INDEX(상세표[종료],$U1443)),TEXT(INDEX(상세표[종료],$U1443),"yyyy-mm-dd hh:mm"),INDEX(상세표[종료],$U1443)&amp;""))</f>
        <v/>
      </c>
      <c r="P1443" s="20">
        <f>IF($U1443="","",INDEX(상세표[06~07시],$U1443))</f>
        <v/>
      </c>
      <c r="Q1443" s="20">
        <f>IF($U1443="","",INDEX(상세표[07~18시],$U1443))</f>
        <v/>
      </c>
      <c r="R1443" s="20">
        <f>IF($U1443="","",INDEX(상세표[18~22시],$U1443))</f>
        <v/>
      </c>
      <c r="S1443" s="20">
        <f>IF($U1443="","",INDEX(상세표[22~06시],$U1443))</f>
        <v/>
      </c>
      <c r="T1443" s="20">
        <f>IF($U1443="","",INDEX(상세표[기록 시간외],$U1443))</f>
        <v/>
      </c>
      <c r="U1443" s="4">
        <f>IFERROR(MATCH(1438,상세표[발송순번],0),"")</f>
        <v/>
      </c>
    </row>
    <row r="1444">
      <c r="J1444">
        <f>IF($U1444="","",INDEX(상세표[사번],$U1444)&amp;"")</f>
        <v/>
      </c>
      <c r="K1444">
        <f>IF($U1444="","",INDEX(상세표[성명],$U1444)&amp;"")</f>
        <v/>
      </c>
      <c r="L1444">
        <f>IF($U1444="","",INDEX(상세표[직위],$U1444)&amp;"")</f>
        <v/>
      </c>
      <c r="M1444">
        <f>IF($U1444="","",IF(ISNUMBER(INDEX(상세표[근무일자],$U1444)),TEXT(INDEX(상세표[근무일자],$U1444),"yyyy-mm-dd"),INDEX(상세표[근무일자],$U1444)&amp;""))</f>
        <v/>
      </c>
      <c r="N1444">
        <f>IF($U1444="","",IF(ISNUMBER(INDEX(상세표[시작],$U1444)),TEXT(INDEX(상세표[시작],$U1444),"yyyy-mm-dd hh:mm"),INDEX(상세표[시작],$U1444)&amp;""))</f>
        <v/>
      </c>
      <c r="O1444">
        <f>IF($U1444="","",IF(ISNUMBER(INDEX(상세표[종료],$U1444)),TEXT(INDEX(상세표[종료],$U1444),"yyyy-mm-dd hh:mm"),INDEX(상세표[종료],$U1444)&amp;""))</f>
        <v/>
      </c>
      <c r="P1444" s="20">
        <f>IF($U1444="","",INDEX(상세표[06~07시],$U1444))</f>
        <v/>
      </c>
      <c r="Q1444" s="20">
        <f>IF($U1444="","",INDEX(상세표[07~18시],$U1444))</f>
        <v/>
      </c>
      <c r="R1444" s="20">
        <f>IF($U1444="","",INDEX(상세표[18~22시],$U1444))</f>
        <v/>
      </c>
      <c r="S1444" s="20">
        <f>IF($U1444="","",INDEX(상세표[22~06시],$U1444))</f>
        <v/>
      </c>
      <c r="T1444" s="20">
        <f>IF($U1444="","",INDEX(상세표[기록 시간외],$U1444))</f>
        <v/>
      </c>
      <c r="U1444" s="4">
        <f>IFERROR(MATCH(1439,상세표[발송순번],0),"")</f>
        <v/>
      </c>
    </row>
    <row r="1445">
      <c r="J1445">
        <f>IF($U1445="","",INDEX(상세표[사번],$U1445)&amp;"")</f>
        <v/>
      </c>
      <c r="K1445">
        <f>IF($U1445="","",INDEX(상세표[성명],$U1445)&amp;"")</f>
        <v/>
      </c>
      <c r="L1445">
        <f>IF($U1445="","",INDEX(상세표[직위],$U1445)&amp;"")</f>
        <v/>
      </c>
      <c r="M1445">
        <f>IF($U1445="","",IF(ISNUMBER(INDEX(상세표[근무일자],$U1445)),TEXT(INDEX(상세표[근무일자],$U1445),"yyyy-mm-dd"),INDEX(상세표[근무일자],$U1445)&amp;""))</f>
        <v/>
      </c>
      <c r="N1445">
        <f>IF($U1445="","",IF(ISNUMBER(INDEX(상세표[시작],$U1445)),TEXT(INDEX(상세표[시작],$U1445),"yyyy-mm-dd hh:mm"),INDEX(상세표[시작],$U1445)&amp;""))</f>
        <v/>
      </c>
      <c r="O1445">
        <f>IF($U1445="","",IF(ISNUMBER(INDEX(상세표[종료],$U1445)),TEXT(INDEX(상세표[종료],$U1445),"yyyy-mm-dd hh:mm"),INDEX(상세표[종료],$U1445)&amp;""))</f>
        <v/>
      </c>
      <c r="P1445" s="20">
        <f>IF($U1445="","",INDEX(상세표[06~07시],$U1445))</f>
        <v/>
      </c>
      <c r="Q1445" s="20">
        <f>IF($U1445="","",INDEX(상세표[07~18시],$U1445))</f>
        <v/>
      </c>
      <c r="R1445" s="20">
        <f>IF($U1445="","",INDEX(상세표[18~22시],$U1445))</f>
        <v/>
      </c>
      <c r="S1445" s="20">
        <f>IF($U1445="","",INDEX(상세표[22~06시],$U1445))</f>
        <v/>
      </c>
      <c r="T1445" s="20">
        <f>IF($U1445="","",INDEX(상세표[기록 시간외],$U1445))</f>
        <v/>
      </c>
      <c r="U1445" s="4">
        <f>IFERROR(MATCH(1440,상세표[발송순번],0),"")</f>
        <v/>
      </c>
    </row>
    <row r="1446">
      <c r="J1446">
        <f>IF($U1446="","",INDEX(상세표[사번],$U1446)&amp;"")</f>
        <v/>
      </c>
      <c r="K1446">
        <f>IF($U1446="","",INDEX(상세표[성명],$U1446)&amp;"")</f>
        <v/>
      </c>
      <c r="L1446">
        <f>IF($U1446="","",INDEX(상세표[직위],$U1446)&amp;"")</f>
        <v/>
      </c>
      <c r="M1446">
        <f>IF($U1446="","",IF(ISNUMBER(INDEX(상세표[근무일자],$U1446)),TEXT(INDEX(상세표[근무일자],$U1446),"yyyy-mm-dd"),INDEX(상세표[근무일자],$U1446)&amp;""))</f>
        <v/>
      </c>
      <c r="N1446">
        <f>IF($U1446="","",IF(ISNUMBER(INDEX(상세표[시작],$U1446)),TEXT(INDEX(상세표[시작],$U1446),"yyyy-mm-dd hh:mm"),INDEX(상세표[시작],$U1446)&amp;""))</f>
        <v/>
      </c>
      <c r="O1446">
        <f>IF($U1446="","",IF(ISNUMBER(INDEX(상세표[종료],$U1446)),TEXT(INDEX(상세표[종료],$U1446),"yyyy-mm-dd hh:mm"),INDEX(상세표[종료],$U1446)&amp;""))</f>
        <v/>
      </c>
      <c r="P1446" s="20">
        <f>IF($U1446="","",INDEX(상세표[06~07시],$U1446))</f>
        <v/>
      </c>
      <c r="Q1446" s="20">
        <f>IF($U1446="","",INDEX(상세표[07~18시],$U1446))</f>
        <v/>
      </c>
      <c r="R1446" s="20">
        <f>IF($U1446="","",INDEX(상세표[18~22시],$U1446))</f>
        <v/>
      </c>
      <c r="S1446" s="20">
        <f>IF($U1446="","",INDEX(상세표[22~06시],$U1446))</f>
        <v/>
      </c>
      <c r="T1446" s="20">
        <f>IF($U1446="","",INDEX(상세표[기록 시간외],$U1446))</f>
        <v/>
      </c>
      <c r="U1446" s="4">
        <f>IFERROR(MATCH(1441,상세표[발송순번],0),"")</f>
        <v/>
      </c>
    </row>
    <row r="1447">
      <c r="J1447">
        <f>IF($U1447="","",INDEX(상세표[사번],$U1447)&amp;"")</f>
        <v/>
      </c>
      <c r="K1447">
        <f>IF($U1447="","",INDEX(상세표[성명],$U1447)&amp;"")</f>
        <v/>
      </c>
      <c r="L1447">
        <f>IF($U1447="","",INDEX(상세표[직위],$U1447)&amp;"")</f>
        <v/>
      </c>
      <c r="M1447">
        <f>IF($U1447="","",IF(ISNUMBER(INDEX(상세표[근무일자],$U1447)),TEXT(INDEX(상세표[근무일자],$U1447),"yyyy-mm-dd"),INDEX(상세표[근무일자],$U1447)&amp;""))</f>
        <v/>
      </c>
      <c r="N1447">
        <f>IF($U1447="","",IF(ISNUMBER(INDEX(상세표[시작],$U1447)),TEXT(INDEX(상세표[시작],$U1447),"yyyy-mm-dd hh:mm"),INDEX(상세표[시작],$U1447)&amp;""))</f>
        <v/>
      </c>
      <c r="O1447">
        <f>IF($U1447="","",IF(ISNUMBER(INDEX(상세표[종료],$U1447)),TEXT(INDEX(상세표[종료],$U1447),"yyyy-mm-dd hh:mm"),INDEX(상세표[종료],$U1447)&amp;""))</f>
        <v/>
      </c>
      <c r="P1447" s="20">
        <f>IF($U1447="","",INDEX(상세표[06~07시],$U1447))</f>
        <v/>
      </c>
      <c r="Q1447" s="20">
        <f>IF($U1447="","",INDEX(상세표[07~18시],$U1447))</f>
        <v/>
      </c>
      <c r="R1447" s="20">
        <f>IF($U1447="","",INDEX(상세표[18~22시],$U1447))</f>
        <v/>
      </c>
      <c r="S1447" s="20">
        <f>IF($U1447="","",INDEX(상세표[22~06시],$U1447))</f>
        <v/>
      </c>
      <c r="T1447" s="20">
        <f>IF($U1447="","",INDEX(상세표[기록 시간외],$U1447))</f>
        <v/>
      </c>
      <c r="U1447" s="4">
        <f>IFERROR(MATCH(1442,상세표[발송순번],0),"")</f>
        <v/>
      </c>
    </row>
    <row r="1448">
      <c r="J1448">
        <f>IF($U1448="","",INDEX(상세표[사번],$U1448)&amp;"")</f>
        <v/>
      </c>
      <c r="K1448">
        <f>IF($U1448="","",INDEX(상세표[성명],$U1448)&amp;"")</f>
        <v/>
      </c>
      <c r="L1448">
        <f>IF($U1448="","",INDEX(상세표[직위],$U1448)&amp;"")</f>
        <v/>
      </c>
      <c r="M1448">
        <f>IF($U1448="","",IF(ISNUMBER(INDEX(상세표[근무일자],$U1448)),TEXT(INDEX(상세표[근무일자],$U1448),"yyyy-mm-dd"),INDEX(상세표[근무일자],$U1448)&amp;""))</f>
        <v/>
      </c>
      <c r="N1448">
        <f>IF($U1448="","",IF(ISNUMBER(INDEX(상세표[시작],$U1448)),TEXT(INDEX(상세표[시작],$U1448),"yyyy-mm-dd hh:mm"),INDEX(상세표[시작],$U1448)&amp;""))</f>
        <v/>
      </c>
      <c r="O1448">
        <f>IF($U1448="","",IF(ISNUMBER(INDEX(상세표[종료],$U1448)),TEXT(INDEX(상세표[종료],$U1448),"yyyy-mm-dd hh:mm"),INDEX(상세표[종료],$U1448)&amp;""))</f>
        <v/>
      </c>
      <c r="P1448" s="20">
        <f>IF($U1448="","",INDEX(상세표[06~07시],$U1448))</f>
        <v/>
      </c>
      <c r="Q1448" s="20">
        <f>IF($U1448="","",INDEX(상세표[07~18시],$U1448))</f>
        <v/>
      </c>
      <c r="R1448" s="20">
        <f>IF($U1448="","",INDEX(상세표[18~22시],$U1448))</f>
        <v/>
      </c>
      <c r="S1448" s="20">
        <f>IF($U1448="","",INDEX(상세표[22~06시],$U1448))</f>
        <v/>
      </c>
      <c r="T1448" s="20">
        <f>IF($U1448="","",INDEX(상세표[기록 시간외],$U1448))</f>
        <v/>
      </c>
      <c r="U1448" s="4">
        <f>IFERROR(MATCH(1443,상세표[발송순번],0),"")</f>
        <v/>
      </c>
    </row>
    <row r="1449">
      <c r="J1449">
        <f>IF($U1449="","",INDEX(상세표[사번],$U1449)&amp;"")</f>
        <v/>
      </c>
      <c r="K1449">
        <f>IF($U1449="","",INDEX(상세표[성명],$U1449)&amp;"")</f>
        <v/>
      </c>
      <c r="L1449">
        <f>IF($U1449="","",INDEX(상세표[직위],$U1449)&amp;"")</f>
        <v/>
      </c>
      <c r="M1449">
        <f>IF($U1449="","",IF(ISNUMBER(INDEX(상세표[근무일자],$U1449)),TEXT(INDEX(상세표[근무일자],$U1449),"yyyy-mm-dd"),INDEX(상세표[근무일자],$U1449)&amp;""))</f>
        <v/>
      </c>
      <c r="N1449">
        <f>IF($U1449="","",IF(ISNUMBER(INDEX(상세표[시작],$U1449)),TEXT(INDEX(상세표[시작],$U1449),"yyyy-mm-dd hh:mm"),INDEX(상세표[시작],$U1449)&amp;""))</f>
        <v/>
      </c>
      <c r="O1449">
        <f>IF($U1449="","",IF(ISNUMBER(INDEX(상세표[종료],$U1449)),TEXT(INDEX(상세표[종료],$U1449),"yyyy-mm-dd hh:mm"),INDEX(상세표[종료],$U1449)&amp;""))</f>
        <v/>
      </c>
      <c r="P1449" s="20">
        <f>IF($U1449="","",INDEX(상세표[06~07시],$U1449))</f>
        <v/>
      </c>
      <c r="Q1449" s="20">
        <f>IF($U1449="","",INDEX(상세표[07~18시],$U1449))</f>
        <v/>
      </c>
      <c r="R1449" s="20">
        <f>IF($U1449="","",INDEX(상세표[18~22시],$U1449))</f>
        <v/>
      </c>
      <c r="S1449" s="20">
        <f>IF($U1449="","",INDEX(상세표[22~06시],$U1449))</f>
        <v/>
      </c>
      <c r="T1449" s="20">
        <f>IF($U1449="","",INDEX(상세표[기록 시간외],$U1449))</f>
        <v/>
      </c>
      <c r="U1449" s="4">
        <f>IFERROR(MATCH(1444,상세표[발송순번],0),"")</f>
        <v/>
      </c>
    </row>
    <row r="1450">
      <c r="J1450">
        <f>IF($U1450="","",INDEX(상세표[사번],$U1450)&amp;"")</f>
        <v/>
      </c>
      <c r="K1450">
        <f>IF($U1450="","",INDEX(상세표[성명],$U1450)&amp;"")</f>
        <v/>
      </c>
      <c r="L1450">
        <f>IF($U1450="","",INDEX(상세표[직위],$U1450)&amp;"")</f>
        <v/>
      </c>
      <c r="M1450">
        <f>IF($U1450="","",IF(ISNUMBER(INDEX(상세표[근무일자],$U1450)),TEXT(INDEX(상세표[근무일자],$U1450),"yyyy-mm-dd"),INDEX(상세표[근무일자],$U1450)&amp;""))</f>
        <v/>
      </c>
      <c r="N1450">
        <f>IF($U1450="","",IF(ISNUMBER(INDEX(상세표[시작],$U1450)),TEXT(INDEX(상세표[시작],$U1450),"yyyy-mm-dd hh:mm"),INDEX(상세표[시작],$U1450)&amp;""))</f>
        <v/>
      </c>
      <c r="O1450">
        <f>IF($U1450="","",IF(ISNUMBER(INDEX(상세표[종료],$U1450)),TEXT(INDEX(상세표[종료],$U1450),"yyyy-mm-dd hh:mm"),INDEX(상세표[종료],$U1450)&amp;""))</f>
        <v/>
      </c>
      <c r="P1450" s="20">
        <f>IF($U1450="","",INDEX(상세표[06~07시],$U1450))</f>
        <v/>
      </c>
      <c r="Q1450" s="20">
        <f>IF($U1450="","",INDEX(상세표[07~18시],$U1450))</f>
        <v/>
      </c>
      <c r="R1450" s="20">
        <f>IF($U1450="","",INDEX(상세표[18~22시],$U1450))</f>
        <v/>
      </c>
      <c r="S1450" s="20">
        <f>IF($U1450="","",INDEX(상세표[22~06시],$U1450))</f>
        <v/>
      </c>
      <c r="T1450" s="20">
        <f>IF($U1450="","",INDEX(상세표[기록 시간외],$U1450))</f>
        <v/>
      </c>
      <c r="U1450" s="4">
        <f>IFERROR(MATCH(1445,상세표[발송순번],0),"")</f>
        <v/>
      </c>
    </row>
    <row r="1451">
      <c r="J1451">
        <f>IF($U1451="","",INDEX(상세표[사번],$U1451)&amp;"")</f>
        <v/>
      </c>
      <c r="K1451">
        <f>IF($U1451="","",INDEX(상세표[성명],$U1451)&amp;"")</f>
        <v/>
      </c>
      <c r="L1451">
        <f>IF($U1451="","",INDEX(상세표[직위],$U1451)&amp;"")</f>
        <v/>
      </c>
      <c r="M1451">
        <f>IF($U1451="","",IF(ISNUMBER(INDEX(상세표[근무일자],$U1451)),TEXT(INDEX(상세표[근무일자],$U1451),"yyyy-mm-dd"),INDEX(상세표[근무일자],$U1451)&amp;""))</f>
        <v/>
      </c>
      <c r="N1451">
        <f>IF($U1451="","",IF(ISNUMBER(INDEX(상세표[시작],$U1451)),TEXT(INDEX(상세표[시작],$U1451),"yyyy-mm-dd hh:mm"),INDEX(상세표[시작],$U1451)&amp;""))</f>
        <v/>
      </c>
      <c r="O1451">
        <f>IF($U1451="","",IF(ISNUMBER(INDEX(상세표[종료],$U1451)),TEXT(INDEX(상세표[종료],$U1451),"yyyy-mm-dd hh:mm"),INDEX(상세표[종료],$U1451)&amp;""))</f>
        <v/>
      </c>
      <c r="P1451" s="20">
        <f>IF($U1451="","",INDEX(상세표[06~07시],$U1451))</f>
        <v/>
      </c>
      <c r="Q1451" s="20">
        <f>IF($U1451="","",INDEX(상세표[07~18시],$U1451))</f>
        <v/>
      </c>
      <c r="R1451" s="20">
        <f>IF($U1451="","",INDEX(상세표[18~22시],$U1451))</f>
        <v/>
      </c>
      <c r="S1451" s="20">
        <f>IF($U1451="","",INDEX(상세표[22~06시],$U1451))</f>
        <v/>
      </c>
      <c r="T1451" s="20">
        <f>IF($U1451="","",INDEX(상세표[기록 시간외],$U1451))</f>
        <v/>
      </c>
      <c r="U1451" s="4">
        <f>IFERROR(MATCH(1446,상세표[발송순번],0),"")</f>
        <v/>
      </c>
    </row>
    <row r="1452">
      <c r="J1452">
        <f>IF($U1452="","",INDEX(상세표[사번],$U1452)&amp;"")</f>
        <v/>
      </c>
      <c r="K1452">
        <f>IF($U1452="","",INDEX(상세표[성명],$U1452)&amp;"")</f>
        <v/>
      </c>
      <c r="L1452">
        <f>IF($U1452="","",INDEX(상세표[직위],$U1452)&amp;"")</f>
        <v/>
      </c>
      <c r="M1452">
        <f>IF($U1452="","",IF(ISNUMBER(INDEX(상세표[근무일자],$U1452)),TEXT(INDEX(상세표[근무일자],$U1452),"yyyy-mm-dd"),INDEX(상세표[근무일자],$U1452)&amp;""))</f>
        <v/>
      </c>
      <c r="N1452">
        <f>IF($U1452="","",IF(ISNUMBER(INDEX(상세표[시작],$U1452)),TEXT(INDEX(상세표[시작],$U1452),"yyyy-mm-dd hh:mm"),INDEX(상세표[시작],$U1452)&amp;""))</f>
        <v/>
      </c>
      <c r="O1452">
        <f>IF($U1452="","",IF(ISNUMBER(INDEX(상세표[종료],$U1452)),TEXT(INDEX(상세표[종료],$U1452),"yyyy-mm-dd hh:mm"),INDEX(상세표[종료],$U1452)&amp;""))</f>
        <v/>
      </c>
      <c r="P1452" s="20">
        <f>IF($U1452="","",INDEX(상세표[06~07시],$U1452))</f>
        <v/>
      </c>
      <c r="Q1452" s="20">
        <f>IF($U1452="","",INDEX(상세표[07~18시],$U1452))</f>
        <v/>
      </c>
      <c r="R1452" s="20">
        <f>IF($U1452="","",INDEX(상세표[18~22시],$U1452))</f>
        <v/>
      </c>
      <c r="S1452" s="20">
        <f>IF($U1452="","",INDEX(상세표[22~06시],$U1452))</f>
        <v/>
      </c>
      <c r="T1452" s="20">
        <f>IF($U1452="","",INDEX(상세표[기록 시간외],$U1452))</f>
        <v/>
      </c>
      <c r="U1452" s="4">
        <f>IFERROR(MATCH(1447,상세표[발송순번],0),"")</f>
        <v/>
      </c>
    </row>
    <row r="1453">
      <c r="J1453">
        <f>IF($U1453="","",INDEX(상세표[사번],$U1453)&amp;"")</f>
        <v/>
      </c>
      <c r="K1453">
        <f>IF($U1453="","",INDEX(상세표[성명],$U1453)&amp;"")</f>
        <v/>
      </c>
      <c r="L1453">
        <f>IF($U1453="","",INDEX(상세표[직위],$U1453)&amp;"")</f>
        <v/>
      </c>
      <c r="M1453">
        <f>IF($U1453="","",IF(ISNUMBER(INDEX(상세표[근무일자],$U1453)),TEXT(INDEX(상세표[근무일자],$U1453),"yyyy-mm-dd"),INDEX(상세표[근무일자],$U1453)&amp;""))</f>
        <v/>
      </c>
      <c r="N1453">
        <f>IF($U1453="","",IF(ISNUMBER(INDEX(상세표[시작],$U1453)),TEXT(INDEX(상세표[시작],$U1453),"yyyy-mm-dd hh:mm"),INDEX(상세표[시작],$U1453)&amp;""))</f>
        <v/>
      </c>
      <c r="O1453">
        <f>IF($U1453="","",IF(ISNUMBER(INDEX(상세표[종료],$U1453)),TEXT(INDEX(상세표[종료],$U1453),"yyyy-mm-dd hh:mm"),INDEX(상세표[종료],$U1453)&amp;""))</f>
        <v/>
      </c>
      <c r="P1453" s="20">
        <f>IF($U1453="","",INDEX(상세표[06~07시],$U1453))</f>
        <v/>
      </c>
      <c r="Q1453" s="20">
        <f>IF($U1453="","",INDEX(상세표[07~18시],$U1453))</f>
        <v/>
      </c>
      <c r="R1453" s="20">
        <f>IF($U1453="","",INDEX(상세표[18~22시],$U1453))</f>
        <v/>
      </c>
      <c r="S1453" s="20">
        <f>IF($U1453="","",INDEX(상세표[22~06시],$U1453))</f>
        <v/>
      </c>
      <c r="T1453" s="20">
        <f>IF($U1453="","",INDEX(상세표[기록 시간외],$U1453))</f>
        <v/>
      </c>
      <c r="U1453" s="4">
        <f>IFERROR(MATCH(1448,상세표[발송순번],0),"")</f>
        <v/>
      </c>
    </row>
    <row r="1454">
      <c r="J1454">
        <f>IF($U1454="","",INDEX(상세표[사번],$U1454)&amp;"")</f>
        <v/>
      </c>
      <c r="K1454">
        <f>IF($U1454="","",INDEX(상세표[성명],$U1454)&amp;"")</f>
        <v/>
      </c>
      <c r="L1454">
        <f>IF($U1454="","",INDEX(상세표[직위],$U1454)&amp;"")</f>
        <v/>
      </c>
      <c r="M1454">
        <f>IF($U1454="","",IF(ISNUMBER(INDEX(상세표[근무일자],$U1454)),TEXT(INDEX(상세표[근무일자],$U1454),"yyyy-mm-dd"),INDEX(상세표[근무일자],$U1454)&amp;""))</f>
        <v/>
      </c>
      <c r="N1454">
        <f>IF($U1454="","",IF(ISNUMBER(INDEX(상세표[시작],$U1454)),TEXT(INDEX(상세표[시작],$U1454),"yyyy-mm-dd hh:mm"),INDEX(상세표[시작],$U1454)&amp;""))</f>
        <v/>
      </c>
      <c r="O1454">
        <f>IF($U1454="","",IF(ISNUMBER(INDEX(상세표[종료],$U1454)),TEXT(INDEX(상세표[종료],$U1454),"yyyy-mm-dd hh:mm"),INDEX(상세표[종료],$U1454)&amp;""))</f>
        <v/>
      </c>
      <c r="P1454" s="20">
        <f>IF($U1454="","",INDEX(상세표[06~07시],$U1454))</f>
        <v/>
      </c>
      <c r="Q1454" s="20">
        <f>IF($U1454="","",INDEX(상세표[07~18시],$U1454))</f>
        <v/>
      </c>
      <c r="R1454" s="20">
        <f>IF($U1454="","",INDEX(상세표[18~22시],$U1454))</f>
        <v/>
      </c>
      <c r="S1454" s="20">
        <f>IF($U1454="","",INDEX(상세표[22~06시],$U1454))</f>
        <v/>
      </c>
      <c r="T1454" s="20">
        <f>IF($U1454="","",INDEX(상세표[기록 시간외],$U1454))</f>
        <v/>
      </c>
      <c r="U1454" s="4">
        <f>IFERROR(MATCH(1449,상세표[발송순번],0),"")</f>
        <v/>
      </c>
    </row>
    <row r="1455">
      <c r="J1455">
        <f>IF($U1455="","",INDEX(상세표[사번],$U1455)&amp;"")</f>
        <v/>
      </c>
      <c r="K1455">
        <f>IF($U1455="","",INDEX(상세표[성명],$U1455)&amp;"")</f>
        <v/>
      </c>
      <c r="L1455">
        <f>IF($U1455="","",INDEX(상세표[직위],$U1455)&amp;"")</f>
        <v/>
      </c>
      <c r="M1455">
        <f>IF($U1455="","",IF(ISNUMBER(INDEX(상세표[근무일자],$U1455)),TEXT(INDEX(상세표[근무일자],$U1455),"yyyy-mm-dd"),INDEX(상세표[근무일자],$U1455)&amp;""))</f>
        <v/>
      </c>
      <c r="N1455">
        <f>IF($U1455="","",IF(ISNUMBER(INDEX(상세표[시작],$U1455)),TEXT(INDEX(상세표[시작],$U1455),"yyyy-mm-dd hh:mm"),INDEX(상세표[시작],$U1455)&amp;""))</f>
        <v/>
      </c>
      <c r="O1455">
        <f>IF($U1455="","",IF(ISNUMBER(INDEX(상세표[종료],$U1455)),TEXT(INDEX(상세표[종료],$U1455),"yyyy-mm-dd hh:mm"),INDEX(상세표[종료],$U1455)&amp;""))</f>
        <v/>
      </c>
      <c r="P1455" s="20">
        <f>IF($U1455="","",INDEX(상세표[06~07시],$U1455))</f>
        <v/>
      </c>
      <c r="Q1455" s="20">
        <f>IF($U1455="","",INDEX(상세표[07~18시],$U1455))</f>
        <v/>
      </c>
      <c r="R1455" s="20">
        <f>IF($U1455="","",INDEX(상세표[18~22시],$U1455))</f>
        <v/>
      </c>
      <c r="S1455" s="20">
        <f>IF($U1455="","",INDEX(상세표[22~06시],$U1455))</f>
        <v/>
      </c>
      <c r="T1455" s="20">
        <f>IF($U1455="","",INDEX(상세표[기록 시간외],$U1455))</f>
        <v/>
      </c>
      <c r="U1455" s="4">
        <f>IFERROR(MATCH(1450,상세표[발송순번],0),"")</f>
        <v/>
      </c>
    </row>
    <row r="1456">
      <c r="J1456">
        <f>IF($U1456="","",INDEX(상세표[사번],$U1456)&amp;"")</f>
        <v/>
      </c>
      <c r="K1456">
        <f>IF($U1456="","",INDEX(상세표[성명],$U1456)&amp;"")</f>
        <v/>
      </c>
      <c r="L1456">
        <f>IF($U1456="","",INDEX(상세표[직위],$U1456)&amp;"")</f>
        <v/>
      </c>
      <c r="M1456">
        <f>IF($U1456="","",IF(ISNUMBER(INDEX(상세표[근무일자],$U1456)),TEXT(INDEX(상세표[근무일자],$U1456),"yyyy-mm-dd"),INDEX(상세표[근무일자],$U1456)&amp;""))</f>
        <v/>
      </c>
      <c r="N1456">
        <f>IF($U1456="","",IF(ISNUMBER(INDEX(상세표[시작],$U1456)),TEXT(INDEX(상세표[시작],$U1456),"yyyy-mm-dd hh:mm"),INDEX(상세표[시작],$U1456)&amp;""))</f>
        <v/>
      </c>
      <c r="O1456">
        <f>IF($U1456="","",IF(ISNUMBER(INDEX(상세표[종료],$U1456)),TEXT(INDEX(상세표[종료],$U1456),"yyyy-mm-dd hh:mm"),INDEX(상세표[종료],$U1456)&amp;""))</f>
        <v/>
      </c>
      <c r="P1456" s="20">
        <f>IF($U1456="","",INDEX(상세표[06~07시],$U1456))</f>
        <v/>
      </c>
      <c r="Q1456" s="20">
        <f>IF($U1456="","",INDEX(상세표[07~18시],$U1456))</f>
        <v/>
      </c>
      <c r="R1456" s="20">
        <f>IF($U1456="","",INDEX(상세표[18~22시],$U1456))</f>
        <v/>
      </c>
      <c r="S1456" s="20">
        <f>IF($U1456="","",INDEX(상세표[22~06시],$U1456))</f>
        <v/>
      </c>
      <c r="T1456" s="20">
        <f>IF($U1456="","",INDEX(상세표[기록 시간외],$U1456))</f>
        <v/>
      </c>
      <c r="U1456" s="4">
        <f>IFERROR(MATCH(1451,상세표[발송순번],0),"")</f>
        <v/>
      </c>
    </row>
    <row r="1457">
      <c r="J1457">
        <f>IF($U1457="","",INDEX(상세표[사번],$U1457)&amp;"")</f>
        <v/>
      </c>
      <c r="K1457">
        <f>IF($U1457="","",INDEX(상세표[성명],$U1457)&amp;"")</f>
        <v/>
      </c>
      <c r="L1457">
        <f>IF($U1457="","",INDEX(상세표[직위],$U1457)&amp;"")</f>
        <v/>
      </c>
      <c r="M1457">
        <f>IF($U1457="","",IF(ISNUMBER(INDEX(상세표[근무일자],$U1457)),TEXT(INDEX(상세표[근무일자],$U1457),"yyyy-mm-dd"),INDEX(상세표[근무일자],$U1457)&amp;""))</f>
        <v/>
      </c>
      <c r="N1457">
        <f>IF($U1457="","",IF(ISNUMBER(INDEX(상세표[시작],$U1457)),TEXT(INDEX(상세표[시작],$U1457),"yyyy-mm-dd hh:mm"),INDEX(상세표[시작],$U1457)&amp;""))</f>
        <v/>
      </c>
      <c r="O1457">
        <f>IF($U1457="","",IF(ISNUMBER(INDEX(상세표[종료],$U1457)),TEXT(INDEX(상세표[종료],$U1457),"yyyy-mm-dd hh:mm"),INDEX(상세표[종료],$U1457)&amp;""))</f>
        <v/>
      </c>
      <c r="P1457" s="20">
        <f>IF($U1457="","",INDEX(상세표[06~07시],$U1457))</f>
        <v/>
      </c>
      <c r="Q1457" s="20">
        <f>IF($U1457="","",INDEX(상세표[07~18시],$U1457))</f>
        <v/>
      </c>
      <c r="R1457" s="20">
        <f>IF($U1457="","",INDEX(상세표[18~22시],$U1457))</f>
        <v/>
      </c>
      <c r="S1457" s="20">
        <f>IF($U1457="","",INDEX(상세표[22~06시],$U1457))</f>
        <v/>
      </c>
      <c r="T1457" s="20">
        <f>IF($U1457="","",INDEX(상세표[기록 시간외],$U1457))</f>
        <v/>
      </c>
      <c r="U1457" s="4">
        <f>IFERROR(MATCH(1452,상세표[발송순번],0),"")</f>
        <v/>
      </c>
    </row>
    <row r="1458">
      <c r="J1458">
        <f>IF($U1458="","",INDEX(상세표[사번],$U1458)&amp;"")</f>
        <v/>
      </c>
      <c r="K1458">
        <f>IF($U1458="","",INDEX(상세표[성명],$U1458)&amp;"")</f>
        <v/>
      </c>
      <c r="L1458">
        <f>IF($U1458="","",INDEX(상세표[직위],$U1458)&amp;"")</f>
        <v/>
      </c>
      <c r="M1458">
        <f>IF($U1458="","",IF(ISNUMBER(INDEX(상세표[근무일자],$U1458)),TEXT(INDEX(상세표[근무일자],$U1458),"yyyy-mm-dd"),INDEX(상세표[근무일자],$U1458)&amp;""))</f>
        <v/>
      </c>
      <c r="N1458">
        <f>IF($U1458="","",IF(ISNUMBER(INDEX(상세표[시작],$U1458)),TEXT(INDEX(상세표[시작],$U1458),"yyyy-mm-dd hh:mm"),INDEX(상세표[시작],$U1458)&amp;""))</f>
        <v/>
      </c>
      <c r="O1458">
        <f>IF($U1458="","",IF(ISNUMBER(INDEX(상세표[종료],$U1458)),TEXT(INDEX(상세표[종료],$U1458),"yyyy-mm-dd hh:mm"),INDEX(상세표[종료],$U1458)&amp;""))</f>
        <v/>
      </c>
      <c r="P1458" s="20">
        <f>IF($U1458="","",INDEX(상세표[06~07시],$U1458))</f>
        <v/>
      </c>
      <c r="Q1458" s="20">
        <f>IF($U1458="","",INDEX(상세표[07~18시],$U1458))</f>
        <v/>
      </c>
      <c r="R1458" s="20">
        <f>IF($U1458="","",INDEX(상세표[18~22시],$U1458))</f>
        <v/>
      </c>
      <c r="S1458" s="20">
        <f>IF($U1458="","",INDEX(상세표[22~06시],$U1458))</f>
        <v/>
      </c>
      <c r="T1458" s="20">
        <f>IF($U1458="","",INDEX(상세표[기록 시간외],$U1458))</f>
        <v/>
      </c>
      <c r="U1458" s="4">
        <f>IFERROR(MATCH(1453,상세표[발송순번],0),"")</f>
        <v/>
      </c>
    </row>
    <row r="1459">
      <c r="J1459">
        <f>IF($U1459="","",INDEX(상세표[사번],$U1459)&amp;"")</f>
        <v/>
      </c>
      <c r="K1459">
        <f>IF($U1459="","",INDEX(상세표[성명],$U1459)&amp;"")</f>
        <v/>
      </c>
      <c r="L1459">
        <f>IF($U1459="","",INDEX(상세표[직위],$U1459)&amp;"")</f>
        <v/>
      </c>
      <c r="M1459">
        <f>IF($U1459="","",IF(ISNUMBER(INDEX(상세표[근무일자],$U1459)),TEXT(INDEX(상세표[근무일자],$U1459),"yyyy-mm-dd"),INDEX(상세표[근무일자],$U1459)&amp;""))</f>
        <v/>
      </c>
      <c r="N1459">
        <f>IF($U1459="","",IF(ISNUMBER(INDEX(상세표[시작],$U1459)),TEXT(INDEX(상세표[시작],$U1459),"yyyy-mm-dd hh:mm"),INDEX(상세표[시작],$U1459)&amp;""))</f>
        <v/>
      </c>
      <c r="O1459">
        <f>IF($U1459="","",IF(ISNUMBER(INDEX(상세표[종료],$U1459)),TEXT(INDEX(상세표[종료],$U1459),"yyyy-mm-dd hh:mm"),INDEX(상세표[종료],$U1459)&amp;""))</f>
        <v/>
      </c>
      <c r="P1459" s="20">
        <f>IF($U1459="","",INDEX(상세표[06~07시],$U1459))</f>
        <v/>
      </c>
      <c r="Q1459" s="20">
        <f>IF($U1459="","",INDEX(상세표[07~18시],$U1459))</f>
        <v/>
      </c>
      <c r="R1459" s="20">
        <f>IF($U1459="","",INDEX(상세표[18~22시],$U1459))</f>
        <v/>
      </c>
      <c r="S1459" s="20">
        <f>IF($U1459="","",INDEX(상세표[22~06시],$U1459))</f>
        <v/>
      </c>
      <c r="T1459" s="20">
        <f>IF($U1459="","",INDEX(상세표[기록 시간외],$U1459))</f>
        <v/>
      </c>
      <c r="U1459" s="4">
        <f>IFERROR(MATCH(1454,상세표[발송순번],0),"")</f>
        <v/>
      </c>
    </row>
    <row r="1460">
      <c r="J1460">
        <f>IF($U1460="","",INDEX(상세표[사번],$U1460)&amp;"")</f>
        <v/>
      </c>
      <c r="K1460">
        <f>IF($U1460="","",INDEX(상세표[성명],$U1460)&amp;"")</f>
        <v/>
      </c>
      <c r="L1460">
        <f>IF($U1460="","",INDEX(상세표[직위],$U1460)&amp;"")</f>
        <v/>
      </c>
      <c r="M1460">
        <f>IF($U1460="","",IF(ISNUMBER(INDEX(상세표[근무일자],$U1460)),TEXT(INDEX(상세표[근무일자],$U1460),"yyyy-mm-dd"),INDEX(상세표[근무일자],$U1460)&amp;""))</f>
        <v/>
      </c>
      <c r="N1460">
        <f>IF($U1460="","",IF(ISNUMBER(INDEX(상세표[시작],$U1460)),TEXT(INDEX(상세표[시작],$U1460),"yyyy-mm-dd hh:mm"),INDEX(상세표[시작],$U1460)&amp;""))</f>
        <v/>
      </c>
      <c r="O1460">
        <f>IF($U1460="","",IF(ISNUMBER(INDEX(상세표[종료],$U1460)),TEXT(INDEX(상세표[종료],$U1460),"yyyy-mm-dd hh:mm"),INDEX(상세표[종료],$U1460)&amp;""))</f>
        <v/>
      </c>
      <c r="P1460" s="20">
        <f>IF($U1460="","",INDEX(상세표[06~07시],$U1460))</f>
        <v/>
      </c>
      <c r="Q1460" s="20">
        <f>IF($U1460="","",INDEX(상세표[07~18시],$U1460))</f>
        <v/>
      </c>
      <c r="R1460" s="20">
        <f>IF($U1460="","",INDEX(상세표[18~22시],$U1460))</f>
        <v/>
      </c>
      <c r="S1460" s="20">
        <f>IF($U1460="","",INDEX(상세표[22~06시],$U1460))</f>
        <v/>
      </c>
      <c r="T1460" s="20">
        <f>IF($U1460="","",INDEX(상세표[기록 시간외],$U1460))</f>
        <v/>
      </c>
      <c r="U1460" s="4">
        <f>IFERROR(MATCH(1455,상세표[발송순번],0),"")</f>
        <v/>
      </c>
    </row>
    <row r="1461">
      <c r="J1461">
        <f>IF($U1461="","",INDEX(상세표[사번],$U1461)&amp;"")</f>
        <v/>
      </c>
      <c r="K1461">
        <f>IF($U1461="","",INDEX(상세표[성명],$U1461)&amp;"")</f>
        <v/>
      </c>
      <c r="L1461">
        <f>IF($U1461="","",INDEX(상세표[직위],$U1461)&amp;"")</f>
        <v/>
      </c>
      <c r="M1461">
        <f>IF($U1461="","",IF(ISNUMBER(INDEX(상세표[근무일자],$U1461)),TEXT(INDEX(상세표[근무일자],$U1461),"yyyy-mm-dd"),INDEX(상세표[근무일자],$U1461)&amp;""))</f>
        <v/>
      </c>
      <c r="N1461">
        <f>IF($U1461="","",IF(ISNUMBER(INDEX(상세표[시작],$U1461)),TEXT(INDEX(상세표[시작],$U1461),"yyyy-mm-dd hh:mm"),INDEX(상세표[시작],$U1461)&amp;""))</f>
        <v/>
      </c>
      <c r="O1461">
        <f>IF($U1461="","",IF(ISNUMBER(INDEX(상세표[종료],$U1461)),TEXT(INDEX(상세표[종료],$U1461),"yyyy-mm-dd hh:mm"),INDEX(상세표[종료],$U1461)&amp;""))</f>
        <v/>
      </c>
      <c r="P1461" s="20">
        <f>IF($U1461="","",INDEX(상세표[06~07시],$U1461))</f>
        <v/>
      </c>
      <c r="Q1461" s="20">
        <f>IF($U1461="","",INDEX(상세표[07~18시],$U1461))</f>
        <v/>
      </c>
      <c r="R1461" s="20">
        <f>IF($U1461="","",INDEX(상세표[18~22시],$U1461))</f>
        <v/>
      </c>
      <c r="S1461" s="20">
        <f>IF($U1461="","",INDEX(상세표[22~06시],$U1461))</f>
        <v/>
      </c>
      <c r="T1461" s="20">
        <f>IF($U1461="","",INDEX(상세표[기록 시간외],$U1461))</f>
        <v/>
      </c>
      <c r="U1461" s="4">
        <f>IFERROR(MATCH(1456,상세표[발송순번],0),"")</f>
        <v/>
      </c>
    </row>
    <row r="1462">
      <c r="J1462">
        <f>IF($U1462="","",INDEX(상세표[사번],$U1462)&amp;"")</f>
        <v/>
      </c>
      <c r="K1462">
        <f>IF($U1462="","",INDEX(상세표[성명],$U1462)&amp;"")</f>
        <v/>
      </c>
      <c r="L1462">
        <f>IF($U1462="","",INDEX(상세표[직위],$U1462)&amp;"")</f>
        <v/>
      </c>
      <c r="M1462">
        <f>IF($U1462="","",IF(ISNUMBER(INDEX(상세표[근무일자],$U1462)),TEXT(INDEX(상세표[근무일자],$U1462),"yyyy-mm-dd"),INDEX(상세표[근무일자],$U1462)&amp;""))</f>
        <v/>
      </c>
      <c r="N1462">
        <f>IF($U1462="","",IF(ISNUMBER(INDEX(상세표[시작],$U1462)),TEXT(INDEX(상세표[시작],$U1462),"yyyy-mm-dd hh:mm"),INDEX(상세표[시작],$U1462)&amp;""))</f>
        <v/>
      </c>
      <c r="O1462">
        <f>IF($U1462="","",IF(ISNUMBER(INDEX(상세표[종료],$U1462)),TEXT(INDEX(상세표[종료],$U1462),"yyyy-mm-dd hh:mm"),INDEX(상세표[종료],$U1462)&amp;""))</f>
        <v/>
      </c>
      <c r="P1462" s="20">
        <f>IF($U1462="","",INDEX(상세표[06~07시],$U1462))</f>
        <v/>
      </c>
      <c r="Q1462" s="20">
        <f>IF($U1462="","",INDEX(상세표[07~18시],$U1462))</f>
        <v/>
      </c>
      <c r="R1462" s="20">
        <f>IF($U1462="","",INDEX(상세표[18~22시],$U1462))</f>
        <v/>
      </c>
      <c r="S1462" s="20">
        <f>IF($U1462="","",INDEX(상세표[22~06시],$U1462))</f>
        <v/>
      </c>
      <c r="T1462" s="20">
        <f>IF($U1462="","",INDEX(상세표[기록 시간외],$U1462))</f>
        <v/>
      </c>
      <c r="U1462" s="4">
        <f>IFERROR(MATCH(1457,상세표[발송순번],0),"")</f>
        <v/>
      </c>
    </row>
    <row r="1463">
      <c r="J1463">
        <f>IF($U1463="","",INDEX(상세표[사번],$U1463)&amp;"")</f>
        <v/>
      </c>
      <c r="K1463">
        <f>IF($U1463="","",INDEX(상세표[성명],$U1463)&amp;"")</f>
        <v/>
      </c>
      <c r="L1463">
        <f>IF($U1463="","",INDEX(상세표[직위],$U1463)&amp;"")</f>
        <v/>
      </c>
      <c r="M1463">
        <f>IF($U1463="","",IF(ISNUMBER(INDEX(상세표[근무일자],$U1463)),TEXT(INDEX(상세표[근무일자],$U1463),"yyyy-mm-dd"),INDEX(상세표[근무일자],$U1463)&amp;""))</f>
        <v/>
      </c>
      <c r="N1463">
        <f>IF($U1463="","",IF(ISNUMBER(INDEX(상세표[시작],$U1463)),TEXT(INDEX(상세표[시작],$U1463),"yyyy-mm-dd hh:mm"),INDEX(상세표[시작],$U1463)&amp;""))</f>
        <v/>
      </c>
      <c r="O1463">
        <f>IF($U1463="","",IF(ISNUMBER(INDEX(상세표[종료],$U1463)),TEXT(INDEX(상세표[종료],$U1463),"yyyy-mm-dd hh:mm"),INDEX(상세표[종료],$U1463)&amp;""))</f>
        <v/>
      </c>
      <c r="P1463" s="20">
        <f>IF($U1463="","",INDEX(상세표[06~07시],$U1463))</f>
        <v/>
      </c>
      <c r="Q1463" s="20">
        <f>IF($U1463="","",INDEX(상세표[07~18시],$U1463))</f>
        <v/>
      </c>
      <c r="R1463" s="20">
        <f>IF($U1463="","",INDEX(상세표[18~22시],$U1463))</f>
        <v/>
      </c>
      <c r="S1463" s="20">
        <f>IF($U1463="","",INDEX(상세표[22~06시],$U1463))</f>
        <v/>
      </c>
      <c r="T1463" s="20">
        <f>IF($U1463="","",INDEX(상세표[기록 시간외],$U1463))</f>
        <v/>
      </c>
      <c r="U1463" s="4">
        <f>IFERROR(MATCH(1458,상세표[발송순번],0),"")</f>
        <v/>
      </c>
    </row>
    <row r="1464">
      <c r="J1464">
        <f>IF($U1464="","",INDEX(상세표[사번],$U1464)&amp;"")</f>
        <v/>
      </c>
      <c r="K1464">
        <f>IF($U1464="","",INDEX(상세표[성명],$U1464)&amp;"")</f>
        <v/>
      </c>
      <c r="L1464">
        <f>IF($U1464="","",INDEX(상세표[직위],$U1464)&amp;"")</f>
        <v/>
      </c>
      <c r="M1464">
        <f>IF($U1464="","",IF(ISNUMBER(INDEX(상세표[근무일자],$U1464)),TEXT(INDEX(상세표[근무일자],$U1464),"yyyy-mm-dd"),INDEX(상세표[근무일자],$U1464)&amp;""))</f>
        <v/>
      </c>
      <c r="N1464">
        <f>IF($U1464="","",IF(ISNUMBER(INDEX(상세표[시작],$U1464)),TEXT(INDEX(상세표[시작],$U1464),"yyyy-mm-dd hh:mm"),INDEX(상세표[시작],$U1464)&amp;""))</f>
        <v/>
      </c>
      <c r="O1464">
        <f>IF($U1464="","",IF(ISNUMBER(INDEX(상세표[종료],$U1464)),TEXT(INDEX(상세표[종료],$U1464),"yyyy-mm-dd hh:mm"),INDEX(상세표[종료],$U1464)&amp;""))</f>
        <v/>
      </c>
      <c r="P1464" s="20">
        <f>IF($U1464="","",INDEX(상세표[06~07시],$U1464))</f>
        <v/>
      </c>
      <c r="Q1464" s="20">
        <f>IF($U1464="","",INDEX(상세표[07~18시],$U1464))</f>
        <v/>
      </c>
      <c r="R1464" s="20">
        <f>IF($U1464="","",INDEX(상세표[18~22시],$U1464))</f>
        <v/>
      </c>
      <c r="S1464" s="20">
        <f>IF($U1464="","",INDEX(상세표[22~06시],$U1464))</f>
        <v/>
      </c>
      <c r="T1464" s="20">
        <f>IF($U1464="","",INDEX(상세표[기록 시간외],$U1464))</f>
        <v/>
      </c>
      <c r="U1464" s="4">
        <f>IFERROR(MATCH(1459,상세표[발송순번],0),"")</f>
        <v/>
      </c>
    </row>
    <row r="1465">
      <c r="J1465">
        <f>IF($U1465="","",INDEX(상세표[사번],$U1465)&amp;"")</f>
        <v/>
      </c>
      <c r="K1465">
        <f>IF($U1465="","",INDEX(상세표[성명],$U1465)&amp;"")</f>
        <v/>
      </c>
      <c r="L1465">
        <f>IF($U1465="","",INDEX(상세표[직위],$U1465)&amp;"")</f>
        <v/>
      </c>
      <c r="M1465">
        <f>IF($U1465="","",IF(ISNUMBER(INDEX(상세표[근무일자],$U1465)),TEXT(INDEX(상세표[근무일자],$U1465),"yyyy-mm-dd"),INDEX(상세표[근무일자],$U1465)&amp;""))</f>
        <v/>
      </c>
      <c r="N1465">
        <f>IF($U1465="","",IF(ISNUMBER(INDEX(상세표[시작],$U1465)),TEXT(INDEX(상세표[시작],$U1465),"yyyy-mm-dd hh:mm"),INDEX(상세표[시작],$U1465)&amp;""))</f>
        <v/>
      </c>
      <c r="O1465">
        <f>IF($U1465="","",IF(ISNUMBER(INDEX(상세표[종료],$U1465)),TEXT(INDEX(상세표[종료],$U1465),"yyyy-mm-dd hh:mm"),INDEX(상세표[종료],$U1465)&amp;""))</f>
        <v/>
      </c>
      <c r="P1465" s="20">
        <f>IF($U1465="","",INDEX(상세표[06~07시],$U1465))</f>
        <v/>
      </c>
      <c r="Q1465" s="20">
        <f>IF($U1465="","",INDEX(상세표[07~18시],$U1465))</f>
        <v/>
      </c>
      <c r="R1465" s="20">
        <f>IF($U1465="","",INDEX(상세표[18~22시],$U1465))</f>
        <v/>
      </c>
      <c r="S1465" s="20">
        <f>IF($U1465="","",INDEX(상세표[22~06시],$U1465))</f>
        <v/>
      </c>
      <c r="T1465" s="20">
        <f>IF($U1465="","",INDEX(상세표[기록 시간외],$U1465))</f>
        <v/>
      </c>
      <c r="U1465" s="4">
        <f>IFERROR(MATCH(1460,상세표[발송순번],0),"")</f>
        <v/>
      </c>
    </row>
    <row r="1466">
      <c r="J1466">
        <f>IF($U1466="","",INDEX(상세표[사번],$U1466)&amp;"")</f>
        <v/>
      </c>
      <c r="K1466">
        <f>IF($U1466="","",INDEX(상세표[성명],$U1466)&amp;"")</f>
        <v/>
      </c>
      <c r="L1466">
        <f>IF($U1466="","",INDEX(상세표[직위],$U1466)&amp;"")</f>
        <v/>
      </c>
      <c r="M1466">
        <f>IF($U1466="","",IF(ISNUMBER(INDEX(상세표[근무일자],$U1466)),TEXT(INDEX(상세표[근무일자],$U1466),"yyyy-mm-dd"),INDEX(상세표[근무일자],$U1466)&amp;""))</f>
        <v/>
      </c>
      <c r="N1466">
        <f>IF($U1466="","",IF(ISNUMBER(INDEX(상세표[시작],$U1466)),TEXT(INDEX(상세표[시작],$U1466),"yyyy-mm-dd hh:mm"),INDEX(상세표[시작],$U1466)&amp;""))</f>
        <v/>
      </c>
      <c r="O1466">
        <f>IF($U1466="","",IF(ISNUMBER(INDEX(상세표[종료],$U1466)),TEXT(INDEX(상세표[종료],$U1466),"yyyy-mm-dd hh:mm"),INDEX(상세표[종료],$U1466)&amp;""))</f>
        <v/>
      </c>
      <c r="P1466" s="20">
        <f>IF($U1466="","",INDEX(상세표[06~07시],$U1466))</f>
        <v/>
      </c>
      <c r="Q1466" s="20">
        <f>IF($U1466="","",INDEX(상세표[07~18시],$U1466))</f>
        <v/>
      </c>
      <c r="R1466" s="20">
        <f>IF($U1466="","",INDEX(상세표[18~22시],$U1466))</f>
        <v/>
      </c>
      <c r="S1466" s="20">
        <f>IF($U1466="","",INDEX(상세표[22~06시],$U1466))</f>
        <v/>
      </c>
      <c r="T1466" s="20">
        <f>IF($U1466="","",INDEX(상세표[기록 시간외],$U1466))</f>
        <v/>
      </c>
      <c r="U1466" s="4">
        <f>IFERROR(MATCH(1461,상세표[발송순번],0),"")</f>
        <v/>
      </c>
    </row>
    <row r="1467">
      <c r="J1467">
        <f>IF($U1467="","",INDEX(상세표[사번],$U1467)&amp;"")</f>
        <v/>
      </c>
      <c r="K1467">
        <f>IF($U1467="","",INDEX(상세표[성명],$U1467)&amp;"")</f>
        <v/>
      </c>
      <c r="L1467">
        <f>IF($U1467="","",INDEX(상세표[직위],$U1467)&amp;"")</f>
        <v/>
      </c>
      <c r="M1467">
        <f>IF($U1467="","",IF(ISNUMBER(INDEX(상세표[근무일자],$U1467)),TEXT(INDEX(상세표[근무일자],$U1467),"yyyy-mm-dd"),INDEX(상세표[근무일자],$U1467)&amp;""))</f>
        <v/>
      </c>
      <c r="N1467">
        <f>IF($U1467="","",IF(ISNUMBER(INDEX(상세표[시작],$U1467)),TEXT(INDEX(상세표[시작],$U1467),"yyyy-mm-dd hh:mm"),INDEX(상세표[시작],$U1467)&amp;""))</f>
        <v/>
      </c>
      <c r="O1467">
        <f>IF($U1467="","",IF(ISNUMBER(INDEX(상세표[종료],$U1467)),TEXT(INDEX(상세표[종료],$U1467),"yyyy-mm-dd hh:mm"),INDEX(상세표[종료],$U1467)&amp;""))</f>
        <v/>
      </c>
      <c r="P1467" s="20">
        <f>IF($U1467="","",INDEX(상세표[06~07시],$U1467))</f>
        <v/>
      </c>
      <c r="Q1467" s="20">
        <f>IF($U1467="","",INDEX(상세표[07~18시],$U1467))</f>
        <v/>
      </c>
      <c r="R1467" s="20">
        <f>IF($U1467="","",INDEX(상세표[18~22시],$U1467))</f>
        <v/>
      </c>
      <c r="S1467" s="20">
        <f>IF($U1467="","",INDEX(상세표[22~06시],$U1467))</f>
        <v/>
      </c>
      <c r="T1467" s="20">
        <f>IF($U1467="","",INDEX(상세표[기록 시간외],$U1467))</f>
        <v/>
      </c>
      <c r="U1467" s="4">
        <f>IFERROR(MATCH(1462,상세표[발송순번],0),"")</f>
        <v/>
      </c>
    </row>
    <row r="1468">
      <c r="J1468">
        <f>IF($U1468="","",INDEX(상세표[사번],$U1468)&amp;"")</f>
        <v/>
      </c>
      <c r="K1468">
        <f>IF($U1468="","",INDEX(상세표[성명],$U1468)&amp;"")</f>
        <v/>
      </c>
      <c r="L1468">
        <f>IF($U1468="","",INDEX(상세표[직위],$U1468)&amp;"")</f>
        <v/>
      </c>
      <c r="M1468">
        <f>IF($U1468="","",IF(ISNUMBER(INDEX(상세표[근무일자],$U1468)),TEXT(INDEX(상세표[근무일자],$U1468),"yyyy-mm-dd"),INDEX(상세표[근무일자],$U1468)&amp;""))</f>
        <v/>
      </c>
      <c r="N1468">
        <f>IF($U1468="","",IF(ISNUMBER(INDEX(상세표[시작],$U1468)),TEXT(INDEX(상세표[시작],$U1468),"yyyy-mm-dd hh:mm"),INDEX(상세표[시작],$U1468)&amp;""))</f>
        <v/>
      </c>
      <c r="O1468">
        <f>IF($U1468="","",IF(ISNUMBER(INDEX(상세표[종료],$U1468)),TEXT(INDEX(상세표[종료],$U1468),"yyyy-mm-dd hh:mm"),INDEX(상세표[종료],$U1468)&amp;""))</f>
        <v/>
      </c>
      <c r="P1468" s="20">
        <f>IF($U1468="","",INDEX(상세표[06~07시],$U1468))</f>
        <v/>
      </c>
      <c r="Q1468" s="20">
        <f>IF($U1468="","",INDEX(상세표[07~18시],$U1468))</f>
        <v/>
      </c>
      <c r="R1468" s="20">
        <f>IF($U1468="","",INDEX(상세표[18~22시],$U1468))</f>
        <v/>
      </c>
      <c r="S1468" s="20">
        <f>IF($U1468="","",INDEX(상세표[22~06시],$U1468))</f>
        <v/>
      </c>
      <c r="T1468" s="20">
        <f>IF($U1468="","",INDEX(상세표[기록 시간외],$U1468))</f>
        <v/>
      </c>
      <c r="U1468" s="4">
        <f>IFERROR(MATCH(1463,상세표[발송순번],0),"")</f>
        <v/>
      </c>
    </row>
    <row r="1469">
      <c r="J1469">
        <f>IF($U1469="","",INDEX(상세표[사번],$U1469)&amp;"")</f>
        <v/>
      </c>
      <c r="K1469">
        <f>IF($U1469="","",INDEX(상세표[성명],$U1469)&amp;"")</f>
        <v/>
      </c>
      <c r="L1469">
        <f>IF($U1469="","",INDEX(상세표[직위],$U1469)&amp;"")</f>
        <v/>
      </c>
      <c r="M1469">
        <f>IF($U1469="","",IF(ISNUMBER(INDEX(상세표[근무일자],$U1469)),TEXT(INDEX(상세표[근무일자],$U1469),"yyyy-mm-dd"),INDEX(상세표[근무일자],$U1469)&amp;""))</f>
        <v/>
      </c>
      <c r="N1469">
        <f>IF($U1469="","",IF(ISNUMBER(INDEX(상세표[시작],$U1469)),TEXT(INDEX(상세표[시작],$U1469),"yyyy-mm-dd hh:mm"),INDEX(상세표[시작],$U1469)&amp;""))</f>
        <v/>
      </c>
      <c r="O1469">
        <f>IF($U1469="","",IF(ISNUMBER(INDEX(상세표[종료],$U1469)),TEXT(INDEX(상세표[종료],$U1469),"yyyy-mm-dd hh:mm"),INDEX(상세표[종료],$U1469)&amp;""))</f>
        <v/>
      </c>
      <c r="P1469" s="20">
        <f>IF($U1469="","",INDEX(상세표[06~07시],$U1469))</f>
        <v/>
      </c>
      <c r="Q1469" s="20">
        <f>IF($U1469="","",INDEX(상세표[07~18시],$U1469))</f>
        <v/>
      </c>
      <c r="R1469" s="20">
        <f>IF($U1469="","",INDEX(상세표[18~22시],$U1469))</f>
        <v/>
      </c>
      <c r="S1469" s="20">
        <f>IF($U1469="","",INDEX(상세표[22~06시],$U1469))</f>
        <v/>
      </c>
      <c r="T1469" s="20">
        <f>IF($U1469="","",INDEX(상세표[기록 시간외],$U1469))</f>
        <v/>
      </c>
      <c r="U1469" s="4">
        <f>IFERROR(MATCH(1464,상세표[발송순번],0),"")</f>
        <v/>
      </c>
    </row>
    <row r="1470">
      <c r="J1470">
        <f>IF($U1470="","",INDEX(상세표[사번],$U1470)&amp;"")</f>
        <v/>
      </c>
      <c r="K1470">
        <f>IF($U1470="","",INDEX(상세표[성명],$U1470)&amp;"")</f>
        <v/>
      </c>
      <c r="L1470">
        <f>IF($U1470="","",INDEX(상세표[직위],$U1470)&amp;"")</f>
        <v/>
      </c>
      <c r="M1470">
        <f>IF($U1470="","",IF(ISNUMBER(INDEX(상세표[근무일자],$U1470)),TEXT(INDEX(상세표[근무일자],$U1470),"yyyy-mm-dd"),INDEX(상세표[근무일자],$U1470)&amp;""))</f>
        <v/>
      </c>
      <c r="N1470">
        <f>IF($U1470="","",IF(ISNUMBER(INDEX(상세표[시작],$U1470)),TEXT(INDEX(상세표[시작],$U1470),"yyyy-mm-dd hh:mm"),INDEX(상세표[시작],$U1470)&amp;""))</f>
        <v/>
      </c>
      <c r="O1470">
        <f>IF($U1470="","",IF(ISNUMBER(INDEX(상세표[종료],$U1470)),TEXT(INDEX(상세표[종료],$U1470),"yyyy-mm-dd hh:mm"),INDEX(상세표[종료],$U1470)&amp;""))</f>
        <v/>
      </c>
      <c r="P1470" s="20">
        <f>IF($U1470="","",INDEX(상세표[06~07시],$U1470))</f>
        <v/>
      </c>
      <c r="Q1470" s="20">
        <f>IF($U1470="","",INDEX(상세표[07~18시],$U1470))</f>
        <v/>
      </c>
      <c r="R1470" s="20">
        <f>IF($U1470="","",INDEX(상세표[18~22시],$U1470))</f>
        <v/>
      </c>
      <c r="S1470" s="20">
        <f>IF($U1470="","",INDEX(상세표[22~06시],$U1470))</f>
        <v/>
      </c>
      <c r="T1470" s="20">
        <f>IF($U1470="","",INDEX(상세표[기록 시간외],$U1470))</f>
        <v/>
      </c>
      <c r="U1470" s="4">
        <f>IFERROR(MATCH(1465,상세표[발송순번],0),"")</f>
        <v/>
      </c>
    </row>
    <row r="1471">
      <c r="J1471">
        <f>IF($U1471="","",INDEX(상세표[사번],$U1471)&amp;"")</f>
        <v/>
      </c>
      <c r="K1471">
        <f>IF($U1471="","",INDEX(상세표[성명],$U1471)&amp;"")</f>
        <v/>
      </c>
      <c r="L1471">
        <f>IF($U1471="","",INDEX(상세표[직위],$U1471)&amp;"")</f>
        <v/>
      </c>
      <c r="M1471">
        <f>IF($U1471="","",IF(ISNUMBER(INDEX(상세표[근무일자],$U1471)),TEXT(INDEX(상세표[근무일자],$U1471),"yyyy-mm-dd"),INDEX(상세표[근무일자],$U1471)&amp;""))</f>
        <v/>
      </c>
      <c r="N1471">
        <f>IF($U1471="","",IF(ISNUMBER(INDEX(상세표[시작],$U1471)),TEXT(INDEX(상세표[시작],$U1471),"yyyy-mm-dd hh:mm"),INDEX(상세표[시작],$U1471)&amp;""))</f>
        <v/>
      </c>
      <c r="O1471">
        <f>IF($U1471="","",IF(ISNUMBER(INDEX(상세표[종료],$U1471)),TEXT(INDEX(상세표[종료],$U1471),"yyyy-mm-dd hh:mm"),INDEX(상세표[종료],$U1471)&amp;""))</f>
        <v/>
      </c>
      <c r="P1471" s="20">
        <f>IF($U1471="","",INDEX(상세표[06~07시],$U1471))</f>
        <v/>
      </c>
      <c r="Q1471" s="20">
        <f>IF($U1471="","",INDEX(상세표[07~18시],$U1471))</f>
        <v/>
      </c>
      <c r="R1471" s="20">
        <f>IF($U1471="","",INDEX(상세표[18~22시],$U1471))</f>
        <v/>
      </c>
      <c r="S1471" s="20">
        <f>IF($U1471="","",INDEX(상세표[22~06시],$U1471))</f>
        <v/>
      </c>
      <c r="T1471" s="20">
        <f>IF($U1471="","",INDEX(상세표[기록 시간외],$U1471))</f>
        <v/>
      </c>
      <c r="U1471" s="4">
        <f>IFERROR(MATCH(1466,상세표[발송순번],0),"")</f>
        <v/>
      </c>
    </row>
    <row r="1472">
      <c r="J1472">
        <f>IF($U1472="","",INDEX(상세표[사번],$U1472)&amp;"")</f>
        <v/>
      </c>
      <c r="K1472">
        <f>IF($U1472="","",INDEX(상세표[성명],$U1472)&amp;"")</f>
        <v/>
      </c>
      <c r="L1472">
        <f>IF($U1472="","",INDEX(상세표[직위],$U1472)&amp;"")</f>
        <v/>
      </c>
      <c r="M1472">
        <f>IF($U1472="","",IF(ISNUMBER(INDEX(상세표[근무일자],$U1472)),TEXT(INDEX(상세표[근무일자],$U1472),"yyyy-mm-dd"),INDEX(상세표[근무일자],$U1472)&amp;""))</f>
        <v/>
      </c>
      <c r="N1472">
        <f>IF($U1472="","",IF(ISNUMBER(INDEX(상세표[시작],$U1472)),TEXT(INDEX(상세표[시작],$U1472),"yyyy-mm-dd hh:mm"),INDEX(상세표[시작],$U1472)&amp;""))</f>
        <v/>
      </c>
      <c r="O1472">
        <f>IF($U1472="","",IF(ISNUMBER(INDEX(상세표[종료],$U1472)),TEXT(INDEX(상세표[종료],$U1472),"yyyy-mm-dd hh:mm"),INDEX(상세표[종료],$U1472)&amp;""))</f>
        <v/>
      </c>
      <c r="P1472" s="20">
        <f>IF($U1472="","",INDEX(상세표[06~07시],$U1472))</f>
        <v/>
      </c>
      <c r="Q1472" s="20">
        <f>IF($U1472="","",INDEX(상세표[07~18시],$U1472))</f>
        <v/>
      </c>
      <c r="R1472" s="20">
        <f>IF($U1472="","",INDEX(상세표[18~22시],$U1472))</f>
        <v/>
      </c>
      <c r="S1472" s="20">
        <f>IF($U1472="","",INDEX(상세표[22~06시],$U1472))</f>
        <v/>
      </c>
      <c r="T1472" s="20">
        <f>IF($U1472="","",INDEX(상세표[기록 시간외],$U1472))</f>
        <v/>
      </c>
      <c r="U1472" s="4">
        <f>IFERROR(MATCH(1467,상세표[발송순번],0),"")</f>
        <v/>
      </c>
    </row>
    <row r="1473">
      <c r="J1473">
        <f>IF($U1473="","",INDEX(상세표[사번],$U1473)&amp;"")</f>
        <v/>
      </c>
      <c r="K1473">
        <f>IF($U1473="","",INDEX(상세표[성명],$U1473)&amp;"")</f>
        <v/>
      </c>
      <c r="L1473">
        <f>IF($U1473="","",INDEX(상세표[직위],$U1473)&amp;"")</f>
        <v/>
      </c>
      <c r="M1473">
        <f>IF($U1473="","",IF(ISNUMBER(INDEX(상세표[근무일자],$U1473)),TEXT(INDEX(상세표[근무일자],$U1473),"yyyy-mm-dd"),INDEX(상세표[근무일자],$U1473)&amp;""))</f>
        <v/>
      </c>
      <c r="N1473">
        <f>IF($U1473="","",IF(ISNUMBER(INDEX(상세표[시작],$U1473)),TEXT(INDEX(상세표[시작],$U1473),"yyyy-mm-dd hh:mm"),INDEX(상세표[시작],$U1473)&amp;""))</f>
        <v/>
      </c>
      <c r="O1473">
        <f>IF($U1473="","",IF(ISNUMBER(INDEX(상세표[종료],$U1473)),TEXT(INDEX(상세표[종료],$U1473),"yyyy-mm-dd hh:mm"),INDEX(상세표[종료],$U1473)&amp;""))</f>
        <v/>
      </c>
      <c r="P1473" s="20">
        <f>IF($U1473="","",INDEX(상세표[06~07시],$U1473))</f>
        <v/>
      </c>
      <c r="Q1473" s="20">
        <f>IF($U1473="","",INDEX(상세표[07~18시],$U1473))</f>
        <v/>
      </c>
      <c r="R1473" s="20">
        <f>IF($U1473="","",INDEX(상세표[18~22시],$U1473))</f>
        <v/>
      </c>
      <c r="S1473" s="20">
        <f>IF($U1473="","",INDEX(상세표[22~06시],$U1473))</f>
        <v/>
      </c>
      <c r="T1473" s="20">
        <f>IF($U1473="","",INDEX(상세표[기록 시간외],$U1473))</f>
        <v/>
      </c>
      <c r="U1473" s="4">
        <f>IFERROR(MATCH(1468,상세표[발송순번],0),"")</f>
        <v/>
      </c>
    </row>
    <row r="1474">
      <c r="J1474">
        <f>IF($U1474="","",INDEX(상세표[사번],$U1474)&amp;"")</f>
        <v/>
      </c>
      <c r="K1474">
        <f>IF($U1474="","",INDEX(상세표[성명],$U1474)&amp;"")</f>
        <v/>
      </c>
      <c r="L1474">
        <f>IF($U1474="","",INDEX(상세표[직위],$U1474)&amp;"")</f>
        <v/>
      </c>
      <c r="M1474">
        <f>IF($U1474="","",IF(ISNUMBER(INDEX(상세표[근무일자],$U1474)),TEXT(INDEX(상세표[근무일자],$U1474),"yyyy-mm-dd"),INDEX(상세표[근무일자],$U1474)&amp;""))</f>
        <v/>
      </c>
      <c r="N1474">
        <f>IF($U1474="","",IF(ISNUMBER(INDEX(상세표[시작],$U1474)),TEXT(INDEX(상세표[시작],$U1474),"yyyy-mm-dd hh:mm"),INDEX(상세표[시작],$U1474)&amp;""))</f>
        <v/>
      </c>
      <c r="O1474">
        <f>IF($U1474="","",IF(ISNUMBER(INDEX(상세표[종료],$U1474)),TEXT(INDEX(상세표[종료],$U1474),"yyyy-mm-dd hh:mm"),INDEX(상세표[종료],$U1474)&amp;""))</f>
        <v/>
      </c>
      <c r="P1474" s="20">
        <f>IF($U1474="","",INDEX(상세표[06~07시],$U1474))</f>
        <v/>
      </c>
      <c r="Q1474" s="20">
        <f>IF($U1474="","",INDEX(상세표[07~18시],$U1474))</f>
        <v/>
      </c>
      <c r="R1474" s="20">
        <f>IF($U1474="","",INDEX(상세표[18~22시],$U1474))</f>
        <v/>
      </c>
      <c r="S1474" s="20">
        <f>IF($U1474="","",INDEX(상세표[22~06시],$U1474))</f>
        <v/>
      </c>
      <c r="T1474" s="20">
        <f>IF($U1474="","",INDEX(상세표[기록 시간외],$U1474))</f>
        <v/>
      </c>
      <c r="U1474" s="4">
        <f>IFERROR(MATCH(1469,상세표[발송순번],0),"")</f>
        <v/>
      </c>
    </row>
    <row r="1475">
      <c r="J1475">
        <f>IF($U1475="","",INDEX(상세표[사번],$U1475)&amp;"")</f>
        <v/>
      </c>
      <c r="K1475">
        <f>IF($U1475="","",INDEX(상세표[성명],$U1475)&amp;"")</f>
        <v/>
      </c>
      <c r="L1475">
        <f>IF($U1475="","",INDEX(상세표[직위],$U1475)&amp;"")</f>
        <v/>
      </c>
      <c r="M1475">
        <f>IF($U1475="","",IF(ISNUMBER(INDEX(상세표[근무일자],$U1475)),TEXT(INDEX(상세표[근무일자],$U1475),"yyyy-mm-dd"),INDEX(상세표[근무일자],$U1475)&amp;""))</f>
        <v/>
      </c>
      <c r="N1475">
        <f>IF($U1475="","",IF(ISNUMBER(INDEX(상세표[시작],$U1475)),TEXT(INDEX(상세표[시작],$U1475),"yyyy-mm-dd hh:mm"),INDEX(상세표[시작],$U1475)&amp;""))</f>
        <v/>
      </c>
      <c r="O1475">
        <f>IF($U1475="","",IF(ISNUMBER(INDEX(상세표[종료],$U1475)),TEXT(INDEX(상세표[종료],$U1475),"yyyy-mm-dd hh:mm"),INDEX(상세표[종료],$U1475)&amp;""))</f>
        <v/>
      </c>
      <c r="P1475" s="20">
        <f>IF($U1475="","",INDEX(상세표[06~07시],$U1475))</f>
        <v/>
      </c>
      <c r="Q1475" s="20">
        <f>IF($U1475="","",INDEX(상세표[07~18시],$U1475))</f>
        <v/>
      </c>
      <c r="R1475" s="20">
        <f>IF($U1475="","",INDEX(상세표[18~22시],$U1475))</f>
        <v/>
      </c>
      <c r="S1475" s="20">
        <f>IF($U1475="","",INDEX(상세표[22~06시],$U1475))</f>
        <v/>
      </c>
      <c r="T1475" s="20">
        <f>IF($U1475="","",INDEX(상세표[기록 시간외],$U1475))</f>
        <v/>
      </c>
      <c r="U1475" s="4">
        <f>IFERROR(MATCH(1470,상세표[발송순번],0),"")</f>
        <v/>
      </c>
    </row>
    <row r="1476">
      <c r="J1476">
        <f>IF($U1476="","",INDEX(상세표[사번],$U1476)&amp;"")</f>
        <v/>
      </c>
      <c r="K1476">
        <f>IF($U1476="","",INDEX(상세표[성명],$U1476)&amp;"")</f>
        <v/>
      </c>
      <c r="L1476">
        <f>IF($U1476="","",INDEX(상세표[직위],$U1476)&amp;"")</f>
        <v/>
      </c>
      <c r="M1476">
        <f>IF($U1476="","",IF(ISNUMBER(INDEX(상세표[근무일자],$U1476)),TEXT(INDEX(상세표[근무일자],$U1476),"yyyy-mm-dd"),INDEX(상세표[근무일자],$U1476)&amp;""))</f>
        <v/>
      </c>
      <c r="N1476">
        <f>IF($U1476="","",IF(ISNUMBER(INDEX(상세표[시작],$U1476)),TEXT(INDEX(상세표[시작],$U1476),"yyyy-mm-dd hh:mm"),INDEX(상세표[시작],$U1476)&amp;""))</f>
        <v/>
      </c>
      <c r="O1476">
        <f>IF($U1476="","",IF(ISNUMBER(INDEX(상세표[종료],$U1476)),TEXT(INDEX(상세표[종료],$U1476),"yyyy-mm-dd hh:mm"),INDEX(상세표[종료],$U1476)&amp;""))</f>
        <v/>
      </c>
      <c r="P1476" s="20">
        <f>IF($U1476="","",INDEX(상세표[06~07시],$U1476))</f>
        <v/>
      </c>
      <c r="Q1476" s="20">
        <f>IF($U1476="","",INDEX(상세표[07~18시],$U1476))</f>
        <v/>
      </c>
      <c r="R1476" s="20">
        <f>IF($U1476="","",INDEX(상세표[18~22시],$U1476))</f>
        <v/>
      </c>
      <c r="S1476" s="20">
        <f>IF($U1476="","",INDEX(상세표[22~06시],$U1476))</f>
        <v/>
      </c>
      <c r="T1476" s="20">
        <f>IF($U1476="","",INDEX(상세표[기록 시간외],$U1476))</f>
        <v/>
      </c>
      <c r="U1476" s="4">
        <f>IFERROR(MATCH(1471,상세표[발송순번],0),"")</f>
        <v/>
      </c>
    </row>
    <row r="1477">
      <c r="J1477">
        <f>IF($U1477="","",INDEX(상세표[사번],$U1477)&amp;"")</f>
        <v/>
      </c>
      <c r="K1477">
        <f>IF($U1477="","",INDEX(상세표[성명],$U1477)&amp;"")</f>
        <v/>
      </c>
      <c r="L1477">
        <f>IF($U1477="","",INDEX(상세표[직위],$U1477)&amp;"")</f>
        <v/>
      </c>
      <c r="M1477">
        <f>IF($U1477="","",IF(ISNUMBER(INDEX(상세표[근무일자],$U1477)),TEXT(INDEX(상세표[근무일자],$U1477),"yyyy-mm-dd"),INDEX(상세표[근무일자],$U1477)&amp;""))</f>
        <v/>
      </c>
      <c r="N1477">
        <f>IF($U1477="","",IF(ISNUMBER(INDEX(상세표[시작],$U1477)),TEXT(INDEX(상세표[시작],$U1477),"yyyy-mm-dd hh:mm"),INDEX(상세표[시작],$U1477)&amp;""))</f>
        <v/>
      </c>
      <c r="O1477">
        <f>IF($U1477="","",IF(ISNUMBER(INDEX(상세표[종료],$U1477)),TEXT(INDEX(상세표[종료],$U1477),"yyyy-mm-dd hh:mm"),INDEX(상세표[종료],$U1477)&amp;""))</f>
        <v/>
      </c>
      <c r="P1477" s="20">
        <f>IF($U1477="","",INDEX(상세표[06~07시],$U1477))</f>
        <v/>
      </c>
      <c r="Q1477" s="20">
        <f>IF($U1477="","",INDEX(상세표[07~18시],$U1477))</f>
        <v/>
      </c>
      <c r="R1477" s="20">
        <f>IF($U1477="","",INDEX(상세표[18~22시],$U1477))</f>
        <v/>
      </c>
      <c r="S1477" s="20">
        <f>IF($U1477="","",INDEX(상세표[22~06시],$U1477))</f>
        <v/>
      </c>
      <c r="T1477" s="20">
        <f>IF($U1477="","",INDEX(상세표[기록 시간외],$U1477))</f>
        <v/>
      </c>
      <c r="U1477" s="4">
        <f>IFERROR(MATCH(1472,상세표[발송순번],0),"")</f>
        <v/>
      </c>
    </row>
    <row r="1478">
      <c r="J1478">
        <f>IF($U1478="","",INDEX(상세표[사번],$U1478)&amp;"")</f>
        <v/>
      </c>
      <c r="K1478">
        <f>IF($U1478="","",INDEX(상세표[성명],$U1478)&amp;"")</f>
        <v/>
      </c>
      <c r="L1478">
        <f>IF($U1478="","",INDEX(상세표[직위],$U1478)&amp;"")</f>
        <v/>
      </c>
      <c r="M1478">
        <f>IF($U1478="","",IF(ISNUMBER(INDEX(상세표[근무일자],$U1478)),TEXT(INDEX(상세표[근무일자],$U1478),"yyyy-mm-dd"),INDEX(상세표[근무일자],$U1478)&amp;""))</f>
        <v/>
      </c>
      <c r="N1478">
        <f>IF($U1478="","",IF(ISNUMBER(INDEX(상세표[시작],$U1478)),TEXT(INDEX(상세표[시작],$U1478),"yyyy-mm-dd hh:mm"),INDEX(상세표[시작],$U1478)&amp;""))</f>
        <v/>
      </c>
      <c r="O1478">
        <f>IF($U1478="","",IF(ISNUMBER(INDEX(상세표[종료],$U1478)),TEXT(INDEX(상세표[종료],$U1478),"yyyy-mm-dd hh:mm"),INDEX(상세표[종료],$U1478)&amp;""))</f>
        <v/>
      </c>
      <c r="P1478" s="20">
        <f>IF($U1478="","",INDEX(상세표[06~07시],$U1478))</f>
        <v/>
      </c>
      <c r="Q1478" s="20">
        <f>IF($U1478="","",INDEX(상세표[07~18시],$U1478))</f>
        <v/>
      </c>
      <c r="R1478" s="20">
        <f>IF($U1478="","",INDEX(상세표[18~22시],$U1478))</f>
        <v/>
      </c>
      <c r="S1478" s="20">
        <f>IF($U1478="","",INDEX(상세표[22~06시],$U1478))</f>
        <v/>
      </c>
      <c r="T1478" s="20">
        <f>IF($U1478="","",INDEX(상세표[기록 시간외],$U1478))</f>
        <v/>
      </c>
      <c r="U1478" s="4">
        <f>IFERROR(MATCH(1473,상세표[발송순번],0),"")</f>
        <v/>
      </c>
    </row>
    <row r="1479">
      <c r="J1479">
        <f>IF($U1479="","",INDEX(상세표[사번],$U1479)&amp;"")</f>
        <v/>
      </c>
      <c r="K1479">
        <f>IF($U1479="","",INDEX(상세표[성명],$U1479)&amp;"")</f>
        <v/>
      </c>
      <c r="L1479">
        <f>IF($U1479="","",INDEX(상세표[직위],$U1479)&amp;"")</f>
        <v/>
      </c>
      <c r="M1479">
        <f>IF($U1479="","",IF(ISNUMBER(INDEX(상세표[근무일자],$U1479)),TEXT(INDEX(상세표[근무일자],$U1479),"yyyy-mm-dd"),INDEX(상세표[근무일자],$U1479)&amp;""))</f>
        <v/>
      </c>
      <c r="N1479">
        <f>IF($U1479="","",IF(ISNUMBER(INDEX(상세표[시작],$U1479)),TEXT(INDEX(상세표[시작],$U1479),"yyyy-mm-dd hh:mm"),INDEX(상세표[시작],$U1479)&amp;""))</f>
        <v/>
      </c>
      <c r="O1479">
        <f>IF($U1479="","",IF(ISNUMBER(INDEX(상세표[종료],$U1479)),TEXT(INDEX(상세표[종료],$U1479),"yyyy-mm-dd hh:mm"),INDEX(상세표[종료],$U1479)&amp;""))</f>
        <v/>
      </c>
      <c r="P1479" s="20">
        <f>IF($U1479="","",INDEX(상세표[06~07시],$U1479))</f>
        <v/>
      </c>
      <c r="Q1479" s="20">
        <f>IF($U1479="","",INDEX(상세표[07~18시],$U1479))</f>
        <v/>
      </c>
      <c r="R1479" s="20">
        <f>IF($U1479="","",INDEX(상세표[18~22시],$U1479))</f>
        <v/>
      </c>
      <c r="S1479" s="20">
        <f>IF($U1479="","",INDEX(상세표[22~06시],$U1479))</f>
        <v/>
      </c>
      <c r="T1479" s="20">
        <f>IF($U1479="","",INDEX(상세표[기록 시간외],$U1479))</f>
        <v/>
      </c>
      <c r="U1479" s="4">
        <f>IFERROR(MATCH(1474,상세표[발송순번],0),"")</f>
        <v/>
      </c>
    </row>
    <row r="1480">
      <c r="J1480">
        <f>IF($U1480="","",INDEX(상세표[사번],$U1480)&amp;"")</f>
        <v/>
      </c>
      <c r="K1480">
        <f>IF($U1480="","",INDEX(상세표[성명],$U1480)&amp;"")</f>
        <v/>
      </c>
      <c r="L1480">
        <f>IF($U1480="","",INDEX(상세표[직위],$U1480)&amp;"")</f>
        <v/>
      </c>
      <c r="M1480">
        <f>IF($U1480="","",IF(ISNUMBER(INDEX(상세표[근무일자],$U1480)),TEXT(INDEX(상세표[근무일자],$U1480),"yyyy-mm-dd"),INDEX(상세표[근무일자],$U1480)&amp;""))</f>
        <v/>
      </c>
      <c r="N1480">
        <f>IF($U1480="","",IF(ISNUMBER(INDEX(상세표[시작],$U1480)),TEXT(INDEX(상세표[시작],$U1480),"yyyy-mm-dd hh:mm"),INDEX(상세표[시작],$U1480)&amp;""))</f>
        <v/>
      </c>
      <c r="O1480">
        <f>IF($U1480="","",IF(ISNUMBER(INDEX(상세표[종료],$U1480)),TEXT(INDEX(상세표[종료],$U1480),"yyyy-mm-dd hh:mm"),INDEX(상세표[종료],$U1480)&amp;""))</f>
        <v/>
      </c>
      <c r="P1480" s="20">
        <f>IF($U1480="","",INDEX(상세표[06~07시],$U1480))</f>
        <v/>
      </c>
      <c r="Q1480" s="20">
        <f>IF($U1480="","",INDEX(상세표[07~18시],$U1480))</f>
        <v/>
      </c>
      <c r="R1480" s="20">
        <f>IF($U1480="","",INDEX(상세표[18~22시],$U1480))</f>
        <v/>
      </c>
      <c r="S1480" s="20">
        <f>IF($U1480="","",INDEX(상세표[22~06시],$U1480))</f>
        <v/>
      </c>
      <c r="T1480" s="20">
        <f>IF($U1480="","",INDEX(상세표[기록 시간외],$U1480))</f>
        <v/>
      </c>
      <c r="U1480" s="4">
        <f>IFERROR(MATCH(1475,상세표[발송순번],0),"")</f>
        <v/>
      </c>
    </row>
    <row r="1481">
      <c r="J1481">
        <f>IF($U1481="","",INDEX(상세표[사번],$U1481)&amp;"")</f>
        <v/>
      </c>
      <c r="K1481">
        <f>IF($U1481="","",INDEX(상세표[성명],$U1481)&amp;"")</f>
        <v/>
      </c>
      <c r="L1481">
        <f>IF($U1481="","",INDEX(상세표[직위],$U1481)&amp;"")</f>
        <v/>
      </c>
      <c r="M1481">
        <f>IF($U1481="","",IF(ISNUMBER(INDEX(상세표[근무일자],$U1481)),TEXT(INDEX(상세표[근무일자],$U1481),"yyyy-mm-dd"),INDEX(상세표[근무일자],$U1481)&amp;""))</f>
        <v/>
      </c>
      <c r="N1481">
        <f>IF($U1481="","",IF(ISNUMBER(INDEX(상세표[시작],$U1481)),TEXT(INDEX(상세표[시작],$U1481),"yyyy-mm-dd hh:mm"),INDEX(상세표[시작],$U1481)&amp;""))</f>
        <v/>
      </c>
      <c r="O1481">
        <f>IF($U1481="","",IF(ISNUMBER(INDEX(상세표[종료],$U1481)),TEXT(INDEX(상세표[종료],$U1481),"yyyy-mm-dd hh:mm"),INDEX(상세표[종료],$U1481)&amp;""))</f>
        <v/>
      </c>
      <c r="P1481" s="20">
        <f>IF($U1481="","",INDEX(상세표[06~07시],$U1481))</f>
        <v/>
      </c>
      <c r="Q1481" s="20">
        <f>IF($U1481="","",INDEX(상세표[07~18시],$U1481))</f>
        <v/>
      </c>
      <c r="R1481" s="20">
        <f>IF($U1481="","",INDEX(상세표[18~22시],$U1481))</f>
        <v/>
      </c>
      <c r="S1481" s="20">
        <f>IF($U1481="","",INDEX(상세표[22~06시],$U1481))</f>
        <v/>
      </c>
      <c r="T1481" s="20">
        <f>IF($U1481="","",INDEX(상세표[기록 시간외],$U1481))</f>
        <v/>
      </c>
      <c r="U1481" s="4">
        <f>IFERROR(MATCH(1476,상세표[발송순번],0),"")</f>
        <v/>
      </c>
    </row>
    <row r="1482">
      <c r="J1482">
        <f>IF($U1482="","",INDEX(상세표[사번],$U1482)&amp;"")</f>
        <v/>
      </c>
      <c r="K1482">
        <f>IF($U1482="","",INDEX(상세표[성명],$U1482)&amp;"")</f>
        <v/>
      </c>
      <c r="L1482">
        <f>IF($U1482="","",INDEX(상세표[직위],$U1482)&amp;"")</f>
        <v/>
      </c>
      <c r="M1482">
        <f>IF($U1482="","",IF(ISNUMBER(INDEX(상세표[근무일자],$U1482)),TEXT(INDEX(상세표[근무일자],$U1482),"yyyy-mm-dd"),INDEX(상세표[근무일자],$U1482)&amp;""))</f>
        <v/>
      </c>
      <c r="N1482">
        <f>IF($U1482="","",IF(ISNUMBER(INDEX(상세표[시작],$U1482)),TEXT(INDEX(상세표[시작],$U1482),"yyyy-mm-dd hh:mm"),INDEX(상세표[시작],$U1482)&amp;""))</f>
        <v/>
      </c>
      <c r="O1482">
        <f>IF($U1482="","",IF(ISNUMBER(INDEX(상세표[종료],$U1482)),TEXT(INDEX(상세표[종료],$U1482),"yyyy-mm-dd hh:mm"),INDEX(상세표[종료],$U1482)&amp;""))</f>
        <v/>
      </c>
      <c r="P1482" s="20">
        <f>IF($U1482="","",INDEX(상세표[06~07시],$U1482))</f>
        <v/>
      </c>
      <c r="Q1482" s="20">
        <f>IF($U1482="","",INDEX(상세표[07~18시],$U1482))</f>
        <v/>
      </c>
      <c r="R1482" s="20">
        <f>IF($U1482="","",INDEX(상세표[18~22시],$U1482))</f>
        <v/>
      </c>
      <c r="S1482" s="20">
        <f>IF($U1482="","",INDEX(상세표[22~06시],$U1482))</f>
        <v/>
      </c>
      <c r="T1482" s="20">
        <f>IF($U1482="","",INDEX(상세표[기록 시간외],$U1482))</f>
        <v/>
      </c>
      <c r="U1482" s="4">
        <f>IFERROR(MATCH(1477,상세표[발송순번],0),"")</f>
        <v/>
      </c>
    </row>
    <row r="1483">
      <c r="J1483">
        <f>IF($U1483="","",INDEX(상세표[사번],$U1483)&amp;"")</f>
        <v/>
      </c>
      <c r="K1483">
        <f>IF($U1483="","",INDEX(상세표[성명],$U1483)&amp;"")</f>
        <v/>
      </c>
      <c r="L1483">
        <f>IF($U1483="","",INDEX(상세표[직위],$U1483)&amp;"")</f>
        <v/>
      </c>
      <c r="M1483">
        <f>IF($U1483="","",IF(ISNUMBER(INDEX(상세표[근무일자],$U1483)),TEXT(INDEX(상세표[근무일자],$U1483),"yyyy-mm-dd"),INDEX(상세표[근무일자],$U1483)&amp;""))</f>
        <v/>
      </c>
      <c r="N1483">
        <f>IF($U1483="","",IF(ISNUMBER(INDEX(상세표[시작],$U1483)),TEXT(INDEX(상세표[시작],$U1483),"yyyy-mm-dd hh:mm"),INDEX(상세표[시작],$U1483)&amp;""))</f>
        <v/>
      </c>
      <c r="O1483">
        <f>IF($U1483="","",IF(ISNUMBER(INDEX(상세표[종료],$U1483)),TEXT(INDEX(상세표[종료],$U1483),"yyyy-mm-dd hh:mm"),INDEX(상세표[종료],$U1483)&amp;""))</f>
        <v/>
      </c>
      <c r="P1483" s="20">
        <f>IF($U1483="","",INDEX(상세표[06~07시],$U1483))</f>
        <v/>
      </c>
      <c r="Q1483" s="20">
        <f>IF($U1483="","",INDEX(상세표[07~18시],$U1483))</f>
        <v/>
      </c>
      <c r="R1483" s="20">
        <f>IF($U1483="","",INDEX(상세표[18~22시],$U1483))</f>
        <v/>
      </c>
      <c r="S1483" s="20">
        <f>IF($U1483="","",INDEX(상세표[22~06시],$U1483))</f>
        <v/>
      </c>
      <c r="T1483" s="20">
        <f>IF($U1483="","",INDEX(상세표[기록 시간외],$U1483))</f>
        <v/>
      </c>
      <c r="U1483" s="4">
        <f>IFERROR(MATCH(1478,상세표[발송순번],0),"")</f>
        <v/>
      </c>
    </row>
    <row r="1484">
      <c r="J1484">
        <f>IF($U1484="","",INDEX(상세표[사번],$U1484)&amp;"")</f>
        <v/>
      </c>
      <c r="K1484">
        <f>IF($U1484="","",INDEX(상세표[성명],$U1484)&amp;"")</f>
        <v/>
      </c>
      <c r="L1484">
        <f>IF($U1484="","",INDEX(상세표[직위],$U1484)&amp;"")</f>
        <v/>
      </c>
      <c r="M1484">
        <f>IF($U1484="","",IF(ISNUMBER(INDEX(상세표[근무일자],$U1484)),TEXT(INDEX(상세표[근무일자],$U1484),"yyyy-mm-dd"),INDEX(상세표[근무일자],$U1484)&amp;""))</f>
        <v/>
      </c>
      <c r="N1484">
        <f>IF($U1484="","",IF(ISNUMBER(INDEX(상세표[시작],$U1484)),TEXT(INDEX(상세표[시작],$U1484),"yyyy-mm-dd hh:mm"),INDEX(상세표[시작],$U1484)&amp;""))</f>
        <v/>
      </c>
      <c r="O1484">
        <f>IF($U1484="","",IF(ISNUMBER(INDEX(상세표[종료],$U1484)),TEXT(INDEX(상세표[종료],$U1484),"yyyy-mm-dd hh:mm"),INDEX(상세표[종료],$U1484)&amp;""))</f>
        <v/>
      </c>
      <c r="P1484" s="20">
        <f>IF($U1484="","",INDEX(상세표[06~07시],$U1484))</f>
        <v/>
      </c>
      <c r="Q1484" s="20">
        <f>IF($U1484="","",INDEX(상세표[07~18시],$U1484))</f>
        <v/>
      </c>
      <c r="R1484" s="20">
        <f>IF($U1484="","",INDEX(상세표[18~22시],$U1484))</f>
        <v/>
      </c>
      <c r="S1484" s="20">
        <f>IF($U1484="","",INDEX(상세표[22~06시],$U1484))</f>
        <v/>
      </c>
      <c r="T1484" s="20">
        <f>IF($U1484="","",INDEX(상세표[기록 시간외],$U1484))</f>
        <v/>
      </c>
      <c r="U1484" s="4">
        <f>IFERROR(MATCH(1479,상세표[발송순번],0),"")</f>
        <v/>
      </c>
    </row>
    <row r="1485">
      <c r="J1485">
        <f>IF($U1485="","",INDEX(상세표[사번],$U1485)&amp;"")</f>
        <v/>
      </c>
      <c r="K1485">
        <f>IF($U1485="","",INDEX(상세표[성명],$U1485)&amp;"")</f>
        <v/>
      </c>
      <c r="L1485">
        <f>IF($U1485="","",INDEX(상세표[직위],$U1485)&amp;"")</f>
        <v/>
      </c>
      <c r="M1485">
        <f>IF($U1485="","",IF(ISNUMBER(INDEX(상세표[근무일자],$U1485)),TEXT(INDEX(상세표[근무일자],$U1485),"yyyy-mm-dd"),INDEX(상세표[근무일자],$U1485)&amp;""))</f>
        <v/>
      </c>
      <c r="N1485">
        <f>IF($U1485="","",IF(ISNUMBER(INDEX(상세표[시작],$U1485)),TEXT(INDEX(상세표[시작],$U1485),"yyyy-mm-dd hh:mm"),INDEX(상세표[시작],$U1485)&amp;""))</f>
        <v/>
      </c>
      <c r="O1485">
        <f>IF($U1485="","",IF(ISNUMBER(INDEX(상세표[종료],$U1485)),TEXT(INDEX(상세표[종료],$U1485),"yyyy-mm-dd hh:mm"),INDEX(상세표[종료],$U1485)&amp;""))</f>
        <v/>
      </c>
      <c r="P1485" s="20">
        <f>IF($U1485="","",INDEX(상세표[06~07시],$U1485))</f>
        <v/>
      </c>
      <c r="Q1485" s="20">
        <f>IF($U1485="","",INDEX(상세표[07~18시],$U1485))</f>
        <v/>
      </c>
      <c r="R1485" s="20">
        <f>IF($U1485="","",INDEX(상세표[18~22시],$U1485))</f>
        <v/>
      </c>
      <c r="S1485" s="20">
        <f>IF($U1485="","",INDEX(상세표[22~06시],$U1485))</f>
        <v/>
      </c>
      <c r="T1485" s="20">
        <f>IF($U1485="","",INDEX(상세표[기록 시간외],$U1485))</f>
        <v/>
      </c>
      <c r="U1485" s="4">
        <f>IFERROR(MATCH(1480,상세표[발송순번],0),"")</f>
        <v/>
      </c>
    </row>
    <row r="1486">
      <c r="J1486">
        <f>IF($U1486="","",INDEX(상세표[사번],$U1486)&amp;"")</f>
        <v/>
      </c>
      <c r="K1486">
        <f>IF($U1486="","",INDEX(상세표[성명],$U1486)&amp;"")</f>
        <v/>
      </c>
      <c r="L1486">
        <f>IF($U1486="","",INDEX(상세표[직위],$U1486)&amp;"")</f>
        <v/>
      </c>
      <c r="M1486">
        <f>IF($U1486="","",IF(ISNUMBER(INDEX(상세표[근무일자],$U1486)),TEXT(INDEX(상세표[근무일자],$U1486),"yyyy-mm-dd"),INDEX(상세표[근무일자],$U1486)&amp;""))</f>
        <v/>
      </c>
      <c r="N1486">
        <f>IF($U1486="","",IF(ISNUMBER(INDEX(상세표[시작],$U1486)),TEXT(INDEX(상세표[시작],$U1486),"yyyy-mm-dd hh:mm"),INDEX(상세표[시작],$U1486)&amp;""))</f>
        <v/>
      </c>
      <c r="O1486">
        <f>IF($U1486="","",IF(ISNUMBER(INDEX(상세표[종료],$U1486)),TEXT(INDEX(상세표[종료],$U1486),"yyyy-mm-dd hh:mm"),INDEX(상세표[종료],$U1486)&amp;""))</f>
        <v/>
      </c>
      <c r="P1486" s="20">
        <f>IF($U1486="","",INDEX(상세표[06~07시],$U1486))</f>
        <v/>
      </c>
      <c r="Q1486" s="20">
        <f>IF($U1486="","",INDEX(상세표[07~18시],$U1486))</f>
        <v/>
      </c>
      <c r="R1486" s="20">
        <f>IF($U1486="","",INDEX(상세표[18~22시],$U1486))</f>
        <v/>
      </c>
      <c r="S1486" s="20">
        <f>IF($U1486="","",INDEX(상세표[22~06시],$U1486))</f>
        <v/>
      </c>
      <c r="T1486" s="20">
        <f>IF($U1486="","",INDEX(상세표[기록 시간외],$U1486))</f>
        <v/>
      </c>
      <c r="U1486" s="4">
        <f>IFERROR(MATCH(1481,상세표[발송순번],0),"")</f>
        <v/>
      </c>
    </row>
    <row r="1487">
      <c r="J1487">
        <f>IF($U1487="","",INDEX(상세표[사번],$U1487)&amp;"")</f>
        <v/>
      </c>
      <c r="K1487">
        <f>IF($U1487="","",INDEX(상세표[성명],$U1487)&amp;"")</f>
        <v/>
      </c>
      <c r="L1487">
        <f>IF($U1487="","",INDEX(상세표[직위],$U1487)&amp;"")</f>
        <v/>
      </c>
      <c r="M1487">
        <f>IF($U1487="","",IF(ISNUMBER(INDEX(상세표[근무일자],$U1487)),TEXT(INDEX(상세표[근무일자],$U1487),"yyyy-mm-dd"),INDEX(상세표[근무일자],$U1487)&amp;""))</f>
        <v/>
      </c>
      <c r="N1487">
        <f>IF($U1487="","",IF(ISNUMBER(INDEX(상세표[시작],$U1487)),TEXT(INDEX(상세표[시작],$U1487),"yyyy-mm-dd hh:mm"),INDEX(상세표[시작],$U1487)&amp;""))</f>
        <v/>
      </c>
      <c r="O1487">
        <f>IF($U1487="","",IF(ISNUMBER(INDEX(상세표[종료],$U1487)),TEXT(INDEX(상세표[종료],$U1487),"yyyy-mm-dd hh:mm"),INDEX(상세표[종료],$U1487)&amp;""))</f>
        <v/>
      </c>
      <c r="P1487" s="20">
        <f>IF($U1487="","",INDEX(상세표[06~07시],$U1487))</f>
        <v/>
      </c>
      <c r="Q1487" s="20">
        <f>IF($U1487="","",INDEX(상세표[07~18시],$U1487))</f>
        <v/>
      </c>
      <c r="R1487" s="20">
        <f>IF($U1487="","",INDEX(상세표[18~22시],$U1487))</f>
        <v/>
      </c>
      <c r="S1487" s="20">
        <f>IF($U1487="","",INDEX(상세표[22~06시],$U1487))</f>
        <v/>
      </c>
      <c r="T1487" s="20">
        <f>IF($U1487="","",INDEX(상세표[기록 시간외],$U1487))</f>
        <v/>
      </c>
      <c r="U1487" s="4">
        <f>IFERROR(MATCH(1482,상세표[발송순번],0),"")</f>
        <v/>
      </c>
    </row>
    <row r="1488">
      <c r="J1488">
        <f>IF($U1488="","",INDEX(상세표[사번],$U1488)&amp;"")</f>
        <v/>
      </c>
      <c r="K1488">
        <f>IF($U1488="","",INDEX(상세표[성명],$U1488)&amp;"")</f>
        <v/>
      </c>
      <c r="L1488">
        <f>IF($U1488="","",INDEX(상세표[직위],$U1488)&amp;"")</f>
        <v/>
      </c>
      <c r="M1488">
        <f>IF($U1488="","",IF(ISNUMBER(INDEX(상세표[근무일자],$U1488)),TEXT(INDEX(상세표[근무일자],$U1488),"yyyy-mm-dd"),INDEX(상세표[근무일자],$U1488)&amp;""))</f>
        <v/>
      </c>
      <c r="N1488">
        <f>IF($U1488="","",IF(ISNUMBER(INDEX(상세표[시작],$U1488)),TEXT(INDEX(상세표[시작],$U1488),"yyyy-mm-dd hh:mm"),INDEX(상세표[시작],$U1488)&amp;""))</f>
        <v/>
      </c>
      <c r="O1488">
        <f>IF($U1488="","",IF(ISNUMBER(INDEX(상세표[종료],$U1488)),TEXT(INDEX(상세표[종료],$U1488),"yyyy-mm-dd hh:mm"),INDEX(상세표[종료],$U1488)&amp;""))</f>
        <v/>
      </c>
      <c r="P1488" s="20">
        <f>IF($U1488="","",INDEX(상세표[06~07시],$U1488))</f>
        <v/>
      </c>
      <c r="Q1488" s="20">
        <f>IF($U1488="","",INDEX(상세표[07~18시],$U1488))</f>
        <v/>
      </c>
      <c r="R1488" s="20">
        <f>IF($U1488="","",INDEX(상세표[18~22시],$U1488))</f>
        <v/>
      </c>
      <c r="S1488" s="20">
        <f>IF($U1488="","",INDEX(상세표[22~06시],$U1488))</f>
        <v/>
      </c>
      <c r="T1488" s="20">
        <f>IF($U1488="","",INDEX(상세표[기록 시간외],$U1488))</f>
        <v/>
      </c>
      <c r="U1488" s="4">
        <f>IFERROR(MATCH(1483,상세표[발송순번],0),"")</f>
        <v/>
      </c>
    </row>
    <row r="1489">
      <c r="J1489">
        <f>IF($U1489="","",INDEX(상세표[사번],$U1489)&amp;"")</f>
        <v/>
      </c>
      <c r="K1489">
        <f>IF($U1489="","",INDEX(상세표[성명],$U1489)&amp;"")</f>
        <v/>
      </c>
      <c r="L1489">
        <f>IF($U1489="","",INDEX(상세표[직위],$U1489)&amp;"")</f>
        <v/>
      </c>
      <c r="M1489">
        <f>IF($U1489="","",IF(ISNUMBER(INDEX(상세표[근무일자],$U1489)),TEXT(INDEX(상세표[근무일자],$U1489),"yyyy-mm-dd"),INDEX(상세표[근무일자],$U1489)&amp;""))</f>
        <v/>
      </c>
      <c r="N1489">
        <f>IF($U1489="","",IF(ISNUMBER(INDEX(상세표[시작],$U1489)),TEXT(INDEX(상세표[시작],$U1489),"yyyy-mm-dd hh:mm"),INDEX(상세표[시작],$U1489)&amp;""))</f>
        <v/>
      </c>
      <c r="O1489">
        <f>IF($U1489="","",IF(ISNUMBER(INDEX(상세표[종료],$U1489)),TEXT(INDEX(상세표[종료],$U1489),"yyyy-mm-dd hh:mm"),INDEX(상세표[종료],$U1489)&amp;""))</f>
        <v/>
      </c>
      <c r="P1489" s="20">
        <f>IF($U1489="","",INDEX(상세표[06~07시],$U1489))</f>
        <v/>
      </c>
      <c r="Q1489" s="20">
        <f>IF($U1489="","",INDEX(상세표[07~18시],$U1489))</f>
        <v/>
      </c>
      <c r="R1489" s="20">
        <f>IF($U1489="","",INDEX(상세표[18~22시],$U1489))</f>
        <v/>
      </c>
      <c r="S1489" s="20">
        <f>IF($U1489="","",INDEX(상세표[22~06시],$U1489))</f>
        <v/>
      </c>
      <c r="T1489" s="20">
        <f>IF($U1489="","",INDEX(상세표[기록 시간외],$U1489))</f>
        <v/>
      </c>
      <c r="U1489" s="4">
        <f>IFERROR(MATCH(1484,상세표[발송순번],0),"")</f>
        <v/>
      </c>
    </row>
    <row r="1490">
      <c r="J1490">
        <f>IF($U1490="","",INDEX(상세표[사번],$U1490)&amp;"")</f>
        <v/>
      </c>
      <c r="K1490">
        <f>IF($U1490="","",INDEX(상세표[성명],$U1490)&amp;"")</f>
        <v/>
      </c>
      <c r="L1490">
        <f>IF($U1490="","",INDEX(상세표[직위],$U1490)&amp;"")</f>
        <v/>
      </c>
      <c r="M1490">
        <f>IF($U1490="","",IF(ISNUMBER(INDEX(상세표[근무일자],$U1490)),TEXT(INDEX(상세표[근무일자],$U1490),"yyyy-mm-dd"),INDEX(상세표[근무일자],$U1490)&amp;""))</f>
        <v/>
      </c>
      <c r="N1490">
        <f>IF($U1490="","",IF(ISNUMBER(INDEX(상세표[시작],$U1490)),TEXT(INDEX(상세표[시작],$U1490),"yyyy-mm-dd hh:mm"),INDEX(상세표[시작],$U1490)&amp;""))</f>
        <v/>
      </c>
      <c r="O1490">
        <f>IF($U1490="","",IF(ISNUMBER(INDEX(상세표[종료],$U1490)),TEXT(INDEX(상세표[종료],$U1490),"yyyy-mm-dd hh:mm"),INDEX(상세표[종료],$U1490)&amp;""))</f>
        <v/>
      </c>
      <c r="P1490" s="20">
        <f>IF($U1490="","",INDEX(상세표[06~07시],$U1490))</f>
        <v/>
      </c>
      <c r="Q1490" s="20">
        <f>IF($U1490="","",INDEX(상세표[07~18시],$U1490))</f>
        <v/>
      </c>
      <c r="R1490" s="20">
        <f>IF($U1490="","",INDEX(상세표[18~22시],$U1490))</f>
        <v/>
      </c>
      <c r="S1490" s="20">
        <f>IF($U1490="","",INDEX(상세표[22~06시],$U1490))</f>
        <v/>
      </c>
      <c r="T1490" s="20">
        <f>IF($U1490="","",INDEX(상세표[기록 시간외],$U1490))</f>
        <v/>
      </c>
      <c r="U1490" s="4">
        <f>IFERROR(MATCH(1485,상세표[발송순번],0),"")</f>
        <v/>
      </c>
    </row>
    <row r="1491">
      <c r="J1491">
        <f>IF($U1491="","",INDEX(상세표[사번],$U1491)&amp;"")</f>
        <v/>
      </c>
      <c r="K1491">
        <f>IF($U1491="","",INDEX(상세표[성명],$U1491)&amp;"")</f>
        <v/>
      </c>
      <c r="L1491">
        <f>IF($U1491="","",INDEX(상세표[직위],$U1491)&amp;"")</f>
        <v/>
      </c>
      <c r="M1491">
        <f>IF($U1491="","",IF(ISNUMBER(INDEX(상세표[근무일자],$U1491)),TEXT(INDEX(상세표[근무일자],$U1491),"yyyy-mm-dd"),INDEX(상세표[근무일자],$U1491)&amp;""))</f>
        <v/>
      </c>
      <c r="N1491">
        <f>IF($U1491="","",IF(ISNUMBER(INDEX(상세표[시작],$U1491)),TEXT(INDEX(상세표[시작],$U1491),"yyyy-mm-dd hh:mm"),INDEX(상세표[시작],$U1491)&amp;""))</f>
        <v/>
      </c>
      <c r="O1491">
        <f>IF($U1491="","",IF(ISNUMBER(INDEX(상세표[종료],$U1491)),TEXT(INDEX(상세표[종료],$U1491),"yyyy-mm-dd hh:mm"),INDEX(상세표[종료],$U1491)&amp;""))</f>
        <v/>
      </c>
      <c r="P1491" s="20">
        <f>IF($U1491="","",INDEX(상세표[06~07시],$U1491))</f>
        <v/>
      </c>
      <c r="Q1491" s="20">
        <f>IF($U1491="","",INDEX(상세표[07~18시],$U1491))</f>
        <v/>
      </c>
      <c r="R1491" s="20">
        <f>IF($U1491="","",INDEX(상세표[18~22시],$U1491))</f>
        <v/>
      </c>
      <c r="S1491" s="20">
        <f>IF($U1491="","",INDEX(상세표[22~06시],$U1491))</f>
        <v/>
      </c>
      <c r="T1491" s="20">
        <f>IF($U1491="","",INDEX(상세표[기록 시간외],$U1491))</f>
        <v/>
      </c>
      <c r="U1491" s="4">
        <f>IFERROR(MATCH(1486,상세표[발송순번],0),"")</f>
        <v/>
      </c>
    </row>
    <row r="1492">
      <c r="J1492">
        <f>IF($U1492="","",INDEX(상세표[사번],$U1492)&amp;"")</f>
        <v/>
      </c>
      <c r="K1492">
        <f>IF($U1492="","",INDEX(상세표[성명],$U1492)&amp;"")</f>
        <v/>
      </c>
      <c r="L1492">
        <f>IF($U1492="","",INDEX(상세표[직위],$U1492)&amp;"")</f>
        <v/>
      </c>
      <c r="M1492">
        <f>IF($U1492="","",IF(ISNUMBER(INDEX(상세표[근무일자],$U1492)),TEXT(INDEX(상세표[근무일자],$U1492),"yyyy-mm-dd"),INDEX(상세표[근무일자],$U1492)&amp;""))</f>
        <v/>
      </c>
      <c r="N1492">
        <f>IF($U1492="","",IF(ISNUMBER(INDEX(상세표[시작],$U1492)),TEXT(INDEX(상세표[시작],$U1492),"yyyy-mm-dd hh:mm"),INDEX(상세표[시작],$U1492)&amp;""))</f>
        <v/>
      </c>
      <c r="O1492">
        <f>IF($U1492="","",IF(ISNUMBER(INDEX(상세표[종료],$U1492)),TEXT(INDEX(상세표[종료],$U1492),"yyyy-mm-dd hh:mm"),INDEX(상세표[종료],$U1492)&amp;""))</f>
        <v/>
      </c>
      <c r="P1492" s="20">
        <f>IF($U1492="","",INDEX(상세표[06~07시],$U1492))</f>
        <v/>
      </c>
      <c r="Q1492" s="20">
        <f>IF($U1492="","",INDEX(상세표[07~18시],$U1492))</f>
        <v/>
      </c>
      <c r="R1492" s="20">
        <f>IF($U1492="","",INDEX(상세표[18~22시],$U1492))</f>
        <v/>
      </c>
      <c r="S1492" s="20">
        <f>IF($U1492="","",INDEX(상세표[22~06시],$U1492))</f>
        <v/>
      </c>
      <c r="T1492" s="20">
        <f>IF($U1492="","",INDEX(상세표[기록 시간외],$U1492))</f>
        <v/>
      </c>
      <c r="U1492" s="4">
        <f>IFERROR(MATCH(1487,상세표[발송순번],0),"")</f>
        <v/>
      </c>
    </row>
    <row r="1493">
      <c r="J1493">
        <f>IF($U1493="","",INDEX(상세표[사번],$U1493)&amp;"")</f>
        <v/>
      </c>
      <c r="K1493">
        <f>IF($U1493="","",INDEX(상세표[성명],$U1493)&amp;"")</f>
        <v/>
      </c>
      <c r="L1493">
        <f>IF($U1493="","",INDEX(상세표[직위],$U1493)&amp;"")</f>
        <v/>
      </c>
      <c r="M1493">
        <f>IF($U1493="","",IF(ISNUMBER(INDEX(상세표[근무일자],$U1493)),TEXT(INDEX(상세표[근무일자],$U1493),"yyyy-mm-dd"),INDEX(상세표[근무일자],$U1493)&amp;""))</f>
        <v/>
      </c>
      <c r="N1493">
        <f>IF($U1493="","",IF(ISNUMBER(INDEX(상세표[시작],$U1493)),TEXT(INDEX(상세표[시작],$U1493),"yyyy-mm-dd hh:mm"),INDEX(상세표[시작],$U1493)&amp;""))</f>
        <v/>
      </c>
      <c r="O1493">
        <f>IF($U1493="","",IF(ISNUMBER(INDEX(상세표[종료],$U1493)),TEXT(INDEX(상세표[종료],$U1493),"yyyy-mm-dd hh:mm"),INDEX(상세표[종료],$U1493)&amp;""))</f>
        <v/>
      </c>
      <c r="P1493" s="20">
        <f>IF($U1493="","",INDEX(상세표[06~07시],$U1493))</f>
        <v/>
      </c>
      <c r="Q1493" s="20">
        <f>IF($U1493="","",INDEX(상세표[07~18시],$U1493))</f>
        <v/>
      </c>
      <c r="R1493" s="20">
        <f>IF($U1493="","",INDEX(상세표[18~22시],$U1493))</f>
        <v/>
      </c>
      <c r="S1493" s="20">
        <f>IF($U1493="","",INDEX(상세표[22~06시],$U1493))</f>
        <v/>
      </c>
      <c r="T1493" s="20">
        <f>IF($U1493="","",INDEX(상세표[기록 시간외],$U1493))</f>
        <v/>
      </c>
      <c r="U1493" s="4">
        <f>IFERROR(MATCH(1488,상세표[발송순번],0),"")</f>
        <v/>
      </c>
    </row>
    <row r="1494">
      <c r="J1494">
        <f>IF($U1494="","",INDEX(상세표[사번],$U1494)&amp;"")</f>
        <v/>
      </c>
      <c r="K1494">
        <f>IF($U1494="","",INDEX(상세표[성명],$U1494)&amp;"")</f>
        <v/>
      </c>
      <c r="L1494">
        <f>IF($U1494="","",INDEX(상세표[직위],$U1494)&amp;"")</f>
        <v/>
      </c>
      <c r="M1494">
        <f>IF($U1494="","",IF(ISNUMBER(INDEX(상세표[근무일자],$U1494)),TEXT(INDEX(상세표[근무일자],$U1494),"yyyy-mm-dd"),INDEX(상세표[근무일자],$U1494)&amp;""))</f>
        <v/>
      </c>
      <c r="N1494">
        <f>IF($U1494="","",IF(ISNUMBER(INDEX(상세표[시작],$U1494)),TEXT(INDEX(상세표[시작],$U1494),"yyyy-mm-dd hh:mm"),INDEX(상세표[시작],$U1494)&amp;""))</f>
        <v/>
      </c>
      <c r="O1494">
        <f>IF($U1494="","",IF(ISNUMBER(INDEX(상세표[종료],$U1494)),TEXT(INDEX(상세표[종료],$U1494),"yyyy-mm-dd hh:mm"),INDEX(상세표[종료],$U1494)&amp;""))</f>
        <v/>
      </c>
      <c r="P1494" s="20">
        <f>IF($U1494="","",INDEX(상세표[06~07시],$U1494))</f>
        <v/>
      </c>
      <c r="Q1494" s="20">
        <f>IF($U1494="","",INDEX(상세표[07~18시],$U1494))</f>
        <v/>
      </c>
      <c r="R1494" s="20">
        <f>IF($U1494="","",INDEX(상세표[18~22시],$U1494))</f>
        <v/>
      </c>
      <c r="S1494" s="20">
        <f>IF($U1494="","",INDEX(상세표[22~06시],$U1494))</f>
        <v/>
      </c>
      <c r="T1494" s="20">
        <f>IF($U1494="","",INDEX(상세표[기록 시간외],$U1494))</f>
        <v/>
      </c>
      <c r="U1494" s="4">
        <f>IFERROR(MATCH(1489,상세표[발송순번],0),"")</f>
        <v/>
      </c>
    </row>
    <row r="1495">
      <c r="J1495">
        <f>IF($U1495="","",INDEX(상세표[사번],$U1495)&amp;"")</f>
        <v/>
      </c>
      <c r="K1495">
        <f>IF($U1495="","",INDEX(상세표[성명],$U1495)&amp;"")</f>
        <v/>
      </c>
      <c r="L1495">
        <f>IF($U1495="","",INDEX(상세표[직위],$U1495)&amp;"")</f>
        <v/>
      </c>
      <c r="M1495">
        <f>IF($U1495="","",IF(ISNUMBER(INDEX(상세표[근무일자],$U1495)),TEXT(INDEX(상세표[근무일자],$U1495),"yyyy-mm-dd"),INDEX(상세표[근무일자],$U1495)&amp;""))</f>
        <v/>
      </c>
      <c r="N1495">
        <f>IF($U1495="","",IF(ISNUMBER(INDEX(상세표[시작],$U1495)),TEXT(INDEX(상세표[시작],$U1495),"yyyy-mm-dd hh:mm"),INDEX(상세표[시작],$U1495)&amp;""))</f>
        <v/>
      </c>
      <c r="O1495">
        <f>IF($U1495="","",IF(ISNUMBER(INDEX(상세표[종료],$U1495)),TEXT(INDEX(상세표[종료],$U1495),"yyyy-mm-dd hh:mm"),INDEX(상세표[종료],$U1495)&amp;""))</f>
        <v/>
      </c>
      <c r="P1495" s="20">
        <f>IF($U1495="","",INDEX(상세표[06~07시],$U1495))</f>
        <v/>
      </c>
      <c r="Q1495" s="20">
        <f>IF($U1495="","",INDEX(상세표[07~18시],$U1495))</f>
        <v/>
      </c>
      <c r="R1495" s="20">
        <f>IF($U1495="","",INDEX(상세표[18~22시],$U1495))</f>
        <v/>
      </c>
      <c r="S1495" s="20">
        <f>IF($U1495="","",INDEX(상세표[22~06시],$U1495))</f>
        <v/>
      </c>
      <c r="T1495" s="20">
        <f>IF($U1495="","",INDEX(상세표[기록 시간외],$U1495))</f>
        <v/>
      </c>
      <c r="U1495" s="4">
        <f>IFERROR(MATCH(1490,상세표[발송순번],0),"")</f>
        <v/>
      </c>
    </row>
    <row r="1496">
      <c r="J1496">
        <f>IF($U1496="","",INDEX(상세표[사번],$U1496)&amp;"")</f>
        <v/>
      </c>
      <c r="K1496">
        <f>IF($U1496="","",INDEX(상세표[성명],$U1496)&amp;"")</f>
        <v/>
      </c>
      <c r="L1496">
        <f>IF($U1496="","",INDEX(상세표[직위],$U1496)&amp;"")</f>
        <v/>
      </c>
      <c r="M1496">
        <f>IF($U1496="","",IF(ISNUMBER(INDEX(상세표[근무일자],$U1496)),TEXT(INDEX(상세표[근무일자],$U1496),"yyyy-mm-dd"),INDEX(상세표[근무일자],$U1496)&amp;""))</f>
        <v/>
      </c>
      <c r="N1496">
        <f>IF($U1496="","",IF(ISNUMBER(INDEX(상세표[시작],$U1496)),TEXT(INDEX(상세표[시작],$U1496),"yyyy-mm-dd hh:mm"),INDEX(상세표[시작],$U1496)&amp;""))</f>
        <v/>
      </c>
      <c r="O1496">
        <f>IF($U1496="","",IF(ISNUMBER(INDEX(상세표[종료],$U1496)),TEXT(INDEX(상세표[종료],$U1496),"yyyy-mm-dd hh:mm"),INDEX(상세표[종료],$U1496)&amp;""))</f>
        <v/>
      </c>
      <c r="P1496" s="20">
        <f>IF($U1496="","",INDEX(상세표[06~07시],$U1496))</f>
        <v/>
      </c>
      <c r="Q1496" s="20">
        <f>IF($U1496="","",INDEX(상세표[07~18시],$U1496))</f>
        <v/>
      </c>
      <c r="R1496" s="20">
        <f>IF($U1496="","",INDEX(상세표[18~22시],$U1496))</f>
        <v/>
      </c>
      <c r="S1496" s="20">
        <f>IF($U1496="","",INDEX(상세표[22~06시],$U1496))</f>
        <v/>
      </c>
      <c r="T1496" s="20">
        <f>IF($U1496="","",INDEX(상세표[기록 시간외],$U1496))</f>
        <v/>
      </c>
      <c r="U1496" s="4">
        <f>IFERROR(MATCH(1491,상세표[발송순번],0),"")</f>
        <v/>
      </c>
    </row>
    <row r="1497">
      <c r="J1497">
        <f>IF($U1497="","",INDEX(상세표[사번],$U1497)&amp;"")</f>
        <v/>
      </c>
      <c r="K1497">
        <f>IF($U1497="","",INDEX(상세표[성명],$U1497)&amp;"")</f>
        <v/>
      </c>
      <c r="L1497">
        <f>IF($U1497="","",INDEX(상세표[직위],$U1497)&amp;"")</f>
        <v/>
      </c>
      <c r="M1497">
        <f>IF($U1497="","",IF(ISNUMBER(INDEX(상세표[근무일자],$U1497)),TEXT(INDEX(상세표[근무일자],$U1497),"yyyy-mm-dd"),INDEX(상세표[근무일자],$U1497)&amp;""))</f>
        <v/>
      </c>
      <c r="N1497">
        <f>IF($U1497="","",IF(ISNUMBER(INDEX(상세표[시작],$U1497)),TEXT(INDEX(상세표[시작],$U1497),"yyyy-mm-dd hh:mm"),INDEX(상세표[시작],$U1497)&amp;""))</f>
        <v/>
      </c>
      <c r="O1497">
        <f>IF($U1497="","",IF(ISNUMBER(INDEX(상세표[종료],$U1497)),TEXT(INDEX(상세표[종료],$U1497),"yyyy-mm-dd hh:mm"),INDEX(상세표[종료],$U1497)&amp;""))</f>
        <v/>
      </c>
      <c r="P1497" s="20">
        <f>IF($U1497="","",INDEX(상세표[06~07시],$U1497))</f>
        <v/>
      </c>
      <c r="Q1497" s="20">
        <f>IF($U1497="","",INDEX(상세표[07~18시],$U1497))</f>
        <v/>
      </c>
      <c r="R1497" s="20">
        <f>IF($U1497="","",INDEX(상세표[18~22시],$U1497))</f>
        <v/>
      </c>
      <c r="S1497" s="20">
        <f>IF($U1497="","",INDEX(상세표[22~06시],$U1497))</f>
        <v/>
      </c>
      <c r="T1497" s="20">
        <f>IF($U1497="","",INDEX(상세표[기록 시간외],$U1497))</f>
        <v/>
      </c>
      <c r="U1497" s="4">
        <f>IFERROR(MATCH(1492,상세표[발송순번],0),"")</f>
        <v/>
      </c>
    </row>
    <row r="1498">
      <c r="J1498">
        <f>IF($U1498="","",INDEX(상세표[사번],$U1498)&amp;"")</f>
        <v/>
      </c>
      <c r="K1498">
        <f>IF($U1498="","",INDEX(상세표[성명],$U1498)&amp;"")</f>
        <v/>
      </c>
      <c r="L1498">
        <f>IF($U1498="","",INDEX(상세표[직위],$U1498)&amp;"")</f>
        <v/>
      </c>
      <c r="M1498">
        <f>IF($U1498="","",IF(ISNUMBER(INDEX(상세표[근무일자],$U1498)),TEXT(INDEX(상세표[근무일자],$U1498),"yyyy-mm-dd"),INDEX(상세표[근무일자],$U1498)&amp;""))</f>
        <v/>
      </c>
      <c r="N1498">
        <f>IF($U1498="","",IF(ISNUMBER(INDEX(상세표[시작],$U1498)),TEXT(INDEX(상세표[시작],$U1498),"yyyy-mm-dd hh:mm"),INDEX(상세표[시작],$U1498)&amp;""))</f>
        <v/>
      </c>
      <c r="O1498">
        <f>IF($U1498="","",IF(ISNUMBER(INDEX(상세표[종료],$U1498)),TEXT(INDEX(상세표[종료],$U1498),"yyyy-mm-dd hh:mm"),INDEX(상세표[종료],$U1498)&amp;""))</f>
        <v/>
      </c>
      <c r="P1498" s="20">
        <f>IF($U1498="","",INDEX(상세표[06~07시],$U1498))</f>
        <v/>
      </c>
      <c r="Q1498" s="20">
        <f>IF($U1498="","",INDEX(상세표[07~18시],$U1498))</f>
        <v/>
      </c>
      <c r="R1498" s="20">
        <f>IF($U1498="","",INDEX(상세표[18~22시],$U1498))</f>
        <v/>
      </c>
      <c r="S1498" s="20">
        <f>IF($U1498="","",INDEX(상세표[22~06시],$U1498))</f>
        <v/>
      </c>
      <c r="T1498" s="20">
        <f>IF($U1498="","",INDEX(상세표[기록 시간외],$U1498))</f>
        <v/>
      </c>
      <c r="U1498" s="4">
        <f>IFERROR(MATCH(1493,상세표[발송순번],0),"")</f>
        <v/>
      </c>
    </row>
    <row r="1499">
      <c r="J1499">
        <f>IF($U1499="","",INDEX(상세표[사번],$U1499)&amp;"")</f>
        <v/>
      </c>
      <c r="K1499">
        <f>IF($U1499="","",INDEX(상세표[성명],$U1499)&amp;"")</f>
        <v/>
      </c>
      <c r="L1499">
        <f>IF($U1499="","",INDEX(상세표[직위],$U1499)&amp;"")</f>
        <v/>
      </c>
      <c r="M1499">
        <f>IF($U1499="","",IF(ISNUMBER(INDEX(상세표[근무일자],$U1499)),TEXT(INDEX(상세표[근무일자],$U1499),"yyyy-mm-dd"),INDEX(상세표[근무일자],$U1499)&amp;""))</f>
        <v/>
      </c>
      <c r="N1499">
        <f>IF($U1499="","",IF(ISNUMBER(INDEX(상세표[시작],$U1499)),TEXT(INDEX(상세표[시작],$U1499),"yyyy-mm-dd hh:mm"),INDEX(상세표[시작],$U1499)&amp;""))</f>
        <v/>
      </c>
      <c r="O1499">
        <f>IF($U1499="","",IF(ISNUMBER(INDEX(상세표[종료],$U1499)),TEXT(INDEX(상세표[종료],$U1499),"yyyy-mm-dd hh:mm"),INDEX(상세표[종료],$U1499)&amp;""))</f>
        <v/>
      </c>
      <c r="P1499" s="20">
        <f>IF($U1499="","",INDEX(상세표[06~07시],$U1499))</f>
        <v/>
      </c>
      <c r="Q1499" s="20">
        <f>IF($U1499="","",INDEX(상세표[07~18시],$U1499))</f>
        <v/>
      </c>
      <c r="R1499" s="20">
        <f>IF($U1499="","",INDEX(상세표[18~22시],$U1499))</f>
        <v/>
      </c>
      <c r="S1499" s="20">
        <f>IF($U1499="","",INDEX(상세표[22~06시],$U1499))</f>
        <v/>
      </c>
      <c r="T1499" s="20">
        <f>IF($U1499="","",INDEX(상세표[기록 시간외],$U1499))</f>
        <v/>
      </c>
      <c r="U1499" s="4">
        <f>IFERROR(MATCH(1494,상세표[발송순번],0),"")</f>
        <v/>
      </c>
    </row>
    <row r="1500">
      <c r="J1500">
        <f>IF($U1500="","",INDEX(상세표[사번],$U1500)&amp;"")</f>
        <v/>
      </c>
      <c r="K1500">
        <f>IF($U1500="","",INDEX(상세표[성명],$U1500)&amp;"")</f>
        <v/>
      </c>
      <c r="L1500">
        <f>IF($U1500="","",INDEX(상세표[직위],$U1500)&amp;"")</f>
        <v/>
      </c>
      <c r="M1500">
        <f>IF($U1500="","",IF(ISNUMBER(INDEX(상세표[근무일자],$U1500)),TEXT(INDEX(상세표[근무일자],$U1500),"yyyy-mm-dd"),INDEX(상세표[근무일자],$U1500)&amp;""))</f>
        <v/>
      </c>
      <c r="N1500">
        <f>IF($U1500="","",IF(ISNUMBER(INDEX(상세표[시작],$U1500)),TEXT(INDEX(상세표[시작],$U1500),"yyyy-mm-dd hh:mm"),INDEX(상세표[시작],$U1500)&amp;""))</f>
        <v/>
      </c>
      <c r="O1500">
        <f>IF($U1500="","",IF(ISNUMBER(INDEX(상세표[종료],$U1500)),TEXT(INDEX(상세표[종료],$U1500),"yyyy-mm-dd hh:mm"),INDEX(상세표[종료],$U1500)&amp;""))</f>
        <v/>
      </c>
      <c r="P1500" s="20">
        <f>IF($U1500="","",INDEX(상세표[06~07시],$U1500))</f>
        <v/>
      </c>
      <c r="Q1500" s="20">
        <f>IF($U1500="","",INDEX(상세표[07~18시],$U1500))</f>
        <v/>
      </c>
      <c r="R1500" s="20">
        <f>IF($U1500="","",INDEX(상세표[18~22시],$U1500))</f>
        <v/>
      </c>
      <c r="S1500" s="20">
        <f>IF($U1500="","",INDEX(상세표[22~06시],$U1500))</f>
        <v/>
      </c>
      <c r="T1500" s="20">
        <f>IF($U1500="","",INDEX(상세표[기록 시간외],$U1500))</f>
        <v/>
      </c>
      <c r="U1500" s="4">
        <f>IFERROR(MATCH(1495,상세표[발송순번],0),"")</f>
        <v/>
      </c>
    </row>
    <row r="1501">
      <c r="J1501">
        <f>IF($U1501="","",INDEX(상세표[사번],$U1501)&amp;"")</f>
        <v/>
      </c>
      <c r="K1501">
        <f>IF($U1501="","",INDEX(상세표[성명],$U1501)&amp;"")</f>
        <v/>
      </c>
      <c r="L1501">
        <f>IF($U1501="","",INDEX(상세표[직위],$U1501)&amp;"")</f>
        <v/>
      </c>
      <c r="M1501">
        <f>IF($U1501="","",IF(ISNUMBER(INDEX(상세표[근무일자],$U1501)),TEXT(INDEX(상세표[근무일자],$U1501),"yyyy-mm-dd"),INDEX(상세표[근무일자],$U1501)&amp;""))</f>
        <v/>
      </c>
      <c r="N1501">
        <f>IF($U1501="","",IF(ISNUMBER(INDEX(상세표[시작],$U1501)),TEXT(INDEX(상세표[시작],$U1501),"yyyy-mm-dd hh:mm"),INDEX(상세표[시작],$U1501)&amp;""))</f>
        <v/>
      </c>
      <c r="O1501">
        <f>IF($U1501="","",IF(ISNUMBER(INDEX(상세표[종료],$U1501)),TEXT(INDEX(상세표[종료],$U1501),"yyyy-mm-dd hh:mm"),INDEX(상세표[종료],$U1501)&amp;""))</f>
        <v/>
      </c>
      <c r="P1501" s="20">
        <f>IF($U1501="","",INDEX(상세표[06~07시],$U1501))</f>
        <v/>
      </c>
      <c r="Q1501" s="20">
        <f>IF($U1501="","",INDEX(상세표[07~18시],$U1501))</f>
        <v/>
      </c>
      <c r="R1501" s="20">
        <f>IF($U1501="","",INDEX(상세표[18~22시],$U1501))</f>
        <v/>
      </c>
      <c r="S1501" s="20">
        <f>IF($U1501="","",INDEX(상세표[22~06시],$U1501))</f>
        <v/>
      </c>
      <c r="T1501" s="20">
        <f>IF($U1501="","",INDEX(상세표[기록 시간외],$U1501))</f>
        <v/>
      </c>
      <c r="U1501" s="4">
        <f>IFERROR(MATCH(1496,상세표[발송순번],0),"")</f>
        <v/>
      </c>
    </row>
    <row r="1502">
      <c r="J1502">
        <f>IF($U1502="","",INDEX(상세표[사번],$U1502)&amp;"")</f>
        <v/>
      </c>
      <c r="K1502">
        <f>IF($U1502="","",INDEX(상세표[성명],$U1502)&amp;"")</f>
        <v/>
      </c>
      <c r="L1502">
        <f>IF($U1502="","",INDEX(상세표[직위],$U1502)&amp;"")</f>
        <v/>
      </c>
      <c r="M1502">
        <f>IF($U1502="","",IF(ISNUMBER(INDEX(상세표[근무일자],$U1502)),TEXT(INDEX(상세표[근무일자],$U1502),"yyyy-mm-dd"),INDEX(상세표[근무일자],$U1502)&amp;""))</f>
        <v/>
      </c>
      <c r="N1502">
        <f>IF($U1502="","",IF(ISNUMBER(INDEX(상세표[시작],$U1502)),TEXT(INDEX(상세표[시작],$U1502),"yyyy-mm-dd hh:mm"),INDEX(상세표[시작],$U1502)&amp;""))</f>
        <v/>
      </c>
      <c r="O1502">
        <f>IF($U1502="","",IF(ISNUMBER(INDEX(상세표[종료],$U1502)),TEXT(INDEX(상세표[종료],$U1502),"yyyy-mm-dd hh:mm"),INDEX(상세표[종료],$U1502)&amp;""))</f>
        <v/>
      </c>
      <c r="P1502" s="20">
        <f>IF($U1502="","",INDEX(상세표[06~07시],$U1502))</f>
        <v/>
      </c>
      <c r="Q1502" s="20">
        <f>IF($U1502="","",INDEX(상세표[07~18시],$U1502))</f>
        <v/>
      </c>
      <c r="R1502" s="20">
        <f>IF($U1502="","",INDEX(상세표[18~22시],$U1502))</f>
        <v/>
      </c>
      <c r="S1502" s="20">
        <f>IF($U1502="","",INDEX(상세표[22~06시],$U1502))</f>
        <v/>
      </c>
      <c r="T1502" s="20">
        <f>IF($U1502="","",INDEX(상세표[기록 시간외],$U1502))</f>
        <v/>
      </c>
      <c r="U1502" s="4">
        <f>IFERROR(MATCH(1497,상세표[발송순번],0),"")</f>
        <v/>
      </c>
    </row>
    <row r="1503">
      <c r="J1503">
        <f>IF($U1503="","",INDEX(상세표[사번],$U1503)&amp;"")</f>
        <v/>
      </c>
      <c r="K1503">
        <f>IF($U1503="","",INDEX(상세표[성명],$U1503)&amp;"")</f>
        <v/>
      </c>
      <c r="L1503">
        <f>IF($U1503="","",INDEX(상세표[직위],$U1503)&amp;"")</f>
        <v/>
      </c>
      <c r="M1503">
        <f>IF($U1503="","",IF(ISNUMBER(INDEX(상세표[근무일자],$U1503)),TEXT(INDEX(상세표[근무일자],$U1503),"yyyy-mm-dd"),INDEX(상세표[근무일자],$U1503)&amp;""))</f>
        <v/>
      </c>
      <c r="N1503">
        <f>IF($U1503="","",IF(ISNUMBER(INDEX(상세표[시작],$U1503)),TEXT(INDEX(상세표[시작],$U1503),"yyyy-mm-dd hh:mm"),INDEX(상세표[시작],$U1503)&amp;""))</f>
        <v/>
      </c>
      <c r="O1503">
        <f>IF($U1503="","",IF(ISNUMBER(INDEX(상세표[종료],$U1503)),TEXT(INDEX(상세표[종료],$U1503),"yyyy-mm-dd hh:mm"),INDEX(상세표[종료],$U1503)&amp;""))</f>
        <v/>
      </c>
      <c r="P1503" s="20">
        <f>IF($U1503="","",INDEX(상세표[06~07시],$U1503))</f>
        <v/>
      </c>
      <c r="Q1503" s="20">
        <f>IF($U1503="","",INDEX(상세표[07~18시],$U1503))</f>
        <v/>
      </c>
      <c r="R1503" s="20">
        <f>IF($U1503="","",INDEX(상세표[18~22시],$U1503))</f>
        <v/>
      </c>
      <c r="S1503" s="20">
        <f>IF($U1503="","",INDEX(상세표[22~06시],$U1503))</f>
        <v/>
      </c>
      <c r="T1503" s="20">
        <f>IF($U1503="","",INDEX(상세표[기록 시간외],$U1503))</f>
        <v/>
      </c>
      <c r="U1503" s="4">
        <f>IFERROR(MATCH(1498,상세표[발송순번],0),"")</f>
        <v/>
      </c>
    </row>
    <row r="1504">
      <c r="J1504">
        <f>IF($U1504="","",INDEX(상세표[사번],$U1504)&amp;"")</f>
        <v/>
      </c>
      <c r="K1504">
        <f>IF($U1504="","",INDEX(상세표[성명],$U1504)&amp;"")</f>
        <v/>
      </c>
      <c r="L1504">
        <f>IF($U1504="","",INDEX(상세표[직위],$U1504)&amp;"")</f>
        <v/>
      </c>
      <c r="M1504">
        <f>IF($U1504="","",IF(ISNUMBER(INDEX(상세표[근무일자],$U1504)),TEXT(INDEX(상세표[근무일자],$U1504),"yyyy-mm-dd"),INDEX(상세표[근무일자],$U1504)&amp;""))</f>
        <v/>
      </c>
      <c r="N1504">
        <f>IF($U1504="","",IF(ISNUMBER(INDEX(상세표[시작],$U1504)),TEXT(INDEX(상세표[시작],$U1504),"yyyy-mm-dd hh:mm"),INDEX(상세표[시작],$U1504)&amp;""))</f>
        <v/>
      </c>
      <c r="O1504">
        <f>IF($U1504="","",IF(ISNUMBER(INDEX(상세표[종료],$U1504)),TEXT(INDEX(상세표[종료],$U1504),"yyyy-mm-dd hh:mm"),INDEX(상세표[종료],$U1504)&amp;""))</f>
        <v/>
      </c>
      <c r="P1504" s="20">
        <f>IF($U1504="","",INDEX(상세표[06~07시],$U1504))</f>
        <v/>
      </c>
      <c r="Q1504" s="20">
        <f>IF($U1504="","",INDEX(상세표[07~18시],$U1504))</f>
        <v/>
      </c>
      <c r="R1504" s="20">
        <f>IF($U1504="","",INDEX(상세표[18~22시],$U1504))</f>
        <v/>
      </c>
      <c r="S1504" s="20">
        <f>IF($U1504="","",INDEX(상세표[22~06시],$U1504))</f>
        <v/>
      </c>
      <c r="T1504" s="20">
        <f>IF($U1504="","",INDEX(상세표[기록 시간외],$U1504))</f>
        <v/>
      </c>
      <c r="U1504" s="4">
        <f>IFERROR(MATCH(1499,상세표[발송순번],0),"")</f>
        <v/>
      </c>
    </row>
    <row r="1505">
      <c r="J1505">
        <f>IF($U1505="","",INDEX(상세표[사번],$U1505)&amp;"")</f>
        <v/>
      </c>
      <c r="K1505">
        <f>IF($U1505="","",INDEX(상세표[성명],$U1505)&amp;"")</f>
        <v/>
      </c>
      <c r="L1505">
        <f>IF($U1505="","",INDEX(상세표[직위],$U1505)&amp;"")</f>
        <v/>
      </c>
      <c r="M1505">
        <f>IF($U1505="","",IF(ISNUMBER(INDEX(상세표[근무일자],$U1505)),TEXT(INDEX(상세표[근무일자],$U1505),"yyyy-mm-dd"),INDEX(상세표[근무일자],$U1505)&amp;""))</f>
        <v/>
      </c>
      <c r="N1505">
        <f>IF($U1505="","",IF(ISNUMBER(INDEX(상세표[시작],$U1505)),TEXT(INDEX(상세표[시작],$U1505),"yyyy-mm-dd hh:mm"),INDEX(상세표[시작],$U1505)&amp;""))</f>
        <v/>
      </c>
      <c r="O1505">
        <f>IF($U1505="","",IF(ISNUMBER(INDEX(상세표[종료],$U1505)),TEXT(INDEX(상세표[종료],$U1505),"yyyy-mm-dd hh:mm"),INDEX(상세표[종료],$U1505)&amp;""))</f>
        <v/>
      </c>
      <c r="P1505" s="20">
        <f>IF($U1505="","",INDEX(상세표[06~07시],$U1505))</f>
        <v/>
      </c>
      <c r="Q1505" s="20">
        <f>IF($U1505="","",INDEX(상세표[07~18시],$U1505))</f>
        <v/>
      </c>
      <c r="R1505" s="20">
        <f>IF($U1505="","",INDEX(상세표[18~22시],$U1505))</f>
        <v/>
      </c>
      <c r="S1505" s="20">
        <f>IF($U1505="","",INDEX(상세표[22~06시],$U1505))</f>
        <v/>
      </c>
      <c r="T1505" s="20">
        <f>IF($U1505="","",INDEX(상세표[기록 시간외],$U1505))</f>
        <v/>
      </c>
      <c r="U1505" s="4">
        <f>IFERROR(MATCH(1500,상세표[발송순번],0),"")</f>
        <v/>
      </c>
    </row>
    <row r="1506">
      <c r="J1506">
        <f>IF($U1506="","",INDEX(상세표[사번],$U1506)&amp;"")</f>
        <v/>
      </c>
      <c r="K1506">
        <f>IF($U1506="","",INDEX(상세표[성명],$U1506)&amp;"")</f>
        <v/>
      </c>
      <c r="L1506">
        <f>IF($U1506="","",INDEX(상세표[직위],$U1506)&amp;"")</f>
        <v/>
      </c>
      <c r="M1506">
        <f>IF($U1506="","",IF(ISNUMBER(INDEX(상세표[근무일자],$U1506)),TEXT(INDEX(상세표[근무일자],$U1506),"yyyy-mm-dd"),INDEX(상세표[근무일자],$U1506)&amp;""))</f>
        <v/>
      </c>
      <c r="N1506">
        <f>IF($U1506="","",IF(ISNUMBER(INDEX(상세표[시작],$U1506)),TEXT(INDEX(상세표[시작],$U1506),"yyyy-mm-dd hh:mm"),INDEX(상세표[시작],$U1506)&amp;""))</f>
        <v/>
      </c>
      <c r="O1506">
        <f>IF($U1506="","",IF(ISNUMBER(INDEX(상세표[종료],$U1506)),TEXT(INDEX(상세표[종료],$U1506),"yyyy-mm-dd hh:mm"),INDEX(상세표[종료],$U1506)&amp;""))</f>
        <v/>
      </c>
      <c r="P1506" s="20">
        <f>IF($U1506="","",INDEX(상세표[06~07시],$U1506))</f>
        <v/>
      </c>
      <c r="Q1506" s="20">
        <f>IF($U1506="","",INDEX(상세표[07~18시],$U1506))</f>
        <v/>
      </c>
      <c r="R1506" s="20">
        <f>IF($U1506="","",INDEX(상세표[18~22시],$U1506))</f>
        <v/>
      </c>
      <c r="S1506" s="20">
        <f>IF($U1506="","",INDEX(상세표[22~06시],$U1506))</f>
        <v/>
      </c>
      <c r="T1506" s="20">
        <f>IF($U1506="","",INDEX(상세표[기록 시간외],$U1506))</f>
        <v/>
      </c>
      <c r="U1506" s="4">
        <f>IFERROR(MATCH(1501,상세표[발송순번],0),"")</f>
        <v/>
      </c>
    </row>
    <row r="1507">
      <c r="J1507">
        <f>IF($U1507="","",INDEX(상세표[사번],$U1507)&amp;"")</f>
        <v/>
      </c>
      <c r="K1507">
        <f>IF($U1507="","",INDEX(상세표[성명],$U1507)&amp;"")</f>
        <v/>
      </c>
      <c r="L1507">
        <f>IF($U1507="","",INDEX(상세표[직위],$U1507)&amp;"")</f>
        <v/>
      </c>
      <c r="M1507">
        <f>IF($U1507="","",IF(ISNUMBER(INDEX(상세표[근무일자],$U1507)),TEXT(INDEX(상세표[근무일자],$U1507),"yyyy-mm-dd"),INDEX(상세표[근무일자],$U1507)&amp;""))</f>
        <v/>
      </c>
      <c r="N1507">
        <f>IF($U1507="","",IF(ISNUMBER(INDEX(상세표[시작],$U1507)),TEXT(INDEX(상세표[시작],$U1507),"yyyy-mm-dd hh:mm"),INDEX(상세표[시작],$U1507)&amp;""))</f>
        <v/>
      </c>
      <c r="O1507">
        <f>IF($U1507="","",IF(ISNUMBER(INDEX(상세표[종료],$U1507)),TEXT(INDEX(상세표[종료],$U1507),"yyyy-mm-dd hh:mm"),INDEX(상세표[종료],$U1507)&amp;""))</f>
        <v/>
      </c>
      <c r="P1507" s="20">
        <f>IF($U1507="","",INDEX(상세표[06~07시],$U1507))</f>
        <v/>
      </c>
      <c r="Q1507" s="20">
        <f>IF($U1507="","",INDEX(상세표[07~18시],$U1507))</f>
        <v/>
      </c>
      <c r="R1507" s="20">
        <f>IF($U1507="","",INDEX(상세표[18~22시],$U1507))</f>
        <v/>
      </c>
      <c r="S1507" s="20">
        <f>IF($U1507="","",INDEX(상세표[22~06시],$U1507))</f>
        <v/>
      </c>
      <c r="T1507" s="20">
        <f>IF($U1507="","",INDEX(상세표[기록 시간외],$U1507))</f>
        <v/>
      </c>
      <c r="U1507" s="4">
        <f>IFERROR(MATCH(1502,상세표[발송순번],0),"")</f>
        <v/>
      </c>
    </row>
    <row r="1508">
      <c r="J1508">
        <f>IF($U1508="","",INDEX(상세표[사번],$U1508)&amp;"")</f>
        <v/>
      </c>
      <c r="K1508">
        <f>IF($U1508="","",INDEX(상세표[성명],$U1508)&amp;"")</f>
        <v/>
      </c>
      <c r="L1508">
        <f>IF($U1508="","",INDEX(상세표[직위],$U1508)&amp;"")</f>
        <v/>
      </c>
      <c r="M1508">
        <f>IF($U1508="","",IF(ISNUMBER(INDEX(상세표[근무일자],$U1508)),TEXT(INDEX(상세표[근무일자],$U1508),"yyyy-mm-dd"),INDEX(상세표[근무일자],$U1508)&amp;""))</f>
        <v/>
      </c>
      <c r="N1508">
        <f>IF($U1508="","",IF(ISNUMBER(INDEX(상세표[시작],$U1508)),TEXT(INDEX(상세표[시작],$U1508),"yyyy-mm-dd hh:mm"),INDEX(상세표[시작],$U1508)&amp;""))</f>
        <v/>
      </c>
      <c r="O1508">
        <f>IF($U1508="","",IF(ISNUMBER(INDEX(상세표[종료],$U1508)),TEXT(INDEX(상세표[종료],$U1508),"yyyy-mm-dd hh:mm"),INDEX(상세표[종료],$U1508)&amp;""))</f>
        <v/>
      </c>
      <c r="P1508" s="20">
        <f>IF($U1508="","",INDEX(상세표[06~07시],$U1508))</f>
        <v/>
      </c>
      <c r="Q1508" s="20">
        <f>IF($U1508="","",INDEX(상세표[07~18시],$U1508))</f>
        <v/>
      </c>
      <c r="R1508" s="20">
        <f>IF($U1508="","",INDEX(상세표[18~22시],$U1508))</f>
        <v/>
      </c>
      <c r="S1508" s="20">
        <f>IF($U1508="","",INDEX(상세표[22~06시],$U1508))</f>
        <v/>
      </c>
      <c r="T1508" s="20">
        <f>IF($U1508="","",INDEX(상세표[기록 시간외],$U1508))</f>
        <v/>
      </c>
      <c r="U1508" s="4">
        <f>IFERROR(MATCH(1503,상세표[발송순번],0),"")</f>
        <v/>
      </c>
    </row>
    <row r="1509">
      <c r="J1509">
        <f>IF($U1509="","",INDEX(상세표[사번],$U1509)&amp;"")</f>
        <v/>
      </c>
      <c r="K1509">
        <f>IF($U1509="","",INDEX(상세표[성명],$U1509)&amp;"")</f>
        <v/>
      </c>
      <c r="L1509">
        <f>IF($U1509="","",INDEX(상세표[직위],$U1509)&amp;"")</f>
        <v/>
      </c>
      <c r="M1509">
        <f>IF($U1509="","",IF(ISNUMBER(INDEX(상세표[근무일자],$U1509)),TEXT(INDEX(상세표[근무일자],$U1509),"yyyy-mm-dd"),INDEX(상세표[근무일자],$U1509)&amp;""))</f>
        <v/>
      </c>
      <c r="N1509">
        <f>IF($U1509="","",IF(ISNUMBER(INDEX(상세표[시작],$U1509)),TEXT(INDEX(상세표[시작],$U1509),"yyyy-mm-dd hh:mm"),INDEX(상세표[시작],$U1509)&amp;""))</f>
        <v/>
      </c>
      <c r="O1509">
        <f>IF($U1509="","",IF(ISNUMBER(INDEX(상세표[종료],$U1509)),TEXT(INDEX(상세표[종료],$U1509),"yyyy-mm-dd hh:mm"),INDEX(상세표[종료],$U1509)&amp;""))</f>
        <v/>
      </c>
      <c r="P1509" s="20">
        <f>IF($U1509="","",INDEX(상세표[06~07시],$U1509))</f>
        <v/>
      </c>
      <c r="Q1509" s="20">
        <f>IF($U1509="","",INDEX(상세표[07~18시],$U1509))</f>
        <v/>
      </c>
      <c r="R1509" s="20">
        <f>IF($U1509="","",INDEX(상세표[18~22시],$U1509))</f>
        <v/>
      </c>
      <c r="S1509" s="20">
        <f>IF($U1509="","",INDEX(상세표[22~06시],$U1509))</f>
        <v/>
      </c>
      <c r="T1509" s="20">
        <f>IF($U1509="","",INDEX(상세표[기록 시간외],$U1509))</f>
        <v/>
      </c>
      <c r="U1509" s="4">
        <f>IFERROR(MATCH(1504,상세표[발송순번],0),"")</f>
        <v/>
      </c>
    </row>
    <row r="1510">
      <c r="J1510">
        <f>IF($U1510="","",INDEX(상세표[사번],$U1510)&amp;"")</f>
        <v/>
      </c>
      <c r="K1510">
        <f>IF($U1510="","",INDEX(상세표[성명],$U1510)&amp;"")</f>
        <v/>
      </c>
      <c r="L1510">
        <f>IF($U1510="","",INDEX(상세표[직위],$U1510)&amp;"")</f>
        <v/>
      </c>
      <c r="M1510">
        <f>IF($U1510="","",IF(ISNUMBER(INDEX(상세표[근무일자],$U1510)),TEXT(INDEX(상세표[근무일자],$U1510),"yyyy-mm-dd"),INDEX(상세표[근무일자],$U1510)&amp;""))</f>
        <v/>
      </c>
      <c r="N1510">
        <f>IF($U1510="","",IF(ISNUMBER(INDEX(상세표[시작],$U1510)),TEXT(INDEX(상세표[시작],$U1510),"yyyy-mm-dd hh:mm"),INDEX(상세표[시작],$U1510)&amp;""))</f>
        <v/>
      </c>
      <c r="O1510">
        <f>IF($U1510="","",IF(ISNUMBER(INDEX(상세표[종료],$U1510)),TEXT(INDEX(상세표[종료],$U1510),"yyyy-mm-dd hh:mm"),INDEX(상세표[종료],$U1510)&amp;""))</f>
        <v/>
      </c>
      <c r="P1510" s="20">
        <f>IF($U1510="","",INDEX(상세표[06~07시],$U1510))</f>
        <v/>
      </c>
      <c r="Q1510" s="20">
        <f>IF($U1510="","",INDEX(상세표[07~18시],$U1510))</f>
        <v/>
      </c>
      <c r="R1510" s="20">
        <f>IF($U1510="","",INDEX(상세표[18~22시],$U1510))</f>
        <v/>
      </c>
      <c r="S1510" s="20">
        <f>IF($U1510="","",INDEX(상세표[22~06시],$U1510))</f>
        <v/>
      </c>
      <c r="T1510" s="20">
        <f>IF($U1510="","",INDEX(상세표[기록 시간외],$U1510))</f>
        <v/>
      </c>
      <c r="U1510" s="4">
        <f>IFERROR(MATCH(1505,상세표[발송순번],0),"")</f>
        <v/>
      </c>
    </row>
    <row r="1511">
      <c r="J1511">
        <f>IF($U1511="","",INDEX(상세표[사번],$U1511)&amp;"")</f>
        <v/>
      </c>
      <c r="K1511">
        <f>IF($U1511="","",INDEX(상세표[성명],$U1511)&amp;"")</f>
        <v/>
      </c>
      <c r="L1511">
        <f>IF($U1511="","",INDEX(상세표[직위],$U1511)&amp;"")</f>
        <v/>
      </c>
      <c r="M1511">
        <f>IF($U1511="","",IF(ISNUMBER(INDEX(상세표[근무일자],$U1511)),TEXT(INDEX(상세표[근무일자],$U1511),"yyyy-mm-dd"),INDEX(상세표[근무일자],$U1511)&amp;""))</f>
        <v/>
      </c>
      <c r="N1511">
        <f>IF($U1511="","",IF(ISNUMBER(INDEX(상세표[시작],$U1511)),TEXT(INDEX(상세표[시작],$U1511),"yyyy-mm-dd hh:mm"),INDEX(상세표[시작],$U1511)&amp;""))</f>
        <v/>
      </c>
      <c r="O1511">
        <f>IF($U1511="","",IF(ISNUMBER(INDEX(상세표[종료],$U1511)),TEXT(INDEX(상세표[종료],$U1511),"yyyy-mm-dd hh:mm"),INDEX(상세표[종료],$U1511)&amp;""))</f>
        <v/>
      </c>
      <c r="P1511" s="20">
        <f>IF($U1511="","",INDEX(상세표[06~07시],$U1511))</f>
        <v/>
      </c>
      <c r="Q1511" s="20">
        <f>IF($U1511="","",INDEX(상세표[07~18시],$U1511))</f>
        <v/>
      </c>
      <c r="R1511" s="20">
        <f>IF($U1511="","",INDEX(상세표[18~22시],$U1511))</f>
        <v/>
      </c>
      <c r="S1511" s="20">
        <f>IF($U1511="","",INDEX(상세표[22~06시],$U1511))</f>
        <v/>
      </c>
      <c r="T1511" s="20">
        <f>IF($U1511="","",INDEX(상세표[기록 시간외],$U1511))</f>
        <v/>
      </c>
      <c r="U1511" s="4">
        <f>IFERROR(MATCH(1506,상세표[발송순번],0),"")</f>
        <v/>
      </c>
    </row>
    <row r="1512">
      <c r="J1512">
        <f>IF($U1512="","",INDEX(상세표[사번],$U1512)&amp;"")</f>
        <v/>
      </c>
      <c r="K1512">
        <f>IF($U1512="","",INDEX(상세표[성명],$U1512)&amp;"")</f>
        <v/>
      </c>
      <c r="L1512">
        <f>IF($U1512="","",INDEX(상세표[직위],$U1512)&amp;"")</f>
        <v/>
      </c>
      <c r="M1512">
        <f>IF($U1512="","",IF(ISNUMBER(INDEX(상세표[근무일자],$U1512)),TEXT(INDEX(상세표[근무일자],$U1512),"yyyy-mm-dd"),INDEX(상세표[근무일자],$U1512)&amp;""))</f>
        <v/>
      </c>
      <c r="N1512">
        <f>IF($U1512="","",IF(ISNUMBER(INDEX(상세표[시작],$U1512)),TEXT(INDEX(상세표[시작],$U1512),"yyyy-mm-dd hh:mm"),INDEX(상세표[시작],$U1512)&amp;""))</f>
        <v/>
      </c>
      <c r="O1512">
        <f>IF($U1512="","",IF(ISNUMBER(INDEX(상세표[종료],$U1512)),TEXT(INDEX(상세표[종료],$U1512),"yyyy-mm-dd hh:mm"),INDEX(상세표[종료],$U1512)&amp;""))</f>
        <v/>
      </c>
      <c r="P1512" s="20">
        <f>IF($U1512="","",INDEX(상세표[06~07시],$U1512))</f>
        <v/>
      </c>
      <c r="Q1512" s="20">
        <f>IF($U1512="","",INDEX(상세표[07~18시],$U1512))</f>
        <v/>
      </c>
      <c r="R1512" s="20">
        <f>IF($U1512="","",INDEX(상세표[18~22시],$U1512))</f>
        <v/>
      </c>
      <c r="S1512" s="20">
        <f>IF($U1512="","",INDEX(상세표[22~06시],$U1512))</f>
        <v/>
      </c>
      <c r="T1512" s="20">
        <f>IF($U1512="","",INDEX(상세표[기록 시간외],$U1512))</f>
        <v/>
      </c>
      <c r="U1512" s="4">
        <f>IFERROR(MATCH(1507,상세표[발송순번],0),"")</f>
        <v/>
      </c>
    </row>
    <row r="1513">
      <c r="J1513">
        <f>IF($U1513="","",INDEX(상세표[사번],$U1513)&amp;"")</f>
        <v/>
      </c>
      <c r="K1513">
        <f>IF($U1513="","",INDEX(상세표[성명],$U1513)&amp;"")</f>
        <v/>
      </c>
      <c r="L1513">
        <f>IF($U1513="","",INDEX(상세표[직위],$U1513)&amp;"")</f>
        <v/>
      </c>
      <c r="M1513">
        <f>IF($U1513="","",IF(ISNUMBER(INDEX(상세표[근무일자],$U1513)),TEXT(INDEX(상세표[근무일자],$U1513),"yyyy-mm-dd"),INDEX(상세표[근무일자],$U1513)&amp;""))</f>
        <v/>
      </c>
      <c r="N1513">
        <f>IF($U1513="","",IF(ISNUMBER(INDEX(상세표[시작],$U1513)),TEXT(INDEX(상세표[시작],$U1513),"yyyy-mm-dd hh:mm"),INDEX(상세표[시작],$U1513)&amp;""))</f>
        <v/>
      </c>
      <c r="O1513">
        <f>IF($U1513="","",IF(ISNUMBER(INDEX(상세표[종료],$U1513)),TEXT(INDEX(상세표[종료],$U1513),"yyyy-mm-dd hh:mm"),INDEX(상세표[종료],$U1513)&amp;""))</f>
        <v/>
      </c>
      <c r="P1513" s="20">
        <f>IF($U1513="","",INDEX(상세표[06~07시],$U1513))</f>
        <v/>
      </c>
      <c r="Q1513" s="20">
        <f>IF($U1513="","",INDEX(상세표[07~18시],$U1513))</f>
        <v/>
      </c>
      <c r="R1513" s="20">
        <f>IF($U1513="","",INDEX(상세표[18~22시],$U1513))</f>
        <v/>
      </c>
      <c r="S1513" s="20">
        <f>IF($U1513="","",INDEX(상세표[22~06시],$U1513))</f>
        <v/>
      </c>
      <c r="T1513" s="20">
        <f>IF($U1513="","",INDEX(상세표[기록 시간외],$U1513))</f>
        <v/>
      </c>
      <c r="U1513" s="4">
        <f>IFERROR(MATCH(1508,상세표[발송순번],0),"")</f>
        <v/>
      </c>
    </row>
    <row r="1514">
      <c r="J1514">
        <f>IF($U1514="","",INDEX(상세표[사번],$U1514)&amp;"")</f>
        <v/>
      </c>
      <c r="K1514">
        <f>IF($U1514="","",INDEX(상세표[성명],$U1514)&amp;"")</f>
        <v/>
      </c>
      <c r="L1514">
        <f>IF($U1514="","",INDEX(상세표[직위],$U1514)&amp;"")</f>
        <v/>
      </c>
      <c r="M1514">
        <f>IF($U1514="","",IF(ISNUMBER(INDEX(상세표[근무일자],$U1514)),TEXT(INDEX(상세표[근무일자],$U1514),"yyyy-mm-dd"),INDEX(상세표[근무일자],$U1514)&amp;""))</f>
        <v/>
      </c>
      <c r="N1514">
        <f>IF($U1514="","",IF(ISNUMBER(INDEX(상세표[시작],$U1514)),TEXT(INDEX(상세표[시작],$U1514),"yyyy-mm-dd hh:mm"),INDEX(상세표[시작],$U1514)&amp;""))</f>
        <v/>
      </c>
      <c r="O1514">
        <f>IF($U1514="","",IF(ISNUMBER(INDEX(상세표[종료],$U1514)),TEXT(INDEX(상세표[종료],$U1514),"yyyy-mm-dd hh:mm"),INDEX(상세표[종료],$U1514)&amp;""))</f>
        <v/>
      </c>
      <c r="P1514" s="20">
        <f>IF($U1514="","",INDEX(상세표[06~07시],$U1514))</f>
        <v/>
      </c>
      <c r="Q1514" s="20">
        <f>IF($U1514="","",INDEX(상세표[07~18시],$U1514))</f>
        <v/>
      </c>
      <c r="R1514" s="20">
        <f>IF($U1514="","",INDEX(상세표[18~22시],$U1514))</f>
        <v/>
      </c>
      <c r="S1514" s="20">
        <f>IF($U1514="","",INDEX(상세표[22~06시],$U1514))</f>
        <v/>
      </c>
      <c r="T1514" s="20">
        <f>IF($U1514="","",INDEX(상세표[기록 시간외],$U1514))</f>
        <v/>
      </c>
      <c r="U1514" s="4">
        <f>IFERROR(MATCH(1509,상세표[발송순번],0),"")</f>
        <v/>
      </c>
    </row>
    <row r="1515">
      <c r="J1515">
        <f>IF($U1515="","",INDEX(상세표[사번],$U1515)&amp;"")</f>
        <v/>
      </c>
      <c r="K1515">
        <f>IF($U1515="","",INDEX(상세표[성명],$U1515)&amp;"")</f>
        <v/>
      </c>
      <c r="L1515">
        <f>IF($U1515="","",INDEX(상세표[직위],$U1515)&amp;"")</f>
        <v/>
      </c>
      <c r="M1515">
        <f>IF($U1515="","",IF(ISNUMBER(INDEX(상세표[근무일자],$U1515)),TEXT(INDEX(상세표[근무일자],$U1515),"yyyy-mm-dd"),INDEX(상세표[근무일자],$U1515)&amp;""))</f>
        <v/>
      </c>
      <c r="N1515">
        <f>IF($U1515="","",IF(ISNUMBER(INDEX(상세표[시작],$U1515)),TEXT(INDEX(상세표[시작],$U1515),"yyyy-mm-dd hh:mm"),INDEX(상세표[시작],$U1515)&amp;""))</f>
        <v/>
      </c>
      <c r="O1515">
        <f>IF($U1515="","",IF(ISNUMBER(INDEX(상세표[종료],$U1515)),TEXT(INDEX(상세표[종료],$U1515),"yyyy-mm-dd hh:mm"),INDEX(상세표[종료],$U1515)&amp;""))</f>
        <v/>
      </c>
      <c r="P1515" s="20">
        <f>IF($U1515="","",INDEX(상세표[06~07시],$U1515))</f>
        <v/>
      </c>
      <c r="Q1515" s="20">
        <f>IF($U1515="","",INDEX(상세표[07~18시],$U1515))</f>
        <v/>
      </c>
      <c r="R1515" s="20">
        <f>IF($U1515="","",INDEX(상세표[18~22시],$U1515))</f>
        <v/>
      </c>
      <c r="S1515" s="20">
        <f>IF($U1515="","",INDEX(상세표[22~06시],$U1515))</f>
        <v/>
      </c>
      <c r="T1515" s="20">
        <f>IF($U1515="","",INDEX(상세표[기록 시간외],$U1515))</f>
        <v/>
      </c>
      <c r="U1515" s="4">
        <f>IFERROR(MATCH(1510,상세표[발송순번],0),"")</f>
        <v/>
      </c>
    </row>
    <row r="1516">
      <c r="J1516">
        <f>IF($U1516="","",INDEX(상세표[사번],$U1516)&amp;"")</f>
        <v/>
      </c>
      <c r="K1516">
        <f>IF($U1516="","",INDEX(상세표[성명],$U1516)&amp;"")</f>
        <v/>
      </c>
      <c r="L1516">
        <f>IF($U1516="","",INDEX(상세표[직위],$U1516)&amp;"")</f>
        <v/>
      </c>
      <c r="M1516">
        <f>IF($U1516="","",IF(ISNUMBER(INDEX(상세표[근무일자],$U1516)),TEXT(INDEX(상세표[근무일자],$U1516),"yyyy-mm-dd"),INDEX(상세표[근무일자],$U1516)&amp;""))</f>
        <v/>
      </c>
      <c r="N1516">
        <f>IF($U1516="","",IF(ISNUMBER(INDEX(상세표[시작],$U1516)),TEXT(INDEX(상세표[시작],$U1516),"yyyy-mm-dd hh:mm"),INDEX(상세표[시작],$U1516)&amp;""))</f>
        <v/>
      </c>
      <c r="O1516">
        <f>IF($U1516="","",IF(ISNUMBER(INDEX(상세표[종료],$U1516)),TEXT(INDEX(상세표[종료],$U1516),"yyyy-mm-dd hh:mm"),INDEX(상세표[종료],$U1516)&amp;""))</f>
        <v/>
      </c>
      <c r="P1516" s="20">
        <f>IF($U1516="","",INDEX(상세표[06~07시],$U1516))</f>
        <v/>
      </c>
      <c r="Q1516" s="20">
        <f>IF($U1516="","",INDEX(상세표[07~18시],$U1516))</f>
        <v/>
      </c>
      <c r="R1516" s="20">
        <f>IF($U1516="","",INDEX(상세표[18~22시],$U1516))</f>
        <v/>
      </c>
      <c r="S1516" s="20">
        <f>IF($U1516="","",INDEX(상세표[22~06시],$U1516))</f>
        <v/>
      </c>
      <c r="T1516" s="20">
        <f>IF($U1516="","",INDEX(상세표[기록 시간외],$U1516))</f>
        <v/>
      </c>
      <c r="U1516" s="4">
        <f>IFERROR(MATCH(1511,상세표[발송순번],0),"")</f>
        <v/>
      </c>
    </row>
    <row r="1517">
      <c r="J1517">
        <f>IF($U1517="","",INDEX(상세표[사번],$U1517)&amp;"")</f>
        <v/>
      </c>
      <c r="K1517">
        <f>IF($U1517="","",INDEX(상세표[성명],$U1517)&amp;"")</f>
        <v/>
      </c>
      <c r="L1517">
        <f>IF($U1517="","",INDEX(상세표[직위],$U1517)&amp;"")</f>
        <v/>
      </c>
      <c r="M1517">
        <f>IF($U1517="","",IF(ISNUMBER(INDEX(상세표[근무일자],$U1517)),TEXT(INDEX(상세표[근무일자],$U1517),"yyyy-mm-dd"),INDEX(상세표[근무일자],$U1517)&amp;""))</f>
        <v/>
      </c>
      <c r="N1517">
        <f>IF($U1517="","",IF(ISNUMBER(INDEX(상세표[시작],$U1517)),TEXT(INDEX(상세표[시작],$U1517),"yyyy-mm-dd hh:mm"),INDEX(상세표[시작],$U1517)&amp;""))</f>
        <v/>
      </c>
      <c r="O1517">
        <f>IF($U1517="","",IF(ISNUMBER(INDEX(상세표[종료],$U1517)),TEXT(INDEX(상세표[종료],$U1517),"yyyy-mm-dd hh:mm"),INDEX(상세표[종료],$U1517)&amp;""))</f>
        <v/>
      </c>
      <c r="P1517" s="20">
        <f>IF($U1517="","",INDEX(상세표[06~07시],$U1517))</f>
        <v/>
      </c>
      <c r="Q1517" s="20">
        <f>IF($U1517="","",INDEX(상세표[07~18시],$U1517))</f>
        <v/>
      </c>
      <c r="R1517" s="20">
        <f>IF($U1517="","",INDEX(상세표[18~22시],$U1517))</f>
        <v/>
      </c>
      <c r="S1517" s="20">
        <f>IF($U1517="","",INDEX(상세표[22~06시],$U1517))</f>
        <v/>
      </c>
      <c r="T1517" s="20">
        <f>IF($U1517="","",INDEX(상세표[기록 시간외],$U1517))</f>
        <v/>
      </c>
      <c r="U1517" s="4">
        <f>IFERROR(MATCH(1512,상세표[발송순번],0),"")</f>
        <v/>
      </c>
    </row>
    <row r="1518">
      <c r="J1518">
        <f>IF($U1518="","",INDEX(상세표[사번],$U1518)&amp;"")</f>
        <v/>
      </c>
      <c r="K1518">
        <f>IF($U1518="","",INDEX(상세표[성명],$U1518)&amp;"")</f>
        <v/>
      </c>
      <c r="L1518">
        <f>IF($U1518="","",INDEX(상세표[직위],$U1518)&amp;"")</f>
        <v/>
      </c>
      <c r="M1518">
        <f>IF($U1518="","",IF(ISNUMBER(INDEX(상세표[근무일자],$U1518)),TEXT(INDEX(상세표[근무일자],$U1518),"yyyy-mm-dd"),INDEX(상세표[근무일자],$U1518)&amp;""))</f>
        <v/>
      </c>
      <c r="N1518">
        <f>IF($U1518="","",IF(ISNUMBER(INDEX(상세표[시작],$U1518)),TEXT(INDEX(상세표[시작],$U1518),"yyyy-mm-dd hh:mm"),INDEX(상세표[시작],$U1518)&amp;""))</f>
        <v/>
      </c>
      <c r="O1518">
        <f>IF($U1518="","",IF(ISNUMBER(INDEX(상세표[종료],$U1518)),TEXT(INDEX(상세표[종료],$U1518),"yyyy-mm-dd hh:mm"),INDEX(상세표[종료],$U1518)&amp;""))</f>
        <v/>
      </c>
      <c r="P1518" s="20">
        <f>IF($U1518="","",INDEX(상세표[06~07시],$U1518))</f>
        <v/>
      </c>
      <c r="Q1518" s="20">
        <f>IF($U1518="","",INDEX(상세표[07~18시],$U1518))</f>
        <v/>
      </c>
      <c r="R1518" s="20">
        <f>IF($U1518="","",INDEX(상세표[18~22시],$U1518))</f>
        <v/>
      </c>
      <c r="S1518" s="20">
        <f>IF($U1518="","",INDEX(상세표[22~06시],$U1518))</f>
        <v/>
      </c>
      <c r="T1518" s="20">
        <f>IF($U1518="","",INDEX(상세표[기록 시간외],$U1518))</f>
        <v/>
      </c>
      <c r="U1518" s="4">
        <f>IFERROR(MATCH(1513,상세표[발송순번],0),"")</f>
        <v/>
      </c>
    </row>
    <row r="1519">
      <c r="J1519">
        <f>IF($U1519="","",INDEX(상세표[사번],$U1519)&amp;"")</f>
        <v/>
      </c>
      <c r="K1519">
        <f>IF($U1519="","",INDEX(상세표[성명],$U1519)&amp;"")</f>
        <v/>
      </c>
      <c r="L1519">
        <f>IF($U1519="","",INDEX(상세표[직위],$U1519)&amp;"")</f>
        <v/>
      </c>
      <c r="M1519">
        <f>IF($U1519="","",IF(ISNUMBER(INDEX(상세표[근무일자],$U1519)),TEXT(INDEX(상세표[근무일자],$U1519),"yyyy-mm-dd"),INDEX(상세표[근무일자],$U1519)&amp;""))</f>
        <v/>
      </c>
      <c r="N1519">
        <f>IF($U1519="","",IF(ISNUMBER(INDEX(상세표[시작],$U1519)),TEXT(INDEX(상세표[시작],$U1519),"yyyy-mm-dd hh:mm"),INDEX(상세표[시작],$U1519)&amp;""))</f>
        <v/>
      </c>
      <c r="O1519">
        <f>IF($U1519="","",IF(ISNUMBER(INDEX(상세표[종료],$U1519)),TEXT(INDEX(상세표[종료],$U1519),"yyyy-mm-dd hh:mm"),INDEX(상세표[종료],$U1519)&amp;""))</f>
        <v/>
      </c>
      <c r="P1519" s="20">
        <f>IF($U1519="","",INDEX(상세표[06~07시],$U1519))</f>
        <v/>
      </c>
      <c r="Q1519" s="20">
        <f>IF($U1519="","",INDEX(상세표[07~18시],$U1519))</f>
        <v/>
      </c>
      <c r="R1519" s="20">
        <f>IF($U1519="","",INDEX(상세표[18~22시],$U1519))</f>
        <v/>
      </c>
      <c r="S1519" s="20">
        <f>IF($U1519="","",INDEX(상세표[22~06시],$U1519))</f>
        <v/>
      </c>
      <c r="T1519" s="20">
        <f>IF($U1519="","",INDEX(상세표[기록 시간외],$U1519))</f>
        <v/>
      </c>
      <c r="U1519" s="4">
        <f>IFERROR(MATCH(1514,상세표[발송순번],0),"")</f>
        <v/>
      </c>
    </row>
    <row r="1520">
      <c r="J1520">
        <f>IF($U1520="","",INDEX(상세표[사번],$U1520)&amp;"")</f>
        <v/>
      </c>
      <c r="K1520">
        <f>IF($U1520="","",INDEX(상세표[성명],$U1520)&amp;"")</f>
        <v/>
      </c>
      <c r="L1520">
        <f>IF($U1520="","",INDEX(상세표[직위],$U1520)&amp;"")</f>
        <v/>
      </c>
      <c r="M1520">
        <f>IF($U1520="","",IF(ISNUMBER(INDEX(상세표[근무일자],$U1520)),TEXT(INDEX(상세표[근무일자],$U1520),"yyyy-mm-dd"),INDEX(상세표[근무일자],$U1520)&amp;""))</f>
        <v/>
      </c>
      <c r="N1520">
        <f>IF($U1520="","",IF(ISNUMBER(INDEX(상세표[시작],$U1520)),TEXT(INDEX(상세표[시작],$U1520),"yyyy-mm-dd hh:mm"),INDEX(상세표[시작],$U1520)&amp;""))</f>
        <v/>
      </c>
      <c r="O1520">
        <f>IF($U1520="","",IF(ISNUMBER(INDEX(상세표[종료],$U1520)),TEXT(INDEX(상세표[종료],$U1520),"yyyy-mm-dd hh:mm"),INDEX(상세표[종료],$U1520)&amp;""))</f>
        <v/>
      </c>
      <c r="P1520" s="20">
        <f>IF($U1520="","",INDEX(상세표[06~07시],$U1520))</f>
        <v/>
      </c>
      <c r="Q1520" s="20">
        <f>IF($U1520="","",INDEX(상세표[07~18시],$U1520))</f>
        <v/>
      </c>
      <c r="R1520" s="20">
        <f>IF($U1520="","",INDEX(상세표[18~22시],$U1520))</f>
        <v/>
      </c>
      <c r="S1520" s="20">
        <f>IF($U1520="","",INDEX(상세표[22~06시],$U1520))</f>
        <v/>
      </c>
      <c r="T1520" s="20">
        <f>IF($U1520="","",INDEX(상세표[기록 시간외],$U1520))</f>
        <v/>
      </c>
      <c r="U1520" s="4">
        <f>IFERROR(MATCH(1515,상세표[발송순번],0),"")</f>
        <v/>
      </c>
    </row>
    <row r="1521">
      <c r="J1521">
        <f>IF($U1521="","",INDEX(상세표[사번],$U1521)&amp;"")</f>
        <v/>
      </c>
      <c r="K1521">
        <f>IF($U1521="","",INDEX(상세표[성명],$U1521)&amp;"")</f>
        <v/>
      </c>
      <c r="L1521">
        <f>IF($U1521="","",INDEX(상세표[직위],$U1521)&amp;"")</f>
        <v/>
      </c>
      <c r="M1521">
        <f>IF($U1521="","",IF(ISNUMBER(INDEX(상세표[근무일자],$U1521)),TEXT(INDEX(상세표[근무일자],$U1521),"yyyy-mm-dd"),INDEX(상세표[근무일자],$U1521)&amp;""))</f>
        <v/>
      </c>
      <c r="N1521">
        <f>IF($U1521="","",IF(ISNUMBER(INDEX(상세표[시작],$U1521)),TEXT(INDEX(상세표[시작],$U1521),"yyyy-mm-dd hh:mm"),INDEX(상세표[시작],$U1521)&amp;""))</f>
        <v/>
      </c>
      <c r="O1521">
        <f>IF($U1521="","",IF(ISNUMBER(INDEX(상세표[종료],$U1521)),TEXT(INDEX(상세표[종료],$U1521),"yyyy-mm-dd hh:mm"),INDEX(상세표[종료],$U1521)&amp;""))</f>
        <v/>
      </c>
      <c r="P1521" s="20">
        <f>IF($U1521="","",INDEX(상세표[06~07시],$U1521))</f>
        <v/>
      </c>
      <c r="Q1521" s="20">
        <f>IF($U1521="","",INDEX(상세표[07~18시],$U1521))</f>
        <v/>
      </c>
      <c r="R1521" s="20">
        <f>IF($U1521="","",INDEX(상세표[18~22시],$U1521))</f>
        <v/>
      </c>
      <c r="S1521" s="20">
        <f>IF($U1521="","",INDEX(상세표[22~06시],$U1521))</f>
        <v/>
      </c>
      <c r="T1521" s="20">
        <f>IF($U1521="","",INDEX(상세표[기록 시간외],$U1521))</f>
        <v/>
      </c>
      <c r="U1521" s="4">
        <f>IFERROR(MATCH(1516,상세표[발송순번],0),"")</f>
        <v/>
      </c>
    </row>
    <row r="1522">
      <c r="J1522">
        <f>IF($U1522="","",INDEX(상세표[사번],$U1522)&amp;"")</f>
        <v/>
      </c>
      <c r="K1522">
        <f>IF($U1522="","",INDEX(상세표[성명],$U1522)&amp;"")</f>
        <v/>
      </c>
      <c r="L1522">
        <f>IF($U1522="","",INDEX(상세표[직위],$U1522)&amp;"")</f>
        <v/>
      </c>
      <c r="M1522">
        <f>IF($U1522="","",IF(ISNUMBER(INDEX(상세표[근무일자],$U1522)),TEXT(INDEX(상세표[근무일자],$U1522),"yyyy-mm-dd"),INDEX(상세표[근무일자],$U1522)&amp;""))</f>
        <v/>
      </c>
      <c r="N1522">
        <f>IF($U1522="","",IF(ISNUMBER(INDEX(상세표[시작],$U1522)),TEXT(INDEX(상세표[시작],$U1522),"yyyy-mm-dd hh:mm"),INDEX(상세표[시작],$U1522)&amp;""))</f>
        <v/>
      </c>
      <c r="O1522">
        <f>IF($U1522="","",IF(ISNUMBER(INDEX(상세표[종료],$U1522)),TEXT(INDEX(상세표[종료],$U1522),"yyyy-mm-dd hh:mm"),INDEX(상세표[종료],$U1522)&amp;""))</f>
        <v/>
      </c>
      <c r="P1522" s="20">
        <f>IF($U1522="","",INDEX(상세표[06~07시],$U1522))</f>
        <v/>
      </c>
      <c r="Q1522" s="20">
        <f>IF($U1522="","",INDEX(상세표[07~18시],$U1522))</f>
        <v/>
      </c>
      <c r="R1522" s="20">
        <f>IF($U1522="","",INDEX(상세표[18~22시],$U1522))</f>
        <v/>
      </c>
      <c r="S1522" s="20">
        <f>IF($U1522="","",INDEX(상세표[22~06시],$U1522))</f>
        <v/>
      </c>
      <c r="T1522" s="20">
        <f>IF($U1522="","",INDEX(상세표[기록 시간외],$U1522))</f>
        <v/>
      </c>
      <c r="U1522" s="4">
        <f>IFERROR(MATCH(1517,상세표[발송순번],0),"")</f>
        <v/>
      </c>
    </row>
    <row r="1523">
      <c r="J1523">
        <f>IF($U1523="","",INDEX(상세표[사번],$U1523)&amp;"")</f>
        <v/>
      </c>
      <c r="K1523">
        <f>IF($U1523="","",INDEX(상세표[성명],$U1523)&amp;"")</f>
        <v/>
      </c>
      <c r="L1523">
        <f>IF($U1523="","",INDEX(상세표[직위],$U1523)&amp;"")</f>
        <v/>
      </c>
      <c r="M1523">
        <f>IF($U1523="","",IF(ISNUMBER(INDEX(상세표[근무일자],$U1523)),TEXT(INDEX(상세표[근무일자],$U1523),"yyyy-mm-dd"),INDEX(상세표[근무일자],$U1523)&amp;""))</f>
        <v/>
      </c>
      <c r="N1523">
        <f>IF($U1523="","",IF(ISNUMBER(INDEX(상세표[시작],$U1523)),TEXT(INDEX(상세표[시작],$U1523),"yyyy-mm-dd hh:mm"),INDEX(상세표[시작],$U1523)&amp;""))</f>
        <v/>
      </c>
      <c r="O1523">
        <f>IF($U1523="","",IF(ISNUMBER(INDEX(상세표[종료],$U1523)),TEXT(INDEX(상세표[종료],$U1523),"yyyy-mm-dd hh:mm"),INDEX(상세표[종료],$U1523)&amp;""))</f>
        <v/>
      </c>
      <c r="P1523" s="20">
        <f>IF($U1523="","",INDEX(상세표[06~07시],$U1523))</f>
        <v/>
      </c>
      <c r="Q1523" s="20">
        <f>IF($U1523="","",INDEX(상세표[07~18시],$U1523))</f>
        <v/>
      </c>
      <c r="R1523" s="20">
        <f>IF($U1523="","",INDEX(상세표[18~22시],$U1523))</f>
        <v/>
      </c>
      <c r="S1523" s="20">
        <f>IF($U1523="","",INDEX(상세표[22~06시],$U1523))</f>
        <v/>
      </c>
      <c r="T1523" s="20">
        <f>IF($U1523="","",INDEX(상세표[기록 시간외],$U1523))</f>
        <v/>
      </c>
      <c r="U1523" s="4">
        <f>IFERROR(MATCH(1518,상세표[발송순번],0),"")</f>
        <v/>
      </c>
    </row>
    <row r="1524">
      <c r="J1524">
        <f>IF($U1524="","",INDEX(상세표[사번],$U1524)&amp;"")</f>
        <v/>
      </c>
      <c r="K1524">
        <f>IF($U1524="","",INDEX(상세표[성명],$U1524)&amp;"")</f>
        <v/>
      </c>
      <c r="L1524">
        <f>IF($U1524="","",INDEX(상세표[직위],$U1524)&amp;"")</f>
        <v/>
      </c>
      <c r="M1524">
        <f>IF($U1524="","",IF(ISNUMBER(INDEX(상세표[근무일자],$U1524)),TEXT(INDEX(상세표[근무일자],$U1524),"yyyy-mm-dd"),INDEX(상세표[근무일자],$U1524)&amp;""))</f>
        <v/>
      </c>
      <c r="N1524">
        <f>IF($U1524="","",IF(ISNUMBER(INDEX(상세표[시작],$U1524)),TEXT(INDEX(상세표[시작],$U1524),"yyyy-mm-dd hh:mm"),INDEX(상세표[시작],$U1524)&amp;""))</f>
        <v/>
      </c>
      <c r="O1524">
        <f>IF($U1524="","",IF(ISNUMBER(INDEX(상세표[종료],$U1524)),TEXT(INDEX(상세표[종료],$U1524),"yyyy-mm-dd hh:mm"),INDEX(상세표[종료],$U1524)&amp;""))</f>
        <v/>
      </c>
      <c r="P1524" s="20">
        <f>IF($U1524="","",INDEX(상세표[06~07시],$U1524))</f>
        <v/>
      </c>
      <c r="Q1524" s="20">
        <f>IF($U1524="","",INDEX(상세표[07~18시],$U1524))</f>
        <v/>
      </c>
      <c r="R1524" s="20">
        <f>IF($U1524="","",INDEX(상세표[18~22시],$U1524))</f>
        <v/>
      </c>
      <c r="S1524" s="20">
        <f>IF($U1524="","",INDEX(상세표[22~06시],$U1524))</f>
        <v/>
      </c>
      <c r="T1524" s="20">
        <f>IF($U1524="","",INDEX(상세표[기록 시간외],$U1524))</f>
        <v/>
      </c>
      <c r="U1524" s="4">
        <f>IFERROR(MATCH(1519,상세표[발송순번],0),"")</f>
        <v/>
      </c>
    </row>
    <row r="1525">
      <c r="J1525">
        <f>IF($U1525="","",INDEX(상세표[사번],$U1525)&amp;"")</f>
        <v/>
      </c>
      <c r="K1525">
        <f>IF($U1525="","",INDEX(상세표[성명],$U1525)&amp;"")</f>
        <v/>
      </c>
      <c r="L1525">
        <f>IF($U1525="","",INDEX(상세표[직위],$U1525)&amp;"")</f>
        <v/>
      </c>
      <c r="M1525">
        <f>IF($U1525="","",IF(ISNUMBER(INDEX(상세표[근무일자],$U1525)),TEXT(INDEX(상세표[근무일자],$U1525),"yyyy-mm-dd"),INDEX(상세표[근무일자],$U1525)&amp;""))</f>
        <v/>
      </c>
      <c r="N1525">
        <f>IF($U1525="","",IF(ISNUMBER(INDEX(상세표[시작],$U1525)),TEXT(INDEX(상세표[시작],$U1525),"yyyy-mm-dd hh:mm"),INDEX(상세표[시작],$U1525)&amp;""))</f>
        <v/>
      </c>
      <c r="O1525">
        <f>IF($U1525="","",IF(ISNUMBER(INDEX(상세표[종료],$U1525)),TEXT(INDEX(상세표[종료],$U1525),"yyyy-mm-dd hh:mm"),INDEX(상세표[종료],$U1525)&amp;""))</f>
        <v/>
      </c>
      <c r="P1525" s="20">
        <f>IF($U1525="","",INDEX(상세표[06~07시],$U1525))</f>
        <v/>
      </c>
      <c r="Q1525" s="20">
        <f>IF($U1525="","",INDEX(상세표[07~18시],$U1525))</f>
        <v/>
      </c>
      <c r="R1525" s="20">
        <f>IF($U1525="","",INDEX(상세표[18~22시],$U1525))</f>
        <v/>
      </c>
      <c r="S1525" s="20">
        <f>IF($U1525="","",INDEX(상세표[22~06시],$U1525))</f>
        <v/>
      </c>
      <c r="T1525" s="20">
        <f>IF($U1525="","",INDEX(상세표[기록 시간외],$U1525))</f>
        <v/>
      </c>
      <c r="U1525" s="4">
        <f>IFERROR(MATCH(1520,상세표[발송순번],0),"")</f>
        <v/>
      </c>
    </row>
    <row r="1526">
      <c r="J1526">
        <f>IF($U1526="","",INDEX(상세표[사번],$U1526)&amp;"")</f>
        <v/>
      </c>
      <c r="K1526">
        <f>IF($U1526="","",INDEX(상세표[성명],$U1526)&amp;"")</f>
        <v/>
      </c>
      <c r="L1526">
        <f>IF($U1526="","",INDEX(상세표[직위],$U1526)&amp;"")</f>
        <v/>
      </c>
      <c r="M1526">
        <f>IF($U1526="","",IF(ISNUMBER(INDEX(상세표[근무일자],$U1526)),TEXT(INDEX(상세표[근무일자],$U1526),"yyyy-mm-dd"),INDEX(상세표[근무일자],$U1526)&amp;""))</f>
        <v/>
      </c>
      <c r="N1526">
        <f>IF($U1526="","",IF(ISNUMBER(INDEX(상세표[시작],$U1526)),TEXT(INDEX(상세표[시작],$U1526),"yyyy-mm-dd hh:mm"),INDEX(상세표[시작],$U1526)&amp;""))</f>
        <v/>
      </c>
      <c r="O1526">
        <f>IF($U1526="","",IF(ISNUMBER(INDEX(상세표[종료],$U1526)),TEXT(INDEX(상세표[종료],$U1526),"yyyy-mm-dd hh:mm"),INDEX(상세표[종료],$U1526)&amp;""))</f>
        <v/>
      </c>
      <c r="P1526" s="20">
        <f>IF($U1526="","",INDEX(상세표[06~07시],$U1526))</f>
        <v/>
      </c>
      <c r="Q1526" s="20">
        <f>IF($U1526="","",INDEX(상세표[07~18시],$U1526))</f>
        <v/>
      </c>
      <c r="R1526" s="20">
        <f>IF($U1526="","",INDEX(상세표[18~22시],$U1526))</f>
        <v/>
      </c>
      <c r="S1526" s="20">
        <f>IF($U1526="","",INDEX(상세표[22~06시],$U1526))</f>
        <v/>
      </c>
      <c r="T1526" s="20">
        <f>IF($U1526="","",INDEX(상세표[기록 시간외],$U1526))</f>
        <v/>
      </c>
      <c r="U1526" s="4">
        <f>IFERROR(MATCH(1521,상세표[발송순번],0),"")</f>
        <v/>
      </c>
    </row>
    <row r="1527">
      <c r="J1527">
        <f>IF($U1527="","",INDEX(상세표[사번],$U1527)&amp;"")</f>
        <v/>
      </c>
      <c r="K1527">
        <f>IF($U1527="","",INDEX(상세표[성명],$U1527)&amp;"")</f>
        <v/>
      </c>
      <c r="L1527">
        <f>IF($U1527="","",INDEX(상세표[직위],$U1527)&amp;"")</f>
        <v/>
      </c>
      <c r="M1527">
        <f>IF($U1527="","",IF(ISNUMBER(INDEX(상세표[근무일자],$U1527)),TEXT(INDEX(상세표[근무일자],$U1527),"yyyy-mm-dd"),INDEX(상세표[근무일자],$U1527)&amp;""))</f>
        <v/>
      </c>
      <c r="N1527">
        <f>IF($U1527="","",IF(ISNUMBER(INDEX(상세표[시작],$U1527)),TEXT(INDEX(상세표[시작],$U1527),"yyyy-mm-dd hh:mm"),INDEX(상세표[시작],$U1527)&amp;""))</f>
        <v/>
      </c>
      <c r="O1527">
        <f>IF($U1527="","",IF(ISNUMBER(INDEX(상세표[종료],$U1527)),TEXT(INDEX(상세표[종료],$U1527),"yyyy-mm-dd hh:mm"),INDEX(상세표[종료],$U1527)&amp;""))</f>
        <v/>
      </c>
      <c r="P1527" s="20">
        <f>IF($U1527="","",INDEX(상세표[06~07시],$U1527))</f>
        <v/>
      </c>
      <c r="Q1527" s="20">
        <f>IF($U1527="","",INDEX(상세표[07~18시],$U1527))</f>
        <v/>
      </c>
      <c r="R1527" s="20">
        <f>IF($U1527="","",INDEX(상세표[18~22시],$U1527))</f>
        <v/>
      </c>
      <c r="S1527" s="20">
        <f>IF($U1527="","",INDEX(상세표[22~06시],$U1527))</f>
        <v/>
      </c>
      <c r="T1527" s="20">
        <f>IF($U1527="","",INDEX(상세표[기록 시간외],$U1527))</f>
        <v/>
      </c>
      <c r="U1527" s="4">
        <f>IFERROR(MATCH(1522,상세표[발송순번],0),"")</f>
        <v/>
      </c>
    </row>
    <row r="1528">
      <c r="J1528">
        <f>IF($U1528="","",INDEX(상세표[사번],$U1528)&amp;"")</f>
        <v/>
      </c>
      <c r="K1528">
        <f>IF($U1528="","",INDEX(상세표[성명],$U1528)&amp;"")</f>
        <v/>
      </c>
      <c r="L1528">
        <f>IF($U1528="","",INDEX(상세표[직위],$U1528)&amp;"")</f>
        <v/>
      </c>
      <c r="M1528">
        <f>IF($U1528="","",IF(ISNUMBER(INDEX(상세표[근무일자],$U1528)),TEXT(INDEX(상세표[근무일자],$U1528),"yyyy-mm-dd"),INDEX(상세표[근무일자],$U1528)&amp;""))</f>
        <v/>
      </c>
      <c r="N1528">
        <f>IF($U1528="","",IF(ISNUMBER(INDEX(상세표[시작],$U1528)),TEXT(INDEX(상세표[시작],$U1528),"yyyy-mm-dd hh:mm"),INDEX(상세표[시작],$U1528)&amp;""))</f>
        <v/>
      </c>
      <c r="O1528">
        <f>IF($U1528="","",IF(ISNUMBER(INDEX(상세표[종료],$U1528)),TEXT(INDEX(상세표[종료],$U1528),"yyyy-mm-dd hh:mm"),INDEX(상세표[종료],$U1528)&amp;""))</f>
        <v/>
      </c>
      <c r="P1528" s="20">
        <f>IF($U1528="","",INDEX(상세표[06~07시],$U1528))</f>
        <v/>
      </c>
      <c r="Q1528" s="20">
        <f>IF($U1528="","",INDEX(상세표[07~18시],$U1528))</f>
        <v/>
      </c>
      <c r="R1528" s="20">
        <f>IF($U1528="","",INDEX(상세표[18~22시],$U1528))</f>
        <v/>
      </c>
      <c r="S1528" s="20">
        <f>IF($U1528="","",INDEX(상세표[22~06시],$U1528))</f>
        <v/>
      </c>
      <c r="T1528" s="20">
        <f>IF($U1528="","",INDEX(상세표[기록 시간외],$U1528))</f>
        <v/>
      </c>
      <c r="U1528" s="4">
        <f>IFERROR(MATCH(1523,상세표[발송순번],0),"")</f>
        <v/>
      </c>
    </row>
    <row r="1529">
      <c r="J1529">
        <f>IF($U1529="","",INDEX(상세표[사번],$U1529)&amp;"")</f>
        <v/>
      </c>
      <c r="K1529">
        <f>IF($U1529="","",INDEX(상세표[성명],$U1529)&amp;"")</f>
        <v/>
      </c>
      <c r="L1529">
        <f>IF($U1529="","",INDEX(상세표[직위],$U1529)&amp;"")</f>
        <v/>
      </c>
      <c r="M1529">
        <f>IF($U1529="","",IF(ISNUMBER(INDEX(상세표[근무일자],$U1529)),TEXT(INDEX(상세표[근무일자],$U1529),"yyyy-mm-dd"),INDEX(상세표[근무일자],$U1529)&amp;""))</f>
        <v/>
      </c>
      <c r="N1529">
        <f>IF($U1529="","",IF(ISNUMBER(INDEX(상세표[시작],$U1529)),TEXT(INDEX(상세표[시작],$U1529),"yyyy-mm-dd hh:mm"),INDEX(상세표[시작],$U1529)&amp;""))</f>
        <v/>
      </c>
      <c r="O1529">
        <f>IF($U1529="","",IF(ISNUMBER(INDEX(상세표[종료],$U1529)),TEXT(INDEX(상세표[종료],$U1529),"yyyy-mm-dd hh:mm"),INDEX(상세표[종료],$U1529)&amp;""))</f>
        <v/>
      </c>
      <c r="P1529" s="20">
        <f>IF($U1529="","",INDEX(상세표[06~07시],$U1529))</f>
        <v/>
      </c>
      <c r="Q1529" s="20">
        <f>IF($U1529="","",INDEX(상세표[07~18시],$U1529))</f>
        <v/>
      </c>
      <c r="R1529" s="20">
        <f>IF($U1529="","",INDEX(상세표[18~22시],$U1529))</f>
        <v/>
      </c>
      <c r="S1529" s="20">
        <f>IF($U1529="","",INDEX(상세표[22~06시],$U1529))</f>
        <v/>
      </c>
      <c r="T1529" s="20">
        <f>IF($U1529="","",INDEX(상세표[기록 시간외],$U1529))</f>
        <v/>
      </c>
      <c r="U1529" s="4">
        <f>IFERROR(MATCH(1524,상세표[발송순번],0),"")</f>
        <v/>
      </c>
    </row>
    <row r="1530">
      <c r="J1530">
        <f>IF($U1530="","",INDEX(상세표[사번],$U1530)&amp;"")</f>
        <v/>
      </c>
      <c r="K1530">
        <f>IF($U1530="","",INDEX(상세표[성명],$U1530)&amp;"")</f>
        <v/>
      </c>
      <c r="L1530">
        <f>IF($U1530="","",INDEX(상세표[직위],$U1530)&amp;"")</f>
        <v/>
      </c>
      <c r="M1530">
        <f>IF($U1530="","",IF(ISNUMBER(INDEX(상세표[근무일자],$U1530)),TEXT(INDEX(상세표[근무일자],$U1530),"yyyy-mm-dd"),INDEX(상세표[근무일자],$U1530)&amp;""))</f>
        <v/>
      </c>
      <c r="N1530">
        <f>IF($U1530="","",IF(ISNUMBER(INDEX(상세표[시작],$U1530)),TEXT(INDEX(상세표[시작],$U1530),"yyyy-mm-dd hh:mm"),INDEX(상세표[시작],$U1530)&amp;""))</f>
        <v/>
      </c>
      <c r="O1530">
        <f>IF($U1530="","",IF(ISNUMBER(INDEX(상세표[종료],$U1530)),TEXT(INDEX(상세표[종료],$U1530),"yyyy-mm-dd hh:mm"),INDEX(상세표[종료],$U1530)&amp;""))</f>
        <v/>
      </c>
      <c r="P1530" s="20">
        <f>IF($U1530="","",INDEX(상세표[06~07시],$U1530))</f>
        <v/>
      </c>
      <c r="Q1530" s="20">
        <f>IF($U1530="","",INDEX(상세표[07~18시],$U1530))</f>
        <v/>
      </c>
      <c r="R1530" s="20">
        <f>IF($U1530="","",INDEX(상세표[18~22시],$U1530))</f>
        <v/>
      </c>
      <c r="S1530" s="20">
        <f>IF($U1530="","",INDEX(상세표[22~06시],$U1530))</f>
        <v/>
      </c>
      <c r="T1530" s="20">
        <f>IF($U1530="","",INDEX(상세표[기록 시간외],$U1530))</f>
        <v/>
      </c>
      <c r="U1530" s="4">
        <f>IFERROR(MATCH(1525,상세표[발송순번],0),"")</f>
        <v/>
      </c>
    </row>
    <row r="1531">
      <c r="J1531">
        <f>IF($U1531="","",INDEX(상세표[사번],$U1531)&amp;"")</f>
        <v/>
      </c>
      <c r="K1531">
        <f>IF($U1531="","",INDEX(상세표[성명],$U1531)&amp;"")</f>
        <v/>
      </c>
      <c r="L1531">
        <f>IF($U1531="","",INDEX(상세표[직위],$U1531)&amp;"")</f>
        <v/>
      </c>
      <c r="M1531">
        <f>IF($U1531="","",IF(ISNUMBER(INDEX(상세표[근무일자],$U1531)),TEXT(INDEX(상세표[근무일자],$U1531),"yyyy-mm-dd"),INDEX(상세표[근무일자],$U1531)&amp;""))</f>
        <v/>
      </c>
      <c r="N1531">
        <f>IF($U1531="","",IF(ISNUMBER(INDEX(상세표[시작],$U1531)),TEXT(INDEX(상세표[시작],$U1531),"yyyy-mm-dd hh:mm"),INDEX(상세표[시작],$U1531)&amp;""))</f>
        <v/>
      </c>
      <c r="O1531">
        <f>IF($U1531="","",IF(ISNUMBER(INDEX(상세표[종료],$U1531)),TEXT(INDEX(상세표[종료],$U1531),"yyyy-mm-dd hh:mm"),INDEX(상세표[종료],$U1531)&amp;""))</f>
        <v/>
      </c>
      <c r="P1531" s="20">
        <f>IF($U1531="","",INDEX(상세표[06~07시],$U1531))</f>
        <v/>
      </c>
      <c r="Q1531" s="20">
        <f>IF($U1531="","",INDEX(상세표[07~18시],$U1531))</f>
        <v/>
      </c>
      <c r="R1531" s="20">
        <f>IF($U1531="","",INDEX(상세표[18~22시],$U1531))</f>
        <v/>
      </c>
      <c r="S1531" s="20">
        <f>IF($U1531="","",INDEX(상세표[22~06시],$U1531))</f>
        <v/>
      </c>
      <c r="T1531" s="20">
        <f>IF($U1531="","",INDEX(상세표[기록 시간외],$U1531))</f>
        <v/>
      </c>
      <c r="U1531" s="4">
        <f>IFERROR(MATCH(1526,상세표[발송순번],0),"")</f>
        <v/>
      </c>
    </row>
    <row r="1532">
      <c r="J1532">
        <f>IF($U1532="","",INDEX(상세표[사번],$U1532)&amp;"")</f>
        <v/>
      </c>
      <c r="K1532">
        <f>IF($U1532="","",INDEX(상세표[성명],$U1532)&amp;"")</f>
        <v/>
      </c>
      <c r="L1532">
        <f>IF($U1532="","",INDEX(상세표[직위],$U1532)&amp;"")</f>
        <v/>
      </c>
      <c r="M1532">
        <f>IF($U1532="","",IF(ISNUMBER(INDEX(상세표[근무일자],$U1532)),TEXT(INDEX(상세표[근무일자],$U1532),"yyyy-mm-dd"),INDEX(상세표[근무일자],$U1532)&amp;""))</f>
        <v/>
      </c>
      <c r="N1532">
        <f>IF($U1532="","",IF(ISNUMBER(INDEX(상세표[시작],$U1532)),TEXT(INDEX(상세표[시작],$U1532),"yyyy-mm-dd hh:mm"),INDEX(상세표[시작],$U1532)&amp;""))</f>
        <v/>
      </c>
      <c r="O1532">
        <f>IF($U1532="","",IF(ISNUMBER(INDEX(상세표[종료],$U1532)),TEXT(INDEX(상세표[종료],$U1532),"yyyy-mm-dd hh:mm"),INDEX(상세표[종료],$U1532)&amp;""))</f>
        <v/>
      </c>
      <c r="P1532" s="20">
        <f>IF($U1532="","",INDEX(상세표[06~07시],$U1532))</f>
        <v/>
      </c>
      <c r="Q1532" s="20">
        <f>IF($U1532="","",INDEX(상세표[07~18시],$U1532))</f>
        <v/>
      </c>
      <c r="R1532" s="20">
        <f>IF($U1532="","",INDEX(상세표[18~22시],$U1532))</f>
        <v/>
      </c>
      <c r="S1532" s="20">
        <f>IF($U1532="","",INDEX(상세표[22~06시],$U1532))</f>
        <v/>
      </c>
      <c r="T1532" s="20">
        <f>IF($U1532="","",INDEX(상세표[기록 시간외],$U1532))</f>
        <v/>
      </c>
      <c r="U1532" s="4">
        <f>IFERROR(MATCH(1527,상세표[발송순번],0),"")</f>
        <v/>
      </c>
    </row>
    <row r="1533">
      <c r="J1533">
        <f>IF($U1533="","",INDEX(상세표[사번],$U1533)&amp;"")</f>
        <v/>
      </c>
      <c r="K1533">
        <f>IF($U1533="","",INDEX(상세표[성명],$U1533)&amp;"")</f>
        <v/>
      </c>
      <c r="L1533">
        <f>IF($U1533="","",INDEX(상세표[직위],$U1533)&amp;"")</f>
        <v/>
      </c>
      <c r="M1533">
        <f>IF($U1533="","",IF(ISNUMBER(INDEX(상세표[근무일자],$U1533)),TEXT(INDEX(상세표[근무일자],$U1533),"yyyy-mm-dd"),INDEX(상세표[근무일자],$U1533)&amp;""))</f>
        <v/>
      </c>
      <c r="N1533">
        <f>IF($U1533="","",IF(ISNUMBER(INDEX(상세표[시작],$U1533)),TEXT(INDEX(상세표[시작],$U1533),"yyyy-mm-dd hh:mm"),INDEX(상세표[시작],$U1533)&amp;""))</f>
        <v/>
      </c>
      <c r="O1533">
        <f>IF($U1533="","",IF(ISNUMBER(INDEX(상세표[종료],$U1533)),TEXT(INDEX(상세표[종료],$U1533),"yyyy-mm-dd hh:mm"),INDEX(상세표[종료],$U1533)&amp;""))</f>
        <v/>
      </c>
      <c r="P1533" s="20">
        <f>IF($U1533="","",INDEX(상세표[06~07시],$U1533))</f>
        <v/>
      </c>
      <c r="Q1533" s="20">
        <f>IF($U1533="","",INDEX(상세표[07~18시],$U1533))</f>
        <v/>
      </c>
      <c r="R1533" s="20">
        <f>IF($U1533="","",INDEX(상세표[18~22시],$U1533))</f>
        <v/>
      </c>
      <c r="S1533" s="20">
        <f>IF($U1533="","",INDEX(상세표[22~06시],$U1533))</f>
        <v/>
      </c>
      <c r="T1533" s="20">
        <f>IF($U1533="","",INDEX(상세표[기록 시간외],$U1533))</f>
        <v/>
      </c>
      <c r="U1533" s="4">
        <f>IFERROR(MATCH(1528,상세표[발송순번],0),"")</f>
        <v/>
      </c>
    </row>
    <row r="1534">
      <c r="J1534">
        <f>IF($U1534="","",INDEX(상세표[사번],$U1534)&amp;"")</f>
        <v/>
      </c>
      <c r="K1534">
        <f>IF($U1534="","",INDEX(상세표[성명],$U1534)&amp;"")</f>
        <v/>
      </c>
      <c r="L1534">
        <f>IF($U1534="","",INDEX(상세표[직위],$U1534)&amp;"")</f>
        <v/>
      </c>
      <c r="M1534">
        <f>IF($U1534="","",IF(ISNUMBER(INDEX(상세표[근무일자],$U1534)),TEXT(INDEX(상세표[근무일자],$U1534),"yyyy-mm-dd"),INDEX(상세표[근무일자],$U1534)&amp;""))</f>
        <v/>
      </c>
      <c r="N1534">
        <f>IF($U1534="","",IF(ISNUMBER(INDEX(상세표[시작],$U1534)),TEXT(INDEX(상세표[시작],$U1534),"yyyy-mm-dd hh:mm"),INDEX(상세표[시작],$U1534)&amp;""))</f>
        <v/>
      </c>
      <c r="O1534">
        <f>IF($U1534="","",IF(ISNUMBER(INDEX(상세표[종료],$U1534)),TEXT(INDEX(상세표[종료],$U1534),"yyyy-mm-dd hh:mm"),INDEX(상세표[종료],$U1534)&amp;""))</f>
        <v/>
      </c>
      <c r="P1534" s="20">
        <f>IF($U1534="","",INDEX(상세표[06~07시],$U1534))</f>
        <v/>
      </c>
      <c r="Q1534" s="20">
        <f>IF($U1534="","",INDEX(상세표[07~18시],$U1534))</f>
        <v/>
      </c>
      <c r="R1534" s="20">
        <f>IF($U1534="","",INDEX(상세표[18~22시],$U1534))</f>
        <v/>
      </c>
      <c r="S1534" s="20">
        <f>IF($U1534="","",INDEX(상세표[22~06시],$U1534))</f>
        <v/>
      </c>
      <c r="T1534" s="20">
        <f>IF($U1534="","",INDEX(상세표[기록 시간외],$U1534))</f>
        <v/>
      </c>
      <c r="U1534" s="4">
        <f>IFERROR(MATCH(1529,상세표[발송순번],0),"")</f>
        <v/>
      </c>
    </row>
    <row r="1535">
      <c r="J1535">
        <f>IF($U1535="","",INDEX(상세표[사번],$U1535)&amp;"")</f>
        <v/>
      </c>
      <c r="K1535">
        <f>IF($U1535="","",INDEX(상세표[성명],$U1535)&amp;"")</f>
        <v/>
      </c>
      <c r="L1535">
        <f>IF($U1535="","",INDEX(상세표[직위],$U1535)&amp;"")</f>
        <v/>
      </c>
      <c r="M1535">
        <f>IF($U1535="","",IF(ISNUMBER(INDEX(상세표[근무일자],$U1535)),TEXT(INDEX(상세표[근무일자],$U1535),"yyyy-mm-dd"),INDEX(상세표[근무일자],$U1535)&amp;""))</f>
        <v/>
      </c>
      <c r="N1535">
        <f>IF($U1535="","",IF(ISNUMBER(INDEX(상세표[시작],$U1535)),TEXT(INDEX(상세표[시작],$U1535),"yyyy-mm-dd hh:mm"),INDEX(상세표[시작],$U1535)&amp;""))</f>
        <v/>
      </c>
      <c r="O1535">
        <f>IF($U1535="","",IF(ISNUMBER(INDEX(상세표[종료],$U1535)),TEXT(INDEX(상세표[종료],$U1535),"yyyy-mm-dd hh:mm"),INDEX(상세표[종료],$U1535)&amp;""))</f>
        <v/>
      </c>
      <c r="P1535" s="20">
        <f>IF($U1535="","",INDEX(상세표[06~07시],$U1535))</f>
        <v/>
      </c>
      <c r="Q1535" s="20">
        <f>IF($U1535="","",INDEX(상세표[07~18시],$U1535))</f>
        <v/>
      </c>
      <c r="R1535" s="20">
        <f>IF($U1535="","",INDEX(상세표[18~22시],$U1535))</f>
        <v/>
      </c>
      <c r="S1535" s="20">
        <f>IF($U1535="","",INDEX(상세표[22~06시],$U1535))</f>
        <v/>
      </c>
      <c r="T1535" s="20">
        <f>IF($U1535="","",INDEX(상세표[기록 시간외],$U1535))</f>
        <v/>
      </c>
      <c r="U1535" s="4">
        <f>IFERROR(MATCH(1530,상세표[발송순번],0),"")</f>
        <v/>
      </c>
    </row>
    <row r="1536">
      <c r="J1536">
        <f>IF($U1536="","",INDEX(상세표[사번],$U1536)&amp;"")</f>
        <v/>
      </c>
      <c r="K1536">
        <f>IF($U1536="","",INDEX(상세표[성명],$U1536)&amp;"")</f>
        <v/>
      </c>
      <c r="L1536">
        <f>IF($U1536="","",INDEX(상세표[직위],$U1536)&amp;"")</f>
        <v/>
      </c>
      <c r="M1536">
        <f>IF($U1536="","",IF(ISNUMBER(INDEX(상세표[근무일자],$U1536)),TEXT(INDEX(상세표[근무일자],$U1536),"yyyy-mm-dd"),INDEX(상세표[근무일자],$U1536)&amp;""))</f>
        <v/>
      </c>
      <c r="N1536">
        <f>IF($U1536="","",IF(ISNUMBER(INDEX(상세표[시작],$U1536)),TEXT(INDEX(상세표[시작],$U1536),"yyyy-mm-dd hh:mm"),INDEX(상세표[시작],$U1536)&amp;""))</f>
        <v/>
      </c>
      <c r="O1536">
        <f>IF($U1536="","",IF(ISNUMBER(INDEX(상세표[종료],$U1536)),TEXT(INDEX(상세표[종료],$U1536),"yyyy-mm-dd hh:mm"),INDEX(상세표[종료],$U1536)&amp;""))</f>
        <v/>
      </c>
      <c r="P1536" s="20">
        <f>IF($U1536="","",INDEX(상세표[06~07시],$U1536))</f>
        <v/>
      </c>
      <c r="Q1536" s="20">
        <f>IF($U1536="","",INDEX(상세표[07~18시],$U1536))</f>
        <v/>
      </c>
      <c r="R1536" s="20">
        <f>IF($U1536="","",INDEX(상세표[18~22시],$U1536))</f>
        <v/>
      </c>
      <c r="S1536" s="20">
        <f>IF($U1536="","",INDEX(상세표[22~06시],$U1536))</f>
        <v/>
      </c>
      <c r="T1536" s="20">
        <f>IF($U1536="","",INDEX(상세표[기록 시간외],$U1536))</f>
        <v/>
      </c>
      <c r="U1536" s="4">
        <f>IFERROR(MATCH(1531,상세표[발송순번],0),"")</f>
        <v/>
      </c>
    </row>
    <row r="1537">
      <c r="J1537">
        <f>IF($U1537="","",INDEX(상세표[사번],$U1537)&amp;"")</f>
        <v/>
      </c>
      <c r="K1537">
        <f>IF($U1537="","",INDEX(상세표[성명],$U1537)&amp;"")</f>
        <v/>
      </c>
      <c r="L1537">
        <f>IF($U1537="","",INDEX(상세표[직위],$U1537)&amp;"")</f>
        <v/>
      </c>
      <c r="M1537">
        <f>IF($U1537="","",IF(ISNUMBER(INDEX(상세표[근무일자],$U1537)),TEXT(INDEX(상세표[근무일자],$U1537),"yyyy-mm-dd"),INDEX(상세표[근무일자],$U1537)&amp;""))</f>
        <v/>
      </c>
      <c r="N1537">
        <f>IF($U1537="","",IF(ISNUMBER(INDEX(상세표[시작],$U1537)),TEXT(INDEX(상세표[시작],$U1537),"yyyy-mm-dd hh:mm"),INDEX(상세표[시작],$U1537)&amp;""))</f>
        <v/>
      </c>
      <c r="O1537">
        <f>IF($U1537="","",IF(ISNUMBER(INDEX(상세표[종료],$U1537)),TEXT(INDEX(상세표[종료],$U1537),"yyyy-mm-dd hh:mm"),INDEX(상세표[종료],$U1537)&amp;""))</f>
        <v/>
      </c>
      <c r="P1537" s="20">
        <f>IF($U1537="","",INDEX(상세표[06~07시],$U1537))</f>
        <v/>
      </c>
      <c r="Q1537" s="20">
        <f>IF($U1537="","",INDEX(상세표[07~18시],$U1537))</f>
        <v/>
      </c>
      <c r="R1537" s="20">
        <f>IF($U1537="","",INDEX(상세표[18~22시],$U1537))</f>
        <v/>
      </c>
      <c r="S1537" s="20">
        <f>IF($U1537="","",INDEX(상세표[22~06시],$U1537))</f>
        <v/>
      </c>
      <c r="T1537" s="20">
        <f>IF($U1537="","",INDEX(상세표[기록 시간외],$U1537))</f>
        <v/>
      </c>
      <c r="U1537" s="4">
        <f>IFERROR(MATCH(1532,상세표[발송순번],0),"")</f>
        <v/>
      </c>
    </row>
    <row r="1538">
      <c r="J1538">
        <f>IF($U1538="","",INDEX(상세표[사번],$U1538)&amp;"")</f>
        <v/>
      </c>
      <c r="K1538">
        <f>IF($U1538="","",INDEX(상세표[성명],$U1538)&amp;"")</f>
        <v/>
      </c>
      <c r="L1538">
        <f>IF($U1538="","",INDEX(상세표[직위],$U1538)&amp;"")</f>
        <v/>
      </c>
      <c r="M1538">
        <f>IF($U1538="","",IF(ISNUMBER(INDEX(상세표[근무일자],$U1538)),TEXT(INDEX(상세표[근무일자],$U1538),"yyyy-mm-dd"),INDEX(상세표[근무일자],$U1538)&amp;""))</f>
        <v/>
      </c>
      <c r="N1538">
        <f>IF($U1538="","",IF(ISNUMBER(INDEX(상세표[시작],$U1538)),TEXT(INDEX(상세표[시작],$U1538),"yyyy-mm-dd hh:mm"),INDEX(상세표[시작],$U1538)&amp;""))</f>
        <v/>
      </c>
      <c r="O1538">
        <f>IF($U1538="","",IF(ISNUMBER(INDEX(상세표[종료],$U1538)),TEXT(INDEX(상세표[종료],$U1538),"yyyy-mm-dd hh:mm"),INDEX(상세표[종료],$U1538)&amp;""))</f>
        <v/>
      </c>
      <c r="P1538" s="20">
        <f>IF($U1538="","",INDEX(상세표[06~07시],$U1538))</f>
        <v/>
      </c>
      <c r="Q1538" s="20">
        <f>IF($U1538="","",INDEX(상세표[07~18시],$U1538))</f>
        <v/>
      </c>
      <c r="R1538" s="20">
        <f>IF($U1538="","",INDEX(상세표[18~22시],$U1538))</f>
        <v/>
      </c>
      <c r="S1538" s="20">
        <f>IF($U1538="","",INDEX(상세표[22~06시],$U1538))</f>
        <v/>
      </c>
      <c r="T1538" s="20">
        <f>IF($U1538="","",INDEX(상세표[기록 시간외],$U1538))</f>
        <v/>
      </c>
      <c r="U1538" s="4">
        <f>IFERROR(MATCH(1533,상세표[발송순번],0),"")</f>
        <v/>
      </c>
    </row>
    <row r="1539">
      <c r="J1539">
        <f>IF($U1539="","",INDEX(상세표[사번],$U1539)&amp;"")</f>
        <v/>
      </c>
      <c r="K1539">
        <f>IF($U1539="","",INDEX(상세표[성명],$U1539)&amp;"")</f>
        <v/>
      </c>
      <c r="L1539">
        <f>IF($U1539="","",INDEX(상세표[직위],$U1539)&amp;"")</f>
        <v/>
      </c>
      <c r="M1539">
        <f>IF($U1539="","",IF(ISNUMBER(INDEX(상세표[근무일자],$U1539)),TEXT(INDEX(상세표[근무일자],$U1539),"yyyy-mm-dd"),INDEX(상세표[근무일자],$U1539)&amp;""))</f>
        <v/>
      </c>
      <c r="N1539">
        <f>IF($U1539="","",IF(ISNUMBER(INDEX(상세표[시작],$U1539)),TEXT(INDEX(상세표[시작],$U1539),"yyyy-mm-dd hh:mm"),INDEX(상세표[시작],$U1539)&amp;""))</f>
        <v/>
      </c>
      <c r="O1539">
        <f>IF($U1539="","",IF(ISNUMBER(INDEX(상세표[종료],$U1539)),TEXT(INDEX(상세표[종료],$U1539),"yyyy-mm-dd hh:mm"),INDEX(상세표[종료],$U1539)&amp;""))</f>
        <v/>
      </c>
      <c r="P1539" s="20">
        <f>IF($U1539="","",INDEX(상세표[06~07시],$U1539))</f>
        <v/>
      </c>
      <c r="Q1539" s="20">
        <f>IF($U1539="","",INDEX(상세표[07~18시],$U1539))</f>
        <v/>
      </c>
      <c r="R1539" s="20">
        <f>IF($U1539="","",INDEX(상세표[18~22시],$U1539))</f>
        <v/>
      </c>
      <c r="S1539" s="20">
        <f>IF($U1539="","",INDEX(상세표[22~06시],$U1539))</f>
        <v/>
      </c>
      <c r="T1539" s="20">
        <f>IF($U1539="","",INDEX(상세표[기록 시간외],$U1539))</f>
        <v/>
      </c>
      <c r="U1539" s="4">
        <f>IFERROR(MATCH(1534,상세표[발송순번],0),"")</f>
        <v/>
      </c>
    </row>
    <row r="1540">
      <c r="J1540">
        <f>IF($U1540="","",INDEX(상세표[사번],$U1540)&amp;"")</f>
        <v/>
      </c>
      <c r="K1540">
        <f>IF($U1540="","",INDEX(상세표[성명],$U1540)&amp;"")</f>
        <v/>
      </c>
      <c r="L1540">
        <f>IF($U1540="","",INDEX(상세표[직위],$U1540)&amp;"")</f>
        <v/>
      </c>
      <c r="M1540">
        <f>IF($U1540="","",IF(ISNUMBER(INDEX(상세표[근무일자],$U1540)),TEXT(INDEX(상세표[근무일자],$U1540),"yyyy-mm-dd"),INDEX(상세표[근무일자],$U1540)&amp;""))</f>
        <v/>
      </c>
      <c r="N1540">
        <f>IF($U1540="","",IF(ISNUMBER(INDEX(상세표[시작],$U1540)),TEXT(INDEX(상세표[시작],$U1540),"yyyy-mm-dd hh:mm"),INDEX(상세표[시작],$U1540)&amp;""))</f>
        <v/>
      </c>
      <c r="O1540">
        <f>IF($U1540="","",IF(ISNUMBER(INDEX(상세표[종료],$U1540)),TEXT(INDEX(상세표[종료],$U1540),"yyyy-mm-dd hh:mm"),INDEX(상세표[종료],$U1540)&amp;""))</f>
        <v/>
      </c>
      <c r="P1540" s="20">
        <f>IF($U1540="","",INDEX(상세표[06~07시],$U1540))</f>
        <v/>
      </c>
      <c r="Q1540" s="20">
        <f>IF($U1540="","",INDEX(상세표[07~18시],$U1540))</f>
        <v/>
      </c>
      <c r="R1540" s="20">
        <f>IF($U1540="","",INDEX(상세표[18~22시],$U1540))</f>
        <v/>
      </c>
      <c r="S1540" s="20">
        <f>IF($U1540="","",INDEX(상세표[22~06시],$U1540))</f>
        <v/>
      </c>
      <c r="T1540" s="20">
        <f>IF($U1540="","",INDEX(상세표[기록 시간외],$U1540))</f>
        <v/>
      </c>
      <c r="U1540" s="4">
        <f>IFERROR(MATCH(1535,상세표[발송순번],0),"")</f>
        <v/>
      </c>
    </row>
    <row r="1541">
      <c r="J1541">
        <f>IF($U1541="","",INDEX(상세표[사번],$U1541)&amp;"")</f>
        <v/>
      </c>
      <c r="K1541">
        <f>IF($U1541="","",INDEX(상세표[성명],$U1541)&amp;"")</f>
        <v/>
      </c>
      <c r="L1541">
        <f>IF($U1541="","",INDEX(상세표[직위],$U1541)&amp;"")</f>
        <v/>
      </c>
      <c r="M1541">
        <f>IF($U1541="","",IF(ISNUMBER(INDEX(상세표[근무일자],$U1541)),TEXT(INDEX(상세표[근무일자],$U1541),"yyyy-mm-dd"),INDEX(상세표[근무일자],$U1541)&amp;""))</f>
        <v/>
      </c>
      <c r="N1541">
        <f>IF($U1541="","",IF(ISNUMBER(INDEX(상세표[시작],$U1541)),TEXT(INDEX(상세표[시작],$U1541),"yyyy-mm-dd hh:mm"),INDEX(상세표[시작],$U1541)&amp;""))</f>
        <v/>
      </c>
      <c r="O1541">
        <f>IF($U1541="","",IF(ISNUMBER(INDEX(상세표[종료],$U1541)),TEXT(INDEX(상세표[종료],$U1541),"yyyy-mm-dd hh:mm"),INDEX(상세표[종료],$U1541)&amp;""))</f>
        <v/>
      </c>
      <c r="P1541" s="20">
        <f>IF($U1541="","",INDEX(상세표[06~07시],$U1541))</f>
        <v/>
      </c>
      <c r="Q1541" s="20">
        <f>IF($U1541="","",INDEX(상세표[07~18시],$U1541))</f>
        <v/>
      </c>
      <c r="R1541" s="20">
        <f>IF($U1541="","",INDEX(상세표[18~22시],$U1541))</f>
        <v/>
      </c>
      <c r="S1541" s="20">
        <f>IF($U1541="","",INDEX(상세표[22~06시],$U1541))</f>
        <v/>
      </c>
      <c r="T1541" s="20">
        <f>IF($U1541="","",INDEX(상세표[기록 시간외],$U1541))</f>
        <v/>
      </c>
      <c r="U1541" s="4">
        <f>IFERROR(MATCH(1536,상세표[발송순번],0),"")</f>
        <v/>
      </c>
    </row>
    <row r="1542">
      <c r="J1542">
        <f>IF($U1542="","",INDEX(상세표[사번],$U1542)&amp;"")</f>
        <v/>
      </c>
      <c r="K1542">
        <f>IF($U1542="","",INDEX(상세표[성명],$U1542)&amp;"")</f>
        <v/>
      </c>
      <c r="L1542">
        <f>IF($U1542="","",INDEX(상세표[직위],$U1542)&amp;"")</f>
        <v/>
      </c>
      <c r="M1542">
        <f>IF($U1542="","",IF(ISNUMBER(INDEX(상세표[근무일자],$U1542)),TEXT(INDEX(상세표[근무일자],$U1542),"yyyy-mm-dd"),INDEX(상세표[근무일자],$U1542)&amp;""))</f>
        <v/>
      </c>
      <c r="N1542">
        <f>IF($U1542="","",IF(ISNUMBER(INDEX(상세표[시작],$U1542)),TEXT(INDEX(상세표[시작],$U1542),"yyyy-mm-dd hh:mm"),INDEX(상세표[시작],$U1542)&amp;""))</f>
        <v/>
      </c>
      <c r="O1542">
        <f>IF($U1542="","",IF(ISNUMBER(INDEX(상세표[종료],$U1542)),TEXT(INDEX(상세표[종료],$U1542),"yyyy-mm-dd hh:mm"),INDEX(상세표[종료],$U1542)&amp;""))</f>
        <v/>
      </c>
      <c r="P1542" s="20">
        <f>IF($U1542="","",INDEX(상세표[06~07시],$U1542))</f>
        <v/>
      </c>
      <c r="Q1542" s="20">
        <f>IF($U1542="","",INDEX(상세표[07~18시],$U1542))</f>
        <v/>
      </c>
      <c r="R1542" s="20">
        <f>IF($U1542="","",INDEX(상세표[18~22시],$U1542))</f>
        <v/>
      </c>
      <c r="S1542" s="20">
        <f>IF($U1542="","",INDEX(상세표[22~06시],$U1542))</f>
        <v/>
      </c>
      <c r="T1542" s="20">
        <f>IF($U1542="","",INDEX(상세표[기록 시간외],$U1542))</f>
        <v/>
      </c>
      <c r="U1542" s="4">
        <f>IFERROR(MATCH(1537,상세표[발송순번],0),"")</f>
        <v/>
      </c>
    </row>
    <row r="1543">
      <c r="J1543">
        <f>IF($U1543="","",INDEX(상세표[사번],$U1543)&amp;"")</f>
        <v/>
      </c>
      <c r="K1543">
        <f>IF($U1543="","",INDEX(상세표[성명],$U1543)&amp;"")</f>
        <v/>
      </c>
      <c r="L1543">
        <f>IF($U1543="","",INDEX(상세표[직위],$U1543)&amp;"")</f>
        <v/>
      </c>
      <c r="M1543">
        <f>IF($U1543="","",IF(ISNUMBER(INDEX(상세표[근무일자],$U1543)),TEXT(INDEX(상세표[근무일자],$U1543),"yyyy-mm-dd"),INDEX(상세표[근무일자],$U1543)&amp;""))</f>
        <v/>
      </c>
      <c r="N1543">
        <f>IF($U1543="","",IF(ISNUMBER(INDEX(상세표[시작],$U1543)),TEXT(INDEX(상세표[시작],$U1543),"yyyy-mm-dd hh:mm"),INDEX(상세표[시작],$U1543)&amp;""))</f>
        <v/>
      </c>
      <c r="O1543">
        <f>IF($U1543="","",IF(ISNUMBER(INDEX(상세표[종료],$U1543)),TEXT(INDEX(상세표[종료],$U1543),"yyyy-mm-dd hh:mm"),INDEX(상세표[종료],$U1543)&amp;""))</f>
        <v/>
      </c>
      <c r="P1543" s="20">
        <f>IF($U1543="","",INDEX(상세표[06~07시],$U1543))</f>
        <v/>
      </c>
      <c r="Q1543" s="20">
        <f>IF($U1543="","",INDEX(상세표[07~18시],$U1543))</f>
        <v/>
      </c>
      <c r="R1543" s="20">
        <f>IF($U1543="","",INDEX(상세표[18~22시],$U1543))</f>
        <v/>
      </c>
      <c r="S1543" s="20">
        <f>IF($U1543="","",INDEX(상세표[22~06시],$U1543))</f>
        <v/>
      </c>
      <c r="T1543" s="20">
        <f>IF($U1543="","",INDEX(상세표[기록 시간외],$U1543))</f>
        <v/>
      </c>
      <c r="U1543" s="4">
        <f>IFERROR(MATCH(1538,상세표[발송순번],0),"")</f>
        <v/>
      </c>
    </row>
    <row r="1544">
      <c r="J1544">
        <f>IF($U1544="","",INDEX(상세표[사번],$U1544)&amp;"")</f>
        <v/>
      </c>
      <c r="K1544">
        <f>IF($U1544="","",INDEX(상세표[성명],$U1544)&amp;"")</f>
        <v/>
      </c>
      <c r="L1544">
        <f>IF($U1544="","",INDEX(상세표[직위],$U1544)&amp;"")</f>
        <v/>
      </c>
      <c r="M1544">
        <f>IF($U1544="","",IF(ISNUMBER(INDEX(상세표[근무일자],$U1544)),TEXT(INDEX(상세표[근무일자],$U1544),"yyyy-mm-dd"),INDEX(상세표[근무일자],$U1544)&amp;""))</f>
        <v/>
      </c>
      <c r="N1544">
        <f>IF($U1544="","",IF(ISNUMBER(INDEX(상세표[시작],$U1544)),TEXT(INDEX(상세표[시작],$U1544),"yyyy-mm-dd hh:mm"),INDEX(상세표[시작],$U1544)&amp;""))</f>
        <v/>
      </c>
      <c r="O1544">
        <f>IF($U1544="","",IF(ISNUMBER(INDEX(상세표[종료],$U1544)),TEXT(INDEX(상세표[종료],$U1544),"yyyy-mm-dd hh:mm"),INDEX(상세표[종료],$U1544)&amp;""))</f>
        <v/>
      </c>
      <c r="P1544" s="20">
        <f>IF($U1544="","",INDEX(상세표[06~07시],$U1544))</f>
        <v/>
      </c>
      <c r="Q1544" s="20">
        <f>IF($U1544="","",INDEX(상세표[07~18시],$U1544))</f>
        <v/>
      </c>
      <c r="R1544" s="20">
        <f>IF($U1544="","",INDEX(상세표[18~22시],$U1544))</f>
        <v/>
      </c>
      <c r="S1544" s="20">
        <f>IF($U1544="","",INDEX(상세표[22~06시],$U1544))</f>
        <v/>
      </c>
      <c r="T1544" s="20">
        <f>IF($U1544="","",INDEX(상세표[기록 시간외],$U1544))</f>
        <v/>
      </c>
      <c r="U1544" s="4">
        <f>IFERROR(MATCH(1539,상세표[발송순번],0),"")</f>
        <v/>
      </c>
    </row>
    <row r="1545">
      <c r="J1545">
        <f>IF($U1545="","",INDEX(상세표[사번],$U1545)&amp;"")</f>
        <v/>
      </c>
      <c r="K1545">
        <f>IF($U1545="","",INDEX(상세표[성명],$U1545)&amp;"")</f>
        <v/>
      </c>
      <c r="L1545">
        <f>IF($U1545="","",INDEX(상세표[직위],$U1545)&amp;"")</f>
        <v/>
      </c>
      <c r="M1545">
        <f>IF($U1545="","",IF(ISNUMBER(INDEX(상세표[근무일자],$U1545)),TEXT(INDEX(상세표[근무일자],$U1545),"yyyy-mm-dd"),INDEX(상세표[근무일자],$U1545)&amp;""))</f>
        <v/>
      </c>
      <c r="N1545">
        <f>IF($U1545="","",IF(ISNUMBER(INDEX(상세표[시작],$U1545)),TEXT(INDEX(상세표[시작],$U1545),"yyyy-mm-dd hh:mm"),INDEX(상세표[시작],$U1545)&amp;""))</f>
        <v/>
      </c>
      <c r="O1545">
        <f>IF($U1545="","",IF(ISNUMBER(INDEX(상세표[종료],$U1545)),TEXT(INDEX(상세표[종료],$U1545),"yyyy-mm-dd hh:mm"),INDEX(상세표[종료],$U1545)&amp;""))</f>
        <v/>
      </c>
      <c r="P1545" s="20">
        <f>IF($U1545="","",INDEX(상세표[06~07시],$U1545))</f>
        <v/>
      </c>
      <c r="Q1545" s="20">
        <f>IF($U1545="","",INDEX(상세표[07~18시],$U1545))</f>
        <v/>
      </c>
      <c r="R1545" s="20">
        <f>IF($U1545="","",INDEX(상세표[18~22시],$U1545))</f>
        <v/>
      </c>
      <c r="S1545" s="20">
        <f>IF($U1545="","",INDEX(상세표[22~06시],$U1545))</f>
        <v/>
      </c>
      <c r="T1545" s="20">
        <f>IF($U1545="","",INDEX(상세표[기록 시간외],$U1545))</f>
        <v/>
      </c>
      <c r="U1545" s="4">
        <f>IFERROR(MATCH(1540,상세표[발송순번],0),"")</f>
        <v/>
      </c>
    </row>
    <row r="1546">
      <c r="J1546">
        <f>IF($U1546="","",INDEX(상세표[사번],$U1546)&amp;"")</f>
        <v/>
      </c>
      <c r="K1546">
        <f>IF($U1546="","",INDEX(상세표[성명],$U1546)&amp;"")</f>
        <v/>
      </c>
      <c r="L1546">
        <f>IF($U1546="","",INDEX(상세표[직위],$U1546)&amp;"")</f>
        <v/>
      </c>
      <c r="M1546">
        <f>IF($U1546="","",IF(ISNUMBER(INDEX(상세표[근무일자],$U1546)),TEXT(INDEX(상세표[근무일자],$U1546),"yyyy-mm-dd"),INDEX(상세표[근무일자],$U1546)&amp;""))</f>
        <v/>
      </c>
      <c r="N1546">
        <f>IF($U1546="","",IF(ISNUMBER(INDEX(상세표[시작],$U1546)),TEXT(INDEX(상세표[시작],$U1546),"yyyy-mm-dd hh:mm"),INDEX(상세표[시작],$U1546)&amp;""))</f>
        <v/>
      </c>
      <c r="O1546">
        <f>IF($U1546="","",IF(ISNUMBER(INDEX(상세표[종료],$U1546)),TEXT(INDEX(상세표[종료],$U1546),"yyyy-mm-dd hh:mm"),INDEX(상세표[종료],$U1546)&amp;""))</f>
        <v/>
      </c>
      <c r="P1546" s="20">
        <f>IF($U1546="","",INDEX(상세표[06~07시],$U1546))</f>
        <v/>
      </c>
      <c r="Q1546" s="20">
        <f>IF($U1546="","",INDEX(상세표[07~18시],$U1546))</f>
        <v/>
      </c>
      <c r="R1546" s="20">
        <f>IF($U1546="","",INDEX(상세표[18~22시],$U1546))</f>
        <v/>
      </c>
      <c r="S1546" s="20">
        <f>IF($U1546="","",INDEX(상세표[22~06시],$U1546))</f>
        <v/>
      </c>
      <c r="T1546" s="20">
        <f>IF($U1546="","",INDEX(상세표[기록 시간외],$U1546))</f>
        <v/>
      </c>
      <c r="U1546" s="4">
        <f>IFERROR(MATCH(1541,상세표[발송순번],0),"")</f>
        <v/>
      </c>
    </row>
    <row r="1547">
      <c r="J1547">
        <f>IF($U1547="","",INDEX(상세표[사번],$U1547)&amp;"")</f>
        <v/>
      </c>
      <c r="K1547">
        <f>IF($U1547="","",INDEX(상세표[성명],$U1547)&amp;"")</f>
        <v/>
      </c>
      <c r="L1547">
        <f>IF($U1547="","",INDEX(상세표[직위],$U1547)&amp;"")</f>
        <v/>
      </c>
      <c r="M1547">
        <f>IF($U1547="","",IF(ISNUMBER(INDEX(상세표[근무일자],$U1547)),TEXT(INDEX(상세표[근무일자],$U1547),"yyyy-mm-dd"),INDEX(상세표[근무일자],$U1547)&amp;""))</f>
        <v/>
      </c>
      <c r="N1547">
        <f>IF($U1547="","",IF(ISNUMBER(INDEX(상세표[시작],$U1547)),TEXT(INDEX(상세표[시작],$U1547),"yyyy-mm-dd hh:mm"),INDEX(상세표[시작],$U1547)&amp;""))</f>
        <v/>
      </c>
      <c r="O1547">
        <f>IF($U1547="","",IF(ISNUMBER(INDEX(상세표[종료],$U1547)),TEXT(INDEX(상세표[종료],$U1547),"yyyy-mm-dd hh:mm"),INDEX(상세표[종료],$U1547)&amp;""))</f>
        <v/>
      </c>
      <c r="P1547" s="20">
        <f>IF($U1547="","",INDEX(상세표[06~07시],$U1547))</f>
        <v/>
      </c>
      <c r="Q1547" s="20">
        <f>IF($U1547="","",INDEX(상세표[07~18시],$U1547))</f>
        <v/>
      </c>
      <c r="R1547" s="20">
        <f>IF($U1547="","",INDEX(상세표[18~22시],$U1547))</f>
        <v/>
      </c>
      <c r="S1547" s="20">
        <f>IF($U1547="","",INDEX(상세표[22~06시],$U1547))</f>
        <v/>
      </c>
      <c r="T1547" s="20">
        <f>IF($U1547="","",INDEX(상세표[기록 시간외],$U1547))</f>
        <v/>
      </c>
      <c r="U1547" s="4">
        <f>IFERROR(MATCH(1542,상세표[발송순번],0),"")</f>
        <v/>
      </c>
    </row>
    <row r="1548">
      <c r="J1548">
        <f>IF($U1548="","",INDEX(상세표[사번],$U1548)&amp;"")</f>
        <v/>
      </c>
      <c r="K1548">
        <f>IF($U1548="","",INDEX(상세표[성명],$U1548)&amp;"")</f>
        <v/>
      </c>
      <c r="L1548">
        <f>IF($U1548="","",INDEX(상세표[직위],$U1548)&amp;"")</f>
        <v/>
      </c>
      <c r="M1548">
        <f>IF($U1548="","",IF(ISNUMBER(INDEX(상세표[근무일자],$U1548)),TEXT(INDEX(상세표[근무일자],$U1548),"yyyy-mm-dd"),INDEX(상세표[근무일자],$U1548)&amp;""))</f>
        <v/>
      </c>
      <c r="N1548">
        <f>IF($U1548="","",IF(ISNUMBER(INDEX(상세표[시작],$U1548)),TEXT(INDEX(상세표[시작],$U1548),"yyyy-mm-dd hh:mm"),INDEX(상세표[시작],$U1548)&amp;""))</f>
        <v/>
      </c>
      <c r="O1548">
        <f>IF($U1548="","",IF(ISNUMBER(INDEX(상세표[종료],$U1548)),TEXT(INDEX(상세표[종료],$U1548),"yyyy-mm-dd hh:mm"),INDEX(상세표[종료],$U1548)&amp;""))</f>
        <v/>
      </c>
      <c r="P1548" s="20">
        <f>IF($U1548="","",INDEX(상세표[06~07시],$U1548))</f>
        <v/>
      </c>
      <c r="Q1548" s="20">
        <f>IF($U1548="","",INDEX(상세표[07~18시],$U1548))</f>
        <v/>
      </c>
      <c r="R1548" s="20">
        <f>IF($U1548="","",INDEX(상세표[18~22시],$U1548))</f>
        <v/>
      </c>
      <c r="S1548" s="20">
        <f>IF($U1548="","",INDEX(상세표[22~06시],$U1548))</f>
        <v/>
      </c>
      <c r="T1548" s="20">
        <f>IF($U1548="","",INDEX(상세표[기록 시간외],$U1548))</f>
        <v/>
      </c>
      <c r="U1548" s="4">
        <f>IFERROR(MATCH(1543,상세표[발송순번],0),"")</f>
        <v/>
      </c>
    </row>
    <row r="1549">
      <c r="J1549">
        <f>IF($U1549="","",INDEX(상세표[사번],$U1549)&amp;"")</f>
        <v/>
      </c>
      <c r="K1549">
        <f>IF($U1549="","",INDEX(상세표[성명],$U1549)&amp;"")</f>
        <v/>
      </c>
      <c r="L1549">
        <f>IF($U1549="","",INDEX(상세표[직위],$U1549)&amp;"")</f>
        <v/>
      </c>
      <c r="M1549">
        <f>IF($U1549="","",IF(ISNUMBER(INDEX(상세표[근무일자],$U1549)),TEXT(INDEX(상세표[근무일자],$U1549),"yyyy-mm-dd"),INDEX(상세표[근무일자],$U1549)&amp;""))</f>
        <v/>
      </c>
      <c r="N1549">
        <f>IF($U1549="","",IF(ISNUMBER(INDEX(상세표[시작],$U1549)),TEXT(INDEX(상세표[시작],$U1549),"yyyy-mm-dd hh:mm"),INDEX(상세표[시작],$U1549)&amp;""))</f>
        <v/>
      </c>
      <c r="O1549">
        <f>IF($U1549="","",IF(ISNUMBER(INDEX(상세표[종료],$U1549)),TEXT(INDEX(상세표[종료],$U1549),"yyyy-mm-dd hh:mm"),INDEX(상세표[종료],$U1549)&amp;""))</f>
        <v/>
      </c>
      <c r="P1549" s="20">
        <f>IF($U1549="","",INDEX(상세표[06~07시],$U1549))</f>
        <v/>
      </c>
      <c r="Q1549" s="20">
        <f>IF($U1549="","",INDEX(상세표[07~18시],$U1549))</f>
        <v/>
      </c>
      <c r="R1549" s="20">
        <f>IF($U1549="","",INDEX(상세표[18~22시],$U1549))</f>
        <v/>
      </c>
      <c r="S1549" s="20">
        <f>IF($U1549="","",INDEX(상세표[22~06시],$U1549))</f>
        <v/>
      </c>
      <c r="T1549" s="20">
        <f>IF($U1549="","",INDEX(상세표[기록 시간외],$U1549))</f>
        <v/>
      </c>
      <c r="U1549" s="4">
        <f>IFERROR(MATCH(1544,상세표[발송순번],0),"")</f>
        <v/>
      </c>
    </row>
    <row r="1550">
      <c r="J1550">
        <f>IF($U1550="","",INDEX(상세표[사번],$U1550)&amp;"")</f>
        <v/>
      </c>
      <c r="K1550">
        <f>IF($U1550="","",INDEX(상세표[성명],$U1550)&amp;"")</f>
        <v/>
      </c>
      <c r="L1550">
        <f>IF($U1550="","",INDEX(상세표[직위],$U1550)&amp;"")</f>
        <v/>
      </c>
      <c r="M1550">
        <f>IF($U1550="","",IF(ISNUMBER(INDEX(상세표[근무일자],$U1550)),TEXT(INDEX(상세표[근무일자],$U1550),"yyyy-mm-dd"),INDEX(상세표[근무일자],$U1550)&amp;""))</f>
        <v/>
      </c>
      <c r="N1550">
        <f>IF($U1550="","",IF(ISNUMBER(INDEX(상세표[시작],$U1550)),TEXT(INDEX(상세표[시작],$U1550),"yyyy-mm-dd hh:mm"),INDEX(상세표[시작],$U1550)&amp;""))</f>
        <v/>
      </c>
      <c r="O1550">
        <f>IF($U1550="","",IF(ISNUMBER(INDEX(상세표[종료],$U1550)),TEXT(INDEX(상세표[종료],$U1550),"yyyy-mm-dd hh:mm"),INDEX(상세표[종료],$U1550)&amp;""))</f>
        <v/>
      </c>
      <c r="P1550" s="20">
        <f>IF($U1550="","",INDEX(상세표[06~07시],$U1550))</f>
        <v/>
      </c>
      <c r="Q1550" s="20">
        <f>IF($U1550="","",INDEX(상세표[07~18시],$U1550))</f>
        <v/>
      </c>
      <c r="R1550" s="20">
        <f>IF($U1550="","",INDEX(상세표[18~22시],$U1550))</f>
        <v/>
      </c>
      <c r="S1550" s="20">
        <f>IF($U1550="","",INDEX(상세표[22~06시],$U1550))</f>
        <v/>
      </c>
      <c r="T1550" s="20">
        <f>IF($U1550="","",INDEX(상세표[기록 시간외],$U1550))</f>
        <v/>
      </c>
      <c r="U1550" s="4">
        <f>IFERROR(MATCH(1545,상세표[발송순번],0),"")</f>
        <v/>
      </c>
    </row>
    <row r="1551">
      <c r="J1551">
        <f>IF($U1551="","",INDEX(상세표[사번],$U1551)&amp;"")</f>
        <v/>
      </c>
      <c r="K1551">
        <f>IF($U1551="","",INDEX(상세표[성명],$U1551)&amp;"")</f>
        <v/>
      </c>
      <c r="L1551">
        <f>IF($U1551="","",INDEX(상세표[직위],$U1551)&amp;"")</f>
        <v/>
      </c>
      <c r="M1551">
        <f>IF($U1551="","",IF(ISNUMBER(INDEX(상세표[근무일자],$U1551)),TEXT(INDEX(상세표[근무일자],$U1551),"yyyy-mm-dd"),INDEX(상세표[근무일자],$U1551)&amp;""))</f>
        <v/>
      </c>
      <c r="N1551">
        <f>IF($U1551="","",IF(ISNUMBER(INDEX(상세표[시작],$U1551)),TEXT(INDEX(상세표[시작],$U1551),"yyyy-mm-dd hh:mm"),INDEX(상세표[시작],$U1551)&amp;""))</f>
        <v/>
      </c>
      <c r="O1551">
        <f>IF($U1551="","",IF(ISNUMBER(INDEX(상세표[종료],$U1551)),TEXT(INDEX(상세표[종료],$U1551),"yyyy-mm-dd hh:mm"),INDEX(상세표[종료],$U1551)&amp;""))</f>
        <v/>
      </c>
      <c r="P1551" s="20">
        <f>IF($U1551="","",INDEX(상세표[06~07시],$U1551))</f>
        <v/>
      </c>
      <c r="Q1551" s="20">
        <f>IF($U1551="","",INDEX(상세표[07~18시],$U1551))</f>
        <v/>
      </c>
      <c r="R1551" s="20">
        <f>IF($U1551="","",INDEX(상세표[18~22시],$U1551))</f>
        <v/>
      </c>
      <c r="S1551" s="20">
        <f>IF($U1551="","",INDEX(상세표[22~06시],$U1551))</f>
        <v/>
      </c>
      <c r="T1551" s="20">
        <f>IF($U1551="","",INDEX(상세표[기록 시간외],$U1551))</f>
        <v/>
      </c>
      <c r="U1551" s="4">
        <f>IFERROR(MATCH(1546,상세표[발송순번],0),"")</f>
        <v/>
      </c>
    </row>
    <row r="1552">
      <c r="J1552">
        <f>IF($U1552="","",INDEX(상세표[사번],$U1552)&amp;"")</f>
        <v/>
      </c>
      <c r="K1552">
        <f>IF($U1552="","",INDEX(상세표[성명],$U1552)&amp;"")</f>
        <v/>
      </c>
      <c r="L1552">
        <f>IF($U1552="","",INDEX(상세표[직위],$U1552)&amp;"")</f>
        <v/>
      </c>
      <c r="M1552">
        <f>IF($U1552="","",IF(ISNUMBER(INDEX(상세표[근무일자],$U1552)),TEXT(INDEX(상세표[근무일자],$U1552),"yyyy-mm-dd"),INDEX(상세표[근무일자],$U1552)&amp;""))</f>
        <v/>
      </c>
      <c r="N1552">
        <f>IF($U1552="","",IF(ISNUMBER(INDEX(상세표[시작],$U1552)),TEXT(INDEX(상세표[시작],$U1552),"yyyy-mm-dd hh:mm"),INDEX(상세표[시작],$U1552)&amp;""))</f>
        <v/>
      </c>
      <c r="O1552">
        <f>IF($U1552="","",IF(ISNUMBER(INDEX(상세표[종료],$U1552)),TEXT(INDEX(상세표[종료],$U1552),"yyyy-mm-dd hh:mm"),INDEX(상세표[종료],$U1552)&amp;""))</f>
        <v/>
      </c>
      <c r="P1552" s="20">
        <f>IF($U1552="","",INDEX(상세표[06~07시],$U1552))</f>
        <v/>
      </c>
      <c r="Q1552" s="20">
        <f>IF($U1552="","",INDEX(상세표[07~18시],$U1552))</f>
        <v/>
      </c>
      <c r="R1552" s="20">
        <f>IF($U1552="","",INDEX(상세표[18~22시],$U1552))</f>
        <v/>
      </c>
      <c r="S1552" s="20">
        <f>IF($U1552="","",INDEX(상세표[22~06시],$U1552))</f>
        <v/>
      </c>
      <c r="T1552" s="20">
        <f>IF($U1552="","",INDEX(상세표[기록 시간외],$U1552))</f>
        <v/>
      </c>
      <c r="U1552" s="4">
        <f>IFERROR(MATCH(1547,상세표[발송순번],0),"")</f>
        <v/>
      </c>
    </row>
    <row r="1553">
      <c r="J1553">
        <f>IF($U1553="","",INDEX(상세표[사번],$U1553)&amp;"")</f>
        <v/>
      </c>
      <c r="K1553">
        <f>IF($U1553="","",INDEX(상세표[성명],$U1553)&amp;"")</f>
        <v/>
      </c>
      <c r="L1553">
        <f>IF($U1553="","",INDEX(상세표[직위],$U1553)&amp;"")</f>
        <v/>
      </c>
      <c r="M1553">
        <f>IF($U1553="","",IF(ISNUMBER(INDEX(상세표[근무일자],$U1553)),TEXT(INDEX(상세표[근무일자],$U1553),"yyyy-mm-dd"),INDEX(상세표[근무일자],$U1553)&amp;""))</f>
        <v/>
      </c>
      <c r="N1553">
        <f>IF($U1553="","",IF(ISNUMBER(INDEX(상세표[시작],$U1553)),TEXT(INDEX(상세표[시작],$U1553),"yyyy-mm-dd hh:mm"),INDEX(상세표[시작],$U1553)&amp;""))</f>
        <v/>
      </c>
      <c r="O1553">
        <f>IF($U1553="","",IF(ISNUMBER(INDEX(상세표[종료],$U1553)),TEXT(INDEX(상세표[종료],$U1553),"yyyy-mm-dd hh:mm"),INDEX(상세표[종료],$U1553)&amp;""))</f>
        <v/>
      </c>
      <c r="P1553" s="20">
        <f>IF($U1553="","",INDEX(상세표[06~07시],$U1553))</f>
        <v/>
      </c>
      <c r="Q1553" s="20">
        <f>IF($U1553="","",INDEX(상세표[07~18시],$U1553))</f>
        <v/>
      </c>
      <c r="R1553" s="20">
        <f>IF($U1553="","",INDEX(상세표[18~22시],$U1553))</f>
        <v/>
      </c>
      <c r="S1553" s="20">
        <f>IF($U1553="","",INDEX(상세표[22~06시],$U1553))</f>
        <v/>
      </c>
      <c r="T1553" s="20">
        <f>IF($U1553="","",INDEX(상세표[기록 시간외],$U1553))</f>
        <v/>
      </c>
      <c r="U1553" s="4">
        <f>IFERROR(MATCH(1548,상세표[발송순번],0),"")</f>
        <v/>
      </c>
    </row>
    <row r="1554">
      <c r="J1554">
        <f>IF($U1554="","",INDEX(상세표[사번],$U1554)&amp;"")</f>
        <v/>
      </c>
      <c r="K1554">
        <f>IF($U1554="","",INDEX(상세표[성명],$U1554)&amp;"")</f>
        <v/>
      </c>
      <c r="L1554">
        <f>IF($U1554="","",INDEX(상세표[직위],$U1554)&amp;"")</f>
        <v/>
      </c>
      <c r="M1554">
        <f>IF($U1554="","",IF(ISNUMBER(INDEX(상세표[근무일자],$U1554)),TEXT(INDEX(상세표[근무일자],$U1554),"yyyy-mm-dd"),INDEX(상세표[근무일자],$U1554)&amp;""))</f>
        <v/>
      </c>
      <c r="N1554">
        <f>IF($U1554="","",IF(ISNUMBER(INDEX(상세표[시작],$U1554)),TEXT(INDEX(상세표[시작],$U1554),"yyyy-mm-dd hh:mm"),INDEX(상세표[시작],$U1554)&amp;""))</f>
        <v/>
      </c>
      <c r="O1554">
        <f>IF($U1554="","",IF(ISNUMBER(INDEX(상세표[종료],$U1554)),TEXT(INDEX(상세표[종료],$U1554),"yyyy-mm-dd hh:mm"),INDEX(상세표[종료],$U1554)&amp;""))</f>
        <v/>
      </c>
      <c r="P1554" s="20">
        <f>IF($U1554="","",INDEX(상세표[06~07시],$U1554))</f>
        <v/>
      </c>
      <c r="Q1554" s="20">
        <f>IF($U1554="","",INDEX(상세표[07~18시],$U1554))</f>
        <v/>
      </c>
      <c r="R1554" s="20">
        <f>IF($U1554="","",INDEX(상세표[18~22시],$U1554))</f>
        <v/>
      </c>
      <c r="S1554" s="20">
        <f>IF($U1554="","",INDEX(상세표[22~06시],$U1554))</f>
        <v/>
      </c>
      <c r="T1554" s="20">
        <f>IF($U1554="","",INDEX(상세표[기록 시간외],$U1554))</f>
        <v/>
      </c>
      <c r="U1554" s="4">
        <f>IFERROR(MATCH(1549,상세표[발송순번],0),"")</f>
        <v/>
      </c>
    </row>
    <row r="1555">
      <c r="J1555">
        <f>IF($U1555="","",INDEX(상세표[사번],$U1555)&amp;"")</f>
        <v/>
      </c>
      <c r="K1555">
        <f>IF($U1555="","",INDEX(상세표[성명],$U1555)&amp;"")</f>
        <v/>
      </c>
      <c r="L1555">
        <f>IF($U1555="","",INDEX(상세표[직위],$U1555)&amp;"")</f>
        <v/>
      </c>
      <c r="M1555">
        <f>IF($U1555="","",IF(ISNUMBER(INDEX(상세표[근무일자],$U1555)),TEXT(INDEX(상세표[근무일자],$U1555),"yyyy-mm-dd"),INDEX(상세표[근무일자],$U1555)&amp;""))</f>
        <v/>
      </c>
      <c r="N1555">
        <f>IF($U1555="","",IF(ISNUMBER(INDEX(상세표[시작],$U1555)),TEXT(INDEX(상세표[시작],$U1555),"yyyy-mm-dd hh:mm"),INDEX(상세표[시작],$U1555)&amp;""))</f>
        <v/>
      </c>
      <c r="O1555">
        <f>IF($U1555="","",IF(ISNUMBER(INDEX(상세표[종료],$U1555)),TEXT(INDEX(상세표[종료],$U1555),"yyyy-mm-dd hh:mm"),INDEX(상세표[종료],$U1555)&amp;""))</f>
        <v/>
      </c>
      <c r="P1555" s="20">
        <f>IF($U1555="","",INDEX(상세표[06~07시],$U1555))</f>
        <v/>
      </c>
      <c r="Q1555" s="20">
        <f>IF($U1555="","",INDEX(상세표[07~18시],$U1555))</f>
        <v/>
      </c>
      <c r="R1555" s="20">
        <f>IF($U1555="","",INDEX(상세표[18~22시],$U1555))</f>
        <v/>
      </c>
      <c r="S1555" s="20">
        <f>IF($U1555="","",INDEX(상세표[22~06시],$U1555))</f>
        <v/>
      </c>
      <c r="T1555" s="20">
        <f>IF($U1555="","",INDEX(상세표[기록 시간외],$U1555))</f>
        <v/>
      </c>
      <c r="U1555" s="4">
        <f>IFERROR(MATCH(1550,상세표[발송순번],0),"")</f>
        <v/>
      </c>
    </row>
    <row r="1556">
      <c r="J1556">
        <f>IF($U1556="","",INDEX(상세표[사번],$U1556)&amp;"")</f>
        <v/>
      </c>
      <c r="K1556">
        <f>IF($U1556="","",INDEX(상세표[성명],$U1556)&amp;"")</f>
        <v/>
      </c>
      <c r="L1556">
        <f>IF($U1556="","",INDEX(상세표[직위],$U1556)&amp;"")</f>
        <v/>
      </c>
      <c r="M1556">
        <f>IF($U1556="","",IF(ISNUMBER(INDEX(상세표[근무일자],$U1556)),TEXT(INDEX(상세표[근무일자],$U1556),"yyyy-mm-dd"),INDEX(상세표[근무일자],$U1556)&amp;""))</f>
        <v/>
      </c>
      <c r="N1556">
        <f>IF($U1556="","",IF(ISNUMBER(INDEX(상세표[시작],$U1556)),TEXT(INDEX(상세표[시작],$U1556),"yyyy-mm-dd hh:mm"),INDEX(상세표[시작],$U1556)&amp;""))</f>
        <v/>
      </c>
      <c r="O1556">
        <f>IF($U1556="","",IF(ISNUMBER(INDEX(상세표[종료],$U1556)),TEXT(INDEX(상세표[종료],$U1556),"yyyy-mm-dd hh:mm"),INDEX(상세표[종료],$U1556)&amp;""))</f>
        <v/>
      </c>
      <c r="P1556" s="20">
        <f>IF($U1556="","",INDEX(상세표[06~07시],$U1556))</f>
        <v/>
      </c>
      <c r="Q1556" s="20">
        <f>IF($U1556="","",INDEX(상세표[07~18시],$U1556))</f>
        <v/>
      </c>
      <c r="R1556" s="20">
        <f>IF($U1556="","",INDEX(상세표[18~22시],$U1556))</f>
        <v/>
      </c>
      <c r="S1556" s="20">
        <f>IF($U1556="","",INDEX(상세표[22~06시],$U1556))</f>
        <v/>
      </c>
      <c r="T1556" s="20">
        <f>IF($U1556="","",INDEX(상세표[기록 시간외],$U1556))</f>
        <v/>
      </c>
      <c r="U1556" s="4">
        <f>IFERROR(MATCH(1551,상세표[발송순번],0),"")</f>
        <v/>
      </c>
    </row>
    <row r="1557">
      <c r="J1557">
        <f>IF($U1557="","",INDEX(상세표[사번],$U1557)&amp;"")</f>
        <v/>
      </c>
      <c r="K1557">
        <f>IF($U1557="","",INDEX(상세표[성명],$U1557)&amp;"")</f>
        <v/>
      </c>
      <c r="L1557">
        <f>IF($U1557="","",INDEX(상세표[직위],$U1557)&amp;"")</f>
        <v/>
      </c>
      <c r="M1557">
        <f>IF($U1557="","",IF(ISNUMBER(INDEX(상세표[근무일자],$U1557)),TEXT(INDEX(상세표[근무일자],$U1557),"yyyy-mm-dd"),INDEX(상세표[근무일자],$U1557)&amp;""))</f>
        <v/>
      </c>
      <c r="N1557">
        <f>IF($U1557="","",IF(ISNUMBER(INDEX(상세표[시작],$U1557)),TEXT(INDEX(상세표[시작],$U1557),"yyyy-mm-dd hh:mm"),INDEX(상세표[시작],$U1557)&amp;""))</f>
        <v/>
      </c>
      <c r="O1557">
        <f>IF($U1557="","",IF(ISNUMBER(INDEX(상세표[종료],$U1557)),TEXT(INDEX(상세표[종료],$U1557),"yyyy-mm-dd hh:mm"),INDEX(상세표[종료],$U1557)&amp;""))</f>
        <v/>
      </c>
      <c r="P1557" s="20">
        <f>IF($U1557="","",INDEX(상세표[06~07시],$U1557))</f>
        <v/>
      </c>
      <c r="Q1557" s="20">
        <f>IF($U1557="","",INDEX(상세표[07~18시],$U1557))</f>
        <v/>
      </c>
      <c r="R1557" s="20">
        <f>IF($U1557="","",INDEX(상세표[18~22시],$U1557))</f>
        <v/>
      </c>
      <c r="S1557" s="20">
        <f>IF($U1557="","",INDEX(상세표[22~06시],$U1557))</f>
        <v/>
      </c>
      <c r="T1557" s="20">
        <f>IF($U1557="","",INDEX(상세표[기록 시간외],$U1557))</f>
        <v/>
      </c>
      <c r="U1557" s="4">
        <f>IFERROR(MATCH(1552,상세표[발송순번],0),"")</f>
        <v/>
      </c>
    </row>
    <row r="1558">
      <c r="J1558">
        <f>IF($U1558="","",INDEX(상세표[사번],$U1558)&amp;"")</f>
        <v/>
      </c>
      <c r="K1558">
        <f>IF($U1558="","",INDEX(상세표[성명],$U1558)&amp;"")</f>
        <v/>
      </c>
      <c r="L1558">
        <f>IF($U1558="","",INDEX(상세표[직위],$U1558)&amp;"")</f>
        <v/>
      </c>
      <c r="M1558">
        <f>IF($U1558="","",IF(ISNUMBER(INDEX(상세표[근무일자],$U1558)),TEXT(INDEX(상세표[근무일자],$U1558),"yyyy-mm-dd"),INDEX(상세표[근무일자],$U1558)&amp;""))</f>
        <v/>
      </c>
      <c r="N1558">
        <f>IF($U1558="","",IF(ISNUMBER(INDEX(상세표[시작],$U1558)),TEXT(INDEX(상세표[시작],$U1558),"yyyy-mm-dd hh:mm"),INDEX(상세표[시작],$U1558)&amp;""))</f>
        <v/>
      </c>
      <c r="O1558">
        <f>IF($U1558="","",IF(ISNUMBER(INDEX(상세표[종료],$U1558)),TEXT(INDEX(상세표[종료],$U1558),"yyyy-mm-dd hh:mm"),INDEX(상세표[종료],$U1558)&amp;""))</f>
        <v/>
      </c>
      <c r="P1558" s="20">
        <f>IF($U1558="","",INDEX(상세표[06~07시],$U1558))</f>
        <v/>
      </c>
      <c r="Q1558" s="20">
        <f>IF($U1558="","",INDEX(상세표[07~18시],$U1558))</f>
        <v/>
      </c>
      <c r="R1558" s="20">
        <f>IF($U1558="","",INDEX(상세표[18~22시],$U1558))</f>
        <v/>
      </c>
      <c r="S1558" s="20">
        <f>IF($U1558="","",INDEX(상세표[22~06시],$U1558))</f>
        <v/>
      </c>
      <c r="T1558" s="20">
        <f>IF($U1558="","",INDEX(상세표[기록 시간외],$U1558))</f>
        <v/>
      </c>
      <c r="U1558" s="4">
        <f>IFERROR(MATCH(1553,상세표[발송순번],0),"")</f>
        <v/>
      </c>
    </row>
    <row r="1559">
      <c r="J1559">
        <f>IF($U1559="","",INDEX(상세표[사번],$U1559)&amp;"")</f>
        <v/>
      </c>
      <c r="K1559">
        <f>IF($U1559="","",INDEX(상세표[성명],$U1559)&amp;"")</f>
        <v/>
      </c>
      <c r="L1559">
        <f>IF($U1559="","",INDEX(상세표[직위],$U1559)&amp;"")</f>
        <v/>
      </c>
      <c r="M1559">
        <f>IF($U1559="","",IF(ISNUMBER(INDEX(상세표[근무일자],$U1559)),TEXT(INDEX(상세표[근무일자],$U1559),"yyyy-mm-dd"),INDEX(상세표[근무일자],$U1559)&amp;""))</f>
        <v/>
      </c>
      <c r="N1559">
        <f>IF($U1559="","",IF(ISNUMBER(INDEX(상세표[시작],$U1559)),TEXT(INDEX(상세표[시작],$U1559),"yyyy-mm-dd hh:mm"),INDEX(상세표[시작],$U1559)&amp;""))</f>
        <v/>
      </c>
      <c r="O1559">
        <f>IF($U1559="","",IF(ISNUMBER(INDEX(상세표[종료],$U1559)),TEXT(INDEX(상세표[종료],$U1559),"yyyy-mm-dd hh:mm"),INDEX(상세표[종료],$U1559)&amp;""))</f>
        <v/>
      </c>
      <c r="P1559" s="20">
        <f>IF($U1559="","",INDEX(상세표[06~07시],$U1559))</f>
        <v/>
      </c>
      <c r="Q1559" s="20">
        <f>IF($U1559="","",INDEX(상세표[07~18시],$U1559))</f>
        <v/>
      </c>
      <c r="R1559" s="20">
        <f>IF($U1559="","",INDEX(상세표[18~22시],$U1559))</f>
        <v/>
      </c>
      <c r="S1559" s="20">
        <f>IF($U1559="","",INDEX(상세표[22~06시],$U1559))</f>
        <v/>
      </c>
      <c r="T1559" s="20">
        <f>IF($U1559="","",INDEX(상세표[기록 시간외],$U1559))</f>
        <v/>
      </c>
      <c r="U1559" s="4">
        <f>IFERROR(MATCH(1554,상세표[발송순번],0),"")</f>
        <v/>
      </c>
    </row>
    <row r="1560">
      <c r="J1560">
        <f>IF($U1560="","",INDEX(상세표[사번],$U1560)&amp;"")</f>
        <v/>
      </c>
      <c r="K1560">
        <f>IF($U1560="","",INDEX(상세표[성명],$U1560)&amp;"")</f>
        <v/>
      </c>
      <c r="L1560">
        <f>IF($U1560="","",INDEX(상세표[직위],$U1560)&amp;"")</f>
        <v/>
      </c>
      <c r="M1560">
        <f>IF($U1560="","",IF(ISNUMBER(INDEX(상세표[근무일자],$U1560)),TEXT(INDEX(상세표[근무일자],$U1560),"yyyy-mm-dd"),INDEX(상세표[근무일자],$U1560)&amp;""))</f>
        <v/>
      </c>
      <c r="N1560">
        <f>IF($U1560="","",IF(ISNUMBER(INDEX(상세표[시작],$U1560)),TEXT(INDEX(상세표[시작],$U1560),"yyyy-mm-dd hh:mm"),INDEX(상세표[시작],$U1560)&amp;""))</f>
        <v/>
      </c>
      <c r="O1560">
        <f>IF($U1560="","",IF(ISNUMBER(INDEX(상세표[종료],$U1560)),TEXT(INDEX(상세표[종료],$U1560),"yyyy-mm-dd hh:mm"),INDEX(상세표[종료],$U1560)&amp;""))</f>
        <v/>
      </c>
      <c r="P1560" s="20">
        <f>IF($U1560="","",INDEX(상세표[06~07시],$U1560))</f>
        <v/>
      </c>
      <c r="Q1560" s="20">
        <f>IF($U1560="","",INDEX(상세표[07~18시],$U1560))</f>
        <v/>
      </c>
      <c r="R1560" s="20">
        <f>IF($U1560="","",INDEX(상세표[18~22시],$U1560))</f>
        <v/>
      </c>
      <c r="S1560" s="20">
        <f>IF($U1560="","",INDEX(상세표[22~06시],$U1560))</f>
        <v/>
      </c>
      <c r="T1560" s="20">
        <f>IF($U1560="","",INDEX(상세표[기록 시간외],$U1560))</f>
        <v/>
      </c>
      <c r="U1560" s="4">
        <f>IFERROR(MATCH(1555,상세표[발송순번],0),"")</f>
        <v/>
      </c>
    </row>
    <row r="1561">
      <c r="J1561">
        <f>IF($U1561="","",INDEX(상세표[사번],$U1561)&amp;"")</f>
        <v/>
      </c>
      <c r="K1561">
        <f>IF($U1561="","",INDEX(상세표[성명],$U1561)&amp;"")</f>
        <v/>
      </c>
      <c r="L1561">
        <f>IF($U1561="","",INDEX(상세표[직위],$U1561)&amp;"")</f>
        <v/>
      </c>
      <c r="M1561">
        <f>IF($U1561="","",IF(ISNUMBER(INDEX(상세표[근무일자],$U1561)),TEXT(INDEX(상세표[근무일자],$U1561),"yyyy-mm-dd"),INDEX(상세표[근무일자],$U1561)&amp;""))</f>
        <v/>
      </c>
      <c r="N1561">
        <f>IF($U1561="","",IF(ISNUMBER(INDEX(상세표[시작],$U1561)),TEXT(INDEX(상세표[시작],$U1561),"yyyy-mm-dd hh:mm"),INDEX(상세표[시작],$U1561)&amp;""))</f>
        <v/>
      </c>
      <c r="O1561">
        <f>IF($U1561="","",IF(ISNUMBER(INDEX(상세표[종료],$U1561)),TEXT(INDEX(상세표[종료],$U1561),"yyyy-mm-dd hh:mm"),INDEX(상세표[종료],$U1561)&amp;""))</f>
        <v/>
      </c>
      <c r="P1561" s="20">
        <f>IF($U1561="","",INDEX(상세표[06~07시],$U1561))</f>
        <v/>
      </c>
      <c r="Q1561" s="20">
        <f>IF($U1561="","",INDEX(상세표[07~18시],$U1561))</f>
        <v/>
      </c>
      <c r="R1561" s="20">
        <f>IF($U1561="","",INDEX(상세표[18~22시],$U1561))</f>
        <v/>
      </c>
      <c r="S1561" s="20">
        <f>IF($U1561="","",INDEX(상세표[22~06시],$U1561))</f>
        <v/>
      </c>
      <c r="T1561" s="20">
        <f>IF($U1561="","",INDEX(상세표[기록 시간외],$U1561))</f>
        <v/>
      </c>
      <c r="U1561" s="4">
        <f>IFERROR(MATCH(1556,상세표[발송순번],0),"")</f>
        <v/>
      </c>
    </row>
    <row r="1562">
      <c r="J1562">
        <f>IF($U1562="","",INDEX(상세표[사번],$U1562)&amp;"")</f>
        <v/>
      </c>
      <c r="K1562">
        <f>IF($U1562="","",INDEX(상세표[성명],$U1562)&amp;"")</f>
        <v/>
      </c>
      <c r="L1562">
        <f>IF($U1562="","",INDEX(상세표[직위],$U1562)&amp;"")</f>
        <v/>
      </c>
      <c r="M1562">
        <f>IF($U1562="","",IF(ISNUMBER(INDEX(상세표[근무일자],$U1562)),TEXT(INDEX(상세표[근무일자],$U1562),"yyyy-mm-dd"),INDEX(상세표[근무일자],$U1562)&amp;""))</f>
        <v/>
      </c>
      <c r="N1562">
        <f>IF($U1562="","",IF(ISNUMBER(INDEX(상세표[시작],$U1562)),TEXT(INDEX(상세표[시작],$U1562),"yyyy-mm-dd hh:mm"),INDEX(상세표[시작],$U1562)&amp;""))</f>
        <v/>
      </c>
      <c r="O1562">
        <f>IF($U1562="","",IF(ISNUMBER(INDEX(상세표[종료],$U1562)),TEXT(INDEX(상세표[종료],$U1562),"yyyy-mm-dd hh:mm"),INDEX(상세표[종료],$U1562)&amp;""))</f>
        <v/>
      </c>
      <c r="P1562" s="20">
        <f>IF($U1562="","",INDEX(상세표[06~07시],$U1562))</f>
        <v/>
      </c>
      <c r="Q1562" s="20">
        <f>IF($U1562="","",INDEX(상세표[07~18시],$U1562))</f>
        <v/>
      </c>
      <c r="R1562" s="20">
        <f>IF($U1562="","",INDEX(상세표[18~22시],$U1562))</f>
        <v/>
      </c>
      <c r="S1562" s="20">
        <f>IF($U1562="","",INDEX(상세표[22~06시],$U1562))</f>
        <v/>
      </c>
      <c r="T1562" s="20">
        <f>IF($U1562="","",INDEX(상세표[기록 시간외],$U1562))</f>
        <v/>
      </c>
      <c r="U1562" s="4">
        <f>IFERROR(MATCH(1557,상세표[발송순번],0),"")</f>
        <v/>
      </c>
    </row>
    <row r="1563">
      <c r="J1563">
        <f>IF($U1563="","",INDEX(상세표[사번],$U1563)&amp;"")</f>
        <v/>
      </c>
      <c r="K1563">
        <f>IF($U1563="","",INDEX(상세표[성명],$U1563)&amp;"")</f>
        <v/>
      </c>
      <c r="L1563">
        <f>IF($U1563="","",INDEX(상세표[직위],$U1563)&amp;"")</f>
        <v/>
      </c>
      <c r="M1563">
        <f>IF($U1563="","",IF(ISNUMBER(INDEX(상세표[근무일자],$U1563)),TEXT(INDEX(상세표[근무일자],$U1563),"yyyy-mm-dd"),INDEX(상세표[근무일자],$U1563)&amp;""))</f>
        <v/>
      </c>
      <c r="N1563">
        <f>IF($U1563="","",IF(ISNUMBER(INDEX(상세표[시작],$U1563)),TEXT(INDEX(상세표[시작],$U1563),"yyyy-mm-dd hh:mm"),INDEX(상세표[시작],$U1563)&amp;""))</f>
        <v/>
      </c>
      <c r="O1563">
        <f>IF($U1563="","",IF(ISNUMBER(INDEX(상세표[종료],$U1563)),TEXT(INDEX(상세표[종료],$U1563),"yyyy-mm-dd hh:mm"),INDEX(상세표[종료],$U1563)&amp;""))</f>
        <v/>
      </c>
      <c r="P1563" s="20">
        <f>IF($U1563="","",INDEX(상세표[06~07시],$U1563))</f>
        <v/>
      </c>
      <c r="Q1563" s="20">
        <f>IF($U1563="","",INDEX(상세표[07~18시],$U1563))</f>
        <v/>
      </c>
      <c r="R1563" s="20">
        <f>IF($U1563="","",INDEX(상세표[18~22시],$U1563))</f>
        <v/>
      </c>
      <c r="S1563" s="20">
        <f>IF($U1563="","",INDEX(상세표[22~06시],$U1563))</f>
        <v/>
      </c>
      <c r="T1563" s="20">
        <f>IF($U1563="","",INDEX(상세표[기록 시간외],$U1563))</f>
        <v/>
      </c>
      <c r="U1563" s="4">
        <f>IFERROR(MATCH(1558,상세표[발송순번],0),"")</f>
        <v/>
      </c>
    </row>
    <row r="1564">
      <c r="J1564">
        <f>IF($U1564="","",INDEX(상세표[사번],$U1564)&amp;"")</f>
        <v/>
      </c>
      <c r="K1564">
        <f>IF($U1564="","",INDEX(상세표[성명],$U1564)&amp;"")</f>
        <v/>
      </c>
      <c r="L1564">
        <f>IF($U1564="","",INDEX(상세표[직위],$U1564)&amp;"")</f>
        <v/>
      </c>
      <c r="M1564">
        <f>IF($U1564="","",IF(ISNUMBER(INDEX(상세표[근무일자],$U1564)),TEXT(INDEX(상세표[근무일자],$U1564),"yyyy-mm-dd"),INDEX(상세표[근무일자],$U1564)&amp;""))</f>
        <v/>
      </c>
      <c r="N1564">
        <f>IF($U1564="","",IF(ISNUMBER(INDEX(상세표[시작],$U1564)),TEXT(INDEX(상세표[시작],$U1564),"yyyy-mm-dd hh:mm"),INDEX(상세표[시작],$U1564)&amp;""))</f>
        <v/>
      </c>
      <c r="O1564">
        <f>IF($U1564="","",IF(ISNUMBER(INDEX(상세표[종료],$U1564)),TEXT(INDEX(상세표[종료],$U1564),"yyyy-mm-dd hh:mm"),INDEX(상세표[종료],$U1564)&amp;""))</f>
        <v/>
      </c>
      <c r="P1564" s="20">
        <f>IF($U1564="","",INDEX(상세표[06~07시],$U1564))</f>
        <v/>
      </c>
      <c r="Q1564" s="20">
        <f>IF($U1564="","",INDEX(상세표[07~18시],$U1564))</f>
        <v/>
      </c>
      <c r="R1564" s="20">
        <f>IF($U1564="","",INDEX(상세표[18~22시],$U1564))</f>
        <v/>
      </c>
      <c r="S1564" s="20">
        <f>IF($U1564="","",INDEX(상세표[22~06시],$U1564))</f>
        <v/>
      </c>
      <c r="T1564" s="20">
        <f>IF($U1564="","",INDEX(상세표[기록 시간외],$U1564))</f>
        <v/>
      </c>
      <c r="U1564" s="4">
        <f>IFERROR(MATCH(1559,상세표[발송순번],0),"")</f>
        <v/>
      </c>
    </row>
    <row r="1565">
      <c r="J1565">
        <f>IF($U1565="","",INDEX(상세표[사번],$U1565)&amp;"")</f>
        <v/>
      </c>
      <c r="K1565">
        <f>IF($U1565="","",INDEX(상세표[성명],$U1565)&amp;"")</f>
        <v/>
      </c>
      <c r="L1565">
        <f>IF($U1565="","",INDEX(상세표[직위],$U1565)&amp;"")</f>
        <v/>
      </c>
      <c r="M1565">
        <f>IF($U1565="","",IF(ISNUMBER(INDEX(상세표[근무일자],$U1565)),TEXT(INDEX(상세표[근무일자],$U1565),"yyyy-mm-dd"),INDEX(상세표[근무일자],$U1565)&amp;""))</f>
        <v/>
      </c>
      <c r="N1565">
        <f>IF($U1565="","",IF(ISNUMBER(INDEX(상세표[시작],$U1565)),TEXT(INDEX(상세표[시작],$U1565),"yyyy-mm-dd hh:mm"),INDEX(상세표[시작],$U1565)&amp;""))</f>
        <v/>
      </c>
      <c r="O1565">
        <f>IF($U1565="","",IF(ISNUMBER(INDEX(상세표[종료],$U1565)),TEXT(INDEX(상세표[종료],$U1565),"yyyy-mm-dd hh:mm"),INDEX(상세표[종료],$U1565)&amp;""))</f>
        <v/>
      </c>
      <c r="P1565" s="20">
        <f>IF($U1565="","",INDEX(상세표[06~07시],$U1565))</f>
        <v/>
      </c>
      <c r="Q1565" s="20">
        <f>IF($U1565="","",INDEX(상세표[07~18시],$U1565))</f>
        <v/>
      </c>
      <c r="R1565" s="20">
        <f>IF($U1565="","",INDEX(상세표[18~22시],$U1565))</f>
        <v/>
      </c>
      <c r="S1565" s="20">
        <f>IF($U1565="","",INDEX(상세표[22~06시],$U1565))</f>
        <v/>
      </c>
      <c r="T1565" s="20">
        <f>IF($U1565="","",INDEX(상세표[기록 시간외],$U1565))</f>
        <v/>
      </c>
      <c r="U1565" s="4">
        <f>IFERROR(MATCH(1560,상세표[발송순번],0),"")</f>
        <v/>
      </c>
    </row>
    <row r="1566">
      <c r="J1566">
        <f>IF($U1566="","",INDEX(상세표[사번],$U1566)&amp;"")</f>
        <v/>
      </c>
      <c r="K1566">
        <f>IF($U1566="","",INDEX(상세표[성명],$U1566)&amp;"")</f>
        <v/>
      </c>
      <c r="L1566">
        <f>IF($U1566="","",INDEX(상세표[직위],$U1566)&amp;"")</f>
        <v/>
      </c>
      <c r="M1566">
        <f>IF($U1566="","",IF(ISNUMBER(INDEX(상세표[근무일자],$U1566)),TEXT(INDEX(상세표[근무일자],$U1566),"yyyy-mm-dd"),INDEX(상세표[근무일자],$U1566)&amp;""))</f>
        <v/>
      </c>
      <c r="N1566">
        <f>IF($U1566="","",IF(ISNUMBER(INDEX(상세표[시작],$U1566)),TEXT(INDEX(상세표[시작],$U1566),"yyyy-mm-dd hh:mm"),INDEX(상세표[시작],$U1566)&amp;""))</f>
        <v/>
      </c>
      <c r="O1566">
        <f>IF($U1566="","",IF(ISNUMBER(INDEX(상세표[종료],$U1566)),TEXT(INDEX(상세표[종료],$U1566),"yyyy-mm-dd hh:mm"),INDEX(상세표[종료],$U1566)&amp;""))</f>
        <v/>
      </c>
      <c r="P1566" s="20">
        <f>IF($U1566="","",INDEX(상세표[06~07시],$U1566))</f>
        <v/>
      </c>
      <c r="Q1566" s="20">
        <f>IF($U1566="","",INDEX(상세표[07~18시],$U1566))</f>
        <v/>
      </c>
      <c r="R1566" s="20">
        <f>IF($U1566="","",INDEX(상세표[18~22시],$U1566))</f>
        <v/>
      </c>
      <c r="S1566" s="20">
        <f>IF($U1566="","",INDEX(상세표[22~06시],$U1566))</f>
        <v/>
      </c>
      <c r="T1566" s="20">
        <f>IF($U1566="","",INDEX(상세표[기록 시간외],$U1566))</f>
        <v/>
      </c>
      <c r="U1566" s="4">
        <f>IFERROR(MATCH(1561,상세표[발송순번],0),"")</f>
        <v/>
      </c>
    </row>
    <row r="1567">
      <c r="J1567">
        <f>IF($U1567="","",INDEX(상세표[사번],$U1567)&amp;"")</f>
        <v/>
      </c>
      <c r="K1567">
        <f>IF($U1567="","",INDEX(상세표[성명],$U1567)&amp;"")</f>
        <v/>
      </c>
      <c r="L1567">
        <f>IF($U1567="","",INDEX(상세표[직위],$U1567)&amp;"")</f>
        <v/>
      </c>
      <c r="M1567">
        <f>IF($U1567="","",IF(ISNUMBER(INDEX(상세표[근무일자],$U1567)),TEXT(INDEX(상세표[근무일자],$U1567),"yyyy-mm-dd"),INDEX(상세표[근무일자],$U1567)&amp;""))</f>
        <v/>
      </c>
      <c r="N1567">
        <f>IF($U1567="","",IF(ISNUMBER(INDEX(상세표[시작],$U1567)),TEXT(INDEX(상세표[시작],$U1567),"yyyy-mm-dd hh:mm"),INDEX(상세표[시작],$U1567)&amp;""))</f>
        <v/>
      </c>
      <c r="O1567">
        <f>IF($U1567="","",IF(ISNUMBER(INDEX(상세표[종료],$U1567)),TEXT(INDEX(상세표[종료],$U1567),"yyyy-mm-dd hh:mm"),INDEX(상세표[종료],$U1567)&amp;""))</f>
        <v/>
      </c>
      <c r="P1567" s="20">
        <f>IF($U1567="","",INDEX(상세표[06~07시],$U1567))</f>
        <v/>
      </c>
      <c r="Q1567" s="20">
        <f>IF($U1567="","",INDEX(상세표[07~18시],$U1567))</f>
        <v/>
      </c>
      <c r="R1567" s="20">
        <f>IF($U1567="","",INDEX(상세표[18~22시],$U1567))</f>
        <v/>
      </c>
      <c r="S1567" s="20">
        <f>IF($U1567="","",INDEX(상세표[22~06시],$U1567))</f>
        <v/>
      </c>
      <c r="T1567" s="20">
        <f>IF($U1567="","",INDEX(상세표[기록 시간외],$U1567))</f>
        <v/>
      </c>
      <c r="U1567" s="4">
        <f>IFERROR(MATCH(1562,상세표[발송순번],0),"")</f>
        <v/>
      </c>
    </row>
    <row r="1568">
      <c r="J1568">
        <f>IF($U1568="","",INDEX(상세표[사번],$U1568)&amp;"")</f>
        <v/>
      </c>
      <c r="K1568">
        <f>IF($U1568="","",INDEX(상세표[성명],$U1568)&amp;"")</f>
        <v/>
      </c>
      <c r="L1568">
        <f>IF($U1568="","",INDEX(상세표[직위],$U1568)&amp;"")</f>
        <v/>
      </c>
      <c r="M1568">
        <f>IF($U1568="","",IF(ISNUMBER(INDEX(상세표[근무일자],$U1568)),TEXT(INDEX(상세표[근무일자],$U1568),"yyyy-mm-dd"),INDEX(상세표[근무일자],$U1568)&amp;""))</f>
        <v/>
      </c>
      <c r="N1568">
        <f>IF($U1568="","",IF(ISNUMBER(INDEX(상세표[시작],$U1568)),TEXT(INDEX(상세표[시작],$U1568),"yyyy-mm-dd hh:mm"),INDEX(상세표[시작],$U1568)&amp;""))</f>
        <v/>
      </c>
      <c r="O1568">
        <f>IF($U1568="","",IF(ISNUMBER(INDEX(상세표[종료],$U1568)),TEXT(INDEX(상세표[종료],$U1568),"yyyy-mm-dd hh:mm"),INDEX(상세표[종료],$U1568)&amp;""))</f>
        <v/>
      </c>
      <c r="P1568" s="20">
        <f>IF($U1568="","",INDEX(상세표[06~07시],$U1568))</f>
        <v/>
      </c>
      <c r="Q1568" s="20">
        <f>IF($U1568="","",INDEX(상세표[07~18시],$U1568))</f>
        <v/>
      </c>
      <c r="R1568" s="20">
        <f>IF($U1568="","",INDEX(상세표[18~22시],$U1568))</f>
        <v/>
      </c>
      <c r="S1568" s="20">
        <f>IF($U1568="","",INDEX(상세표[22~06시],$U1568))</f>
        <v/>
      </c>
      <c r="T1568" s="20">
        <f>IF($U1568="","",INDEX(상세표[기록 시간외],$U1568))</f>
        <v/>
      </c>
      <c r="U1568" s="4">
        <f>IFERROR(MATCH(1563,상세표[발송순번],0),"")</f>
        <v/>
      </c>
    </row>
    <row r="1569">
      <c r="J1569">
        <f>IF($U1569="","",INDEX(상세표[사번],$U1569)&amp;"")</f>
        <v/>
      </c>
      <c r="K1569">
        <f>IF($U1569="","",INDEX(상세표[성명],$U1569)&amp;"")</f>
        <v/>
      </c>
      <c r="L1569">
        <f>IF($U1569="","",INDEX(상세표[직위],$U1569)&amp;"")</f>
        <v/>
      </c>
      <c r="M1569">
        <f>IF($U1569="","",IF(ISNUMBER(INDEX(상세표[근무일자],$U1569)),TEXT(INDEX(상세표[근무일자],$U1569),"yyyy-mm-dd"),INDEX(상세표[근무일자],$U1569)&amp;""))</f>
        <v/>
      </c>
      <c r="N1569">
        <f>IF($U1569="","",IF(ISNUMBER(INDEX(상세표[시작],$U1569)),TEXT(INDEX(상세표[시작],$U1569),"yyyy-mm-dd hh:mm"),INDEX(상세표[시작],$U1569)&amp;""))</f>
        <v/>
      </c>
      <c r="O1569">
        <f>IF($U1569="","",IF(ISNUMBER(INDEX(상세표[종료],$U1569)),TEXT(INDEX(상세표[종료],$U1569),"yyyy-mm-dd hh:mm"),INDEX(상세표[종료],$U1569)&amp;""))</f>
        <v/>
      </c>
      <c r="P1569" s="20">
        <f>IF($U1569="","",INDEX(상세표[06~07시],$U1569))</f>
        <v/>
      </c>
      <c r="Q1569" s="20">
        <f>IF($U1569="","",INDEX(상세표[07~18시],$U1569))</f>
        <v/>
      </c>
      <c r="R1569" s="20">
        <f>IF($U1569="","",INDEX(상세표[18~22시],$U1569))</f>
        <v/>
      </c>
      <c r="S1569" s="20">
        <f>IF($U1569="","",INDEX(상세표[22~06시],$U1569))</f>
        <v/>
      </c>
      <c r="T1569" s="20">
        <f>IF($U1569="","",INDEX(상세표[기록 시간외],$U1569))</f>
        <v/>
      </c>
      <c r="U1569" s="4">
        <f>IFERROR(MATCH(1564,상세표[발송순번],0),"")</f>
        <v/>
      </c>
    </row>
    <row r="1570">
      <c r="J1570">
        <f>IF($U1570="","",INDEX(상세표[사번],$U1570)&amp;"")</f>
        <v/>
      </c>
      <c r="K1570">
        <f>IF($U1570="","",INDEX(상세표[성명],$U1570)&amp;"")</f>
        <v/>
      </c>
      <c r="L1570">
        <f>IF($U1570="","",INDEX(상세표[직위],$U1570)&amp;"")</f>
        <v/>
      </c>
      <c r="M1570">
        <f>IF($U1570="","",IF(ISNUMBER(INDEX(상세표[근무일자],$U1570)),TEXT(INDEX(상세표[근무일자],$U1570),"yyyy-mm-dd"),INDEX(상세표[근무일자],$U1570)&amp;""))</f>
        <v/>
      </c>
      <c r="N1570">
        <f>IF($U1570="","",IF(ISNUMBER(INDEX(상세표[시작],$U1570)),TEXT(INDEX(상세표[시작],$U1570),"yyyy-mm-dd hh:mm"),INDEX(상세표[시작],$U1570)&amp;""))</f>
        <v/>
      </c>
      <c r="O1570">
        <f>IF($U1570="","",IF(ISNUMBER(INDEX(상세표[종료],$U1570)),TEXT(INDEX(상세표[종료],$U1570),"yyyy-mm-dd hh:mm"),INDEX(상세표[종료],$U1570)&amp;""))</f>
        <v/>
      </c>
      <c r="P1570" s="20">
        <f>IF($U1570="","",INDEX(상세표[06~07시],$U1570))</f>
        <v/>
      </c>
      <c r="Q1570" s="20">
        <f>IF($U1570="","",INDEX(상세표[07~18시],$U1570))</f>
        <v/>
      </c>
      <c r="R1570" s="20">
        <f>IF($U1570="","",INDEX(상세표[18~22시],$U1570))</f>
        <v/>
      </c>
      <c r="S1570" s="20">
        <f>IF($U1570="","",INDEX(상세표[22~06시],$U1570))</f>
        <v/>
      </c>
      <c r="T1570" s="20">
        <f>IF($U1570="","",INDEX(상세표[기록 시간외],$U1570))</f>
        <v/>
      </c>
      <c r="U1570" s="4">
        <f>IFERROR(MATCH(1565,상세표[발송순번],0),"")</f>
        <v/>
      </c>
    </row>
    <row r="1571">
      <c r="J1571">
        <f>IF($U1571="","",INDEX(상세표[사번],$U1571)&amp;"")</f>
        <v/>
      </c>
      <c r="K1571">
        <f>IF($U1571="","",INDEX(상세표[성명],$U1571)&amp;"")</f>
        <v/>
      </c>
      <c r="L1571">
        <f>IF($U1571="","",INDEX(상세표[직위],$U1571)&amp;"")</f>
        <v/>
      </c>
      <c r="M1571">
        <f>IF($U1571="","",IF(ISNUMBER(INDEX(상세표[근무일자],$U1571)),TEXT(INDEX(상세표[근무일자],$U1571),"yyyy-mm-dd"),INDEX(상세표[근무일자],$U1571)&amp;""))</f>
        <v/>
      </c>
      <c r="N1571">
        <f>IF($U1571="","",IF(ISNUMBER(INDEX(상세표[시작],$U1571)),TEXT(INDEX(상세표[시작],$U1571),"yyyy-mm-dd hh:mm"),INDEX(상세표[시작],$U1571)&amp;""))</f>
        <v/>
      </c>
      <c r="O1571">
        <f>IF($U1571="","",IF(ISNUMBER(INDEX(상세표[종료],$U1571)),TEXT(INDEX(상세표[종료],$U1571),"yyyy-mm-dd hh:mm"),INDEX(상세표[종료],$U1571)&amp;""))</f>
        <v/>
      </c>
      <c r="P1571" s="20">
        <f>IF($U1571="","",INDEX(상세표[06~07시],$U1571))</f>
        <v/>
      </c>
      <c r="Q1571" s="20">
        <f>IF($U1571="","",INDEX(상세표[07~18시],$U1571))</f>
        <v/>
      </c>
      <c r="R1571" s="20">
        <f>IF($U1571="","",INDEX(상세표[18~22시],$U1571))</f>
        <v/>
      </c>
      <c r="S1571" s="20">
        <f>IF($U1571="","",INDEX(상세표[22~06시],$U1571))</f>
        <v/>
      </c>
      <c r="T1571" s="20">
        <f>IF($U1571="","",INDEX(상세표[기록 시간외],$U1571))</f>
        <v/>
      </c>
      <c r="U1571" s="4">
        <f>IFERROR(MATCH(1566,상세표[발송순번],0),"")</f>
        <v/>
      </c>
    </row>
    <row r="1572">
      <c r="J1572">
        <f>IF($U1572="","",INDEX(상세표[사번],$U1572)&amp;"")</f>
        <v/>
      </c>
      <c r="K1572">
        <f>IF($U1572="","",INDEX(상세표[성명],$U1572)&amp;"")</f>
        <v/>
      </c>
      <c r="L1572">
        <f>IF($U1572="","",INDEX(상세표[직위],$U1572)&amp;"")</f>
        <v/>
      </c>
      <c r="M1572">
        <f>IF($U1572="","",IF(ISNUMBER(INDEX(상세표[근무일자],$U1572)),TEXT(INDEX(상세표[근무일자],$U1572),"yyyy-mm-dd"),INDEX(상세표[근무일자],$U1572)&amp;""))</f>
        <v/>
      </c>
      <c r="N1572">
        <f>IF($U1572="","",IF(ISNUMBER(INDEX(상세표[시작],$U1572)),TEXT(INDEX(상세표[시작],$U1572),"yyyy-mm-dd hh:mm"),INDEX(상세표[시작],$U1572)&amp;""))</f>
        <v/>
      </c>
      <c r="O1572">
        <f>IF($U1572="","",IF(ISNUMBER(INDEX(상세표[종료],$U1572)),TEXT(INDEX(상세표[종료],$U1572),"yyyy-mm-dd hh:mm"),INDEX(상세표[종료],$U1572)&amp;""))</f>
        <v/>
      </c>
      <c r="P1572" s="20">
        <f>IF($U1572="","",INDEX(상세표[06~07시],$U1572))</f>
        <v/>
      </c>
      <c r="Q1572" s="20">
        <f>IF($U1572="","",INDEX(상세표[07~18시],$U1572))</f>
        <v/>
      </c>
      <c r="R1572" s="20">
        <f>IF($U1572="","",INDEX(상세표[18~22시],$U1572))</f>
        <v/>
      </c>
      <c r="S1572" s="20">
        <f>IF($U1572="","",INDEX(상세표[22~06시],$U1572))</f>
        <v/>
      </c>
      <c r="T1572" s="20">
        <f>IF($U1572="","",INDEX(상세표[기록 시간외],$U1572))</f>
        <v/>
      </c>
      <c r="U1572" s="4">
        <f>IFERROR(MATCH(1567,상세표[발송순번],0),"")</f>
        <v/>
      </c>
    </row>
    <row r="1573">
      <c r="J1573">
        <f>IF($U1573="","",INDEX(상세표[사번],$U1573)&amp;"")</f>
        <v/>
      </c>
      <c r="K1573">
        <f>IF($U1573="","",INDEX(상세표[성명],$U1573)&amp;"")</f>
        <v/>
      </c>
      <c r="L1573">
        <f>IF($U1573="","",INDEX(상세표[직위],$U1573)&amp;"")</f>
        <v/>
      </c>
      <c r="M1573">
        <f>IF($U1573="","",IF(ISNUMBER(INDEX(상세표[근무일자],$U1573)),TEXT(INDEX(상세표[근무일자],$U1573),"yyyy-mm-dd"),INDEX(상세표[근무일자],$U1573)&amp;""))</f>
        <v/>
      </c>
      <c r="N1573">
        <f>IF($U1573="","",IF(ISNUMBER(INDEX(상세표[시작],$U1573)),TEXT(INDEX(상세표[시작],$U1573),"yyyy-mm-dd hh:mm"),INDEX(상세표[시작],$U1573)&amp;""))</f>
        <v/>
      </c>
      <c r="O1573">
        <f>IF($U1573="","",IF(ISNUMBER(INDEX(상세표[종료],$U1573)),TEXT(INDEX(상세표[종료],$U1573),"yyyy-mm-dd hh:mm"),INDEX(상세표[종료],$U1573)&amp;""))</f>
        <v/>
      </c>
      <c r="P1573" s="20">
        <f>IF($U1573="","",INDEX(상세표[06~07시],$U1573))</f>
        <v/>
      </c>
      <c r="Q1573" s="20">
        <f>IF($U1573="","",INDEX(상세표[07~18시],$U1573))</f>
        <v/>
      </c>
      <c r="R1573" s="20">
        <f>IF($U1573="","",INDEX(상세표[18~22시],$U1573))</f>
        <v/>
      </c>
      <c r="S1573" s="20">
        <f>IF($U1573="","",INDEX(상세표[22~06시],$U1573))</f>
        <v/>
      </c>
      <c r="T1573" s="20">
        <f>IF($U1573="","",INDEX(상세표[기록 시간외],$U1573))</f>
        <v/>
      </c>
      <c r="U1573" s="4">
        <f>IFERROR(MATCH(1568,상세표[발송순번],0),"")</f>
        <v/>
      </c>
    </row>
    <row r="1574">
      <c r="J1574">
        <f>IF($U1574="","",INDEX(상세표[사번],$U1574)&amp;"")</f>
        <v/>
      </c>
      <c r="K1574">
        <f>IF($U1574="","",INDEX(상세표[성명],$U1574)&amp;"")</f>
        <v/>
      </c>
      <c r="L1574">
        <f>IF($U1574="","",INDEX(상세표[직위],$U1574)&amp;"")</f>
        <v/>
      </c>
      <c r="M1574">
        <f>IF($U1574="","",IF(ISNUMBER(INDEX(상세표[근무일자],$U1574)),TEXT(INDEX(상세표[근무일자],$U1574),"yyyy-mm-dd"),INDEX(상세표[근무일자],$U1574)&amp;""))</f>
        <v/>
      </c>
      <c r="N1574">
        <f>IF($U1574="","",IF(ISNUMBER(INDEX(상세표[시작],$U1574)),TEXT(INDEX(상세표[시작],$U1574),"yyyy-mm-dd hh:mm"),INDEX(상세표[시작],$U1574)&amp;""))</f>
        <v/>
      </c>
      <c r="O1574">
        <f>IF($U1574="","",IF(ISNUMBER(INDEX(상세표[종료],$U1574)),TEXT(INDEX(상세표[종료],$U1574),"yyyy-mm-dd hh:mm"),INDEX(상세표[종료],$U1574)&amp;""))</f>
        <v/>
      </c>
      <c r="P1574" s="20">
        <f>IF($U1574="","",INDEX(상세표[06~07시],$U1574))</f>
        <v/>
      </c>
      <c r="Q1574" s="20">
        <f>IF($U1574="","",INDEX(상세표[07~18시],$U1574))</f>
        <v/>
      </c>
      <c r="R1574" s="20">
        <f>IF($U1574="","",INDEX(상세표[18~22시],$U1574))</f>
        <v/>
      </c>
      <c r="S1574" s="20">
        <f>IF($U1574="","",INDEX(상세표[22~06시],$U1574))</f>
        <v/>
      </c>
      <c r="T1574" s="20">
        <f>IF($U1574="","",INDEX(상세표[기록 시간외],$U1574))</f>
        <v/>
      </c>
      <c r="U1574" s="4">
        <f>IFERROR(MATCH(1569,상세표[발송순번],0),"")</f>
        <v/>
      </c>
    </row>
    <row r="1575">
      <c r="J1575">
        <f>IF($U1575="","",INDEX(상세표[사번],$U1575)&amp;"")</f>
        <v/>
      </c>
      <c r="K1575">
        <f>IF($U1575="","",INDEX(상세표[성명],$U1575)&amp;"")</f>
        <v/>
      </c>
      <c r="L1575">
        <f>IF($U1575="","",INDEX(상세표[직위],$U1575)&amp;"")</f>
        <v/>
      </c>
      <c r="M1575">
        <f>IF($U1575="","",IF(ISNUMBER(INDEX(상세표[근무일자],$U1575)),TEXT(INDEX(상세표[근무일자],$U1575),"yyyy-mm-dd"),INDEX(상세표[근무일자],$U1575)&amp;""))</f>
        <v/>
      </c>
      <c r="N1575">
        <f>IF($U1575="","",IF(ISNUMBER(INDEX(상세표[시작],$U1575)),TEXT(INDEX(상세표[시작],$U1575),"yyyy-mm-dd hh:mm"),INDEX(상세표[시작],$U1575)&amp;""))</f>
        <v/>
      </c>
      <c r="O1575">
        <f>IF($U1575="","",IF(ISNUMBER(INDEX(상세표[종료],$U1575)),TEXT(INDEX(상세표[종료],$U1575),"yyyy-mm-dd hh:mm"),INDEX(상세표[종료],$U1575)&amp;""))</f>
        <v/>
      </c>
      <c r="P1575" s="20">
        <f>IF($U1575="","",INDEX(상세표[06~07시],$U1575))</f>
        <v/>
      </c>
      <c r="Q1575" s="20">
        <f>IF($U1575="","",INDEX(상세표[07~18시],$U1575))</f>
        <v/>
      </c>
      <c r="R1575" s="20">
        <f>IF($U1575="","",INDEX(상세표[18~22시],$U1575))</f>
        <v/>
      </c>
      <c r="S1575" s="20">
        <f>IF($U1575="","",INDEX(상세표[22~06시],$U1575))</f>
        <v/>
      </c>
      <c r="T1575" s="20">
        <f>IF($U1575="","",INDEX(상세표[기록 시간외],$U1575))</f>
        <v/>
      </c>
      <c r="U1575" s="4">
        <f>IFERROR(MATCH(1570,상세표[발송순번],0),"")</f>
        <v/>
      </c>
    </row>
    <row r="1576">
      <c r="J1576">
        <f>IF($U1576="","",INDEX(상세표[사번],$U1576)&amp;"")</f>
        <v/>
      </c>
      <c r="K1576">
        <f>IF($U1576="","",INDEX(상세표[성명],$U1576)&amp;"")</f>
        <v/>
      </c>
      <c r="L1576">
        <f>IF($U1576="","",INDEX(상세표[직위],$U1576)&amp;"")</f>
        <v/>
      </c>
      <c r="M1576">
        <f>IF($U1576="","",IF(ISNUMBER(INDEX(상세표[근무일자],$U1576)),TEXT(INDEX(상세표[근무일자],$U1576),"yyyy-mm-dd"),INDEX(상세표[근무일자],$U1576)&amp;""))</f>
        <v/>
      </c>
      <c r="N1576">
        <f>IF($U1576="","",IF(ISNUMBER(INDEX(상세표[시작],$U1576)),TEXT(INDEX(상세표[시작],$U1576),"yyyy-mm-dd hh:mm"),INDEX(상세표[시작],$U1576)&amp;""))</f>
        <v/>
      </c>
      <c r="O1576">
        <f>IF($U1576="","",IF(ISNUMBER(INDEX(상세표[종료],$U1576)),TEXT(INDEX(상세표[종료],$U1576),"yyyy-mm-dd hh:mm"),INDEX(상세표[종료],$U1576)&amp;""))</f>
        <v/>
      </c>
      <c r="P1576" s="20">
        <f>IF($U1576="","",INDEX(상세표[06~07시],$U1576))</f>
        <v/>
      </c>
      <c r="Q1576" s="20">
        <f>IF($U1576="","",INDEX(상세표[07~18시],$U1576))</f>
        <v/>
      </c>
      <c r="R1576" s="20">
        <f>IF($U1576="","",INDEX(상세표[18~22시],$U1576))</f>
        <v/>
      </c>
      <c r="S1576" s="20">
        <f>IF($U1576="","",INDEX(상세표[22~06시],$U1576))</f>
        <v/>
      </c>
      <c r="T1576" s="20">
        <f>IF($U1576="","",INDEX(상세표[기록 시간외],$U1576))</f>
        <v/>
      </c>
      <c r="U1576" s="4">
        <f>IFERROR(MATCH(1571,상세표[발송순번],0),"")</f>
        <v/>
      </c>
    </row>
    <row r="1577">
      <c r="J1577">
        <f>IF($U1577="","",INDEX(상세표[사번],$U1577)&amp;"")</f>
        <v/>
      </c>
      <c r="K1577">
        <f>IF($U1577="","",INDEX(상세표[성명],$U1577)&amp;"")</f>
        <v/>
      </c>
      <c r="L1577">
        <f>IF($U1577="","",INDEX(상세표[직위],$U1577)&amp;"")</f>
        <v/>
      </c>
      <c r="M1577">
        <f>IF($U1577="","",IF(ISNUMBER(INDEX(상세표[근무일자],$U1577)),TEXT(INDEX(상세표[근무일자],$U1577),"yyyy-mm-dd"),INDEX(상세표[근무일자],$U1577)&amp;""))</f>
        <v/>
      </c>
      <c r="N1577">
        <f>IF($U1577="","",IF(ISNUMBER(INDEX(상세표[시작],$U1577)),TEXT(INDEX(상세표[시작],$U1577),"yyyy-mm-dd hh:mm"),INDEX(상세표[시작],$U1577)&amp;""))</f>
        <v/>
      </c>
      <c r="O1577">
        <f>IF($U1577="","",IF(ISNUMBER(INDEX(상세표[종료],$U1577)),TEXT(INDEX(상세표[종료],$U1577),"yyyy-mm-dd hh:mm"),INDEX(상세표[종료],$U1577)&amp;""))</f>
        <v/>
      </c>
      <c r="P1577" s="20">
        <f>IF($U1577="","",INDEX(상세표[06~07시],$U1577))</f>
        <v/>
      </c>
      <c r="Q1577" s="20">
        <f>IF($U1577="","",INDEX(상세표[07~18시],$U1577))</f>
        <v/>
      </c>
      <c r="R1577" s="20">
        <f>IF($U1577="","",INDEX(상세표[18~22시],$U1577))</f>
        <v/>
      </c>
      <c r="S1577" s="20">
        <f>IF($U1577="","",INDEX(상세표[22~06시],$U1577))</f>
        <v/>
      </c>
      <c r="T1577" s="20">
        <f>IF($U1577="","",INDEX(상세표[기록 시간외],$U1577))</f>
        <v/>
      </c>
      <c r="U1577" s="4">
        <f>IFERROR(MATCH(1572,상세표[발송순번],0),"")</f>
        <v/>
      </c>
    </row>
    <row r="1578">
      <c r="J1578">
        <f>IF($U1578="","",INDEX(상세표[사번],$U1578)&amp;"")</f>
        <v/>
      </c>
      <c r="K1578">
        <f>IF($U1578="","",INDEX(상세표[성명],$U1578)&amp;"")</f>
        <v/>
      </c>
      <c r="L1578">
        <f>IF($U1578="","",INDEX(상세표[직위],$U1578)&amp;"")</f>
        <v/>
      </c>
      <c r="M1578">
        <f>IF($U1578="","",IF(ISNUMBER(INDEX(상세표[근무일자],$U1578)),TEXT(INDEX(상세표[근무일자],$U1578),"yyyy-mm-dd"),INDEX(상세표[근무일자],$U1578)&amp;""))</f>
        <v/>
      </c>
      <c r="N1578">
        <f>IF($U1578="","",IF(ISNUMBER(INDEX(상세표[시작],$U1578)),TEXT(INDEX(상세표[시작],$U1578),"yyyy-mm-dd hh:mm"),INDEX(상세표[시작],$U1578)&amp;""))</f>
        <v/>
      </c>
      <c r="O1578">
        <f>IF($U1578="","",IF(ISNUMBER(INDEX(상세표[종료],$U1578)),TEXT(INDEX(상세표[종료],$U1578),"yyyy-mm-dd hh:mm"),INDEX(상세표[종료],$U1578)&amp;""))</f>
        <v/>
      </c>
      <c r="P1578" s="20">
        <f>IF($U1578="","",INDEX(상세표[06~07시],$U1578))</f>
        <v/>
      </c>
      <c r="Q1578" s="20">
        <f>IF($U1578="","",INDEX(상세표[07~18시],$U1578))</f>
        <v/>
      </c>
      <c r="R1578" s="20">
        <f>IF($U1578="","",INDEX(상세표[18~22시],$U1578))</f>
        <v/>
      </c>
      <c r="S1578" s="20">
        <f>IF($U1578="","",INDEX(상세표[22~06시],$U1578))</f>
        <v/>
      </c>
      <c r="T1578" s="20">
        <f>IF($U1578="","",INDEX(상세표[기록 시간외],$U1578))</f>
        <v/>
      </c>
      <c r="U1578" s="4">
        <f>IFERROR(MATCH(1573,상세표[발송순번],0),"")</f>
        <v/>
      </c>
    </row>
    <row r="1579">
      <c r="J1579">
        <f>IF($U1579="","",INDEX(상세표[사번],$U1579)&amp;"")</f>
        <v/>
      </c>
      <c r="K1579">
        <f>IF($U1579="","",INDEX(상세표[성명],$U1579)&amp;"")</f>
        <v/>
      </c>
      <c r="L1579">
        <f>IF($U1579="","",INDEX(상세표[직위],$U1579)&amp;"")</f>
        <v/>
      </c>
      <c r="M1579">
        <f>IF($U1579="","",IF(ISNUMBER(INDEX(상세표[근무일자],$U1579)),TEXT(INDEX(상세표[근무일자],$U1579),"yyyy-mm-dd"),INDEX(상세표[근무일자],$U1579)&amp;""))</f>
        <v/>
      </c>
      <c r="N1579">
        <f>IF($U1579="","",IF(ISNUMBER(INDEX(상세표[시작],$U1579)),TEXT(INDEX(상세표[시작],$U1579),"yyyy-mm-dd hh:mm"),INDEX(상세표[시작],$U1579)&amp;""))</f>
        <v/>
      </c>
      <c r="O1579">
        <f>IF($U1579="","",IF(ISNUMBER(INDEX(상세표[종료],$U1579)),TEXT(INDEX(상세표[종료],$U1579),"yyyy-mm-dd hh:mm"),INDEX(상세표[종료],$U1579)&amp;""))</f>
        <v/>
      </c>
      <c r="P1579" s="20">
        <f>IF($U1579="","",INDEX(상세표[06~07시],$U1579))</f>
        <v/>
      </c>
      <c r="Q1579" s="20">
        <f>IF($U1579="","",INDEX(상세표[07~18시],$U1579))</f>
        <v/>
      </c>
      <c r="R1579" s="20">
        <f>IF($U1579="","",INDEX(상세표[18~22시],$U1579))</f>
        <v/>
      </c>
      <c r="S1579" s="20">
        <f>IF($U1579="","",INDEX(상세표[22~06시],$U1579))</f>
        <v/>
      </c>
      <c r="T1579" s="20">
        <f>IF($U1579="","",INDEX(상세표[기록 시간외],$U1579))</f>
        <v/>
      </c>
      <c r="U1579" s="4">
        <f>IFERROR(MATCH(1574,상세표[발송순번],0),"")</f>
        <v/>
      </c>
    </row>
    <row r="1580">
      <c r="J1580">
        <f>IF($U1580="","",INDEX(상세표[사번],$U1580)&amp;"")</f>
        <v/>
      </c>
      <c r="K1580">
        <f>IF($U1580="","",INDEX(상세표[성명],$U1580)&amp;"")</f>
        <v/>
      </c>
      <c r="L1580">
        <f>IF($U1580="","",INDEX(상세표[직위],$U1580)&amp;"")</f>
        <v/>
      </c>
      <c r="M1580">
        <f>IF($U1580="","",IF(ISNUMBER(INDEX(상세표[근무일자],$U1580)),TEXT(INDEX(상세표[근무일자],$U1580),"yyyy-mm-dd"),INDEX(상세표[근무일자],$U1580)&amp;""))</f>
        <v/>
      </c>
      <c r="N1580">
        <f>IF($U1580="","",IF(ISNUMBER(INDEX(상세표[시작],$U1580)),TEXT(INDEX(상세표[시작],$U1580),"yyyy-mm-dd hh:mm"),INDEX(상세표[시작],$U1580)&amp;""))</f>
        <v/>
      </c>
      <c r="O1580">
        <f>IF($U1580="","",IF(ISNUMBER(INDEX(상세표[종료],$U1580)),TEXT(INDEX(상세표[종료],$U1580),"yyyy-mm-dd hh:mm"),INDEX(상세표[종료],$U1580)&amp;""))</f>
        <v/>
      </c>
      <c r="P1580" s="20">
        <f>IF($U1580="","",INDEX(상세표[06~07시],$U1580))</f>
        <v/>
      </c>
      <c r="Q1580" s="20">
        <f>IF($U1580="","",INDEX(상세표[07~18시],$U1580))</f>
        <v/>
      </c>
      <c r="R1580" s="20">
        <f>IF($U1580="","",INDEX(상세표[18~22시],$U1580))</f>
        <v/>
      </c>
      <c r="S1580" s="20">
        <f>IF($U1580="","",INDEX(상세표[22~06시],$U1580))</f>
        <v/>
      </c>
      <c r="T1580" s="20">
        <f>IF($U1580="","",INDEX(상세표[기록 시간외],$U1580))</f>
        <v/>
      </c>
      <c r="U1580" s="4">
        <f>IFERROR(MATCH(1575,상세표[발송순번],0),"")</f>
        <v/>
      </c>
    </row>
    <row r="1581">
      <c r="J1581">
        <f>IF($U1581="","",INDEX(상세표[사번],$U1581)&amp;"")</f>
        <v/>
      </c>
      <c r="K1581">
        <f>IF($U1581="","",INDEX(상세표[성명],$U1581)&amp;"")</f>
        <v/>
      </c>
      <c r="L1581">
        <f>IF($U1581="","",INDEX(상세표[직위],$U1581)&amp;"")</f>
        <v/>
      </c>
      <c r="M1581">
        <f>IF($U1581="","",IF(ISNUMBER(INDEX(상세표[근무일자],$U1581)),TEXT(INDEX(상세표[근무일자],$U1581),"yyyy-mm-dd"),INDEX(상세표[근무일자],$U1581)&amp;""))</f>
        <v/>
      </c>
      <c r="N1581">
        <f>IF($U1581="","",IF(ISNUMBER(INDEX(상세표[시작],$U1581)),TEXT(INDEX(상세표[시작],$U1581),"yyyy-mm-dd hh:mm"),INDEX(상세표[시작],$U1581)&amp;""))</f>
        <v/>
      </c>
      <c r="O1581">
        <f>IF($U1581="","",IF(ISNUMBER(INDEX(상세표[종료],$U1581)),TEXT(INDEX(상세표[종료],$U1581),"yyyy-mm-dd hh:mm"),INDEX(상세표[종료],$U1581)&amp;""))</f>
        <v/>
      </c>
      <c r="P1581" s="20">
        <f>IF($U1581="","",INDEX(상세표[06~07시],$U1581))</f>
        <v/>
      </c>
      <c r="Q1581" s="20">
        <f>IF($U1581="","",INDEX(상세표[07~18시],$U1581))</f>
        <v/>
      </c>
      <c r="R1581" s="20">
        <f>IF($U1581="","",INDEX(상세표[18~22시],$U1581))</f>
        <v/>
      </c>
      <c r="S1581" s="20">
        <f>IF($U1581="","",INDEX(상세표[22~06시],$U1581))</f>
        <v/>
      </c>
      <c r="T1581" s="20">
        <f>IF($U1581="","",INDEX(상세표[기록 시간외],$U1581))</f>
        <v/>
      </c>
      <c r="U1581" s="4">
        <f>IFERROR(MATCH(1576,상세표[발송순번],0),"")</f>
        <v/>
      </c>
    </row>
    <row r="1582">
      <c r="J1582">
        <f>IF($U1582="","",INDEX(상세표[사번],$U1582)&amp;"")</f>
        <v/>
      </c>
      <c r="K1582">
        <f>IF($U1582="","",INDEX(상세표[성명],$U1582)&amp;"")</f>
        <v/>
      </c>
      <c r="L1582">
        <f>IF($U1582="","",INDEX(상세표[직위],$U1582)&amp;"")</f>
        <v/>
      </c>
      <c r="M1582">
        <f>IF($U1582="","",IF(ISNUMBER(INDEX(상세표[근무일자],$U1582)),TEXT(INDEX(상세표[근무일자],$U1582),"yyyy-mm-dd"),INDEX(상세표[근무일자],$U1582)&amp;""))</f>
        <v/>
      </c>
      <c r="N1582">
        <f>IF($U1582="","",IF(ISNUMBER(INDEX(상세표[시작],$U1582)),TEXT(INDEX(상세표[시작],$U1582),"yyyy-mm-dd hh:mm"),INDEX(상세표[시작],$U1582)&amp;""))</f>
        <v/>
      </c>
      <c r="O1582">
        <f>IF($U1582="","",IF(ISNUMBER(INDEX(상세표[종료],$U1582)),TEXT(INDEX(상세표[종료],$U1582),"yyyy-mm-dd hh:mm"),INDEX(상세표[종료],$U1582)&amp;""))</f>
        <v/>
      </c>
      <c r="P1582" s="20">
        <f>IF($U1582="","",INDEX(상세표[06~07시],$U1582))</f>
        <v/>
      </c>
      <c r="Q1582" s="20">
        <f>IF($U1582="","",INDEX(상세표[07~18시],$U1582))</f>
        <v/>
      </c>
      <c r="R1582" s="20">
        <f>IF($U1582="","",INDEX(상세표[18~22시],$U1582))</f>
        <v/>
      </c>
      <c r="S1582" s="20">
        <f>IF($U1582="","",INDEX(상세표[22~06시],$U1582))</f>
        <v/>
      </c>
      <c r="T1582" s="20">
        <f>IF($U1582="","",INDEX(상세표[기록 시간외],$U1582))</f>
        <v/>
      </c>
      <c r="U1582" s="4">
        <f>IFERROR(MATCH(1577,상세표[발송순번],0),"")</f>
        <v/>
      </c>
    </row>
    <row r="1583">
      <c r="J1583">
        <f>IF($U1583="","",INDEX(상세표[사번],$U1583)&amp;"")</f>
        <v/>
      </c>
      <c r="K1583">
        <f>IF($U1583="","",INDEX(상세표[성명],$U1583)&amp;"")</f>
        <v/>
      </c>
      <c r="L1583">
        <f>IF($U1583="","",INDEX(상세표[직위],$U1583)&amp;"")</f>
        <v/>
      </c>
      <c r="M1583">
        <f>IF($U1583="","",IF(ISNUMBER(INDEX(상세표[근무일자],$U1583)),TEXT(INDEX(상세표[근무일자],$U1583),"yyyy-mm-dd"),INDEX(상세표[근무일자],$U1583)&amp;""))</f>
        <v/>
      </c>
      <c r="N1583">
        <f>IF($U1583="","",IF(ISNUMBER(INDEX(상세표[시작],$U1583)),TEXT(INDEX(상세표[시작],$U1583),"yyyy-mm-dd hh:mm"),INDEX(상세표[시작],$U1583)&amp;""))</f>
        <v/>
      </c>
      <c r="O1583">
        <f>IF($U1583="","",IF(ISNUMBER(INDEX(상세표[종료],$U1583)),TEXT(INDEX(상세표[종료],$U1583),"yyyy-mm-dd hh:mm"),INDEX(상세표[종료],$U1583)&amp;""))</f>
        <v/>
      </c>
      <c r="P1583" s="20">
        <f>IF($U1583="","",INDEX(상세표[06~07시],$U1583))</f>
        <v/>
      </c>
      <c r="Q1583" s="20">
        <f>IF($U1583="","",INDEX(상세표[07~18시],$U1583))</f>
        <v/>
      </c>
      <c r="R1583" s="20">
        <f>IF($U1583="","",INDEX(상세표[18~22시],$U1583))</f>
        <v/>
      </c>
      <c r="S1583" s="20">
        <f>IF($U1583="","",INDEX(상세표[22~06시],$U1583))</f>
        <v/>
      </c>
      <c r="T1583" s="20">
        <f>IF($U1583="","",INDEX(상세표[기록 시간외],$U1583))</f>
        <v/>
      </c>
      <c r="U1583" s="4">
        <f>IFERROR(MATCH(1578,상세표[발송순번],0),"")</f>
        <v/>
      </c>
    </row>
    <row r="1584">
      <c r="J1584">
        <f>IF($U1584="","",INDEX(상세표[사번],$U1584)&amp;"")</f>
        <v/>
      </c>
      <c r="K1584">
        <f>IF($U1584="","",INDEX(상세표[성명],$U1584)&amp;"")</f>
        <v/>
      </c>
      <c r="L1584">
        <f>IF($U1584="","",INDEX(상세표[직위],$U1584)&amp;"")</f>
        <v/>
      </c>
      <c r="M1584">
        <f>IF($U1584="","",IF(ISNUMBER(INDEX(상세표[근무일자],$U1584)),TEXT(INDEX(상세표[근무일자],$U1584),"yyyy-mm-dd"),INDEX(상세표[근무일자],$U1584)&amp;""))</f>
        <v/>
      </c>
      <c r="N1584">
        <f>IF($U1584="","",IF(ISNUMBER(INDEX(상세표[시작],$U1584)),TEXT(INDEX(상세표[시작],$U1584),"yyyy-mm-dd hh:mm"),INDEX(상세표[시작],$U1584)&amp;""))</f>
        <v/>
      </c>
      <c r="O1584">
        <f>IF($U1584="","",IF(ISNUMBER(INDEX(상세표[종료],$U1584)),TEXT(INDEX(상세표[종료],$U1584),"yyyy-mm-dd hh:mm"),INDEX(상세표[종료],$U1584)&amp;""))</f>
        <v/>
      </c>
      <c r="P1584" s="20">
        <f>IF($U1584="","",INDEX(상세표[06~07시],$U1584))</f>
        <v/>
      </c>
      <c r="Q1584" s="20">
        <f>IF($U1584="","",INDEX(상세표[07~18시],$U1584))</f>
        <v/>
      </c>
      <c r="R1584" s="20">
        <f>IF($U1584="","",INDEX(상세표[18~22시],$U1584))</f>
        <v/>
      </c>
      <c r="S1584" s="20">
        <f>IF($U1584="","",INDEX(상세표[22~06시],$U1584))</f>
        <v/>
      </c>
      <c r="T1584" s="20">
        <f>IF($U1584="","",INDEX(상세표[기록 시간외],$U1584))</f>
        <v/>
      </c>
      <c r="U1584" s="4">
        <f>IFERROR(MATCH(1579,상세표[발송순번],0),"")</f>
        <v/>
      </c>
    </row>
    <row r="1585">
      <c r="J1585">
        <f>IF($U1585="","",INDEX(상세표[사번],$U1585)&amp;"")</f>
        <v/>
      </c>
      <c r="K1585">
        <f>IF($U1585="","",INDEX(상세표[성명],$U1585)&amp;"")</f>
        <v/>
      </c>
      <c r="L1585">
        <f>IF($U1585="","",INDEX(상세표[직위],$U1585)&amp;"")</f>
        <v/>
      </c>
      <c r="M1585">
        <f>IF($U1585="","",IF(ISNUMBER(INDEX(상세표[근무일자],$U1585)),TEXT(INDEX(상세표[근무일자],$U1585),"yyyy-mm-dd"),INDEX(상세표[근무일자],$U1585)&amp;""))</f>
        <v/>
      </c>
      <c r="N1585">
        <f>IF($U1585="","",IF(ISNUMBER(INDEX(상세표[시작],$U1585)),TEXT(INDEX(상세표[시작],$U1585),"yyyy-mm-dd hh:mm"),INDEX(상세표[시작],$U1585)&amp;""))</f>
        <v/>
      </c>
      <c r="O1585">
        <f>IF($U1585="","",IF(ISNUMBER(INDEX(상세표[종료],$U1585)),TEXT(INDEX(상세표[종료],$U1585),"yyyy-mm-dd hh:mm"),INDEX(상세표[종료],$U1585)&amp;""))</f>
        <v/>
      </c>
      <c r="P1585" s="20">
        <f>IF($U1585="","",INDEX(상세표[06~07시],$U1585))</f>
        <v/>
      </c>
      <c r="Q1585" s="20">
        <f>IF($U1585="","",INDEX(상세표[07~18시],$U1585))</f>
        <v/>
      </c>
      <c r="R1585" s="20">
        <f>IF($U1585="","",INDEX(상세표[18~22시],$U1585))</f>
        <v/>
      </c>
      <c r="S1585" s="20">
        <f>IF($U1585="","",INDEX(상세표[22~06시],$U1585))</f>
        <v/>
      </c>
      <c r="T1585" s="20">
        <f>IF($U1585="","",INDEX(상세표[기록 시간외],$U1585))</f>
        <v/>
      </c>
      <c r="U1585" s="4">
        <f>IFERROR(MATCH(1580,상세표[발송순번],0),"")</f>
        <v/>
      </c>
    </row>
    <row r="1586">
      <c r="J1586">
        <f>IF($U1586="","",INDEX(상세표[사번],$U1586)&amp;"")</f>
        <v/>
      </c>
      <c r="K1586">
        <f>IF($U1586="","",INDEX(상세표[성명],$U1586)&amp;"")</f>
        <v/>
      </c>
      <c r="L1586">
        <f>IF($U1586="","",INDEX(상세표[직위],$U1586)&amp;"")</f>
        <v/>
      </c>
      <c r="M1586">
        <f>IF($U1586="","",IF(ISNUMBER(INDEX(상세표[근무일자],$U1586)),TEXT(INDEX(상세표[근무일자],$U1586),"yyyy-mm-dd"),INDEX(상세표[근무일자],$U1586)&amp;""))</f>
        <v/>
      </c>
      <c r="N1586">
        <f>IF($U1586="","",IF(ISNUMBER(INDEX(상세표[시작],$U1586)),TEXT(INDEX(상세표[시작],$U1586),"yyyy-mm-dd hh:mm"),INDEX(상세표[시작],$U1586)&amp;""))</f>
        <v/>
      </c>
      <c r="O1586">
        <f>IF($U1586="","",IF(ISNUMBER(INDEX(상세표[종료],$U1586)),TEXT(INDEX(상세표[종료],$U1586),"yyyy-mm-dd hh:mm"),INDEX(상세표[종료],$U1586)&amp;""))</f>
        <v/>
      </c>
      <c r="P1586" s="20">
        <f>IF($U1586="","",INDEX(상세표[06~07시],$U1586))</f>
        <v/>
      </c>
      <c r="Q1586" s="20">
        <f>IF($U1586="","",INDEX(상세표[07~18시],$U1586))</f>
        <v/>
      </c>
      <c r="R1586" s="20">
        <f>IF($U1586="","",INDEX(상세표[18~22시],$U1586))</f>
        <v/>
      </c>
      <c r="S1586" s="20">
        <f>IF($U1586="","",INDEX(상세표[22~06시],$U1586))</f>
        <v/>
      </c>
      <c r="T1586" s="20">
        <f>IF($U1586="","",INDEX(상세표[기록 시간외],$U1586))</f>
        <v/>
      </c>
      <c r="U1586" s="4">
        <f>IFERROR(MATCH(1581,상세표[발송순번],0),"")</f>
        <v/>
      </c>
    </row>
    <row r="1587">
      <c r="J1587">
        <f>IF($U1587="","",INDEX(상세표[사번],$U1587)&amp;"")</f>
        <v/>
      </c>
      <c r="K1587">
        <f>IF($U1587="","",INDEX(상세표[성명],$U1587)&amp;"")</f>
        <v/>
      </c>
      <c r="L1587">
        <f>IF($U1587="","",INDEX(상세표[직위],$U1587)&amp;"")</f>
        <v/>
      </c>
      <c r="M1587">
        <f>IF($U1587="","",IF(ISNUMBER(INDEX(상세표[근무일자],$U1587)),TEXT(INDEX(상세표[근무일자],$U1587),"yyyy-mm-dd"),INDEX(상세표[근무일자],$U1587)&amp;""))</f>
        <v/>
      </c>
      <c r="N1587">
        <f>IF($U1587="","",IF(ISNUMBER(INDEX(상세표[시작],$U1587)),TEXT(INDEX(상세표[시작],$U1587),"yyyy-mm-dd hh:mm"),INDEX(상세표[시작],$U1587)&amp;""))</f>
        <v/>
      </c>
      <c r="O1587">
        <f>IF($U1587="","",IF(ISNUMBER(INDEX(상세표[종료],$U1587)),TEXT(INDEX(상세표[종료],$U1587),"yyyy-mm-dd hh:mm"),INDEX(상세표[종료],$U1587)&amp;""))</f>
        <v/>
      </c>
      <c r="P1587" s="20">
        <f>IF($U1587="","",INDEX(상세표[06~07시],$U1587))</f>
        <v/>
      </c>
      <c r="Q1587" s="20">
        <f>IF($U1587="","",INDEX(상세표[07~18시],$U1587))</f>
        <v/>
      </c>
      <c r="R1587" s="20">
        <f>IF($U1587="","",INDEX(상세표[18~22시],$U1587))</f>
        <v/>
      </c>
      <c r="S1587" s="20">
        <f>IF($U1587="","",INDEX(상세표[22~06시],$U1587))</f>
        <v/>
      </c>
      <c r="T1587" s="20">
        <f>IF($U1587="","",INDEX(상세표[기록 시간외],$U1587))</f>
        <v/>
      </c>
      <c r="U1587" s="4">
        <f>IFERROR(MATCH(1582,상세표[발송순번],0),"")</f>
        <v/>
      </c>
    </row>
    <row r="1588">
      <c r="J1588">
        <f>IF($U1588="","",INDEX(상세표[사번],$U1588)&amp;"")</f>
        <v/>
      </c>
      <c r="K1588">
        <f>IF($U1588="","",INDEX(상세표[성명],$U1588)&amp;"")</f>
        <v/>
      </c>
      <c r="L1588">
        <f>IF($U1588="","",INDEX(상세표[직위],$U1588)&amp;"")</f>
        <v/>
      </c>
      <c r="M1588">
        <f>IF($U1588="","",IF(ISNUMBER(INDEX(상세표[근무일자],$U1588)),TEXT(INDEX(상세표[근무일자],$U1588),"yyyy-mm-dd"),INDEX(상세표[근무일자],$U1588)&amp;""))</f>
        <v/>
      </c>
      <c r="N1588">
        <f>IF($U1588="","",IF(ISNUMBER(INDEX(상세표[시작],$U1588)),TEXT(INDEX(상세표[시작],$U1588),"yyyy-mm-dd hh:mm"),INDEX(상세표[시작],$U1588)&amp;""))</f>
        <v/>
      </c>
      <c r="O1588">
        <f>IF($U1588="","",IF(ISNUMBER(INDEX(상세표[종료],$U1588)),TEXT(INDEX(상세표[종료],$U1588),"yyyy-mm-dd hh:mm"),INDEX(상세표[종료],$U1588)&amp;""))</f>
        <v/>
      </c>
      <c r="P1588" s="20">
        <f>IF($U1588="","",INDEX(상세표[06~07시],$U1588))</f>
        <v/>
      </c>
      <c r="Q1588" s="20">
        <f>IF($U1588="","",INDEX(상세표[07~18시],$U1588))</f>
        <v/>
      </c>
      <c r="R1588" s="20">
        <f>IF($U1588="","",INDEX(상세표[18~22시],$U1588))</f>
        <v/>
      </c>
      <c r="S1588" s="20">
        <f>IF($U1588="","",INDEX(상세표[22~06시],$U1588))</f>
        <v/>
      </c>
      <c r="T1588" s="20">
        <f>IF($U1588="","",INDEX(상세표[기록 시간외],$U1588))</f>
        <v/>
      </c>
      <c r="U1588" s="4">
        <f>IFERROR(MATCH(1583,상세표[발송순번],0),"")</f>
        <v/>
      </c>
    </row>
    <row r="1589">
      <c r="J1589">
        <f>IF($U1589="","",INDEX(상세표[사번],$U1589)&amp;"")</f>
        <v/>
      </c>
      <c r="K1589">
        <f>IF($U1589="","",INDEX(상세표[성명],$U1589)&amp;"")</f>
        <v/>
      </c>
      <c r="L1589">
        <f>IF($U1589="","",INDEX(상세표[직위],$U1589)&amp;"")</f>
        <v/>
      </c>
      <c r="M1589">
        <f>IF($U1589="","",IF(ISNUMBER(INDEX(상세표[근무일자],$U1589)),TEXT(INDEX(상세표[근무일자],$U1589),"yyyy-mm-dd"),INDEX(상세표[근무일자],$U1589)&amp;""))</f>
        <v/>
      </c>
      <c r="N1589">
        <f>IF($U1589="","",IF(ISNUMBER(INDEX(상세표[시작],$U1589)),TEXT(INDEX(상세표[시작],$U1589),"yyyy-mm-dd hh:mm"),INDEX(상세표[시작],$U1589)&amp;""))</f>
        <v/>
      </c>
      <c r="O1589">
        <f>IF($U1589="","",IF(ISNUMBER(INDEX(상세표[종료],$U1589)),TEXT(INDEX(상세표[종료],$U1589),"yyyy-mm-dd hh:mm"),INDEX(상세표[종료],$U1589)&amp;""))</f>
        <v/>
      </c>
      <c r="P1589" s="20">
        <f>IF($U1589="","",INDEX(상세표[06~07시],$U1589))</f>
        <v/>
      </c>
      <c r="Q1589" s="20">
        <f>IF($U1589="","",INDEX(상세표[07~18시],$U1589))</f>
        <v/>
      </c>
      <c r="R1589" s="20">
        <f>IF($U1589="","",INDEX(상세표[18~22시],$U1589))</f>
        <v/>
      </c>
      <c r="S1589" s="20">
        <f>IF($U1589="","",INDEX(상세표[22~06시],$U1589))</f>
        <v/>
      </c>
      <c r="T1589" s="20">
        <f>IF($U1589="","",INDEX(상세표[기록 시간외],$U1589))</f>
        <v/>
      </c>
      <c r="U1589" s="4">
        <f>IFERROR(MATCH(1584,상세표[발송순번],0),"")</f>
        <v/>
      </c>
    </row>
    <row r="1590">
      <c r="J1590">
        <f>IF($U1590="","",INDEX(상세표[사번],$U1590)&amp;"")</f>
        <v/>
      </c>
      <c r="K1590">
        <f>IF($U1590="","",INDEX(상세표[성명],$U1590)&amp;"")</f>
        <v/>
      </c>
      <c r="L1590">
        <f>IF($U1590="","",INDEX(상세표[직위],$U1590)&amp;"")</f>
        <v/>
      </c>
      <c r="M1590">
        <f>IF($U1590="","",IF(ISNUMBER(INDEX(상세표[근무일자],$U1590)),TEXT(INDEX(상세표[근무일자],$U1590),"yyyy-mm-dd"),INDEX(상세표[근무일자],$U1590)&amp;""))</f>
        <v/>
      </c>
      <c r="N1590">
        <f>IF($U1590="","",IF(ISNUMBER(INDEX(상세표[시작],$U1590)),TEXT(INDEX(상세표[시작],$U1590),"yyyy-mm-dd hh:mm"),INDEX(상세표[시작],$U1590)&amp;""))</f>
        <v/>
      </c>
      <c r="O1590">
        <f>IF($U1590="","",IF(ISNUMBER(INDEX(상세표[종료],$U1590)),TEXT(INDEX(상세표[종료],$U1590),"yyyy-mm-dd hh:mm"),INDEX(상세표[종료],$U1590)&amp;""))</f>
        <v/>
      </c>
      <c r="P1590" s="20">
        <f>IF($U1590="","",INDEX(상세표[06~07시],$U1590))</f>
        <v/>
      </c>
      <c r="Q1590" s="20">
        <f>IF($U1590="","",INDEX(상세표[07~18시],$U1590))</f>
        <v/>
      </c>
      <c r="R1590" s="20">
        <f>IF($U1590="","",INDEX(상세표[18~22시],$U1590))</f>
        <v/>
      </c>
      <c r="S1590" s="20">
        <f>IF($U1590="","",INDEX(상세표[22~06시],$U1590))</f>
        <v/>
      </c>
      <c r="T1590" s="20">
        <f>IF($U1590="","",INDEX(상세표[기록 시간외],$U1590))</f>
        <v/>
      </c>
      <c r="U1590" s="4">
        <f>IFERROR(MATCH(1585,상세표[발송순번],0),"")</f>
        <v/>
      </c>
    </row>
    <row r="1591">
      <c r="J1591">
        <f>IF($U1591="","",INDEX(상세표[사번],$U1591)&amp;"")</f>
        <v/>
      </c>
      <c r="K1591">
        <f>IF($U1591="","",INDEX(상세표[성명],$U1591)&amp;"")</f>
        <v/>
      </c>
      <c r="L1591">
        <f>IF($U1591="","",INDEX(상세표[직위],$U1591)&amp;"")</f>
        <v/>
      </c>
      <c r="M1591">
        <f>IF($U1591="","",IF(ISNUMBER(INDEX(상세표[근무일자],$U1591)),TEXT(INDEX(상세표[근무일자],$U1591),"yyyy-mm-dd"),INDEX(상세표[근무일자],$U1591)&amp;""))</f>
        <v/>
      </c>
      <c r="N1591">
        <f>IF($U1591="","",IF(ISNUMBER(INDEX(상세표[시작],$U1591)),TEXT(INDEX(상세표[시작],$U1591),"yyyy-mm-dd hh:mm"),INDEX(상세표[시작],$U1591)&amp;""))</f>
        <v/>
      </c>
      <c r="O1591">
        <f>IF($U1591="","",IF(ISNUMBER(INDEX(상세표[종료],$U1591)),TEXT(INDEX(상세표[종료],$U1591),"yyyy-mm-dd hh:mm"),INDEX(상세표[종료],$U1591)&amp;""))</f>
        <v/>
      </c>
      <c r="P1591" s="20">
        <f>IF($U1591="","",INDEX(상세표[06~07시],$U1591))</f>
        <v/>
      </c>
      <c r="Q1591" s="20">
        <f>IF($U1591="","",INDEX(상세표[07~18시],$U1591))</f>
        <v/>
      </c>
      <c r="R1591" s="20">
        <f>IF($U1591="","",INDEX(상세표[18~22시],$U1591))</f>
        <v/>
      </c>
      <c r="S1591" s="20">
        <f>IF($U1591="","",INDEX(상세표[22~06시],$U1591))</f>
        <v/>
      </c>
      <c r="T1591" s="20">
        <f>IF($U1591="","",INDEX(상세표[기록 시간외],$U1591))</f>
        <v/>
      </c>
      <c r="U1591" s="4">
        <f>IFERROR(MATCH(1586,상세표[발송순번],0),"")</f>
        <v/>
      </c>
    </row>
    <row r="1592">
      <c r="J1592">
        <f>IF($U1592="","",INDEX(상세표[사번],$U1592)&amp;"")</f>
        <v/>
      </c>
      <c r="K1592">
        <f>IF($U1592="","",INDEX(상세표[성명],$U1592)&amp;"")</f>
        <v/>
      </c>
      <c r="L1592">
        <f>IF($U1592="","",INDEX(상세표[직위],$U1592)&amp;"")</f>
        <v/>
      </c>
      <c r="M1592">
        <f>IF($U1592="","",IF(ISNUMBER(INDEX(상세표[근무일자],$U1592)),TEXT(INDEX(상세표[근무일자],$U1592),"yyyy-mm-dd"),INDEX(상세표[근무일자],$U1592)&amp;""))</f>
        <v/>
      </c>
      <c r="N1592">
        <f>IF($U1592="","",IF(ISNUMBER(INDEX(상세표[시작],$U1592)),TEXT(INDEX(상세표[시작],$U1592),"yyyy-mm-dd hh:mm"),INDEX(상세표[시작],$U1592)&amp;""))</f>
        <v/>
      </c>
      <c r="O1592">
        <f>IF($U1592="","",IF(ISNUMBER(INDEX(상세표[종료],$U1592)),TEXT(INDEX(상세표[종료],$U1592),"yyyy-mm-dd hh:mm"),INDEX(상세표[종료],$U1592)&amp;""))</f>
        <v/>
      </c>
      <c r="P1592" s="20">
        <f>IF($U1592="","",INDEX(상세표[06~07시],$U1592))</f>
        <v/>
      </c>
      <c r="Q1592" s="20">
        <f>IF($U1592="","",INDEX(상세표[07~18시],$U1592))</f>
        <v/>
      </c>
      <c r="R1592" s="20">
        <f>IF($U1592="","",INDEX(상세표[18~22시],$U1592))</f>
        <v/>
      </c>
      <c r="S1592" s="20">
        <f>IF($U1592="","",INDEX(상세표[22~06시],$U1592))</f>
        <v/>
      </c>
      <c r="T1592" s="20">
        <f>IF($U1592="","",INDEX(상세표[기록 시간외],$U1592))</f>
        <v/>
      </c>
      <c r="U1592" s="4">
        <f>IFERROR(MATCH(1587,상세표[발송순번],0),"")</f>
        <v/>
      </c>
    </row>
    <row r="1593">
      <c r="J1593">
        <f>IF($U1593="","",INDEX(상세표[사번],$U1593)&amp;"")</f>
        <v/>
      </c>
      <c r="K1593">
        <f>IF($U1593="","",INDEX(상세표[성명],$U1593)&amp;"")</f>
        <v/>
      </c>
      <c r="L1593">
        <f>IF($U1593="","",INDEX(상세표[직위],$U1593)&amp;"")</f>
        <v/>
      </c>
      <c r="M1593">
        <f>IF($U1593="","",IF(ISNUMBER(INDEX(상세표[근무일자],$U1593)),TEXT(INDEX(상세표[근무일자],$U1593),"yyyy-mm-dd"),INDEX(상세표[근무일자],$U1593)&amp;""))</f>
        <v/>
      </c>
      <c r="N1593">
        <f>IF($U1593="","",IF(ISNUMBER(INDEX(상세표[시작],$U1593)),TEXT(INDEX(상세표[시작],$U1593),"yyyy-mm-dd hh:mm"),INDEX(상세표[시작],$U1593)&amp;""))</f>
        <v/>
      </c>
      <c r="O1593">
        <f>IF($U1593="","",IF(ISNUMBER(INDEX(상세표[종료],$U1593)),TEXT(INDEX(상세표[종료],$U1593),"yyyy-mm-dd hh:mm"),INDEX(상세표[종료],$U1593)&amp;""))</f>
        <v/>
      </c>
      <c r="P1593" s="20">
        <f>IF($U1593="","",INDEX(상세표[06~07시],$U1593))</f>
        <v/>
      </c>
      <c r="Q1593" s="20">
        <f>IF($U1593="","",INDEX(상세표[07~18시],$U1593))</f>
        <v/>
      </c>
      <c r="R1593" s="20">
        <f>IF($U1593="","",INDEX(상세표[18~22시],$U1593))</f>
        <v/>
      </c>
      <c r="S1593" s="20">
        <f>IF($U1593="","",INDEX(상세표[22~06시],$U1593))</f>
        <v/>
      </c>
      <c r="T1593" s="20">
        <f>IF($U1593="","",INDEX(상세표[기록 시간외],$U1593))</f>
        <v/>
      </c>
      <c r="U1593" s="4">
        <f>IFERROR(MATCH(1588,상세표[발송순번],0),"")</f>
        <v/>
      </c>
    </row>
    <row r="1594">
      <c r="J1594">
        <f>IF($U1594="","",INDEX(상세표[사번],$U1594)&amp;"")</f>
        <v/>
      </c>
      <c r="K1594">
        <f>IF($U1594="","",INDEX(상세표[성명],$U1594)&amp;"")</f>
        <v/>
      </c>
      <c r="L1594">
        <f>IF($U1594="","",INDEX(상세표[직위],$U1594)&amp;"")</f>
        <v/>
      </c>
      <c r="M1594">
        <f>IF($U1594="","",IF(ISNUMBER(INDEX(상세표[근무일자],$U1594)),TEXT(INDEX(상세표[근무일자],$U1594),"yyyy-mm-dd"),INDEX(상세표[근무일자],$U1594)&amp;""))</f>
        <v/>
      </c>
      <c r="N1594">
        <f>IF($U1594="","",IF(ISNUMBER(INDEX(상세표[시작],$U1594)),TEXT(INDEX(상세표[시작],$U1594),"yyyy-mm-dd hh:mm"),INDEX(상세표[시작],$U1594)&amp;""))</f>
        <v/>
      </c>
      <c r="O1594">
        <f>IF($U1594="","",IF(ISNUMBER(INDEX(상세표[종료],$U1594)),TEXT(INDEX(상세표[종료],$U1594),"yyyy-mm-dd hh:mm"),INDEX(상세표[종료],$U1594)&amp;""))</f>
        <v/>
      </c>
      <c r="P1594" s="20">
        <f>IF($U1594="","",INDEX(상세표[06~07시],$U1594))</f>
        <v/>
      </c>
      <c r="Q1594" s="20">
        <f>IF($U1594="","",INDEX(상세표[07~18시],$U1594))</f>
        <v/>
      </c>
      <c r="R1594" s="20">
        <f>IF($U1594="","",INDEX(상세표[18~22시],$U1594))</f>
        <v/>
      </c>
      <c r="S1594" s="20">
        <f>IF($U1594="","",INDEX(상세표[22~06시],$U1594))</f>
        <v/>
      </c>
      <c r="T1594" s="20">
        <f>IF($U1594="","",INDEX(상세표[기록 시간외],$U1594))</f>
        <v/>
      </c>
      <c r="U1594" s="4">
        <f>IFERROR(MATCH(1589,상세표[발송순번],0),"")</f>
        <v/>
      </c>
    </row>
    <row r="1595">
      <c r="J1595">
        <f>IF($U1595="","",INDEX(상세표[사번],$U1595)&amp;"")</f>
        <v/>
      </c>
      <c r="K1595">
        <f>IF($U1595="","",INDEX(상세표[성명],$U1595)&amp;"")</f>
        <v/>
      </c>
      <c r="L1595">
        <f>IF($U1595="","",INDEX(상세표[직위],$U1595)&amp;"")</f>
        <v/>
      </c>
      <c r="M1595">
        <f>IF($U1595="","",IF(ISNUMBER(INDEX(상세표[근무일자],$U1595)),TEXT(INDEX(상세표[근무일자],$U1595),"yyyy-mm-dd"),INDEX(상세표[근무일자],$U1595)&amp;""))</f>
        <v/>
      </c>
      <c r="N1595">
        <f>IF($U1595="","",IF(ISNUMBER(INDEX(상세표[시작],$U1595)),TEXT(INDEX(상세표[시작],$U1595),"yyyy-mm-dd hh:mm"),INDEX(상세표[시작],$U1595)&amp;""))</f>
        <v/>
      </c>
      <c r="O1595">
        <f>IF($U1595="","",IF(ISNUMBER(INDEX(상세표[종료],$U1595)),TEXT(INDEX(상세표[종료],$U1595),"yyyy-mm-dd hh:mm"),INDEX(상세표[종료],$U1595)&amp;""))</f>
        <v/>
      </c>
      <c r="P1595" s="20">
        <f>IF($U1595="","",INDEX(상세표[06~07시],$U1595))</f>
        <v/>
      </c>
      <c r="Q1595" s="20">
        <f>IF($U1595="","",INDEX(상세표[07~18시],$U1595))</f>
        <v/>
      </c>
      <c r="R1595" s="20">
        <f>IF($U1595="","",INDEX(상세표[18~22시],$U1595))</f>
        <v/>
      </c>
      <c r="S1595" s="20">
        <f>IF($U1595="","",INDEX(상세표[22~06시],$U1595))</f>
        <v/>
      </c>
      <c r="T1595" s="20">
        <f>IF($U1595="","",INDEX(상세표[기록 시간외],$U1595))</f>
        <v/>
      </c>
      <c r="U1595" s="4">
        <f>IFERROR(MATCH(1590,상세표[발송순번],0),"")</f>
        <v/>
      </c>
    </row>
    <row r="1596">
      <c r="J1596">
        <f>IF($U1596="","",INDEX(상세표[사번],$U1596)&amp;"")</f>
        <v/>
      </c>
      <c r="K1596">
        <f>IF($U1596="","",INDEX(상세표[성명],$U1596)&amp;"")</f>
        <v/>
      </c>
      <c r="L1596">
        <f>IF($U1596="","",INDEX(상세표[직위],$U1596)&amp;"")</f>
        <v/>
      </c>
      <c r="M1596">
        <f>IF($U1596="","",IF(ISNUMBER(INDEX(상세표[근무일자],$U1596)),TEXT(INDEX(상세표[근무일자],$U1596),"yyyy-mm-dd"),INDEX(상세표[근무일자],$U1596)&amp;""))</f>
        <v/>
      </c>
      <c r="N1596">
        <f>IF($U1596="","",IF(ISNUMBER(INDEX(상세표[시작],$U1596)),TEXT(INDEX(상세표[시작],$U1596),"yyyy-mm-dd hh:mm"),INDEX(상세표[시작],$U1596)&amp;""))</f>
        <v/>
      </c>
      <c r="O1596">
        <f>IF($U1596="","",IF(ISNUMBER(INDEX(상세표[종료],$U1596)),TEXT(INDEX(상세표[종료],$U1596),"yyyy-mm-dd hh:mm"),INDEX(상세표[종료],$U1596)&amp;""))</f>
        <v/>
      </c>
      <c r="P1596" s="20">
        <f>IF($U1596="","",INDEX(상세표[06~07시],$U1596))</f>
        <v/>
      </c>
      <c r="Q1596" s="20">
        <f>IF($U1596="","",INDEX(상세표[07~18시],$U1596))</f>
        <v/>
      </c>
      <c r="R1596" s="20">
        <f>IF($U1596="","",INDEX(상세표[18~22시],$U1596))</f>
        <v/>
      </c>
      <c r="S1596" s="20">
        <f>IF($U1596="","",INDEX(상세표[22~06시],$U1596))</f>
        <v/>
      </c>
      <c r="T1596" s="20">
        <f>IF($U1596="","",INDEX(상세표[기록 시간외],$U1596))</f>
        <v/>
      </c>
      <c r="U1596" s="4">
        <f>IFERROR(MATCH(1591,상세표[발송순번],0),"")</f>
        <v/>
      </c>
    </row>
    <row r="1597">
      <c r="J1597">
        <f>IF($U1597="","",INDEX(상세표[사번],$U1597)&amp;"")</f>
        <v/>
      </c>
      <c r="K1597">
        <f>IF($U1597="","",INDEX(상세표[성명],$U1597)&amp;"")</f>
        <v/>
      </c>
      <c r="L1597">
        <f>IF($U1597="","",INDEX(상세표[직위],$U1597)&amp;"")</f>
        <v/>
      </c>
      <c r="M1597">
        <f>IF($U1597="","",IF(ISNUMBER(INDEX(상세표[근무일자],$U1597)),TEXT(INDEX(상세표[근무일자],$U1597),"yyyy-mm-dd"),INDEX(상세표[근무일자],$U1597)&amp;""))</f>
        <v/>
      </c>
      <c r="N1597">
        <f>IF($U1597="","",IF(ISNUMBER(INDEX(상세표[시작],$U1597)),TEXT(INDEX(상세표[시작],$U1597),"yyyy-mm-dd hh:mm"),INDEX(상세표[시작],$U1597)&amp;""))</f>
        <v/>
      </c>
      <c r="O1597">
        <f>IF($U1597="","",IF(ISNUMBER(INDEX(상세표[종료],$U1597)),TEXT(INDEX(상세표[종료],$U1597),"yyyy-mm-dd hh:mm"),INDEX(상세표[종료],$U1597)&amp;""))</f>
        <v/>
      </c>
      <c r="P1597" s="20">
        <f>IF($U1597="","",INDEX(상세표[06~07시],$U1597))</f>
        <v/>
      </c>
      <c r="Q1597" s="20">
        <f>IF($U1597="","",INDEX(상세표[07~18시],$U1597))</f>
        <v/>
      </c>
      <c r="R1597" s="20">
        <f>IF($U1597="","",INDEX(상세표[18~22시],$U1597))</f>
        <v/>
      </c>
      <c r="S1597" s="20">
        <f>IF($U1597="","",INDEX(상세표[22~06시],$U1597))</f>
        <v/>
      </c>
      <c r="T1597" s="20">
        <f>IF($U1597="","",INDEX(상세표[기록 시간외],$U1597))</f>
        <v/>
      </c>
      <c r="U1597" s="4">
        <f>IFERROR(MATCH(1592,상세표[발송순번],0),"")</f>
        <v/>
      </c>
    </row>
    <row r="1598">
      <c r="J1598">
        <f>IF($U1598="","",INDEX(상세표[사번],$U1598)&amp;"")</f>
        <v/>
      </c>
      <c r="K1598">
        <f>IF($U1598="","",INDEX(상세표[성명],$U1598)&amp;"")</f>
        <v/>
      </c>
      <c r="L1598">
        <f>IF($U1598="","",INDEX(상세표[직위],$U1598)&amp;"")</f>
        <v/>
      </c>
      <c r="M1598">
        <f>IF($U1598="","",IF(ISNUMBER(INDEX(상세표[근무일자],$U1598)),TEXT(INDEX(상세표[근무일자],$U1598),"yyyy-mm-dd"),INDEX(상세표[근무일자],$U1598)&amp;""))</f>
        <v/>
      </c>
      <c r="N1598">
        <f>IF($U1598="","",IF(ISNUMBER(INDEX(상세표[시작],$U1598)),TEXT(INDEX(상세표[시작],$U1598),"yyyy-mm-dd hh:mm"),INDEX(상세표[시작],$U1598)&amp;""))</f>
        <v/>
      </c>
      <c r="O1598">
        <f>IF($U1598="","",IF(ISNUMBER(INDEX(상세표[종료],$U1598)),TEXT(INDEX(상세표[종료],$U1598),"yyyy-mm-dd hh:mm"),INDEX(상세표[종료],$U1598)&amp;""))</f>
        <v/>
      </c>
      <c r="P1598" s="20">
        <f>IF($U1598="","",INDEX(상세표[06~07시],$U1598))</f>
        <v/>
      </c>
      <c r="Q1598" s="20">
        <f>IF($U1598="","",INDEX(상세표[07~18시],$U1598))</f>
        <v/>
      </c>
      <c r="R1598" s="20">
        <f>IF($U1598="","",INDEX(상세표[18~22시],$U1598))</f>
        <v/>
      </c>
      <c r="S1598" s="20">
        <f>IF($U1598="","",INDEX(상세표[22~06시],$U1598))</f>
        <v/>
      </c>
      <c r="T1598" s="20">
        <f>IF($U1598="","",INDEX(상세표[기록 시간외],$U1598))</f>
        <v/>
      </c>
      <c r="U1598" s="4">
        <f>IFERROR(MATCH(1593,상세표[발송순번],0),"")</f>
        <v/>
      </c>
    </row>
    <row r="1599">
      <c r="J1599">
        <f>IF($U1599="","",INDEX(상세표[사번],$U1599)&amp;"")</f>
        <v/>
      </c>
      <c r="K1599">
        <f>IF($U1599="","",INDEX(상세표[성명],$U1599)&amp;"")</f>
        <v/>
      </c>
      <c r="L1599">
        <f>IF($U1599="","",INDEX(상세표[직위],$U1599)&amp;"")</f>
        <v/>
      </c>
      <c r="M1599">
        <f>IF($U1599="","",IF(ISNUMBER(INDEX(상세표[근무일자],$U1599)),TEXT(INDEX(상세표[근무일자],$U1599),"yyyy-mm-dd"),INDEX(상세표[근무일자],$U1599)&amp;""))</f>
        <v/>
      </c>
      <c r="N1599">
        <f>IF($U1599="","",IF(ISNUMBER(INDEX(상세표[시작],$U1599)),TEXT(INDEX(상세표[시작],$U1599),"yyyy-mm-dd hh:mm"),INDEX(상세표[시작],$U1599)&amp;""))</f>
        <v/>
      </c>
      <c r="O1599">
        <f>IF($U1599="","",IF(ISNUMBER(INDEX(상세표[종료],$U1599)),TEXT(INDEX(상세표[종료],$U1599),"yyyy-mm-dd hh:mm"),INDEX(상세표[종료],$U1599)&amp;""))</f>
        <v/>
      </c>
      <c r="P1599" s="20">
        <f>IF($U1599="","",INDEX(상세표[06~07시],$U1599))</f>
        <v/>
      </c>
      <c r="Q1599" s="20">
        <f>IF($U1599="","",INDEX(상세표[07~18시],$U1599))</f>
        <v/>
      </c>
      <c r="R1599" s="20">
        <f>IF($U1599="","",INDEX(상세표[18~22시],$U1599))</f>
        <v/>
      </c>
      <c r="S1599" s="20">
        <f>IF($U1599="","",INDEX(상세표[22~06시],$U1599))</f>
        <v/>
      </c>
      <c r="T1599" s="20">
        <f>IF($U1599="","",INDEX(상세표[기록 시간외],$U1599))</f>
        <v/>
      </c>
      <c r="U1599" s="4">
        <f>IFERROR(MATCH(1594,상세표[발송순번],0),"")</f>
        <v/>
      </c>
    </row>
    <row r="1600">
      <c r="J1600">
        <f>IF($U1600="","",INDEX(상세표[사번],$U1600)&amp;"")</f>
        <v/>
      </c>
      <c r="K1600">
        <f>IF($U1600="","",INDEX(상세표[성명],$U1600)&amp;"")</f>
        <v/>
      </c>
      <c r="L1600">
        <f>IF($U1600="","",INDEX(상세표[직위],$U1600)&amp;"")</f>
        <v/>
      </c>
      <c r="M1600">
        <f>IF($U1600="","",IF(ISNUMBER(INDEX(상세표[근무일자],$U1600)),TEXT(INDEX(상세표[근무일자],$U1600),"yyyy-mm-dd"),INDEX(상세표[근무일자],$U1600)&amp;""))</f>
        <v/>
      </c>
      <c r="N1600">
        <f>IF($U1600="","",IF(ISNUMBER(INDEX(상세표[시작],$U1600)),TEXT(INDEX(상세표[시작],$U1600),"yyyy-mm-dd hh:mm"),INDEX(상세표[시작],$U1600)&amp;""))</f>
        <v/>
      </c>
      <c r="O1600">
        <f>IF($U1600="","",IF(ISNUMBER(INDEX(상세표[종료],$U1600)),TEXT(INDEX(상세표[종료],$U1600),"yyyy-mm-dd hh:mm"),INDEX(상세표[종료],$U1600)&amp;""))</f>
        <v/>
      </c>
      <c r="P1600" s="20">
        <f>IF($U1600="","",INDEX(상세표[06~07시],$U1600))</f>
        <v/>
      </c>
      <c r="Q1600" s="20">
        <f>IF($U1600="","",INDEX(상세표[07~18시],$U1600))</f>
        <v/>
      </c>
      <c r="R1600" s="20">
        <f>IF($U1600="","",INDEX(상세표[18~22시],$U1600))</f>
        <v/>
      </c>
      <c r="S1600" s="20">
        <f>IF($U1600="","",INDEX(상세표[22~06시],$U1600))</f>
        <v/>
      </c>
      <c r="T1600" s="20">
        <f>IF($U1600="","",INDEX(상세표[기록 시간외],$U1600))</f>
        <v/>
      </c>
      <c r="U1600" s="4">
        <f>IFERROR(MATCH(1595,상세표[발송순번],0),"")</f>
        <v/>
      </c>
    </row>
    <row r="1601">
      <c r="J1601">
        <f>IF($U1601="","",INDEX(상세표[사번],$U1601)&amp;"")</f>
        <v/>
      </c>
      <c r="K1601">
        <f>IF($U1601="","",INDEX(상세표[성명],$U1601)&amp;"")</f>
        <v/>
      </c>
      <c r="L1601">
        <f>IF($U1601="","",INDEX(상세표[직위],$U1601)&amp;"")</f>
        <v/>
      </c>
      <c r="M1601">
        <f>IF($U1601="","",IF(ISNUMBER(INDEX(상세표[근무일자],$U1601)),TEXT(INDEX(상세표[근무일자],$U1601),"yyyy-mm-dd"),INDEX(상세표[근무일자],$U1601)&amp;""))</f>
        <v/>
      </c>
      <c r="N1601">
        <f>IF($U1601="","",IF(ISNUMBER(INDEX(상세표[시작],$U1601)),TEXT(INDEX(상세표[시작],$U1601),"yyyy-mm-dd hh:mm"),INDEX(상세표[시작],$U1601)&amp;""))</f>
        <v/>
      </c>
      <c r="O1601">
        <f>IF($U1601="","",IF(ISNUMBER(INDEX(상세표[종료],$U1601)),TEXT(INDEX(상세표[종료],$U1601),"yyyy-mm-dd hh:mm"),INDEX(상세표[종료],$U1601)&amp;""))</f>
        <v/>
      </c>
      <c r="P1601" s="20">
        <f>IF($U1601="","",INDEX(상세표[06~07시],$U1601))</f>
        <v/>
      </c>
      <c r="Q1601" s="20">
        <f>IF($U1601="","",INDEX(상세표[07~18시],$U1601))</f>
        <v/>
      </c>
      <c r="R1601" s="20">
        <f>IF($U1601="","",INDEX(상세표[18~22시],$U1601))</f>
        <v/>
      </c>
      <c r="S1601" s="20">
        <f>IF($U1601="","",INDEX(상세표[22~06시],$U1601))</f>
        <v/>
      </c>
      <c r="T1601" s="20">
        <f>IF($U1601="","",INDEX(상세표[기록 시간외],$U1601))</f>
        <v/>
      </c>
      <c r="U1601" s="4">
        <f>IFERROR(MATCH(1596,상세표[발송순번],0),"")</f>
        <v/>
      </c>
    </row>
    <row r="1602">
      <c r="J1602">
        <f>IF($U1602="","",INDEX(상세표[사번],$U1602)&amp;"")</f>
        <v/>
      </c>
      <c r="K1602">
        <f>IF($U1602="","",INDEX(상세표[성명],$U1602)&amp;"")</f>
        <v/>
      </c>
      <c r="L1602">
        <f>IF($U1602="","",INDEX(상세표[직위],$U1602)&amp;"")</f>
        <v/>
      </c>
      <c r="M1602">
        <f>IF($U1602="","",IF(ISNUMBER(INDEX(상세표[근무일자],$U1602)),TEXT(INDEX(상세표[근무일자],$U1602),"yyyy-mm-dd"),INDEX(상세표[근무일자],$U1602)&amp;""))</f>
        <v/>
      </c>
      <c r="N1602">
        <f>IF($U1602="","",IF(ISNUMBER(INDEX(상세표[시작],$U1602)),TEXT(INDEX(상세표[시작],$U1602),"yyyy-mm-dd hh:mm"),INDEX(상세표[시작],$U1602)&amp;""))</f>
        <v/>
      </c>
      <c r="O1602">
        <f>IF($U1602="","",IF(ISNUMBER(INDEX(상세표[종료],$U1602)),TEXT(INDEX(상세표[종료],$U1602),"yyyy-mm-dd hh:mm"),INDEX(상세표[종료],$U1602)&amp;""))</f>
        <v/>
      </c>
      <c r="P1602" s="20">
        <f>IF($U1602="","",INDEX(상세표[06~07시],$U1602))</f>
        <v/>
      </c>
      <c r="Q1602" s="20">
        <f>IF($U1602="","",INDEX(상세표[07~18시],$U1602))</f>
        <v/>
      </c>
      <c r="R1602" s="20">
        <f>IF($U1602="","",INDEX(상세표[18~22시],$U1602))</f>
        <v/>
      </c>
      <c r="S1602" s="20">
        <f>IF($U1602="","",INDEX(상세표[22~06시],$U1602))</f>
        <v/>
      </c>
      <c r="T1602" s="20">
        <f>IF($U1602="","",INDEX(상세표[기록 시간외],$U1602))</f>
        <v/>
      </c>
      <c r="U1602" s="4">
        <f>IFERROR(MATCH(1597,상세표[발송순번],0),"")</f>
        <v/>
      </c>
    </row>
    <row r="1603">
      <c r="J1603">
        <f>IF($U1603="","",INDEX(상세표[사번],$U1603)&amp;"")</f>
        <v/>
      </c>
      <c r="K1603">
        <f>IF($U1603="","",INDEX(상세표[성명],$U1603)&amp;"")</f>
        <v/>
      </c>
      <c r="L1603">
        <f>IF($U1603="","",INDEX(상세표[직위],$U1603)&amp;"")</f>
        <v/>
      </c>
      <c r="M1603">
        <f>IF($U1603="","",IF(ISNUMBER(INDEX(상세표[근무일자],$U1603)),TEXT(INDEX(상세표[근무일자],$U1603),"yyyy-mm-dd"),INDEX(상세표[근무일자],$U1603)&amp;""))</f>
        <v/>
      </c>
      <c r="N1603">
        <f>IF($U1603="","",IF(ISNUMBER(INDEX(상세표[시작],$U1603)),TEXT(INDEX(상세표[시작],$U1603),"yyyy-mm-dd hh:mm"),INDEX(상세표[시작],$U1603)&amp;""))</f>
        <v/>
      </c>
      <c r="O1603">
        <f>IF($U1603="","",IF(ISNUMBER(INDEX(상세표[종료],$U1603)),TEXT(INDEX(상세표[종료],$U1603),"yyyy-mm-dd hh:mm"),INDEX(상세표[종료],$U1603)&amp;""))</f>
        <v/>
      </c>
      <c r="P1603" s="20">
        <f>IF($U1603="","",INDEX(상세표[06~07시],$U1603))</f>
        <v/>
      </c>
      <c r="Q1603" s="20">
        <f>IF($U1603="","",INDEX(상세표[07~18시],$U1603))</f>
        <v/>
      </c>
      <c r="R1603" s="20">
        <f>IF($U1603="","",INDEX(상세표[18~22시],$U1603))</f>
        <v/>
      </c>
      <c r="S1603" s="20">
        <f>IF($U1603="","",INDEX(상세표[22~06시],$U1603))</f>
        <v/>
      </c>
      <c r="T1603" s="20">
        <f>IF($U1603="","",INDEX(상세표[기록 시간외],$U1603))</f>
        <v/>
      </c>
      <c r="U1603" s="4">
        <f>IFERROR(MATCH(1598,상세표[발송순번],0),"")</f>
        <v/>
      </c>
    </row>
    <row r="1604">
      <c r="J1604">
        <f>IF($U1604="","",INDEX(상세표[사번],$U1604)&amp;"")</f>
        <v/>
      </c>
      <c r="K1604">
        <f>IF($U1604="","",INDEX(상세표[성명],$U1604)&amp;"")</f>
        <v/>
      </c>
      <c r="L1604">
        <f>IF($U1604="","",INDEX(상세표[직위],$U1604)&amp;"")</f>
        <v/>
      </c>
      <c r="M1604">
        <f>IF($U1604="","",IF(ISNUMBER(INDEX(상세표[근무일자],$U1604)),TEXT(INDEX(상세표[근무일자],$U1604),"yyyy-mm-dd"),INDEX(상세표[근무일자],$U1604)&amp;""))</f>
        <v/>
      </c>
      <c r="N1604">
        <f>IF($U1604="","",IF(ISNUMBER(INDEX(상세표[시작],$U1604)),TEXT(INDEX(상세표[시작],$U1604),"yyyy-mm-dd hh:mm"),INDEX(상세표[시작],$U1604)&amp;""))</f>
        <v/>
      </c>
      <c r="O1604">
        <f>IF($U1604="","",IF(ISNUMBER(INDEX(상세표[종료],$U1604)),TEXT(INDEX(상세표[종료],$U1604),"yyyy-mm-dd hh:mm"),INDEX(상세표[종료],$U1604)&amp;""))</f>
        <v/>
      </c>
      <c r="P1604" s="20">
        <f>IF($U1604="","",INDEX(상세표[06~07시],$U1604))</f>
        <v/>
      </c>
      <c r="Q1604" s="20">
        <f>IF($U1604="","",INDEX(상세표[07~18시],$U1604))</f>
        <v/>
      </c>
      <c r="R1604" s="20">
        <f>IF($U1604="","",INDEX(상세표[18~22시],$U1604))</f>
        <v/>
      </c>
      <c r="S1604" s="20">
        <f>IF($U1604="","",INDEX(상세표[22~06시],$U1604))</f>
        <v/>
      </c>
      <c r="T1604" s="20">
        <f>IF($U1604="","",INDEX(상세표[기록 시간외],$U1604))</f>
        <v/>
      </c>
      <c r="U1604" s="4">
        <f>IFERROR(MATCH(1599,상세표[발송순번],0),"")</f>
        <v/>
      </c>
    </row>
    <row r="1605">
      <c r="J1605">
        <f>IF($U1605="","",INDEX(상세표[사번],$U1605)&amp;"")</f>
        <v/>
      </c>
      <c r="K1605">
        <f>IF($U1605="","",INDEX(상세표[성명],$U1605)&amp;"")</f>
        <v/>
      </c>
      <c r="L1605">
        <f>IF($U1605="","",INDEX(상세표[직위],$U1605)&amp;"")</f>
        <v/>
      </c>
      <c r="M1605">
        <f>IF($U1605="","",IF(ISNUMBER(INDEX(상세표[근무일자],$U1605)),TEXT(INDEX(상세표[근무일자],$U1605),"yyyy-mm-dd"),INDEX(상세표[근무일자],$U1605)&amp;""))</f>
        <v/>
      </c>
      <c r="N1605">
        <f>IF($U1605="","",IF(ISNUMBER(INDEX(상세표[시작],$U1605)),TEXT(INDEX(상세표[시작],$U1605),"yyyy-mm-dd hh:mm"),INDEX(상세표[시작],$U1605)&amp;""))</f>
        <v/>
      </c>
      <c r="O1605">
        <f>IF($U1605="","",IF(ISNUMBER(INDEX(상세표[종료],$U1605)),TEXT(INDEX(상세표[종료],$U1605),"yyyy-mm-dd hh:mm"),INDEX(상세표[종료],$U1605)&amp;""))</f>
        <v/>
      </c>
      <c r="P1605" s="20">
        <f>IF($U1605="","",INDEX(상세표[06~07시],$U1605))</f>
        <v/>
      </c>
      <c r="Q1605" s="20">
        <f>IF($U1605="","",INDEX(상세표[07~18시],$U1605))</f>
        <v/>
      </c>
      <c r="R1605" s="20">
        <f>IF($U1605="","",INDEX(상세표[18~22시],$U1605))</f>
        <v/>
      </c>
      <c r="S1605" s="20">
        <f>IF($U1605="","",INDEX(상세표[22~06시],$U1605))</f>
        <v/>
      </c>
      <c r="T1605" s="20">
        <f>IF($U1605="","",INDEX(상세표[기록 시간외],$U1605))</f>
        <v/>
      </c>
      <c r="U1605" s="4">
        <f>IFERROR(MATCH(1600,상세표[발송순번],0),"")</f>
        <v/>
      </c>
    </row>
    <row r="1606">
      <c r="J1606">
        <f>IF($U1606="","",INDEX(상세표[사번],$U1606)&amp;"")</f>
        <v/>
      </c>
      <c r="K1606">
        <f>IF($U1606="","",INDEX(상세표[성명],$U1606)&amp;"")</f>
        <v/>
      </c>
      <c r="L1606">
        <f>IF($U1606="","",INDEX(상세표[직위],$U1606)&amp;"")</f>
        <v/>
      </c>
      <c r="M1606">
        <f>IF($U1606="","",IF(ISNUMBER(INDEX(상세표[근무일자],$U1606)),TEXT(INDEX(상세표[근무일자],$U1606),"yyyy-mm-dd"),INDEX(상세표[근무일자],$U1606)&amp;""))</f>
        <v/>
      </c>
      <c r="N1606">
        <f>IF($U1606="","",IF(ISNUMBER(INDEX(상세표[시작],$U1606)),TEXT(INDEX(상세표[시작],$U1606),"yyyy-mm-dd hh:mm"),INDEX(상세표[시작],$U1606)&amp;""))</f>
        <v/>
      </c>
      <c r="O1606">
        <f>IF($U1606="","",IF(ISNUMBER(INDEX(상세표[종료],$U1606)),TEXT(INDEX(상세표[종료],$U1606),"yyyy-mm-dd hh:mm"),INDEX(상세표[종료],$U1606)&amp;""))</f>
        <v/>
      </c>
      <c r="P1606" s="20">
        <f>IF($U1606="","",INDEX(상세표[06~07시],$U1606))</f>
        <v/>
      </c>
      <c r="Q1606" s="20">
        <f>IF($U1606="","",INDEX(상세표[07~18시],$U1606))</f>
        <v/>
      </c>
      <c r="R1606" s="20">
        <f>IF($U1606="","",INDEX(상세표[18~22시],$U1606))</f>
        <v/>
      </c>
      <c r="S1606" s="20">
        <f>IF($U1606="","",INDEX(상세표[22~06시],$U1606))</f>
        <v/>
      </c>
      <c r="T1606" s="20">
        <f>IF($U1606="","",INDEX(상세표[기록 시간외],$U1606))</f>
        <v/>
      </c>
      <c r="U1606" s="4">
        <f>IFERROR(MATCH(1601,상세표[발송순번],0),"")</f>
        <v/>
      </c>
    </row>
    <row r="1607">
      <c r="J1607">
        <f>IF($U1607="","",INDEX(상세표[사번],$U1607)&amp;"")</f>
        <v/>
      </c>
      <c r="K1607">
        <f>IF($U1607="","",INDEX(상세표[성명],$U1607)&amp;"")</f>
        <v/>
      </c>
      <c r="L1607">
        <f>IF($U1607="","",INDEX(상세표[직위],$U1607)&amp;"")</f>
        <v/>
      </c>
      <c r="M1607">
        <f>IF($U1607="","",IF(ISNUMBER(INDEX(상세표[근무일자],$U1607)),TEXT(INDEX(상세표[근무일자],$U1607),"yyyy-mm-dd"),INDEX(상세표[근무일자],$U1607)&amp;""))</f>
        <v/>
      </c>
      <c r="N1607">
        <f>IF($U1607="","",IF(ISNUMBER(INDEX(상세표[시작],$U1607)),TEXT(INDEX(상세표[시작],$U1607),"yyyy-mm-dd hh:mm"),INDEX(상세표[시작],$U1607)&amp;""))</f>
        <v/>
      </c>
      <c r="O1607">
        <f>IF($U1607="","",IF(ISNUMBER(INDEX(상세표[종료],$U1607)),TEXT(INDEX(상세표[종료],$U1607),"yyyy-mm-dd hh:mm"),INDEX(상세표[종료],$U1607)&amp;""))</f>
        <v/>
      </c>
      <c r="P1607" s="20">
        <f>IF($U1607="","",INDEX(상세표[06~07시],$U1607))</f>
        <v/>
      </c>
      <c r="Q1607" s="20">
        <f>IF($U1607="","",INDEX(상세표[07~18시],$U1607))</f>
        <v/>
      </c>
      <c r="R1607" s="20">
        <f>IF($U1607="","",INDEX(상세표[18~22시],$U1607))</f>
        <v/>
      </c>
      <c r="S1607" s="20">
        <f>IF($U1607="","",INDEX(상세표[22~06시],$U1607))</f>
        <v/>
      </c>
      <c r="T1607" s="20">
        <f>IF($U1607="","",INDEX(상세표[기록 시간외],$U1607))</f>
        <v/>
      </c>
      <c r="U1607" s="4">
        <f>IFERROR(MATCH(1602,상세표[발송순번],0),"")</f>
        <v/>
      </c>
    </row>
    <row r="1608">
      <c r="J1608">
        <f>IF($U1608="","",INDEX(상세표[사번],$U1608)&amp;"")</f>
        <v/>
      </c>
      <c r="K1608">
        <f>IF($U1608="","",INDEX(상세표[성명],$U1608)&amp;"")</f>
        <v/>
      </c>
      <c r="L1608">
        <f>IF($U1608="","",INDEX(상세표[직위],$U1608)&amp;"")</f>
        <v/>
      </c>
      <c r="M1608">
        <f>IF($U1608="","",IF(ISNUMBER(INDEX(상세표[근무일자],$U1608)),TEXT(INDEX(상세표[근무일자],$U1608),"yyyy-mm-dd"),INDEX(상세표[근무일자],$U1608)&amp;""))</f>
        <v/>
      </c>
      <c r="N1608">
        <f>IF($U1608="","",IF(ISNUMBER(INDEX(상세표[시작],$U1608)),TEXT(INDEX(상세표[시작],$U1608),"yyyy-mm-dd hh:mm"),INDEX(상세표[시작],$U1608)&amp;""))</f>
        <v/>
      </c>
      <c r="O1608">
        <f>IF($U1608="","",IF(ISNUMBER(INDEX(상세표[종료],$U1608)),TEXT(INDEX(상세표[종료],$U1608),"yyyy-mm-dd hh:mm"),INDEX(상세표[종료],$U1608)&amp;""))</f>
        <v/>
      </c>
      <c r="P1608" s="20">
        <f>IF($U1608="","",INDEX(상세표[06~07시],$U1608))</f>
        <v/>
      </c>
      <c r="Q1608" s="20">
        <f>IF($U1608="","",INDEX(상세표[07~18시],$U1608))</f>
        <v/>
      </c>
      <c r="R1608" s="20">
        <f>IF($U1608="","",INDEX(상세표[18~22시],$U1608))</f>
        <v/>
      </c>
      <c r="S1608" s="20">
        <f>IF($U1608="","",INDEX(상세표[22~06시],$U1608))</f>
        <v/>
      </c>
      <c r="T1608" s="20">
        <f>IF($U1608="","",INDEX(상세표[기록 시간외],$U1608))</f>
        <v/>
      </c>
      <c r="U1608" s="4">
        <f>IFERROR(MATCH(1603,상세표[발송순번],0),"")</f>
        <v/>
      </c>
    </row>
    <row r="1609">
      <c r="J1609">
        <f>IF($U1609="","",INDEX(상세표[사번],$U1609)&amp;"")</f>
        <v/>
      </c>
      <c r="K1609">
        <f>IF($U1609="","",INDEX(상세표[성명],$U1609)&amp;"")</f>
        <v/>
      </c>
      <c r="L1609">
        <f>IF($U1609="","",INDEX(상세표[직위],$U1609)&amp;"")</f>
        <v/>
      </c>
      <c r="M1609">
        <f>IF($U1609="","",IF(ISNUMBER(INDEX(상세표[근무일자],$U1609)),TEXT(INDEX(상세표[근무일자],$U1609),"yyyy-mm-dd"),INDEX(상세표[근무일자],$U1609)&amp;""))</f>
        <v/>
      </c>
      <c r="N1609">
        <f>IF($U1609="","",IF(ISNUMBER(INDEX(상세표[시작],$U1609)),TEXT(INDEX(상세표[시작],$U1609),"yyyy-mm-dd hh:mm"),INDEX(상세표[시작],$U1609)&amp;""))</f>
        <v/>
      </c>
      <c r="O1609">
        <f>IF($U1609="","",IF(ISNUMBER(INDEX(상세표[종료],$U1609)),TEXT(INDEX(상세표[종료],$U1609),"yyyy-mm-dd hh:mm"),INDEX(상세표[종료],$U1609)&amp;""))</f>
        <v/>
      </c>
      <c r="P1609" s="20">
        <f>IF($U1609="","",INDEX(상세표[06~07시],$U1609))</f>
        <v/>
      </c>
      <c r="Q1609" s="20">
        <f>IF($U1609="","",INDEX(상세표[07~18시],$U1609))</f>
        <v/>
      </c>
      <c r="R1609" s="20">
        <f>IF($U1609="","",INDEX(상세표[18~22시],$U1609))</f>
        <v/>
      </c>
      <c r="S1609" s="20">
        <f>IF($U1609="","",INDEX(상세표[22~06시],$U1609))</f>
        <v/>
      </c>
      <c r="T1609" s="20">
        <f>IF($U1609="","",INDEX(상세표[기록 시간외],$U1609))</f>
        <v/>
      </c>
      <c r="U1609" s="4">
        <f>IFERROR(MATCH(1604,상세표[발송순번],0),"")</f>
        <v/>
      </c>
    </row>
    <row r="1610">
      <c r="J1610">
        <f>IF($U1610="","",INDEX(상세표[사번],$U1610)&amp;"")</f>
        <v/>
      </c>
      <c r="K1610">
        <f>IF($U1610="","",INDEX(상세표[성명],$U1610)&amp;"")</f>
        <v/>
      </c>
      <c r="L1610">
        <f>IF($U1610="","",INDEX(상세표[직위],$U1610)&amp;"")</f>
        <v/>
      </c>
      <c r="M1610">
        <f>IF($U1610="","",IF(ISNUMBER(INDEX(상세표[근무일자],$U1610)),TEXT(INDEX(상세표[근무일자],$U1610),"yyyy-mm-dd"),INDEX(상세표[근무일자],$U1610)&amp;""))</f>
        <v/>
      </c>
      <c r="N1610">
        <f>IF($U1610="","",IF(ISNUMBER(INDEX(상세표[시작],$U1610)),TEXT(INDEX(상세표[시작],$U1610),"yyyy-mm-dd hh:mm"),INDEX(상세표[시작],$U1610)&amp;""))</f>
        <v/>
      </c>
      <c r="O1610">
        <f>IF($U1610="","",IF(ISNUMBER(INDEX(상세표[종료],$U1610)),TEXT(INDEX(상세표[종료],$U1610),"yyyy-mm-dd hh:mm"),INDEX(상세표[종료],$U1610)&amp;""))</f>
        <v/>
      </c>
      <c r="P1610" s="20">
        <f>IF($U1610="","",INDEX(상세표[06~07시],$U1610))</f>
        <v/>
      </c>
      <c r="Q1610" s="20">
        <f>IF($U1610="","",INDEX(상세표[07~18시],$U1610))</f>
        <v/>
      </c>
      <c r="R1610" s="20">
        <f>IF($U1610="","",INDEX(상세표[18~22시],$U1610))</f>
        <v/>
      </c>
      <c r="S1610" s="20">
        <f>IF($U1610="","",INDEX(상세표[22~06시],$U1610))</f>
        <v/>
      </c>
      <c r="T1610" s="20">
        <f>IF($U1610="","",INDEX(상세표[기록 시간외],$U1610))</f>
        <v/>
      </c>
      <c r="U1610" s="4">
        <f>IFERROR(MATCH(1605,상세표[발송순번],0),"")</f>
        <v/>
      </c>
    </row>
    <row r="1611">
      <c r="J1611">
        <f>IF($U1611="","",INDEX(상세표[사번],$U1611)&amp;"")</f>
        <v/>
      </c>
      <c r="K1611">
        <f>IF($U1611="","",INDEX(상세표[성명],$U1611)&amp;"")</f>
        <v/>
      </c>
      <c r="L1611">
        <f>IF($U1611="","",INDEX(상세표[직위],$U1611)&amp;"")</f>
        <v/>
      </c>
      <c r="M1611">
        <f>IF($U1611="","",IF(ISNUMBER(INDEX(상세표[근무일자],$U1611)),TEXT(INDEX(상세표[근무일자],$U1611),"yyyy-mm-dd"),INDEX(상세표[근무일자],$U1611)&amp;""))</f>
        <v/>
      </c>
      <c r="N1611">
        <f>IF($U1611="","",IF(ISNUMBER(INDEX(상세표[시작],$U1611)),TEXT(INDEX(상세표[시작],$U1611),"yyyy-mm-dd hh:mm"),INDEX(상세표[시작],$U1611)&amp;""))</f>
        <v/>
      </c>
      <c r="O1611">
        <f>IF($U1611="","",IF(ISNUMBER(INDEX(상세표[종료],$U1611)),TEXT(INDEX(상세표[종료],$U1611),"yyyy-mm-dd hh:mm"),INDEX(상세표[종료],$U1611)&amp;""))</f>
        <v/>
      </c>
      <c r="P1611" s="20">
        <f>IF($U1611="","",INDEX(상세표[06~07시],$U1611))</f>
        <v/>
      </c>
      <c r="Q1611" s="20">
        <f>IF($U1611="","",INDEX(상세표[07~18시],$U1611))</f>
        <v/>
      </c>
      <c r="R1611" s="20">
        <f>IF($U1611="","",INDEX(상세표[18~22시],$U1611))</f>
        <v/>
      </c>
      <c r="S1611" s="20">
        <f>IF($U1611="","",INDEX(상세표[22~06시],$U1611))</f>
        <v/>
      </c>
      <c r="T1611" s="20">
        <f>IF($U1611="","",INDEX(상세표[기록 시간외],$U1611))</f>
        <v/>
      </c>
      <c r="U1611" s="4">
        <f>IFERROR(MATCH(1606,상세표[발송순번],0),"")</f>
        <v/>
      </c>
    </row>
    <row r="1612">
      <c r="J1612">
        <f>IF($U1612="","",INDEX(상세표[사번],$U1612)&amp;"")</f>
        <v/>
      </c>
      <c r="K1612">
        <f>IF($U1612="","",INDEX(상세표[성명],$U1612)&amp;"")</f>
        <v/>
      </c>
      <c r="L1612">
        <f>IF($U1612="","",INDEX(상세표[직위],$U1612)&amp;"")</f>
        <v/>
      </c>
      <c r="M1612">
        <f>IF($U1612="","",IF(ISNUMBER(INDEX(상세표[근무일자],$U1612)),TEXT(INDEX(상세표[근무일자],$U1612),"yyyy-mm-dd"),INDEX(상세표[근무일자],$U1612)&amp;""))</f>
        <v/>
      </c>
      <c r="N1612">
        <f>IF($U1612="","",IF(ISNUMBER(INDEX(상세표[시작],$U1612)),TEXT(INDEX(상세표[시작],$U1612),"yyyy-mm-dd hh:mm"),INDEX(상세표[시작],$U1612)&amp;""))</f>
        <v/>
      </c>
      <c r="O1612">
        <f>IF($U1612="","",IF(ISNUMBER(INDEX(상세표[종료],$U1612)),TEXT(INDEX(상세표[종료],$U1612),"yyyy-mm-dd hh:mm"),INDEX(상세표[종료],$U1612)&amp;""))</f>
        <v/>
      </c>
      <c r="P1612" s="20">
        <f>IF($U1612="","",INDEX(상세표[06~07시],$U1612))</f>
        <v/>
      </c>
      <c r="Q1612" s="20">
        <f>IF($U1612="","",INDEX(상세표[07~18시],$U1612))</f>
        <v/>
      </c>
      <c r="R1612" s="20">
        <f>IF($U1612="","",INDEX(상세표[18~22시],$U1612))</f>
        <v/>
      </c>
      <c r="S1612" s="20">
        <f>IF($U1612="","",INDEX(상세표[22~06시],$U1612))</f>
        <v/>
      </c>
      <c r="T1612" s="20">
        <f>IF($U1612="","",INDEX(상세표[기록 시간외],$U1612))</f>
        <v/>
      </c>
      <c r="U1612" s="4">
        <f>IFERROR(MATCH(1607,상세표[발송순번],0),"")</f>
        <v/>
      </c>
    </row>
    <row r="1613">
      <c r="J1613">
        <f>IF($U1613="","",INDEX(상세표[사번],$U1613)&amp;"")</f>
        <v/>
      </c>
      <c r="K1613">
        <f>IF($U1613="","",INDEX(상세표[성명],$U1613)&amp;"")</f>
        <v/>
      </c>
      <c r="L1613">
        <f>IF($U1613="","",INDEX(상세표[직위],$U1613)&amp;"")</f>
        <v/>
      </c>
      <c r="M1613">
        <f>IF($U1613="","",IF(ISNUMBER(INDEX(상세표[근무일자],$U1613)),TEXT(INDEX(상세표[근무일자],$U1613),"yyyy-mm-dd"),INDEX(상세표[근무일자],$U1613)&amp;""))</f>
        <v/>
      </c>
      <c r="N1613">
        <f>IF($U1613="","",IF(ISNUMBER(INDEX(상세표[시작],$U1613)),TEXT(INDEX(상세표[시작],$U1613),"yyyy-mm-dd hh:mm"),INDEX(상세표[시작],$U1613)&amp;""))</f>
        <v/>
      </c>
      <c r="O1613">
        <f>IF($U1613="","",IF(ISNUMBER(INDEX(상세표[종료],$U1613)),TEXT(INDEX(상세표[종료],$U1613),"yyyy-mm-dd hh:mm"),INDEX(상세표[종료],$U1613)&amp;""))</f>
        <v/>
      </c>
      <c r="P1613" s="20">
        <f>IF($U1613="","",INDEX(상세표[06~07시],$U1613))</f>
        <v/>
      </c>
      <c r="Q1613" s="20">
        <f>IF($U1613="","",INDEX(상세표[07~18시],$U1613))</f>
        <v/>
      </c>
      <c r="R1613" s="20">
        <f>IF($U1613="","",INDEX(상세표[18~22시],$U1613))</f>
        <v/>
      </c>
      <c r="S1613" s="20">
        <f>IF($U1613="","",INDEX(상세표[22~06시],$U1613))</f>
        <v/>
      </c>
      <c r="T1613" s="20">
        <f>IF($U1613="","",INDEX(상세표[기록 시간외],$U1613))</f>
        <v/>
      </c>
      <c r="U1613" s="4">
        <f>IFERROR(MATCH(1608,상세표[발송순번],0),"")</f>
        <v/>
      </c>
    </row>
    <row r="1614">
      <c r="J1614">
        <f>IF($U1614="","",INDEX(상세표[사번],$U1614)&amp;"")</f>
        <v/>
      </c>
      <c r="K1614">
        <f>IF($U1614="","",INDEX(상세표[성명],$U1614)&amp;"")</f>
        <v/>
      </c>
      <c r="L1614">
        <f>IF($U1614="","",INDEX(상세표[직위],$U1614)&amp;"")</f>
        <v/>
      </c>
      <c r="M1614">
        <f>IF($U1614="","",IF(ISNUMBER(INDEX(상세표[근무일자],$U1614)),TEXT(INDEX(상세표[근무일자],$U1614),"yyyy-mm-dd"),INDEX(상세표[근무일자],$U1614)&amp;""))</f>
        <v/>
      </c>
      <c r="N1614">
        <f>IF($U1614="","",IF(ISNUMBER(INDEX(상세표[시작],$U1614)),TEXT(INDEX(상세표[시작],$U1614),"yyyy-mm-dd hh:mm"),INDEX(상세표[시작],$U1614)&amp;""))</f>
        <v/>
      </c>
      <c r="O1614">
        <f>IF($U1614="","",IF(ISNUMBER(INDEX(상세표[종료],$U1614)),TEXT(INDEX(상세표[종료],$U1614),"yyyy-mm-dd hh:mm"),INDEX(상세표[종료],$U1614)&amp;""))</f>
        <v/>
      </c>
      <c r="P1614" s="20">
        <f>IF($U1614="","",INDEX(상세표[06~07시],$U1614))</f>
        <v/>
      </c>
      <c r="Q1614" s="20">
        <f>IF($U1614="","",INDEX(상세표[07~18시],$U1614))</f>
        <v/>
      </c>
      <c r="R1614" s="20">
        <f>IF($U1614="","",INDEX(상세표[18~22시],$U1614))</f>
        <v/>
      </c>
      <c r="S1614" s="20">
        <f>IF($U1614="","",INDEX(상세표[22~06시],$U1614))</f>
        <v/>
      </c>
      <c r="T1614" s="20">
        <f>IF($U1614="","",INDEX(상세표[기록 시간외],$U1614))</f>
        <v/>
      </c>
      <c r="U1614" s="4">
        <f>IFERROR(MATCH(1609,상세표[발송순번],0),"")</f>
        <v/>
      </c>
    </row>
    <row r="1615">
      <c r="J1615">
        <f>IF($U1615="","",INDEX(상세표[사번],$U1615)&amp;"")</f>
        <v/>
      </c>
      <c r="K1615">
        <f>IF($U1615="","",INDEX(상세표[성명],$U1615)&amp;"")</f>
        <v/>
      </c>
      <c r="L1615">
        <f>IF($U1615="","",INDEX(상세표[직위],$U1615)&amp;"")</f>
        <v/>
      </c>
      <c r="M1615">
        <f>IF($U1615="","",IF(ISNUMBER(INDEX(상세표[근무일자],$U1615)),TEXT(INDEX(상세표[근무일자],$U1615),"yyyy-mm-dd"),INDEX(상세표[근무일자],$U1615)&amp;""))</f>
        <v/>
      </c>
      <c r="N1615">
        <f>IF($U1615="","",IF(ISNUMBER(INDEX(상세표[시작],$U1615)),TEXT(INDEX(상세표[시작],$U1615),"yyyy-mm-dd hh:mm"),INDEX(상세표[시작],$U1615)&amp;""))</f>
        <v/>
      </c>
      <c r="O1615">
        <f>IF($U1615="","",IF(ISNUMBER(INDEX(상세표[종료],$U1615)),TEXT(INDEX(상세표[종료],$U1615),"yyyy-mm-dd hh:mm"),INDEX(상세표[종료],$U1615)&amp;""))</f>
        <v/>
      </c>
      <c r="P1615" s="20">
        <f>IF($U1615="","",INDEX(상세표[06~07시],$U1615))</f>
        <v/>
      </c>
      <c r="Q1615" s="20">
        <f>IF($U1615="","",INDEX(상세표[07~18시],$U1615))</f>
        <v/>
      </c>
      <c r="R1615" s="20">
        <f>IF($U1615="","",INDEX(상세표[18~22시],$U1615))</f>
        <v/>
      </c>
      <c r="S1615" s="20">
        <f>IF($U1615="","",INDEX(상세표[22~06시],$U1615))</f>
        <v/>
      </c>
      <c r="T1615" s="20">
        <f>IF($U1615="","",INDEX(상세표[기록 시간외],$U1615))</f>
        <v/>
      </c>
      <c r="U1615" s="4">
        <f>IFERROR(MATCH(1610,상세표[발송순번],0),"")</f>
        <v/>
      </c>
    </row>
    <row r="1616">
      <c r="J1616">
        <f>IF($U1616="","",INDEX(상세표[사번],$U1616)&amp;"")</f>
        <v/>
      </c>
      <c r="K1616">
        <f>IF($U1616="","",INDEX(상세표[성명],$U1616)&amp;"")</f>
        <v/>
      </c>
      <c r="L1616">
        <f>IF($U1616="","",INDEX(상세표[직위],$U1616)&amp;"")</f>
        <v/>
      </c>
      <c r="M1616">
        <f>IF($U1616="","",IF(ISNUMBER(INDEX(상세표[근무일자],$U1616)),TEXT(INDEX(상세표[근무일자],$U1616),"yyyy-mm-dd"),INDEX(상세표[근무일자],$U1616)&amp;""))</f>
        <v/>
      </c>
      <c r="N1616">
        <f>IF($U1616="","",IF(ISNUMBER(INDEX(상세표[시작],$U1616)),TEXT(INDEX(상세표[시작],$U1616),"yyyy-mm-dd hh:mm"),INDEX(상세표[시작],$U1616)&amp;""))</f>
        <v/>
      </c>
      <c r="O1616">
        <f>IF($U1616="","",IF(ISNUMBER(INDEX(상세표[종료],$U1616)),TEXT(INDEX(상세표[종료],$U1616),"yyyy-mm-dd hh:mm"),INDEX(상세표[종료],$U1616)&amp;""))</f>
        <v/>
      </c>
      <c r="P1616" s="20">
        <f>IF($U1616="","",INDEX(상세표[06~07시],$U1616))</f>
        <v/>
      </c>
      <c r="Q1616" s="20">
        <f>IF($U1616="","",INDEX(상세표[07~18시],$U1616))</f>
        <v/>
      </c>
      <c r="R1616" s="20">
        <f>IF($U1616="","",INDEX(상세표[18~22시],$U1616))</f>
        <v/>
      </c>
      <c r="S1616" s="20">
        <f>IF($U1616="","",INDEX(상세표[22~06시],$U1616))</f>
        <v/>
      </c>
      <c r="T1616" s="20">
        <f>IF($U1616="","",INDEX(상세표[기록 시간외],$U1616))</f>
        <v/>
      </c>
      <c r="U1616" s="4">
        <f>IFERROR(MATCH(1611,상세표[발송순번],0),"")</f>
        <v/>
      </c>
    </row>
    <row r="1617">
      <c r="J1617">
        <f>IF($U1617="","",INDEX(상세표[사번],$U1617)&amp;"")</f>
        <v/>
      </c>
      <c r="K1617">
        <f>IF($U1617="","",INDEX(상세표[성명],$U1617)&amp;"")</f>
        <v/>
      </c>
      <c r="L1617">
        <f>IF($U1617="","",INDEX(상세표[직위],$U1617)&amp;"")</f>
        <v/>
      </c>
      <c r="M1617">
        <f>IF($U1617="","",IF(ISNUMBER(INDEX(상세표[근무일자],$U1617)),TEXT(INDEX(상세표[근무일자],$U1617),"yyyy-mm-dd"),INDEX(상세표[근무일자],$U1617)&amp;""))</f>
        <v/>
      </c>
      <c r="N1617">
        <f>IF($U1617="","",IF(ISNUMBER(INDEX(상세표[시작],$U1617)),TEXT(INDEX(상세표[시작],$U1617),"yyyy-mm-dd hh:mm"),INDEX(상세표[시작],$U1617)&amp;""))</f>
        <v/>
      </c>
      <c r="O1617">
        <f>IF($U1617="","",IF(ISNUMBER(INDEX(상세표[종료],$U1617)),TEXT(INDEX(상세표[종료],$U1617),"yyyy-mm-dd hh:mm"),INDEX(상세표[종료],$U1617)&amp;""))</f>
        <v/>
      </c>
      <c r="P1617" s="20">
        <f>IF($U1617="","",INDEX(상세표[06~07시],$U1617))</f>
        <v/>
      </c>
      <c r="Q1617" s="20">
        <f>IF($U1617="","",INDEX(상세표[07~18시],$U1617))</f>
        <v/>
      </c>
      <c r="R1617" s="20">
        <f>IF($U1617="","",INDEX(상세표[18~22시],$U1617))</f>
        <v/>
      </c>
      <c r="S1617" s="20">
        <f>IF($U1617="","",INDEX(상세표[22~06시],$U1617))</f>
        <v/>
      </c>
      <c r="T1617" s="20">
        <f>IF($U1617="","",INDEX(상세표[기록 시간외],$U1617))</f>
        <v/>
      </c>
      <c r="U1617" s="4">
        <f>IFERROR(MATCH(1612,상세표[발송순번],0),"")</f>
        <v/>
      </c>
    </row>
    <row r="1618">
      <c r="J1618">
        <f>IF($U1618="","",INDEX(상세표[사번],$U1618)&amp;"")</f>
        <v/>
      </c>
      <c r="K1618">
        <f>IF($U1618="","",INDEX(상세표[성명],$U1618)&amp;"")</f>
        <v/>
      </c>
      <c r="L1618">
        <f>IF($U1618="","",INDEX(상세표[직위],$U1618)&amp;"")</f>
        <v/>
      </c>
      <c r="M1618">
        <f>IF($U1618="","",IF(ISNUMBER(INDEX(상세표[근무일자],$U1618)),TEXT(INDEX(상세표[근무일자],$U1618),"yyyy-mm-dd"),INDEX(상세표[근무일자],$U1618)&amp;""))</f>
        <v/>
      </c>
      <c r="N1618">
        <f>IF($U1618="","",IF(ISNUMBER(INDEX(상세표[시작],$U1618)),TEXT(INDEX(상세표[시작],$U1618),"yyyy-mm-dd hh:mm"),INDEX(상세표[시작],$U1618)&amp;""))</f>
        <v/>
      </c>
      <c r="O1618">
        <f>IF($U1618="","",IF(ISNUMBER(INDEX(상세표[종료],$U1618)),TEXT(INDEX(상세표[종료],$U1618),"yyyy-mm-dd hh:mm"),INDEX(상세표[종료],$U1618)&amp;""))</f>
        <v/>
      </c>
      <c r="P1618" s="20">
        <f>IF($U1618="","",INDEX(상세표[06~07시],$U1618))</f>
        <v/>
      </c>
      <c r="Q1618" s="20">
        <f>IF($U1618="","",INDEX(상세표[07~18시],$U1618))</f>
        <v/>
      </c>
      <c r="R1618" s="20">
        <f>IF($U1618="","",INDEX(상세표[18~22시],$U1618))</f>
        <v/>
      </c>
      <c r="S1618" s="20">
        <f>IF($U1618="","",INDEX(상세표[22~06시],$U1618))</f>
        <v/>
      </c>
      <c r="T1618" s="20">
        <f>IF($U1618="","",INDEX(상세표[기록 시간외],$U1618))</f>
        <v/>
      </c>
      <c r="U1618" s="4">
        <f>IFERROR(MATCH(1613,상세표[발송순번],0),"")</f>
        <v/>
      </c>
    </row>
    <row r="1619">
      <c r="J1619">
        <f>IF($U1619="","",INDEX(상세표[사번],$U1619)&amp;"")</f>
        <v/>
      </c>
      <c r="K1619">
        <f>IF($U1619="","",INDEX(상세표[성명],$U1619)&amp;"")</f>
        <v/>
      </c>
      <c r="L1619">
        <f>IF($U1619="","",INDEX(상세표[직위],$U1619)&amp;"")</f>
        <v/>
      </c>
      <c r="M1619">
        <f>IF($U1619="","",IF(ISNUMBER(INDEX(상세표[근무일자],$U1619)),TEXT(INDEX(상세표[근무일자],$U1619),"yyyy-mm-dd"),INDEX(상세표[근무일자],$U1619)&amp;""))</f>
        <v/>
      </c>
      <c r="N1619">
        <f>IF($U1619="","",IF(ISNUMBER(INDEX(상세표[시작],$U1619)),TEXT(INDEX(상세표[시작],$U1619),"yyyy-mm-dd hh:mm"),INDEX(상세표[시작],$U1619)&amp;""))</f>
        <v/>
      </c>
      <c r="O1619">
        <f>IF($U1619="","",IF(ISNUMBER(INDEX(상세표[종료],$U1619)),TEXT(INDEX(상세표[종료],$U1619),"yyyy-mm-dd hh:mm"),INDEX(상세표[종료],$U1619)&amp;""))</f>
        <v/>
      </c>
      <c r="P1619" s="20">
        <f>IF($U1619="","",INDEX(상세표[06~07시],$U1619))</f>
        <v/>
      </c>
      <c r="Q1619" s="20">
        <f>IF($U1619="","",INDEX(상세표[07~18시],$U1619))</f>
        <v/>
      </c>
      <c r="R1619" s="20">
        <f>IF($U1619="","",INDEX(상세표[18~22시],$U1619))</f>
        <v/>
      </c>
      <c r="S1619" s="20">
        <f>IF($U1619="","",INDEX(상세표[22~06시],$U1619))</f>
        <v/>
      </c>
      <c r="T1619" s="20">
        <f>IF($U1619="","",INDEX(상세표[기록 시간외],$U1619))</f>
        <v/>
      </c>
      <c r="U1619" s="4">
        <f>IFERROR(MATCH(1614,상세표[발송순번],0),"")</f>
        <v/>
      </c>
    </row>
    <row r="1620">
      <c r="J1620">
        <f>IF($U1620="","",INDEX(상세표[사번],$U1620)&amp;"")</f>
        <v/>
      </c>
      <c r="K1620">
        <f>IF($U1620="","",INDEX(상세표[성명],$U1620)&amp;"")</f>
        <v/>
      </c>
      <c r="L1620">
        <f>IF($U1620="","",INDEX(상세표[직위],$U1620)&amp;"")</f>
        <v/>
      </c>
      <c r="M1620">
        <f>IF($U1620="","",IF(ISNUMBER(INDEX(상세표[근무일자],$U1620)),TEXT(INDEX(상세표[근무일자],$U1620),"yyyy-mm-dd"),INDEX(상세표[근무일자],$U1620)&amp;""))</f>
        <v/>
      </c>
      <c r="N1620">
        <f>IF($U1620="","",IF(ISNUMBER(INDEX(상세표[시작],$U1620)),TEXT(INDEX(상세표[시작],$U1620),"yyyy-mm-dd hh:mm"),INDEX(상세표[시작],$U1620)&amp;""))</f>
        <v/>
      </c>
      <c r="O1620">
        <f>IF($U1620="","",IF(ISNUMBER(INDEX(상세표[종료],$U1620)),TEXT(INDEX(상세표[종료],$U1620),"yyyy-mm-dd hh:mm"),INDEX(상세표[종료],$U1620)&amp;""))</f>
        <v/>
      </c>
      <c r="P1620" s="20">
        <f>IF($U1620="","",INDEX(상세표[06~07시],$U1620))</f>
        <v/>
      </c>
      <c r="Q1620" s="20">
        <f>IF($U1620="","",INDEX(상세표[07~18시],$U1620))</f>
        <v/>
      </c>
      <c r="R1620" s="20">
        <f>IF($U1620="","",INDEX(상세표[18~22시],$U1620))</f>
        <v/>
      </c>
      <c r="S1620" s="20">
        <f>IF($U1620="","",INDEX(상세표[22~06시],$U1620))</f>
        <v/>
      </c>
      <c r="T1620" s="20">
        <f>IF($U1620="","",INDEX(상세표[기록 시간외],$U1620))</f>
        <v/>
      </c>
      <c r="U1620" s="4">
        <f>IFERROR(MATCH(1615,상세표[발송순번],0),"")</f>
        <v/>
      </c>
    </row>
    <row r="1621">
      <c r="J1621">
        <f>IF($U1621="","",INDEX(상세표[사번],$U1621)&amp;"")</f>
        <v/>
      </c>
      <c r="K1621">
        <f>IF($U1621="","",INDEX(상세표[성명],$U1621)&amp;"")</f>
        <v/>
      </c>
      <c r="L1621">
        <f>IF($U1621="","",INDEX(상세표[직위],$U1621)&amp;"")</f>
        <v/>
      </c>
      <c r="M1621">
        <f>IF($U1621="","",IF(ISNUMBER(INDEX(상세표[근무일자],$U1621)),TEXT(INDEX(상세표[근무일자],$U1621),"yyyy-mm-dd"),INDEX(상세표[근무일자],$U1621)&amp;""))</f>
        <v/>
      </c>
      <c r="N1621">
        <f>IF($U1621="","",IF(ISNUMBER(INDEX(상세표[시작],$U1621)),TEXT(INDEX(상세표[시작],$U1621),"yyyy-mm-dd hh:mm"),INDEX(상세표[시작],$U1621)&amp;""))</f>
        <v/>
      </c>
      <c r="O1621">
        <f>IF($U1621="","",IF(ISNUMBER(INDEX(상세표[종료],$U1621)),TEXT(INDEX(상세표[종료],$U1621),"yyyy-mm-dd hh:mm"),INDEX(상세표[종료],$U1621)&amp;""))</f>
        <v/>
      </c>
      <c r="P1621" s="20">
        <f>IF($U1621="","",INDEX(상세표[06~07시],$U1621))</f>
        <v/>
      </c>
      <c r="Q1621" s="20">
        <f>IF($U1621="","",INDEX(상세표[07~18시],$U1621))</f>
        <v/>
      </c>
      <c r="R1621" s="20">
        <f>IF($U1621="","",INDEX(상세표[18~22시],$U1621))</f>
        <v/>
      </c>
      <c r="S1621" s="20">
        <f>IF($U1621="","",INDEX(상세표[22~06시],$U1621))</f>
        <v/>
      </c>
      <c r="T1621" s="20">
        <f>IF($U1621="","",INDEX(상세표[기록 시간외],$U1621))</f>
        <v/>
      </c>
      <c r="U1621" s="4">
        <f>IFERROR(MATCH(1616,상세표[발송순번],0),"")</f>
        <v/>
      </c>
    </row>
    <row r="1622">
      <c r="J1622">
        <f>IF($U1622="","",INDEX(상세표[사번],$U1622)&amp;"")</f>
        <v/>
      </c>
      <c r="K1622">
        <f>IF($U1622="","",INDEX(상세표[성명],$U1622)&amp;"")</f>
        <v/>
      </c>
      <c r="L1622">
        <f>IF($U1622="","",INDEX(상세표[직위],$U1622)&amp;"")</f>
        <v/>
      </c>
      <c r="M1622">
        <f>IF($U1622="","",IF(ISNUMBER(INDEX(상세표[근무일자],$U1622)),TEXT(INDEX(상세표[근무일자],$U1622),"yyyy-mm-dd"),INDEX(상세표[근무일자],$U1622)&amp;""))</f>
        <v/>
      </c>
      <c r="N1622">
        <f>IF($U1622="","",IF(ISNUMBER(INDEX(상세표[시작],$U1622)),TEXT(INDEX(상세표[시작],$U1622),"yyyy-mm-dd hh:mm"),INDEX(상세표[시작],$U1622)&amp;""))</f>
        <v/>
      </c>
      <c r="O1622">
        <f>IF($U1622="","",IF(ISNUMBER(INDEX(상세표[종료],$U1622)),TEXT(INDEX(상세표[종료],$U1622),"yyyy-mm-dd hh:mm"),INDEX(상세표[종료],$U1622)&amp;""))</f>
        <v/>
      </c>
      <c r="P1622" s="20">
        <f>IF($U1622="","",INDEX(상세표[06~07시],$U1622))</f>
        <v/>
      </c>
      <c r="Q1622" s="20">
        <f>IF($U1622="","",INDEX(상세표[07~18시],$U1622))</f>
        <v/>
      </c>
      <c r="R1622" s="20">
        <f>IF($U1622="","",INDEX(상세표[18~22시],$U1622))</f>
        <v/>
      </c>
      <c r="S1622" s="20">
        <f>IF($U1622="","",INDEX(상세표[22~06시],$U1622))</f>
        <v/>
      </c>
      <c r="T1622" s="20">
        <f>IF($U1622="","",INDEX(상세표[기록 시간외],$U1622))</f>
        <v/>
      </c>
      <c r="U1622" s="4">
        <f>IFERROR(MATCH(1617,상세표[발송순번],0),"")</f>
        <v/>
      </c>
    </row>
    <row r="1623">
      <c r="J1623">
        <f>IF($U1623="","",INDEX(상세표[사번],$U1623)&amp;"")</f>
        <v/>
      </c>
      <c r="K1623">
        <f>IF($U1623="","",INDEX(상세표[성명],$U1623)&amp;"")</f>
        <v/>
      </c>
      <c r="L1623">
        <f>IF($U1623="","",INDEX(상세표[직위],$U1623)&amp;"")</f>
        <v/>
      </c>
      <c r="M1623">
        <f>IF($U1623="","",IF(ISNUMBER(INDEX(상세표[근무일자],$U1623)),TEXT(INDEX(상세표[근무일자],$U1623),"yyyy-mm-dd"),INDEX(상세표[근무일자],$U1623)&amp;""))</f>
        <v/>
      </c>
      <c r="N1623">
        <f>IF($U1623="","",IF(ISNUMBER(INDEX(상세표[시작],$U1623)),TEXT(INDEX(상세표[시작],$U1623),"yyyy-mm-dd hh:mm"),INDEX(상세표[시작],$U1623)&amp;""))</f>
        <v/>
      </c>
      <c r="O1623">
        <f>IF($U1623="","",IF(ISNUMBER(INDEX(상세표[종료],$U1623)),TEXT(INDEX(상세표[종료],$U1623),"yyyy-mm-dd hh:mm"),INDEX(상세표[종료],$U1623)&amp;""))</f>
        <v/>
      </c>
      <c r="P1623" s="20">
        <f>IF($U1623="","",INDEX(상세표[06~07시],$U1623))</f>
        <v/>
      </c>
      <c r="Q1623" s="20">
        <f>IF($U1623="","",INDEX(상세표[07~18시],$U1623))</f>
        <v/>
      </c>
      <c r="R1623" s="20">
        <f>IF($U1623="","",INDEX(상세표[18~22시],$U1623))</f>
        <v/>
      </c>
      <c r="S1623" s="20">
        <f>IF($U1623="","",INDEX(상세표[22~06시],$U1623))</f>
        <v/>
      </c>
      <c r="T1623" s="20">
        <f>IF($U1623="","",INDEX(상세표[기록 시간외],$U1623))</f>
        <v/>
      </c>
      <c r="U1623" s="4">
        <f>IFERROR(MATCH(1618,상세표[발송순번],0),"")</f>
        <v/>
      </c>
    </row>
    <row r="1624">
      <c r="J1624">
        <f>IF($U1624="","",INDEX(상세표[사번],$U1624)&amp;"")</f>
        <v/>
      </c>
      <c r="K1624">
        <f>IF($U1624="","",INDEX(상세표[성명],$U1624)&amp;"")</f>
        <v/>
      </c>
      <c r="L1624">
        <f>IF($U1624="","",INDEX(상세표[직위],$U1624)&amp;"")</f>
        <v/>
      </c>
      <c r="M1624">
        <f>IF($U1624="","",IF(ISNUMBER(INDEX(상세표[근무일자],$U1624)),TEXT(INDEX(상세표[근무일자],$U1624),"yyyy-mm-dd"),INDEX(상세표[근무일자],$U1624)&amp;""))</f>
        <v/>
      </c>
      <c r="N1624">
        <f>IF($U1624="","",IF(ISNUMBER(INDEX(상세표[시작],$U1624)),TEXT(INDEX(상세표[시작],$U1624),"yyyy-mm-dd hh:mm"),INDEX(상세표[시작],$U1624)&amp;""))</f>
        <v/>
      </c>
      <c r="O1624">
        <f>IF($U1624="","",IF(ISNUMBER(INDEX(상세표[종료],$U1624)),TEXT(INDEX(상세표[종료],$U1624),"yyyy-mm-dd hh:mm"),INDEX(상세표[종료],$U1624)&amp;""))</f>
        <v/>
      </c>
      <c r="P1624" s="20">
        <f>IF($U1624="","",INDEX(상세표[06~07시],$U1624))</f>
        <v/>
      </c>
      <c r="Q1624" s="20">
        <f>IF($U1624="","",INDEX(상세표[07~18시],$U1624))</f>
        <v/>
      </c>
      <c r="R1624" s="20">
        <f>IF($U1624="","",INDEX(상세표[18~22시],$U1624))</f>
        <v/>
      </c>
      <c r="S1624" s="20">
        <f>IF($U1624="","",INDEX(상세표[22~06시],$U1624))</f>
        <v/>
      </c>
      <c r="T1624" s="20">
        <f>IF($U1624="","",INDEX(상세표[기록 시간외],$U1624))</f>
        <v/>
      </c>
      <c r="U1624" s="4">
        <f>IFERROR(MATCH(1619,상세표[발송순번],0),"")</f>
        <v/>
      </c>
    </row>
    <row r="1625">
      <c r="J1625">
        <f>IF($U1625="","",INDEX(상세표[사번],$U1625)&amp;"")</f>
        <v/>
      </c>
      <c r="K1625">
        <f>IF($U1625="","",INDEX(상세표[성명],$U1625)&amp;"")</f>
        <v/>
      </c>
      <c r="L1625">
        <f>IF($U1625="","",INDEX(상세표[직위],$U1625)&amp;"")</f>
        <v/>
      </c>
      <c r="M1625">
        <f>IF($U1625="","",IF(ISNUMBER(INDEX(상세표[근무일자],$U1625)),TEXT(INDEX(상세표[근무일자],$U1625),"yyyy-mm-dd"),INDEX(상세표[근무일자],$U1625)&amp;""))</f>
        <v/>
      </c>
      <c r="N1625">
        <f>IF($U1625="","",IF(ISNUMBER(INDEX(상세표[시작],$U1625)),TEXT(INDEX(상세표[시작],$U1625),"yyyy-mm-dd hh:mm"),INDEX(상세표[시작],$U1625)&amp;""))</f>
        <v/>
      </c>
      <c r="O1625">
        <f>IF($U1625="","",IF(ISNUMBER(INDEX(상세표[종료],$U1625)),TEXT(INDEX(상세표[종료],$U1625),"yyyy-mm-dd hh:mm"),INDEX(상세표[종료],$U1625)&amp;""))</f>
        <v/>
      </c>
      <c r="P1625" s="20">
        <f>IF($U1625="","",INDEX(상세표[06~07시],$U1625))</f>
        <v/>
      </c>
      <c r="Q1625" s="20">
        <f>IF($U1625="","",INDEX(상세표[07~18시],$U1625))</f>
        <v/>
      </c>
      <c r="R1625" s="20">
        <f>IF($U1625="","",INDEX(상세표[18~22시],$U1625))</f>
        <v/>
      </c>
      <c r="S1625" s="20">
        <f>IF($U1625="","",INDEX(상세표[22~06시],$U1625))</f>
        <v/>
      </c>
      <c r="T1625" s="20">
        <f>IF($U1625="","",INDEX(상세표[기록 시간외],$U1625))</f>
        <v/>
      </c>
      <c r="U1625" s="4">
        <f>IFERROR(MATCH(1620,상세표[발송순번],0),"")</f>
        <v/>
      </c>
    </row>
    <row r="1626">
      <c r="J1626">
        <f>IF($U1626="","",INDEX(상세표[사번],$U1626)&amp;"")</f>
        <v/>
      </c>
      <c r="K1626">
        <f>IF($U1626="","",INDEX(상세표[성명],$U1626)&amp;"")</f>
        <v/>
      </c>
      <c r="L1626">
        <f>IF($U1626="","",INDEX(상세표[직위],$U1626)&amp;"")</f>
        <v/>
      </c>
      <c r="M1626">
        <f>IF($U1626="","",IF(ISNUMBER(INDEX(상세표[근무일자],$U1626)),TEXT(INDEX(상세표[근무일자],$U1626),"yyyy-mm-dd"),INDEX(상세표[근무일자],$U1626)&amp;""))</f>
        <v/>
      </c>
      <c r="N1626">
        <f>IF($U1626="","",IF(ISNUMBER(INDEX(상세표[시작],$U1626)),TEXT(INDEX(상세표[시작],$U1626),"yyyy-mm-dd hh:mm"),INDEX(상세표[시작],$U1626)&amp;""))</f>
        <v/>
      </c>
      <c r="O1626">
        <f>IF($U1626="","",IF(ISNUMBER(INDEX(상세표[종료],$U1626)),TEXT(INDEX(상세표[종료],$U1626),"yyyy-mm-dd hh:mm"),INDEX(상세표[종료],$U1626)&amp;""))</f>
        <v/>
      </c>
      <c r="P1626" s="20">
        <f>IF($U1626="","",INDEX(상세표[06~07시],$U1626))</f>
        <v/>
      </c>
      <c r="Q1626" s="20">
        <f>IF($U1626="","",INDEX(상세표[07~18시],$U1626))</f>
        <v/>
      </c>
      <c r="R1626" s="20">
        <f>IF($U1626="","",INDEX(상세표[18~22시],$U1626))</f>
        <v/>
      </c>
      <c r="S1626" s="20">
        <f>IF($U1626="","",INDEX(상세표[22~06시],$U1626))</f>
        <v/>
      </c>
      <c r="T1626" s="20">
        <f>IF($U1626="","",INDEX(상세표[기록 시간외],$U1626))</f>
        <v/>
      </c>
      <c r="U1626" s="4">
        <f>IFERROR(MATCH(1621,상세표[발송순번],0),"")</f>
        <v/>
      </c>
    </row>
    <row r="1627">
      <c r="J1627">
        <f>IF($U1627="","",INDEX(상세표[사번],$U1627)&amp;"")</f>
        <v/>
      </c>
      <c r="K1627">
        <f>IF($U1627="","",INDEX(상세표[성명],$U1627)&amp;"")</f>
        <v/>
      </c>
      <c r="L1627">
        <f>IF($U1627="","",INDEX(상세표[직위],$U1627)&amp;"")</f>
        <v/>
      </c>
      <c r="M1627">
        <f>IF($U1627="","",IF(ISNUMBER(INDEX(상세표[근무일자],$U1627)),TEXT(INDEX(상세표[근무일자],$U1627),"yyyy-mm-dd"),INDEX(상세표[근무일자],$U1627)&amp;""))</f>
        <v/>
      </c>
      <c r="N1627">
        <f>IF($U1627="","",IF(ISNUMBER(INDEX(상세표[시작],$U1627)),TEXT(INDEX(상세표[시작],$U1627),"yyyy-mm-dd hh:mm"),INDEX(상세표[시작],$U1627)&amp;""))</f>
        <v/>
      </c>
      <c r="O1627">
        <f>IF($U1627="","",IF(ISNUMBER(INDEX(상세표[종료],$U1627)),TEXT(INDEX(상세표[종료],$U1627),"yyyy-mm-dd hh:mm"),INDEX(상세표[종료],$U1627)&amp;""))</f>
        <v/>
      </c>
      <c r="P1627" s="20">
        <f>IF($U1627="","",INDEX(상세표[06~07시],$U1627))</f>
        <v/>
      </c>
      <c r="Q1627" s="20">
        <f>IF($U1627="","",INDEX(상세표[07~18시],$U1627))</f>
        <v/>
      </c>
      <c r="R1627" s="20">
        <f>IF($U1627="","",INDEX(상세표[18~22시],$U1627))</f>
        <v/>
      </c>
      <c r="S1627" s="20">
        <f>IF($U1627="","",INDEX(상세표[22~06시],$U1627))</f>
        <v/>
      </c>
      <c r="T1627" s="20">
        <f>IF($U1627="","",INDEX(상세표[기록 시간외],$U1627))</f>
        <v/>
      </c>
      <c r="U1627" s="4">
        <f>IFERROR(MATCH(1622,상세표[발송순번],0),"")</f>
        <v/>
      </c>
    </row>
    <row r="1628">
      <c r="J1628">
        <f>IF($U1628="","",INDEX(상세표[사번],$U1628)&amp;"")</f>
        <v/>
      </c>
      <c r="K1628">
        <f>IF($U1628="","",INDEX(상세표[성명],$U1628)&amp;"")</f>
        <v/>
      </c>
      <c r="L1628">
        <f>IF($U1628="","",INDEX(상세표[직위],$U1628)&amp;"")</f>
        <v/>
      </c>
      <c r="M1628">
        <f>IF($U1628="","",IF(ISNUMBER(INDEX(상세표[근무일자],$U1628)),TEXT(INDEX(상세표[근무일자],$U1628),"yyyy-mm-dd"),INDEX(상세표[근무일자],$U1628)&amp;""))</f>
        <v/>
      </c>
      <c r="N1628">
        <f>IF($U1628="","",IF(ISNUMBER(INDEX(상세표[시작],$U1628)),TEXT(INDEX(상세표[시작],$U1628),"yyyy-mm-dd hh:mm"),INDEX(상세표[시작],$U1628)&amp;""))</f>
        <v/>
      </c>
      <c r="O1628">
        <f>IF($U1628="","",IF(ISNUMBER(INDEX(상세표[종료],$U1628)),TEXT(INDEX(상세표[종료],$U1628),"yyyy-mm-dd hh:mm"),INDEX(상세표[종료],$U1628)&amp;""))</f>
        <v/>
      </c>
      <c r="P1628" s="20">
        <f>IF($U1628="","",INDEX(상세표[06~07시],$U1628))</f>
        <v/>
      </c>
      <c r="Q1628" s="20">
        <f>IF($U1628="","",INDEX(상세표[07~18시],$U1628))</f>
        <v/>
      </c>
      <c r="R1628" s="20">
        <f>IF($U1628="","",INDEX(상세표[18~22시],$U1628))</f>
        <v/>
      </c>
      <c r="S1628" s="20">
        <f>IF($U1628="","",INDEX(상세표[22~06시],$U1628))</f>
        <v/>
      </c>
      <c r="T1628" s="20">
        <f>IF($U1628="","",INDEX(상세표[기록 시간외],$U1628))</f>
        <v/>
      </c>
      <c r="U1628" s="4">
        <f>IFERROR(MATCH(1623,상세표[발송순번],0),"")</f>
        <v/>
      </c>
    </row>
    <row r="1629">
      <c r="J1629">
        <f>IF($U1629="","",INDEX(상세표[사번],$U1629)&amp;"")</f>
        <v/>
      </c>
      <c r="K1629">
        <f>IF($U1629="","",INDEX(상세표[성명],$U1629)&amp;"")</f>
        <v/>
      </c>
      <c r="L1629">
        <f>IF($U1629="","",INDEX(상세표[직위],$U1629)&amp;"")</f>
        <v/>
      </c>
      <c r="M1629">
        <f>IF($U1629="","",IF(ISNUMBER(INDEX(상세표[근무일자],$U1629)),TEXT(INDEX(상세표[근무일자],$U1629),"yyyy-mm-dd"),INDEX(상세표[근무일자],$U1629)&amp;""))</f>
        <v/>
      </c>
      <c r="N1629">
        <f>IF($U1629="","",IF(ISNUMBER(INDEX(상세표[시작],$U1629)),TEXT(INDEX(상세표[시작],$U1629),"yyyy-mm-dd hh:mm"),INDEX(상세표[시작],$U1629)&amp;""))</f>
        <v/>
      </c>
      <c r="O1629">
        <f>IF($U1629="","",IF(ISNUMBER(INDEX(상세표[종료],$U1629)),TEXT(INDEX(상세표[종료],$U1629),"yyyy-mm-dd hh:mm"),INDEX(상세표[종료],$U1629)&amp;""))</f>
        <v/>
      </c>
      <c r="P1629" s="20">
        <f>IF($U1629="","",INDEX(상세표[06~07시],$U1629))</f>
        <v/>
      </c>
      <c r="Q1629" s="20">
        <f>IF($U1629="","",INDEX(상세표[07~18시],$U1629))</f>
        <v/>
      </c>
      <c r="R1629" s="20">
        <f>IF($U1629="","",INDEX(상세표[18~22시],$U1629))</f>
        <v/>
      </c>
      <c r="S1629" s="20">
        <f>IF($U1629="","",INDEX(상세표[22~06시],$U1629))</f>
        <v/>
      </c>
      <c r="T1629" s="20">
        <f>IF($U1629="","",INDEX(상세표[기록 시간외],$U1629))</f>
        <v/>
      </c>
      <c r="U1629" s="4">
        <f>IFERROR(MATCH(1624,상세표[발송순번],0),"")</f>
        <v/>
      </c>
    </row>
    <row r="1630">
      <c r="J1630">
        <f>IF($U1630="","",INDEX(상세표[사번],$U1630)&amp;"")</f>
        <v/>
      </c>
      <c r="K1630">
        <f>IF($U1630="","",INDEX(상세표[성명],$U1630)&amp;"")</f>
        <v/>
      </c>
      <c r="L1630">
        <f>IF($U1630="","",INDEX(상세표[직위],$U1630)&amp;"")</f>
        <v/>
      </c>
      <c r="M1630">
        <f>IF($U1630="","",IF(ISNUMBER(INDEX(상세표[근무일자],$U1630)),TEXT(INDEX(상세표[근무일자],$U1630),"yyyy-mm-dd"),INDEX(상세표[근무일자],$U1630)&amp;""))</f>
        <v/>
      </c>
      <c r="N1630">
        <f>IF($U1630="","",IF(ISNUMBER(INDEX(상세표[시작],$U1630)),TEXT(INDEX(상세표[시작],$U1630),"yyyy-mm-dd hh:mm"),INDEX(상세표[시작],$U1630)&amp;""))</f>
        <v/>
      </c>
      <c r="O1630">
        <f>IF($U1630="","",IF(ISNUMBER(INDEX(상세표[종료],$U1630)),TEXT(INDEX(상세표[종료],$U1630),"yyyy-mm-dd hh:mm"),INDEX(상세표[종료],$U1630)&amp;""))</f>
        <v/>
      </c>
      <c r="P1630" s="20">
        <f>IF($U1630="","",INDEX(상세표[06~07시],$U1630))</f>
        <v/>
      </c>
      <c r="Q1630" s="20">
        <f>IF($U1630="","",INDEX(상세표[07~18시],$U1630))</f>
        <v/>
      </c>
      <c r="R1630" s="20">
        <f>IF($U1630="","",INDEX(상세표[18~22시],$U1630))</f>
        <v/>
      </c>
      <c r="S1630" s="20">
        <f>IF($U1630="","",INDEX(상세표[22~06시],$U1630))</f>
        <v/>
      </c>
      <c r="T1630" s="20">
        <f>IF($U1630="","",INDEX(상세표[기록 시간외],$U1630))</f>
        <v/>
      </c>
      <c r="U1630" s="4">
        <f>IFERROR(MATCH(1625,상세표[발송순번],0),"")</f>
        <v/>
      </c>
    </row>
    <row r="1631">
      <c r="J1631">
        <f>IF($U1631="","",INDEX(상세표[사번],$U1631)&amp;"")</f>
        <v/>
      </c>
      <c r="K1631">
        <f>IF($U1631="","",INDEX(상세표[성명],$U1631)&amp;"")</f>
        <v/>
      </c>
      <c r="L1631">
        <f>IF($U1631="","",INDEX(상세표[직위],$U1631)&amp;"")</f>
        <v/>
      </c>
      <c r="M1631">
        <f>IF($U1631="","",IF(ISNUMBER(INDEX(상세표[근무일자],$U1631)),TEXT(INDEX(상세표[근무일자],$U1631),"yyyy-mm-dd"),INDEX(상세표[근무일자],$U1631)&amp;""))</f>
        <v/>
      </c>
      <c r="N1631">
        <f>IF($U1631="","",IF(ISNUMBER(INDEX(상세표[시작],$U1631)),TEXT(INDEX(상세표[시작],$U1631),"yyyy-mm-dd hh:mm"),INDEX(상세표[시작],$U1631)&amp;""))</f>
        <v/>
      </c>
      <c r="O1631">
        <f>IF($U1631="","",IF(ISNUMBER(INDEX(상세표[종료],$U1631)),TEXT(INDEX(상세표[종료],$U1631),"yyyy-mm-dd hh:mm"),INDEX(상세표[종료],$U1631)&amp;""))</f>
        <v/>
      </c>
      <c r="P1631" s="20">
        <f>IF($U1631="","",INDEX(상세표[06~07시],$U1631))</f>
        <v/>
      </c>
      <c r="Q1631" s="20">
        <f>IF($U1631="","",INDEX(상세표[07~18시],$U1631))</f>
        <v/>
      </c>
      <c r="R1631" s="20">
        <f>IF($U1631="","",INDEX(상세표[18~22시],$U1631))</f>
        <v/>
      </c>
      <c r="S1631" s="20">
        <f>IF($U1631="","",INDEX(상세표[22~06시],$U1631))</f>
        <v/>
      </c>
      <c r="T1631" s="20">
        <f>IF($U1631="","",INDEX(상세표[기록 시간외],$U1631))</f>
        <v/>
      </c>
      <c r="U1631" s="4">
        <f>IFERROR(MATCH(1626,상세표[발송순번],0),"")</f>
        <v/>
      </c>
    </row>
    <row r="1632">
      <c r="J1632">
        <f>IF($U1632="","",INDEX(상세표[사번],$U1632)&amp;"")</f>
        <v/>
      </c>
      <c r="K1632">
        <f>IF($U1632="","",INDEX(상세표[성명],$U1632)&amp;"")</f>
        <v/>
      </c>
      <c r="L1632">
        <f>IF($U1632="","",INDEX(상세표[직위],$U1632)&amp;"")</f>
        <v/>
      </c>
      <c r="M1632">
        <f>IF($U1632="","",IF(ISNUMBER(INDEX(상세표[근무일자],$U1632)),TEXT(INDEX(상세표[근무일자],$U1632),"yyyy-mm-dd"),INDEX(상세표[근무일자],$U1632)&amp;""))</f>
        <v/>
      </c>
      <c r="N1632">
        <f>IF($U1632="","",IF(ISNUMBER(INDEX(상세표[시작],$U1632)),TEXT(INDEX(상세표[시작],$U1632),"yyyy-mm-dd hh:mm"),INDEX(상세표[시작],$U1632)&amp;""))</f>
        <v/>
      </c>
      <c r="O1632">
        <f>IF($U1632="","",IF(ISNUMBER(INDEX(상세표[종료],$U1632)),TEXT(INDEX(상세표[종료],$U1632),"yyyy-mm-dd hh:mm"),INDEX(상세표[종료],$U1632)&amp;""))</f>
        <v/>
      </c>
      <c r="P1632" s="20">
        <f>IF($U1632="","",INDEX(상세표[06~07시],$U1632))</f>
        <v/>
      </c>
      <c r="Q1632" s="20">
        <f>IF($U1632="","",INDEX(상세표[07~18시],$U1632))</f>
        <v/>
      </c>
      <c r="R1632" s="20">
        <f>IF($U1632="","",INDEX(상세표[18~22시],$U1632))</f>
        <v/>
      </c>
      <c r="S1632" s="20">
        <f>IF($U1632="","",INDEX(상세표[22~06시],$U1632))</f>
        <v/>
      </c>
      <c r="T1632" s="20">
        <f>IF($U1632="","",INDEX(상세표[기록 시간외],$U1632))</f>
        <v/>
      </c>
      <c r="U1632" s="4">
        <f>IFERROR(MATCH(1627,상세표[발송순번],0),"")</f>
        <v/>
      </c>
    </row>
    <row r="1633">
      <c r="J1633">
        <f>IF($U1633="","",INDEX(상세표[사번],$U1633)&amp;"")</f>
        <v/>
      </c>
      <c r="K1633">
        <f>IF($U1633="","",INDEX(상세표[성명],$U1633)&amp;"")</f>
        <v/>
      </c>
      <c r="L1633">
        <f>IF($U1633="","",INDEX(상세표[직위],$U1633)&amp;"")</f>
        <v/>
      </c>
      <c r="M1633">
        <f>IF($U1633="","",IF(ISNUMBER(INDEX(상세표[근무일자],$U1633)),TEXT(INDEX(상세표[근무일자],$U1633),"yyyy-mm-dd"),INDEX(상세표[근무일자],$U1633)&amp;""))</f>
        <v/>
      </c>
      <c r="N1633">
        <f>IF($U1633="","",IF(ISNUMBER(INDEX(상세표[시작],$U1633)),TEXT(INDEX(상세표[시작],$U1633),"yyyy-mm-dd hh:mm"),INDEX(상세표[시작],$U1633)&amp;""))</f>
        <v/>
      </c>
      <c r="O1633">
        <f>IF($U1633="","",IF(ISNUMBER(INDEX(상세표[종료],$U1633)),TEXT(INDEX(상세표[종료],$U1633),"yyyy-mm-dd hh:mm"),INDEX(상세표[종료],$U1633)&amp;""))</f>
        <v/>
      </c>
      <c r="P1633" s="20">
        <f>IF($U1633="","",INDEX(상세표[06~07시],$U1633))</f>
        <v/>
      </c>
      <c r="Q1633" s="20">
        <f>IF($U1633="","",INDEX(상세표[07~18시],$U1633))</f>
        <v/>
      </c>
      <c r="R1633" s="20">
        <f>IF($U1633="","",INDEX(상세표[18~22시],$U1633))</f>
        <v/>
      </c>
      <c r="S1633" s="20">
        <f>IF($U1633="","",INDEX(상세표[22~06시],$U1633))</f>
        <v/>
      </c>
      <c r="T1633" s="20">
        <f>IF($U1633="","",INDEX(상세표[기록 시간외],$U1633))</f>
        <v/>
      </c>
      <c r="U1633" s="4">
        <f>IFERROR(MATCH(1628,상세표[발송순번],0),"")</f>
        <v/>
      </c>
    </row>
    <row r="1634">
      <c r="J1634">
        <f>IF($U1634="","",INDEX(상세표[사번],$U1634)&amp;"")</f>
        <v/>
      </c>
      <c r="K1634">
        <f>IF($U1634="","",INDEX(상세표[성명],$U1634)&amp;"")</f>
        <v/>
      </c>
      <c r="L1634">
        <f>IF($U1634="","",INDEX(상세표[직위],$U1634)&amp;"")</f>
        <v/>
      </c>
      <c r="M1634">
        <f>IF($U1634="","",IF(ISNUMBER(INDEX(상세표[근무일자],$U1634)),TEXT(INDEX(상세표[근무일자],$U1634),"yyyy-mm-dd"),INDEX(상세표[근무일자],$U1634)&amp;""))</f>
        <v/>
      </c>
      <c r="N1634">
        <f>IF($U1634="","",IF(ISNUMBER(INDEX(상세표[시작],$U1634)),TEXT(INDEX(상세표[시작],$U1634),"yyyy-mm-dd hh:mm"),INDEX(상세표[시작],$U1634)&amp;""))</f>
        <v/>
      </c>
      <c r="O1634">
        <f>IF($U1634="","",IF(ISNUMBER(INDEX(상세표[종료],$U1634)),TEXT(INDEX(상세표[종료],$U1634),"yyyy-mm-dd hh:mm"),INDEX(상세표[종료],$U1634)&amp;""))</f>
        <v/>
      </c>
      <c r="P1634" s="20">
        <f>IF($U1634="","",INDEX(상세표[06~07시],$U1634))</f>
        <v/>
      </c>
      <c r="Q1634" s="20">
        <f>IF($U1634="","",INDEX(상세표[07~18시],$U1634))</f>
        <v/>
      </c>
      <c r="R1634" s="20">
        <f>IF($U1634="","",INDEX(상세표[18~22시],$U1634))</f>
        <v/>
      </c>
      <c r="S1634" s="20">
        <f>IF($U1634="","",INDEX(상세표[22~06시],$U1634))</f>
        <v/>
      </c>
      <c r="T1634" s="20">
        <f>IF($U1634="","",INDEX(상세표[기록 시간외],$U1634))</f>
        <v/>
      </c>
      <c r="U1634" s="4">
        <f>IFERROR(MATCH(1629,상세표[발송순번],0),"")</f>
        <v/>
      </c>
    </row>
    <row r="1635">
      <c r="J1635">
        <f>IF($U1635="","",INDEX(상세표[사번],$U1635)&amp;"")</f>
        <v/>
      </c>
      <c r="K1635">
        <f>IF($U1635="","",INDEX(상세표[성명],$U1635)&amp;"")</f>
        <v/>
      </c>
      <c r="L1635">
        <f>IF($U1635="","",INDEX(상세표[직위],$U1635)&amp;"")</f>
        <v/>
      </c>
      <c r="M1635">
        <f>IF($U1635="","",IF(ISNUMBER(INDEX(상세표[근무일자],$U1635)),TEXT(INDEX(상세표[근무일자],$U1635),"yyyy-mm-dd"),INDEX(상세표[근무일자],$U1635)&amp;""))</f>
        <v/>
      </c>
      <c r="N1635">
        <f>IF($U1635="","",IF(ISNUMBER(INDEX(상세표[시작],$U1635)),TEXT(INDEX(상세표[시작],$U1635),"yyyy-mm-dd hh:mm"),INDEX(상세표[시작],$U1635)&amp;""))</f>
        <v/>
      </c>
      <c r="O1635">
        <f>IF($U1635="","",IF(ISNUMBER(INDEX(상세표[종료],$U1635)),TEXT(INDEX(상세표[종료],$U1635),"yyyy-mm-dd hh:mm"),INDEX(상세표[종료],$U1635)&amp;""))</f>
        <v/>
      </c>
      <c r="P1635" s="20">
        <f>IF($U1635="","",INDEX(상세표[06~07시],$U1635))</f>
        <v/>
      </c>
      <c r="Q1635" s="20">
        <f>IF($U1635="","",INDEX(상세표[07~18시],$U1635))</f>
        <v/>
      </c>
      <c r="R1635" s="20">
        <f>IF($U1635="","",INDEX(상세표[18~22시],$U1635))</f>
        <v/>
      </c>
      <c r="S1635" s="20">
        <f>IF($U1635="","",INDEX(상세표[22~06시],$U1635))</f>
        <v/>
      </c>
      <c r="T1635" s="20">
        <f>IF($U1635="","",INDEX(상세표[기록 시간외],$U1635))</f>
        <v/>
      </c>
      <c r="U1635" s="4">
        <f>IFERROR(MATCH(1630,상세표[발송순번],0),"")</f>
        <v/>
      </c>
    </row>
    <row r="1636">
      <c r="J1636">
        <f>IF($U1636="","",INDEX(상세표[사번],$U1636)&amp;"")</f>
        <v/>
      </c>
      <c r="K1636">
        <f>IF($U1636="","",INDEX(상세표[성명],$U1636)&amp;"")</f>
        <v/>
      </c>
      <c r="L1636">
        <f>IF($U1636="","",INDEX(상세표[직위],$U1636)&amp;"")</f>
        <v/>
      </c>
      <c r="M1636">
        <f>IF($U1636="","",IF(ISNUMBER(INDEX(상세표[근무일자],$U1636)),TEXT(INDEX(상세표[근무일자],$U1636),"yyyy-mm-dd"),INDEX(상세표[근무일자],$U1636)&amp;""))</f>
        <v/>
      </c>
      <c r="N1636">
        <f>IF($U1636="","",IF(ISNUMBER(INDEX(상세표[시작],$U1636)),TEXT(INDEX(상세표[시작],$U1636),"yyyy-mm-dd hh:mm"),INDEX(상세표[시작],$U1636)&amp;""))</f>
        <v/>
      </c>
      <c r="O1636">
        <f>IF($U1636="","",IF(ISNUMBER(INDEX(상세표[종료],$U1636)),TEXT(INDEX(상세표[종료],$U1636),"yyyy-mm-dd hh:mm"),INDEX(상세표[종료],$U1636)&amp;""))</f>
        <v/>
      </c>
      <c r="P1636" s="20">
        <f>IF($U1636="","",INDEX(상세표[06~07시],$U1636))</f>
        <v/>
      </c>
      <c r="Q1636" s="20">
        <f>IF($U1636="","",INDEX(상세표[07~18시],$U1636))</f>
        <v/>
      </c>
      <c r="R1636" s="20">
        <f>IF($U1636="","",INDEX(상세표[18~22시],$U1636))</f>
        <v/>
      </c>
      <c r="S1636" s="20">
        <f>IF($U1636="","",INDEX(상세표[22~06시],$U1636))</f>
        <v/>
      </c>
      <c r="T1636" s="20">
        <f>IF($U1636="","",INDEX(상세표[기록 시간외],$U1636))</f>
        <v/>
      </c>
      <c r="U1636" s="4">
        <f>IFERROR(MATCH(1631,상세표[발송순번],0),"")</f>
        <v/>
      </c>
    </row>
    <row r="1637">
      <c r="J1637">
        <f>IF($U1637="","",INDEX(상세표[사번],$U1637)&amp;"")</f>
        <v/>
      </c>
      <c r="K1637">
        <f>IF($U1637="","",INDEX(상세표[성명],$U1637)&amp;"")</f>
        <v/>
      </c>
      <c r="L1637">
        <f>IF($U1637="","",INDEX(상세표[직위],$U1637)&amp;"")</f>
        <v/>
      </c>
      <c r="M1637">
        <f>IF($U1637="","",IF(ISNUMBER(INDEX(상세표[근무일자],$U1637)),TEXT(INDEX(상세표[근무일자],$U1637),"yyyy-mm-dd"),INDEX(상세표[근무일자],$U1637)&amp;""))</f>
        <v/>
      </c>
      <c r="N1637">
        <f>IF($U1637="","",IF(ISNUMBER(INDEX(상세표[시작],$U1637)),TEXT(INDEX(상세표[시작],$U1637),"yyyy-mm-dd hh:mm"),INDEX(상세표[시작],$U1637)&amp;""))</f>
        <v/>
      </c>
      <c r="O1637">
        <f>IF($U1637="","",IF(ISNUMBER(INDEX(상세표[종료],$U1637)),TEXT(INDEX(상세표[종료],$U1637),"yyyy-mm-dd hh:mm"),INDEX(상세표[종료],$U1637)&amp;""))</f>
        <v/>
      </c>
      <c r="P1637" s="20">
        <f>IF($U1637="","",INDEX(상세표[06~07시],$U1637))</f>
        <v/>
      </c>
      <c r="Q1637" s="20">
        <f>IF($U1637="","",INDEX(상세표[07~18시],$U1637))</f>
        <v/>
      </c>
      <c r="R1637" s="20">
        <f>IF($U1637="","",INDEX(상세표[18~22시],$U1637))</f>
        <v/>
      </c>
      <c r="S1637" s="20">
        <f>IF($U1637="","",INDEX(상세표[22~06시],$U1637))</f>
        <v/>
      </c>
      <c r="T1637" s="20">
        <f>IF($U1637="","",INDEX(상세표[기록 시간외],$U1637))</f>
        <v/>
      </c>
      <c r="U1637" s="4">
        <f>IFERROR(MATCH(1632,상세표[발송순번],0),"")</f>
        <v/>
      </c>
    </row>
    <row r="1638">
      <c r="J1638">
        <f>IF($U1638="","",INDEX(상세표[사번],$U1638)&amp;"")</f>
        <v/>
      </c>
      <c r="K1638">
        <f>IF($U1638="","",INDEX(상세표[성명],$U1638)&amp;"")</f>
        <v/>
      </c>
      <c r="L1638">
        <f>IF($U1638="","",INDEX(상세표[직위],$U1638)&amp;"")</f>
        <v/>
      </c>
      <c r="M1638">
        <f>IF($U1638="","",IF(ISNUMBER(INDEX(상세표[근무일자],$U1638)),TEXT(INDEX(상세표[근무일자],$U1638),"yyyy-mm-dd"),INDEX(상세표[근무일자],$U1638)&amp;""))</f>
        <v/>
      </c>
      <c r="N1638">
        <f>IF($U1638="","",IF(ISNUMBER(INDEX(상세표[시작],$U1638)),TEXT(INDEX(상세표[시작],$U1638),"yyyy-mm-dd hh:mm"),INDEX(상세표[시작],$U1638)&amp;""))</f>
        <v/>
      </c>
      <c r="O1638">
        <f>IF($U1638="","",IF(ISNUMBER(INDEX(상세표[종료],$U1638)),TEXT(INDEX(상세표[종료],$U1638),"yyyy-mm-dd hh:mm"),INDEX(상세표[종료],$U1638)&amp;""))</f>
        <v/>
      </c>
      <c r="P1638" s="20">
        <f>IF($U1638="","",INDEX(상세표[06~07시],$U1638))</f>
        <v/>
      </c>
      <c r="Q1638" s="20">
        <f>IF($U1638="","",INDEX(상세표[07~18시],$U1638))</f>
        <v/>
      </c>
      <c r="R1638" s="20">
        <f>IF($U1638="","",INDEX(상세표[18~22시],$U1638))</f>
        <v/>
      </c>
      <c r="S1638" s="20">
        <f>IF($U1638="","",INDEX(상세표[22~06시],$U1638))</f>
        <v/>
      </c>
      <c r="T1638" s="20">
        <f>IF($U1638="","",INDEX(상세표[기록 시간외],$U1638))</f>
        <v/>
      </c>
      <c r="U1638" s="4">
        <f>IFERROR(MATCH(1633,상세표[발송순번],0),"")</f>
        <v/>
      </c>
    </row>
    <row r="1639">
      <c r="J1639">
        <f>IF($U1639="","",INDEX(상세표[사번],$U1639)&amp;"")</f>
        <v/>
      </c>
      <c r="K1639">
        <f>IF($U1639="","",INDEX(상세표[성명],$U1639)&amp;"")</f>
        <v/>
      </c>
      <c r="L1639">
        <f>IF($U1639="","",INDEX(상세표[직위],$U1639)&amp;"")</f>
        <v/>
      </c>
      <c r="M1639">
        <f>IF($U1639="","",IF(ISNUMBER(INDEX(상세표[근무일자],$U1639)),TEXT(INDEX(상세표[근무일자],$U1639),"yyyy-mm-dd"),INDEX(상세표[근무일자],$U1639)&amp;""))</f>
        <v/>
      </c>
      <c r="N1639">
        <f>IF($U1639="","",IF(ISNUMBER(INDEX(상세표[시작],$U1639)),TEXT(INDEX(상세표[시작],$U1639),"yyyy-mm-dd hh:mm"),INDEX(상세표[시작],$U1639)&amp;""))</f>
        <v/>
      </c>
      <c r="O1639">
        <f>IF($U1639="","",IF(ISNUMBER(INDEX(상세표[종료],$U1639)),TEXT(INDEX(상세표[종료],$U1639),"yyyy-mm-dd hh:mm"),INDEX(상세표[종료],$U1639)&amp;""))</f>
        <v/>
      </c>
      <c r="P1639" s="20">
        <f>IF($U1639="","",INDEX(상세표[06~07시],$U1639))</f>
        <v/>
      </c>
      <c r="Q1639" s="20">
        <f>IF($U1639="","",INDEX(상세표[07~18시],$U1639))</f>
        <v/>
      </c>
      <c r="R1639" s="20">
        <f>IF($U1639="","",INDEX(상세표[18~22시],$U1639))</f>
        <v/>
      </c>
      <c r="S1639" s="20">
        <f>IF($U1639="","",INDEX(상세표[22~06시],$U1639))</f>
        <v/>
      </c>
      <c r="T1639" s="20">
        <f>IF($U1639="","",INDEX(상세표[기록 시간외],$U1639))</f>
        <v/>
      </c>
      <c r="U1639" s="4">
        <f>IFERROR(MATCH(1634,상세표[발송순번],0),"")</f>
        <v/>
      </c>
    </row>
    <row r="1640">
      <c r="J1640">
        <f>IF($U1640="","",INDEX(상세표[사번],$U1640)&amp;"")</f>
        <v/>
      </c>
      <c r="K1640">
        <f>IF($U1640="","",INDEX(상세표[성명],$U1640)&amp;"")</f>
        <v/>
      </c>
      <c r="L1640">
        <f>IF($U1640="","",INDEX(상세표[직위],$U1640)&amp;"")</f>
        <v/>
      </c>
      <c r="M1640">
        <f>IF($U1640="","",IF(ISNUMBER(INDEX(상세표[근무일자],$U1640)),TEXT(INDEX(상세표[근무일자],$U1640),"yyyy-mm-dd"),INDEX(상세표[근무일자],$U1640)&amp;""))</f>
        <v/>
      </c>
      <c r="N1640">
        <f>IF($U1640="","",IF(ISNUMBER(INDEX(상세표[시작],$U1640)),TEXT(INDEX(상세표[시작],$U1640),"yyyy-mm-dd hh:mm"),INDEX(상세표[시작],$U1640)&amp;""))</f>
        <v/>
      </c>
      <c r="O1640">
        <f>IF($U1640="","",IF(ISNUMBER(INDEX(상세표[종료],$U1640)),TEXT(INDEX(상세표[종료],$U1640),"yyyy-mm-dd hh:mm"),INDEX(상세표[종료],$U1640)&amp;""))</f>
        <v/>
      </c>
      <c r="P1640" s="20">
        <f>IF($U1640="","",INDEX(상세표[06~07시],$U1640))</f>
        <v/>
      </c>
      <c r="Q1640" s="20">
        <f>IF($U1640="","",INDEX(상세표[07~18시],$U1640))</f>
        <v/>
      </c>
      <c r="R1640" s="20">
        <f>IF($U1640="","",INDEX(상세표[18~22시],$U1640))</f>
        <v/>
      </c>
      <c r="S1640" s="20">
        <f>IF($U1640="","",INDEX(상세표[22~06시],$U1640))</f>
        <v/>
      </c>
      <c r="T1640" s="20">
        <f>IF($U1640="","",INDEX(상세표[기록 시간외],$U1640))</f>
        <v/>
      </c>
      <c r="U1640" s="4">
        <f>IFERROR(MATCH(1635,상세표[발송순번],0),"")</f>
        <v/>
      </c>
    </row>
    <row r="1641">
      <c r="J1641">
        <f>IF($U1641="","",INDEX(상세표[사번],$U1641)&amp;"")</f>
        <v/>
      </c>
      <c r="K1641">
        <f>IF($U1641="","",INDEX(상세표[성명],$U1641)&amp;"")</f>
        <v/>
      </c>
      <c r="L1641">
        <f>IF($U1641="","",INDEX(상세표[직위],$U1641)&amp;"")</f>
        <v/>
      </c>
      <c r="M1641">
        <f>IF($U1641="","",IF(ISNUMBER(INDEX(상세표[근무일자],$U1641)),TEXT(INDEX(상세표[근무일자],$U1641),"yyyy-mm-dd"),INDEX(상세표[근무일자],$U1641)&amp;""))</f>
        <v/>
      </c>
      <c r="N1641">
        <f>IF($U1641="","",IF(ISNUMBER(INDEX(상세표[시작],$U1641)),TEXT(INDEX(상세표[시작],$U1641),"yyyy-mm-dd hh:mm"),INDEX(상세표[시작],$U1641)&amp;""))</f>
        <v/>
      </c>
      <c r="O1641">
        <f>IF($U1641="","",IF(ISNUMBER(INDEX(상세표[종료],$U1641)),TEXT(INDEX(상세표[종료],$U1641),"yyyy-mm-dd hh:mm"),INDEX(상세표[종료],$U1641)&amp;""))</f>
        <v/>
      </c>
      <c r="P1641" s="20">
        <f>IF($U1641="","",INDEX(상세표[06~07시],$U1641))</f>
        <v/>
      </c>
      <c r="Q1641" s="20">
        <f>IF($U1641="","",INDEX(상세표[07~18시],$U1641))</f>
        <v/>
      </c>
      <c r="R1641" s="20">
        <f>IF($U1641="","",INDEX(상세표[18~22시],$U1641))</f>
        <v/>
      </c>
      <c r="S1641" s="20">
        <f>IF($U1641="","",INDEX(상세표[22~06시],$U1641))</f>
        <v/>
      </c>
      <c r="T1641" s="20">
        <f>IF($U1641="","",INDEX(상세표[기록 시간외],$U1641))</f>
        <v/>
      </c>
      <c r="U1641" s="4">
        <f>IFERROR(MATCH(1636,상세표[발송순번],0),"")</f>
        <v/>
      </c>
    </row>
    <row r="1642">
      <c r="J1642">
        <f>IF($U1642="","",INDEX(상세표[사번],$U1642)&amp;"")</f>
        <v/>
      </c>
      <c r="K1642">
        <f>IF($U1642="","",INDEX(상세표[성명],$U1642)&amp;"")</f>
        <v/>
      </c>
      <c r="L1642">
        <f>IF($U1642="","",INDEX(상세표[직위],$U1642)&amp;"")</f>
        <v/>
      </c>
      <c r="M1642">
        <f>IF($U1642="","",IF(ISNUMBER(INDEX(상세표[근무일자],$U1642)),TEXT(INDEX(상세표[근무일자],$U1642),"yyyy-mm-dd"),INDEX(상세표[근무일자],$U1642)&amp;""))</f>
        <v/>
      </c>
      <c r="N1642">
        <f>IF($U1642="","",IF(ISNUMBER(INDEX(상세표[시작],$U1642)),TEXT(INDEX(상세표[시작],$U1642),"yyyy-mm-dd hh:mm"),INDEX(상세표[시작],$U1642)&amp;""))</f>
        <v/>
      </c>
      <c r="O1642">
        <f>IF($U1642="","",IF(ISNUMBER(INDEX(상세표[종료],$U1642)),TEXT(INDEX(상세표[종료],$U1642),"yyyy-mm-dd hh:mm"),INDEX(상세표[종료],$U1642)&amp;""))</f>
        <v/>
      </c>
      <c r="P1642" s="20">
        <f>IF($U1642="","",INDEX(상세표[06~07시],$U1642))</f>
        <v/>
      </c>
      <c r="Q1642" s="20">
        <f>IF($U1642="","",INDEX(상세표[07~18시],$U1642))</f>
        <v/>
      </c>
      <c r="R1642" s="20">
        <f>IF($U1642="","",INDEX(상세표[18~22시],$U1642))</f>
        <v/>
      </c>
      <c r="S1642" s="20">
        <f>IF($U1642="","",INDEX(상세표[22~06시],$U1642))</f>
        <v/>
      </c>
      <c r="T1642" s="20">
        <f>IF($U1642="","",INDEX(상세표[기록 시간외],$U1642))</f>
        <v/>
      </c>
      <c r="U1642" s="4">
        <f>IFERROR(MATCH(1637,상세표[발송순번],0),"")</f>
        <v/>
      </c>
    </row>
    <row r="1643">
      <c r="J1643">
        <f>IF($U1643="","",INDEX(상세표[사번],$U1643)&amp;"")</f>
        <v/>
      </c>
      <c r="K1643">
        <f>IF($U1643="","",INDEX(상세표[성명],$U1643)&amp;"")</f>
        <v/>
      </c>
      <c r="L1643">
        <f>IF($U1643="","",INDEX(상세표[직위],$U1643)&amp;"")</f>
        <v/>
      </c>
      <c r="M1643">
        <f>IF($U1643="","",IF(ISNUMBER(INDEX(상세표[근무일자],$U1643)),TEXT(INDEX(상세표[근무일자],$U1643),"yyyy-mm-dd"),INDEX(상세표[근무일자],$U1643)&amp;""))</f>
        <v/>
      </c>
      <c r="N1643">
        <f>IF($U1643="","",IF(ISNUMBER(INDEX(상세표[시작],$U1643)),TEXT(INDEX(상세표[시작],$U1643),"yyyy-mm-dd hh:mm"),INDEX(상세표[시작],$U1643)&amp;""))</f>
        <v/>
      </c>
      <c r="O1643">
        <f>IF($U1643="","",IF(ISNUMBER(INDEX(상세표[종료],$U1643)),TEXT(INDEX(상세표[종료],$U1643),"yyyy-mm-dd hh:mm"),INDEX(상세표[종료],$U1643)&amp;""))</f>
        <v/>
      </c>
      <c r="P1643" s="20">
        <f>IF($U1643="","",INDEX(상세표[06~07시],$U1643))</f>
        <v/>
      </c>
      <c r="Q1643" s="20">
        <f>IF($U1643="","",INDEX(상세표[07~18시],$U1643))</f>
        <v/>
      </c>
      <c r="R1643" s="20">
        <f>IF($U1643="","",INDEX(상세표[18~22시],$U1643))</f>
        <v/>
      </c>
      <c r="S1643" s="20">
        <f>IF($U1643="","",INDEX(상세표[22~06시],$U1643))</f>
        <v/>
      </c>
      <c r="T1643" s="20">
        <f>IF($U1643="","",INDEX(상세표[기록 시간외],$U1643))</f>
        <v/>
      </c>
      <c r="U1643" s="4">
        <f>IFERROR(MATCH(1638,상세표[발송순번],0),"")</f>
        <v/>
      </c>
    </row>
    <row r="1644">
      <c r="J1644">
        <f>IF($U1644="","",INDEX(상세표[사번],$U1644)&amp;"")</f>
        <v/>
      </c>
      <c r="K1644">
        <f>IF($U1644="","",INDEX(상세표[성명],$U1644)&amp;"")</f>
        <v/>
      </c>
      <c r="L1644">
        <f>IF($U1644="","",INDEX(상세표[직위],$U1644)&amp;"")</f>
        <v/>
      </c>
      <c r="M1644">
        <f>IF($U1644="","",IF(ISNUMBER(INDEX(상세표[근무일자],$U1644)),TEXT(INDEX(상세표[근무일자],$U1644),"yyyy-mm-dd"),INDEX(상세표[근무일자],$U1644)&amp;""))</f>
        <v/>
      </c>
      <c r="N1644">
        <f>IF($U1644="","",IF(ISNUMBER(INDEX(상세표[시작],$U1644)),TEXT(INDEX(상세표[시작],$U1644),"yyyy-mm-dd hh:mm"),INDEX(상세표[시작],$U1644)&amp;""))</f>
        <v/>
      </c>
      <c r="O1644">
        <f>IF($U1644="","",IF(ISNUMBER(INDEX(상세표[종료],$U1644)),TEXT(INDEX(상세표[종료],$U1644),"yyyy-mm-dd hh:mm"),INDEX(상세표[종료],$U1644)&amp;""))</f>
        <v/>
      </c>
      <c r="P1644" s="20">
        <f>IF($U1644="","",INDEX(상세표[06~07시],$U1644))</f>
        <v/>
      </c>
      <c r="Q1644" s="20">
        <f>IF($U1644="","",INDEX(상세표[07~18시],$U1644))</f>
        <v/>
      </c>
      <c r="R1644" s="20">
        <f>IF($U1644="","",INDEX(상세표[18~22시],$U1644))</f>
        <v/>
      </c>
      <c r="S1644" s="20">
        <f>IF($U1644="","",INDEX(상세표[22~06시],$U1644))</f>
        <v/>
      </c>
      <c r="T1644" s="20">
        <f>IF($U1644="","",INDEX(상세표[기록 시간외],$U1644))</f>
        <v/>
      </c>
      <c r="U1644" s="4">
        <f>IFERROR(MATCH(1639,상세표[발송순번],0),"")</f>
        <v/>
      </c>
    </row>
    <row r="1645">
      <c r="J1645">
        <f>IF($U1645="","",INDEX(상세표[사번],$U1645)&amp;"")</f>
        <v/>
      </c>
      <c r="K1645">
        <f>IF($U1645="","",INDEX(상세표[성명],$U1645)&amp;"")</f>
        <v/>
      </c>
      <c r="L1645">
        <f>IF($U1645="","",INDEX(상세표[직위],$U1645)&amp;"")</f>
        <v/>
      </c>
      <c r="M1645">
        <f>IF($U1645="","",IF(ISNUMBER(INDEX(상세표[근무일자],$U1645)),TEXT(INDEX(상세표[근무일자],$U1645),"yyyy-mm-dd"),INDEX(상세표[근무일자],$U1645)&amp;""))</f>
        <v/>
      </c>
      <c r="N1645">
        <f>IF($U1645="","",IF(ISNUMBER(INDEX(상세표[시작],$U1645)),TEXT(INDEX(상세표[시작],$U1645),"yyyy-mm-dd hh:mm"),INDEX(상세표[시작],$U1645)&amp;""))</f>
        <v/>
      </c>
      <c r="O1645">
        <f>IF($U1645="","",IF(ISNUMBER(INDEX(상세표[종료],$U1645)),TEXT(INDEX(상세표[종료],$U1645),"yyyy-mm-dd hh:mm"),INDEX(상세표[종료],$U1645)&amp;""))</f>
        <v/>
      </c>
      <c r="P1645" s="20">
        <f>IF($U1645="","",INDEX(상세표[06~07시],$U1645))</f>
        <v/>
      </c>
      <c r="Q1645" s="20">
        <f>IF($U1645="","",INDEX(상세표[07~18시],$U1645))</f>
        <v/>
      </c>
      <c r="R1645" s="20">
        <f>IF($U1645="","",INDEX(상세표[18~22시],$U1645))</f>
        <v/>
      </c>
      <c r="S1645" s="20">
        <f>IF($U1645="","",INDEX(상세표[22~06시],$U1645))</f>
        <v/>
      </c>
      <c r="T1645" s="20">
        <f>IF($U1645="","",INDEX(상세표[기록 시간외],$U1645))</f>
        <v/>
      </c>
      <c r="U1645" s="4">
        <f>IFERROR(MATCH(1640,상세표[발송순번],0),"")</f>
        <v/>
      </c>
    </row>
    <row r="1646">
      <c r="J1646">
        <f>IF($U1646="","",INDEX(상세표[사번],$U1646)&amp;"")</f>
        <v/>
      </c>
      <c r="K1646">
        <f>IF($U1646="","",INDEX(상세표[성명],$U1646)&amp;"")</f>
        <v/>
      </c>
      <c r="L1646">
        <f>IF($U1646="","",INDEX(상세표[직위],$U1646)&amp;"")</f>
        <v/>
      </c>
      <c r="M1646">
        <f>IF($U1646="","",IF(ISNUMBER(INDEX(상세표[근무일자],$U1646)),TEXT(INDEX(상세표[근무일자],$U1646),"yyyy-mm-dd"),INDEX(상세표[근무일자],$U1646)&amp;""))</f>
        <v/>
      </c>
      <c r="N1646">
        <f>IF($U1646="","",IF(ISNUMBER(INDEX(상세표[시작],$U1646)),TEXT(INDEX(상세표[시작],$U1646),"yyyy-mm-dd hh:mm"),INDEX(상세표[시작],$U1646)&amp;""))</f>
        <v/>
      </c>
      <c r="O1646">
        <f>IF($U1646="","",IF(ISNUMBER(INDEX(상세표[종료],$U1646)),TEXT(INDEX(상세표[종료],$U1646),"yyyy-mm-dd hh:mm"),INDEX(상세표[종료],$U1646)&amp;""))</f>
        <v/>
      </c>
      <c r="P1646" s="20">
        <f>IF($U1646="","",INDEX(상세표[06~07시],$U1646))</f>
        <v/>
      </c>
      <c r="Q1646" s="20">
        <f>IF($U1646="","",INDEX(상세표[07~18시],$U1646))</f>
        <v/>
      </c>
      <c r="R1646" s="20">
        <f>IF($U1646="","",INDEX(상세표[18~22시],$U1646))</f>
        <v/>
      </c>
      <c r="S1646" s="20">
        <f>IF($U1646="","",INDEX(상세표[22~06시],$U1646))</f>
        <v/>
      </c>
      <c r="T1646" s="20">
        <f>IF($U1646="","",INDEX(상세표[기록 시간외],$U1646))</f>
        <v/>
      </c>
      <c r="U1646" s="4">
        <f>IFERROR(MATCH(1641,상세표[발송순번],0),"")</f>
        <v/>
      </c>
    </row>
    <row r="1647">
      <c r="J1647">
        <f>IF($U1647="","",INDEX(상세표[사번],$U1647)&amp;"")</f>
        <v/>
      </c>
      <c r="K1647">
        <f>IF($U1647="","",INDEX(상세표[성명],$U1647)&amp;"")</f>
        <v/>
      </c>
      <c r="L1647">
        <f>IF($U1647="","",INDEX(상세표[직위],$U1647)&amp;"")</f>
        <v/>
      </c>
      <c r="M1647">
        <f>IF($U1647="","",IF(ISNUMBER(INDEX(상세표[근무일자],$U1647)),TEXT(INDEX(상세표[근무일자],$U1647),"yyyy-mm-dd"),INDEX(상세표[근무일자],$U1647)&amp;""))</f>
        <v/>
      </c>
      <c r="N1647">
        <f>IF($U1647="","",IF(ISNUMBER(INDEX(상세표[시작],$U1647)),TEXT(INDEX(상세표[시작],$U1647),"yyyy-mm-dd hh:mm"),INDEX(상세표[시작],$U1647)&amp;""))</f>
        <v/>
      </c>
      <c r="O1647">
        <f>IF($U1647="","",IF(ISNUMBER(INDEX(상세표[종료],$U1647)),TEXT(INDEX(상세표[종료],$U1647),"yyyy-mm-dd hh:mm"),INDEX(상세표[종료],$U1647)&amp;""))</f>
        <v/>
      </c>
      <c r="P1647" s="20">
        <f>IF($U1647="","",INDEX(상세표[06~07시],$U1647))</f>
        <v/>
      </c>
      <c r="Q1647" s="20">
        <f>IF($U1647="","",INDEX(상세표[07~18시],$U1647))</f>
        <v/>
      </c>
      <c r="R1647" s="20">
        <f>IF($U1647="","",INDEX(상세표[18~22시],$U1647))</f>
        <v/>
      </c>
      <c r="S1647" s="20">
        <f>IF($U1647="","",INDEX(상세표[22~06시],$U1647))</f>
        <v/>
      </c>
      <c r="T1647" s="20">
        <f>IF($U1647="","",INDEX(상세표[기록 시간외],$U1647))</f>
        <v/>
      </c>
      <c r="U1647" s="4">
        <f>IFERROR(MATCH(1642,상세표[발송순번],0),"")</f>
        <v/>
      </c>
    </row>
    <row r="1648">
      <c r="J1648">
        <f>IF($U1648="","",INDEX(상세표[사번],$U1648)&amp;"")</f>
        <v/>
      </c>
      <c r="K1648">
        <f>IF($U1648="","",INDEX(상세표[성명],$U1648)&amp;"")</f>
        <v/>
      </c>
      <c r="L1648">
        <f>IF($U1648="","",INDEX(상세표[직위],$U1648)&amp;"")</f>
        <v/>
      </c>
      <c r="M1648">
        <f>IF($U1648="","",IF(ISNUMBER(INDEX(상세표[근무일자],$U1648)),TEXT(INDEX(상세표[근무일자],$U1648),"yyyy-mm-dd"),INDEX(상세표[근무일자],$U1648)&amp;""))</f>
        <v/>
      </c>
      <c r="N1648">
        <f>IF($U1648="","",IF(ISNUMBER(INDEX(상세표[시작],$U1648)),TEXT(INDEX(상세표[시작],$U1648),"yyyy-mm-dd hh:mm"),INDEX(상세표[시작],$U1648)&amp;""))</f>
        <v/>
      </c>
      <c r="O1648">
        <f>IF($U1648="","",IF(ISNUMBER(INDEX(상세표[종료],$U1648)),TEXT(INDEX(상세표[종료],$U1648),"yyyy-mm-dd hh:mm"),INDEX(상세표[종료],$U1648)&amp;""))</f>
        <v/>
      </c>
      <c r="P1648" s="20">
        <f>IF($U1648="","",INDEX(상세표[06~07시],$U1648))</f>
        <v/>
      </c>
      <c r="Q1648" s="20">
        <f>IF($U1648="","",INDEX(상세표[07~18시],$U1648))</f>
        <v/>
      </c>
      <c r="R1648" s="20">
        <f>IF($U1648="","",INDEX(상세표[18~22시],$U1648))</f>
        <v/>
      </c>
      <c r="S1648" s="20">
        <f>IF($U1648="","",INDEX(상세표[22~06시],$U1648))</f>
        <v/>
      </c>
      <c r="T1648" s="20">
        <f>IF($U1648="","",INDEX(상세표[기록 시간외],$U1648))</f>
        <v/>
      </c>
      <c r="U1648" s="4">
        <f>IFERROR(MATCH(1643,상세표[발송순번],0),"")</f>
        <v/>
      </c>
    </row>
    <row r="1649">
      <c r="J1649">
        <f>IF($U1649="","",INDEX(상세표[사번],$U1649)&amp;"")</f>
        <v/>
      </c>
      <c r="K1649">
        <f>IF($U1649="","",INDEX(상세표[성명],$U1649)&amp;"")</f>
        <v/>
      </c>
      <c r="L1649">
        <f>IF($U1649="","",INDEX(상세표[직위],$U1649)&amp;"")</f>
        <v/>
      </c>
      <c r="M1649">
        <f>IF($U1649="","",IF(ISNUMBER(INDEX(상세표[근무일자],$U1649)),TEXT(INDEX(상세표[근무일자],$U1649),"yyyy-mm-dd"),INDEX(상세표[근무일자],$U1649)&amp;""))</f>
        <v/>
      </c>
      <c r="N1649">
        <f>IF($U1649="","",IF(ISNUMBER(INDEX(상세표[시작],$U1649)),TEXT(INDEX(상세표[시작],$U1649),"yyyy-mm-dd hh:mm"),INDEX(상세표[시작],$U1649)&amp;""))</f>
        <v/>
      </c>
      <c r="O1649">
        <f>IF($U1649="","",IF(ISNUMBER(INDEX(상세표[종료],$U1649)),TEXT(INDEX(상세표[종료],$U1649),"yyyy-mm-dd hh:mm"),INDEX(상세표[종료],$U1649)&amp;""))</f>
        <v/>
      </c>
      <c r="P1649" s="20">
        <f>IF($U1649="","",INDEX(상세표[06~07시],$U1649))</f>
        <v/>
      </c>
      <c r="Q1649" s="20">
        <f>IF($U1649="","",INDEX(상세표[07~18시],$U1649))</f>
        <v/>
      </c>
      <c r="R1649" s="20">
        <f>IF($U1649="","",INDEX(상세표[18~22시],$U1649))</f>
        <v/>
      </c>
      <c r="S1649" s="20">
        <f>IF($U1649="","",INDEX(상세표[22~06시],$U1649))</f>
        <v/>
      </c>
      <c r="T1649" s="20">
        <f>IF($U1649="","",INDEX(상세표[기록 시간외],$U1649))</f>
        <v/>
      </c>
      <c r="U1649" s="4">
        <f>IFERROR(MATCH(1644,상세표[발송순번],0),"")</f>
        <v/>
      </c>
    </row>
    <row r="1650">
      <c r="J1650">
        <f>IF($U1650="","",INDEX(상세표[사번],$U1650)&amp;"")</f>
        <v/>
      </c>
      <c r="K1650">
        <f>IF($U1650="","",INDEX(상세표[성명],$U1650)&amp;"")</f>
        <v/>
      </c>
      <c r="L1650">
        <f>IF($U1650="","",INDEX(상세표[직위],$U1650)&amp;"")</f>
        <v/>
      </c>
      <c r="M1650">
        <f>IF($U1650="","",IF(ISNUMBER(INDEX(상세표[근무일자],$U1650)),TEXT(INDEX(상세표[근무일자],$U1650),"yyyy-mm-dd"),INDEX(상세표[근무일자],$U1650)&amp;""))</f>
        <v/>
      </c>
      <c r="N1650">
        <f>IF($U1650="","",IF(ISNUMBER(INDEX(상세표[시작],$U1650)),TEXT(INDEX(상세표[시작],$U1650),"yyyy-mm-dd hh:mm"),INDEX(상세표[시작],$U1650)&amp;""))</f>
        <v/>
      </c>
      <c r="O1650">
        <f>IF($U1650="","",IF(ISNUMBER(INDEX(상세표[종료],$U1650)),TEXT(INDEX(상세표[종료],$U1650),"yyyy-mm-dd hh:mm"),INDEX(상세표[종료],$U1650)&amp;""))</f>
        <v/>
      </c>
      <c r="P1650" s="20">
        <f>IF($U1650="","",INDEX(상세표[06~07시],$U1650))</f>
        <v/>
      </c>
      <c r="Q1650" s="20">
        <f>IF($U1650="","",INDEX(상세표[07~18시],$U1650))</f>
        <v/>
      </c>
      <c r="R1650" s="20">
        <f>IF($U1650="","",INDEX(상세표[18~22시],$U1650))</f>
        <v/>
      </c>
      <c r="S1650" s="20">
        <f>IF($U1650="","",INDEX(상세표[22~06시],$U1650))</f>
        <v/>
      </c>
      <c r="T1650" s="20">
        <f>IF($U1650="","",INDEX(상세표[기록 시간외],$U1650))</f>
        <v/>
      </c>
      <c r="U1650" s="4">
        <f>IFERROR(MATCH(1645,상세표[발송순번],0),"")</f>
        <v/>
      </c>
    </row>
    <row r="1651">
      <c r="J1651">
        <f>IF($U1651="","",INDEX(상세표[사번],$U1651)&amp;"")</f>
        <v/>
      </c>
      <c r="K1651">
        <f>IF($U1651="","",INDEX(상세표[성명],$U1651)&amp;"")</f>
        <v/>
      </c>
      <c r="L1651">
        <f>IF($U1651="","",INDEX(상세표[직위],$U1651)&amp;"")</f>
        <v/>
      </c>
      <c r="M1651">
        <f>IF($U1651="","",IF(ISNUMBER(INDEX(상세표[근무일자],$U1651)),TEXT(INDEX(상세표[근무일자],$U1651),"yyyy-mm-dd"),INDEX(상세표[근무일자],$U1651)&amp;""))</f>
        <v/>
      </c>
      <c r="N1651">
        <f>IF($U1651="","",IF(ISNUMBER(INDEX(상세표[시작],$U1651)),TEXT(INDEX(상세표[시작],$U1651),"yyyy-mm-dd hh:mm"),INDEX(상세표[시작],$U1651)&amp;""))</f>
        <v/>
      </c>
      <c r="O1651">
        <f>IF($U1651="","",IF(ISNUMBER(INDEX(상세표[종료],$U1651)),TEXT(INDEX(상세표[종료],$U1651),"yyyy-mm-dd hh:mm"),INDEX(상세표[종료],$U1651)&amp;""))</f>
        <v/>
      </c>
      <c r="P1651" s="20">
        <f>IF($U1651="","",INDEX(상세표[06~07시],$U1651))</f>
        <v/>
      </c>
      <c r="Q1651" s="20">
        <f>IF($U1651="","",INDEX(상세표[07~18시],$U1651))</f>
        <v/>
      </c>
      <c r="R1651" s="20">
        <f>IF($U1651="","",INDEX(상세표[18~22시],$U1651))</f>
        <v/>
      </c>
      <c r="S1651" s="20">
        <f>IF($U1651="","",INDEX(상세표[22~06시],$U1651))</f>
        <v/>
      </c>
      <c r="T1651" s="20">
        <f>IF($U1651="","",INDEX(상세표[기록 시간외],$U1651))</f>
        <v/>
      </c>
      <c r="U1651" s="4">
        <f>IFERROR(MATCH(1646,상세표[발송순번],0),"")</f>
        <v/>
      </c>
    </row>
    <row r="1652">
      <c r="J1652">
        <f>IF($U1652="","",INDEX(상세표[사번],$U1652)&amp;"")</f>
        <v/>
      </c>
      <c r="K1652">
        <f>IF($U1652="","",INDEX(상세표[성명],$U1652)&amp;"")</f>
        <v/>
      </c>
      <c r="L1652">
        <f>IF($U1652="","",INDEX(상세표[직위],$U1652)&amp;"")</f>
        <v/>
      </c>
      <c r="M1652">
        <f>IF($U1652="","",IF(ISNUMBER(INDEX(상세표[근무일자],$U1652)),TEXT(INDEX(상세표[근무일자],$U1652),"yyyy-mm-dd"),INDEX(상세표[근무일자],$U1652)&amp;""))</f>
        <v/>
      </c>
      <c r="N1652">
        <f>IF($U1652="","",IF(ISNUMBER(INDEX(상세표[시작],$U1652)),TEXT(INDEX(상세표[시작],$U1652),"yyyy-mm-dd hh:mm"),INDEX(상세표[시작],$U1652)&amp;""))</f>
        <v/>
      </c>
      <c r="O1652">
        <f>IF($U1652="","",IF(ISNUMBER(INDEX(상세표[종료],$U1652)),TEXT(INDEX(상세표[종료],$U1652),"yyyy-mm-dd hh:mm"),INDEX(상세표[종료],$U1652)&amp;""))</f>
        <v/>
      </c>
      <c r="P1652" s="20">
        <f>IF($U1652="","",INDEX(상세표[06~07시],$U1652))</f>
        <v/>
      </c>
      <c r="Q1652" s="20">
        <f>IF($U1652="","",INDEX(상세표[07~18시],$U1652))</f>
        <v/>
      </c>
      <c r="R1652" s="20">
        <f>IF($U1652="","",INDEX(상세표[18~22시],$U1652))</f>
        <v/>
      </c>
      <c r="S1652" s="20">
        <f>IF($U1652="","",INDEX(상세표[22~06시],$U1652))</f>
        <v/>
      </c>
      <c r="T1652" s="20">
        <f>IF($U1652="","",INDEX(상세표[기록 시간외],$U1652))</f>
        <v/>
      </c>
      <c r="U1652" s="4">
        <f>IFERROR(MATCH(1647,상세표[발송순번],0),"")</f>
        <v/>
      </c>
    </row>
    <row r="1653">
      <c r="J1653">
        <f>IF($U1653="","",INDEX(상세표[사번],$U1653)&amp;"")</f>
        <v/>
      </c>
      <c r="K1653">
        <f>IF($U1653="","",INDEX(상세표[성명],$U1653)&amp;"")</f>
        <v/>
      </c>
      <c r="L1653">
        <f>IF($U1653="","",INDEX(상세표[직위],$U1653)&amp;"")</f>
        <v/>
      </c>
      <c r="M1653">
        <f>IF($U1653="","",IF(ISNUMBER(INDEX(상세표[근무일자],$U1653)),TEXT(INDEX(상세표[근무일자],$U1653),"yyyy-mm-dd"),INDEX(상세표[근무일자],$U1653)&amp;""))</f>
        <v/>
      </c>
      <c r="N1653">
        <f>IF($U1653="","",IF(ISNUMBER(INDEX(상세표[시작],$U1653)),TEXT(INDEX(상세표[시작],$U1653),"yyyy-mm-dd hh:mm"),INDEX(상세표[시작],$U1653)&amp;""))</f>
        <v/>
      </c>
      <c r="O1653">
        <f>IF($U1653="","",IF(ISNUMBER(INDEX(상세표[종료],$U1653)),TEXT(INDEX(상세표[종료],$U1653),"yyyy-mm-dd hh:mm"),INDEX(상세표[종료],$U1653)&amp;""))</f>
        <v/>
      </c>
      <c r="P1653" s="20">
        <f>IF($U1653="","",INDEX(상세표[06~07시],$U1653))</f>
        <v/>
      </c>
      <c r="Q1653" s="20">
        <f>IF($U1653="","",INDEX(상세표[07~18시],$U1653))</f>
        <v/>
      </c>
      <c r="R1653" s="20">
        <f>IF($U1653="","",INDEX(상세표[18~22시],$U1653))</f>
        <v/>
      </c>
      <c r="S1653" s="20">
        <f>IF($U1653="","",INDEX(상세표[22~06시],$U1653))</f>
        <v/>
      </c>
      <c r="T1653" s="20">
        <f>IF($U1653="","",INDEX(상세표[기록 시간외],$U1653))</f>
        <v/>
      </c>
      <c r="U1653" s="4">
        <f>IFERROR(MATCH(1648,상세표[발송순번],0),"")</f>
        <v/>
      </c>
    </row>
    <row r="1654">
      <c r="J1654">
        <f>IF($U1654="","",INDEX(상세표[사번],$U1654)&amp;"")</f>
        <v/>
      </c>
      <c r="K1654">
        <f>IF($U1654="","",INDEX(상세표[성명],$U1654)&amp;"")</f>
        <v/>
      </c>
      <c r="L1654">
        <f>IF($U1654="","",INDEX(상세표[직위],$U1654)&amp;"")</f>
        <v/>
      </c>
      <c r="M1654">
        <f>IF($U1654="","",IF(ISNUMBER(INDEX(상세표[근무일자],$U1654)),TEXT(INDEX(상세표[근무일자],$U1654),"yyyy-mm-dd"),INDEX(상세표[근무일자],$U1654)&amp;""))</f>
        <v/>
      </c>
      <c r="N1654">
        <f>IF($U1654="","",IF(ISNUMBER(INDEX(상세표[시작],$U1654)),TEXT(INDEX(상세표[시작],$U1654),"yyyy-mm-dd hh:mm"),INDEX(상세표[시작],$U1654)&amp;""))</f>
        <v/>
      </c>
      <c r="O1654">
        <f>IF($U1654="","",IF(ISNUMBER(INDEX(상세표[종료],$U1654)),TEXT(INDEX(상세표[종료],$U1654),"yyyy-mm-dd hh:mm"),INDEX(상세표[종료],$U1654)&amp;""))</f>
        <v/>
      </c>
      <c r="P1654" s="20">
        <f>IF($U1654="","",INDEX(상세표[06~07시],$U1654))</f>
        <v/>
      </c>
      <c r="Q1654" s="20">
        <f>IF($U1654="","",INDEX(상세표[07~18시],$U1654))</f>
        <v/>
      </c>
      <c r="R1654" s="20">
        <f>IF($U1654="","",INDEX(상세표[18~22시],$U1654))</f>
        <v/>
      </c>
      <c r="S1654" s="20">
        <f>IF($U1654="","",INDEX(상세표[22~06시],$U1654))</f>
        <v/>
      </c>
      <c r="T1654" s="20">
        <f>IF($U1654="","",INDEX(상세표[기록 시간외],$U1654))</f>
        <v/>
      </c>
      <c r="U1654" s="4">
        <f>IFERROR(MATCH(1649,상세표[발송순번],0),"")</f>
        <v/>
      </c>
    </row>
    <row r="1655">
      <c r="J1655">
        <f>IF($U1655="","",INDEX(상세표[사번],$U1655)&amp;"")</f>
        <v/>
      </c>
      <c r="K1655">
        <f>IF($U1655="","",INDEX(상세표[성명],$U1655)&amp;"")</f>
        <v/>
      </c>
      <c r="L1655">
        <f>IF($U1655="","",INDEX(상세표[직위],$U1655)&amp;"")</f>
        <v/>
      </c>
      <c r="M1655">
        <f>IF($U1655="","",IF(ISNUMBER(INDEX(상세표[근무일자],$U1655)),TEXT(INDEX(상세표[근무일자],$U1655),"yyyy-mm-dd"),INDEX(상세표[근무일자],$U1655)&amp;""))</f>
        <v/>
      </c>
      <c r="N1655">
        <f>IF($U1655="","",IF(ISNUMBER(INDEX(상세표[시작],$U1655)),TEXT(INDEX(상세표[시작],$U1655),"yyyy-mm-dd hh:mm"),INDEX(상세표[시작],$U1655)&amp;""))</f>
        <v/>
      </c>
      <c r="O1655">
        <f>IF($U1655="","",IF(ISNUMBER(INDEX(상세표[종료],$U1655)),TEXT(INDEX(상세표[종료],$U1655),"yyyy-mm-dd hh:mm"),INDEX(상세표[종료],$U1655)&amp;""))</f>
        <v/>
      </c>
      <c r="P1655" s="20">
        <f>IF($U1655="","",INDEX(상세표[06~07시],$U1655))</f>
        <v/>
      </c>
      <c r="Q1655" s="20">
        <f>IF($U1655="","",INDEX(상세표[07~18시],$U1655))</f>
        <v/>
      </c>
      <c r="R1655" s="20">
        <f>IF($U1655="","",INDEX(상세표[18~22시],$U1655))</f>
        <v/>
      </c>
      <c r="S1655" s="20">
        <f>IF($U1655="","",INDEX(상세표[22~06시],$U1655))</f>
        <v/>
      </c>
      <c r="T1655" s="20">
        <f>IF($U1655="","",INDEX(상세표[기록 시간외],$U1655))</f>
        <v/>
      </c>
      <c r="U1655" s="4">
        <f>IFERROR(MATCH(1650,상세표[발송순번],0),"")</f>
        <v/>
      </c>
    </row>
    <row r="1656">
      <c r="J1656">
        <f>IF($U1656="","",INDEX(상세표[사번],$U1656)&amp;"")</f>
        <v/>
      </c>
      <c r="K1656">
        <f>IF($U1656="","",INDEX(상세표[성명],$U1656)&amp;"")</f>
        <v/>
      </c>
      <c r="L1656">
        <f>IF($U1656="","",INDEX(상세표[직위],$U1656)&amp;"")</f>
        <v/>
      </c>
      <c r="M1656">
        <f>IF($U1656="","",IF(ISNUMBER(INDEX(상세표[근무일자],$U1656)),TEXT(INDEX(상세표[근무일자],$U1656),"yyyy-mm-dd"),INDEX(상세표[근무일자],$U1656)&amp;""))</f>
        <v/>
      </c>
      <c r="N1656">
        <f>IF($U1656="","",IF(ISNUMBER(INDEX(상세표[시작],$U1656)),TEXT(INDEX(상세표[시작],$U1656),"yyyy-mm-dd hh:mm"),INDEX(상세표[시작],$U1656)&amp;""))</f>
        <v/>
      </c>
      <c r="O1656">
        <f>IF($U1656="","",IF(ISNUMBER(INDEX(상세표[종료],$U1656)),TEXT(INDEX(상세표[종료],$U1656),"yyyy-mm-dd hh:mm"),INDEX(상세표[종료],$U1656)&amp;""))</f>
        <v/>
      </c>
      <c r="P1656" s="20">
        <f>IF($U1656="","",INDEX(상세표[06~07시],$U1656))</f>
        <v/>
      </c>
      <c r="Q1656" s="20">
        <f>IF($U1656="","",INDEX(상세표[07~18시],$U1656))</f>
        <v/>
      </c>
      <c r="R1656" s="20">
        <f>IF($U1656="","",INDEX(상세표[18~22시],$U1656))</f>
        <v/>
      </c>
      <c r="S1656" s="20">
        <f>IF($U1656="","",INDEX(상세표[22~06시],$U1656))</f>
        <v/>
      </c>
      <c r="T1656" s="20">
        <f>IF($U1656="","",INDEX(상세표[기록 시간외],$U1656))</f>
        <v/>
      </c>
      <c r="U1656" s="4">
        <f>IFERROR(MATCH(1651,상세표[발송순번],0),"")</f>
        <v/>
      </c>
    </row>
    <row r="1657">
      <c r="J1657">
        <f>IF($U1657="","",INDEX(상세표[사번],$U1657)&amp;"")</f>
        <v/>
      </c>
      <c r="K1657">
        <f>IF($U1657="","",INDEX(상세표[성명],$U1657)&amp;"")</f>
        <v/>
      </c>
      <c r="L1657">
        <f>IF($U1657="","",INDEX(상세표[직위],$U1657)&amp;"")</f>
        <v/>
      </c>
      <c r="M1657">
        <f>IF($U1657="","",IF(ISNUMBER(INDEX(상세표[근무일자],$U1657)),TEXT(INDEX(상세표[근무일자],$U1657),"yyyy-mm-dd"),INDEX(상세표[근무일자],$U1657)&amp;""))</f>
        <v/>
      </c>
      <c r="N1657">
        <f>IF($U1657="","",IF(ISNUMBER(INDEX(상세표[시작],$U1657)),TEXT(INDEX(상세표[시작],$U1657),"yyyy-mm-dd hh:mm"),INDEX(상세표[시작],$U1657)&amp;""))</f>
        <v/>
      </c>
      <c r="O1657">
        <f>IF($U1657="","",IF(ISNUMBER(INDEX(상세표[종료],$U1657)),TEXT(INDEX(상세표[종료],$U1657),"yyyy-mm-dd hh:mm"),INDEX(상세표[종료],$U1657)&amp;""))</f>
        <v/>
      </c>
      <c r="P1657" s="20">
        <f>IF($U1657="","",INDEX(상세표[06~07시],$U1657))</f>
        <v/>
      </c>
      <c r="Q1657" s="20">
        <f>IF($U1657="","",INDEX(상세표[07~18시],$U1657))</f>
        <v/>
      </c>
      <c r="R1657" s="20">
        <f>IF($U1657="","",INDEX(상세표[18~22시],$U1657))</f>
        <v/>
      </c>
      <c r="S1657" s="20">
        <f>IF($U1657="","",INDEX(상세표[22~06시],$U1657))</f>
        <v/>
      </c>
      <c r="T1657" s="20">
        <f>IF($U1657="","",INDEX(상세표[기록 시간외],$U1657))</f>
        <v/>
      </c>
      <c r="U1657" s="4">
        <f>IFERROR(MATCH(1652,상세표[발송순번],0),"")</f>
        <v/>
      </c>
    </row>
    <row r="1658">
      <c r="J1658">
        <f>IF($U1658="","",INDEX(상세표[사번],$U1658)&amp;"")</f>
        <v/>
      </c>
      <c r="K1658">
        <f>IF($U1658="","",INDEX(상세표[성명],$U1658)&amp;"")</f>
        <v/>
      </c>
      <c r="L1658">
        <f>IF($U1658="","",INDEX(상세표[직위],$U1658)&amp;"")</f>
        <v/>
      </c>
      <c r="M1658">
        <f>IF($U1658="","",IF(ISNUMBER(INDEX(상세표[근무일자],$U1658)),TEXT(INDEX(상세표[근무일자],$U1658),"yyyy-mm-dd"),INDEX(상세표[근무일자],$U1658)&amp;""))</f>
        <v/>
      </c>
      <c r="N1658">
        <f>IF($U1658="","",IF(ISNUMBER(INDEX(상세표[시작],$U1658)),TEXT(INDEX(상세표[시작],$U1658),"yyyy-mm-dd hh:mm"),INDEX(상세표[시작],$U1658)&amp;""))</f>
        <v/>
      </c>
      <c r="O1658">
        <f>IF($U1658="","",IF(ISNUMBER(INDEX(상세표[종료],$U1658)),TEXT(INDEX(상세표[종료],$U1658),"yyyy-mm-dd hh:mm"),INDEX(상세표[종료],$U1658)&amp;""))</f>
        <v/>
      </c>
      <c r="P1658" s="20">
        <f>IF($U1658="","",INDEX(상세표[06~07시],$U1658))</f>
        <v/>
      </c>
      <c r="Q1658" s="20">
        <f>IF($U1658="","",INDEX(상세표[07~18시],$U1658))</f>
        <v/>
      </c>
      <c r="R1658" s="20">
        <f>IF($U1658="","",INDEX(상세표[18~22시],$U1658))</f>
        <v/>
      </c>
      <c r="S1658" s="20">
        <f>IF($U1658="","",INDEX(상세표[22~06시],$U1658))</f>
        <v/>
      </c>
      <c r="T1658" s="20">
        <f>IF($U1658="","",INDEX(상세표[기록 시간외],$U1658))</f>
        <v/>
      </c>
      <c r="U1658" s="4">
        <f>IFERROR(MATCH(1653,상세표[발송순번],0),"")</f>
        <v/>
      </c>
    </row>
    <row r="1659">
      <c r="J1659">
        <f>IF($U1659="","",INDEX(상세표[사번],$U1659)&amp;"")</f>
        <v/>
      </c>
      <c r="K1659">
        <f>IF($U1659="","",INDEX(상세표[성명],$U1659)&amp;"")</f>
        <v/>
      </c>
      <c r="L1659">
        <f>IF($U1659="","",INDEX(상세표[직위],$U1659)&amp;"")</f>
        <v/>
      </c>
      <c r="M1659">
        <f>IF($U1659="","",IF(ISNUMBER(INDEX(상세표[근무일자],$U1659)),TEXT(INDEX(상세표[근무일자],$U1659),"yyyy-mm-dd"),INDEX(상세표[근무일자],$U1659)&amp;""))</f>
        <v/>
      </c>
      <c r="N1659">
        <f>IF($U1659="","",IF(ISNUMBER(INDEX(상세표[시작],$U1659)),TEXT(INDEX(상세표[시작],$U1659),"yyyy-mm-dd hh:mm"),INDEX(상세표[시작],$U1659)&amp;""))</f>
        <v/>
      </c>
      <c r="O1659">
        <f>IF($U1659="","",IF(ISNUMBER(INDEX(상세표[종료],$U1659)),TEXT(INDEX(상세표[종료],$U1659),"yyyy-mm-dd hh:mm"),INDEX(상세표[종료],$U1659)&amp;""))</f>
        <v/>
      </c>
      <c r="P1659" s="20">
        <f>IF($U1659="","",INDEX(상세표[06~07시],$U1659))</f>
        <v/>
      </c>
      <c r="Q1659" s="20">
        <f>IF($U1659="","",INDEX(상세표[07~18시],$U1659))</f>
        <v/>
      </c>
      <c r="R1659" s="20">
        <f>IF($U1659="","",INDEX(상세표[18~22시],$U1659))</f>
        <v/>
      </c>
      <c r="S1659" s="20">
        <f>IF($U1659="","",INDEX(상세표[22~06시],$U1659))</f>
        <v/>
      </c>
      <c r="T1659" s="20">
        <f>IF($U1659="","",INDEX(상세표[기록 시간외],$U1659))</f>
        <v/>
      </c>
      <c r="U1659" s="4">
        <f>IFERROR(MATCH(1654,상세표[발송순번],0),"")</f>
        <v/>
      </c>
    </row>
    <row r="1660">
      <c r="J1660">
        <f>IF($U1660="","",INDEX(상세표[사번],$U1660)&amp;"")</f>
        <v/>
      </c>
      <c r="K1660">
        <f>IF($U1660="","",INDEX(상세표[성명],$U1660)&amp;"")</f>
        <v/>
      </c>
      <c r="L1660">
        <f>IF($U1660="","",INDEX(상세표[직위],$U1660)&amp;"")</f>
        <v/>
      </c>
      <c r="M1660">
        <f>IF($U1660="","",IF(ISNUMBER(INDEX(상세표[근무일자],$U1660)),TEXT(INDEX(상세표[근무일자],$U1660),"yyyy-mm-dd"),INDEX(상세표[근무일자],$U1660)&amp;""))</f>
        <v/>
      </c>
      <c r="N1660">
        <f>IF($U1660="","",IF(ISNUMBER(INDEX(상세표[시작],$U1660)),TEXT(INDEX(상세표[시작],$U1660),"yyyy-mm-dd hh:mm"),INDEX(상세표[시작],$U1660)&amp;""))</f>
        <v/>
      </c>
      <c r="O1660">
        <f>IF($U1660="","",IF(ISNUMBER(INDEX(상세표[종료],$U1660)),TEXT(INDEX(상세표[종료],$U1660),"yyyy-mm-dd hh:mm"),INDEX(상세표[종료],$U1660)&amp;""))</f>
        <v/>
      </c>
      <c r="P1660" s="20">
        <f>IF($U1660="","",INDEX(상세표[06~07시],$U1660))</f>
        <v/>
      </c>
      <c r="Q1660" s="20">
        <f>IF($U1660="","",INDEX(상세표[07~18시],$U1660))</f>
        <v/>
      </c>
      <c r="R1660" s="20">
        <f>IF($U1660="","",INDEX(상세표[18~22시],$U1660))</f>
        <v/>
      </c>
      <c r="S1660" s="20">
        <f>IF($U1660="","",INDEX(상세표[22~06시],$U1660))</f>
        <v/>
      </c>
      <c r="T1660" s="20">
        <f>IF($U1660="","",INDEX(상세표[기록 시간외],$U1660))</f>
        <v/>
      </c>
      <c r="U1660" s="4">
        <f>IFERROR(MATCH(1655,상세표[발송순번],0),"")</f>
        <v/>
      </c>
    </row>
    <row r="1661">
      <c r="J1661">
        <f>IF($U1661="","",INDEX(상세표[사번],$U1661)&amp;"")</f>
        <v/>
      </c>
      <c r="K1661">
        <f>IF($U1661="","",INDEX(상세표[성명],$U1661)&amp;"")</f>
        <v/>
      </c>
      <c r="L1661">
        <f>IF($U1661="","",INDEX(상세표[직위],$U1661)&amp;"")</f>
        <v/>
      </c>
      <c r="M1661">
        <f>IF($U1661="","",IF(ISNUMBER(INDEX(상세표[근무일자],$U1661)),TEXT(INDEX(상세표[근무일자],$U1661),"yyyy-mm-dd"),INDEX(상세표[근무일자],$U1661)&amp;""))</f>
        <v/>
      </c>
      <c r="N1661">
        <f>IF($U1661="","",IF(ISNUMBER(INDEX(상세표[시작],$U1661)),TEXT(INDEX(상세표[시작],$U1661),"yyyy-mm-dd hh:mm"),INDEX(상세표[시작],$U1661)&amp;""))</f>
        <v/>
      </c>
      <c r="O1661">
        <f>IF($U1661="","",IF(ISNUMBER(INDEX(상세표[종료],$U1661)),TEXT(INDEX(상세표[종료],$U1661),"yyyy-mm-dd hh:mm"),INDEX(상세표[종료],$U1661)&amp;""))</f>
        <v/>
      </c>
      <c r="P1661" s="20">
        <f>IF($U1661="","",INDEX(상세표[06~07시],$U1661))</f>
        <v/>
      </c>
      <c r="Q1661" s="20">
        <f>IF($U1661="","",INDEX(상세표[07~18시],$U1661))</f>
        <v/>
      </c>
      <c r="R1661" s="20">
        <f>IF($U1661="","",INDEX(상세표[18~22시],$U1661))</f>
        <v/>
      </c>
      <c r="S1661" s="20">
        <f>IF($U1661="","",INDEX(상세표[22~06시],$U1661))</f>
        <v/>
      </c>
      <c r="T1661" s="20">
        <f>IF($U1661="","",INDEX(상세표[기록 시간외],$U1661))</f>
        <v/>
      </c>
      <c r="U1661" s="4">
        <f>IFERROR(MATCH(1656,상세표[발송순번],0),"")</f>
        <v/>
      </c>
    </row>
    <row r="1662">
      <c r="J1662">
        <f>IF($U1662="","",INDEX(상세표[사번],$U1662)&amp;"")</f>
        <v/>
      </c>
      <c r="K1662">
        <f>IF($U1662="","",INDEX(상세표[성명],$U1662)&amp;"")</f>
        <v/>
      </c>
      <c r="L1662">
        <f>IF($U1662="","",INDEX(상세표[직위],$U1662)&amp;"")</f>
        <v/>
      </c>
      <c r="M1662">
        <f>IF($U1662="","",IF(ISNUMBER(INDEX(상세표[근무일자],$U1662)),TEXT(INDEX(상세표[근무일자],$U1662),"yyyy-mm-dd"),INDEX(상세표[근무일자],$U1662)&amp;""))</f>
        <v/>
      </c>
      <c r="N1662">
        <f>IF($U1662="","",IF(ISNUMBER(INDEX(상세표[시작],$U1662)),TEXT(INDEX(상세표[시작],$U1662),"yyyy-mm-dd hh:mm"),INDEX(상세표[시작],$U1662)&amp;""))</f>
        <v/>
      </c>
      <c r="O1662">
        <f>IF($U1662="","",IF(ISNUMBER(INDEX(상세표[종료],$U1662)),TEXT(INDEX(상세표[종료],$U1662),"yyyy-mm-dd hh:mm"),INDEX(상세표[종료],$U1662)&amp;""))</f>
        <v/>
      </c>
      <c r="P1662" s="20">
        <f>IF($U1662="","",INDEX(상세표[06~07시],$U1662))</f>
        <v/>
      </c>
      <c r="Q1662" s="20">
        <f>IF($U1662="","",INDEX(상세표[07~18시],$U1662))</f>
        <v/>
      </c>
      <c r="R1662" s="20">
        <f>IF($U1662="","",INDEX(상세표[18~22시],$U1662))</f>
        <v/>
      </c>
      <c r="S1662" s="20">
        <f>IF($U1662="","",INDEX(상세표[22~06시],$U1662))</f>
        <v/>
      </c>
      <c r="T1662" s="20">
        <f>IF($U1662="","",INDEX(상세표[기록 시간외],$U1662))</f>
        <v/>
      </c>
      <c r="U1662" s="4">
        <f>IFERROR(MATCH(1657,상세표[발송순번],0),"")</f>
        <v/>
      </c>
    </row>
    <row r="1663">
      <c r="J1663">
        <f>IF($U1663="","",INDEX(상세표[사번],$U1663)&amp;"")</f>
        <v/>
      </c>
      <c r="K1663">
        <f>IF($U1663="","",INDEX(상세표[성명],$U1663)&amp;"")</f>
        <v/>
      </c>
      <c r="L1663">
        <f>IF($U1663="","",INDEX(상세표[직위],$U1663)&amp;"")</f>
        <v/>
      </c>
      <c r="M1663">
        <f>IF($U1663="","",IF(ISNUMBER(INDEX(상세표[근무일자],$U1663)),TEXT(INDEX(상세표[근무일자],$U1663),"yyyy-mm-dd"),INDEX(상세표[근무일자],$U1663)&amp;""))</f>
        <v/>
      </c>
      <c r="N1663">
        <f>IF($U1663="","",IF(ISNUMBER(INDEX(상세표[시작],$U1663)),TEXT(INDEX(상세표[시작],$U1663),"yyyy-mm-dd hh:mm"),INDEX(상세표[시작],$U1663)&amp;""))</f>
        <v/>
      </c>
      <c r="O1663">
        <f>IF($U1663="","",IF(ISNUMBER(INDEX(상세표[종료],$U1663)),TEXT(INDEX(상세표[종료],$U1663),"yyyy-mm-dd hh:mm"),INDEX(상세표[종료],$U1663)&amp;""))</f>
        <v/>
      </c>
      <c r="P1663" s="20">
        <f>IF($U1663="","",INDEX(상세표[06~07시],$U1663))</f>
        <v/>
      </c>
      <c r="Q1663" s="20">
        <f>IF($U1663="","",INDEX(상세표[07~18시],$U1663))</f>
        <v/>
      </c>
      <c r="R1663" s="20">
        <f>IF($U1663="","",INDEX(상세표[18~22시],$U1663))</f>
        <v/>
      </c>
      <c r="S1663" s="20">
        <f>IF($U1663="","",INDEX(상세표[22~06시],$U1663))</f>
        <v/>
      </c>
      <c r="T1663" s="20">
        <f>IF($U1663="","",INDEX(상세표[기록 시간외],$U1663))</f>
        <v/>
      </c>
      <c r="U1663" s="4">
        <f>IFERROR(MATCH(1658,상세표[발송순번],0),"")</f>
        <v/>
      </c>
    </row>
    <row r="1664">
      <c r="J1664">
        <f>IF($U1664="","",INDEX(상세표[사번],$U1664)&amp;"")</f>
        <v/>
      </c>
      <c r="K1664">
        <f>IF($U1664="","",INDEX(상세표[성명],$U1664)&amp;"")</f>
        <v/>
      </c>
      <c r="L1664">
        <f>IF($U1664="","",INDEX(상세표[직위],$U1664)&amp;"")</f>
        <v/>
      </c>
      <c r="M1664">
        <f>IF($U1664="","",IF(ISNUMBER(INDEX(상세표[근무일자],$U1664)),TEXT(INDEX(상세표[근무일자],$U1664),"yyyy-mm-dd"),INDEX(상세표[근무일자],$U1664)&amp;""))</f>
        <v/>
      </c>
      <c r="N1664">
        <f>IF($U1664="","",IF(ISNUMBER(INDEX(상세표[시작],$U1664)),TEXT(INDEX(상세표[시작],$U1664),"yyyy-mm-dd hh:mm"),INDEX(상세표[시작],$U1664)&amp;""))</f>
        <v/>
      </c>
      <c r="O1664">
        <f>IF($U1664="","",IF(ISNUMBER(INDEX(상세표[종료],$U1664)),TEXT(INDEX(상세표[종료],$U1664),"yyyy-mm-dd hh:mm"),INDEX(상세표[종료],$U1664)&amp;""))</f>
        <v/>
      </c>
      <c r="P1664" s="20">
        <f>IF($U1664="","",INDEX(상세표[06~07시],$U1664))</f>
        <v/>
      </c>
      <c r="Q1664" s="20">
        <f>IF($U1664="","",INDEX(상세표[07~18시],$U1664))</f>
        <v/>
      </c>
      <c r="R1664" s="20">
        <f>IF($U1664="","",INDEX(상세표[18~22시],$U1664))</f>
        <v/>
      </c>
      <c r="S1664" s="20">
        <f>IF($U1664="","",INDEX(상세표[22~06시],$U1664))</f>
        <v/>
      </c>
      <c r="T1664" s="20">
        <f>IF($U1664="","",INDEX(상세표[기록 시간외],$U1664))</f>
        <v/>
      </c>
      <c r="U1664" s="4">
        <f>IFERROR(MATCH(1659,상세표[발송순번],0),"")</f>
        <v/>
      </c>
    </row>
    <row r="1665">
      <c r="J1665">
        <f>IF($U1665="","",INDEX(상세표[사번],$U1665)&amp;"")</f>
        <v/>
      </c>
      <c r="K1665">
        <f>IF($U1665="","",INDEX(상세표[성명],$U1665)&amp;"")</f>
        <v/>
      </c>
      <c r="L1665">
        <f>IF($U1665="","",INDEX(상세표[직위],$U1665)&amp;"")</f>
        <v/>
      </c>
      <c r="M1665">
        <f>IF($U1665="","",IF(ISNUMBER(INDEX(상세표[근무일자],$U1665)),TEXT(INDEX(상세표[근무일자],$U1665),"yyyy-mm-dd"),INDEX(상세표[근무일자],$U1665)&amp;""))</f>
        <v/>
      </c>
      <c r="N1665">
        <f>IF($U1665="","",IF(ISNUMBER(INDEX(상세표[시작],$U1665)),TEXT(INDEX(상세표[시작],$U1665),"yyyy-mm-dd hh:mm"),INDEX(상세표[시작],$U1665)&amp;""))</f>
        <v/>
      </c>
      <c r="O1665">
        <f>IF($U1665="","",IF(ISNUMBER(INDEX(상세표[종료],$U1665)),TEXT(INDEX(상세표[종료],$U1665),"yyyy-mm-dd hh:mm"),INDEX(상세표[종료],$U1665)&amp;""))</f>
        <v/>
      </c>
      <c r="P1665" s="20">
        <f>IF($U1665="","",INDEX(상세표[06~07시],$U1665))</f>
        <v/>
      </c>
      <c r="Q1665" s="20">
        <f>IF($U1665="","",INDEX(상세표[07~18시],$U1665))</f>
        <v/>
      </c>
      <c r="R1665" s="20">
        <f>IF($U1665="","",INDEX(상세표[18~22시],$U1665))</f>
        <v/>
      </c>
      <c r="S1665" s="20">
        <f>IF($U1665="","",INDEX(상세표[22~06시],$U1665))</f>
        <v/>
      </c>
      <c r="T1665" s="20">
        <f>IF($U1665="","",INDEX(상세표[기록 시간외],$U1665))</f>
        <v/>
      </c>
      <c r="U1665" s="4">
        <f>IFERROR(MATCH(1660,상세표[발송순번],0),"")</f>
        <v/>
      </c>
    </row>
    <row r="1666">
      <c r="J1666">
        <f>IF($U1666="","",INDEX(상세표[사번],$U1666)&amp;"")</f>
        <v/>
      </c>
      <c r="K1666">
        <f>IF($U1666="","",INDEX(상세표[성명],$U1666)&amp;"")</f>
        <v/>
      </c>
      <c r="L1666">
        <f>IF($U1666="","",INDEX(상세표[직위],$U1666)&amp;"")</f>
        <v/>
      </c>
      <c r="M1666">
        <f>IF($U1666="","",IF(ISNUMBER(INDEX(상세표[근무일자],$U1666)),TEXT(INDEX(상세표[근무일자],$U1666),"yyyy-mm-dd"),INDEX(상세표[근무일자],$U1666)&amp;""))</f>
        <v/>
      </c>
      <c r="N1666">
        <f>IF($U1666="","",IF(ISNUMBER(INDEX(상세표[시작],$U1666)),TEXT(INDEX(상세표[시작],$U1666),"yyyy-mm-dd hh:mm"),INDEX(상세표[시작],$U1666)&amp;""))</f>
        <v/>
      </c>
      <c r="O1666">
        <f>IF($U1666="","",IF(ISNUMBER(INDEX(상세표[종료],$U1666)),TEXT(INDEX(상세표[종료],$U1666),"yyyy-mm-dd hh:mm"),INDEX(상세표[종료],$U1666)&amp;""))</f>
        <v/>
      </c>
      <c r="P1666" s="20">
        <f>IF($U1666="","",INDEX(상세표[06~07시],$U1666))</f>
        <v/>
      </c>
      <c r="Q1666" s="20">
        <f>IF($U1666="","",INDEX(상세표[07~18시],$U1666))</f>
        <v/>
      </c>
      <c r="R1666" s="20">
        <f>IF($U1666="","",INDEX(상세표[18~22시],$U1666))</f>
        <v/>
      </c>
      <c r="S1666" s="20">
        <f>IF($U1666="","",INDEX(상세표[22~06시],$U1666))</f>
        <v/>
      </c>
      <c r="T1666" s="20">
        <f>IF($U1666="","",INDEX(상세표[기록 시간외],$U1666))</f>
        <v/>
      </c>
      <c r="U1666" s="4">
        <f>IFERROR(MATCH(1661,상세표[발송순번],0),"")</f>
        <v/>
      </c>
    </row>
    <row r="1667">
      <c r="J1667">
        <f>IF($U1667="","",INDEX(상세표[사번],$U1667)&amp;"")</f>
        <v/>
      </c>
      <c r="K1667">
        <f>IF($U1667="","",INDEX(상세표[성명],$U1667)&amp;"")</f>
        <v/>
      </c>
      <c r="L1667">
        <f>IF($U1667="","",INDEX(상세표[직위],$U1667)&amp;"")</f>
        <v/>
      </c>
      <c r="M1667">
        <f>IF($U1667="","",IF(ISNUMBER(INDEX(상세표[근무일자],$U1667)),TEXT(INDEX(상세표[근무일자],$U1667),"yyyy-mm-dd"),INDEX(상세표[근무일자],$U1667)&amp;""))</f>
        <v/>
      </c>
      <c r="N1667">
        <f>IF($U1667="","",IF(ISNUMBER(INDEX(상세표[시작],$U1667)),TEXT(INDEX(상세표[시작],$U1667),"yyyy-mm-dd hh:mm"),INDEX(상세표[시작],$U1667)&amp;""))</f>
        <v/>
      </c>
      <c r="O1667">
        <f>IF($U1667="","",IF(ISNUMBER(INDEX(상세표[종료],$U1667)),TEXT(INDEX(상세표[종료],$U1667),"yyyy-mm-dd hh:mm"),INDEX(상세표[종료],$U1667)&amp;""))</f>
        <v/>
      </c>
      <c r="P1667" s="20">
        <f>IF($U1667="","",INDEX(상세표[06~07시],$U1667))</f>
        <v/>
      </c>
      <c r="Q1667" s="20">
        <f>IF($U1667="","",INDEX(상세표[07~18시],$U1667))</f>
        <v/>
      </c>
      <c r="R1667" s="20">
        <f>IF($U1667="","",INDEX(상세표[18~22시],$U1667))</f>
        <v/>
      </c>
      <c r="S1667" s="20">
        <f>IF($U1667="","",INDEX(상세표[22~06시],$U1667))</f>
        <v/>
      </c>
      <c r="T1667" s="20">
        <f>IF($U1667="","",INDEX(상세표[기록 시간외],$U1667))</f>
        <v/>
      </c>
      <c r="U1667" s="4">
        <f>IFERROR(MATCH(1662,상세표[발송순번],0),"")</f>
        <v/>
      </c>
    </row>
    <row r="1668">
      <c r="J1668">
        <f>IF($U1668="","",INDEX(상세표[사번],$U1668)&amp;"")</f>
        <v/>
      </c>
      <c r="K1668">
        <f>IF($U1668="","",INDEX(상세표[성명],$U1668)&amp;"")</f>
        <v/>
      </c>
      <c r="L1668">
        <f>IF($U1668="","",INDEX(상세표[직위],$U1668)&amp;"")</f>
        <v/>
      </c>
      <c r="M1668">
        <f>IF($U1668="","",IF(ISNUMBER(INDEX(상세표[근무일자],$U1668)),TEXT(INDEX(상세표[근무일자],$U1668),"yyyy-mm-dd"),INDEX(상세표[근무일자],$U1668)&amp;""))</f>
        <v/>
      </c>
      <c r="N1668">
        <f>IF($U1668="","",IF(ISNUMBER(INDEX(상세표[시작],$U1668)),TEXT(INDEX(상세표[시작],$U1668),"yyyy-mm-dd hh:mm"),INDEX(상세표[시작],$U1668)&amp;""))</f>
        <v/>
      </c>
      <c r="O1668">
        <f>IF($U1668="","",IF(ISNUMBER(INDEX(상세표[종료],$U1668)),TEXT(INDEX(상세표[종료],$U1668),"yyyy-mm-dd hh:mm"),INDEX(상세표[종료],$U1668)&amp;""))</f>
        <v/>
      </c>
      <c r="P1668" s="20">
        <f>IF($U1668="","",INDEX(상세표[06~07시],$U1668))</f>
        <v/>
      </c>
      <c r="Q1668" s="20">
        <f>IF($U1668="","",INDEX(상세표[07~18시],$U1668))</f>
        <v/>
      </c>
      <c r="R1668" s="20">
        <f>IF($U1668="","",INDEX(상세표[18~22시],$U1668))</f>
        <v/>
      </c>
      <c r="S1668" s="20">
        <f>IF($U1668="","",INDEX(상세표[22~06시],$U1668))</f>
        <v/>
      </c>
      <c r="T1668" s="20">
        <f>IF($U1668="","",INDEX(상세표[기록 시간외],$U1668))</f>
        <v/>
      </c>
      <c r="U1668" s="4">
        <f>IFERROR(MATCH(1663,상세표[발송순번],0),"")</f>
        <v/>
      </c>
    </row>
    <row r="1669">
      <c r="J1669">
        <f>IF($U1669="","",INDEX(상세표[사번],$U1669)&amp;"")</f>
        <v/>
      </c>
      <c r="K1669">
        <f>IF($U1669="","",INDEX(상세표[성명],$U1669)&amp;"")</f>
        <v/>
      </c>
      <c r="L1669">
        <f>IF($U1669="","",INDEX(상세표[직위],$U1669)&amp;"")</f>
        <v/>
      </c>
      <c r="M1669">
        <f>IF($U1669="","",IF(ISNUMBER(INDEX(상세표[근무일자],$U1669)),TEXT(INDEX(상세표[근무일자],$U1669),"yyyy-mm-dd"),INDEX(상세표[근무일자],$U1669)&amp;""))</f>
        <v/>
      </c>
      <c r="N1669">
        <f>IF($U1669="","",IF(ISNUMBER(INDEX(상세표[시작],$U1669)),TEXT(INDEX(상세표[시작],$U1669),"yyyy-mm-dd hh:mm"),INDEX(상세표[시작],$U1669)&amp;""))</f>
        <v/>
      </c>
      <c r="O1669">
        <f>IF($U1669="","",IF(ISNUMBER(INDEX(상세표[종료],$U1669)),TEXT(INDEX(상세표[종료],$U1669),"yyyy-mm-dd hh:mm"),INDEX(상세표[종료],$U1669)&amp;""))</f>
        <v/>
      </c>
      <c r="P1669" s="20">
        <f>IF($U1669="","",INDEX(상세표[06~07시],$U1669))</f>
        <v/>
      </c>
      <c r="Q1669" s="20">
        <f>IF($U1669="","",INDEX(상세표[07~18시],$U1669))</f>
        <v/>
      </c>
      <c r="R1669" s="20">
        <f>IF($U1669="","",INDEX(상세표[18~22시],$U1669))</f>
        <v/>
      </c>
      <c r="S1669" s="20">
        <f>IF($U1669="","",INDEX(상세표[22~06시],$U1669))</f>
        <v/>
      </c>
      <c r="T1669" s="20">
        <f>IF($U1669="","",INDEX(상세표[기록 시간외],$U1669))</f>
        <v/>
      </c>
      <c r="U1669" s="4">
        <f>IFERROR(MATCH(1664,상세표[발송순번],0),"")</f>
        <v/>
      </c>
    </row>
    <row r="1670">
      <c r="J1670">
        <f>IF($U1670="","",INDEX(상세표[사번],$U1670)&amp;"")</f>
        <v/>
      </c>
      <c r="K1670">
        <f>IF($U1670="","",INDEX(상세표[성명],$U1670)&amp;"")</f>
        <v/>
      </c>
      <c r="L1670">
        <f>IF($U1670="","",INDEX(상세표[직위],$U1670)&amp;"")</f>
        <v/>
      </c>
      <c r="M1670">
        <f>IF($U1670="","",IF(ISNUMBER(INDEX(상세표[근무일자],$U1670)),TEXT(INDEX(상세표[근무일자],$U1670),"yyyy-mm-dd"),INDEX(상세표[근무일자],$U1670)&amp;""))</f>
        <v/>
      </c>
      <c r="N1670">
        <f>IF($U1670="","",IF(ISNUMBER(INDEX(상세표[시작],$U1670)),TEXT(INDEX(상세표[시작],$U1670),"yyyy-mm-dd hh:mm"),INDEX(상세표[시작],$U1670)&amp;""))</f>
        <v/>
      </c>
      <c r="O1670">
        <f>IF($U1670="","",IF(ISNUMBER(INDEX(상세표[종료],$U1670)),TEXT(INDEX(상세표[종료],$U1670),"yyyy-mm-dd hh:mm"),INDEX(상세표[종료],$U1670)&amp;""))</f>
        <v/>
      </c>
      <c r="P1670" s="20">
        <f>IF($U1670="","",INDEX(상세표[06~07시],$U1670))</f>
        <v/>
      </c>
      <c r="Q1670" s="20">
        <f>IF($U1670="","",INDEX(상세표[07~18시],$U1670))</f>
        <v/>
      </c>
      <c r="R1670" s="20">
        <f>IF($U1670="","",INDEX(상세표[18~22시],$U1670))</f>
        <v/>
      </c>
      <c r="S1670" s="20">
        <f>IF($U1670="","",INDEX(상세표[22~06시],$U1670))</f>
        <v/>
      </c>
      <c r="T1670" s="20">
        <f>IF($U1670="","",INDEX(상세표[기록 시간외],$U1670))</f>
        <v/>
      </c>
      <c r="U1670" s="4">
        <f>IFERROR(MATCH(1665,상세표[발송순번],0),"")</f>
        <v/>
      </c>
    </row>
    <row r="1671">
      <c r="J1671">
        <f>IF($U1671="","",INDEX(상세표[사번],$U1671)&amp;"")</f>
        <v/>
      </c>
      <c r="K1671">
        <f>IF($U1671="","",INDEX(상세표[성명],$U1671)&amp;"")</f>
        <v/>
      </c>
      <c r="L1671">
        <f>IF($U1671="","",INDEX(상세표[직위],$U1671)&amp;"")</f>
        <v/>
      </c>
      <c r="M1671">
        <f>IF($U1671="","",IF(ISNUMBER(INDEX(상세표[근무일자],$U1671)),TEXT(INDEX(상세표[근무일자],$U1671),"yyyy-mm-dd"),INDEX(상세표[근무일자],$U1671)&amp;""))</f>
        <v/>
      </c>
      <c r="N1671">
        <f>IF($U1671="","",IF(ISNUMBER(INDEX(상세표[시작],$U1671)),TEXT(INDEX(상세표[시작],$U1671),"yyyy-mm-dd hh:mm"),INDEX(상세표[시작],$U1671)&amp;""))</f>
        <v/>
      </c>
      <c r="O1671">
        <f>IF($U1671="","",IF(ISNUMBER(INDEX(상세표[종료],$U1671)),TEXT(INDEX(상세표[종료],$U1671),"yyyy-mm-dd hh:mm"),INDEX(상세표[종료],$U1671)&amp;""))</f>
        <v/>
      </c>
      <c r="P1671" s="20">
        <f>IF($U1671="","",INDEX(상세표[06~07시],$U1671))</f>
        <v/>
      </c>
      <c r="Q1671" s="20">
        <f>IF($U1671="","",INDEX(상세표[07~18시],$U1671))</f>
        <v/>
      </c>
      <c r="R1671" s="20">
        <f>IF($U1671="","",INDEX(상세표[18~22시],$U1671))</f>
        <v/>
      </c>
      <c r="S1671" s="20">
        <f>IF($U1671="","",INDEX(상세표[22~06시],$U1671))</f>
        <v/>
      </c>
      <c r="T1671" s="20">
        <f>IF($U1671="","",INDEX(상세표[기록 시간외],$U1671))</f>
        <v/>
      </c>
      <c r="U1671" s="4">
        <f>IFERROR(MATCH(1666,상세표[발송순번],0),"")</f>
        <v/>
      </c>
    </row>
    <row r="1672">
      <c r="J1672">
        <f>IF($U1672="","",INDEX(상세표[사번],$U1672)&amp;"")</f>
        <v/>
      </c>
      <c r="K1672">
        <f>IF($U1672="","",INDEX(상세표[성명],$U1672)&amp;"")</f>
        <v/>
      </c>
      <c r="L1672">
        <f>IF($U1672="","",INDEX(상세표[직위],$U1672)&amp;"")</f>
        <v/>
      </c>
      <c r="M1672">
        <f>IF($U1672="","",IF(ISNUMBER(INDEX(상세표[근무일자],$U1672)),TEXT(INDEX(상세표[근무일자],$U1672),"yyyy-mm-dd"),INDEX(상세표[근무일자],$U1672)&amp;""))</f>
        <v/>
      </c>
      <c r="N1672">
        <f>IF($U1672="","",IF(ISNUMBER(INDEX(상세표[시작],$U1672)),TEXT(INDEX(상세표[시작],$U1672),"yyyy-mm-dd hh:mm"),INDEX(상세표[시작],$U1672)&amp;""))</f>
        <v/>
      </c>
      <c r="O1672">
        <f>IF($U1672="","",IF(ISNUMBER(INDEX(상세표[종료],$U1672)),TEXT(INDEX(상세표[종료],$U1672),"yyyy-mm-dd hh:mm"),INDEX(상세표[종료],$U1672)&amp;""))</f>
        <v/>
      </c>
      <c r="P1672" s="20">
        <f>IF($U1672="","",INDEX(상세표[06~07시],$U1672))</f>
        <v/>
      </c>
      <c r="Q1672" s="20">
        <f>IF($U1672="","",INDEX(상세표[07~18시],$U1672))</f>
        <v/>
      </c>
      <c r="R1672" s="20">
        <f>IF($U1672="","",INDEX(상세표[18~22시],$U1672))</f>
        <v/>
      </c>
      <c r="S1672" s="20">
        <f>IF($U1672="","",INDEX(상세표[22~06시],$U1672))</f>
        <v/>
      </c>
      <c r="T1672" s="20">
        <f>IF($U1672="","",INDEX(상세표[기록 시간외],$U1672))</f>
        <v/>
      </c>
      <c r="U1672" s="4">
        <f>IFERROR(MATCH(1667,상세표[발송순번],0),"")</f>
        <v/>
      </c>
    </row>
    <row r="1673">
      <c r="J1673">
        <f>IF($U1673="","",INDEX(상세표[사번],$U1673)&amp;"")</f>
        <v/>
      </c>
      <c r="K1673">
        <f>IF($U1673="","",INDEX(상세표[성명],$U1673)&amp;"")</f>
        <v/>
      </c>
      <c r="L1673">
        <f>IF($U1673="","",INDEX(상세표[직위],$U1673)&amp;"")</f>
        <v/>
      </c>
      <c r="M1673">
        <f>IF($U1673="","",IF(ISNUMBER(INDEX(상세표[근무일자],$U1673)),TEXT(INDEX(상세표[근무일자],$U1673),"yyyy-mm-dd"),INDEX(상세표[근무일자],$U1673)&amp;""))</f>
        <v/>
      </c>
      <c r="N1673">
        <f>IF($U1673="","",IF(ISNUMBER(INDEX(상세표[시작],$U1673)),TEXT(INDEX(상세표[시작],$U1673),"yyyy-mm-dd hh:mm"),INDEX(상세표[시작],$U1673)&amp;""))</f>
        <v/>
      </c>
      <c r="O1673">
        <f>IF($U1673="","",IF(ISNUMBER(INDEX(상세표[종료],$U1673)),TEXT(INDEX(상세표[종료],$U1673),"yyyy-mm-dd hh:mm"),INDEX(상세표[종료],$U1673)&amp;""))</f>
        <v/>
      </c>
      <c r="P1673" s="20">
        <f>IF($U1673="","",INDEX(상세표[06~07시],$U1673))</f>
        <v/>
      </c>
      <c r="Q1673" s="20">
        <f>IF($U1673="","",INDEX(상세표[07~18시],$U1673))</f>
        <v/>
      </c>
      <c r="R1673" s="20">
        <f>IF($U1673="","",INDEX(상세표[18~22시],$U1673))</f>
        <v/>
      </c>
      <c r="S1673" s="20">
        <f>IF($U1673="","",INDEX(상세표[22~06시],$U1673))</f>
        <v/>
      </c>
      <c r="T1673" s="20">
        <f>IF($U1673="","",INDEX(상세표[기록 시간외],$U1673))</f>
        <v/>
      </c>
      <c r="U1673" s="4">
        <f>IFERROR(MATCH(1668,상세표[발송순번],0),"")</f>
        <v/>
      </c>
    </row>
    <row r="1674">
      <c r="J1674">
        <f>IF($U1674="","",INDEX(상세표[사번],$U1674)&amp;"")</f>
        <v/>
      </c>
      <c r="K1674">
        <f>IF($U1674="","",INDEX(상세표[성명],$U1674)&amp;"")</f>
        <v/>
      </c>
      <c r="L1674">
        <f>IF($U1674="","",INDEX(상세표[직위],$U1674)&amp;"")</f>
        <v/>
      </c>
      <c r="M1674">
        <f>IF($U1674="","",IF(ISNUMBER(INDEX(상세표[근무일자],$U1674)),TEXT(INDEX(상세표[근무일자],$U1674),"yyyy-mm-dd"),INDEX(상세표[근무일자],$U1674)&amp;""))</f>
        <v/>
      </c>
      <c r="N1674">
        <f>IF($U1674="","",IF(ISNUMBER(INDEX(상세표[시작],$U1674)),TEXT(INDEX(상세표[시작],$U1674),"yyyy-mm-dd hh:mm"),INDEX(상세표[시작],$U1674)&amp;""))</f>
        <v/>
      </c>
      <c r="O1674">
        <f>IF($U1674="","",IF(ISNUMBER(INDEX(상세표[종료],$U1674)),TEXT(INDEX(상세표[종료],$U1674),"yyyy-mm-dd hh:mm"),INDEX(상세표[종료],$U1674)&amp;""))</f>
        <v/>
      </c>
      <c r="P1674" s="20">
        <f>IF($U1674="","",INDEX(상세표[06~07시],$U1674))</f>
        <v/>
      </c>
      <c r="Q1674" s="20">
        <f>IF($U1674="","",INDEX(상세표[07~18시],$U1674))</f>
        <v/>
      </c>
      <c r="R1674" s="20">
        <f>IF($U1674="","",INDEX(상세표[18~22시],$U1674))</f>
        <v/>
      </c>
      <c r="S1674" s="20">
        <f>IF($U1674="","",INDEX(상세표[22~06시],$U1674))</f>
        <v/>
      </c>
      <c r="T1674" s="20">
        <f>IF($U1674="","",INDEX(상세표[기록 시간외],$U1674))</f>
        <v/>
      </c>
      <c r="U1674" s="4">
        <f>IFERROR(MATCH(1669,상세표[발송순번],0),"")</f>
        <v/>
      </c>
    </row>
    <row r="1675">
      <c r="J1675">
        <f>IF($U1675="","",INDEX(상세표[사번],$U1675)&amp;"")</f>
        <v/>
      </c>
      <c r="K1675">
        <f>IF($U1675="","",INDEX(상세표[성명],$U1675)&amp;"")</f>
        <v/>
      </c>
      <c r="L1675">
        <f>IF($U1675="","",INDEX(상세표[직위],$U1675)&amp;"")</f>
        <v/>
      </c>
      <c r="M1675">
        <f>IF($U1675="","",IF(ISNUMBER(INDEX(상세표[근무일자],$U1675)),TEXT(INDEX(상세표[근무일자],$U1675),"yyyy-mm-dd"),INDEX(상세표[근무일자],$U1675)&amp;""))</f>
        <v/>
      </c>
      <c r="N1675">
        <f>IF($U1675="","",IF(ISNUMBER(INDEX(상세표[시작],$U1675)),TEXT(INDEX(상세표[시작],$U1675),"yyyy-mm-dd hh:mm"),INDEX(상세표[시작],$U1675)&amp;""))</f>
        <v/>
      </c>
      <c r="O1675">
        <f>IF($U1675="","",IF(ISNUMBER(INDEX(상세표[종료],$U1675)),TEXT(INDEX(상세표[종료],$U1675),"yyyy-mm-dd hh:mm"),INDEX(상세표[종료],$U1675)&amp;""))</f>
        <v/>
      </c>
      <c r="P1675" s="20">
        <f>IF($U1675="","",INDEX(상세표[06~07시],$U1675))</f>
        <v/>
      </c>
      <c r="Q1675" s="20">
        <f>IF($U1675="","",INDEX(상세표[07~18시],$U1675))</f>
        <v/>
      </c>
      <c r="R1675" s="20">
        <f>IF($U1675="","",INDEX(상세표[18~22시],$U1675))</f>
        <v/>
      </c>
      <c r="S1675" s="20">
        <f>IF($U1675="","",INDEX(상세표[22~06시],$U1675))</f>
        <v/>
      </c>
      <c r="T1675" s="20">
        <f>IF($U1675="","",INDEX(상세표[기록 시간외],$U1675))</f>
        <v/>
      </c>
      <c r="U1675" s="4">
        <f>IFERROR(MATCH(1670,상세표[발송순번],0),"")</f>
        <v/>
      </c>
    </row>
    <row r="1676">
      <c r="J1676">
        <f>IF($U1676="","",INDEX(상세표[사번],$U1676)&amp;"")</f>
        <v/>
      </c>
      <c r="K1676">
        <f>IF($U1676="","",INDEX(상세표[성명],$U1676)&amp;"")</f>
        <v/>
      </c>
      <c r="L1676">
        <f>IF($U1676="","",INDEX(상세표[직위],$U1676)&amp;"")</f>
        <v/>
      </c>
      <c r="M1676">
        <f>IF($U1676="","",IF(ISNUMBER(INDEX(상세표[근무일자],$U1676)),TEXT(INDEX(상세표[근무일자],$U1676),"yyyy-mm-dd"),INDEX(상세표[근무일자],$U1676)&amp;""))</f>
        <v/>
      </c>
      <c r="N1676">
        <f>IF($U1676="","",IF(ISNUMBER(INDEX(상세표[시작],$U1676)),TEXT(INDEX(상세표[시작],$U1676),"yyyy-mm-dd hh:mm"),INDEX(상세표[시작],$U1676)&amp;""))</f>
        <v/>
      </c>
      <c r="O1676">
        <f>IF($U1676="","",IF(ISNUMBER(INDEX(상세표[종료],$U1676)),TEXT(INDEX(상세표[종료],$U1676),"yyyy-mm-dd hh:mm"),INDEX(상세표[종료],$U1676)&amp;""))</f>
        <v/>
      </c>
      <c r="P1676" s="20">
        <f>IF($U1676="","",INDEX(상세표[06~07시],$U1676))</f>
        <v/>
      </c>
      <c r="Q1676" s="20">
        <f>IF($U1676="","",INDEX(상세표[07~18시],$U1676))</f>
        <v/>
      </c>
      <c r="R1676" s="20">
        <f>IF($U1676="","",INDEX(상세표[18~22시],$U1676))</f>
        <v/>
      </c>
      <c r="S1676" s="20">
        <f>IF($U1676="","",INDEX(상세표[22~06시],$U1676))</f>
        <v/>
      </c>
      <c r="T1676" s="20">
        <f>IF($U1676="","",INDEX(상세표[기록 시간외],$U1676))</f>
        <v/>
      </c>
      <c r="U1676" s="4">
        <f>IFERROR(MATCH(1671,상세표[발송순번],0),"")</f>
        <v/>
      </c>
    </row>
    <row r="1677">
      <c r="J1677">
        <f>IF($U1677="","",INDEX(상세표[사번],$U1677)&amp;"")</f>
        <v/>
      </c>
      <c r="K1677">
        <f>IF($U1677="","",INDEX(상세표[성명],$U1677)&amp;"")</f>
        <v/>
      </c>
      <c r="L1677">
        <f>IF($U1677="","",INDEX(상세표[직위],$U1677)&amp;"")</f>
        <v/>
      </c>
      <c r="M1677">
        <f>IF($U1677="","",IF(ISNUMBER(INDEX(상세표[근무일자],$U1677)),TEXT(INDEX(상세표[근무일자],$U1677),"yyyy-mm-dd"),INDEX(상세표[근무일자],$U1677)&amp;""))</f>
        <v/>
      </c>
      <c r="N1677">
        <f>IF($U1677="","",IF(ISNUMBER(INDEX(상세표[시작],$U1677)),TEXT(INDEX(상세표[시작],$U1677),"yyyy-mm-dd hh:mm"),INDEX(상세표[시작],$U1677)&amp;""))</f>
        <v/>
      </c>
      <c r="O1677">
        <f>IF($U1677="","",IF(ISNUMBER(INDEX(상세표[종료],$U1677)),TEXT(INDEX(상세표[종료],$U1677),"yyyy-mm-dd hh:mm"),INDEX(상세표[종료],$U1677)&amp;""))</f>
        <v/>
      </c>
      <c r="P1677" s="20">
        <f>IF($U1677="","",INDEX(상세표[06~07시],$U1677))</f>
        <v/>
      </c>
      <c r="Q1677" s="20">
        <f>IF($U1677="","",INDEX(상세표[07~18시],$U1677))</f>
        <v/>
      </c>
      <c r="R1677" s="20">
        <f>IF($U1677="","",INDEX(상세표[18~22시],$U1677))</f>
        <v/>
      </c>
      <c r="S1677" s="20">
        <f>IF($U1677="","",INDEX(상세표[22~06시],$U1677))</f>
        <v/>
      </c>
      <c r="T1677" s="20">
        <f>IF($U1677="","",INDEX(상세표[기록 시간외],$U1677))</f>
        <v/>
      </c>
      <c r="U1677" s="4">
        <f>IFERROR(MATCH(1672,상세표[발송순번],0),"")</f>
        <v/>
      </c>
    </row>
    <row r="1678">
      <c r="J1678">
        <f>IF($U1678="","",INDEX(상세표[사번],$U1678)&amp;"")</f>
        <v/>
      </c>
      <c r="K1678">
        <f>IF($U1678="","",INDEX(상세표[성명],$U1678)&amp;"")</f>
        <v/>
      </c>
      <c r="L1678">
        <f>IF($U1678="","",INDEX(상세표[직위],$U1678)&amp;"")</f>
        <v/>
      </c>
      <c r="M1678">
        <f>IF($U1678="","",IF(ISNUMBER(INDEX(상세표[근무일자],$U1678)),TEXT(INDEX(상세표[근무일자],$U1678),"yyyy-mm-dd"),INDEX(상세표[근무일자],$U1678)&amp;""))</f>
        <v/>
      </c>
      <c r="N1678">
        <f>IF($U1678="","",IF(ISNUMBER(INDEX(상세표[시작],$U1678)),TEXT(INDEX(상세표[시작],$U1678),"yyyy-mm-dd hh:mm"),INDEX(상세표[시작],$U1678)&amp;""))</f>
        <v/>
      </c>
      <c r="O1678">
        <f>IF($U1678="","",IF(ISNUMBER(INDEX(상세표[종료],$U1678)),TEXT(INDEX(상세표[종료],$U1678),"yyyy-mm-dd hh:mm"),INDEX(상세표[종료],$U1678)&amp;""))</f>
        <v/>
      </c>
      <c r="P1678" s="20">
        <f>IF($U1678="","",INDEX(상세표[06~07시],$U1678))</f>
        <v/>
      </c>
      <c r="Q1678" s="20">
        <f>IF($U1678="","",INDEX(상세표[07~18시],$U1678))</f>
        <v/>
      </c>
      <c r="R1678" s="20">
        <f>IF($U1678="","",INDEX(상세표[18~22시],$U1678))</f>
        <v/>
      </c>
      <c r="S1678" s="20">
        <f>IF($U1678="","",INDEX(상세표[22~06시],$U1678))</f>
        <v/>
      </c>
      <c r="T1678" s="20">
        <f>IF($U1678="","",INDEX(상세표[기록 시간외],$U1678))</f>
        <v/>
      </c>
      <c r="U1678" s="4">
        <f>IFERROR(MATCH(1673,상세표[발송순번],0),"")</f>
        <v/>
      </c>
    </row>
    <row r="1679">
      <c r="J1679">
        <f>IF($U1679="","",INDEX(상세표[사번],$U1679)&amp;"")</f>
        <v/>
      </c>
      <c r="K1679">
        <f>IF($U1679="","",INDEX(상세표[성명],$U1679)&amp;"")</f>
        <v/>
      </c>
      <c r="L1679">
        <f>IF($U1679="","",INDEX(상세표[직위],$U1679)&amp;"")</f>
        <v/>
      </c>
      <c r="M1679">
        <f>IF($U1679="","",IF(ISNUMBER(INDEX(상세표[근무일자],$U1679)),TEXT(INDEX(상세표[근무일자],$U1679),"yyyy-mm-dd"),INDEX(상세표[근무일자],$U1679)&amp;""))</f>
        <v/>
      </c>
      <c r="N1679">
        <f>IF($U1679="","",IF(ISNUMBER(INDEX(상세표[시작],$U1679)),TEXT(INDEX(상세표[시작],$U1679),"yyyy-mm-dd hh:mm"),INDEX(상세표[시작],$U1679)&amp;""))</f>
        <v/>
      </c>
      <c r="O1679">
        <f>IF($U1679="","",IF(ISNUMBER(INDEX(상세표[종료],$U1679)),TEXT(INDEX(상세표[종료],$U1679),"yyyy-mm-dd hh:mm"),INDEX(상세표[종료],$U1679)&amp;""))</f>
        <v/>
      </c>
      <c r="P1679" s="20">
        <f>IF($U1679="","",INDEX(상세표[06~07시],$U1679))</f>
        <v/>
      </c>
      <c r="Q1679" s="20">
        <f>IF($U1679="","",INDEX(상세표[07~18시],$U1679))</f>
        <v/>
      </c>
      <c r="R1679" s="20">
        <f>IF($U1679="","",INDEX(상세표[18~22시],$U1679))</f>
        <v/>
      </c>
      <c r="S1679" s="20">
        <f>IF($U1679="","",INDEX(상세표[22~06시],$U1679))</f>
        <v/>
      </c>
      <c r="T1679" s="20">
        <f>IF($U1679="","",INDEX(상세표[기록 시간외],$U1679))</f>
        <v/>
      </c>
      <c r="U1679" s="4">
        <f>IFERROR(MATCH(1674,상세표[발송순번],0),"")</f>
        <v/>
      </c>
    </row>
    <row r="1680">
      <c r="J1680">
        <f>IF($U1680="","",INDEX(상세표[사번],$U1680)&amp;"")</f>
        <v/>
      </c>
      <c r="K1680">
        <f>IF($U1680="","",INDEX(상세표[성명],$U1680)&amp;"")</f>
        <v/>
      </c>
      <c r="L1680">
        <f>IF($U1680="","",INDEX(상세표[직위],$U1680)&amp;"")</f>
        <v/>
      </c>
      <c r="M1680">
        <f>IF($U1680="","",IF(ISNUMBER(INDEX(상세표[근무일자],$U1680)),TEXT(INDEX(상세표[근무일자],$U1680),"yyyy-mm-dd"),INDEX(상세표[근무일자],$U1680)&amp;""))</f>
        <v/>
      </c>
      <c r="N1680">
        <f>IF($U1680="","",IF(ISNUMBER(INDEX(상세표[시작],$U1680)),TEXT(INDEX(상세표[시작],$U1680),"yyyy-mm-dd hh:mm"),INDEX(상세표[시작],$U1680)&amp;""))</f>
        <v/>
      </c>
      <c r="O1680">
        <f>IF($U1680="","",IF(ISNUMBER(INDEX(상세표[종료],$U1680)),TEXT(INDEX(상세표[종료],$U1680),"yyyy-mm-dd hh:mm"),INDEX(상세표[종료],$U1680)&amp;""))</f>
        <v/>
      </c>
      <c r="P1680" s="20">
        <f>IF($U1680="","",INDEX(상세표[06~07시],$U1680))</f>
        <v/>
      </c>
      <c r="Q1680" s="20">
        <f>IF($U1680="","",INDEX(상세표[07~18시],$U1680))</f>
        <v/>
      </c>
      <c r="R1680" s="20">
        <f>IF($U1680="","",INDEX(상세표[18~22시],$U1680))</f>
        <v/>
      </c>
      <c r="S1680" s="20">
        <f>IF($U1680="","",INDEX(상세표[22~06시],$U1680))</f>
        <v/>
      </c>
      <c r="T1680" s="20">
        <f>IF($U1680="","",INDEX(상세표[기록 시간외],$U1680))</f>
        <v/>
      </c>
      <c r="U1680" s="4">
        <f>IFERROR(MATCH(1675,상세표[발송순번],0),"")</f>
        <v/>
      </c>
    </row>
    <row r="1681">
      <c r="J1681">
        <f>IF($U1681="","",INDEX(상세표[사번],$U1681)&amp;"")</f>
        <v/>
      </c>
      <c r="K1681">
        <f>IF($U1681="","",INDEX(상세표[성명],$U1681)&amp;"")</f>
        <v/>
      </c>
      <c r="L1681">
        <f>IF($U1681="","",INDEX(상세표[직위],$U1681)&amp;"")</f>
        <v/>
      </c>
      <c r="M1681">
        <f>IF($U1681="","",IF(ISNUMBER(INDEX(상세표[근무일자],$U1681)),TEXT(INDEX(상세표[근무일자],$U1681),"yyyy-mm-dd"),INDEX(상세표[근무일자],$U1681)&amp;""))</f>
        <v/>
      </c>
      <c r="N1681">
        <f>IF($U1681="","",IF(ISNUMBER(INDEX(상세표[시작],$U1681)),TEXT(INDEX(상세표[시작],$U1681),"yyyy-mm-dd hh:mm"),INDEX(상세표[시작],$U1681)&amp;""))</f>
        <v/>
      </c>
      <c r="O1681">
        <f>IF($U1681="","",IF(ISNUMBER(INDEX(상세표[종료],$U1681)),TEXT(INDEX(상세표[종료],$U1681),"yyyy-mm-dd hh:mm"),INDEX(상세표[종료],$U1681)&amp;""))</f>
        <v/>
      </c>
      <c r="P1681" s="20">
        <f>IF($U1681="","",INDEX(상세표[06~07시],$U1681))</f>
        <v/>
      </c>
      <c r="Q1681" s="20">
        <f>IF($U1681="","",INDEX(상세표[07~18시],$U1681))</f>
        <v/>
      </c>
      <c r="R1681" s="20">
        <f>IF($U1681="","",INDEX(상세표[18~22시],$U1681))</f>
        <v/>
      </c>
      <c r="S1681" s="20">
        <f>IF($U1681="","",INDEX(상세표[22~06시],$U1681))</f>
        <v/>
      </c>
      <c r="T1681" s="20">
        <f>IF($U1681="","",INDEX(상세표[기록 시간외],$U1681))</f>
        <v/>
      </c>
      <c r="U1681" s="4">
        <f>IFERROR(MATCH(1676,상세표[발송순번],0),"")</f>
        <v/>
      </c>
    </row>
    <row r="1682">
      <c r="J1682">
        <f>IF($U1682="","",INDEX(상세표[사번],$U1682)&amp;"")</f>
        <v/>
      </c>
      <c r="K1682">
        <f>IF($U1682="","",INDEX(상세표[성명],$U1682)&amp;"")</f>
        <v/>
      </c>
      <c r="L1682">
        <f>IF($U1682="","",INDEX(상세표[직위],$U1682)&amp;"")</f>
        <v/>
      </c>
      <c r="M1682">
        <f>IF($U1682="","",IF(ISNUMBER(INDEX(상세표[근무일자],$U1682)),TEXT(INDEX(상세표[근무일자],$U1682),"yyyy-mm-dd"),INDEX(상세표[근무일자],$U1682)&amp;""))</f>
        <v/>
      </c>
      <c r="N1682">
        <f>IF($U1682="","",IF(ISNUMBER(INDEX(상세표[시작],$U1682)),TEXT(INDEX(상세표[시작],$U1682),"yyyy-mm-dd hh:mm"),INDEX(상세표[시작],$U1682)&amp;""))</f>
        <v/>
      </c>
      <c r="O1682">
        <f>IF($U1682="","",IF(ISNUMBER(INDEX(상세표[종료],$U1682)),TEXT(INDEX(상세표[종료],$U1682),"yyyy-mm-dd hh:mm"),INDEX(상세표[종료],$U1682)&amp;""))</f>
        <v/>
      </c>
      <c r="P1682" s="20">
        <f>IF($U1682="","",INDEX(상세표[06~07시],$U1682))</f>
        <v/>
      </c>
      <c r="Q1682" s="20">
        <f>IF($U1682="","",INDEX(상세표[07~18시],$U1682))</f>
        <v/>
      </c>
      <c r="R1682" s="20">
        <f>IF($U1682="","",INDEX(상세표[18~22시],$U1682))</f>
        <v/>
      </c>
      <c r="S1682" s="20">
        <f>IF($U1682="","",INDEX(상세표[22~06시],$U1682))</f>
        <v/>
      </c>
      <c r="T1682" s="20">
        <f>IF($U1682="","",INDEX(상세표[기록 시간외],$U1682))</f>
        <v/>
      </c>
      <c r="U1682" s="4">
        <f>IFERROR(MATCH(1677,상세표[발송순번],0),"")</f>
        <v/>
      </c>
    </row>
    <row r="1683">
      <c r="J1683">
        <f>IF($U1683="","",INDEX(상세표[사번],$U1683)&amp;"")</f>
        <v/>
      </c>
      <c r="K1683">
        <f>IF($U1683="","",INDEX(상세표[성명],$U1683)&amp;"")</f>
        <v/>
      </c>
      <c r="L1683">
        <f>IF($U1683="","",INDEX(상세표[직위],$U1683)&amp;"")</f>
        <v/>
      </c>
      <c r="M1683">
        <f>IF($U1683="","",IF(ISNUMBER(INDEX(상세표[근무일자],$U1683)),TEXT(INDEX(상세표[근무일자],$U1683),"yyyy-mm-dd"),INDEX(상세표[근무일자],$U1683)&amp;""))</f>
        <v/>
      </c>
      <c r="N1683">
        <f>IF($U1683="","",IF(ISNUMBER(INDEX(상세표[시작],$U1683)),TEXT(INDEX(상세표[시작],$U1683),"yyyy-mm-dd hh:mm"),INDEX(상세표[시작],$U1683)&amp;""))</f>
        <v/>
      </c>
      <c r="O1683">
        <f>IF($U1683="","",IF(ISNUMBER(INDEX(상세표[종료],$U1683)),TEXT(INDEX(상세표[종료],$U1683),"yyyy-mm-dd hh:mm"),INDEX(상세표[종료],$U1683)&amp;""))</f>
        <v/>
      </c>
      <c r="P1683" s="20">
        <f>IF($U1683="","",INDEX(상세표[06~07시],$U1683))</f>
        <v/>
      </c>
      <c r="Q1683" s="20">
        <f>IF($U1683="","",INDEX(상세표[07~18시],$U1683))</f>
        <v/>
      </c>
      <c r="R1683" s="20">
        <f>IF($U1683="","",INDEX(상세표[18~22시],$U1683))</f>
        <v/>
      </c>
      <c r="S1683" s="20">
        <f>IF($U1683="","",INDEX(상세표[22~06시],$U1683))</f>
        <v/>
      </c>
      <c r="T1683" s="20">
        <f>IF($U1683="","",INDEX(상세표[기록 시간외],$U1683))</f>
        <v/>
      </c>
      <c r="U1683" s="4">
        <f>IFERROR(MATCH(1678,상세표[발송순번],0),"")</f>
        <v/>
      </c>
    </row>
    <row r="1684">
      <c r="J1684">
        <f>IF($U1684="","",INDEX(상세표[사번],$U1684)&amp;"")</f>
        <v/>
      </c>
      <c r="K1684">
        <f>IF($U1684="","",INDEX(상세표[성명],$U1684)&amp;"")</f>
        <v/>
      </c>
      <c r="L1684">
        <f>IF($U1684="","",INDEX(상세표[직위],$U1684)&amp;"")</f>
        <v/>
      </c>
      <c r="M1684">
        <f>IF($U1684="","",IF(ISNUMBER(INDEX(상세표[근무일자],$U1684)),TEXT(INDEX(상세표[근무일자],$U1684),"yyyy-mm-dd"),INDEX(상세표[근무일자],$U1684)&amp;""))</f>
        <v/>
      </c>
      <c r="N1684">
        <f>IF($U1684="","",IF(ISNUMBER(INDEX(상세표[시작],$U1684)),TEXT(INDEX(상세표[시작],$U1684),"yyyy-mm-dd hh:mm"),INDEX(상세표[시작],$U1684)&amp;""))</f>
        <v/>
      </c>
      <c r="O1684">
        <f>IF($U1684="","",IF(ISNUMBER(INDEX(상세표[종료],$U1684)),TEXT(INDEX(상세표[종료],$U1684),"yyyy-mm-dd hh:mm"),INDEX(상세표[종료],$U1684)&amp;""))</f>
        <v/>
      </c>
      <c r="P1684" s="20">
        <f>IF($U1684="","",INDEX(상세표[06~07시],$U1684))</f>
        <v/>
      </c>
      <c r="Q1684" s="20">
        <f>IF($U1684="","",INDEX(상세표[07~18시],$U1684))</f>
        <v/>
      </c>
      <c r="R1684" s="20">
        <f>IF($U1684="","",INDEX(상세표[18~22시],$U1684))</f>
        <v/>
      </c>
      <c r="S1684" s="20">
        <f>IF($U1684="","",INDEX(상세표[22~06시],$U1684))</f>
        <v/>
      </c>
      <c r="T1684" s="20">
        <f>IF($U1684="","",INDEX(상세표[기록 시간외],$U1684))</f>
        <v/>
      </c>
      <c r="U1684" s="4">
        <f>IFERROR(MATCH(1679,상세표[발송순번],0),"")</f>
        <v/>
      </c>
    </row>
    <row r="1685">
      <c r="J1685">
        <f>IF($U1685="","",INDEX(상세표[사번],$U1685)&amp;"")</f>
        <v/>
      </c>
      <c r="K1685">
        <f>IF($U1685="","",INDEX(상세표[성명],$U1685)&amp;"")</f>
        <v/>
      </c>
      <c r="L1685">
        <f>IF($U1685="","",INDEX(상세표[직위],$U1685)&amp;"")</f>
        <v/>
      </c>
      <c r="M1685">
        <f>IF($U1685="","",IF(ISNUMBER(INDEX(상세표[근무일자],$U1685)),TEXT(INDEX(상세표[근무일자],$U1685),"yyyy-mm-dd"),INDEX(상세표[근무일자],$U1685)&amp;""))</f>
        <v/>
      </c>
      <c r="N1685">
        <f>IF($U1685="","",IF(ISNUMBER(INDEX(상세표[시작],$U1685)),TEXT(INDEX(상세표[시작],$U1685),"yyyy-mm-dd hh:mm"),INDEX(상세표[시작],$U1685)&amp;""))</f>
        <v/>
      </c>
      <c r="O1685">
        <f>IF($U1685="","",IF(ISNUMBER(INDEX(상세표[종료],$U1685)),TEXT(INDEX(상세표[종료],$U1685),"yyyy-mm-dd hh:mm"),INDEX(상세표[종료],$U1685)&amp;""))</f>
        <v/>
      </c>
      <c r="P1685" s="20">
        <f>IF($U1685="","",INDEX(상세표[06~07시],$U1685))</f>
        <v/>
      </c>
      <c r="Q1685" s="20">
        <f>IF($U1685="","",INDEX(상세표[07~18시],$U1685))</f>
        <v/>
      </c>
      <c r="R1685" s="20">
        <f>IF($U1685="","",INDEX(상세표[18~22시],$U1685))</f>
        <v/>
      </c>
      <c r="S1685" s="20">
        <f>IF($U1685="","",INDEX(상세표[22~06시],$U1685))</f>
        <v/>
      </c>
      <c r="T1685" s="20">
        <f>IF($U1685="","",INDEX(상세표[기록 시간외],$U1685))</f>
        <v/>
      </c>
      <c r="U1685" s="4">
        <f>IFERROR(MATCH(1680,상세표[발송순번],0),"")</f>
        <v/>
      </c>
    </row>
    <row r="1686">
      <c r="J1686">
        <f>IF($U1686="","",INDEX(상세표[사번],$U1686)&amp;"")</f>
        <v/>
      </c>
      <c r="K1686">
        <f>IF($U1686="","",INDEX(상세표[성명],$U1686)&amp;"")</f>
        <v/>
      </c>
      <c r="L1686">
        <f>IF($U1686="","",INDEX(상세표[직위],$U1686)&amp;"")</f>
        <v/>
      </c>
      <c r="M1686">
        <f>IF($U1686="","",IF(ISNUMBER(INDEX(상세표[근무일자],$U1686)),TEXT(INDEX(상세표[근무일자],$U1686),"yyyy-mm-dd"),INDEX(상세표[근무일자],$U1686)&amp;""))</f>
        <v/>
      </c>
      <c r="N1686">
        <f>IF($U1686="","",IF(ISNUMBER(INDEX(상세표[시작],$U1686)),TEXT(INDEX(상세표[시작],$U1686),"yyyy-mm-dd hh:mm"),INDEX(상세표[시작],$U1686)&amp;""))</f>
        <v/>
      </c>
      <c r="O1686">
        <f>IF($U1686="","",IF(ISNUMBER(INDEX(상세표[종료],$U1686)),TEXT(INDEX(상세표[종료],$U1686),"yyyy-mm-dd hh:mm"),INDEX(상세표[종료],$U1686)&amp;""))</f>
        <v/>
      </c>
      <c r="P1686" s="20">
        <f>IF($U1686="","",INDEX(상세표[06~07시],$U1686))</f>
        <v/>
      </c>
      <c r="Q1686" s="20">
        <f>IF($U1686="","",INDEX(상세표[07~18시],$U1686))</f>
        <v/>
      </c>
      <c r="R1686" s="20">
        <f>IF($U1686="","",INDEX(상세표[18~22시],$U1686))</f>
        <v/>
      </c>
      <c r="S1686" s="20">
        <f>IF($U1686="","",INDEX(상세표[22~06시],$U1686))</f>
        <v/>
      </c>
      <c r="T1686" s="20">
        <f>IF($U1686="","",INDEX(상세표[기록 시간외],$U1686))</f>
        <v/>
      </c>
      <c r="U1686" s="4">
        <f>IFERROR(MATCH(1681,상세표[발송순번],0),"")</f>
        <v/>
      </c>
    </row>
    <row r="1687">
      <c r="J1687">
        <f>IF($U1687="","",INDEX(상세표[사번],$U1687)&amp;"")</f>
        <v/>
      </c>
      <c r="K1687">
        <f>IF($U1687="","",INDEX(상세표[성명],$U1687)&amp;"")</f>
        <v/>
      </c>
      <c r="L1687">
        <f>IF($U1687="","",INDEX(상세표[직위],$U1687)&amp;"")</f>
        <v/>
      </c>
      <c r="M1687">
        <f>IF($U1687="","",IF(ISNUMBER(INDEX(상세표[근무일자],$U1687)),TEXT(INDEX(상세표[근무일자],$U1687),"yyyy-mm-dd"),INDEX(상세표[근무일자],$U1687)&amp;""))</f>
        <v/>
      </c>
      <c r="N1687">
        <f>IF($U1687="","",IF(ISNUMBER(INDEX(상세표[시작],$U1687)),TEXT(INDEX(상세표[시작],$U1687),"yyyy-mm-dd hh:mm"),INDEX(상세표[시작],$U1687)&amp;""))</f>
        <v/>
      </c>
      <c r="O1687">
        <f>IF($U1687="","",IF(ISNUMBER(INDEX(상세표[종료],$U1687)),TEXT(INDEX(상세표[종료],$U1687),"yyyy-mm-dd hh:mm"),INDEX(상세표[종료],$U1687)&amp;""))</f>
        <v/>
      </c>
      <c r="P1687" s="20">
        <f>IF($U1687="","",INDEX(상세표[06~07시],$U1687))</f>
        <v/>
      </c>
      <c r="Q1687" s="20">
        <f>IF($U1687="","",INDEX(상세표[07~18시],$U1687))</f>
        <v/>
      </c>
      <c r="R1687" s="20">
        <f>IF($U1687="","",INDEX(상세표[18~22시],$U1687))</f>
        <v/>
      </c>
      <c r="S1687" s="20">
        <f>IF($U1687="","",INDEX(상세표[22~06시],$U1687))</f>
        <v/>
      </c>
      <c r="T1687" s="20">
        <f>IF($U1687="","",INDEX(상세표[기록 시간외],$U1687))</f>
        <v/>
      </c>
      <c r="U1687" s="4">
        <f>IFERROR(MATCH(1682,상세표[발송순번],0),"")</f>
        <v/>
      </c>
    </row>
    <row r="1688">
      <c r="J1688">
        <f>IF($U1688="","",INDEX(상세표[사번],$U1688)&amp;"")</f>
        <v/>
      </c>
      <c r="K1688">
        <f>IF($U1688="","",INDEX(상세표[성명],$U1688)&amp;"")</f>
        <v/>
      </c>
      <c r="L1688">
        <f>IF($U1688="","",INDEX(상세표[직위],$U1688)&amp;"")</f>
        <v/>
      </c>
      <c r="M1688">
        <f>IF($U1688="","",IF(ISNUMBER(INDEX(상세표[근무일자],$U1688)),TEXT(INDEX(상세표[근무일자],$U1688),"yyyy-mm-dd"),INDEX(상세표[근무일자],$U1688)&amp;""))</f>
        <v/>
      </c>
      <c r="N1688">
        <f>IF($U1688="","",IF(ISNUMBER(INDEX(상세표[시작],$U1688)),TEXT(INDEX(상세표[시작],$U1688),"yyyy-mm-dd hh:mm"),INDEX(상세표[시작],$U1688)&amp;""))</f>
        <v/>
      </c>
      <c r="O1688">
        <f>IF($U1688="","",IF(ISNUMBER(INDEX(상세표[종료],$U1688)),TEXT(INDEX(상세표[종료],$U1688),"yyyy-mm-dd hh:mm"),INDEX(상세표[종료],$U1688)&amp;""))</f>
        <v/>
      </c>
      <c r="P1688" s="20">
        <f>IF($U1688="","",INDEX(상세표[06~07시],$U1688))</f>
        <v/>
      </c>
      <c r="Q1688" s="20">
        <f>IF($U1688="","",INDEX(상세표[07~18시],$U1688))</f>
        <v/>
      </c>
      <c r="R1688" s="20">
        <f>IF($U1688="","",INDEX(상세표[18~22시],$U1688))</f>
        <v/>
      </c>
      <c r="S1688" s="20">
        <f>IF($U1688="","",INDEX(상세표[22~06시],$U1688))</f>
        <v/>
      </c>
      <c r="T1688" s="20">
        <f>IF($U1688="","",INDEX(상세표[기록 시간외],$U1688))</f>
        <v/>
      </c>
      <c r="U1688" s="4">
        <f>IFERROR(MATCH(1683,상세표[발송순번],0),"")</f>
        <v/>
      </c>
    </row>
    <row r="1689">
      <c r="J1689">
        <f>IF($U1689="","",INDEX(상세표[사번],$U1689)&amp;"")</f>
        <v/>
      </c>
      <c r="K1689">
        <f>IF($U1689="","",INDEX(상세표[성명],$U1689)&amp;"")</f>
        <v/>
      </c>
      <c r="L1689">
        <f>IF($U1689="","",INDEX(상세표[직위],$U1689)&amp;"")</f>
        <v/>
      </c>
      <c r="M1689">
        <f>IF($U1689="","",IF(ISNUMBER(INDEX(상세표[근무일자],$U1689)),TEXT(INDEX(상세표[근무일자],$U1689),"yyyy-mm-dd"),INDEX(상세표[근무일자],$U1689)&amp;""))</f>
        <v/>
      </c>
      <c r="N1689">
        <f>IF($U1689="","",IF(ISNUMBER(INDEX(상세표[시작],$U1689)),TEXT(INDEX(상세표[시작],$U1689),"yyyy-mm-dd hh:mm"),INDEX(상세표[시작],$U1689)&amp;""))</f>
        <v/>
      </c>
      <c r="O1689">
        <f>IF($U1689="","",IF(ISNUMBER(INDEX(상세표[종료],$U1689)),TEXT(INDEX(상세표[종료],$U1689),"yyyy-mm-dd hh:mm"),INDEX(상세표[종료],$U1689)&amp;""))</f>
        <v/>
      </c>
      <c r="P1689" s="20">
        <f>IF($U1689="","",INDEX(상세표[06~07시],$U1689))</f>
        <v/>
      </c>
      <c r="Q1689" s="20">
        <f>IF($U1689="","",INDEX(상세표[07~18시],$U1689))</f>
        <v/>
      </c>
      <c r="R1689" s="20">
        <f>IF($U1689="","",INDEX(상세표[18~22시],$U1689))</f>
        <v/>
      </c>
      <c r="S1689" s="20">
        <f>IF($U1689="","",INDEX(상세표[22~06시],$U1689))</f>
        <v/>
      </c>
      <c r="T1689" s="20">
        <f>IF($U1689="","",INDEX(상세표[기록 시간외],$U1689))</f>
        <v/>
      </c>
      <c r="U1689" s="4">
        <f>IFERROR(MATCH(1684,상세표[발송순번],0),"")</f>
        <v/>
      </c>
    </row>
    <row r="1690">
      <c r="J1690">
        <f>IF($U1690="","",INDEX(상세표[사번],$U1690)&amp;"")</f>
        <v/>
      </c>
      <c r="K1690">
        <f>IF($U1690="","",INDEX(상세표[성명],$U1690)&amp;"")</f>
        <v/>
      </c>
      <c r="L1690">
        <f>IF($U1690="","",INDEX(상세표[직위],$U1690)&amp;"")</f>
        <v/>
      </c>
      <c r="M1690">
        <f>IF($U1690="","",IF(ISNUMBER(INDEX(상세표[근무일자],$U1690)),TEXT(INDEX(상세표[근무일자],$U1690),"yyyy-mm-dd"),INDEX(상세표[근무일자],$U1690)&amp;""))</f>
        <v/>
      </c>
      <c r="N1690">
        <f>IF($U1690="","",IF(ISNUMBER(INDEX(상세표[시작],$U1690)),TEXT(INDEX(상세표[시작],$U1690),"yyyy-mm-dd hh:mm"),INDEX(상세표[시작],$U1690)&amp;""))</f>
        <v/>
      </c>
      <c r="O1690">
        <f>IF($U1690="","",IF(ISNUMBER(INDEX(상세표[종료],$U1690)),TEXT(INDEX(상세표[종료],$U1690),"yyyy-mm-dd hh:mm"),INDEX(상세표[종료],$U1690)&amp;""))</f>
        <v/>
      </c>
      <c r="P1690" s="20">
        <f>IF($U1690="","",INDEX(상세표[06~07시],$U1690))</f>
        <v/>
      </c>
      <c r="Q1690" s="20">
        <f>IF($U1690="","",INDEX(상세표[07~18시],$U1690))</f>
        <v/>
      </c>
      <c r="R1690" s="20">
        <f>IF($U1690="","",INDEX(상세표[18~22시],$U1690))</f>
        <v/>
      </c>
      <c r="S1690" s="20">
        <f>IF($U1690="","",INDEX(상세표[22~06시],$U1690))</f>
        <v/>
      </c>
      <c r="T1690" s="20">
        <f>IF($U1690="","",INDEX(상세표[기록 시간외],$U1690))</f>
        <v/>
      </c>
      <c r="U1690" s="4">
        <f>IFERROR(MATCH(1685,상세표[발송순번],0),"")</f>
        <v/>
      </c>
    </row>
    <row r="1691">
      <c r="J1691">
        <f>IF($U1691="","",INDEX(상세표[사번],$U1691)&amp;"")</f>
        <v/>
      </c>
      <c r="K1691">
        <f>IF($U1691="","",INDEX(상세표[성명],$U1691)&amp;"")</f>
        <v/>
      </c>
      <c r="L1691">
        <f>IF($U1691="","",INDEX(상세표[직위],$U1691)&amp;"")</f>
        <v/>
      </c>
      <c r="M1691">
        <f>IF($U1691="","",IF(ISNUMBER(INDEX(상세표[근무일자],$U1691)),TEXT(INDEX(상세표[근무일자],$U1691),"yyyy-mm-dd"),INDEX(상세표[근무일자],$U1691)&amp;""))</f>
        <v/>
      </c>
      <c r="N1691">
        <f>IF($U1691="","",IF(ISNUMBER(INDEX(상세표[시작],$U1691)),TEXT(INDEX(상세표[시작],$U1691),"yyyy-mm-dd hh:mm"),INDEX(상세표[시작],$U1691)&amp;""))</f>
        <v/>
      </c>
      <c r="O1691">
        <f>IF($U1691="","",IF(ISNUMBER(INDEX(상세표[종료],$U1691)),TEXT(INDEX(상세표[종료],$U1691),"yyyy-mm-dd hh:mm"),INDEX(상세표[종료],$U1691)&amp;""))</f>
        <v/>
      </c>
      <c r="P1691" s="20">
        <f>IF($U1691="","",INDEX(상세표[06~07시],$U1691))</f>
        <v/>
      </c>
      <c r="Q1691" s="20">
        <f>IF($U1691="","",INDEX(상세표[07~18시],$U1691))</f>
        <v/>
      </c>
      <c r="R1691" s="20">
        <f>IF($U1691="","",INDEX(상세표[18~22시],$U1691))</f>
        <v/>
      </c>
      <c r="S1691" s="20">
        <f>IF($U1691="","",INDEX(상세표[22~06시],$U1691))</f>
        <v/>
      </c>
      <c r="T1691" s="20">
        <f>IF($U1691="","",INDEX(상세표[기록 시간외],$U1691))</f>
        <v/>
      </c>
      <c r="U1691" s="4">
        <f>IFERROR(MATCH(1686,상세표[발송순번],0),"")</f>
        <v/>
      </c>
    </row>
    <row r="1692">
      <c r="J1692">
        <f>IF($U1692="","",INDEX(상세표[사번],$U1692)&amp;"")</f>
        <v/>
      </c>
      <c r="K1692">
        <f>IF($U1692="","",INDEX(상세표[성명],$U1692)&amp;"")</f>
        <v/>
      </c>
      <c r="L1692">
        <f>IF($U1692="","",INDEX(상세표[직위],$U1692)&amp;"")</f>
        <v/>
      </c>
      <c r="M1692">
        <f>IF($U1692="","",IF(ISNUMBER(INDEX(상세표[근무일자],$U1692)),TEXT(INDEX(상세표[근무일자],$U1692),"yyyy-mm-dd"),INDEX(상세표[근무일자],$U1692)&amp;""))</f>
        <v/>
      </c>
      <c r="N1692">
        <f>IF($U1692="","",IF(ISNUMBER(INDEX(상세표[시작],$U1692)),TEXT(INDEX(상세표[시작],$U1692),"yyyy-mm-dd hh:mm"),INDEX(상세표[시작],$U1692)&amp;""))</f>
        <v/>
      </c>
      <c r="O1692">
        <f>IF($U1692="","",IF(ISNUMBER(INDEX(상세표[종료],$U1692)),TEXT(INDEX(상세표[종료],$U1692),"yyyy-mm-dd hh:mm"),INDEX(상세표[종료],$U1692)&amp;""))</f>
        <v/>
      </c>
      <c r="P1692" s="20">
        <f>IF($U1692="","",INDEX(상세표[06~07시],$U1692))</f>
        <v/>
      </c>
      <c r="Q1692" s="20">
        <f>IF($U1692="","",INDEX(상세표[07~18시],$U1692))</f>
        <v/>
      </c>
      <c r="R1692" s="20">
        <f>IF($U1692="","",INDEX(상세표[18~22시],$U1692))</f>
        <v/>
      </c>
      <c r="S1692" s="20">
        <f>IF($U1692="","",INDEX(상세표[22~06시],$U1692))</f>
        <v/>
      </c>
      <c r="T1692" s="20">
        <f>IF($U1692="","",INDEX(상세표[기록 시간외],$U1692))</f>
        <v/>
      </c>
      <c r="U1692" s="4">
        <f>IFERROR(MATCH(1687,상세표[발송순번],0),"")</f>
        <v/>
      </c>
    </row>
    <row r="1693">
      <c r="J1693">
        <f>IF($U1693="","",INDEX(상세표[사번],$U1693)&amp;"")</f>
        <v/>
      </c>
      <c r="K1693">
        <f>IF($U1693="","",INDEX(상세표[성명],$U1693)&amp;"")</f>
        <v/>
      </c>
      <c r="L1693">
        <f>IF($U1693="","",INDEX(상세표[직위],$U1693)&amp;"")</f>
        <v/>
      </c>
      <c r="M1693">
        <f>IF($U1693="","",IF(ISNUMBER(INDEX(상세표[근무일자],$U1693)),TEXT(INDEX(상세표[근무일자],$U1693),"yyyy-mm-dd"),INDEX(상세표[근무일자],$U1693)&amp;""))</f>
        <v/>
      </c>
      <c r="N1693">
        <f>IF($U1693="","",IF(ISNUMBER(INDEX(상세표[시작],$U1693)),TEXT(INDEX(상세표[시작],$U1693),"yyyy-mm-dd hh:mm"),INDEX(상세표[시작],$U1693)&amp;""))</f>
        <v/>
      </c>
      <c r="O1693">
        <f>IF($U1693="","",IF(ISNUMBER(INDEX(상세표[종료],$U1693)),TEXT(INDEX(상세표[종료],$U1693),"yyyy-mm-dd hh:mm"),INDEX(상세표[종료],$U1693)&amp;""))</f>
        <v/>
      </c>
      <c r="P1693" s="20">
        <f>IF($U1693="","",INDEX(상세표[06~07시],$U1693))</f>
        <v/>
      </c>
      <c r="Q1693" s="20">
        <f>IF($U1693="","",INDEX(상세표[07~18시],$U1693))</f>
        <v/>
      </c>
      <c r="R1693" s="20">
        <f>IF($U1693="","",INDEX(상세표[18~22시],$U1693))</f>
        <v/>
      </c>
      <c r="S1693" s="20">
        <f>IF($U1693="","",INDEX(상세표[22~06시],$U1693))</f>
        <v/>
      </c>
      <c r="T1693" s="20">
        <f>IF($U1693="","",INDEX(상세표[기록 시간외],$U1693))</f>
        <v/>
      </c>
      <c r="U1693" s="4">
        <f>IFERROR(MATCH(1688,상세표[발송순번],0),"")</f>
        <v/>
      </c>
    </row>
    <row r="1694">
      <c r="J1694">
        <f>IF($U1694="","",INDEX(상세표[사번],$U1694)&amp;"")</f>
        <v/>
      </c>
      <c r="K1694">
        <f>IF($U1694="","",INDEX(상세표[성명],$U1694)&amp;"")</f>
        <v/>
      </c>
      <c r="L1694">
        <f>IF($U1694="","",INDEX(상세표[직위],$U1694)&amp;"")</f>
        <v/>
      </c>
      <c r="M1694">
        <f>IF($U1694="","",IF(ISNUMBER(INDEX(상세표[근무일자],$U1694)),TEXT(INDEX(상세표[근무일자],$U1694),"yyyy-mm-dd"),INDEX(상세표[근무일자],$U1694)&amp;""))</f>
        <v/>
      </c>
      <c r="N1694">
        <f>IF($U1694="","",IF(ISNUMBER(INDEX(상세표[시작],$U1694)),TEXT(INDEX(상세표[시작],$U1694),"yyyy-mm-dd hh:mm"),INDEX(상세표[시작],$U1694)&amp;""))</f>
        <v/>
      </c>
      <c r="O1694">
        <f>IF($U1694="","",IF(ISNUMBER(INDEX(상세표[종료],$U1694)),TEXT(INDEX(상세표[종료],$U1694),"yyyy-mm-dd hh:mm"),INDEX(상세표[종료],$U1694)&amp;""))</f>
        <v/>
      </c>
      <c r="P1694" s="20">
        <f>IF($U1694="","",INDEX(상세표[06~07시],$U1694))</f>
        <v/>
      </c>
      <c r="Q1694" s="20">
        <f>IF($U1694="","",INDEX(상세표[07~18시],$U1694))</f>
        <v/>
      </c>
      <c r="R1694" s="20">
        <f>IF($U1694="","",INDEX(상세표[18~22시],$U1694))</f>
        <v/>
      </c>
      <c r="S1694" s="20">
        <f>IF($U1694="","",INDEX(상세표[22~06시],$U1694))</f>
        <v/>
      </c>
      <c r="T1694" s="20">
        <f>IF($U1694="","",INDEX(상세표[기록 시간외],$U1694))</f>
        <v/>
      </c>
      <c r="U1694" s="4">
        <f>IFERROR(MATCH(1689,상세표[발송순번],0),"")</f>
        <v/>
      </c>
    </row>
    <row r="1695">
      <c r="J1695">
        <f>IF($U1695="","",INDEX(상세표[사번],$U1695)&amp;"")</f>
        <v/>
      </c>
      <c r="K1695">
        <f>IF($U1695="","",INDEX(상세표[성명],$U1695)&amp;"")</f>
        <v/>
      </c>
      <c r="L1695">
        <f>IF($U1695="","",INDEX(상세표[직위],$U1695)&amp;"")</f>
        <v/>
      </c>
      <c r="M1695">
        <f>IF($U1695="","",IF(ISNUMBER(INDEX(상세표[근무일자],$U1695)),TEXT(INDEX(상세표[근무일자],$U1695),"yyyy-mm-dd"),INDEX(상세표[근무일자],$U1695)&amp;""))</f>
        <v/>
      </c>
      <c r="N1695">
        <f>IF($U1695="","",IF(ISNUMBER(INDEX(상세표[시작],$U1695)),TEXT(INDEX(상세표[시작],$U1695),"yyyy-mm-dd hh:mm"),INDEX(상세표[시작],$U1695)&amp;""))</f>
        <v/>
      </c>
      <c r="O1695">
        <f>IF($U1695="","",IF(ISNUMBER(INDEX(상세표[종료],$U1695)),TEXT(INDEX(상세표[종료],$U1695),"yyyy-mm-dd hh:mm"),INDEX(상세표[종료],$U1695)&amp;""))</f>
        <v/>
      </c>
      <c r="P1695" s="20">
        <f>IF($U1695="","",INDEX(상세표[06~07시],$U1695))</f>
        <v/>
      </c>
      <c r="Q1695" s="20">
        <f>IF($U1695="","",INDEX(상세표[07~18시],$U1695))</f>
        <v/>
      </c>
      <c r="R1695" s="20">
        <f>IF($U1695="","",INDEX(상세표[18~22시],$U1695))</f>
        <v/>
      </c>
      <c r="S1695" s="20">
        <f>IF($U1695="","",INDEX(상세표[22~06시],$U1695))</f>
        <v/>
      </c>
      <c r="T1695" s="20">
        <f>IF($U1695="","",INDEX(상세표[기록 시간외],$U1695))</f>
        <v/>
      </c>
      <c r="U1695" s="4">
        <f>IFERROR(MATCH(1690,상세표[발송순번],0),"")</f>
        <v/>
      </c>
    </row>
    <row r="1696">
      <c r="J1696">
        <f>IF($U1696="","",INDEX(상세표[사번],$U1696)&amp;"")</f>
        <v/>
      </c>
      <c r="K1696">
        <f>IF($U1696="","",INDEX(상세표[성명],$U1696)&amp;"")</f>
        <v/>
      </c>
      <c r="L1696">
        <f>IF($U1696="","",INDEX(상세표[직위],$U1696)&amp;"")</f>
        <v/>
      </c>
      <c r="M1696">
        <f>IF($U1696="","",IF(ISNUMBER(INDEX(상세표[근무일자],$U1696)),TEXT(INDEX(상세표[근무일자],$U1696),"yyyy-mm-dd"),INDEX(상세표[근무일자],$U1696)&amp;""))</f>
        <v/>
      </c>
      <c r="N1696">
        <f>IF($U1696="","",IF(ISNUMBER(INDEX(상세표[시작],$U1696)),TEXT(INDEX(상세표[시작],$U1696),"yyyy-mm-dd hh:mm"),INDEX(상세표[시작],$U1696)&amp;""))</f>
        <v/>
      </c>
      <c r="O1696">
        <f>IF($U1696="","",IF(ISNUMBER(INDEX(상세표[종료],$U1696)),TEXT(INDEX(상세표[종료],$U1696),"yyyy-mm-dd hh:mm"),INDEX(상세표[종료],$U1696)&amp;""))</f>
        <v/>
      </c>
      <c r="P1696" s="20">
        <f>IF($U1696="","",INDEX(상세표[06~07시],$U1696))</f>
        <v/>
      </c>
      <c r="Q1696" s="20">
        <f>IF($U1696="","",INDEX(상세표[07~18시],$U1696))</f>
        <v/>
      </c>
      <c r="R1696" s="20">
        <f>IF($U1696="","",INDEX(상세표[18~22시],$U1696))</f>
        <v/>
      </c>
      <c r="S1696" s="20">
        <f>IF($U1696="","",INDEX(상세표[22~06시],$U1696))</f>
        <v/>
      </c>
      <c r="T1696" s="20">
        <f>IF($U1696="","",INDEX(상세표[기록 시간외],$U1696))</f>
        <v/>
      </c>
      <c r="U1696" s="4">
        <f>IFERROR(MATCH(1691,상세표[발송순번],0),"")</f>
        <v/>
      </c>
    </row>
    <row r="1697">
      <c r="J1697">
        <f>IF($U1697="","",INDEX(상세표[사번],$U1697)&amp;"")</f>
        <v/>
      </c>
      <c r="K1697">
        <f>IF($U1697="","",INDEX(상세표[성명],$U1697)&amp;"")</f>
        <v/>
      </c>
      <c r="L1697">
        <f>IF($U1697="","",INDEX(상세표[직위],$U1697)&amp;"")</f>
        <v/>
      </c>
      <c r="M1697">
        <f>IF($U1697="","",IF(ISNUMBER(INDEX(상세표[근무일자],$U1697)),TEXT(INDEX(상세표[근무일자],$U1697),"yyyy-mm-dd"),INDEX(상세표[근무일자],$U1697)&amp;""))</f>
        <v/>
      </c>
      <c r="N1697">
        <f>IF($U1697="","",IF(ISNUMBER(INDEX(상세표[시작],$U1697)),TEXT(INDEX(상세표[시작],$U1697),"yyyy-mm-dd hh:mm"),INDEX(상세표[시작],$U1697)&amp;""))</f>
        <v/>
      </c>
      <c r="O1697">
        <f>IF($U1697="","",IF(ISNUMBER(INDEX(상세표[종료],$U1697)),TEXT(INDEX(상세표[종료],$U1697),"yyyy-mm-dd hh:mm"),INDEX(상세표[종료],$U1697)&amp;""))</f>
        <v/>
      </c>
      <c r="P1697" s="20">
        <f>IF($U1697="","",INDEX(상세표[06~07시],$U1697))</f>
        <v/>
      </c>
      <c r="Q1697" s="20">
        <f>IF($U1697="","",INDEX(상세표[07~18시],$U1697))</f>
        <v/>
      </c>
      <c r="R1697" s="20">
        <f>IF($U1697="","",INDEX(상세표[18~22시],$U1697))</f>
        <v/>
      </c>
      <c r="S1697" s="20">
        <f>IF($U1697="","",INDEX(상세표[22~06시],$U1697))</f>
        <v/>
      </c>
      <c r="T1697" s="20">
        <f>IF($U1697="","",INDEX(상세표[기록 시간외],$U1697))</f>
        <v/>
      </c>
      <c r="U1697" s="4">
        <f>IFERROR(MATCH(1692,상세표[발송순번],0),"")</f>
        <v/>
      </c>
    </row>
    <row r="1698">
      <c r="J1698">
        <f>IF($U1698="","",INDEX(상세표[사번],$U1698)&amp;"")</f>
        <v/>
      </c>
      <c r="K1698">
        <f>IF($U1698="","",INDEX(상세표[성명],$U1698)&amp;"")</f>
        <v/>
      </c>
      <c r="L1698">
        <f>IF($U1698="","",INDEX(상세표[직위],$U1698)&amp;"")</f>
        <v/>
      </c>
      <c r="M1698">
        <f>IF($U1698="","",IF(ISNUMBER(INDEX(상세표[근무일자],$U1698)),TEXT(INDEX(상세표[근무일자],$U1698),"yyyy-mm-dd"),INDEX(상세표[근무일자],$U1698)&amp;""))</f>
        <v/>
      </c>
      <c r="N1698">
        <f>IF($U1698="","",IF(ISNUMBER(INDEX(상세표[시작],$U1698)),TEXT(INDEX(상세표[시작],$U1698),"yyyy-mm-dd hh:mm"),INDEX(상세표[시작],$U1698)&amp;""))</f>
        <v/>
      </c>
      <c r="O1698">
        <f>IF($U1698="","",IF(ISNUMBER(INDEX(상세표[종료],$U1698)),TEXT(INDEX(상세표[종료],$U1698),"yyyy-mm-dd hh:mm"),INDEX(상세표[종료],$U1698)&amp;""))</f>
        <v/>
      </c>
      <c r="P1698" s="20">
        <f>IF($U1698="","",INDEX(상세표[06~07시],$U1698))</f>
        <v/>
      </c>
      <c r="Q1698" s="20">
        <f>IF($U1698="","",INDEX(상세표[07~18시],$U1698))</f>
        <v/>
      </c>
      <c r="R1698" s="20">
        <f>IF($U1698="","",INDEX(상세표[18~22시],$U1698))</f>
        <v/>
      </c>
      <c r="S1698" s="20">
        <f>IF($U1698="","",INDEX(상세표[22~06시],$U1698))</f>
        <v/>
      </c>
      <c r="T1698" s="20">
        <f>IF($U1698="","",INDEX(상세표[기록 시간외],$U1698))</f>
        <v/>
      </c>
      <c r="U1698" s="4">
        <f>IFERROR(MATCH(1693,상세표[발송순번],0),"")</f>
        <v/>
      </c>
    </row>
    <row r="1699">
      <c r="J1699">
        <f>IF($U1699="","",INDEX(상세표[사번],$U1699)&amp;"")</f>
        <v/>
      </c>
      <c r="K1699">
        <f>IF($U1699="","",INDEX(상세표[성명],$U1699)&amp;"")</f>
        <v/>
      </c>
      <c r="L1699">
        <f>IF($U1699="","",INDEX(상세표[직위],$U1699)&amp;"")</f>
        <v/>
      </c>
      <c r="M1699">
        <f>IF($U1699="","",IF(ISNUMBER(INDEX(상세표[근무일자],$U1699)),TEXT(INDEX(상세표[근무일자],$U1699),"yyyy-mm-dd"),INDEX(상세표[근무일자],$U1699)&amp;""))</f>
        <v/>
      </c>
      <c r="N1699">
        <f>IF($U1699="","",IF(ISNUMBER(INDEX(상세표[시작],$U1699)),TEXT(INDEX(상세표[시작],$U1699),"yyyy-mm-dd hh:mm"),INDEX(상세표[시작],$U1699)&amp;""))</f>
        <v/>
      </c>
      <c r="O1699">
        <f>IF($U1699="","",IF(ISNUMBER(INDEX(상세표[종료],$U1699)),TEXT(INDEX(상세표[종료],$U1699),"yyyy-mm-dd hh:mm"),INDEX(상세표[종료],$U1699)&amp;""))</f>
        <v/>
      </c>
      <c r="P1699" s="20">
        <f>IF($U1699="","",INDEX(상세표[06~07시],$U1699))</f>
        <v/>
      </c>
      <c r="Q1699" s="20">
        <f>IF($U1699="","",INDEX(상세표[07~18시],$U1699))</f>
        <v/>
      </c>
      <c r="R1699" s="20">
        <f>IF($U1699="","",INDEX(상세표[18~22시],$U1699))</f>
        <v/>
      </c>
      <c r="S1699" s="20">
        <f>IF($U1699="","",INDEX(상세표[22~06시],$U1699))</f>
        <v/>
      </c>
      <c r="T1699" s="20">
        <f>IF($U1699="","",INDEX(상세표[기록 시간외],$U1699))</f>
        <v/>
      </c>
      <c r="U1699" s="4">
        <f>IFERROR(MATCH(1694,상세표[발송순번],0),"")</f>
        <v/>
      </c>
    </row>
    <row r="1700">
      <c r="J1700">
        <f>IF($U1700="","",INDEX(상세표[사번],$U1700)&amp;"")</f>
        <v/>
      </c>
      <c r="K1700">
        <f>IF($U1700="","",INDEX(상세표[성명],$U1700)&amp;"")</f>
        <v/>
      </c>
      <c r="L1700">
        <f>IF($U1700="","",INDEX(상세표[직위],$U1700)&amp;"")</f>
        <v/>
      </c>
      <c r="M1700">
        <f>IF($U1700="","",IF(ISNUMBER(INDEX(상세표[근무일자],$U1700)),TEXT(INDEX(상세표[근무일자],$U1700),"yyyy-mm-dd"),INDEX(상세표[근무일자],$U1700)&amp;""))</f>
        <v/>
      </c>
      <c r="N1700">
        <f>IF($U1700="","",IF(ISNUMBER(INDEX(상세표[시작],$U1700)),TEXT(INDEX(상세표[시작],$U1700),"yyyy-mm-dd hh:mm"),INDEX(상세표[시작],$U1700)&amp;""))</f>
        <v/>
      </c>
      <c r="O1700">
        <f>IF($U1700="","",IF(ISNUMBER(INDEX(상세표[종료],$U1700)),TEXT(INDEX(상세표[종료],$U1700),"yyyy-mm-dd hh:mm"),INDEX(상세표[종료],$U1700)&amp;""))</f>
        <v/>
      </c>
      <c r="P1700" s="20">
        <f>IF($U1700="","",INDEX(상세표[06~07시],$U1700))</f>
        <v/>
      </c>
      <c r="Q1700" s="20">
        <f>IF($U1700="","",INDEX(상세표[07~18시],$U1700))</f>
        <v/>
      </c>
      <c r="R1700" s="20">
        <f>IF($U1700="","",INDEX(상세표[18~22시],$U1700))</f>
        <v/>
      </c>
      <c r="S1700" s="20">
        <f>IF($U1700="","",INDEX(상세표[22~06시],$U1700))</f>
        <v/>
      </c>
      <c r="T1700" s="20">
        <f>IF($U1700="","",INDEX(상세표[기록 시간외],$U1700))</f>
        <v/>
      </c>
      <c r="U1700" s="4">
        <f>IFERROR(MATCH(1695,상세표[발송순번],0),"")</f>
        <v/>
      </c>
    </row>
    <row r="1701">
      <c r="J1701">
        <f>IF($U1701="","",INDEX(상세표[사번],$U1701)&amp;"")</f>
        <v/>
      </c>
      <c r="K1701">
        <f>IF($U1701="","",INDEX(상세표[성명],$U1701)&amp;"")</f>
        <v/>
      </c>
      <c r="L1701">
        <f>IF($U1701="","",INDEX(상세표[직위],$U1701)&amp;"")</f>
        <v/>
      </c>
      <c r="M1701">
        <f>IF($U1701="","",IF(ISNUMBER(INDEX(상세표[근무일자],$U1701)),TEXT(INDEX(상세표[근무일자],$U1701),"yyyy-mm-dd"),INDEX(상세표[근무일자],$U1701)&amp;""))</f>
        <v/>
      </c>
      <c r="N1701">
        <f>IF($U1701="","",IF(ISNUMBER(INDEX(상세표[시작],$U1701)),TEXT(INDEX(상세표[시작],$U1701),"yyyy-mm-dd hh:mm"),INDEX(상세표[시작],$U1701)&amp;""))</f>
        <v/>
      </c>
      <c r="O1701">
        <f>IF($U1701="","",IF(ISNUMBER(INDEX(상세표[종료],$U1701)),TEXT(INDEX(상세표[종료],$U1701),"yyyy-mm-dd hh:mm"),INDEX(상세표[종료],$U1701)&amp;""))</f>
        <v/>
      </c>
      <c r="P1701" s="20">
        <f>IF($U1701="","",INDEX(상세표[06~07시],$U1701))</f>
        <v/>
      </c>
      <c r="Q1701" s="20">
        <f>IF($U1701="","",INDEX(상세표[07~18시],$U1701))</f>
        <v/>
      </c>
      <c r="R1701" s="20">
        <f>IF($U1701="","",INDEX(상세표[18~22시],$U1701))</f>
        <v/>
      </c>
      <c r="S1701" s="20">
        <f>IF($U1701="","",INDEX(상세표[22~06시],$U1701))</f>
        <v/>
      </c>
      <c r="T1701" s="20">
        <f>IF($U1701="","",INDEX(상세표[기록 시간외],$U1701))</f>
        <v/>
      </c>
      <c r="U1701" s="4">
        <f>IFERROR(MATCH(1696,상세표[발송순번],0),"")</f>
        <v/>
      </c>
    </row>
    <row r="1702">
      <c r="J1702">
        <f>IF($U1702="","",INDEX(상세표[사번],$U1702)&amp;"")</f>
        <v/>
      </c>
      <c r="K1702">
        <f>IF($U1702="","",INDEX(상세표[성명],$U1702)&amp;"")</f>
        <v/>
      </c>
      <c r="L1702">
        <f>IF($U1702="","",INDEX(상세표[직위],$U1702)&amp;"")</f>
        <v/>
      </c>
      <c r="M1702">
        <f>IF($U1702="","",IF(ISNUMBER(INDEX(상세표[근무일자],$U1702)),TEXT(INDEX(상세표[근무일자],$U1702),"yyyy-mm-dd"),INDEX(상세표[근무일자],$U1702)&amp;""))</f>
        <v/>
      </c>
      <c r="N1702">
        <f>IF($U1702="","",IF(ISNUMBER(INDEX(상세표[시작],$U1702)),TEXT(INDEX(상세표[시작],$U1702),"yyyy-mm-dd hh:mm"),INDEX(상세표[시작],$U1702)&amp;""))</f>
        <v/>
      </c>
      <c r="O1702">
        <f>IF($U1702="","",IF(ISNUMBER(INDEX(상세표[종료],$U1702)),TEXT(INDEX(상세표[종료],$U1702),"yyyy-mm-dd hh:mm"),INDEX(상세표[종료],$U1702)&amp;""))</f>
        <v/>
      </c>
      <c r="P1702" s="20">
        <f>IF($U1702="","",INDEX(상세표[06~07시],$U1702))</f>
        <v/>
      </c>
      <c r="Q1702" s="20">
        <f>IF($U1702="","",INDEX(상세표[07~18시],$U1702))</f>
        <v/>
      </c>
      <c r="R1702" s="20">
        <f>IF($U1702="","",INDEX(상세표[18~22시],$U1702))</f>
        <v/>
      </c>
      <c r="S1702" s="20">
        <f>IF($U1702="","",INDEX(상세표[22~06시],$U1702))</f>
        <v/>
      </c>
      <c r="T1702" s="20">
        <f>IF($U1702="","",INDEX(상세표[기록 시간외],$U1702))</f>
        <v/>
      </c>
      <c r="U1702" s="4">
        <f>IFERROR(MATCH(1697,상세표[발송순번],0),"")</f>
        <v/>
      </c>
    </row>
    <row r="1703">
      <c r="J1703">
        <f>IF($U1703="","",INDEX(상세표[사번],$U1703)&amp;"")</f>
        <v/>
      </c>
      <c r="K1703">
        <f>IF($U1703="","",INDEX(상세표[성명],$U1703)&amp;"")</f>
        <v/>
      </c>
      <c r="L1703">
        <f>IF($U1703="","",INDEX(상세표[직위],$U1703)&amp;"")</f>
        <v/>
      </c>
      <c r="M1703">
        <f>IF($U1703="","",IF(ISNUMBER(INDEX(상세표[근무일자],$U1703)),TEXT(INDEX(상세표[근무일자],$U1703),"yyyy-mm-dd"),INDEX(상세표[근무일자],$U1703)&amp;""))</f>
        <v/>
      </c>
      <c r="N1703">
        <f>IF($U1703="","",IF(ISNUMBER(INDEX(상세표[시작],$U1703)),TEXT(INDEX(상세표[시작],$U1703),"yyyy-mm-dd hh:mm"),INDEX(상세표[시작],$U1703)&amp;""))</f>
        <v/>
      </c>
      <c r="O1703">
        <f>IF($U1703="","",IF(ISNUMBER(INDEX(상세표[종료],$U1703)),TEXT(INDEX(상세표[종료],$U1703),"yyyy-mm-dd hh:mm"),INDEX(상세표[종료],$U1703)&amp;""))</f>
        <v/>
      </c>
      <c r="P1703" s="20">
        <f>IF($U1703="","",INDEX(상세표[06~07시],$U1703))</f>
        <v/>
      </c>
      <c r="Q1703" s="20">
        <f>IF($U1703="","",INDEX(상세표[07~18시],$U1703))</f>
        <v/>
      </c>
      <c r="R1703" s="20">
        <f>IF($U1703="","",INDEX(상세표[18~22시],$U1703))</f>
        <v/>
      </c>
      <c r="S1703" s="20">
        <f>IF($U1703="","",INDEX(상세표[22~06시],$U1703))</f>
        <v/>
      </c>
      <c r="T1703" s="20">
        <f>IF($U1703="","",INDEX(상세표[기록 시간외],$U1703))</f>
        <v/>
      </c>
      <c r="U1703" s="4">
        <f>IFERROR(MATCH(1698,상세표[발송순번],0),"")</f>
        <v/>
      </c>
    </row>
    <row r="1704">
      <c r="J1704">
        <f>IF($U1704="","",INDEX(상세표[사번],$U1704)&amp;"")</f>
        <v/>
      </c>
      <c r="K1704">
        <f>IF($U1704="","",INDEX(상세표[성명],$U1704)&amp;"")</f>
        <v/>
      </c>
      <c r="L1704">
        <f>IF($U1704="","",INDEX(상세표[직위],$U1704)&amp;"")</f>
        <v/>
      </c>
      <c r="M1704">
        <f>IF($U1704="","",IF(ISNUMBER(INDEX(상세표[근무일자],$U1704)),TEXT(INDEX(상세표[근무일자],$U1704),"yyyy-mm-dd"),INDEX(상세표[근무일자],$U1704)&amp;""))</f>
        <v/>
      </c>
      <c r="N1704">
        <f>IF($U1704="","",IF(ISNUMBER(INDEX(상세표[시작],$U1704)),TEXT(INDEX(상세표[시작],$U1704),"yyyy-mm-dd hh:mm"),INDEX(상세표[시작],$U1704)&amp;""))</f>
        <v/>
      </c>
      <c r="O1704">
        <f>IF($U1704="","",IF(ISNUMBER(INDEX(상세표[종료],$U1704)),TEXT(INDEX(상세표[종료],$U1704),"yyyy-mm-dd hh:mm"),INDEX(상세표[종료],$U1704)&amp;""))</f>
        <v/>
      </c>
      <c r="P1704" s="20">
        <f>IF($U1704="","",INDEX(상세표[06~07시],$U1704))</f>
        <v/>
      </c>
      <c r="Q1704" s="20">
        <f>IF($U1704="","",INDEX(상세표[07~18시],$U1704))</f>
        <v/>
      </c>
      <c r="R1704" s="20">
        <f>IF($U1704="","",INDEX(상세표[18~22시],$U1704))</f>
        <v/>
      </c>
      <c r="S1704" s="20">
        <f>IF($U1704="","",INDEX(상세표[22~06시],$U1704))</f>
        <v/>
      </c>
      <c r="T1704" s="20">
        <f>IF($U1704="","",INDEX(상세표[기록 시간외],$U1704))</f>
        <v/>
      </c>
      <c r="U1704" s="4">
        <f>IFERROR(MATCH(1699,상세표[발송순번],0),"")</f>
        <v/>
      </c>
    </row>
    <row r="1705">
      <c r="J1705">
        <f>IF($U1705="","",INDEX(상세표[사번],$U1705)&amp;"")</f>
        <v/>
      </c>
      <c r="K1705">
        <f>IF($U1705="","",INDEX(상세표[성명],$U1705)&amp;"")</f>
        <v/>
      </c>
      <c r="L1705">
        <f>IF($U1705="","",INDEX(상세표[직위],$U1705)&amp;"")</f>
        <v/>
      </c>
      <c r="M1705">
        <f>IF($U1705="","",IF(ISNUMBER(INDEX(상세표[근무일자],$U1705)),TEXT(INDEX(상세표[근무일자],$U1705),"yyyy-mm-dd"),INDEX(상세표[근무일자],$U1705)&amp;""))</f>
        <v/>
      </c>
      <c r="N1705">
        <f>IF($U1705="","",IF(ISNUMBER(INDEX(상세표[시작],$U1705)),TEXT(INDEX(상세표[시작],$U1705),"yyyy-mm-dd hh:mm"),INDEX(상세표[시작],$U1705)&amp;""))</f>
        <v/>
      </c>
      <c r="O1705">
        <f>IF($U1705="","",IF(ISNUMBER(INDEX(상세표[종료],$U1705)),TEXT(INDEX(상세표[종료],$U1705),"yyyy-mm-dd hh:mm"),INDEX(상세표[종료],$U1705)&amp;""))</f>
        <v/>
      </c>
      <c r="P1705" s="20">
        <f>IF($U1705="","",INDEX(상세표[06~07시],$U1705))</f>
        <v/>
      </c>
      <c r="Q1705" s="20">
        <f>IF($U1705="","",INDEX(상세표[07~18시],$U1705))</f>
        <v/>
      </c>
      <c r="R1705" s="20">
        <f>IF($U1705="","",INDEX(상세표[18~22시],$U1705))</f>
        <v/>
      </c>
      <c r="S1705" s="20">
        <f>IF($U1705="","",INDEX(상세표[22~06시],$U1705))</f>
        <v/>
      </c>
      <c r="T1705" s="20">
        <f>IF($U1705="","",INDEX(상세표[기록 시간외],$U1705))</f>
        <v/>
      </c>
      <c r="U1705" s="4">
        <f>IFERROR(MATCH(1700,상세표[발송순번],0),"")</f>
        <v/>
      </c>
    </row>
    <row r="1706">
      <c r="J1706">
        <f>IF($U1706="","",INDEX(상세표[사번],$U1706)&amp;"")</f>
        <v/>
      </c>
      <c r="K1706">
        <f>IF($U1706="","",INDEX(상세표[성명],$U1706)&amp;"")</f>
        <v/>
      </c>
      <c r="L1706">
        <f>IF($U1706="","",INDEX(상세표[직위],$U1706)&amp;"")</f>
        <v/>
      </c>
      <c r="M1706">
        <f>IF($U1706="","",IF(ISNUMBER(INDEX(상세표[근무일자],$U1706)),TEXT(INDEX(상세표[근무일자],$U1706),"yyyy-mm-dd"),INDEX(상세표[근무일자],$U1706)&amp;""))</f>
        <v/>
      </c>
      <c r="N1706">
        <f>IF($U1706="","",IF(ISNUMBER(INDEX(상세표[시작],$U1706)),TEXT(INDEX(상세표[시작],$U1706),"yyyy-mm-dd hh:mm"),INDEX(상세표[시작],$U1706)&amp;""))</f>
        <v/>
      </c>
      <c r="O1706">
        <f>IF($U1706="","",IF(ISNUMBER(INDEX(상세표[종료],$U1706)),TEXT(INDEX(상세표[종료],$U1706),"yyyy-mm-dd hh:mm"),INDEX(상세표[종료],$U1706)&amp;""))</f>
        <v/>
      </c>
      <c r="P1706" s="20">
        <f>IF($U1706="","",INDEX(상세표[06~07시],$U1706))</f>
        <v/>
      </c>
      <c r="Q1706" s="20">
        <f>IF($U1706="","",INDEX(상세표[07~18시],$U1706))</f>
        <v/>
      </c>
      <c r="R1706" s="20">
        <f>IF($U1706="","",INDEX(상세표[18~22시],$U1706))</f>
        <v/>
      </c>
      <c r="S1706" s="20">
        <f>IF($U1706="","",INDEX(상세표[22~06시],$U1706))</f>
        <v/>
      </c>
      <c r="T1706" s="20">
        <f>IF($U1706="","",INDEX(상세표[기록 시간외],$U1706))</f>
        <v/>
      </c>
      <c r="U1706" s="4">
        <f>IFERROR(MATCH(1701,상세표[발송순번],0),"")</f>
        <v/>
      </c>
    </row>
    <row r="1707">
      <c r="J1707">
        <f>IF($U1707="","",INDEX(상세표[사번],$U1707)&amp;"")</f>
        <v/>
      </c>
      <c r="K1707">
        <f>IF($U1707="","",INDEX(상세표[성명],$U1707)&amp;"")</f>
        <v/>
      </c>
      <c r="L1707">
        <f>IF($U1707="","",INDEX(상세표[직위],$U1707)&amp;"")</f>
        <v/>
      </c>
      <c r="M1707">
        <f>IF($U1707="","",IF(ISNUMBER(INDEX(상세표[근무일자],$U1707)),TEXT(INDEX(상세표[근무일자],$U1707),"yyyy-mm-dd"),INDEX(상세표[근무일자],$U1707)&amp;""))</f>
        <v/>
      </c>
      <c r="N1707">
        <f>IF($U1707="","",IF(ISNUMBER(INDEX(상세표[시작],$U1707)),TEXT(INDEX(상세표[시작],$U1707),"yyyy-mm-dd hh:mm"),INDEX(상세표[시작],$U1707)&amp;""))</f>
        <v/>
      </c>
      <c r="O1707">
        <f>IF($U1707="","",IF(ISNUMBER(INDEX(상세표[종료],$U1707)),TEXT(INDEX(상세표[종료],$U1707),"yyyy-mm-dd hh:mm"),INDEX(상세표[종료],$U1707)&amp;""))</f>
        <v/>
      </c>
      <c r="P1707" s="20">
        <f>IF($U1707="","",INDEX(상세표[06~07시],$U1707))</f>
        <v/>
      </c>
      <c r="Q1707" s="20">
        <f>IF($U1707="","",INDEX(상세표[07~18시],$U1707))</f>
        <v/>
      </c>
      <c r="R1707" s="20">
        <f>IF($U1707="","",INDEX(상세표[18~22시],$U1707))</f>
        <v/>
      </c>
      <c r="S1707" s="20">
        <f>IF($U1707="","",INDEX(상세표[22~06시],$U1707))</f>
        <v/>
      </c>
      <c r="T1707" s="20">
        <f>IF($U1707="","",INDEX(상세표[기록 시간외],$U1707))</f>
        <v/>
      </c>
      <c r="U1707" s="4">
        <f>IFERROR(MATCH(1702,상세표[발송순번],0),"")</f>
        <v/>
      </c>
    </row>
    <row r="1708">
      <c r="J1708">
        <f>IF($U1708="","",INDEX(상세표[사번],$U1708)&amp;"")</f>
        <v/>
      </c>
      <c r="K1708">
        <f>IF($U1708="","",INDEX(상세표[성명],$U1708)&amp;"")</f>
        <v/>
      </c>
      <c r="L1708">
        <f>IF($U1708="","",INDEX(상세표[직위],$U1708)&amp;"")</f>
        <v/>
      </c>
      <c r="M1708">
        <f>IF($U1708="","",IF(ISNUMBER(INDEX(상세표[근무일자],$U1708)),TEXT(INDEX(상세표[근무일자],$U1708),"yyyy-mm-dd"),INDEX(상세표[근무일자],$U1708)&amp;""))</f>
        <v/>
      </c>
      <c r="N1708">
        <f>IF($U1708="","",IF(ISNUMBER(INDEX(상세표[시작],$U1708)),TEXT(INDEX(상세표[시작],$U1708),"yyyy-mm-dd hh:mm"),INDEX(상세표[시작],$U1708)&amp;""))</f>
        <v/>
      </c>
      <c r="O1708">
        <f>IF($U1708="","",IF(ISNUMBER(INDEX(상세표[종료],$U1708)),TEXT(INDEX(상세표[종료],$U1708),"yyyy-mm-dd hh:mm"),INDEX(상세표[종료],$U1708)&amp;""))</f>
        <v/>
      </c>
      <c r="P1708" s="20">
        <f>IF($U1708="","",INDEX(상세표[06~07시],$U1708))</f>
        <v/>
      </c>
      <c r="Q1708" s="20">
        <f>IF($U1708="","",INDEX(상세표[07~18시],$U1708))</f>
        <v/>
      </c>
      <c r="R1708" s="20">
        <f>IF($U1708="","",INDEX(상세표[18~22시],$U1708))</f>
        <v/>
      </c>
      <c r="S1708" s="20">
        <f>IF($U1708="","",INDEX(상세표[22~06시],$U1708))</f>
        <v/>
      </c>
      <c r="T1708" s="20">
        <f>IF($U1708="","",INDEX(상세표[기록 시간외],$U1708))</f>
        <v/>
      </c>
      <c r="U1708" s="4">
        <f>IFERROR(MATCH(1703,상세표[발송순번],0),"")</f>
        <v/>
      </c>
    </row>
    <row r="1709">
      <c r="J1709">
        <f>IF($U1709="","",INDEX(상세표[사번],$U1709)&amp;"")</f>
        <v/>
      </c>
      <c r="K1709">
        <f>IF($U1709="","",INDEX(상세표[성명],$U1709)&amp;"")</f>
        <v/>
      </c>
      <c r="L1709">
        <f>IF($U1709="","",INDEX(상세표[직위],$U1709)&amp;"")</f>
        <v/>
      </c>
      <c r="M1709">
        <f>IF($U1709="","",IF(ISNUMBER(INDEX(상세표[근무일자],$U1709)),TEXT(INDEX(상세표[근무일자],$U1709),"yyyy-mm-dd"),INDEX(상세표[근무일자],$U1709)&amp;""))</f>
        <v/>
      </c>
      <c r="N1709">
        <f>IF($U1709="","",IF(ISNUMBER(INDEX(상세표[시작],$U1709)),TEXT(INDEX(상세표[시작],$U1709),"yyyy-mm-dd hh:mm"),INDEX(상세표[시작],$U1709)&amp;""))</f>
        <v/>
      </c>
      <c r="O1709">
        <f>IF($U1709="","",IF(ISNUMBER(INDEX(상세표[종료],$U1709)),TEXT(INDEX(상세표[종료],$U1709),"yyyy-mm-dd hh:mm"),INDEX(상세표[종료],$U1709)&amp;""))</f>
        <v/>
      </c>
      <c r="P1709" s="20">
        <f>IF($U1709="","",INDEX(상세표[06~07시],$U1709))</f>
        <v/>
      </c>
      <c r="Q1709" s="20">
        <f>IF($U1709="","",INDEX(상세표[07~18시],$U1709))</f>
        <v/>
      </c>
      <c r="R1709" s="20">
        <f>IF($U1709="","",INDEX(상세표[18~22시],$U1709))</f>
        <v/>
      </c>
      <c r="S1709" s="20">
        <f>IF($U1709="","",INDEX(상세표[22~06시],$U1709))</f>
        <v/>
      </c>
      <c r="T1709" s="20">
        <f>IF($U1709="","",INDEX(상세표[기록 시간외],$U1709))</f>
        <v/>
      </c>
      <c r="U1709" s="4">
        <f>IFERROR(MATCH(1704,상세표[발송순번],0),"")</f>
        <v/>
      </c>
    </row>
    <row r="1710">
      <c r="J1710">
        <f>IF($U1710="","",INDEX(상세표[사번],$U1710)&amp;"")</f>
        <v/>
      </c>
      <c r="K1710">
        <f>IF($U1710="","",INDEX(상세표[성명],$U1710)&amp;"")</f>
        <v/>
      </c>
      <c r="L1710">
        <f>IF($U1710="","",INDEX(상세표[직위],$U1710)&amp;"")</f>
        <v/>
      </c>
      <c r="M1710">
        <f>IF($U1710="","",IF(ISNUMBER(INDEX(상세표[근무일자],$U1710)),TEXT(INDEX(상세표[근무일자],$U1710),"yyyy-mm-dd"),INDEX(상세표[근무일자],$U1710)&amp;""))</f>
        <v/>
      </c>
      <c r="N1710">
        <f>IF($U1710="","",IF(ISNUMBER(INDEX(상세표[시작],$U1710)),TEXT(INDEX(상세표[시작],$U1710),"yyyy-mm-dd hh:mm"),INDEX(상세표[시작],$U1710)&amp;""))</f>
        <v/>
      </c>
      <c r="O1710">
        <f>IF($U1710="","",IF(ISNUMBER(INDEX(상세표[종료],$U1710)),TEXT(INDEX(상세표[종료],$U1710),"yyyy-mm-dd hh:mm"),INDEX(상세표[종료],$U1710)&amp;""))</f>
        <v/>
      </c>
      <c r="P1710" s="20">
        <f>IF($U1710="","",INDEX(상세표[06~07시],$U1710))</f>
        <v/>
      </c>
      <c r="Q1710" s="20">
        <f>IF($U1710="","",INDEX(상세표[07~18시],$U1710))</f>
        <v/>
      </c>
      <c r="R1710" s="20">
        <f>IF($U1710="","",INDEX(상세표[18~22시],$U1710))</f>
        <v/>
      </c>
      <c r="S1710" s="20">
        <f>IF($U1710="","",INDEX(상세표[22~06시],$U1710))</f>
        <v/>
      </c>
      <c r="T1710" s="20">
        <f>IF($U1710="","",INDEX(상세표[기록 시간외],$U1710))</f>
        <v/>
      </c>
      <c r="U1710" s="4">
        <f>IFERROR(MATCH(1705,상세표[발송순번],0),"")</f>
        <v/>
      </c>
    </row>
    <row r="1711">
      <c r="J1711">
        <f>IF($U1711="","",INDEX(상세표[사번],$U1711)&amp;"")</f>
        <v/>
      </c>
      <c r="K1711">
        <f>IF($U1711="","",INDEX(상세표[성명],$U1711)&amp;"")</f>
        <v/>
      </c>
      <c r="L1711">
        <f>IF($U1711="","",INDEX(상세표[직위],$U1711)&amp;"")</f>
        <v/>
      </c>
      <c r="M1711">
        <f>IF($U1711="","",IF(ISNUMBER(INDEX(상세표[근무일자],$U1711)),TEXT(INDEX(상세표[근무일자],$U1711),"yyyy-mm-dd"),INDEX(상세표[근무일자],$U1711)&amp;""))</f>
        <v/>
      </c>
      <c r="N1711">
        <f>IF($U1711="","",IF(ISNUMBER(INDEX(상세표[시작],$U1711)),TEXT(INDEX(상세표[시작],$U1711),"yyyy-mm-dd hh:mm"),INDEX(상세표[시작],$U1711)&amp;""))</f>
        <v/>
      </c>
      <c r="O1711">
        <f>IF($U1711="","",IF(ISNUMBER(INDEX(상세표[종료],$U1711)),TEXT(INDEX(상세표[종료],$U1711),"yyyy-mm-dd hh:mm"),INDEX(상세표[종료],$U1711)&amp;""))</f>
        <v/>
      </c>
      <c r="P1711" s="20">
        <f>IF($U1711="","",INDEX(상세표[06~07시],$U1711))</f>
        <v/>
      </c>
      <c r="Q1711" s="20">
        <f>IF($U1711="","",INDEX(상세표[07~18시],$U1711))</f>
        <v/>
      </c>
      <c r="R1711" s="20">
        <f>IF($U1711="","",INDEX(상세표[18~22시],$U1711))</f>
        <v/>
      </c>
      <c r="S1711" s="20">
        <f>IF($U1711="","",INDEX(상세표[22~06시],$U1711))</f>
        <v/>
      </c>
      <c r="T1711" s="20">
        <f>IF($U1711="","",INDEX(상세표[기록 시간외],$U1711))</f>
        <v/>
      </c>
      <c r="U1711" s="4">
        <f>IFERROR(MATCH(1706,상세표[발송순번],0),"")</f>
        <v/>
      </c>
    </row>
    <row r="1712">
      <c r="J1712">
        <f>IF($U1712="","",INDEX(상세표[사번],$U1712)&amp;"")</f>
        <v/>
      </c>
      <c r="K1712">
        <f>IF($U1712="","",INDEX(상세표[성명],$U1712)&amp;"")</f>
        <v/>
      </c>
      <c r="L1712">
        <f>IF($U1712="","",INDEX(상세표[직위],$U1712)&amp;"")</f>
        <v/>
      </c>
      <c r="M1712">
        <f>IF($U1712="","",IF(ISNUMBER(INDEX(상세표[근무일자],$U1712)),TEXT(INDEX(상세표[근무일자],$U1712),"yyyy-mm-dd"),INDEX(상세표[근무일자],$U1712)&amp;""))</f>
        <v/>
      </c>
      <c r="N1712">
        <f>IF($U1712="","",IF(ISNUMBER(INDEX(상세표[시작],$U1712)),TEXT(INDEX(상세표[시작],$U1712),"yyyy-mm-dd hh:mm"),INDEX(상세표[시작],$U1712)&amp;""))</f>
        <v/>
      </c>
      <c r="O1712">
        <f>IF($U1712="","",IF(ISNUMBER(INDEX(상세표[종료],$U1712)),TEXT(INDEX(상세표[종료],$U1712),"yyyy-mm-dd hh:mm"),INDEX(상세표[종료],$U1712)&amp;""))</f>
        <v/>
      </c>
      <c r="P1712" s="20">
        <f>IF($U1712="","",INDEX(상세표[06~07시],$U1712))</f>
        <v/>
      </c>
      <c r="Q1712" s="20">
        <f>IF($U1712="","",INDEX(상세표[07~18시],$U1712))</f>
        <v/>
      </c>
      <c r="R1712" s="20">
        <f>IF($U1712="","",INDEX(상세표[18~22시],$U1712))</f>
        <v/>
      </c>
      <c r="S1712" s="20">
        <f>IF($U1712="","",INDEX(상세표[22~06시],$U1712))</f>
        <v/>
      </c>
      <c r="T1712" s="20">
        <f>IF($U1712="","",INDEX(상세표[기록 시간외],$U1712))</f>
        <v/>
      </c>
      <c r="U1712" s="4">
        <f>IFERROR(MATCH(1707,상세표[발송순번],0),"")</f>
        <v/>
      </c>
    </row>
    <row r="1713">
      <c r="J1713">
        <f>IF($U1713="","",INDEX(상세표[사번],$U1713)&amp;"")</f>
        <v/>
      </c>
      <c r="K1713">
        <f>IF($U1713="","",INDEX(상세표[성명],$U1713)&amp;"")</f>
        <v/>
      </c>
      <c r="L1713">
        <f>IF($U1713="","",INDEX(상세표[직위],$U1713)&amp;"")</f>
        <v/>
      </c>
      <c r="M1713">
        <f>IF($U1713="","",IF(ISNUMBER(INDEX(상세표[근무일자],$U1713)),TEXT(INDEX(상세표[근무일자],$U1713),"yyyy-mm-dd"),INDEX(상세표[근무일자],$U1713)&amp;""))</f>
        <v/>
      </c>
      <c r="N1713">
        <f>IF($U1713="","",IF(ISNUMBER(INDEX(상세표[시작],$U1713)),TEXT(INDEX(상세표[시작],$U1713),"yyyy-mm-dd hh:mm"),INDEX(상세표[시작],$U1713)&amp;""))</f>
        <v/>
      </c>
      <c r="O1713">
        <f>IF($U1713="","",IF(ISNUMBER(INDEX(상세표[종료],$U1713)),TEXT(INDEX(상세표[종료],$U1713),"yyyy-mm-dd hh:mm"),INDEX(상세표[종료],$U1713)&amp;""))</f>
        <v/>
      </c>
      <c r="P1713" s="20">
        <f>IF($U1713="","",INDEX(상세표[06~07시],$U1713))</f>
        <v/>
      </c>
      <c r="Q1713" s="20">
        <f>IF($U1713="","",INDEX(상세표[07~18시],$U1713))</f>
        <v/>
      </c>
      <c r="R1713" s="20">
        <f>IF($U1713="","",INDEX(상세표[18~22시],$U1713))</f>
        <v/>
      </c>
      <c r="S1713" s="20">
        <f>IF($U1713="","",INDEX(상세표[22~06시],$U1713))</f>
        <v/>
      </c>
      <c r="T1713" s="20">
        <f>IF($U1713="","",INDEX(상세표[기록 시간외],$U1713))</f>
        <v/>
      </c>
      <c r="U1713" s="4">
        <f>IFERROR(MATCH(1708,상세표[발송순번],0),"")</f>
        <v/>
      </c>
    </row>
    <row r="1714">
      <c r="J1714">
        <f>IF($U1714="","",INDEX(상세표[사번],$U1714)&amp;"")</f>
        <v/>
      </c>
      <c r="K1714">
        <f>IF($U1714="","",INDEX(상세표[성명],$U1714)&amp;"")</f>
        <v/>
      </c>
      <c r="L1714">
        <f>IF($U1714="","",INDEX(상세표[직위],$U1714)&amp;"")</f>
        <v/>
      </c>
      <c r="M1714">
        <f>IF($U1714="","",IF(ISNUMBER(INDEX(상세표[근무일자],$U1714)),TEXT(INDEX(상세표[근무일자],$U1714),"yyyy-mm-dd"),INDEX(상세표[근무일자],$U1714)&amp;""))</f>
        <v/>
      </c>
      <c r="N1714">
        <f>IF($U1714="","",IF(ISNUMBER(INDEX(상세표[시작],$U1714)),TEXT(INDEX(상세표[시작],$U1714),"yyyy-mm-dd hh:mm"),INDEX(상세표[시작],$U1714)&amp;""))</f>
        <v/>
      </c>
      <c r="O1714">
        <f>IF($U1714="","",IF(ISNUMBER(INDEX(상세표[종료],$U1714)),TEXT(INDEX(상세표[종료],$U1714),"yyyy-mm-dd hh:mm"),INDEX(상세표[종료],$U1714)&amp;""))</f>
        <v/>
      </c>
      <c r="P1714" s="20">
        <f>IF($U1714="","",INDEX(상세표[06~07시],$U1714))</f>
        <v/>
      </c>
      <c r="Q1714" s="20">
        <f>IF($U1714="","",INDEX(상세표[07~18시],$U1714))</f>
        <v/>
      </c>
      <c r="R1714" s="20">
        <f>IF($U1714="","",INDEX(상세표[18~22시],$U1714))</f>
        <v/>
      </c>
      <c r="S1714" s="20">
        <f>IF($U1714="","",INDEX(상세표[22~06시],$U1714))</f>
        <v/>
      </c>
      <c r="T1714" s="20">
        <f>IF($U1714="","",INDEX(상세표[기록 시간외],$U1714))</f>
        <v/>
      </c>
      <c r="U1714" s="4">
        <f>IFERROR(MATCH(1709,상세표[발송순번],0),"")</f>
        <v/>
      </c>
    </row>
    <row r="1715">
      <c r="J1715">
        <f>IF($U1715="","",INDEX(상세표[사번],$U1715)&amp;"")</f>
        <v/>
      </c>
      <c r="K1715">
        <f>IF($U1715="","",INDEX(상세표[성명],$U1715)&amp;"")</f>
        <v/>
      </c>
      <c r="L1715">
        <f>IF($U1715="","",INDEX(상세표[직위],$U1715)&amp;"")</f>
        <v/>
      </c>
      <c r="M1715">
        <f>IF($U1715="","",IF(ISNUMBER(INDEX(상세표[근무일자],$U1715)),TEXT(INDEX(상세표[근무일자],$U1715),"yyyy-mm-dd"),INDEX(상세표[근무일자],$U1715)&amp;""))</f>
        <v/>
      </c>
      <c r="N1715">
        <f>IF($U1715="","",IF(ISNUMBER(INDEX(상세표[시작],$U1715)),TEXT(INDEX(상세표[시작],$U1715),"yyyy-mm-dd hh:mm"),INDEX(상세표[시작],$U1715)&amp;""))</f>
        <v/>
      </c>
      <c r="O1715">
        <f>IF($U1715="","",IF(ISNUMBER(INDEX(상세표[종료],$U1715)),TEXT(INDEX(상세표[종료],$U1715),"yyyy-mm-dd hh:mm"),INDEX(상세표[종료],$U1715)&amp;""))</f>
        <v/>
      </c>
      <c r="P1715" s="20">
        <f>IF($U1715="","",INDEX(상세표[06~07시],$U1715))</f>
        <v/>
      </c>
      <c r="Q1715" s="20">
        <f>IF($U1715="","",INDEX(상세표[07~18시],$U1715))</f>
        <v/>
      </c>
      <c r="R1715" s="20">
        <f>IF($U1715="","",INDEX(상세표[18~22시],$U1715))</f>
        <v/>
      </c>
      <c r="S1715" s="20">
        <f>IF($U1715="","",INDEX(상세표[22~06시],$U1715))</f>
        <v/>
      </c>
      <c r="T1715" s="20">
        <f>IF($U1715="","",INDEX(상세표[기록 시간외],$U1715))</f>
        <v/>
      </c>
      <c r="U1715" s="4">
        <f>IFERROR(MATCH(1710,상세표[발송순번],0),"")</f>
        <v/>
      </c>
    </row>
    <row r="1716">
      <c r="J1716">
        <f>IF($U1716="","",INDEX(상세표[사번],$U1716)&amp;"")</f>
        <v/>
      </c>
      <c r="K1716">
        <f>IF($U1716="","",INDEX(상세표[성명],$U1716)&amp;"")</f>
        <v/>
      </c>
      <c r="L1716">
        <f>IF($U1716="","",INDEX(상세표[직위],$U1716)&amp;"")</f>
        <v/>
      </c>
      <c r="M1716">
        <f>IF($U1716="","",IF(ISNUMBER(INDEX(상세표[근무일자],$U1716)),TEXT(INDEX(상세표[근무일자],$U1716),"yyyy-mm-dd"),INDEX(상세표[근무일자],$U1716)&amp;""))</f>
        <v/>
      </c>
      <c r="N1716">
        <f>IF($U1716="","",IF(ISNUMBER(INDEX(상세표[시작],$U1716)),TEXT(INDEX(상세표[시작],$U1716),"yyyy-mm-dd hh:mm"),INDEX(상세표[시작],$U1716)&amp;""))</f>
        <v/>
      </c>
      <c r="O1716">
        <f>IF($U1716="","",IF(ISNUMBER(INDEX(상세표[종료],$U1716)),TEXT(INDEX(상세표[종료],$U1716),"yyyy-mm-dd hh:mm"),INDEX(상세표[종료],$U1716)&amp;""))</f>
        <v/>
      </c>
      <c r="P1716" s="20">
        <f>IF($U1716="","",INDEX(상세표[06~07시],$U1716))</f>
        <v/>
      </c>
      <c r="Q1716" s="20">
        <f>IF($U1716="","",INDEX(상세표[07~18시],$U1716))</f>
        <v/>
      </c>
      <c r="R1716" s="20">
        <f>IF($U1716="","",INDEX(상세표[18~22시],$U1716))</f>
        <v/>
      </c>
      <c r="S1716" s="20">
        <f>IF($U1716="","",INDEX(상세표[22~06시],$U1716))</f>
        <v/>
      </c>
      <c r="T1716" s="20">
        <f>IF($U1716="","",INDEX(상세표[기록 시간외],$U1716))</f>
        <v/>
      </c>
      <c r="U1716" s="4">
        <f>IFERROR(MATCH(1711,상세표[발송순번],0),"")</f>
        <v/>
      </c>
    </row>
    <row r="1717">
      <c r="J1717">
        <f>IF($U1717="","",INDEX(상세표[사번],$U1717)&amp;"")</f>
        <v/>
      </c>
      <c r="K1717">
        <f>IF($U1717="","",INDEX(상세표[성명],$U1717)&amp;"")</f>
        <v/>
      </c>
      <c r="L1717">
        <f>IF($U1717="","",INDEX(상세표[직위],$U1717)&amp;"")</f>
        <v/>
      </c>
      <c r="M1717">
        <f>IF($U1717="","",IF(ISNUMBER(INDEX(상세표[근무일자],$U1717)),TEXT(INDEX(상세표[근무일자],$U1717),"yyyy-mm-dd"),INDEX(상세표[근무일자],$U1717)&amp;""))</f>
        <v/>
      </c>
      <c r="N1717">
        <f>IF($U1717="","",IF(ISNUMBER(INDEX(상세표[시작],$U1717)),TEXT(INDEX(상세표[시작],$U1717),"yyyy-mm-dd hh:mm"),INDEX(상세표[시작],$U1717)&amp;""))</f>
        <v/>
      </c>
      <c r="O1717">
        <f>IF($U1717="","",IF(ISNUMBER(INDEX(상세표[종료],$U1717)),TEXT(INDEX(상세표[종료],$U1717),"yyyy-mm-dd hh:mm"),INDEX(상세표[종료],$U1717)&amp;""))</f>
        <v/>
      </c>
      <c r="P1717" s="20">
        <f>IF($U1717="","",INDEX(상세표[06~07시],$U1717))</f>
        <v/>
      </c>
      <c r="Q1717" s="20">
        <f>IF($U1717="","",INDEX(상세표[07~18시],$U1717))</f>
        <v/>
      </c>
      <c r="R1717" s="20">
        <f>IF($U1717="","",INDEX(상세표[18~22시],$U1717))</f>
        <v/>
      </c>
      <c r="S1717" s="20">
        <f>IF($U1717="","",INDEX(상세표[22~06시],$U1717))</f>
        <v/>
      </c>
      <c r="T1717" s="20">
        <f>IF($U1717="","",INDEX(상세표[기록 시간외],$U1717))</f>
        <v/>
      </c>
      <c r="U1717" s="4">
        <f>IFERROR(MATCH(1712,상세표[발송순번],0),"")</f>
        <v/>
      </c>
    </row>
    <row r="1718">
      <c r="J1718">
        <f>IF($U1718="","",INDEX(상세표[사번],$U1718)&amp;"")</f>
        <v/>
      </c>
      <c r="K1718">
        <f>IF($U1718="","",INDEX(상세표[성명],$U1718)&amp;"")</f>
        <v/>
      </c>
      <c r="L1718">
        <f>IF($U1718="","",INDEX(상세표[직위],$U1718)&amp;"")</f>
        <v/>
      </c>
      <c r="M1718">
        <f>IF($U1718="","",IF(ISNUMBER(INDEX(상세표[근무일자],$U1718)),TEXT(INDEX(상세표[근무일자],$U1718),"yyyy-mm-dd"),INDEX(상세표[근무일자],$U1718)&amp;""))</f>
        <v/>
      </c>
      <c r="N1718">
        <f>IF($U1718="","",IF(ISNUMBER(INDEX(상세표[시작],$U1718)),TEXT(INDEX(상세표[시작],$U1718),"yyyy-mm-dd hh:mm"),INDEX(상세표[시작],$U1718)&amp;""))</f>
        <v/>
      </c>
      <c r="O1718">
        <f>IF($U1718="","",IF(ISNUMBER(INDEX(상세표[종료],$U1718)),TEXT(INDEX(상세표[종료],$U1718),"yyyy-mm-dd hh:mm"),INDEX(상세표[종료],$U1718)&amp;""))</f>
        <v/>
      </c>
      <c r="P1718" s="20">
        <f>IF($U1718="","",INDEX(상세표[06~07시],$U1718))</f>
        <v/>
      </c>
      <c r="Q1718" s="20">
        <f>IF($U1718="","",INDEX(상세표[07~18시],$U1718))</f>
        <v/>
      </c>
      <c r="R1718" s="20">
        <f>IF($U1718="","",INDEX(상세표[18~22시],$U1718))</f>
        <v/>
      </c>
      <c r="S1718" s="20">
        <f>IF($U1718="","",INDEX(상세표[22~06시],$U1718))</f>
        <v/>
      </c>
      <c r="T1718" s="20">
        <f>IF($U1718="","",INDEX(상세표[기록 시간외],$U1718))</f>
        <v/>
      </c>
      <c r="U1718" s="4">
        <f>IFERROR(MATCH(1713,상세표[발송순번],0),"")</f>
        <v/>
      </c>
    </row>
    <row r="1719">
      <c r="J1719">
        <f>IF($U1719="","",INDEX(상세표[사번],$U1719)&amp;"")</f>
        <v/>
      </c>
      <c r="K1719">
        <f>IF($U1719="","",INDEX(상세표[성명],$U1719)&amp;"")</f>
        <v/>
      </c>
      <c r="L1719">
        <f>IF($U1719="","",INDEX(상세표[직위],$U1719)&amp;"")</f>
        <v/>
      </c>
      <c r="M1719">
        <f>IF($U1719="","",IF(ISNUMBER(INDEX(상세표[근무일자],$U1719)),TEXT(INDEX(상세표[근무일자],$U1719),"yyyy-mm-dd"),INDEX(상세표[근무일자],$U1719)&amp;""))</f>
        <v/>
      </c>
      <c r="N1719">
        <f>IF($U1719="","",IF(ISNUMBER(INDEX(상세표[시작],$U1719)),TEXT(INDEX(상세표[시작],$U1719),"yyyy-mm-dd hh:mm"),INDEX(상세표[시작],$U1719)&amp;""))</f>
        <v/>
      </c>
      <c r="O1719">
        <f>IF($U1719="","",IF(ISNUMBER(INDEX(상세표[종료],$U1719)),TEXT(INDEX(상세표[종료],$U1719),"yyyy-mm-dd hh:mm"),INDEX(상세표[종료],$U1719)&amp;""))</f>
        <v/>
      </c>
      <c r="P1719" s="20">
        <f>IF($U1719="","",INDEX(상세표[06~07시],$U1719))</f>
        <v/>
      </c>
      <c r="Q1719" s="20">
        <f>IF($U1719="","",INDEX(상세표[07~18시],$U1719))</f>
        <v/>
      </c>
      <c r="R1719" s="20">
        <f>IF($U1719="","",INDEX(상세표[18~22시],$U1719))</f>
        <v/>
      </c>
      <c r="S1719" s="20">
        <f>IF($U1719="","",INDEX(상세표[22~06시],$U1719))</f>
        <v/>
      </c>
      <c r="T1719" s="20">
        <f>IF($U1719="","",INDEX(상세표[기록 시간외],$U1719))</f>
        <v/>
      </c>
      <c r="U1719" s="4">
        <f>IFERROR(MATCH(1714,상세표[발송순번],0),"")</f>
        <v/>
      </c>
    </row>
    <row r="1720">
      <c r="J1720">
        <f>IF($U1720="","",INDEX(상세표[사번],$U1720)&amp;"")</f>
        <v/>
      </c>
      <c r="K1720">
        <f>IF($U1720="","",INDEX(상세표[성명],$U1720)&amp;"")</f>
        <v/>
      </c>
      <c r="L1720">
        <f>IF($U1720="","",INDEX(상세표[직위],$U1720)&amp;"")</f>
        <v/>
      </c>
      <c r="M1720">
        <f>IF($U1720="","",IF(ISNUMBER(INDEX(상세표[근무일자],$U1720)),TEXT(INDEX(상세표[근무일자],$U1720),"yyyy-mm-dd"),INDEX(상세표[근무일자],$U1720)&amp;""))</f>
        <v/>
      </c>
      <c r="N1720">
        <f>IF($U1720="","",IF(ISNUMBER(INDEX(상세표[시작],$U1720)),TEXT(INDEX(상세표[시작],$U1720),"yyyy-mm-dd hh:mm"),INDEX(상세표[시작],$U1720)&amp;""))</f>
        <v/>
      </c>
      <c r="O1720">
        <f>IF($U1720="","",IF(ISNUMBER(INDEX(상세표[종료],$U1720)),TEXT(INDEX(상세표[종료],$U1720),"yyyy-mm-dd hh:mm"),INDEX(상세표[종료],$U1720)&amp;""))</f>
        <v/>
      </c>
      <c r="P1720" s="20">
        <f>IF($U1720="","",INDEX(상세표[06~07시],$U1720))</f>
        <v/>
      </c>
      <c r="Q1720" s="20">
        <f>IF($U1720="","",INDEX(상세표[07~18시],$U1720))</f>
        <v/>
      </c>
      <c r="R1720" s="20">
        <f>IF($U1720="","",INDEX(상세표[18~22시],$U1720))</f>
        <v/>
      </c>
      <c r="S1720" s="20">
        <f>IF($U1720="","",INDEX(상세표[22~06시],$U1720))</f>
        <v/>
      </c>
      <c r="T1720" s="20">
        <f>IF($U1720="","",INDEX(상세표[기록 시간외],$U1720))</f>
        <v/>
      </c>
      <c r="U1720" s="4">
        <f>IFERROR(MATCH(1715,상세표[발송순번],0),"")</f>
        <v/>
      </c>
    </row>
    <row r="1721">
      <c r="J1721">
        <f>IF($U1721="","",INDEX(상세표[사번],$U1721)&amp;"")</f>
        <v/>
      </c>
      <c r="K1721">
        <f>IF($U1721="","",INDEX(상세표[성명],$U1721)&amp;"")</f>
        <v/>
      </c>
      <c r="L1721">
        <f>IF($U1721="","",INDEX(상세표[직위],$U1721)&amp;"")</f>
        <v/>
      </c>
      <c r="M1721">
        <f>IF($U1721="","",IF(ISNUMBER(INDEX(상세표[근무일자],$U1721)),TEXT(INDEX(상세표[근무일자],$U1721),"yyyy-mm-dd"),INDEX(상세표[근무일자],$U1721)&amp;""))</f>
        <v/>
      </c>
      <c r="N1721">
        <f>IF($U1721="","",IF(ISNUMBER(INDEX(상세표[시작],$U1721)),TEXT(INDEX(상세표[시작],$U1721),"yyyy-mm-dd hh:mm"),INDEX(상세표[시작],$U1721)&amp;""))</f>
        <v/>
      </c>
      <c r="O1721">
        <f>IF($U1721="","",IF(ISNUMBER(INDEX(상세표[종료],$U1721)),TEXT(INDEX(상세표[종료],$U1721),"yyyy-mm-dd hh:mm"),INDEX(상세표[종료],$U1721)&amp;""))</f>
        <v/>
      </c>
      <c r="P1721" s="20">
        <f>IF($U1721="","",INDEX(상세표[06~07시],$U1721))</f>
        <v/>
      </c>
      <c r="Q1721" s="20">
        <f>IF($U1721="","",INDEX(상세표[07~18시],$U1721))</f>
        <v/>
      </c>
      <c r="R1721" s="20">
        <f>IF($U1721="","",INDEX(상세표[18~22시],$U1721))</f>
        <v/>
      </c>
      <c r="S1721" s="20">
        <f>IF($U1721="","",INDEX(상세표[22~06시],$U1721))</f>
        <v/>
      </c>
      <c r="T1721" s="20">
        <f>IF($U1721="","",INDEX(상세표[기록 시간외],$U1721))</f>
        <v/>
      </c>
      <c r="U1721" s="4">
        <f>IFERROR(MATCH(1716,상세표[발송순번],0),"")</f>
        <v/>
      </c>
    </row>
    <row r="1722">
      <c r="J1722">
        <f>IF($U1722="","",INDEX(상세표[사번],$U1722)&amp;"")</f>
        <v/>
      </c>
      <c r="K1722">
        <f>IF($U1722="","",INDEX(상세표[성명],$U1722)&amp;"")</f>
        <v/>
      </c>
      <c r="L1722">
        <f>IF($U1722="","",INDEX(상세표[직위],$U1722)&amp;"")</f>
        <v/>
      </c>
      <c r="M1722">
        <f>IF($U1722="","",IF(ISNUMBER(INDEX(상세표[근무일자],$U1722)),TEXT(INDEX(상세표[근무일자],$U1722),"yyyy-mm-dd"),INDEX(상세표[근무일자],$U1722)&amp;""))</f>
        <v/>
      </c>
      <c r="N1722">
        <f>IF($U1722="","",IF(ISNUMBER(INDEX(상세표[시작],$U1722)),TEXT(INDEX(상세표[시작],$U1722),"yyyy-mm-dd hh:mm"),INDEX(상세표[시작],$U1722)&amp;""))</f>
        <v/>
      </c>
      <c r="O1722">
        <f>IF($U1722="","",IF(ISNUMBER(INDEX(상세표[종료],$U1722)),TEXT(INDEX(상세표[종료],$U1722),"yyyy-mm-dd hh:mm"),INDEX(상세표[종료],$U1722)&amp;""))</f>
        <v/>
      </c>
      <c r="P1722" s="20">
        <f>IF($U1722="","",INDEX(상세표[06~07시],$U1722))</f>
        <v/>
      </c>
      <c r="Q1722" s="20">
        <f>IF($U1722="","",INDEX(상세표[07~18시],$U1722))</f>
        <v/>
      </c>
      <c r="R1722" s="20">
        <f>IF($U1722="","",INDEX(상세표[18~22시],$U1722))</f>
        <v/>
      </c>
      <c r="S1722" s="20">
        <f>IF($U1722="","",INDEX(상세표[22~06시],$U1722))</f>
        <v/>
      </c>
      <c r="T1722" s="20">
        <f>IF($U1722="","",INDEX(상세표[기록 시간외],$U1722))</f>
        <v/>
      </c>
      <c r="U1722" s="4">
        <f>IFERROR(MATCH(1717,상세표[발송순번],0),"")</f>
        <v/>
      </c>
    </row>
    <row r="1723">
      <c r="J1723">
        <f>IF($U1723="","",INDEX(상세표[사번],$U1723)&amp;"")</f>
        <v/>
      </c>
      <c r="K1723">
        <f>IF($U1723="","",INDEX(상세표[성명],$U1723)&amp;"")</f>
        <v/>
      </c>
      <c r="L1723">
        <f>IF($U1723="","",INDEX(상세표[직위],$U1723)&amp;"")</f>
        <v/>
      </c>
      <c r="M1723">
        <f>IF($U1723="","",IF(ISNUMBER(INDEX(상세표[근무일자],$U1723)),TEXT(INDEX(상세표[근무일자],$U1723),"yyyy-mm-dd"),INDEX(상세표[근무일자],$U1723)&amp;""))</f>
        <v/>
      </c>
      <c r="N1723">
        <f>IF($U1723="","",IF(ISNUMBER(INDEX(상세표[시작],$U1723)),TEXT(INDEX(상세표[시작],$U1723),"yyyy-mm-dd hh:mm"),INDEX(상세표[시작],$U1723)&amp;""))</f>
        <v/>
      </c>
      <c r="O1723">
        <f>IF($U1723="","",IF(ISNUMBER(INDEX(상세표[종료],$U1723)),TEXT(INDEX(상세표[종료],$U1723),"yyyy-mm-dd hh:mm"),INDEX(상세표[종료],$U1723)&amp;""))</f>
        <v/>
      </c>
      <c r="P1723" s="20">
        <f>IF($U1723="","",INDEX(상세표[06~07시],$U1723))</f>
        <v/>
      </c>
      <c r="Q1723" s="20">
        <f>IF($U1723="","",INDEX(상세표[07~18시],$U1723))</f>
        <v/>
      </c>
      <c r="R1723" s="20">
        <f>IF($U1723="","",INDEX(상세표[18~22시],$U1723))</f>
        <v/>
      </c>
      <c r="S1723" s="20">
        <f>IF($U1723="","",INDEX(상세표[22~06시],$U1723))</f>
        <v/>
      </c>
      <c r="T1723" s="20">
        <f>IF($U1723="","",INDEX(상세표[기록 시간외],$U1723))</f>
        <v/>
      </c>
      <c r="U1723" s="4">
        <f>IFERROR(MATCH(1718,상세표[발송순번],0),"")</f>
        <v/>
      </c>
    </row>
    <row r="1724">
      <c r="J1724">
        <f>IF($U1724="","",INDEX(상세표[사번],$U1724)&amp;"")</f>
        <v/>
      </c>
      <c r="K1724">
        <f>IF($U1724="","",INDEX(상세표[성명],$U1724)&amp;"")</f>
        <v/>
      </c>
      <c r="L1724">
        <f>IF($U1724="","",INDEX(상세표[직위],$U1724)&amp;"")</f>
        <v/>
      </c>
      <c r="M1724">
        <f>IF($U1724="","",IF(ISNUMBER(INDEX(상세표[근무일자],$U1724)),TEXT(INDEX(상세표[근무일자],$U1724),"yyyy-mm-dd"),INDEX(상세표[근무일자],$U1724)&amp;""))</f>
        <v/>
      </c>
      <c r="N1724">
        <f>IF($U1724="","",IF(ISNUMBER(INDEX(상세표[시작],$U1724)),TEXT(INDEX(상세표[시작],$U1724),"yyyy-mm-dd hh:mm"),INDEX(상세표[시작],$U1724)&amp;""))</f>
        <v/>
      </c>
      <c r="O1724">
        <f>IF($U1724="","",IF(ISNUMBER(INDEX(상세표[종료],$U1724)),TEXT(INDEX(상세표[종료],$U1724),"yyyy-mm-dd hh:mm"),INDEX(상세표[종료],$U1724)&amp;""))</f>
        <v/>
      </c>
      <c r="P1724" s="20">
        <f>IF($U1724="","",INDEX(상세표[06~07시],$U1724))</f>
        <v/>
      </c>
      <c r="Q1724" s="20">
        <f>IF($U1724="","",INDEX(상세표[07~18시],$U1724))</f>
        <v/>
      </c>
      <c r="R1724" s="20">
        <f>IF($U1724="","",INDEX(상세표[18~22시],$U1724))</f>
        <v/>
      </c>
      <c r="S1724" s="20">
        <f>IF($U1724="","",INDEX(상세표[22~06시],$U1724))</f>
        <v/>
      </c>
      <c r="T1724" s="20">
        <f>IF($U1724="","",INDEX(상세표[기록 시간외],$U1724))</f>
        <v/>
      </c>
      <c r="U1724" s="4">
        <f>IFERROR(MATCH(1719,상세표[발송순번],0),"")</f>
        <v/>
      </c>
    </row>
    <row r="1725">
      <c r="J1725">
        <f>IF($U1725="","",INDEX(상세표[사번],$U1725)&amp;"")</f>
        <v/>
      </c>
      <c r="K1725">
        <f>IF($U1725="","",INDEX(상세표[성명],$U1725)&amp;"")</f>
        <v/>
      </c>
      <c r="L1725">
        <f>IF($U1725="","",INDEX(상세표[직위],$U1725)&amp;"")</f>
        <v/>
      </c>
      <c r="M1725">
        <f>IF($U1725="","",IF(ISNUMBER(INDEX(상세표[근무일자],$U1725)),TEXT(INDEX(상세표[근무일자],$U1725),"yyyy-mm-dd"),INDEX(상세표[근무일자],$U1725)&amp;""))</f>
        <v/>
      </c>
      <c r="N1725">
        <f>IF($U1725="","",IF(ISNUMBER(INDEX(상세표[시작],$U1725)),TEXT(INDEX(상세표[시작],$U1725),"yyyy-mm-dd hh:mm"),INDEX(상세표[시작],$U1725)&amp;""))</f>
        <v/>
      </c>
      <c r="O1725">
        <f>IF($U1725="","",IF(ISNUMBER(INDEX(상세표[종료],$U1725)),TEXT(INDEX(상세표[종료],$U1725),"yyyy-mm-dd hh:mm"),INDEX(상세표[종료],$U1725)&amp;""))</f>
        <v/>
      </c>
      <c r="P1725" s="20">
        <f>IF($U1725="","",INDEX(상세표[06~07시],$U1725))</f>
        <v/>
      </c>
      <c r="Q1725" s="20">
        <f>IF($U1725="","",INDEX(상세표[07~18시],$U1725))</f>
        <v/>
      </c>
      <c r="R1725" s="20">
        <f>IF($U1725="","",INDEX(상세표[18~22시],$U1725))</f>
        <v/>
      </c>
      <c r="S1725" s="20">
        <f>IF($U1725="","",INDEX(상세표[22~06시],$U1725))</f>
        <v/>
      </c>
      <c r="T1725" s="20">
        <f>IF($U1725="","",INDEX(상세표[기록 시간외],$U1725))</f>
        <v/>
      </c>
      <c r="U1725" s="4">
        <f>IFERROR(MATCH(1720,상세표[발송순번],0),"")</f>
        <v/>
      </c>
    </row>
    <row r="1726">
      <c r="J1726">
        <f>IF($U1726="","",INDEX(상세표[사번],$U1726)&amp;"")</f>
        <v/>
      </c>
      <c r="K1726">
        <f>IF($U1726="","",INDEX(상세표[성명],$U1726)&amp;"")</f>
        <v/>
      </c>
      <c r="L1726">
        <f>IF($U1726="","",INDEX(상세표[직위],$U1726)&amp;"")</f>
        <v/>
      </c>
      <c r="M1726">
        <f>IF($U1726="","",IF(ISNUMBER(INDEX(상세표[근무일자],$U1726)),TEXT(INDEX(상세표[근무일자],$U1726),"yyyy-mm-dd"),INDEX(상세표[근무일자],$U1726)&amp;""))</f>
        <v/>
      </c>
      <c r="N1726">
        <f>IF($U1726="","",IF(ISNUMBER(INDEX(상세표[시작],$U1726)),TEXT(INDEX(상세표[시작],$U1726),"yyyy-mm-dd hh:mm"),INDEX(상세표[시작],$U1726)&amp;""))</f>
        <v/>
      </c>
      <c r="O1726">
        <f>IF($U1726="","",IF(ISNUMBER(INDEX(상세표[종료],$U1726)),TEXT(INDEX(상세표[종료],$U1726),"yyyy-mm-dd hh:mm"),INDEX(상세표[종료],$U1726)&amp;""))</f>
        <v/>
      </c>
      <c r="P1726" s="20">
        <f>IF($U1726="","",INDEX(상세표[06~07시],$U1726))</f>
        <v/>
      </c>
      <c r="Q1726" s="20">
        <f>IF($U1726="","",INDEX(상세표[07~18시],$U1726))</f>
        <v/>
      </c>
      <c r="R1726" s="20">
        <f>IF($U1726="","",INDEX(상세표[18~22시],$U1726))</f>
        <v/>
      </c>
      <c r="S1726" s="20">
        <f>IF($U1726="","",INDEX(상세표[22~06시],$U1726))</f>
        <v/>
      </c>
      <c r="T1726" s="20">
        <f>IF($U1726="","",INDEX(상세표[기록 시간외],$U1726))</f>
        <v/>
      </c>
      <c r="U1726" s="4">
        <f>IFERROR(MATCH(1721,상세표[발송순번],0),"")</f>
        <v/>
      </c>
    </row>
    <row r="1727">
      <c r="J1727">
        <f>IF($U1727="","",INDEX(상세표[사번],$U1727)&amp;"")</f>
        <v/>
      </c>
      <c r="K1727">
        <f>IF($U1727="","",INDEX(상세표[성명],$U1727)&amp;"")</f>
        <v/>
      </c>
      <c r="L1727">
        <f>IF($U1727="","",INDEX(상세표[직위],$U1727)&amp;"")</f>
        <v/>
      </c>
      <c r="M1727">
        <f>IF($U1727="","",IF(ISNUMBER(INDEX(상세표[근무일자],$U1727)),TEXT(INDEX(상세표[근무일자],$U1727),"yyyy-mm-dd"),INDEX(상세표[근무일자],$U1727)&amp;""))</f>
        <v/>
      </c>
      <c r="N1727">
        <f>IF($U1727="","",IF(ISNUMBER(INDEX(상세표[시작],$U1727)),TEXT(INDEX(상세표[시작],$U1727),"yyyy-mm-dd hh:mm"),INDEX(상세표[시작],$U1727)&amp;""))</f>
        <v/>
      </c>
      <c r="O1727">
        <f>IF($U1727="","",IF(ISNUMBER(INDEX(상세표[종료],$U1727)),TEXT(INDEX(상세표[종료],$U1727),"yyyy-mm-dd hh:mm"),INDEX(상세표[종료],$U1727)&amp;""))</f>
        <v/>
      </c>
      <c r="P1727" s="20">
        <f>IF($U1727="","",INDEX(상세표[06~07시],$U1727))</f>
        <v/>
      </c>
      <c r="Q1727" s="20">
        <f>IF($U1727="","",INDEX(상세표[07~18시],$U1727))</f>
        <v/>
      </c>
      <c r="R1727" s="20">
        <f>IF($U1727="","",INDEX(상세표[18~22시],$U1727))</f>
        <v/>
      </c>
      <c r="S1727" s="20">
        <f>IF($U1727="","",INDEX(상세표[22~06시],$U1727))</f>
        <v/>
      </c>
      <c r="T1727" s="20">
        <f>IF($U1727="","",INDEX(상세표[기록 시간외],$U1727))</f>
        <v/>
      </c>
      <c r="U1727" s="4">
        <f>IFERROR(MATCH(1722,상세표[발송순번],0),"")</f>
        <v/>
      </c>
    </row>
    <row r="1728">
      <c r="J1728">
        <f>IF($U1728="","",INDEX(상세표[사번],$U1728)&amp;"")</f>
        <v/>
      </c>
      <c r="K1728">
        <f>IF($U1728="","",INDEX(상세표[성명],$U1728)&amp;"")</f>
        <v/>
      </c>
      <c r="L1728">
        <f>IF($U1728="","",INDEX(상세표[직위],$U1728)&amp;"")</f>
        <v/>
      </c>
      <c r="M1728">
        <f>IF($U1728="","",IF(ISNUMBER(INDEX(상세표[근무일자],$U1728)),TEXT(INDEX(상세표[근무일자],$U1728),"yyyy-mm-dd"),INDEX(상세표[근무일자],$U1728)&amp;""))</f>
        <v/>
      </c>
      <c r="N1728">
        <f>IF($U1728="","",IF(ISNUMBER(INDEX(상세표[시작],$U1728)),TEXT(INDEX(상세표[시작],$U1728),"yyyy-mm-dd hh:mm"),INDEX(상세표[시작],$U1728)&amp;""))</f>
        <v/>
      </c>
      <c r="O1728">
        <f>IF($U1728="","",IF(ISNUMBER(INDEX(상세표[종료],$U1728)),TEXT(INDEX(상세표[종료],$U1728),"yyyy-mm-dd hh:mm"),INDEX(상세표[종료],$U1728)&amp;""))</f>
        <v/>
      </c>
      <c r="P1728" s="20">
        <f>IF($U1728="","",INDEX(상세표[06~07시],$U1728))</f>
        <v/>
      </c>
      <c r="Q1728" s="20">
        <f>IF($U1728="","",INDEX(상세표[07~18시],$U1728))</f>
        <v/>
      </c>
      <c r="R1728" s="20">
        <f>IF($U1728="","",INDEX(상세표[18~22시],$U1728))</f>
        <v/>
      </c>
      <c r="S1728" s="20">
        <f>IF($U1728="","",INDEX(상세표[22~06시],$U1728))</f>
        <v/>
      </c>
      <c r="T1728" s="20">
        <f>IF($U1728="","",INDEX(상세표[기록 시간외],$U1728))</f>
        <v/>
      </c>
      <c r="U1728" s="4">
        <f>IFERROR(MATCH(1723,상세표[발송순번],0),"")</f>
        <v/>
      </c>
    </row>
    <row r="1729">
      <c r="J1729">
        <f>IF($U1729="","",INDEX(상세표[사번],$U1729)&amp;"")</f>
        <v/>
      </c>
      <c r="K1729">
        <f>IF($U1729="","",INDEX(상세표[성명],$U1729)&amp;"")</f>
        <v/>
      </c>
      <c r="L1729">
        <f>IF($U1729="","",INDEX(상세표[직위],$U1729)&amp;"")</f>
        <v/>
      </c>
      <c r="M1729">
        <f>IF($U1729="","",IF(ISNUMBER(INDEX(상세표[근무일자],$U1729)),TEXT(INDEX(상세표[근무일자],$U1729),"yyyy-mm-dd"),INDEX(상세표[근무일자],$U1729)&amp;""))</f>
        <v/>
      </c>
      <c r="N1729">
        <f>IF($U1729="","",IF(ISNUMBER(INDEX(상세표[시작],$U1729)),TEXT(INDEX(상세표[시작],$U1729),"yyyy-mm-dd hh:mm"),INDEX(상세표[시작],$U1729)&amp;""))</f>
        <v/>
      </c>
      <c r="O1729">
        <f>IF($U1729="","",IF(ISNUMBER(INDEX(상세표[종료],$U1729)),TEXT(INDEX(상세표[종료],$U1729),"yyyy-mm-dd hh:mm"),INDEX(상세표[종료],$U1729)&amp;""))</f>
        <v/>
      </c>
      <c r="P1729" s="20">
        <f>IF($U1729="","",INDEX(상세표[06~07시],$U1729))</f>
        <v/>
      </c>
      <c r="Q1729" s="20">
        <f>IF($U1729="","",INDEX(상세표[07~18시],$U1729))</f>
        <v/>
      </c>
      <c r="R1729" s="20">
        <f>IF($U1729="","",INDEX(상세표[18~22시],$U1729))</f>
        <v/>
      </c>
      <c r="S1729" s="20">
        <f>IF($U1729="","",INDEX(상세표[22~06시],$U1729))</f>
        <v/>
      </c>
      <c r="T1729" s="20">
        <f>IF($U1729="","",INDEX(상세표[기록 시간외],$U1729))</f>
        <v/>
      </c>
      <c r="U1729" s="4">
        <f>IFERROR(MATCH(1724,상세표[발송순번],0),"")</f>
        <v/>
      </c>
    </row>
    <row r="1730">
      <c r="J1730">
        <f>IF($U1730="","",INDEX(상세표[사번],$U1730)&amp;"")</f>
        <v/>
      </c>
      <c r="K1730">
        <f>IF($U1730="","",INDEX(상세표[성명],$U1730)&amp;"")</f>
        <v/>
      </c>
      <c r="L1730">
        <f>IF($U1730="","",INDEX(상세표[직위],$U1730)&amp;"")</f>
        <v/>
      </c>
      <c r="M1730">
        <f>IF($U1730="","",IF(ISNUMBER(INDEX(상세표[근무일자],$U1730)),TEXT(INDEX(상세표[근무일자],$U1730),"yyyy-mm-dd"),INDEX(상세표[근무일자],$U1730)&amp;""))</f>
        <v/>
      </c>
      <c r="N1730">
        <f>IF($U1730="","",IF(ISNUMBER(INDEX(상세표[시작],$U1730)),TEXT(INDEX(상세표[시작],$U1730),"yyyy-mm-dd hh:mm"),INDEX(상세표[시작],$U1730)&amp;""))</f>
        <v/>
      </c>
      <c r="O1730">
        <f>IF($U1730="","",IF(ISNUMBER(INDEX(상세표[종료],$U1730)),TEXT(INDEX(상세표[종료],$U1730),"yyyy-mm-dd hh:mm"),INDEX(상세표[종료],$U1730)&amp;""))</f>
        <v/>
      </c>
      <c r="P1730" s="20">
        <f>IF($U1730="","",INDEX(상세표[06~07시],$U1730))</f>
        <v/>
      </c>
      <c r="Q1730" s="20">
        <f>IF($U1730="","",INDEX(상세표[07~18시],$U1730))</f>
        <v/>
      </c>
      <c r="R1730" s="20">
        <f>IF($U1730="","",INDEX(상세표[18~22시],$U1730))</f>
        <v/>
      </c>
      <c r="S1730" s="20">
        <f>IF($U1730="","",INDEX(상세표[22~06시],$U1730))</f>
        <v/>
      </c>
      <c r="T1730" s="20">
        <f>IF($U1730="","",INDEX(상세표[기록 시간외],$U1730))</f>
        <v/>
      </c>
      <c r="U1730" s="4">
        <f>IFERROR(MATCH(1725,상세표[발송순번],0),"")</f>
        <v/>
      </c>
    </row>
    <row r="1731">
      <c r="J1731">
        <f>IF($U1731="","",INDEX(상세표[사번],$U1731)&amp;"")</f>
        <v/>
      </c>
      <c r="K1731">
        <f>IF($U1731="","",INDEX(상세표[성명],$U1731)&amp;"")</f>
        <v/>
      </c>
      <c r="L1731">
        <f>IF($U1731="","",INDEX(상세표[직위],$U1731)&amp;"")</f>
        <v/>
      </c>
      <c r="M1731">
        <f>IF($U1731="","",IF(ISNUMBER(INDEX(상세표[근무일자],$U1731)),TEXT(INDEX(상세표[근무일자],$U1731),"yyyy-mm-dd"),INDEX(상세표[근무일자],$U1731)&amp;""))</f>
        <v/>
      </c>
      <c r="N1731">
        <f>IF($U1731="","",IF(ISNUMBER(INDEX(상세표[시작],$U1731)),TEXT(INDEX(상세표[시작],$U1731),"yyyy-mm-dd hh:mm"),INDEX(상세표[시작],$U1731)&amp;""))</f>
        <v/>
      </c>
      <c r="O1731">
        <f>IF($U1731="","",IF(ISNUMBER(INDEX(상세표[종료],$U1731)),TEXT(INDEX(상세표[종료],$U1731),"yyyy-mm-dd hh:mm"),INDEX(상세표[종료],$U1731)&amp;""))</f>
        <v/>
      </c>
      <c r="P1731" s="20">
        <f>IF($U1731="","",INDEX(상세표[06~07시],$U1731))</f>
        <v/>
      </c>
      <c r="Q1731" s="20">
        <f>IF($U1731="","",INDEX(상세표[07~18시],$U1731))</f>
        <v/>
      </c>
      <c r="R1731" s="20">
        <f>IF($U1731="","",INDEX(상세표[18~22시],$U1731))</f>
        <v/>
      </c>
      <c r="S1731" s="20">
        <f>IF($U1731="","",INDEX(상세표[22~06시],$U1731))</f>
        <v/>
      </c>
      <c r="T1731" s="20">
        <f>IF($U1731="","",INDEX(상세표[기록 시간외],$U1731))</f>
        <v/>
      </c>
      <c r="U1731" s="4">
        <f>IFERROR(MATCH(1726,상세표[발송순번],0),"")</f>
        <v/>
      </c>
    </row>
    <row r="1732">
      <c r="J1732">
        <f>IF($U1732="","",INDEX(상세표[사번],$U1732)&amp;"")</f>
        <v/>
      </c>
      <c r="K1732">
        <f>IF($U1732="","",INDEX(상세표[성명],$U1732)&amp;"")</f>
        <v/>
      </c>
      <c r="L1732">
        <f>IF($U1732="","",INDEX(상세표[직위],$U1732)&amp;"")</f>
        <v/>
      </c>
      <c r="M1732">
        <f>IF($U1732="","",IF(ISNUMBER(INDEX(상세표[근무일자],$U1732)),TEXT(INDEX(상세표[근무일자],$U1732),"yyyy-mm-dd"),INDEX(상세표[근무일자],$U1732)&amp;""))</f>
        <v/>
      </c>
      <c r="N1732">
        <f>IF($U1732="","",IF(ISNUMBER(INDEX(상세표[시작],$U1732)),TEXT(INDEX(상세표[시작],$U1732),"yyyy-mm-dd hh:mm"),INDEX(상세표[시작],$U1732)&amp;""))</f>
        <v/>
      </c>
      <c r="O1732">
        <f>IF($U1732="","",IF(ISNUMBER(INDEX(상세표[종료],$U1732)),TEXT(INDEX(상세표[종료],$U1732),"yyyy-mm-dd hh:mm"),INDEX(상세표[종료],$U1732)&amp;""))</f>
        <v/>
      </c>
      <c r="P1732" s="20">
        <f>IF($U1732="","",INDEX(상세표[06~07시],$U1732))</f>
        <v/>
      </c>
      <c r="Q1732" s="20">
        <f>IF($U1732="","",INDEX(상세표[07~18시],$U1732))</f>
        <v/>
      </c>
      <c r="R1732" s="20">
        <f>IF($U1732="","",INDEX(상세표[18~22시],$U1732))</f>
        <v/>
      </c>
      <c r="S1732" s="20">
        <f>IF($U1732="","",INDEX(상세표[22~06시],$U1732))</f>
        <v/>
      </c>
      <c r="T1732" s="20">
        <f>IF($U1732="","",INDEX(상세표[기록 시간외],$U1732))</f>
        <v/>
      </c>
      <c r="U1732" s="4">
        <f>IFERROR(MATCH(1727,상세표[발송순번],0),"")</f>
        <v/>
      </c>
    </row>
    <row r="1733">
      <c r="J1733">
        <f>IF($U1733="","",INDEX(상세표[사번],$U1733)&amp;"")</f>
        <v/>
      </c>
      <c r="K1733">
        <f>IF($U1733="","",INDEX(상세표[성명],$U1733)&amp;"")</f>
        <v/>
      </c>
      <c r="L1733">
        <f>IF($U1733="","",INDEX(상세표[직위],$U1733)&amp;"")</f>
        <v/>
      </c>
      <c r="M1733">
        <f>IF($U1733="","",IF(ISNUMBER(INDEX(상세표[근무일자],$U1733)),TEXT(INDEX(상세표[근무일자],$U1733),"yyyy-mm-dd"),INDEX(상세표[근무일자],$U1733)&amp;""))</f>
        <v/>
      </c>
      <c r="N1733">
        <f>IF($U1733="","",IF(ISNUMBER(INDEX(상세표[시작],$U1733)),TEXT(INDEX(상세표[시작],$U1733),"yyyy-mm-dd hh:mm"),INDEX(상세표[시작],$U1733)&amp;""))</f>
        <v/>
      </c>
      <c r="O1733">
        <f>IF($U1733="","",IF(ISNUMBER(INDEX(상세표[종료],$U1733)),TEXT(INDEX(상세표[종료],$U1733),"yyyy-mm-dd hh:mm"),INDEX(상세표[종료],$U1733)&amp;""))</f>
        <v/>
      </c>
      <c r="P1733" s="20">
        <f>IF($U1733="","",INDEX(상세표[06~07시],$U1733))</f>
        <v/>
      </c>
      <c r="Q1733" s="20">
        <f>IF($U1733="","",INDEX(상세표[07~18시],$U1733))</f>
        <v/>
      </c>
      <c r="R1733" s="20">
        <f>IF($U1733="","",INDEX(상세표[18~22시],$U1733))</f>
        <v/>
      </c>
      <c r="S1733" s="20">
        <f>IF($U1733="","",INDEX(상세표[22~06시],$U1733))</f>
        <v/>
      </c>
      <c r="T1733" s="20">
        <f>IF($U1733="","",INDEX(상세표[기록 시간외],$U1733))</f>
        <v/>
      </c>
      <c r="U1733" s="4">
        <f>IFERROR(MATCH(1728,상세표[발송순번],0),"")</f>
        <v/>
      </c>
    </row>
    <row r="1734">
      <c r="J1734">
        <f>IF($U1734="","",INDEX(상세표[사번],$U1734)&amp;"")</f>
        <v/>
      </c>
      <c r="K1734">
        <f>IF($U1734="","",INDEX(상세표[성명],$U1734)&amp;"")</f>
        <v/>
      </c>
      <c r="L1734">
        <f>IF($U1734="","",INDEX(상세표[직위],$U1734)&amp;"")</f>
        <v/>
      </c>
      <c r="M1734">
        <f>IF($U1734="","",IF(ISNUMBER(INDEX(상세표[근무일자],$U1734)),TEXT(INDEX(상세표[근무일자],$U1734),"yyyy-mm-dd"),INDEX(상세표[근무일자],$U1734)&amp;""))</f>
        <v/>
      </c>
      <c r="N1734">
        <f>IF($U1734="","",IF(ISNUMBER(INDEX(상세표[시작],$U1734)),TEXT(INDEX(상세표[시작],$U1734),"yyyy-mm-dd hh:mm"),INDEX(상세표[시작],$U1734)&amp;""))</f>
        <v/>
      </c>
      <c r="O1734">
        <f>IF($U1734="","",IF(ISNUMBER(INDEX(상세표[종료],$U1734)),TEXT(INDEX(상세표[종료],$U1734),"yyyy-mm-dd hh:mm"),INDEX(상세표[종료],$U1734)&amp;""))</f>
        <v/>
      </c>
      <c r="P1734" s="20">
        <f>IF($U1734="","",INDEX(상세표[06~07시],$U1734))</f>
        <v/>
      </c>
      <c r="Q1734" s="20">
        <f>IF($U1734="","",INDEX(상세표[07~18시],$U1734))</f>
        <v/>
      </c>
      <c r="R1734" s="20">
        <f>IF($U1734="","",INDEX(상세표[18~22시],$U1734))</f>
        <v/>
      </c>
      <c r="S1734" s="20">
        <f>IF($U1734="","",INDEX(상세표[22~06시],$U1734))</f>
        <v/>
      </c>
      <c r="T1734" s="20">
        <f>IF($U1734="","",INDEX(상세표[기록 시간외],$U1734))</f>
        <v/>
      </c>
      <c r="U1734" s="4">
        <f>IFERROR(MATCH(1729,상세표[발송순번],0),"")</f>
        <v/>
      </c>
    </row>
    <row r="1735">
      <c r="J1735">
        <f>IF($U1735="","",INDEX(상세표[사번],$U1735)&amp;"")</f>
        <v/>
      </c>
      <c r="K1735">
        <f>IF($U1735="","",INDEX(상세표[성명],$U1735)&amp;"")</f>
        <v/>
      </c>
      <c r="L1735">
        <f>IF($U1735="","",INDEX(상세표[직위],$U1735)&amp;"")</f>
        <v/>
      </c>
      <c r="M1735">
        <f>IF($U1735="","",IF(ISNUMBER(INDEX(상세표[근무일자],$U1735)),TEXT(INDEX(상세표[근무일자],$U1735),"yyyy-mm-dd"),INDEX(상세표[근무일자],$U1735)&amp;""))</f>
        <v/>
      </c>
      <c r="N1735">
        <f>IF($U1735="","",IF(ISNUMBER(INDEX(상세표[시작],$U1735)),TEXT(INDEX(상세표[시작],$U1735),"yyyy-mm-dd hh:mm"),INDEX(상세표[시작],$U1735)&amp;""))</f>
        <v/>
      </c>
      <c r="O1735">
        <f>IF($U1735="","",IF(ISNUMBER(INDEX(상세표[종료],$U1735)),TEXT(INDEX(상세표[종료],$U1735),"yyyy-mm-dd hh:mm"),INDEX(상세표[종료],$U1735)&amp;""))</f>
        <v/>
      </c>
      <c r="P1735" s="20">
        <f>IF($U1735="","",INDEX(상세표[06~07시],$U1735))</f>
        <v/>
      </c>
      <c r="Q1735" s="20">
        <f>IF($U1735="","",INDEX(상세표[07~18시],$U1735))</f>
        <v/>
      </c>
      <c r="R1735" s="20">
        <f>IF($U1735="","",INDEX(상세표[18~22시],$U1735))</f>
        <v/>
      </c>
      <c r="S1735" s="20">
        <f>IF($U1735="","",INDEX(상세표[22~06시],$U1735))</f>
        <v/>
      </c>
      <c r="T1735" s="20">
        <f>IF($U1735="","",INDEX(상세표[기록 시간외],$U1735))</f>
        <v/>
      </c>
      <c r="U1735" s="4">
        <f>IFERROR(MATCH(1730,상세표[발송순번],0),"")</f>
        <v/>
      </c>
    </row>
    <row r="1736">
      <c r="J1736">
        <f>IF($U1736="","",INDEX(상세표[사번],$U1736)&amp;"")</f>
        <v/>
      </c>
      <c r="K1736">
        <f>IF($U1736="","",INDEX(상세표[성명],$U1736)&amp;"")</f>
        <v/>
      </c>
      <c r="L1736">
        <f>IF($U1736="","",INDEX(상세표[직위],$U1736)&amp;"")</f>
        <v/>
      </c>
      <c r="M1736">
        <f>IF($U1736="","",IF(ISNUMBER(INDEX(상세표[근무일자],$U1736)),TEXT(INDEX(상세표[근무일자],$U1736),"yyyy-mm-dd"),INDEX(상세표[근무일자],$U1736)&amp;""))</f>
        <v/>
      </c>
      <c r="N1736">
        <f>IF($U1736="","",IF(ISNUMBER(INDEX(상세표[시작],$U1736)),TEXT(INDEX(상세표[시작],$U1736),"yyyy-mm-dd hh:mm"),INDEX(상세표[시작],$U1736)&amp;""))</f>
        <v/>
      </c>
      <c r="O1736">
        <f>IF($U1736="","",IF(ISNUMBER(INDEX(상세표[종료],$U1736)),TEXT(INDEX(상세표[종료],$U1736),"yyyy-mm-dd hh:mm"),INDEX(상세표[종료],$U1736)&amp;""))</f>
        <v/>
      </c>
      <c r="P1736" s="20">
        <f>IF($U1736="","",INDEX(상세표[06~07시],$U1736))</f>
        <v/>
      </c>
      <c r="Q1736" s="20">
        <f>IF($U1736="","",INDEX(상세표[07~18시],$U1736))</f>
        <v/>
      </c>
      <c r="R1736" s="20">
        <f>IF($U1736="","",INDEX(상세표[18~22시],$U1736))</f>
        <v/>
      </c>
      <c r="S1736" s="20">
        <f>IF($U1736="","",INDEX(상세표[22~06시],$U1736))</f>
        <v/>
      </c>
      <c r="T1736" s="20">
        <f>IF($U1736="","",INDEX(상세표[기록 시간외],$U1736))</f>
        <v/>
      </c>
      <c r="U1736" s="4">
        <f>IFERROR(MATCH(1731,상세표[발송순번],0),"")</f>
        <v/>
      </c>
    </row>
    <row r="1737">
      <c r="J1737">
        <f>IF($U1737="","",INDEX(상세표[사번],$U1737)&amp;"")</f>
        <v/>
      </c>
      <c r="K1737">
        <f>IF($U1737="","",INDEX(상세표[성명],$U1737)&amp;"")</f>
        <v/>
      </c>
      <c r="L1737">
        <f>IF($U1737="","",INDEX(상세표[직위],$U1737)&amp;"")</f>
        <v/>
      </c>
      <c r="M1737">
        <f>IF($U1737="","",IF(ISNUMBER(INDEX(상세표[근무일자],$U1737)),TEXT(INDEX(상세표[근무일자],$U1737),"yyyy-mm-dd"),INDEX(상세표[근무일자],$U1737)&amp;""))</f>
        <v/>
      </c>
      <c r="N1737">
        <f>IF($U1737="","",IF(ISNUMBER(INDEX(상세표[시작],$U1737)),TEXT(INDEX(상세표[시작],$U1737),"yyyy-mm-dd hh:mm"),INDEX(상세표[시작],$U1737)&amp;""))</f>
        <v/>
      </c>
      <c r="O1737">
        <f>IF($U1737="","",IF(ISNUMBER(INDEX(상세표[종료],$U1737)),TEXT(INDEX(상세표[종료],$U1737),"yyyy-mm-dd hh:mm"),INDEX(상세표[종료],$U1737)&amp;""))</f>
        <v/>
      </c>
      <c r="P1737" s="20">
        <f>IF($U1737="","",INDEX(상세표[06~07시],$U1737))</f>
        <v/>
      </c>
      <c r="Q1737" s="20">
        <f>IF($U1737="","",INDEX(상세표[07~18시],$U1737))</f>
        <v/>
      </c>
      <c r="R1737" s="20">
        <f>IF($U1737="","",INDEX(상세표[18~22시],$U1737))</f>
        <v/>
      </c>
      <c r="S1737" s="20">
        <f>IF($U1737="","",INDEX(상세표[22~06시],$U1737))</f>
        <v/>
      </c>
      <c r="T1737" s="20">
        <f>IF($U1737="","",INDEX(상세표[기록 시간외],$U1737))</f>
        <v/>
      </c>
      <c r="U1737" s="4">
        <f>IFERROR(MATCH(1732,상세표[발송순번],0),"")</f>
        <v/>
      </c>
    </row>
    <row r="1738">
      <c r="J1738">
        <f>IF($U1738="","",INDEX(상세표[사번],$U1738)&amp;"")</f>
        <v/>
      </c>
      <c r="K1738">
        <f>IF($U1738="","",INDEX(상세표[성명],$U1738)&amp;"")</f>
        <v/>
      </c>
      <c r="L1738">
        <f>IF($U1738="","",INDEX(상세표[직위],$U1738)&amp;"")</f>
        <v/>
      </c>
      <c r="M1738">
        <f>IF($U1738="","",IF(ISNUMBER(INDEX(상세표[근무일자],$U1738)),TEXT(INDEX(상세표[근무일자],$U1738),"yyyy-mm-dd"),INDEX(상세표[근무일자],$U1738)&amp;""))</f>
        <v/>
      </c>
      <c r="N1738">
        <f>IF($U1738="","",IF(ISNUMBER(INDEX(상세표[시작],$U1738)),TEXT(INDEX(상세표[시작],$U1738),"yyyy-mm-dd hh:mm"),INDEX(상세표[시작],$U1738)&amp;""))</f>
        <v/>
      </c>
      <c r="O1738">
        <f>IF($U1738="","",IF(ISNUMBER(INDEX(상세표[종료],$U1738)),TEXT(INDEX(상세표[종료],$U1738),"yyyy-mm-dd hh:mm"),INDEX(상세표[종료],$U1738)&amp;""))</f>
        <v/>
      </c>
      <c r="P1738" s="20">
        <f>IF($U1738="","",INDEX(상세표[06~07시],$U1738))</f>
        <v/>
      </c>
      <c r="Q1738" s="20">
        <f>IF($U1738="","",INDEX(상세표[07~18시],$U1738))</f>
        <v/>
      </c>
      <c r="R1738" s="20">
        <f>IF($U1738="","",INDEX(상세표[18~22시],$U1738))</f>
        <v/>
      </c>
      <c r="S1738" s="20">
        <f>IF($U1738="","",INDEX(상세표[22~06시],$U1738))</f>
        <v/>
      </c>
      <c r="T1738" s="20">
        <f>IF($U1738="","",INDEX(상세표[기록 시간외],$U1738))</f>
        <v/>
      </c>
      <c r="U1738" s="4">
        <f>IFERROR(MATCH(1733,상세표[발송순번],0),"")</f>
        <v/>
      </c>
    </row>
    <row r="1739">
      <c r="J1739">
        <f>IF($U1739="","",INDEX(상세표[사번],$U1739)&amp;"")</f>
        <v/>
      </c>
      <c r="K1739">
        <f>IF($U1739="","",INDEX(상세표[성명],$U1739)&amp;"")</f>
        <v/>
      </c>
      <c r="L1739">
        <f>IF($U1739="","",INDEX(상세표[직위],$U1739)&amp;"")</f>
        <v/>
      </c>
      <c r="M1739">
        <f>IF($U1739="","",IF(ISNUMBER(INDEX(상세표[근무일자],$U1739)),TEXT(INDEX(상세표[근무일자],$U1739),"yyyy-mm-dd"),INDEX(상세표[근무일자],$U1739)&amp;""))</f>
        <v/>
      </c>
      <c r="N1739">
        <f>IF($U1739="","",IF(ISNUMBER(INDEX(상세표[시작],$U1739)),TEXT(INDEX(상세표[시작],$U1739),"yyyy-mm-dd hh:mm"),INDEX(상세표[시작],$U1739)&amp;""))</f>
        <v/>
      </c>
      <c r="O1739">
        <f>IF($U1739="","",IF(ISNUMBER(INDEX(상세표[종료],$U1739)),TEXT(INDEX(상세표[종료],$U1739),"yyyy-mm-dd hh:mm"),INDEX(상세표[종료],$U1739)&amp;""))</f>
        <v/>
      </c>
      <c r="P1739" s="20">
        <f>IF($U1739="","",INDEX(상세표[06~07시],$U1739))</f>
        <v/>
      </c>
      <c r="Q1739" s="20">
        <f>IF($U1739="","",INDEX(상세표[07~18시],$U1739))</f>
        <v/>
      </c>
      <c r="R1739" s="20">
        <f>IF($U1739="","",INDEX(상세표[18~22시],$U1739))</f>
        <v/>
      </c>
      <c r="S1739" s="20">
        <f>IF($U1739="","",INDEX(상세표[22~06시],$U1739))</f>
        <v/>
      </c>
      <c r="T1739" s="20">
        <f>IF($U1739="","",INDEX(상세표[기록 시간외],$U1739))</f>
        <v/>
      </c>
      <c r="U1739" s="4">
        <f>IFERROR(MATCH(1734,상세표[발송순번],0),"")</f>
        <v/>
      </c>
    </row>
    <row r="1740">
      <c r="J1740">
        <f>IF($U1740="","",INDEX(상세표[사번],$U1740)&amp;"")</f>
        <v/>
      </c>
      <c r="K1740">
        <f>IF($U1740="","",INDEX(상세표[성명],$U1740)&amp;"")</f>
        <v/>
      </c>
      <c r="L1740">
        <f>IF($U1740="","",INDEX(상세표[직위],$U1740)&amp;"")</f>
        <v/>
      </c>
      <c r="M1740">
        <f>IF($U1740="","",IF(ISNUMBER(INDEX(상세표[근무일자],$U1740)),TEXT(INDEX(상세표[근무일자],$U1740),"yyyy-mm-dd"),INDEX(상세표[근무일자],$U1740)&amp;""))</f>
        <v/>
      </c>
      <c r="N1740">
        <f>IF($U1740="","",IF(ISNUMBER(INDEX(상세표[시작],$U1740)),TEXT(INDEX(상세표[시작],$U1740),"yyyy-mm-dd hh:mm"),INDEX(상세표[시작],$U1740)&amp;""))</f>
        <v/>
      </c>
      <c r="O1740">
        <f>IF($U1740="","",IF(ISNUMBER(INDEX(상세표[종료],$U1740)),TEXT(INDEX(상세표[종료],$U1740),"yyyy-mm-dd hh:mm"),INDEX(상세표[종료],$U1740)&amp;""))</f>
        <v/>
      </c>
      <c r="P1740" s="20">
        <f>IF($U1740="","",INDEX(상세표[06~07시],$U1740))</f>
        <v/>
      </c>
      <c r="Q1740" s="20">
        <f>IF($U1740="","",INDEX(상세표[07~18시],$U1740))</f>
        <v/>
      </c>
      <c r="R1740" s="20">
        <f>IF($U1740="","",INDEX(상세표[18~22시],$U1740))</f>
        <v/>
      </c>
      <c r="S1740" s="20">
        <f>IF($U1740="","",INDEX(상세표[22~06시],$U1740))</f>
        <v/>
      </c>
      <c r="T1740" s="20">
        <f>IF($U1740="","",INDEX(상세표[기록 시간외],$U1740))</f>
        <v/>
      </c>
      <c r="U1740" s="4">
        <f>IFERROR(MATCH(1735,상세표[발송순번],0),"")</f>
        <v/>
      </c>
    </row>
    <row r="1741">
      <c r="J1741">
        <f>IF($U1741="","",INDEX(상세표[사번],$U1741)&amp;"")</f>
        <v/>
      </c>
      <c r="K1741">
        <f>IF($U1741="","",INDEX(상세표[성명],$U1741)&amp;"")</f>
        <v/>
      </c>
      <c r="L1741">
        <f>IF($U1741="","",INDEX(상세표[직위],$U1741)&amp;"")</f>
        <v/>
      </c>
      <c r="M1741">
        <f>IF($U1741="","",IF(ISNUMBER(INDEX(상세표[근무일자],$U1741)),TEXT(INDEX(상세표[근무일자],$U1741),"yyyy-mm-dd"),INDEX(상세표[근무일자],$U1741)&amp;""))</f>
        <v/>
      </c>
      <c r="N1741">
        <f>IF($U1741="","",IF(ISNUMBER(INDEX(상세표[시작],$U1741)),TEXT(INDEX(상세표[시작],$U1741),"yyyy-mm-dd hh:mm"),INDEX(상세표[시작],$U1741)&amp;""))</f>
        <v/>
      </c>
      <c r="O1741">
        <f>IF($U1741="","",IF(ISNUMBER(INDEX(상세표[종료],$U1741)),TEXT(INDEX(상세표[종료],$U1741),"yyyy-mm-dd hh:mm"),INDEX(상세표[종료],$U1741)&amp;""))</f>
        <v/>
      </c>
      <c r="P1741" s="20">
        <f>IF($U1741="","",INDEX(상세표[06~07시],$U1741))</f>
        <v/>
      </c>
      <c r="Q1741" s="20">
        <f>IF($U1741="","",INDEX(상세표[07~18시],$U1741))</f>
        <v/>
      </c>
      <c r="R1741" s="20">
        <f>IF($U1741="","",INDEX(상세표[18~22시],$U1741))</f>
        <v/>
      </c>
      <c r="S1741" s="20">
        <f>IF($U1741="","",INDEX(상세표[22~06시],$U1741))</f>
        <v/>
      </c>
      <c r="T1741" s="20">
        <f>IF($U1741="","",INDEX(상세표[기록 시간외],$U1741))</f>
        <v/>
      </c>
      <c r="U1741" s="4">
        <f>IFERROR(MATCH(1736,상세표[발송순번],0),"")</f>
        <v/>
      </c>
    </row>
    <row r="1742">
      <c r="J1742">
        <f>IF($U1742="","",INDEX(상세표[사번],$U1742)&amp;"")</f>
        <v/>
      </c>
      <c r="K1742">
        <f>IF($U1742="","",INDEX(상세표[성명],$U1742)&amp;"")</f>
        <v/>
      </c>
      <c r="L1742">
        <f>IF($U1742="","",INDEX(상세표[직위],$U1742)&amp;"")</f>
        <v/>
      </c>
      <c r="M1742">
        <f>IF($U1742="","",IF(ISNUMBER(INDEX(상세표[근무일자],$U1742)),TEXT(INDEX(상세표[근무일자],$U1742),"yyyy-mm-dd"),INDEX(상세표[근무일자],$U1742)&amp;""))</f>
        <v/>
      </c>
      <c r="N1742">
        <f>IF($U1742="","",IF(ISNUMBER(INDEX(상세표[시작],$U1742)),TEXT(INDEX(상세표[시작],$U1742),"yyyy-mm-dd hh:mm"),INDEX(상세표[시작],$U1742)&amp;""))</f>
        <v/>
      </c>
      <c r="O1742">
        <f>IF($U1742="","",IF(ISNUMBER(INDEX(상세표[종료],$U1742)),TEXT(INDEX(상세표[종료],$U1742),"yyyy-mm-dd hh:mm"),INDEX(상세표[종료],$U1742)&amp;""))</f>
        <v/>
      </c>
      <c r="P1742" s="20">
        <f>IF($U1742="","",INDEX(상세표[06~07시],$U1742))</f>
        <v/>
      </c>
      <c r="Q1742" s="20">
        <f>IF($U1742="","",INDEX(상세표[07~18시],$U1742))</f>
        <v/>
      </c>
      <c r="R1742" s="20">
        <f>IF($U1742="","",INDEX(상세표[18~22시],$U1742))</f>
        <v/>
      </c>
      <c r="S1742" s="20">
        <f>IF($U1742="","",INDEX(상세표[22~06시],$U1742))</f>
        <v/>
      </c>
      <c r="T1742" s="20">
        <f>IF($U1742="","",INDEX(상세표[기록 시간외],$U1742))</f>
        <v/>
      </c>
      <c r="U1742" s="4">
        <f>IFERROR(MATCH(1737,상세표[발송순번],0),"")</f>
        <v/>
      </c>
    </row>
    <row r="1743">
      <c r="J1743">
        <f>IF($U1743="","",INDEX(상세표[사번],$U1743)&amp;"")</f>
        <v/>
      </c>
      <c r="K1743">
        <f>IF($U1743="","",INDEX(상세표[성명],$U1743)&amp;"")</f>
        <v/>
      </c>
      <c r="L1743">
        <f>IF($U1743="","",INDEX(상세표[직위],$U1743)&amp;"")</f>
        <v/>
      </c>
      <c r="M1743">
        <f>IF($U1743="","",IF(ISNUMBER(INDEX(상세표[근무일자],$U1743)),TEXT(INDEX(상세표[근무일자],$U1743),"yyyy-mm-dd"),INDEX(상세표[근무일자],$U1743)&amp;""))</f>
        <v/>
      </c>
      <c r="N1743">
        <f>IF($U1743="","",IF(ISNUMBER(INDEX(상세표[시작],$U1743)),TEXT(INDEX(상세표[시작],$U1743),"yyyy-mm-dd hh:mm"),INDEX(상세표[시작],$U1743)&amp;""))</f>
        <v/>
      </c>
      <c r="O1743">
        <f>IF($U1743="","",IF(ISNUMBER(INDEX(상세표[종료],$U1743)),TEXT(INDEX(상세표[종료],$U1743),"yyyy-mm-dd hh:mm"),INDEX(상세표[종료],$U1743)&amp;""))</f>
        <v/>
      </c>
      <c r="P1743" s="20">
        <f>IF($U1743="","",INDEX(상세표[06~07시],$U1743))</f>
        <v/>
      </c>
      <c r="Q1743" s="20">
        <f>IF($U1743="","",INDEX(상세표[07~18시],$U1743))</f>
        <v/>
      </c>
      <c r="R1743" s="20">
        <f>IF($U1743="","",INDEX(상세표[18~22시],$U1743))</f>
        <v/>
      </c>
      <c r="S1743" s="20">
        <f>IF($U1743="","",INDEX(상세표[22~06시],$U1743))</f>
        <v/>
      </c>
      <c r="T1743" s="20">
        <f>IF($U1743="","",INDEX(상세표[기록 시간외],$U1743))</f>
        <v/>
      </c>
      <c r="U1743" s="4">
        <f>IFERROR(MATCH(1738,상세표[발송순번],0),"")</f>
        <v/>
      </c>
    </row>
    <row r="1744">
      <c r="J1744">
        <f>IF($U1744="","",INDEX(상세표[사번],$U1744)&amp;"")</f>
        <v/>
      </c>
      <c r="K1744">
        <f>IF($U1744="","",INDEX(상세표[성명],$U1744)&amp;"")</f>
        <v/>
      </c>
      <c r="L1744">
        <f>IF($U1744="","",INDEX(상세표[직위],$U1744)&amp;"")</f>
        <v/>
      </c>
      <c r="M1744">
        <f>IF($U1744="","",IF(ISNUMBER(INDEX(상세표[근무일자],$U1744)),TEXT(INDEX(상세표[근무일자],$U1744),"yyyy-mm-dd"),INDEX(상세표[근무일자],$U1744)&amp;""))</f>
        <v/>
      </c>
      <c r="N1744">
        <f>IF($U1744="","",IF(ISNUMBER(INDEX(상세표[시작],$U1744)),TEXT(INDEX(상세표[시작],$U1744),"yyyy-mm-dd hh:mm"),INDEX(상세표[시작],$U1744)&amp;""))</f>
        <v/>
      </c>
      <c r="O1744">
        <f>IF($U1744="","",IF(ISNUMBER(INDEX(상세표[종료],$U1744)),TEXT(INDEX(상세표[종료],$U1744),"yyyy-mm-dd hh:mm"),INDEX(상세표[종료],$U1744)&amp;""))</f>
        <v/>
      </c>
      <c r="P1744" s="20">
        <f>IF($U1744="","",INDEX(상세표[06~07시],$U1744))</f>
        <v/>
      </c>
      <c r="Q1744" s="20">
        <f>IF($U1744="","",INDEX(상세표[07~18시],$U1744))</f>
        <v/>
      </c>
      <c r="R1744" s="20">
        <f>IF($U1744="","",INDEX(상세표[18~22시],$U1744))</f>
        <v/>
      </c>
      <c r="S1744" s="20">
        <f>IF($U1744="","",INDEX(상세표[22~06시],$U1744))</f>
        <v/>
      </c>
      <c r="T1744" s="20">
        <f>IF($U1744="","",INDEX(상세표[기록 시간외],$U1744))</f>
        <v/>
      </c>
      <c r="U1744" s="4">
        <f>IFERROR(MATCH(1739,상세표[발송순번],0),"")</f>
        <v/>
      </c>
    </row>
    <row r="1745">
      <c r="J1745">
        <f>IF($U1745="","",INDEX(상세표[사번],$U1745)&amp;"")</f>
        <v/>
      </c>
      <c r="K1745">
        <f>IF($U1745="","",INDEX(상세표[성명],$U1745)&amp;"")</f>
        <v/>
      </c>
      <c r="L1745">
        <f>IF($U1745="","",INDEX(상세표[직위],$U1745)&amp;"")</f>
        <v/>
      </c>
      <c r="M1745">
        <f>IF($U1745="","",IF(ISNUMBER(INDEX(상세표[근무일자],$U1745)),TEXT(INDEX(상세표[근무일자],$U1745),"yyyy-mm-dd"),INDEX(상세표[근무일자],$U1745)&amp;""))</f>
        <v/>
      </c>
      <c r="N1745">
        <f>IF($U1745="","",IF(ISNUMBER(INDEX(상세표[시작],$U1745)),TEXT(INDEX(상세표[시작],$U1745),"yyyy-mm-dd hh:mm"),INDEX(상세표[시작],$U1745)&amp;""))</f>
        <v/>
      </c>
      <c r="O1745">
        <f>IF($U1745="","",IF(ISNUMBER(INDEX(상세표[종료],$U1745)),TEXT(INDEX(상세표[종료],$U1745),"yyyy-mm-dd hh:mm"),INDEX(상세표[종료],$U1745)&amp;""))</f>
        <v/>
      </c>
      <c r="P1745" s="20">
        <f>IF($U1745="","",INDEX(상세표[06~07시],$U1745))</f>
        <v/>
      </c>
      <c r="Q1745" s="20">
        <f>IF($U1745="","",INDEX(상세표[07~18시],$U1745))</f>
        <v/>
      </c>
      <c r="R1745" s="20">
        <f>IF($U1745="","",INDEX(상세표[18~22시],$U1745))</f>
        <v/>
      </c>
      <c r="S1745" s="20">
        <f>IF($U1745="","",INDEX(상세표[22~06시],$U1745))</f>
        <v/>
      </c>
      <c r="T1745" s="20">
        <f>IF($U1745="","",INDEX(상세표[기록 시간외],$U1745))</f>
        <v/>
      </c>
      <c r="U1745" s="4">
        <f>IFERROR(MATCH(1740,상세표[발송순번],0),"")</f>
        <v/>
      </c>
    </row>
    <row r="1746">
      <c r="J1746">
        <f>IF($U1746="","",INDEX(상세표[사번],$U1746)&amp;"")</f>
        <v/>
      </c>
      <c r="K1746">
        <f>IF($U1746="","",INDEX(상세표[성명],$U1746)&amp;"")</f>
        <v/>
      </c>
      <c r="L1746">
        <f>IF($U1746="","",INDEX(상세표[직위],$U1746)&amp;"")</f>
        <v/>
      </c>
      <c r="M1746">
        <f>IF($U1746="","",IF(ISNUMBER(INDEX(상세표[근무일자],$U1746)),TEXT(INDEX(상세표[근무일자],$U1746),"yyyy-mm-dd"),INDEX(상세표[근무일자],$U1746)&amp;""))</f>
        <v/>
      </c>
      <c r="N1746">
        <f>IF($U1746="","",IF(ISNUMBER(INDEX(상세표[시작],$U1746)),TEXT(INDEX(상세표[시작],$U1746),"yyyy-mm-dd hh:mm"),INDEX(상세표[시작],$U1746)&amp;""))</f>
        <v/>
      </c>
      <c r="O1746">
        <f>IF($U1746="","",IF(ISNUMBER(INDEX(상세표[종료],$U1746)),TEXT(INDEX(상세표[종료],$U1746),"yyyy-mm-dd hh:mm"),INDEX(상세표[종료],$U1746)&amp;""))</f>
        <v/>
      </c>
      <c r="P1746" s="20">
        <f>IF($U1746="","",INDEX(상세표[06~07시],$U1746))</f>
        <v/>
      </c>
      <c r="Q1746" s="20">
        <f>IF($U1746="","",INDEX(상세표[07~18시],$U1746))</f>
        <v/>
      </c>
      <c r="R1746" s="20">
        <f>IF($U1746="","",INDEX(상세표[18~22시],$U1746))</f>
        <v/>
      </c>
      <c r="S1746" s="20">
        <f>IF($U1746="","",INDEX(상세표[22~06시],$U1746))</f>
        <v/>
      </c>
      <c r="T1746" s="20">
        <f>IF($U1746="","",INDEX(상세표[기록 시간외],$U1746))</f>
        <v/>
      </c>
      <c r="U1746" s="4">
        <f>IFERROR(MATCH(1741,상세표[발송순번],0),"")</f>
        <v/>
      </c>
    </row>
    <row r="1747">
      <c r="J1747">
        <f>IF($U1747="","",INDEX(상세표[사번],$U1747)&amp;"")</f>
        <v/>
      </c>
      <c r="K1747">
        <f>IF($U1747="","",INDEX(상세표[성명],$U1747)&amp;"")</f>
        <v/>
      </c>
      <c r="L1747">
        <f>IF($U1747="","",INDEX(상세표[직위],$U1747)&amp;"")</f>
        <v/>
      </c>
      <c r="M1747">
        <f>IF($U1747="","",IF(ISNUMBER(INDEX(상세표[근무일자],$U1747)),TEXT(INDEX(상세표[근무일자],$U1747),"yyyy-mm-dd"),INDEX(상세표[근무일자],$U1747)&amp;""))</f>
        <v/>
      </c>
      <c r="N1747">
        <f>IF($U1747="","",IF(ISNUMBER(INDEX(상세표[시작],$U1747)),TEXT(INDEX(상세표[시작],$U1747),"yyyy-mm-dd hh:mm"),INDEX(상세표[시작],$U1747)&amp;""))</f>
        <v/>
      </c>
      <c r="O1747">
        <f>IF($U1747="","",IF(ISNUMBER(INDEX(상세표[종료],$U1747)),TEXT(INDEX(상세표[종료],$U1747),"yyyy-mm-dd hh:mm"),INDEX(상세표[종료],$U1747)&amp;""))</f>
        <v/>
      </c>
      <c r="P1747" s="20">
        <f>IF($U1747="","",INDEX(상세표[06~07시],$U1747))</f>
        <v/>
      </c>
      <c r="Q1747" s="20">
        <f>IF($U1747="","",INDEX(상세표[07~18시],$U1747))</f>
        <v/>
      </c>
      <c r="R1747" s="20">
        <f>IF($U1747="","",INDEX(상세표[18~22시],$U1747))</f>
        <v/>
      </c>
      <c r="S1747" s="20">
        <f>IF($U1747="","",INDEX(상세표[22~06시],$U1747))</f>
        <v/>
      </c>
      <c r="T1747" s="20">
        <f>IF($U1747="","",INDEX(상세표[기록 시간외],$U1747))</f>
        <v/>
      </c>
      <c r="U1747" s="4">
        <f>IFERROR(MATCH(1742,상세표[발송순번],0),"")</f>
        <v/>
      </c>
    </row>
    <row r="1748">
      <c r="J1748">
        <f>IF($U1748="","",INDEX(상세표[사번],$U1748)&amp;"")</f>
        <v/>
      </c>
      <c r="K1748">
        <f>IF($U1748="","",INDEX(상세표[성명],$U1748)&amp;"")</f>
        <v/>
      </c>
      <c r="L1748">
        <f>IF($U1748="","",INDEX(상세표[직위],$U1748)&amp;"")</f>
        <v/>
      </c>
      <c r="M1748">
        <f>IF($U1748="","",IF(ISNUMBER(INDEX(상세표[근무일자],$U1748)),TEXT(INDEX(상세표[근무일자],$U1748),"yyyy-mm-dd"),INDEX(상세표[근무일자],$U1748)&amp;""))</f>
        <v/>
      </c>
      <c r="N1748">
        <f>IF($U1748="","",IF(ISNUMBER(INDEX(상세표[시작],$U1748)),TEXT(INDEX(상세표[시작],$U1748),"yyyy-mm-dd hh:mm"),INDEX(상세표[시작],$U1748)&amp;""))</f>
        <v/>
      </c>
      <c r="O1748">
        <f>IF($U1748="","",IF(ISNUMBER(INDEX(상세표[종료],$U1748)),TEXT(INDEX(상세표[종료],$U1748),"yyyy-mm-dd hh:mm"),INDEX(상세표[종료],$U1748)&amp;""))</f>
        <v/>
      </c>
      <c r="P1748" s="20">
        <f>IF($U1748="","",INDEX(상세표[06~07시],$U1748))</f>
        <v/>
      </c>
      <c r="Q1748" s="20">
        <f>IF($U1748="","",INDEX(상세표[07~18시],$U1748))</f>
        <v/>
      </c>
      <c r="R1748" s="20">
        <f>IF($U1748="","",INDEX(상세표[18~22시],$U1748))</f>
        <v/>
      </c>
      <c r="S1748" s="20">
        <f>IF($U1748="","",INDEX(상세표[22~06시],$U1748))</f>
        <v/>
      </c>
      <c r="T1748" s="20">
        <f>IF($U1748="","",INDEX(상세표[기록 시간외],$U1748))</f>
        <v/>
      </c>
      <c r="U1748" s="4">
        <f>IFERROR(MATCH(1743,상세표[발송순번],0),"")</f>
        <v/>
      </c>
    </row>
    <row r="1749">
      <c r="J1749">
        <f>IF($U1749="","",INDEX(상세표[사번],$U1749)&amp;"")</f>
        <v/>
      </c>
      <c r="K1749">
        <f>IF($U1749="","",INDEX(상세표[성명],$U1749)&amp;"")</f>
        <v/>
      </c>
      <c r="L1749">
        <f>IF($U1749="","",INDEX(상세표[직위],$U1749)&amp;"")</f>
        <v/>
      </c>
      <c r="M1749">
        <f>IF($U1749="","",IF(ISNUMBER(INDEX(상세표[근무일자],$U1749)),TEXT(INDEX(상세표[근무일자],$U1749),"yyyy-mm-dd"),INDEX(상세표[근무일자],$U1749)&amp;""))</f>
        <v/>
      </c>
      <c r="N1749">
        <f>IF($U1749="","",IF(ISNUMBER(INDEX(상세표[시작],$U1749)),TEXT(INDEX(상세표[시작],$U1749),"yyyy-mm-dd hh:mm"),INDEX(상세표[시작],$U1749)&amp;""))</f>
        <v/>
      </c>
      <c r="O1749">
        <f>IF($U1749="","",IF(ISNUMBER(INDEX(상세표[종료],$U1749)),TEXT(INDEX(상세표[종료],$U1749),"yyyy-mm-dd hh:mm"),INDEX(상세표[종료],$U1749)&amp;""))</f>
        <v/>
      </c>
      <c r="P1749" s="20">
        <f>IF($U1749="","",INDEX(상세표[06~07시],$U1749))</f>
        <v/>
      </c>
      <c r="Q1749" s="20">
        <f>IF($U1749="","",INDEX(상세표[07~18시],$U1749))</f>
        <v/>
      </c>
      <c r="R1749" s="20">
        <f>IF($U1749="","",INDEX(상세표[18~22시],$U1749))</f>
        <v/>
      </c>
      <c r="S1749" s="20">
        <f>IF($U1749="","",INDEX(상세표[22~06시],$U1749))</f>
        <v/>
      </c>
      <c r="T1749" s="20">
        <f>IF($U1749="","",INDEX(상세표[기록 시간외],$U1749))</f>
        <v/>
      </c>
      <c r="U1749" s="4">
        <f>IFERROR(MATCH(1744,상세표[발송순번],0),"")</f>
        <v/>
      </c>
    </row>
    <row r="1750">
      <c r="J1750">
        <f>IF($U1750="","",INDEX(상세표[사번],$U1750)&amp;"")</f>
        <v/>
      </c>
      <c r="K1750">
        <f>IF($U1750="","",INDEX(상세표[성명],$U1750)&amp;"")</f>
        <v/>
      </c>
      <c r="L1750">
        <f>IF($U1750="","",INDEX(상세표[직위],$U1750)&amp;"")</f>
        <v/>
      </c>
      <c r="M1750">
        <f>IF($U1750="","",IF(ISNUMBER(INDEX(상세표[근무일자],$U1750)),TEXT(INDEX(상세표[근무일자],$U1750),"yyyy-mm-dd"),INDEX(상세표[근무일자],$U1750)&amp;""))</f>
        <v/>
      </c>
      <c r="N1750">
        <f>IF($U1750="","",IF(ISNUMBER(INDEX(상세표[시작],$U1750)),TEXT(INDEX(상세표[시작],$U1750),"yyyy-mm-dd hh:mm"),INDEX(상세표[시작],$U1750)&amp;""))</f>
        <v/>
      </c>
      <c r="O1750">
        <f>IF($U1750="","",IF(ISNUMBER(INDEX(상세표[종료],$U1750)),TEXT(INDEX(상세표[종료],$U1750),"yyyy-mm-dd hh:mm"),INDEX(상세표[종료],$U1750)&amp;""))</f>
        <v/>
      </c>
      <c r="P1750" s="20">
        <f>IF($U1750="","",INDEX(상세표[06~07시],$U1750))</f>
        <v/>
      </c>
      <c r="Q1750" s="20">
        <f>IF($U1750="","",INDEX(상세표[07~18시],$U1750))</f>
        <v/>
      </c>
      <c r="R1750" s="20">
        <f>IF($U1750="","",INDEX(상세표[18~22시],$U1750))</f>
        <v/>
      </c>
      <c r="S1750" s="20">
        <f>IF($U1750="","",INDEX(상세표[22~06시],$U1750))</f>
        <v/>
      </c>
      <c r="T1750" s="20">
        <f>IF($U1750="","",INDEX(상세표[기록 시간외],$U1750))</f>
        <v/>
      </c>
      <c r="U1750" s="4">
        <f>IFERROR(MATCH(1745,상세표[발송순번],0),"")</f>
        <v/>
      </c>
    </row>
    <row r="1751">
      <c r="J1751">
        <f>IF($U1751="","",INDEX(상세표[사번],$U1751)&amp;"")</f>
        <v/>
      </c>
      <c r="K1751">
        <f>IF($U1751="","",INDEX(상세표[성명],$U1751)&amp;"")</f>
        <v/>
      </c>
      <c r="L1751">
        <f>IF($U1751="","",INDEX(상세표[직위],$U1751)&amp;"")</f>
        <v/>
      </c>
      <c r="M1751">
        <f>IF($U1751="","",IF(ISNUMBER(INDEX(상세표[근무일자],$U1751)),TEXT(INDEX(상세표[근무일자],$U1751),"yyyy-mm-dd"),INDEX(상세표[근무일자],$U1751)&amp;""))</f>
        <v/>
      </c>
      <c r="N1751">
        <f>IF($U1751="","",IF(ISNUMBER(INDEX(상세표[시작],$U1751)),TEXT(INDEX(상세표[시작],$U1751),"yyyy-mm-dd hh:mm"),INDEX(상세표[시작],$U1751)&amp;""))</f>
        <v/>
      </c>
      <c r="O1751">
        <f>IF($U1751="","",IF(ISNUMBER(INDEX(상세표[종료],$U1751)),TEXT(INDEX(상세표[종료],$U1751),"yyyy-mm-dd hh:mm"),INDEX(상세표[종료],$U1751)&amp;""))</f>
        <v/>
      </c>
      <c r="P1751" s="20">
        <f>IF($U1751="","",INDEX(상세표[06~07시],$U1751))</f>
        <v/>
      </c>
      <c r="Q1751" s="20">
        <f>IF($U1751="","",INDEX(상세표[07~18시],$U1751))</f>
        <v/>
      </c>
      <c r="R1751" s="20">
        <f>IF($U1751="","",INDEX(상세표[18~22시],$U1751))</f>
        <v/>
      </c>
      <c r="S1751" s="20">
        <f>IF($U1751="","",INDEX(상세표[22~06시],$U1751))</f>
        <v/>
      </c>
      <c r="T1751" s="20">
        <f>IF($U1751="","",INDEX(상세표[기록 시간외],$U1751))</f>
        <v/>
      </c>
      <c r="U1751" s="4">
        <f>IFERROR(MATCH(1746,상세표[발송순번],0),"")</f>
        <v/>
      </c>
    </row>
    <row r="1752">
      <c r="J1752">
        <f>IF($U1752="","",INDEX(상세표[사번],$U1752)&amp;"")</f>
        <v/>
      </c>
      <c r="K1752">
        <f>IF($U1752="","",INDEX(상세표[성명],$U1752)&amp;"")</f>
        <v/>
      </c>
      <c r="L1752">
        <f>IF($U1752="","",INDEX(상세표[직위],$U1752)&amp;"")</f>
        <v/>
      </c>
      <c r="M1752">
        <f>IF($U1752="","",IF(ISNUMBER(INDEX(상세표[근무일자],$U1752)),TEXT(INDEX(상세표[근무일자],$U1752),"yyyy-mm-dd"),INDEX(상세표[근무일자],$U1752)&amp;""))</f>
        <v/>
      </c>
      <c r="N1752">
        <f>IF($U1752="","",IF(ISNUMBER(INDEX(상세표[시작],$U1752)),TEXT(INDEX(상세표[시작],$U1752),"yyyy-mm-dd hh:mm"),INDEX(상세표[시작],$U1752)&amp;""))</f>
        <v/>
      </c>
      <c r="O1752">
        <f>IF($U1752="","",IF(ISNUMBER(INDEX(상세표[종료],$U1752)),TEXT(INDEX(상세표[종료],$U1752),"yyyy-mm-dd hh:mm"),INDEX(상세표[종료],$U1752)&amp;""))</f>
        <v/>
      </c>
      <c r="P1752" s="20">
        <f>IF($U1752="","",INDEX(상세표[06~07시],$U1752))</f>
        <v/>
      </c>
      <c r="Q1752" s="20">
        <f>IF($U1752="","",INDEX(상세표[07~18시],$U1752))</f>
        <v/>
      </c>
      <c r="R1752" s="20">
        <f>IF($U1752="","",INDEX(상세표[18~22시],$U1752))</f>
        <v/>
      </c>
      <c r="S1752" s="20">
        <f>IF($U1752="","",INDEX(상세표[22~06시],$U1752))</f>
        <v/>
      </c>
      <c r="T1752" s="20">
        <f>IF($U1752="","",INDEX(상세표[기록 시간외],$U1752))</f>
        <v/>
      </c>
      <c r="U1752" s="4">
        <f>IFERROR(MATCH(1747,상세표[발송순번],0),"")</f>
        <v/>
      </c>
    </row>
    <row r="1753">
      <c r="J1753">
        <f>IF($U1753="","",INDEX(상세표[사번],$U1753)&amp;"")</f>
        <v/>
      </c>
      <c r="K1753">
        <f>IF($U1753="","",INDEX(상세표[성명],$U1753)&amp;"")</f>
        <v/>
      </c>
      <c r="L1753">
        <f>IF($U1753="","",INDEX(상세표[직위],$U1753)&amp;"")</f>
        <v/>
      </c>
      <c r="M1753">
        <f>IF($U1753="","",IF(ISNUMBER(INDEX(상세표[근무일자],$U1753)),TEXT(INDEX(상세표[근무일자],$U1753),"yyyy-mm-dd"),INDEX(상세표[근무일자],$U1753)&amp;""))</f>
        <v/>
      </c>
      <c r="N1753">
        <f>IF($U1753="","",IF(ISNUMBER(INDEX(상세표[시작],$U1753)),TEXT(INDEX(상세표[시작],$U1753),"yyyy-mm-dd hh:mm"),INDEX(상세표[시작],$U1753)&amp;""))</f>
        <v/>
      </c>
      <c r="O1753">
        <f>IF($U1753="","",IF(ISNUMBER(INDEX(상세표[종료],$U1753)),TEXT(INDEX(상세표[종료],$U1753),"yyyy-mm-dd hh:mm"),INDEX(상세표[종료],$U1753)&amp;""))</f>
        <v/>
      </c>
      <c r="P1753" s="20">
        <f>IF($U1753="","",INDEX(상세표[06~07시],$U1753))</f>
        <v/>
      </c>
      <c r="Q1753" s="20">
        <f>IF($U1753="","",INDEX(상세표[07~18시],$U1753))</f>
        <v/>
      </c>
      <c r="R1753" s="20">
        <f>IF($U1753="","",INDEX(상세표[18~22시],$U1753))</f>
        <v/>
      </c>
      <c r="S1753" s="20">
        <f>IF($U1753="","",INDEX(상세표[22~06시],$U1753))</f>
        <v/>
      </c>
      <c r="T1753" s="20">
        <f>IF($U1753="","",INDEX(상세표[기록 시간외],$U1753))</f>
        <v/>
      </c>
      <c r="U1753" s="4">
        <f>IFERROR(MATCH(1748,상세표[발송순번],0),"")</f>
        <v/>
      </c>
    </row>
    <row r="1754">
      <c r="J1754">
        <f>IF($U1754="","",INDEX(상세표[사번],$U1754)&amp;"")</f>
        <v/>
      </c>
      <c r="K1754">
        <f>IF($U1754="","",INDEX(상세표[성명],$U1754)&amp;"")</f>
        <v/>
      </c>
      <c r="L1754">
        <f>IF($U1754="","",INDEX(상세표[직위],$U1754)&amp;"")</f>
        <v/>
      </c>
      <c r="M1754">
        <f>IF($U1754="","",IF(ISNUMBER(INDEX(상세표[근무일자],$U1754)),TEXT(INDEX(상세표[근무일자],$U1754),"yyyy-mm-dd"),INDEX(상세표[근무일자],$U1754)&amp;""))</f>
        <v/>
      </c>
      <c r="N1754">
        <f>IF($U1754="","",IF(ISNUMBER(INDEX(상세표[시작],$U1754)),TEXT(INDEX(상세표[시작],$U1754),"yyyy-mm-dd hh:mm"),INDEX(상세표[시작],$U1754)&amp;""))</f>
        <v/>
      </c>
      <c r="O1754">
        <f>IF($U1754="","",IF(ISNUMBER(INDEX(상세표[종료],$U1754)),TEXT(INDEX(상세표[종료],$U1754),"yyyy-mm-dd hh:mm"),INDEX(상세표[종료],$U1754)&amp;""))</f>
        <v/>
      </c>
      <c r="P1754" s="20">
        <f>IF($U1754="","",INDEX(상세표[06~07시],$U1754))</f>
        <v/>
      </c>
      <c r="Q1754" s="20">
        <f>IF($U1754="","",INDEX(상세표[07~18시],$U1754))</f>
        <v/>
      </c>
      <c r="R1754" s="20">
        <f>IF($U1754="","",INDEX(상세표[18~22시],$U1754))</f>
        <v/>
      </c>
      <c r="S1754" s="20">
        <f>IF($U1754="","",INDEX(상세표[22~06시],$U1754))</f>
        <v/>
      </c>
      <c r="T1754" s="20">
        <f>IF($U1754="","",INDEX(상세표[기록 시간외],$U1754))</f>
        <v/>
      </c>
      <c r="U1754" s="4">
        <f>IFERROR(MATCH(1749,상세표[발송순번],0),"")</f>
        <v/>
      </c>
    </row>
    <row r="1755">
      <c r="J1755">
        <f>IF($U1755="","",INDEX(상세표[사번],$U1755)&amp;"")</f>
        <v/>
      </c>
      <c r="K1755">
        <f>IF($U1755="","",INDEX(상세표[성명],$U1755)&amp;"")</f>
        <v/>
      </c>
      <c r="L1755">
        <f>IF($U1755="","",INDEX(상세표[직위],$U1755)&amp;"")</f>
        <v/>
      </c>
      <c r="M1755">
        <f>IF($U1755="","",IF(ISNUMBER(INDEX(상세표[근무일자],$U1755)),TEXT(INDEX(상세표[근무일자],$U1755),"yyyy-mm-dd"),INDEX(상세표[근무일자],$U1755)&amp;""))</f>
        <v/>
      </c>
      <c r="N1755">
        <f>IF($U1755="","",IF(ISNUMBER(INDEX(상세표[시작],$U1755)),TEXT(INDEX(상세표[시작],$U1755),"yyyy-mm-dd hh:mm"),INDEX(상세표[시작],$U1755)&amp;""))</f>
        <v/>
      </c>
      <c r="O1755">
        <f>IF($U1755="","",IF(ISNUMBER(INDEX(상세표[종료],$U1755)),TEXT(INDEX(상세표[종료],$U1755),"yyyy-mm-dd hh:mm"),INDEX(상세표[종료],$U1755)&amp;""))</f>
        <v/>
      </c>
      <c r="P1755" s="20">
        <f>IF($U1755="","",INDEX(상세표[06~07시],$U1755))</f>
        <v/>
      </c>
      <c r="Q1755" s="20">
        <f>IF($U1755="","",INDEX(상세표[07~18시],$U1755))</f>
        <v/>
      </c>
      <c r="R1755" s="20">
        <f>IF($U1755="","",INDEX(상세표[18~22시],$U1755))</f>
        <v/>
      </c>
      <c r="S1755" s="20">
        <f>IF($U1755="","",INDEX(상세표[22~06시],$U1755))</f>
        <v/>
      </c>
      <c r="T1755" s="20">
        <f>IF($U1755="","",INDEX(상세표[기록 시간외],$U1755))</f>
        <v/>
      </c>
      <c r="U1755" s="4">
        <f>IFERROR(MATCH(1750,상세표[발송순번],0),"")</f>
        <v/>
      </c>
    </row>
    <row r="1756">
      <c r="J1756">
        <f>IF($U1756="","",INDEX(상세표[사번],$U1756)&amp;"")</f>
        <v/>
      </c>
      <c r="K1756">
        <f>IF($U1756="","",INDEX(상세표[성명],$U1756)&amp;"")</f>
        <v/>
      </c>
      <c r="L1756">
        <f>IF($U1756="","",INDEX(상세표[직위],$U1756)&amp;"")</f>
        <v/>
      </c>
      <c r="M1756">
        <f>IF($U1756="","",IF(ISNUMBER(INDEX(상세표[근무일자],$U1756)),TEXT(INDEX(상세표[근무일자],$U1756),"yyyy-mm-dd"),INDEX(상세표[근무일자],$U1756)&amp;""))</f>
        <v/>
      </c>
      <c r="N1756">
        <f>IF($U1756="","",IF(ISNUMBER(INDEX(상세표[시작],$U1756)),TEXT(INDEX(상세표[시작],$U1756),"yyyy-mm-dd hh:mm"),INDEX(상세표[시작],$U1756)&amp;""))</f>
        <v/>
      </c>
      <c r="O1756">
        <f>IF($U1756="","",IF(ISNUMBER(INDEX(상세표[종료],$U1756)),TEXT(INDEX(상세표[종료],$U1756),"yyyy-mm-dd hh:mm"),INDEX(상세표[종료],$U1756)&amp;""))</f>
        <v/>
      </c>
      <c r="P1756" s="20">
        <f>IF($U1756="","",INDEX(상세표[06~07시],$U1756))</f>
        <v/>
      </c>
      <c r="Q1756" s="20">
        <f>IF($U1756="","",INDEX(상세표[07~18시],$U1756))</f>
        <v/>
      </c>
      <c r="R1756" s="20">
        <f>IF($U1756="","",INDEX(상세표[18~22시],$U1756))</f>
        <v/>
      </c>
      <c r="S1756" s="20">
        <f>IF($U1756="","",INDEX(상세표[22~06시],$U1756))</f>
        <v/>
      </c>
      <c r="T1756" s="20">
        <f>IF($U1756="","",INDEX(상세표[기록 시간외],$U1756))</f>
        <v/>
      </c>
      <c r="U1756" s="4">
        <f>IFERROR(MATCH(1751,상세표[발송순번],0),"")</f>
        <v/>
      </c>
    </row>
    <row r="1757">
      <c r="J1757">
        <f>IF($U1757="","",INDEX(상세표[사번],$U1757)&amp;"")</f>
        <v/>
      </c>
      <c r="K1757">
        <f>IF($U1757="","",INDEX(상세표[성명],$U1757)&amp;"")</f>
        <v/>
      </c>
      <c r="L1757">
        <f>IF($U1757="","",INDEX(상세표[직위],$U1757)&amp;"")</f>
        <v/>
      </c>
      <c r="M1757">
        <f>IF($U1757="","",IF(ISNUMBER(INDEX(상세표[근무일자],$U1757)),TEXT(INDEX(상세표[근무일자],$U1757),"yyyy-mm-dd"),INDEX(상세표[근무일자],$U1757)&amp;""))</f>
        <v/>
      </c>
      <c r="N1757">
        <f>IF($U1757="","",IF(ISNUMBER(INDEX(상세표[시작],$U1757)),TEXT(INDEX(상세표[시작],$U1757),"yyyy-mm-dd hh:mm"),INDEX(상세표[시작],$U1757)&amp;""))</f>
        <v/>
      </c>
      <c r="O1757">
        <f>IF($U1757="","",IF(ISNUMBER(INDEX(상세표[종료],$U1757)),TEXT(INDEX(상세표[종료],$U1757),"yyyy-mm-dd hh:mm"),INDEX(상세표[종료],$U1757)&amp;""))</f>
        <v/>
      </c>
      <c r="P1757" s="20">
        <f>IF($U1757="","",INDEX(상세표[06~07시],$U1757))</f>
        <v/>
      </c>
      <c r="Q1757" s="20">
        <f>IF($U1757="","",INDEX(상세표[07~18시],$U1757))</f>
        <v/>
      </c>
      <c r="R1757" s="20">
        <f>IF($U1757="","",INDEX(상세표[18~22시],$U1757))</f>
        <v/>
      </c>
      <c r="S1757" s="20">
        <f>IF($U1757="","",INDEX(상세표[22~06시],$U1757))</f>
        <v/>
      </c>
      <c r="T1757" s="20">
        <f>IF($U1757="","",INDEX(상세표[기록 시간외],$U1757))</f>
        <v/>
      </c>
      <c r="U1757" s="4">
        <f>IFERROR(MATCH(1752,상세표[발송순번],0),"")</f>
        <v/>
      </c>
    </row>
    <row r="1758">
      <c r="J1758">
        <f>IF($U1758="","",INDEX(상세표[사번],$U1758)&amp;"")</f>
        <v/>
      </c>
      <c r="K1758">
        <f>IF($U1758="","",INDEX(상세표[성명],$U1758)&amp;"")</f>
        <v/>
      </c>
      <c r="L1758">
        <f>IF($U1758="","",INDEX(상세표[직위],$U1758)&amp;"")</f>
        <v/>
      </c>
      <c r="M1758">
        <f>IF($U1758="","",IF(ISNUMBER(INDEX(상세표[근무일자],$U1758)),TEXT(INDEX(상세표[근무일자],$U1758),"yyyy-mm-dd"),INDEX(상세표[근무일자],$U1758)&amp;""))</f>
        <v/>
      </c>
      <c r="N1758">
        <f>IF($U1758="","",IF(ISNUMBER(INDEX(상세표[시작],$U1758)),TEXT(INDEX(상세표[시작],$U1758),"yyyy-mm-dd hh:mm"),INDEX(상세표[시작],$U1758)&amp;""))</f>
        <v/>
      </c>
      <c r="O1758">
        <f>IF($U1758="","",IF(ISNUMBER(INDEX(상세표[종료],$U1758)),TEXT(INDEX(상세표[종료],$U1758),"yyyy-mm-dd hh:mm"),INDEX(상세표[종료],$U1758)&amp;""))</f>
        <v/>
      </c>
      <c r="P1758" s="20">
        <f>IF($U1758="","",INDEX(상세표[06~07시],$U1758))</f>
        <v/>
      </c>
      <c r="Q1758" s="20">
        <f>IF($U1758="","",INDEX(상세표[07~18시],$U1758))</f>
        <v/>
      </c>
      <c r="R1758" s="20">
        <f>IF($U1758="","",INDEX(상세표[18~22시],$U1758))</f>
        <v/>
      </c>
      <c r="S1758" s="20">
        <f>IF($U1758="","",INDEX(상세표[22~06시],$U1758))</f>
        <v/>
      </c>
      <c r="T1758" s="20">
        <f>IF($U1758="","",INDEX(상세표[기록 시간외],$U1758))</f>
        <v/>
      </c>
      <c r="U1758" s="4">
        <f>IFERROR(MATCH(1753,상세표[발송순번],0),"")</f>
        <v/>
      </c>
    </row>
    <row r="1759">
      <c r="J1759">
        <f>IF($U1759="","",INDEX(상세표[사번],$U1759)&amp;"")</f>
        <v/>
      </c>
      <c r="K1759">
        <f>IF($U1759="","",INDEX(상세표[성명],$U1759)&amp;"")</f>
        <v/>
      </c>
      <c r="L1759">
        <f>IF($U1759="","",INDEX(상세표[직위],$U1759)&amp;"")</f>
        <v/>
      </c>
      <c r="M1759">
        <f>IF($U1759="","",IF(ISNUMBER(INDEX(상세표[근무일자],$U1759)),TEXT(INDEX(상세표[근무일자],$U1759),"yyyy-mm-dd"),INDEX(상세표[근무일자],$U1759)&amp;""))</f>
        <v/>
      </c>
      <c r="N1759">
        <f>IF($U1759="","",IF(ISNUMBER(INDEX(상세표[시작],$U1759)),TEXT(INDEX(상세표[시작],$U1759),"yyyy-mm-dd hh:mm"),INDEX(상세표[시작],$U1759)&amp;""))</f>
        <v/>
      </c>
      <c r="O1759">
        <f>IF($U1759="","",IF(ISNUMBER(INDEX(상세표[종료],$U1759)),TEXT(INDEX(상세표[종료],$U1759),"yyyy-mm-dd hh:mm"),INDEX(상세표[종료],$U1759)&amp;""))</f>
        <v/>
      </c>
      <c r="P1759" s="20">
        <f>IF($U1759="","",INDEX(상세표[06~07시],$U1759))</f>
        <v/>
      </c>
      <c r="Q1759" s="20">
        <f>IF($U1759="","",INDEX(상세표[07~18시],$U1759))</f>
        <v/>
      </c>
      <c r="R1759" s="20">
        <f>IF($U1759="","",INDEX(상세표[18~22시],$U1759))</f>
        <v/>
      </c>
      <c r="S1759" s="20">
        <f>IF($U1759="","",INDEX(상세표[22~06시],$U1759))</f>
        <v/>
      </c>
      <c r="T1759" s="20">
        <f>IF($U1759="","",INDEX(상세표[기록 시간외],$U1759))</f>
        <v/>
      </c>
      <c r="U1759" s="4">
        <f>IFERROR(MATCH(1754,상세표[발송순번],0),"")</f>
        <v/>
      </c>
    </row>
    <row r="1760">
      <c r="J1760">
        <f>IF($U1760="","",INDEX(상세표[사번],$U1760)&amp;"")</f>
        <v/>
      </c>
      <c r="K1760">
        <f>IF($U1760="","",INDEX(상세표[성명],$U1760)&amp;"")</f>
        <v/>
      </c>
      <c r="L1760">
        <f>IF($U1760="","",INDEX(상세표[직위],$U1760)&amp;"")</f>
        <v/>
      </c>
      <c r="M1760">
        <f>IF($U1760="","",IF(ISNUMBER(INDEX(상세표[근무일자],$U1760)),TEXT(INDEX(상세표[근무일자],$U1760),"yyyy-mm-dd"),INDEX(상세표[근무일자],$U1760)&amp;""))</f>
        <v/>
      </c>
      <c r="N1760">
        <f>IF($U1760="","",IF(ISNUMBER(INDEX(상세표[시작],$U1760)),TEXT(INDEX(상세표[시작],$U1760),"yyyy-mm-dd hh:mm"),INDEX(상세표[시작],$U1760)&amp;""))</f>
        <v/>
      </c>
      <c r="O1760">
        <f>IF($U1760="","",IF(ISNUMBER(INDEX(상세표[종료],$U1760)),TEXT(INDEX(상세표[종료],$U1760),"yyyy-mm-dd hh:mm"),INDEX(상세표[종료],$U1760)&amp;""))</f>
        <v/>
      </c>
      <c r="P1760" s="20">
        <f>IF($U1760="","",INDEX(상세표[06~07시],$U1760))</f>
        <v/>
      </c>
      <c r="Q1760" s="20">
        <f>IF($U1760="","",INDEX(상세표[07~18시],$U1760))</f>
        <v/>
      </c>
      <c r="R1760" s="20">
        <f>IF($U1760="","",INDEX(상세표[18~22시],$U1760))</f>
        <v/>
      </c>
      <c r="S1760" s="20">
        <f>IF($U1760="","",INDEX(상세표[22~06시],$U1760))</f>
        <v/>
      </c>
      <c r="T1760" s="20">
        <f>IF($U1760="","",INDEX(상세표[기록 시간외],$U1760))</f>
        <v/>
      </c>
      <c r="U1760" s="4">
        <f>IFERROR(MATCH(1755,상세표[발송순번],0),"")</f>
        <v/>
      </c>
    </row>
    <row r="1761">
      <c r="J1761">
        <f>IF($U1761="","",INDEX(상세표[사번],$U1761)&amp;"")</f>
        <v/>
      </c>
      <c r="K1761">
        <f>IF($U1761="","",INDEX(상세표[성명],$U1761)&amp;"")</f>
        <v/>
      </c>
      <c r="L1761">
        <f>IF($U1761="","",INDEX(상세표[직위],$U1761)&amp;"")</f>
        <v/>
      </c>
      <c r="M1761">
        <f>IF($U1761="","",IF(ISNUMBER(INDEX(상세표[근무일자],$U1761)),TEXT(INDEX(상세표[근무일자],$U1761),"yyyy-mm-dd"),INDEX(상세표[근무일자],$U1761)&amp;""))</f>
        <v/>
      </c>
      <c r="N1761">
        <f>IF($U1761="","",IF(ISNUMBER(INDEX(상세표[시작],$U1761)),TEXT(INDEX(상세표[시작],$U1761),"yyyy-mm-dd hh:mm"),INDEX(상세표[시작],$U1761)&amp;""))</f>
        <v/>
      </c>
      <c r="O1761">
        <f>IF($U1761="","",IF(ISNUMBER(INDEX(상세표[종료],$U1761)),TEXT(INDEX(상세표[종료],$U1761),"yyyy-mm-dd hh:mm"),INDEX(상세표[종료],$U1761)&amp;""))</f>
        <v/>
      </c>
      <c r="P1761" s="20">
        <f>IF($U1761="","",INDEX(상세표[06~07시],$U1761))</f>
        <v/>
      </c>
      <c r="Q1761" s="20">
        <f>IF($U1761="","",INDEX(상세표[07~18시],$U1761))</f>
        <v/>
      </c>
      <c r="R1761" s="20">
        <f>IF($U1761="","",INDEX(상세표[18~22시],$U1761))</f>
        <v/>
      </c>
      <c r="S1761" s="20">
        <f>IF($U1761="","",INDEX(상세표[22~06시],$U1761))</f>
        <v/>
      </c>
      <c r="T1761" s="20">
        <f>IF($U1761="","",INDEX(상세표[기록 시간외],$U1761))</f>
        <v/>
      </c>
      <c r="U1761" s="4">
        <f>IFERROR(MATCH(1756,상세표[발송순번],0),"")</f>
        <v/>
      </c>
    </row>
    <row r="1762">
      <c r="J1762">
        <f>IF($U1762="","",INDEX(상세표[사번],$U1762)&amp;"")</f>
        <v/>
      </c>
      <c r="K1762">
        <f>IF($U1762="","",INDEX(상세표[성명],$U1762)&amp;"")</f>
        <v/>
      </c>
      <c r="L1762">
        <f>IF($U1762="","",INDEX(상세표[직위],$U1762)&amp;"")</f>
        <v/>
      </c>
      <c r="M1762">
        <f>IF($U1762="","",IF(ISNUMBER(INDEX(상세표[근무일자],$U1762)),TEXT(INDEX(상세표[근무일자],$U1762),"yyyy-mm-dd"),INDEX(상세표[근무일자],$U1762)&amp;""))</f>
        <v/>
      </c>
      <c r="N1762">
        <f>IF($U1762="","",IF(ISNUMBER(INDEX(상세표[시작],$U1762)),TEXT(INDEX(상세표[시작],$U1762),"yyyy-mm-dd hh:mm"),INDEX(상세표[시작],$U1762)&amp;""))</f>
        <v/>
      </c>
      <c r="O1762">
        <f>IF($U1762="","",IF(ISNUMBER(INDEX(상세표[종료],$U1762)),TEXT(INDEX(상세표[종료],$U1762),"yyyy-mm-dd hh:mm"),INDEX(상세표[종료],$U1762)&amp;""))</f>
        <v/>
      </c>
      <c r="P1762" s="20">
        <f>IF($U1762="","",INDEX(상세표[06~07시],$U1762))</f>
        <v/>
      </c>
      <c r="Q1762" s="20">
        <f>IF($U1762="","",INDEX(상세표[07~18시],$U1762))</f>
        <v/>
      </c>
      <c r="R1762" s="20">
        <f>IF($U1762="","",INDEX(상세표[18~22시],$U1762))</f>
        <v/>
      </c>
      <c r="S1762" s="20">
        <f>IF($U1762="","",INDEX(상세표[22~06시],$U1762))</f>
        <v/>
      </c>
      <c r="T1762" s="20">
        <f>IF($U1762="","",INDEX(상세표[기록 시간외],$U1762))</f>
        <v/>
      </c>
      <c r="U1762" s="4">
        <f>IFERROR(MATCH(1757,상세표[발송순번],0),"")</f>
        <v/>
      </c>
    </row>
    <row r="1763">
      <c r="J1763">
        <f>IF($U1763="","",INDEX(상세표[사번],$U1763)&amp;"")</f>
        <v/>
      </c>
      <c r="K1763">
        <f>IF($U1763="","",INDEX(상세표[성명],$U1763)&amp;"")</f>
        <v/>
      </c>
      <c r="L1763">
        <f>IF($U1763="","",INDEX(상세표[직위],$U1763)&amp;"")</f>
        <v/>
      </c>
      <c r="M1763">
        <f>IF($U1763="","",IF(ISNUMBER(INDEX(상세표[근무일자],$U1763)),TEXT(INDEX(상세표[근무일자],$U1763),"yyyy-mm-dd"),INDEX(상세표[근무일자],$U1763)&amp;""))</f>
        <v/>
      </c>
      <c r="N1763">
        <f>IF($U1763="","",IF(ISNUMBER(INDEX(상세표[시작],$U1763)),TEXT(INDEX(상세표[시작],$U1763),"yyyy-mm-dd hh:mm"),INDEX(상세표[시작],$U1763)&amp;""))</f>
        <v/>
      </c>
      <c r="O1763">
        <f>IF($U1763="","",IF(ISNUMBER(INDEX(상세표[종료],$U1763)),TEXT(INDEX(상세표[종료],$U1763),"yyyy-mm-dd hh:mm"),INDEX(상세표[종료],$U1763)&amp;""))</f>
        <v/>
      </c>
      <c r="P1763" s="20">
        <f>IF($U1763="","",INDEX(상세표[06~07시],$U1763))</f>
        <v/>
      </c>
      <c r="Q1763" s="20">
        <f>IF($U1763="","",INDEX(상세표[07~18시],$U1763))</f>
        <v/>
      </c>
      <c r="R1763" s="20">
        <f>IF($U1763="","",INDEX(상세표[18~22시],$U1763))</f>
        <v/>
      </c>
      <c r="S1763" s="20">
        <f>IF($U1763="","",INDEX(상세표[22~06시],$U1763))</f>
        <v/>
      </c>
      <c r="T1763" s="20">
        <f>IF($U1763="","",INDEX(상세표[기록 시간외],$U1763))</f>
        <v/>
      </c>
      <c r="U1763" s="4">
        <f>IFERROR(MATCH(1758,상세표[발송순번],0),"")</f>
        <v/>
      </c>
    </row>
    <row r="1764">
      <c r="J1764">
        <f>IF($U1764="","",INDEX(상세표[사번],$U1764)&amp;"")</f>
        <v/>
      </c>
      <c r="K1764">
        <f>IF($U1764="","",INDEX(상세표[성명],$U1764)&amp;"")</f>
        <v/>
      </c>
      <c r="L1764">
        <f>IF($U1764="","",INDEX(상세표[직위],$U1764)&amp;"")</f>
        <v/>
      </c>
      <c r="M1764">
        <f>IF($U1764="","",IF(ISNUMBER(INDEX(상세표[근무일자],$U1764)),TEXT(INDEX(상세표[근무일자],$U1764),"yyyy-mm-dd"),INDEX(상세표[근무일자],$U1764)&amp;""))</f>
        <v/>
      </c>
      <c r="N1764">
        <f>IF($U1764="","",IF(ISNUMBER(INDEX(상세표[시작],$U1764)),TEXT(INDEX(상세표[시작],$U1764),"yyyy-mm-dd hh:mm"),INDEX(상세표[시작],$U1764)&amp;""))</f>
        <v/>
      </c>
      <c r="O1764">
        <f>IF($U1764="","",IF(ISNUMBER(INDEX(상세표[종료],$U1764)),TEXT(INDEX(상세표[종료],$U1764),"yyyy-mm-dd hh:mm"),INDEX(상세표[종료],$U1764)&amp;""))</f>
        <v/>
      </c>
      <c r="P1764" s="20">
        <f>IF($U1764="","",INDEX(상세표[06~07시],$U1764))</f>
        <v/>
      </c>
      <c r="Q1764" s="20">
        <f>IF($U1764="","",INDEX(상세표[07~18시],$U1764))</f>
        <v/>
      </c>
      <c r="R1764" s="20">
        <f>IF($U1764="","",INDEX(상세표[18~22시],$U1764))</f>
        <v/>
      </c>
      <c r="S1764" s="20">
        <f>IF($U1764="","",INDEX(상세표[22~06시],$U1764))</f>
        <v/>
      </c>
      <c r="T1764" s="20">
        <f>IF($U1764="","",INDEX(상세표[기록 시간외],$U1764))</f>
        <v/>
      </c>
      <c r="U1764" s="4">
        <f>IFERROR(MATCH(1759,상세표[발송순번],0),"")</f>
        <v/>
      </c>
    </row>
    <row r="1765">
      <c r="J1765">
        <f>IF($U1765="","",INDEX(상세표[사번],$U1765)&amp;"")</f>
        <v/>
      </c>
      <c r="K1765">
        <f>IF($U1765="","",INDEX(상세표[성명],$U1765)&amp;"")</f>
        <v/>
      </c>
      <c r="L1765">
        <f>IF($U1765="","",INDEX(상세표[직위],$U1765)&amp;"")</f>
        <v/>
      </c>
      <c r="M1765">
        <f>IF($U1765="","",IF(ISNUMBER(INDEX(상세표[근무일자],$U1765)),TEXT(INDEX(상세표[근무일자],$U1765),"yyyy-mm-dd"),INDEX(상세표[근무일자],$U1765)&amp;""))</f>
        <v/>
      </c>
      <c r="N1765">
        <f>IF($U1765="","",IF(ISNUMBER(INDEX(상세표[시작],$U1765)),TEXT(INDEX(상세표[시작],$U1765),"yyyy-mm-dd hh:mm"),INDEX(상세표[시작],$U1765)&amp;""))</f>
        <v/>
      </c>
      <c r="O1765">
        <f>IF($U1765="","",IF(ISNUMBER(INDEX(상세표[종료],$U1765)),TEXT(INDEX(상세표[종료],$U1765),"yyyy-mm-dd hh:mm"),INDEX(상세표[종료],$U1765)&amp;""))</f>
        <v/>
      </c>
      <c r="P1765" s="20">
        <f>IF($U1765="","",INDEX(상세표[06~07시],$U1765))</f>
        <v/>
      </c>
      <c r="Q1765" s="20">
        <f>IF($U1765="","",INDEX(상세표[07~18시],$U1765))</f>
        <v/>
      </c>
      <c r="R1765" s="20">
        <f>IF($U1765="","",INDEX(상세표[18~22시],$U1765))</f>
        <v/>
      </c>
      <c r="S1765" s="20">
        <f>IF($U1765="","",INDEX(상세표[22~06시],$U1765))</f>
        <v/>
      </c>
      <c r="T1765" s="20">
        <f>IF($U1765="","",INDEX(상세표[기록 시간외],$U1765))</f>
        <v/>
      </c>
      <c r="U1765" s="4">
        <f>IFERROR(MATCH(1760,상세표[발송순번],0),"")</f>
        <v/>
      </c>
    </row>
    <row r="1766">
      <c r="J1766">
        <f>IF($U1766="","",INDEX(상세표[사번],$U1766)&amp;"")</f>
        <v/>
      </c>
      <c r="K1766">
        <f>IF($U1766="","",INDEX(상세표[성명],$U1766)&amp;"")</f>
        <v/>
      </c>
      <c r="L1766">
        <f>IF($U1766="","",INDEX(상세표[직위],$U1766)&amp;"")</f>
        <v/>
      </c>
      <c r="M1766">
        <f>IF($U1766="","",IF(ISNUMBER(INDEX(상세표[근무일자],$U1766)),TEXT(INDEX(상세표[근무일자],$U1766),"yyyy-mm-dd"),INDEX(상세표[근무일자],$U1766)&amp;""))</f>
        <v/>
      </c>
      <c r="N1766">
        <f>IF($U1766="","",IF(ISNUMBER(INDEX(상세표[시작],$U1766)),TEXT(INDEX(상세표[시작],$U1766),"yyyy-mm-dd hh:mm"),INDEX(상세표[시작],$U1766)&amp;""))</f>
        <v/>
      </c>
      <c r="O1766">
        <f>IF($U1766="","",IF(ISNUMBER(INDEX(상세표[종료],$U1766)),TEXT(INDEX(상세표[종료],$U1766),"yyyy-mm-dd hh:mm"),INDEX(상세표[종료],$U1766)&amp;""))</f>
        <v/>
      </c>
      <c r="P1766" s="20">
        <f>IF($U1766="","",INDEX(상세표[06~07시],$U1766))</f>
        <v/>
      </c>
      <c r="Q1766" s="20">
        <f>IF($U1766="","",INDEX(상세표[07~18시],$U1766))</f>
        <v/>
      </c>
      <c r="R1766" s="20">
        <f>IF($U1766="","",INDEX(상세표[18~22시],$U1766))</f>
        <v/>
      </c>
      <c r="S1766" s="20">
        <f>IF($U1766="","",INDEX(상세표[22~06시],$U1766))</f>
        <v/>
      </c>
      <c r="T1766" s="20">
        <f>IF($U1766="","",INDEX(상세표[기록 시간외],$U1766))</f>
        <v/>
      </c>
      <c r="U1766" s="4">
        <f>IFERROR(MATCH(1761,상세표[발송순번],0),"")</f>
        <v/>
      </c>
    </row>
    <row r="1767">
      <c r="J1767">
        <f>IF($U1767="","",INDEX(상세표[사번],$U1767)&amp;"")</f>
        <v/>
      </c>
      <c r="K1767">
        <f>IF($U1767="","",INDEX(상세표[성명],$U1767)&amp;"")</f>
        <v/>
      </c>
      <c r="L1767">
        <f>IF($U1767="","",INDEX(상세표[직위],$U1767)&amp;"")</f>
        <v/>
      </c>
      <c r="M1767">
        <f>IF($U1767="","",IF(ISNUMBER(INDEX(상세표[근무일자],$U1767)),TEXT(INDEX(상세표[근무일자],$U1767),"yyyy-mm-dd"),INDEX(상세표[근무일자],$U1767)&amp;""))</f>
        <v/>
      </c>
      <c r="N1767">
        <f>IF($U1767="","",IF(ISNUMBER(INDEX(상세표[시작],$U1767)),TEXT(INDEX(상세표[시작],$U1767),"yyyy-mm-dd hh:mm"),INDEX(상세표[시작],$U1767)&amp;""))</f>
        <v/>
      </c>
      <c r="O1767">
        <f>IF($U1767="","",IF(ISNUMBER(INDEX(상세표[종료],$U1767)),TEXT(INDEX(상세표[종료],$U1767),"yyyy-mm-dd hh:mm"),INDEX(상세표[종료],$U1767)&amp;""))</f>
        <v/>
      </c>
      <c r="P1767" s="20">
        <f>IF($U1767="","",INDEX(상세표[06~07시],$U1767))</f>
        <v/>
      </c>
      <c r="Q1767" s="20">
        <f>IF($U1767="","",INDEX(상세표[07~18시],$U1767))</f>
        <v/>
      </c>
      <c r="R1767" s="20">
        <f>IF($U1767="","",INDEX(상세표[18~22시],$U1767))</f>
        <v/>
      </c>
      <c r="S1767" s="20">
        <f>IF($U1767="","",INDEX(상세표[22~06시],$U1767))</f>
        <v/>
      </c>
      <c r="T1767" s="20">
        <f>IF($U1767="","",INDEX(상세표[기록 시간외],$U1767))</f>
        <v/>
      </c>
      <c r="U1767" s="4">
        <f>IFERROR(MATCH(1762,상세표[발송순번],0),"")</f>
        <v/>
      </c>
    </row>
    <row r="1768">
      <c r="J1768">
        <f>IF($U1768="","",INDEX(상세표[사번],$U1768)&amp;"")</f>
        <v/>
      </c>
      <c r="K1768">
        <f>IF($U1768="","",INDEX(상세표[성명],$U1768)&amp;"")</f>
        <v/>
      </c>
      <c r="L1768">
        <f>IF($U1768="","",INDEX(상세표[직위],$U1768)&amp;"")</f>
        <v/>
      </c>
      <c r="M1768">
        <f>IF($U1768="","",IF(ISNUMBER(INDEX(상세표[근무일자],$U1768)),TEXT(INDEX(상세표[근무일자],$U1768),"yyyy-mm-dd"),INDEX(상세표[근무일자],$U1768)&amp;""))</f>
        <v/>
      </c>
      <c r="N1768">
        <f>IF($U1768="","",IF(ISNUMBER(INDEX(상세표[시작],$U1768)),TEXT(INDEX(상세표[시작],$U1768),"yyyy-mm-dd hh:mm"),INDEX(상세표[시작],$U1768)&amp;""))</f>
        <v/>
      </c>
      <c r="O1768">
        <f>IF($U1768="","",IF(ISNUMBER(INDEX(상세표[종료],$U1768)),TEXT(INDEX(상세표[종료],$U1768),"yyyy-mm-dd hh:mm"),INDEX(상세표[종료],$U1768)&amp;""))</f>
        <v/>
      </c>
      <c r="P1768" s="20">
        <f>IF($U1768="","",INDEX(상세표[06~07시],$U1768))</f>
        <v/>
      </c>
      <c r="Q1768" s="20">
        <f>IF($U1768="","",INDEX(상세표[07~18시],$U1768))</f>
        <v/>
      </c>
      <c r="R1768" s="20">
        <f>IF($U1768="","",INDEX(상세표[18~22시],$U1768))</f>
        <v/>
      </c>
      <c r="S1768" s="20">
        <f>IF($U1768="","",INDEX(상세표[22~06시],$U1768))</f>
        <v/>
      </c>
      <c r="T1768" s="20">
        <f>IF($U1768="","",INDEX(상세표[기록 시간외],$U1768))</f>
        <v/>
      </c>
      <c r="U1768" s="4">
        <f>IFERROR(MATCH(1763,상세표[발송순번],0),"")</f>
        <v/>
      </c>
    </row>
    <row r="1769">
      <c r="J1769">
        <f>IF($U1769="","",INDEX(상세표[사번],$U1769)&amp;"")</f>
        <v/>
      </c>
      <c r="K1769">
        <f>IF($U1769="","",INDEX(상세표[성명],$U1769)&amp;"")</f>
        <v/>
      </c>
      <c r="L1769">
        <f>IF($U1769="","",INDEX(상세표[직위],$U1769)&amp;"")</f>
        <v/>
      </c>
      <c r="M1769">
        <f>IF($U1769="","",IF(ISNUMBER(INDEX(상세표[근무일자],$U1769)),TEXT(INDEX(상세표[근무일자],$U1769),"yyyy-mm-dd"),INDEX(상세표[근무일자],$U1769)&amp;""))</f>
        <v/>
      </c>
      <c r="N1769">
        <f>IF($U1769="","",IF(ISNUMBER(INDEX(상세표[시작],$U1769)),TEXT(INDEX(상세표[시작],$U1769),"yyyy-mm-dd hh:mm"),INDEX(상세표[시작],$U1769)&amp;""))</f>
        <v/>
      </c>
      <c r="O1769">
        <f>IF($U1769="","",IF(ISNUMBER(INDEX(상세표[종료],$U1769)),TEXT(INDEX(상세표[종료],$U1769),"yyyy-mm-dd hh:mm"),INDEX(상세표[종료],$U1769)&amp;""))</f>
        <v/>
      </c>
      <c r="P1769" s="20">
        <f>IF($U1769="","",INDEX(상세표[06~07시],$U1769))</f>
        <v/>
      </c>
      <c r="Q1769" s="20">
        <f>IF($U1769="","",INDEX(상세표[07~18시],$U1769))</f>
        <v/>
      </c>
      <c r="R1769" s="20">
        <f>IF($U1769="","",INDEX(상세표[18~22시],$U1769))</f>
        <v/>
      </c>
      <c r="S1769" s="20">
        <f>IF($U1769="","",INDEX(상세표[22~06시],$U1769))</f>
        <v/>
      </c>
      <c r="T1769" s="20">
        <f>IF($U1769="","",INDEX(상세표[기록 시간외],$U1769))</f>
        <v/>
      </c>
      <c r="U1769" s="4">
        <f>IFERROR(MATCH(1764,상세표[발송순번],0),"")</f>
        <v/>
      </c>
    </row>
    <row r="1770">
      <c r="J1770">
        <f>IF($U1770="","",INDEX(상세표[사번],$U1770)&amp;"")</f>
        <v/>
      </c>
      <c r="K1770">
        <f>IF($U1770="","",INDEX(상세표[성명],$U1770)&amp;"")</f>
        <v/>
      </c>
      <c r="L1770">
        <f>IF($U1770="","",INDEX(상세표[직위],$U1770)&amp;"")</f>
        <v/>
      </c>
      <c r="M1770">
        <f>IF($U1770="","",IF(ISNUMBER(INDEX(상세표[근무일자],$U1770)),TEXT(INDEX(상세표[근무일자],$U1770),"yyyy-mm-dd"),INDEX(상세표[근무일자],$U1770)&amp;""))</f>
        <v/>
      </c>
      <c r="N1770">
        <f>IF($U1770="","",IF(ISNUMBER(INDEX(상세표[시작],$U1770)),TEXT(INDEX(상세표[시작],$U1770),"yyyy-mm-dd hh:mm"),INDEX(상세표[시작],$U1770)&amp;""))</f>
        <v/>
      </c>
      <c r="O1770">
        <f>IF($U1770="","",IF(ISNUMBER(INDEX(상세표[종료],$U1770)),TEXT(INDEX(상세표[종료],$U1770),"yyyy-mm-dd hh:mm"),INDEX(상세표[종료],$U1770)&amp;""))</f>
        <v/>
      </c>
      <c r="P1770" s="20">
        <f>IF($U1770="","",INDEX(상세표[06~07시],$U1770))</f>
        <v/>
      </c>
      <c r="Q1770" s="20">
        <f>IF($U1770="","",INDEX(상세표[07~18시],$U1770))</f>
        <v/>
      </c>
      <c r="R1770" s="20">
        <f>IF($U1770="","",INDEX(상세표[18~22시],$U1770))</f>
        <v/>
      </c>
      <c r="S1770" s="20">
        <f>IF($U1770="","",INDEX(상세표[22~06시],$U1770))</f>
        <v/>
      </c>
      <c r="T1770" s="20">
        <f>IF($U1770="","",INDEX(상세표[기록 시간외],$U1770))</f>
        <v/>
      </c>
      <c r="U1770" s="4">
        <f>IFERROR(MATCH(1765,상세표[발송순번],0),"")</f>
        <v/>
      </c>
    </row>
    <row r="1771">
      <c r="J1771">
        <f>IF($U1771="","",INDEX(상세표[사번],$U1771)&amp;"")</f>
        <v/>
      </c>
      <c r="K1771">
        <f>IF($U1771="","",INDEX(상세표[성명],$U1771)&amp;"")</f>
        <v/>
      </c>
      <c r="L1771">
        <f>IF($U1771="","",INDEX(상세표[직위],$U1771)&amp;"")</f>
        <v/>
      </c>
      <c r="M1771">
        <f>IF($U1771="","",IF(ISNUMBER(INDEX(상세표[근무일자],$U1771)),TEXT(INDEX(상세표[근무일자],$U1771),"yyyy-mm-dd"),INDEX(상세표[근무일자],$U1771)&amp;""))</f>
        <v/>
      </c>
      <c r="N1771">
        <f>IF($U1771="","",IF(ISNUMBER(INDEX(상세표[시작],$U1771)),TEXT(INDEX(상세표[시작],$U1771),"yyyy-mm-dd hh:mm"),INDEX(상세표[시작],$U1771)&amp;""))</f>
        <v/>
      </c>
      <c r="O1771">
        <f>IF($U1771="","",IF(ISNUMBER(INDEX(상세표[종료],$U1771)),TEXT(INDEX(상세표[종료],$U1771),"yyyy-mm-dd hh:mm"),INDEX(상세표[종료],$U1771)&amp;""))</f>
        <v/>
      </c>
      <c r="P1771" s="20">
        <f>IF($U1771="","",INDEX(상세표[06~07시],$U1771))</f>
        <v/>
      </c>
      <c r="Q1771" s="20">
        <f>IF($U1771="","",INDEX(상세표[07~18시],$U1771))</f>
        <v/>
      </c>
      <c r="R1771" s="20">
        <f>IF($U1771="","",INDEX(상세표[18~22시],$U1771))</f>
        <v/>
      </c>
      <c r="S1771" s="20">
        <f>IF($U1771="","",INDEX(상세표[22~06시],$U1771))</f>
        <v/>
      </c>
      <c r="T1771" s="20">
        <f>IF($U1771="","",INDEX(상세표[기록 시간외],$U1771))</f>
        <v/>
      </c>
      <c r="U1771" s="4">
        <f>IFERROR(MATCH(1766,상세표[발송순번],0),"")</f>
        <v/>
      </c>
    </row>
    <row r="1772">
      <c r="J1772">
        <f>IF($U1772="","",INDEX(상세표[사번],$U1772)&amp;"")</f>
        <v/>
      </c>
      <c r="K1772">
        <f>IF($U1772="","",INDEX(상세표[성명],$U1772)&amp;"")</f>
        <v/>
      </c>
      <c r="L1772">
        <f>IF($U1772="","",INDEX(상세표[직위],$U1772)&amp;"")</f>
        <v/>
      </c>
      <c r="M1772">
        <f>IF($U1772="","",IF(ISNUMBER(INDEX(상세표[근무일자],$U1772)),TEXT(INDEX(상세표[근무일자],$U1772),"yyyy-mm-dd"),INDEX(상세표[근무일자],$U1772)&amp;""))</f>
        <v/>
      </c>
      <c r="N1772">
        <f>IF($U1772="","",IF(ISNUMBER(INDEX(상세표[시작],$U1772)),TEXT(INDEX(상세표[시작],$U1772),"yyyy-mm-dd hh:mm"),INDEX(상세표[시작],$U1772)&amp;""))</f>
        <v/>
      </c>
      <c r="O1772">
        <f>IF($U1772="","",IF(ISNUMBER(INDEX(상세표[종료],$U1772)),TEXT(INDEX(상세표[종료],$U1772),"yyyy-mm-dd hh:mm"),INDEX(상세표[종료],$U1772)&amp;""))</f>
        <v/>
      </c>
      <c r="P1772" s="20">
        <f>IF($U1772="","",INDEX(상세표[06~07시],$U1772))</f>
        <v/>
      </c>
      <c r="Q1772" s="20">
        <f>IF($U1772="","",INDEX(상세표[07~18시],$U1772))</f>
        <v/>
      </c>
      <c r="R1772" s="20">
        <f>IF($U1772="","",INDEX(상세표[18~22시],$U1772))</f>
        <v/>
      </c>
      <c r="S1772" s="20">
        <f>IF($U1772="","",INDEX(상세표[22~06시],$U1772))</f>
        <v/>
      </c>
      <c r="T1772" s="20">
        <f>IF($U1772="","",INDEX(상세표[기록 시간외],$U1772))</f>
        <v/>
      </c>
      <c r="U1772" s="4">
        <f>IFERROR(MATCH(1767,상세표[발송순번],0),"")</f>
        <v/>
      </c>
    </row>
    <row r="1773">
      <c r="J1773">
        <f>IF($U1773="","",INDEX(상세표[사번],$U1773)&amp;"")</f>
        <v/>
      </c>
      <c r="K1773">
        <f>IF($U1773="","",INDEX(상세표[성명],$U1773)&amp;"")</f>
        <v/>
      </c>
      <c r="L1773">
        <f>IF($U1773="","",INDEX(상세표[직위],$U1773)&amp;"")</f>
        <v/>
      </c>
      <c r="M1773">
        <f>IF($U1773="","",IF(ISNUMBER(INDEX(상세표[근무일자],$U1773)),TEXT(INDEX(상세표[근무일자],$U1773),"yyyy-mm-dd"),INDEX(상세표[근무일자],$U1773)&amp;""))</f>
        <v/>
      </c>
      <c r="N1773">
        <f>IF($U1773="","",IF(ISNUMBER(INDEX(상세표[시작],$U1773)),TEXT(INDEX(상세표[시작],$U1773),"yyyy-mm-dd hh:mm"),INDEX(상세표[시작],$U1773)&amp;""))</f>
        <v/>
      </c>
      <c r="O1773">
        <f>IF($U1773="","",IF(ISNUMBER(INDEX(상세표[종료],$U1773)),TEXT(INDEX(상세표[종료],$U1773),"yyyy-mm-dd hh:mm"),INDEX(상세표[종료],$U1773)&amp;""))</f>
        <v/>
      </c>
      <c r="P1773" s="20">
        <f>IF($U1773="","",INDEX(상세표[06~07시],$U1773))</f>
        <v/>
      </c>
      <c r="Q1773" s="20">
        <f>IF($U1773="","",INDEX(상세표[07~18시],$U1773))</f>
        <v/>
      </c>
      <c r="R1773" s="20">
        <f>IF($U1773="","",INDEX(상세표[18~22시],$U1773))</f>
        <v/>
      </c>
      <c r="S1773" s="20">
        <f>IF($U1773="","",INDEX(상세표[22~06시],$U1773))</f>
        <v/>
      </c>
      <c r="T1773" s="20">
        <f>IF($U1773="","",INDEX(상세표[기록 시간외],$U1773))</f>
        <v/>
      </c>
      <c r="U1773" s="4">
        <f>IFERROR(MATCH(1768,상세표[발송순번],0),"")</f>
        <v/>
      </c>
    </row>
    <row r="1774">
      <c r="J1774">
        <f>IF($U1774="","",INDEX(상세표[사번],$U1774)&amp;"")</f>
        <v/>
      </c>
      <c r="K1774">
        <f>IF($U1774="","",INDEX(상세표[성명],$U1774)&amp;"")</f>
        <v/>
      </c>
      <c r="L1774">
        <f>IF($U1774="","",INDEX(상세표[직위],$U1774)&amp;"")</f>
        <v/>
      </c>
      <c r="M1774">
        <f>IF($U1774="","",IF(ISNUMBER(INDEX(상세표[근무일자],$U1774)),TEXT(INDEX(상세표[근무일자],$U1774),"yyyy-mm-dd"),INDEX(상세표[근무일자],$U1774)&amp;""))</f>
        <v/>
      </c>
      <c r="N1774">
        <f>IF($U1774="","",IF(ISNUMBER(INDEX(상세표[시작],$U1774)),TEXT(INDEX(상세표[시작],$U1774),"yyyy-mm-dd hh:mm"),INDEX(상세표[시작],$U1774)&amp;""))</f>
        <v/>
      </c>
      <c r="O1774">
        <f>IF($U1774="","",IF(ISNUMBER(INDEX(상세표[종료],$U1774)),TEXT(INDEX(상세표[종료],$U1774),"yyyy-mm-dd hh:mm"),INDEX(상세표[종료],$U1774)&amp;""))</f>
        <v/>
      </c>
      <c r="P1774" s="20">
        <f>IF($U1774="","",INDEX(상세표[06~07시],$U1774))</f>
        <v/>
      </c>
      <c r="Q1774" s="20">
        <f>IF($U1774="","",INDEX(상세표[07~18시],$U1774))</f>
        <v/>
      </c>
      <c r="R1774" s="20">
        <f>IF($U1774="","",INDEX(상세표[18~22시],$U1774))</f>
        <v/>
      </c>
      <c r="S1774" s="20">
        <f>IF($U1774="","",INDEX(상세표[22~06시],$U1774))</f>
        <v/>
      </c>
      <c r="T1774" s="20">
        <f>IF($U1774="","",INDEX(상세표[기록 시간외],$U1774))</f>
        <v/>
      </c>
      <c r="U1774" s="4">
        <f>IFERROR(MATCH(1769,상세표[발송순번],0),"")</f>
        <v/>
      </c>
    </row>
    <row r="1775">
      <c r="J1775">
        <f>IF($U1775="","",INDEX(상세표[사번],$U1775)&amp;"")</f>
        <v/>
      </c>
      <c r="K1775">
        <f>IF($U1775="","",INDEX(상세표[성명],$U1775)&amp;"")</f>
        <v/>
      </c>
      <c r="L1775">
        <f>IF($U1775="","",INDEX(상세표[직위],$U1775)&amp;"")</f>
        <v/>
      </c>
      <c r="M1775">
        <f>IF($U1775="","",IF(ISNUMBER(INDEX(상세표[근무일자],$U1775)),TEXT(INDEX(상세표[근무일자],$U1775),"yyyy-mm-dd"),INDEX(상세표[근무일자],$U1775)&amp;""))</f>
        <v/>
      </c>
      <c r="N1775">
        <f>IF($U1775="","",IF(ISNUMBER(INDEX(상세표[시작],$U1775)),TEXT(INDEX(상세표[시작],$U1775),"yyyy-mm-dd hh:mm"),INDEX(상세표[시작],$U1775)&amp;""))</f>
        <v/>
      </c>
      <c r="O1775">
        <f>IF($U1775="","",IF(ISNUMBER(INDEX(상세표[종료],$U1775)),TEXT(INDEX(상세표[종료],$U1775),"yyyy-mm-dd hh:mm"),INDEX(상세표[종료],$U1775)&amp;""))</f>
        <v/>
      </c>
      <c r="P1775" s="20">
        <f>IF($U1775="","",INDEX(상세표[06~07시],$U1775))</f>
        <v/>
      </c>
      <c r="Q1775" s="20">
        <f>IF($U1775="","",INDEX(상세표[07~18시],$U1775))</f>
        <v/>
      </c>
      <c r="R1775" s="20">
        <f>IF($U1775="","",INDEX(상세표[18~22시],$U1775))</f>
        <v/>
      </c>
      <c r="S1775" s="20">
        <f>IF($U1775="","",INDEX(상세표[22~06시],$U1775))</f>
        <v/>
      </c>
      <c r="T1775" s="20">
        <f>IF($U1775="","",INDEX(상세표[기록 시간외],$U1775))</f>
        <v/>
      </c>
      <c r="U1775" s="4">
        <f>IFERROR(MATCH(1770,상세표[발송순번],0),"")</f>
        <v/>
      </c>
    </row>
    <row r="1776">
      <c r="J1776">
        <f>IF($U1776="","",INDEX(상세표[사번],$U1776)&amp;"")</f>
        <v/>
      </c>
      <c r="K1776">
        <f>IF($U1776="","",INDEX(상세표[성명],$U1776)&amp;"")</f>
        <v/>
      </c>
      <c r="L1776">
        <f>IF($U1776="","",INDEX(상세표[직위],$U1776)&amp;"")</f>
        <v/>
      </c>
      <c r="M1776">
        <f>IF($U1776="","",IF(ISNUMBER(INDEX(상세표[근무일자],$U1776)),TEXT(INDEX(상세표[근무일자],$U1776),"yyyy-mm-dd"),INDEX(상세표[근무일자],$U1776)&amp;""))</f>
        <v/>
      </c>
      <c r="N1776">
        <f>IF($U1776="","",IF(ISNUMBER(INDEX(상세표[시작],$U1776)),TEXT(INDEX(상세표[시작],$U1776),"yyyy-mm-dd hh:mm"),INDEX(상세표[시작],$U1776)&amp;""))</f>
        <v/>
      </c>
      <c r="O1776">
        <f>IF($U1776="","",IF(ISNUMBER(INDEX(상세표[종료],$U1776)),TEXT(INDEX(상세표[종료],$U1776),"yyyy-mm-dd hh:mm"),INDEX(상세표[종료],$U1776)&amp;""))</f>
        <v/>
      </c>
      <c r="P1776" s="20">
        <f>IF($U1776="","",INDEX(상세표[06~07시],$U1776))</f>
        <v/>
      </c>
      <c r="Q1776" s="20">
        <f>IF($U1776="","",INDEX(상세표[07~18시],$U1776))</f>
        <v/>
      </c>
      <c r="R1776" s="20">
        <f>IF($U1776="","",INDEX(상세표[18~22시],$U1776))</f>
        <v/>
      </c>
      <c r="S1776" s="20">
        <f>IF($U1776="","",INDEX(상세표[22~06시],$U1776))</f>
        <v/>
      </c>
      <c r="T1776" s="20">
        <f>IF($U1776="","",INDEX(상세표[기록 시간외],$U1776))</f>
        <v/>
      </c>
      <c r="U1776" s="4">
        <f>IFERROR(MATCH(1771,상세표[발송순번],0),"")</f>
        <v/>
      </c>
    </row>
    <row r="1777">
      <c r="J1777">
        <f>IF($U1777="","",INDEX(상세표[사번],$U1777)&amp;"")</f>
        <v/>
      </c>
      <c r="K1777">
        <f>IF($U1777="","",INDEX(상세표[성명],$U1777)&amp;"")</f>
        <v/>
      </c>
      <c r="L1777">
        <f>IF($U1777="","",INDEX(상세표[직위],$U1777)&amp;"")</f>
        <v/>
      </c>
      <c r="M1777">
        <f>IF($U1777="","",IF(ISNUMBER(INDEX(상세표[근무일자],$U1777)),TEXT(INDEX(상세표[근무일자],$U1777),"yyyy-mm-dd"),INDEX(상세표[근무일자],$U1777)&amp;""))</f>
        <v/>
      </c>
      <c r="N1777">
        <f>IF($U1777="","",IF(ISNUMBER(INDEX(상세표[시작],$U1777)),TEXT(INDEX(상세표[시작],$U1777),"yyyy-mm-dd hh:mm"),INDEX(상세표[시작],$U1777)&amp;""))</f>
        <v/>
      </c>
      <c r="O1777">
        <f>IF($U1777="","",IF(ISNUMBER(INDEX(상세표[종료],$U1777)),TEXT(INDEX(상세표[종료],$U1777),"yyyy-mm-dd hh:mm"),INDEX(상세표[종료],$U1777)&amp;""))</f>
        <v/>
      </c>
      <c r="P1777" s="20">
        <f>IF($U1777="","",INDEX(상세표[06~07시],$U1777))</f>
        <v/>
      </c>
      <c r="Q1777" s="20">
        <f>IF($U1777="","",INDEX(상세표[07~18시],$U1777))</f>
        <v/>
      </c>
      <c r="R1777" s="20">
        <f>IF($U1777="","",INDEX(상세표[18~22시],$U1777))</f>
        <v/>
      </c>
      <c r="S1777" s="20">
        <f>IF($U1777="","",INDEX(상세표[22~06시],$U1777))</f>
        <v/>
      </c>
      <c r="T1777" s="20">
        <f>IF($U1777="","",INDEX(상세표[기록 시간외],$U1777))</f>
        <v/>
      </c>
      <c r="U1777" s="4">
        <f>IFERROR(MATCH(1772,상세표[발송순번],0),"")</f>
        <v/>
      </c>
    </row>
    <row r="1778">
      <c r="J1778">
        <f>IF($U1778="","",INDEX(상세표[사번],$U1778)&amp;"")</f>
        <v/>
      </c>
      <c r="K1778">
        <f>IF($U1778="","",INDEX(상세표[성명],$U1778)&amp;"")</f>
        <v/>
      </c>
      <c r="L1778">
        <f>IF($U1778="","",INDEX(상세표[직위],$U1778)&amp;"")</f>
        <v/>
      </c>
      <c r="M1778">
        <f>IF($U1778="","",IF(ISNUMBER(INDEX(상세표[근무일자],$U1778)),TEXT(INDEX(상세표[근무일자],$U1778),"yyyy-mm-dd"),INDEX(상세표[근무일자],$U1778)&amp;""))</f>
        <v/>
      </c>
      <c r="N1778">
        <f>IF($U1778="","",IF(ISNUMBER(INDEX(상세표[시작],$U1778)),TEXT(INDEX(상세표[시작],$U1778),"yyyy-mm-dd hh:mm"),INDEX(상세표[시작],$U1778)&amp;""))</f>
        <v/>
      </c>
      <c r="O1778">
        <f>IF($U1778="","",IF(ISNUMBER(INDEX(상세표[종료],$U1778)),TEXT(INDEX(상세표[종료],$U1778),"yyyy-mm-dd hh:mm"),INDEX(상세표[종료],$U1778)&amp;""))</f>
        <v/>
      </c>
      <c r="P1778" s="20">
        <f>IF($U1778="","",INDEX(상세표[06~07시],$U1778))</f>
        <v/>
      </c>
      <c r="Q1778" s="20">
        <f>IF($U1778="","",INDEX(상세표[07~18시],$U1778))</f>
        <v/>
      </c>
      <c r="R1778" s="20">
        <f>IF($U1778="","",INDEX(상세표[18~22시],$U1778))</f>
        <v/>
      </c>
      <c r="S1778" s="20">
        <f>IF($U1778="","",INDEX(상세표[22~06시],$U1778))</f>
        <v/>
      </c>
      <c r="T1778" s="20">
        <f>IF($U1778="","",INDEX(상세표[기록 시간외],$U1778))</f>
        <v/>
      </c>
      <c r="U1778" s="4">
        <f>IFERROR(MATCH(1773,상세표[발송순번],0),"")</f>
        <v/>
      </c>
    </row>
    <row r="1779">
      <c r="J1779">
        <f>IF($U1779="","",INDEX(상세표[사번],$U1779)&amp;"")</f>
        <v/>
      </c>
      <c r="K1779">
        <f>IF($U1779="","",INDEX(상세표[성명],$U1779)&amp;"")</f>
        <v/>
      </c>
      <c r="L1779">
        <f>IF($U1779="","",INDEX(상세표[직위],$U1779)&amp;"")</f>
        <v/>
      </c>
      <c r="M1779">
        <f>IF($U1779="","",IF(ISNUMBER(INDEX(상세표[근무일자],$U1779)),TEXT(INDEX(상세표[근무일자],$U1779),"yyyy-mm-dd"),INDEX(상세표[근무일자],$U1779)&amp;""))</f>
        <v/>
      </c>
      <c r="N1779">
        <f>IF($U1779="","",IF(ISNUMBER(INDEX(상세표[시작],$U1779)),TEXT(INDEX(상세표[시작],$U1779),"yyyy-mm-dd hh:mm"),INDEX(상세표[시작],$U1779)&amp;""))</f>
        <v/>
      </c>
      <c r="O1779">
        <f>IF($U1779="","",IF(ISNUMBER(INDEX(상세표[종료],$U1779)),TEXT(INDEX(상세표[종료],$U1779),"yyyy-mm-dd hh:mm"),INDEX(상세표[종료],$U1779)&amp;""))</f>
        <v/>
      </c>
      <c r="P1779" s="20">
        <f>IF($U1779="","",INDEX(상세표[06~07시],$U1779))</f>
        <v/>
      </c>
      <c r="Q1779" s="20">
        <f>IF($U1779="","",INDEX(상세표[07~18시],$U1779))</f>
        <v/>
      </c>
      <c r="R1779" s="20">
        <f>IF($U1779="","",INDEX(상세표[18~22시],$U1779))</f>
        <v/>
      </c>
      <c r="S1779" s="20">
        <f>IF($U1779="","",INDEX(상세표[22~06시],$U1779))</f>
        <v/>
      </c>
      <c r="T1779" s="20">
        <f>IF($U1779="","",INDEX(상세표[기록 시간외],$U1779))</f>
        <v/>
      </c>
      <c r="U1779" s="4">
        <f>IFERROR(MATCH(1774,상세표[발송순번],0),"")</f>
        <v/>
      </c>
    </row>
    <row r="1780">
      <c r="J1780">
        <f>IF($U1780="","",INDEX(상세표[사번],$U1780)&amp;"")</f>
        <v/>
      </c>
      <c r="K1780">
        <f>IF($U1780="","",INDEX(상세표[성명],$U1780)&amp;"")</f>
        <v/>
      </c>
      <c r="L1780">
        <f>IF($U1780="","",INDEX(상세표[직위],$U1780)&amp;"")</f>
        <v/>
      </c>
      <c r="M1780">
        <f>IF($U1780="","",IF(ISNUMBER(INDEX(상세표[근무일자],$U1780)),TEXT(INDEX(상세표[근무일자],$U1780),"yyyy-mm-dd"),INDEX(상세표[근무일자],$U1780)&amp;""))</f>
        <v/>
      </c>
      <c r="N1780">
        <f>IF($U1780="","",IF(ISNUMBER(INDEX(상세표[시작],$U1780)),TEXT(INDEX(상세표[시작],$U1780),"yyyy-mm-dd hh:mm"),INDEX(상세표[시작],$U1780)&amp;""))</f>
        <v/>
      </c>
      <c r="O1780">
        <f>IF($U1780="","",IF(ISNUMBER(INDEX(상세표[종료],$U1780)),TEXT(INDEX(상세표[종료],$U1780),"yyyy-mm-dd hh:mm"),INDEX(상세표[종료],$U1780)&amp;""))</f>
        <v/>
      </c>
      <c r="P1780" s="20">
        <f>IF($U1780="","",INDEX(상세표[06~07시],$U1780))</f>
        <v/>
      </c>
      <c r="Q1780" s="20">
        <f>IF($U1780="","",INDEX(상세표[07~18시],$U1780))</f>
        <v/>
      </c>
      <c r="R1780" s="20">
        <f>IF($U1780="","",INDEX(상세표[18~22시],$U1780))</f>
        <v/>
      </c>
      <c r="S1780" s="20">
        <f>IF($U1780="","",INDEX(상세표[22~06시],$U1780))</f>
        <v/>
      </c>
      <c r="T1780" s="20">
        <f>IF($U1780="","",INDEX(상세표[기록 시간외],$U1780))</f>
        <v/>
      </c>
      <c r="U1780" s="4">
        <f>IFERROR(MATCH(1775,상세표[발송순번],0),"")</f>
        <v/>
      </c>
    </row>
    <row r="1781">
      <c r="J1781">
        <f>IF($U1781="","",INDEX(상세표[사번],$U1781)&amp;"")</f>
        <v/>
      </c>
      <c r="K1781">
        <f>IF($U1781="","",INDEX(상세표[성명],$U1781)&amp;"")</f>
        <v/>
      </c>
      <c r="L1781">
        <f>IF($U1781="","",INDEX(상세표[직위],$U1781)&amp;"")</f>
        <v/>
      </c>
      <c r="M1781">
        <f>IF($U1781="","",IF(ISNUMBER(INDEX(상세표[근무일자],$U1781)),TEXT(INDEX(상세표[근무일자],$U1781),"yyyy-mm-dd"),INDEX(상세표[근무일자],$U1781)&amp;""))</f>
        <v/>
      </c>
      <c r="N1781">
        <f>IF($U1781="","",IF(ISNUMBER(INDEX(상세표[시작],$U1781)),TEXT(INDEX(상세표[시작],$U1781),"yyyy-mm-dd hh:mm"),INDEX(상세표[시작],$U1781)&amp;""))</f>
        <v/>
      </c>
      <c r="O1781">
        <f>IF($U1781="","",IF(ISNUMBER(INDEX(상세표[종료],$U1781)),TEXT(INDEX(상세표[종료],$U1781),"yyyy-mm-dd hh:mm"),INDEX(상세표[종료],$U1781)&amp;""))</f>
        <v/>
      </c>
      <c r="P1781" s="20">
        <f>IF($U1781="","",INDEX(상세표[06~07시],$U1781))</f>
        <v/>
      </c>
      <c r="Q1781" s="20">
        <f>IF($U1781="","",INDEX(상세표[07~18시],$U1781))</f>
        <v/>
      </c>
      <c r="R1781" s="20">
        <f>IF($U1781="","",INDEX(상세표[18~22시],$U1781))</f>
        <v/>
      </c>
      <c r="S1781" s="20">
        <f>IF($U1781="","",INDEX(상세표[22~06시],$U1781))</f>
        <v/>
      </c>
      <c r="T1781" s="20">
        <f>IF($U1781="","",INDEX(상세표[기록 시간외],$U1781))</f>
        <v/>
      </c>
      <c r="U1781" s="4">
        <f>IFERROR(MATCH(1776,상세표[발송순번],0),"")</f>
        <v/>
      </c>
    </row>
    <row r="1782">
      <c r="J1782">
        <f>IF($U1782="","",INDEX(상세표[사번],$U1782)&amp;"")</f>
        <v/>
      </c>
      <c r="K1782">
        <f>IF($U1782="","",INDEX(상세표[성명],$U1782)&amp;"")</f>
        <v/>
      </c>
      <c r="L1782">
        <f>IF($U1782="","",INDEX(상세표[직위],$U1782)&amp;"")</f>
        <v/>
      </c>
      <c r="M1782">
        <f>IF($U1782="","",IF(ISNUMBER(INDEX(상세표[근무일자],$U1782)),TEXT(INDEX(상세표[근무일자],$U1782),"yyyy-mm-dd"),INDEX(상세표[근무일자],$U1782)&amp;""))</f>
        <v/>
      </c>
      <c r="N1782">
        <f>IF($U1782="","",IF(ISNUMBER(INDEX(상세표[시작],$U1782)),TEXT(INDEX(상세표[시작],$U1782),"yyyy-mm-dd hh:mm"),INDEX(상세표[시작],$U1782)&amp;""))</f>
        <v/>
      </c>
      <c r="O1782">
        <f>IF($U1782="","",IF(ISNUMBER(INDEX(상세표[종료],$U1782)),TEXT(INDEX(상세표[종료],$U1782),"yyyy-mm-dd hh:mm"),INDEX(상세표[종료],$U1782)&amp;""))</f>
        <v/>
      </c>
      <c r="P1782" s="20">
        <f>IF($U1782="","",INDEX(상세표[06~07시],$U1782))</f>
        <v/>
      </c>
      <c r="Q1782" s="20">
        <f>IF($U1782="","",INDEX(상세표[07~18시],$U1782))</f>
        <v/>
      </c>
      <c r="R1782" s="20">
        <f>IF($U1782="","",INDEX(상세표[18~22시],$U1782))</f>
        <v/>
      </c>
      <c r="S1782" s="20">
        <f>IF($U1782="","",INDEX(상세표[22~06시],$U1782))</f>
        <v/>
      </c>
      <c r="T1782" s="20">
        <f>IF($U1782="","",INDEX(상세표[기록 시간외],$U1782))</f>
        <v/>
      </c>
      <c r="U1782" s="4">
        <f>IFERROR(MATCH(1777,상세표[발송순번],0),"")</f>
        <v/>
      </c>
    </row>
    <row r="1783">
      <c r="J1783">
        <f>IF($U1783="","",INDEX(상세표[사번],$U1783)&amp;"")</f>
        <v/>
      </c>
      <c r="K1783">
        <f>IF($U1783="","",INDEX(상세표[성명],$U1783)&amp;"")</f>
        <v/>
      </c>
      <c r="L1783">
        <f>IF($U1783="","",INDEX(상세표[직위],$U1783)&amp;"")</f>
        <v/>
      </c>
      <c r="M1783">
        <f>IF($U1783="","",IF(ISNUMBER(INDEX(상세표[근무일자],$U1783)),TEXT(INDEX(상세표[근무일자],$U1783),"yyyy-mm-dd"),INDEX(상세표[근무일자],$U1783)&amp;""))</f>
        <v/>
      </c>
      <c r="N1783">
        <f>IF($U1783="","",IF(ISNUMBER(INDEX(상세표[시작],$U1783)),TEXT(INDEX(상세표[시작],$U1783),"yyyy-mm-dd hh:mm"),INDEX(상세표[시작],$U1783)&amp;""))</f>
        <v/>
      </c>
      <c r="O1783">
        <f>IF($U1783="","",IF(ISNUMBER(INDEX(상세표[종료],$U1783)),TEXT(INDEX(상세표[종료],$U1783),"yyyy-mm-dd hh:mm"),INDEX(상세표[종료],$U1783)&amp;""))</f>
        <v/>
      </c>
      <c r="P1783" s="20">
        <f>IF($U1783="","",INDEX(상세표[06~07시],$U1783))</f>
        <v/>
      </c>
      <c r="Q1783" s="20">
        <f>IF($U1783="","",INDEX(상세표[07~18시],$U1783))</f>
        <v/>
      </c>
      <c r="R1783" s="20">
        <f>IF($U1783="","",INDEX(상세표[18~22시],$U1783))</f>
        <v/>
      </c>
      <c r="S1783" s="20">
        <f>IF($U1783="","",INDEX(상세표[22~06시],$U1783))</f>
        <v/>
      </c>
      <c r="T1783" s="20">
        <f>IF($U1783="","",INDEX(상세표[기록 시간외],$U1783))</f>
        <v/>
      </c>
      <c r="U1783" s="4">
        <f>IFERROR(MATCH(1778,상세표[발송순번],0),"")</f>
        <v/>
      </c>
    </row>
    <row r="1784">
      <c r="J1784">
        <f>IF($U1784="","",INDEX(상세표[사번],$U1784)&amp;"")</f>
        <v/>
      </c>
      <c r="K1784">
        <f>IF($U1784="","",INDEX(상세표[성명],$U1784)&amp;"")</f>
        <v/>
      </c>
      <c r="L1784">
        <f>IF($U1784="","",INDEX(상세표[직위],$U1784)&amp;"")</f>
        <v/>
      </c>
      <c r="M1784">
        <f>IF($U1784="","",IF(ISNUMBER(INDEX(상세표[근무일자],$U1784)),TEXT(INDEX(상세표[근무일자],$U1784),"yyyy-mm-dd"),INDEX(상세표[근무일자],$U1784)&amp;""))</f>
        <v/>
      </c>
      <c r="N1784">
        <f>IF($U1784="","",IF(ISNUMBER(INDEX(상세표[시작],$U1784)),TEXT(INDEX(상세표[시작],$U1784),"yyyy-mm-dd hh:mm"),INDEX(상세표[시작],$U1784)&amp;""))</f>
        <v/>
      </c>
      <c r="O1784">
        <f>IF($U1784="","",IF(ISNUMBER(INDEX(상세표[종료],$U1784)),TEXT(INDEX(상세표[종료],$U1784),"yyyy-mm-dd hh:mm"),INDEX(상세표[종료],$U1784)&amp;""))</f>
        <v/>
      </c>
      <c r="P1784" s="20">
        <f>IF($U1784="","",INDEX(상세표[06~07시],$U1784))</f>
        <v/>
      </c>
      <c r="Q1784" s="20">
        <f>IF($U1784="","",INDEX(상세표[07~18시],$U1784))</f>
        <v/>
      </c>
      <c r="R1784" s="20">
        <f>IF($U1784="","",INDEX(상세표[18~22시],$U1784))</f>
        <v/>
      </c>
      <c r="S1784" s="20">
        <f>IF($U1784="","",INDEX(상세표[22~06시],$U1784))</f>
        <v/>
      </c>
      <c r="T1784" s="20">
        <f>IF($U1784="","",INDEX(상세표[기록 시간외],$U1784))</f>
        <v/>
      </c>
      <c r="U1784" s="4">
        <f>IFERROR(MATCH(1779,상세표[발송순번],0),"")</f>
        <v/>
      </c>
    </row>
    <row r="1785">
      <c r="J1785">
        <f>IF($U1785="","",INDEX(상세표[사번],$U1785)&amp;"")</f>
        <v/>
      </c>
      <c r="K1785">
        <f>IF($U1785="","",INDEX(상세표[성명],$U1785)&amp;"")</f>
        <v/>
      </c>
      <c r="L1785">
        <f>IF($U1785="","",INDEX(상세표[직위],$U1785)&amp;"")</f>
        <v/>
      </c>
      <c r="M1785">
        <f>IF($U1785="","",IF(ISNUMBER(INDEX(상세표[근무일자],$U1785)),TEXT(INDEX(상세표[근무일자],$U1785),"yyyy-mm-dd"),INDEX(상세표[근무일자],$U1785)&amp;""))</f>
        <v/>
      </c>
      <c r="N1785">
        <f>IF($U1785="","",IF(ISNUMBER(INDEX(상세표[시작],$U1785)),TEXT(INDEX(상세표[시작],$U1785),"yyyy-mm-dd hh:mm"),INDEX(상세표[시작],$U1785)&amp;""))</f>
        <v/>
      </c>
      <c r="O1785">
        <f>IF($U1785="","",IF(ISNUMBER(INDEX(상세표[종료],$U1785)),TEXT(INDEX(상세표[종료],$U1785),"yyyy-mm-dd hh:mm"),INDEX(상세표[종료],$U1785)&amp;""))</f>
        <v/>
      </c>
      <c r="P1785" s="20">
        <f>IF($U1785="","",INDEX(상세표[06~07시],$U1785))</f>
        <v/>
      </c>
      <c r="Q1785" s="20">
        <f>IF($U1785="","",INDEX(상세표[07~18시],$U1785))</f>
        <v/>
      </c>
      <c r="R1785" s="20">
        <f>IF($U1785="","",INDEX(상세표[18~22시],$U1785))</f>
        <v/>
      </c>
      <c r="S1785" s="20">
        <f>IF($U1785="","",INDEX(상세표[22~06시],$U1785))</f>
        <v/>
      </c>
      <c r="T1785" s="20">
        <f>IF($U1785="","",INDEX(상세표[기록 시간외],$U1785))</f>
        <v/>
      </c>
      <c r="U1785" s="4">
        <f>IFERROR(MATCH(1780,상세표[발송순번],0),"")</f>
        <v/>
      </c>
    </row>
    <row r="1786">
      <c r="J1786">
        <f>IF($U1786="","",INDEX(상세표[사번],$U1786)&amp;"")</f>
        <v/>
      </c>
      <c r="K1786">
        <f>IF($U1786="","",INDEX(상세표[성명],$U1786)&amp;"")</f>
        <v/>
      </c>
      <c r="L1786">
        <f>IF($U1786="","",INDEX(상세표[직위],$U1786)&amp;"")</f>
        <v/>
      </c>
      <c r="M1786">
        <f>IF($U1786="","",IF(ISNUMBER(INDEX(상세표[근무일자],$U1786)),TEXT(INDEX(상세표[근무일자],$U1786),"yyyy-mm-dd"),INDEX(상세표[근무일자],$U1786)&amp;""))</f>
        <v/>
      </c>
      <c r="N1786">
        <f>IF($U1786="","",IF(ISNUMBER(INDEX(상세표[시작],$U1786)),TEXT(INDEX(상세표[시작],$U1786),"yyyy-mm-dd hh:mm"),INDEX(상세표[시작],$U1786)&amp;""))</f>
        <v/>
      </c>
      <c r="O1786">
        <f>IF($U1786="","",IF(ISNUMBER(INDEX(상세표[종료],$U1786)),TEXT(INDEX(상세표[종료],$U1786),"yyyy-mm-dd hh:mm"),INDEX(상세표[종료],$U1786)&amp;""))</f>
        <v/>
      </c>
      <c r="P1786" s="20">
        <f>IF($U1786="","",INDEX(상세표[06~07시],$U1786))</f>
        <v/>
      </c>
      <c r="Q1786" s="20">
        <f>IF($U1786="","",INDEX(상세표[07~18시],$U1786))</f>
        <v/>
      </c>
      <c r="R1786" s="20">
        <f>IF($U1786="","",INDEX(상세표[18~22시],$U1786))</f>
        <v/>
      </c>
      <c r="S1786" s="20">
        <f>IF($U1786="","",INDEX(상세표[22~06시],$U1786))</f>
        <v/>
      </c>
      <c r="T1786" s="20">
        <f>IF($U1786="","",INDEX(상세표[기록 시간외],$U1786))</f>
        <v/>
      </c>
      <c r="U1786" s="4">
        <f>IFERROR(MATCH(1781,상세표[발송순번],0),"")</f>
        <v/>
      </c>
    </row>
    <row r="1787">
      <c r="J1787">
        <f>IF($U1787="","",INDEX(상세표[사번],$U1787)&amp;"")</f>
        <v/>
      </c>
      <c r="K1787">
        <f>IF($U1787="","",INDEX(상세표[성명],$U1787)&amp;"")</f>
        <v/>
      </c>
      <c r="L1787">
        <f>IF($U1787="","",INDEX(상세표[직위],$U1787)&amp;"")</f>
        <v/>
      </c>
      <c r="M1787">
        <f>IF($U1787="","",IF(ISNUMBER(INDEX(상세표[근무일자],$U1787)),TEXT(INDEX(상세표[근무일자],$U1787),"yyyy-mm-dd"),INDEX(상세표[근무일자],$U1787)&amp;""))</f>
        <v/>
      </c>
      <c r="N1787">
        <f>IF($U1787="","",IF(ISNUMBER(INDEX(상세표[시작],$U1787)),TEXT(INDEX(상세표[시작],$U1787),"yyyy-mm-dd hh:mm"),INDEX(상세표[시작],$U1787)&amp;""))</f>
        <v/>
      </c>
      <c r="O1787">
        <f>IF($U1787="","",IF(ISNUMBER(INDEX(상세표[종료],$U1787)),TEXT(INDEX(상세표[종료],$U1787),"yyyy-mm-dd hh:mm"),INDEX(상세표[종료],$U1787)&amp;""))</f>
        <v/>
      </c>
      <c r="P1787" s="20">
        <f>IF($U1787="","",INDEX(상세표[06~07시],$U1787))</f>
        <v/>
      </c>
      <c r="Q1787" s="20">
        <f>IF($U1787="","",INDEX(상세표[07~18시],$U1787))</f>
        <v/>
      </c>
      <c r="R1787" s="20">
        <f>IF($U1787="","",INDEX(상세표[18~22시],$U1787))</f>
        <v/>
      </c>
      <c r="S1787" s="20">
        <f>IF($U1787="","",INDEX(상세표[22~06시],$U1787))</f>
        <v/>
      </c>
      <c r="T1787" s="20">
        <f>IF($U1787="","",INDEX(상세표[기록 시간외],$U1787))</f>
        <v/>
      </c>
      <c r="U1787" s="4">
        <f>IFERROR(MATCH(1782,상세표[발송순번],0),"")</f>
        <v/>
      </c>
    </row>
    <row r="1788">
      <c r="J1788">
        <f>IF($U1788="","",INDEX(상세표[사번],$U1788)&amp;"")</f>
        <v/>
      </c>
      <c r="K1788">
        <f>IF($U1788="","",INDEX(상세표[성명],$U1788)&amp;"")</f>
        <v/>
      </c>
      <c r="L1788">
        <f>IF($U1788="","",INDEX(상세표[직위],$U1788)&amp;"")</f>
        <v/>
      </c>
      <c r="M1788">
        <f>IF($U1788="","",IF(ISNUMBER(INDEX(상세표[근무일자],$U1788)),TEXT(INDEX(상세표[근무일자],$U1788),"yyyy-mm-dd"),INDEX(상세표[근무일자],$U1788)&amp;""))</f>
        <v/>
      </c>
      <c r="N1788">
        <f>IF($U1788="","",IF(ISNUMBER(INDEX(상세표[시작],$U1788)),TEXT(INDEX(상세표[시작],$U1788),"yyyy-mm-dd hh:mm"),INDEX(상세표[시작],$U1788)&amp;""))</f>
        <v/>
      </c>
      <c r="O1788">
        <f>IF($U1788="","",IF(ISNUMBER(INDEX(상세표[종료],$U1788)),TEXT(INDEX(상세표[종료],$U1788),"yyyy-mm-dd hh:mm"),INDEX(상세표[종료],$U1788)&amp;""))</f>
        <v/>
      </c>
      <c r="P1788" s="20">
        <f>IF($U1788="","",INDEX(상세표[06~07시],$U1788))</f>
        <v/>
      </c>
      <c r="Q1788" s="20">
        <f>IF($U1788="","",INDEX(상세표[07~18시],$U1788))</f>
        <v/>
      </c>
      <c r="R1788" s="20">
        <f>IF($U1788="","",INDEX(상세표[18~22시],$U1788))</f>
        <v/>
      </c>
      <c r="S1788" s="20">
        <f>IF($U1788="","",INDEX(상세표[22~06시],$U1788))</f>
        <v/>
      </c>
      <c r="T1788" s="20">
        <f>IF($U1788="","",INDEX(상세표[기록 시간외],$U1788))</f>
        <v/>
      </c>
      <c r="U1788" s="4">
        <f>IFERROR(MATCH(1783,상세표[발송순번],0),"")</f>
        <v/>
      </c>
    </row>
    <row r="1789">
      <c r="J1789">
        <f>IF($U1789="","",INDEX(상세표[사번],$U1789)&amp;"")</f>
        <v/>
      </c>
      <c r="K1789">
        <f>IF($U1789="","",INDEX(상세표[성명],$U1789)&amp;"")</f>
        <v/>
      </c>
      <c r="L1789">
        <f>IF($U1789="","",INDEX(상세표[직위],$U1789)&amp;"")</f>
        <v/>
      </c>
      <c r="M1789">
        <f>IF($U1789="","",IF(ISNUMBER(INDEX(상세표[근무일자],$U1789)),TEXT(INDEX(상세표[근무일자],$U1789),"yyyy-mm-dd"),INDEX(상세표[근무일자],$U1789)&amp;""))</f>
        <v/>
      </c>
      <c r="N1789">
        <f>IF($U1789="","",IF(ISNUMBER(INDEX(상세표[시작],$U1789)),TEXT(INDEX(상세표[시작],$U1789),"yyyy-mm-dd hh:mm"),INDEX(상세표[시작],$U1789)&amp;""))</f>
        <v/>
      </c>
      <c r="O1789">
        <f>IF($U1789="","",IF(ISNUMBER(INDEX(상세표[종료],$U1789)),TEXT(INDEX(상세표[종료],$U1789),"yyyy-mm-dd hh:mm"),INDEX(상세표[종료],$U1789)&amp;""))</f>
        <v/>
      </c>
      <c r="P1789" s="20">
        <f>IF($U1789="","",INDEX(상세표[06~07시],$U1789))</f>
        <v/>
      </c>
      <c r="Q1789" s="20">
        <f>IF($U1789="","",INDEX(상세표[07~18시],$U1789))</f>
        <v/>
      </c>
      <c r="R1789" s="20">
        <f>IF($U1789="","",INDEX(상세표[18~22시],$U1789))</f>
        <v/>
      </c>
      <c r="S1789" s="20">
        <f>IF($U1789="","",INDEX(상세표[22~06시],$U1789))</f>
        <v/>
      </c>
      <c r="T1789" s="20">
        <f>IF($U1789="","",INDEX(상세표[기록 시간외],$U1789))</f>
        <v/>
      </c>
      <c r="U1789" s="4">
        <f>IFERROR(MATCH(1784,상세표[발송순번],0),"")</f>
        <v/>
      </c>
    </row>
    <row r="1790">
      <c r="J1790">
        <f>IF($U1790="","",INDEX(상세표[사번],$U1790)&amp;"")</f>
        <v/>
      </c>
      <c r="K1790">
        <f>IF($U1790="","",INDEX(상세표[성명],$U1790)&amp;"")</f>
        <v/>
      </c>
      <c r="L1790">
        <f>IF($U1790="","",INDEX(상세표[직위],$U1790)&amp;"")</f>
        <v/>
      </c>
      <c r="M1790">
        <f>IF($U1790="","",IF(ISNUMBER(INDEX(상세표[근무일자],$U1790)),TEXT(INDEX(상세표[근무일자],$U1790),"yyyy-mm-dd"),INDEX(상세표[근무일자],$U1790)&amp;""))</f>
        <v/>
      </c>
      <c r="N1790">
        <f>IF($U1790="","",IF(ISNUMBER(INDEX(상세표[시작],$U1790)),TEXT(INDEX(상세표[시작],$U1790),"yyyy-mm-dd hh:mm"),INDEX(상세표[시작],$U1790)&amp;""))</f>
        <v/>
      </c>
      <c r="O1790">
        <f>IF($U1790="","",IF(ISNUMBER(INDEX(상세표[종료],$U1790)),TEXT(INDEX(상세표[종료],$U1790),"yyyy-mm-dd hh:mm"),INDEX(상세표[종료],$U1790)&amp;""))</f>
        <v/>
      </c>
      <c r="P1790" s="20">
        <f>IF($U1790="","",INDEX(상세표[06~07시],$U1790))</f>
        <v/>
      </c>
      <c r="Q1790" s="20">
        <f>IF($U1790="","",INDEX(상세표[07~18시],$U1790))</f>
        <v/>
      </c>
      <c r="R1790" s="20">
        <f>IF($U1790="","",INDEX(상세표[18~22시],$U1790))</f>
        <v/>
      </c>
      <c r="S1790" s="20">
        <f>IF($U1790="","",INDEX(상세표[22~06시],$U1790))</f>
        <v/>
      </c>
      <c r="T1790" s="20">
        <f>IF($U1790="","",INDEX(상세표[기록 시간외],$U1790))</f>
        <v/>
      </c>
      <c r="U1790" s="4">
        <f>IFERROR(MATCH(1785,상세표[발송순번],0),"")</f>
        <v/>
      </c>
    </row>
    <row r="1791">
      <c r="J1791">
        <f>IF($U1791="","",INDEX(상세표[사번],$U1791)&amp;"")</f>
        <v/>
      </c>
      <c r="K1791">
        <f>IF($U1791="","",INDEX(상세표[성명],$U1791)&amp;"")</f>
        <v/>
      </c>
      <c r="L1791">
        <f>IF($U1791="","",INDEX(상세표[직위],$U1791)&amp;"")</f>
        <v/>
      </c>
      <c r="M1791">
        <f>IF($U1791="","",IF(ISNUMBER(INDEX(상세표[근무일자],$U1791)),TEXT(INDEX(상세표[근무일자],$U1791),"yyyy-mm-dd"),INDEX(상세표[근무일자],$U1791)&amp;""))</f>
        <v/>
      </c>
      <c r="N1791">
        <f>IF($U1791="","",IF(ISNUMBER(INDEX(상세표[시작],$U1791)),TEXT(INDEX(상세표[시작],$U1791),"yyyy-mm-dd hh:mm"),INDEX(상세표[시작],$U1791)&amp;""))</f>
        <v/>
      </c>
      <c r="O1791">
        <f>IF($U1791="","",IF(ISNUMBER(INDEX(상세표[종료],$U1791)),TEXT(INDEX(상세표[종료],$U1791),"yyyy-mm-dd hh:mm"),INDEX(상세표[종료],$U1791)&amp;""))</f>
        <v/>
      </c>
      <c r="P1791" s="20">
        <f>IF($U1791="","",INDEX(상세표[06~07시],$U1791))</f>
        <v/>
      </c>
      <c r="Q1791" s="20">
        <f>IF($U1791="","",INDEX(상세표[07~18시],$U1791))</f>
        <v/>
      </c>
      <c r="R1791" s="20">
        <f>IF($U1791="","",INDEX(상세표[18~22시],$U1791))</f>
        <v/>
      </c>
      <c r="S1791" s="20">
        <f>IF($U1791="","",INDEX(상세표[22~06시],$U1791))</f>
        <v/>
      </c>
      <c r="T1791" s="20">
        <f>IF($U1791="","",INDEX(상세표[기록 시간외],$U1791))</f>
        <v/>
      </c>
      <c r="U1791" s="4">
        <f>IFERROR(MATCH(1786,상세표[발송순번],0),"")</f>
        <v/>
      </c>
    </row>
    <row r="1792">
      <c r="J1792">
        <f>IF($U1792="","",INDEX(상세표[사번],$U1792)&amp;"")</f>
        <v/>
      </c>
      <c r="K1792">
        <f>IF($U1792="","",INDEX(상세표[성명],$U1792)&amp;"")</f>
        <v/>
      </c>
      <c r="L1792">
        <f>IF($U1792="","",INDEX(상세표[직위],$U1792)&amp;"")</f>
        <v/>
      </c>
      <c r="M1792">
        <f>IF($U1792="","",IF(ISNUMBER(INDEX(상세표[근무일자],$U1792)),TEXT(INDEX(상세표[근무일자],$U1792),"yyyy-mm-dd"),INDEX(상세표[근무일자],$U1792)&amp;""))</f>
        <v/>
      </c>
      <c r="N1792">
        <f>IF($U1792="","",IF(ISNUMBER(INDEX(상세표[시작],$U1792)),TEXT(INDEX(상세표[시작],$U1792),"yyyy-mm-dd hh:mm"),INDEX(상세표[시작],$U1792)&amp;""))</f>
        <v/>
      </c>
      <c r="O1792">
        <f>IF($U1792="","",IF(ISNUMBER(INDEX(상세표[종료],$U1792)),TEXT(INDEX(상세표[종료],$U1792),"yyyy-mm-dd hh:mm"),INDEX(상세표[종료],$U1792)&amp;""))</f>
        <v/>
      </c>
      <c r="P1792" s="20">
        <f>IF($U1792="","",INDEX(상세표[06~07시],$U1792))</f>
        <v/>
      </c>
      <c r="Q1792" s="20">
        <f>IF($U1792="","",INDEX(상세표[07~18시],$U1792))</f>
        <v/>
      </c>
      <c r="R1792" s="20">
        <f>IF($U1792="","",INDEX(상세표[18~22시],$U1792))</f>
        <v/>
      </c>
      <c r="S1792" s="20">
        <f>IF($U1792="","",INDEX(상세표[22~06시],$U1792))</f>
        <v/>
      </c>
      <c r="T1792" s="20">
        <f>IF($U1792="","",INDEX(상세표[기록 시간외],$U1792))</f>
        <v/>
      </c>
      <c r="U1792" s="4">
        <f>IFERROR(MATCH(1787,상세표[발송순번],0),"")</f>
        <v/>
      </c>
    </row>
    <row r="1793">
      <c r="J1793">
        <f>IF($U1793="","",INDEX(상세표[사번],$U1793)&amp;"")</f>
        <v/>
      </c>
      <c r="K1793">
        <f>IF($U1793="","",INDEX(상세표[성명],$U1793)&amp;"")</f>
        <v/>
      </c>
      <c r="L1793">
        <f>IF($U1793="","",INDEX(상세표[직위],$U1793)&amp;"")</f>
        <v/>
      </c>
      <c r="M1793">
        <f>IF($U1793="","",IF(ISNUMBER(INDEX(상세표[근무일자],$U1793)),TEXT(INDEX(상세표[근무일자],$U1793),"yyyy-mm-dd"),INDEX(상세표[근무일자],$U1793)&amp;""))</f>
        <v/>
      </c>
      <c r="N1793">
        <f>IF($U1793="","",IF(ISNUMBER(INDEX(상세표[시작],$U1793)),TEXT(INDEX(상세표[시작],$U1793),"yyyy-mm-dd hh:mm"),INDEX(상세표[시작],$U1793)&amp;""))</f>
        <v/>
      </c>
      <c r="O1793">
        <f>IF($U1793="","",IF(ISNUMBER(INDEX(상세표[종료],$U1793)),TEXT(INDEX(상세표[종료],$U1793),"yyyy-mm-dd hh:mm"),INDEX(상세표[종료],$U1793)&amp;""))</f>
        <v/>
      </c>
      <c r="P1793" s="20">
        <f>IF($U1793="","",INDEX(상세표[06~07시],$U1793))</f>
        <v/>
      </c>
      <c r="Q1793" s="20">
        <f>IF($U1793="","",INDEX(상세표[07~18시],$U1793))</f>
        <v/>
      </c>
      <c r="R1793" s="20">
        <f>IF($U1793="","",INDEX(상세표[18~22시],$U1793))</f>
        <v/>
      </c>
      <c r="S1793" s="20">
        <f>IF($U1793="","",INDEX(상세표[22~06시],$U1793))</f>
        <v/>
      </c>
      <c r="T1793" s="20">
        <f>IF($U1793="","",INDEX(상세표[기록 시간외],$U1793))</f>
        <v/>
      </c>
      <c r="U1793" s="4">
        <f>IFERROR(MATCH(1788,상세표[발송순번],0),"")</f>
        <v/>
      </c>
    </row>
    <row r="1794">
      <c r="J1794">
        <f>IF($U1794="","",INDEX(상세표[사번],$U1794)&amp;"")</f>
        <v/>
      </c>
      <c r="K1794">
        <f>IF($U1794="","",INDEX(상세표[성명],$U1794)&amp;"")</f>
        <v/>
      </c>
      <c r="L1794">
        <f>IF($U1794="","",INDEX(상세표[직위],$U1794)&amp;"")</f>
        <v/>
      </c>
      <c r="M1794">
        <f>IF($U1794="","",IF(ISNUMBER(INDEX(상세표[근무일자],$U1794)),TEXT(INDEX(상세표[근무일자],$U1794),"yyyy-mm-dd"),INDEX(상세표[근무일자],$U1794)&amp;""))</f>
        <v/>
      </c>
      <c r="N1794">
        <f>IF($U1794="","",IF(ISNUMBER(INDEX(상세표[시작],$U1794)),TEXT(INDEX(상세표[시작],$U1794),"yyyy-mm-dd hh:mm"),INDEX(상세표[시작],$U1794)&amp;""))</f>
        <v/>
      </c>
      <c r="O1794">
        <f>IF($U1794="","",IF(ISNUMBER(INDEX(상세표[종료],$U1794)),TEXT(INDEX(상세표[종료],$U1794),"yyyy-mm-dd hh:mm"),INDEX(상세표[종료],$U1794)&amp;""))</f>
        <v/>
      </c>
      <c r="P1794" s="20">
        <f>IF($U1794="","",INDEX(상세표[06~07시],$U1794))</f>
        <v/>
      </c>
      <c r="Q1794" s="20">
        <f>IF($U1794="","",INDEX(상세표[07~18시],$U1794))</f>
        <v/>
      </c>
      <c r="R1794" s="20">
        <f>IF($U1794="","",INDEX(상세표[18~22시],$U1794))</f>
        <v/>
      </c>
      <c r="S1794" s="20">
        <f>IF($U1794="","",INDEX(상세표[22~06시],$U1794))</f>
        <v/>
      </c>
      <c r="T1794" s="20">
        <f>IF($U1794="","",INDEX(상세표[기록 시간외],$U1794))</f>
        <v/>
      </c>
      <c r="U1794" s="4">
        <f>IFERROR(MATCH(1789,상세표[발송순번],0),"")</f>
        <v/>
      </c>
    </row>
    <row r="1795">
      <c r="J1795">
        <f>IF($U1795="","",INDEX(상세표[사번],$U1795)&amp;"")</f>
        <v/>
      </c>
      <c r="K1795">
        <f>IF($U1795="","",INDEX(상세표[성명],$U1795)&amp;"")</f>
        <v/>
      </c>
      <c r="L1795">
        <f>IF($U1795="","",INDEX(상세표[직위],$U1795)&amp;"")</f>
        <v/>
      </c>
      <c r="M1795">
        <f>IF($U1795="","",IF(ISNUMBER(INDEX(상세표[근무일자],$U1795)),TEXT(INDEX(상세표[근무일자],$U1795),"yyyy-mm-dd"),INDEX(상세표[근무일자],$U1795)&amp;""))</f>
        <v/>
      </c>
      <c r="N1795">
        <f>IF($U1795="","",IF(ISNUMBER(INDEX(상세표[시작],$U1795)),TEXT(INDEX(상세표[시작],$U1795),"yyyy-mm-dd hh:mm"),INDEX(상세표[시작],$U1795)&amp;""))</f>
        <v/>
      </c>
      <c r="O1795">
        <f>IF($U1795="","",IF(ISNUMBER(INDEX(상세표[종료],$U1795)),TEXT(INDEX(상세표[종료],$U1795),"yyyy-mm-dd hh:mm"),INDEX(상세표[종료],$U1795)&amp;""))</f>
        <v/>
      </c>
      <c r="P1795" s="20">
        <f>IF($U1795="","",INDEX(상세표[06~07시],$U1795))</f>
        <v/>
      </c>
      <c r="Q1795" s="20">
        <f>IF($U1795="","",INDEX(상세표[07~18시],$U1795))</f>
        <v/>
      </c>
      <c r="R1795" s="20">
        <f>IF($U1795="","",INDEX(상세표[18~22시],$U1795))</f>
        <v/>
      </c>
      <c r="S1795" s="20">
        <f>IF($U1795="","",INDEX(상세표[22~06시],$U1795))</f>
        <v/>
      </c>
      <c r="T1795" s="20">
        <f>IF($U1795="","",INDEX(상세표[기록 시간외],$U1795))</f>
        <v/>
      </c>
      <c r="U1795" s="4">
        <f>IFERROR(MATCH(1790,상세표[발송순번],0),"")</f>
        <v/>
      </c>
    </row>
    <row r="1796">
      <c r="J1796">
        <f>IF($U1796="","",INDEX(상세표[사번],$U1796)&amp;"")</f>
        <v/>
      </c>
      <c r="K1796">
        <f>IF($U1796="","",INDEX(상세표[성명],$U1796)&amp;"")</f>
        <v/>
      </c>
      <c r="L1796">
        <f>IF($U1796="","",INDEX(상세표[직위],$U1796)&amp;"")</f>
        <v/>
      </c>
      <c r="M1796">
        <f>IF($U1796="","",IF(ISNUMBER(INDEX(상세표[근무일자],$U1796)),TEXT(INDEX(상세표[근무일자],$U1796),"yyyy-mm-dd"),INDEX(상세표[근무일자],$U1796)&amp;""))</f>
        <v/>
      </c>
      <c r="N1796">
        <f>IF($U1796="","",IF(ISNUMBER(INDEX(상세표[시작],$U1796)),TEXT(INDEX(상세표[시작],$U1796),"yyyy-mm-dd hh:mm"),INDEX(상세표[시작],$U1796)&amp;""))</f>
        <v/>
      </c>
      <c r="O1796">
        <f>IF($U1796="","",IF(ISNUMBER(INDEX(상세표[종료],$U1796)),TEXT(INDEX(상세표[종료],$U1796),"yyyy-mm-dd hh:mm"),INDEX(상세표[종료],$U1796)&amp;""))</f>
        <v/>
      </c>
      <c r="P1796" s="20">
        <f>IF($U1796="","",INDEX(상세표[06~07시],$U1796))</f>
        <v/>
      </c>
      <c r="Q1796" s="20">
        <f>IF($U1796="","",INDEX(상세표[07~18시],$U1796))</f>
        <v/>
      </c>
      <c r="R1796" s="20">
        <f>IF($U1796="","",INDEX(상세표[18~22시],$U1796))</f>
        <v/>
      </c>
      <c r="S1796" s="20">
        <f>IF($U1796="","",INDEX(상세표[22~06시],$U1796))</f>
        <v/>
      </c>
      <c r="T1796" s="20">
        <f>IF($U1796="","",INDEX(상세표[기록 시간외],$U1796))</f>
        <v/>
      </c>
      <c r="U1796" s="4">
        <f>IFERROR(MATCH(1791,상세표[발송순번],0),"")</f>
        <v/>
      </c>
    </row>
    <row r="1797">
      <c r="J1797">
        <f>IF($U1797="","",INDEX(상세표[사번],$U1797)&amp;"")</f>
        <v/>
      </c>
      <c r="K1797">
        <f>IF($U1797="","",INDEX(상세표[성명],$U1797)&amp;"")</f>
        <v/>
      </c>
      <c r="L1797">
        <f>IF($U1797="","",INDEX(상세표[직위],$U1797)&amp;"")</f>
        <v/>
      </c>
      <c r="M1797">
        <f>IF($U1797="","",IF(ISNUMBER(INDEX(상세표[근무일자],$U1797)),TEXT(INDEX(상세표[근무일자],$U1797),"yyyy-mm-dd"),INDEX(상세표[근무일자],$U1797)&amp;""))</f>
        <v/>
      </c>
      <c r="N1797">
        <f>IF($U1797="","",IF(ISNUMBER(INDEX(상세표[시작],$U1797)),TEXT(INDEX(상세표[시작],$U1797),"yyyy-mm-dd hh:mm"),INDEX(상세표[시작],$U1797)&amp;""))</f>
        <v/>
      </c>
      <c r="O1797">
        <f>IF($U1797="","",IF(ISNUMBER(INDEX(상세표[종료],$U1797)),TEXT(INDEX(상세표[종료],$U1797),"yyyy-mm-dd hh:mm"),INDEX(상세표[종료],$U1797)&amp;""))</f>
        <v/>
      </c>
      <c r="P1797" s="20">
        <f>IF($U1797="","",INDEX(상세표[06~07시],$U1797))</f>
        <v/>
      </c>
      <c r="Q1797" s="20">
        <f>IF($U1797="","",INDEX(상세표[07~18시],$U1797))</f>
        <v/>
      </c>
      <c r="R1797" s="20">
        <f>IF($U1797="","",INDEX(상세표[18~22시],$U1797))</f>
        <v/>
      </c>
      <c r="S1797" s="20">
        <f>IF($U1797="","",INDEX(상세표[22~06시],$U1797))</f>
        <v/>
      </c>
      <c r="T1797" s="20">
        <f>IF($U1797="","",INDEX(상세표[기록 시간외],$U1797))</f>
        <v/>
      </c>
      <c r="U1797" s="4">
        <f>IFERROR(MATCH(1792,상세표[발송순번],0),"")</f>
        <v/>
      </c>
    </row>
    <row r="1798">
      <c r="J1798">
        <f>IF($U1798="","",INDEX(상세표[사번],$U1798)&amp;"")</f>
        <v/>
      </c>
      <c r="K1798">
        <f>IF($U1798="","",INDEX(상세표[성명],$U1798)&amp;"")</f>
        <v/>
      </c>
      <c r="L1798">
        <f>IF($U1798="","",INDEX(상세표[직위],$U1798)&amp;"")</f>
        <v/>
      </c>
      <c r="M1798">
        <f>IF($U1798="","",IF(ISNUMBER(INDEX(상세표[근무일자],$U1798)),TEXT(INDEX(상세표[근무일자],$U1798),"yyyy-mm-dd"),INDEX(상세표[근무일자],$U1798)&amp;""))</f>
        <v/>
      </c>
      <c r="N1798">
        <f>IF($U1798="","",IF(ISNUMBER(INDEX(상세표[시작],$U1798)),TEXT(INDEX(상세표[시작],$U1798),"yyyy-mm-dd hh:mm"),INDEX(상세표[시작],$U1798)&amp;""))</f>
        <v/>
      </c>
      <c r="O1798">
        <f>IF($U1798="","",IF(ISNUMBER(INDEX(상세표[종료],$U1798)),TEXT(INDEX(상세표[종료],$U1798),"yyyy-mm-dd hh:mm"),INDEX(상세표[종료],$U1798)&amp;""))</f>
        <v/>
      </c>
      <c r="P1798" s="20">
        <f>IF($U1798="","",INDEX(상세표[06~07시],$U1798))</f>
        <v/>
      </c>
      <c r="Q1798" s="20">
        <f>IF($U1798="","",INDEX(상세표[07~18시],$U1798))</f>
        <v/>
      </c>
      <c r="R1798" s="20">
        <f>IF($U1798="","",INDEX(상세표[18~22시],$U1798))</f>
        <v/>
      </c>
      <c r="S1798" s="20">
        <f>IF($U1798="","",INDEX(상세표[22~06시],$U1798))</f>
        <v/>
      </c>
      <c r="T1798" s="20">
        <f>IF($U1798="","",INDEX(상세표[기록 시간외],$U1798))</f>
        <v/>
      </c>
      <c r="U1798" s="4">
        <f>IFERROR(MATCH(1793,상세표[발송순번],0),"")</f>
        <v/>
      </c>
    </row>
    <row r="1799">
      <c r="J1799">
        <f>IF($U1799="","",INDEX(상세표[사번],$U1799)&amp;"")</f>
        <v/>
      </c>
      <c r="K1799">
        <f>IF($U1799="","",INDEX(상세표[성명],$U1799)&amp;"")</f>
        <v/>
      </c>
      <c r="L1799">
        <f>IF($U1799="","",INDEX(상세표[직위],$U1799)&amp;"")</f>
        <v/>
      </c>
      <c r="M1799">
        <f>IF($U1799="","",IF(ISNUMBER(INDEX(상세표[근무일자],$U1799)),TEXT(INDEX(상세표[근무일자],$U1799),"yyyy-mm-dd"),INDEX(상세표[근무일자],$U1799)&amp;""))</f>
        <v/>
      </c>
      <c r="N1799">
        <f>IF($U1799="","",IF(ISNUMBER(INDEX(상세표[시작],$U1799)),TEXT(INDEX(상세표[시작],$U1799),"yyyy-mm-dd hh:mm"),INDEX(상세표[시작],$U1799)&amp;""))</f>
        <v/>
      </c>
      <c r="O1799">
        <f>IF($U1799="","",IF(ISNUMBER(INDEX(상세표[종료],$U1799)),TEXT(INDEX(상세표[종료],$U1799),"yyyy-mm-dd hh:mm"),INDEX(상세표[종료],$U1799)&amp;""))</f>
        <v/>
      </c>
      <c r="P1799" s="20">
        <f>IF($U1799="","",INDEX(상세표[06~07시],$U1799))</f>
        <v/>
      </c>
      <c r="Q1799" s="20">
        <f>IF($U1799="","",INDEX(상세표[07~18시],$U1799))</f>
        <v/>
      </c>
      <c r="R1799" s="20">
        <f>IF($U1799="","",INDEX(상세표[18~22시],$U1799))</f>
        <v/>
      </c>
      <c r="S1799" s="20">
        <f>IF($U1799="","",INDEX(상세표[22~06시],$U1799))</f>
        <v/>
      </c>
      <c r="T1799" s="20">
        <f>IF($U1799="","",INDEX(상세표[기록 시간외],$U1799))</f>
        <v/>
      </c>
      <c r="U1799" s="4">
        <f>IFERROR(MATCH(1794,상세표[발송순번],0),"")</f>
        <v/>
      </c>
    </row>
    <row r="1800">
      <c r="J1800">
        <f>IF($U1800="","",INDEX(상세표[사번],$U1800)&amp;"")</f>
        <v/>
      </c>
      <c r="K1800">
        <f>IF($U1800="","",INDEX(상세표[성명],$U1800)&amp;"")</f>
        <v/>
      </c>
      <c r="L1800">
        <f>IF($U1800="","",INDEX(상세표[직위],$U1800)&amp;"")</f>
        <v/>
      </c>
      <c r="M1800">
        <f>IF($U1800="","",IF(ISNUMBER(INDEX(상세표[근무일자],$U1800)),TEXT(INDEX(상세표[근무일자],$U1800),"yyyy-mm-dd"),INDEX(상세표[근무일자],$U1800)&amp;""))</f>
        <v/>
      </c>
      <c r="N1800">
        <f>IF($U1800="","",IF(ISNUMBER(INDEX(상세표[시작],$U1800)),TEXT(INDEX(상세표[시작],$U1800),"yyyy-mm-dd hh:mm"),INDEX(상세표[시작],$U1800)&amp;""))</f>
        <v/>
      </c>
      <c r="O1800">
        <f>IF($U1800="","",IF(ISNUMBER(INDEX(상세표[종료],$U1800)),TEXT(INDEX(상세표[종료],$U1800),"yyyy-mm-dd hh:mm"),INDEX(상세표[종료],$U1800)&amp;""))</f>
        <v/>
      </c>
      <c r="P1800" s="20">
        <f>IF($U1800="","",INDEX(상세표[06~07시],$U1800))</f>
        <v/>
      </c>
      <c r="Q1800" s="20">
        <f>IF($U1800="","",INDEX(상세표[07~18시],$U1800))</f>
        <v/>
      </c>
      <c r="R1800" s="20">
        <f>IF($U1800="","",INDEX(상세표[18~22시],$U1800))</f>
        <v/>
      </c>
      <c r="S1800" s="20">
        <f>IF($U1800="","",INDEX(상세표[22~06시],$U1800))</f>
        <v/>
      </c>
      <c r="T1800" s="20">
        <f>IF($U1800="","",INDEX(상세표[기록 시간외],$U1800))</f>
        <v/>
      </c>
      <c r="U1800" s="4">
        <f>IFERROR(MATCH(1795,상세표[발송순번],0),"")</f>
        <v/>
      </c>
    </row>
    <row r="1801">
      <c r="J1801">
        <f>IF($U1801="","",INDEX(상세표[사번],$U1801)&amp;"")</f>
        <v/>
      </c>
      <c r="K1801">
        <f>IF($U1801="","",INDEX(상세표[성명],$U1801)&amp;"")</f>
        <v/>
      </c>
      <c r="L1801">
        <f>IF($U1801="","",INDEX(상세표[직위],$U1801)&amp;"")</f>
        <v/>
      </c>
      <c r="M1801">
        <f>IF($U1801="","",IF(ISNUMBER(INDEX(상세표[근무일자],$U1801)),TEXT(INDEX(상세표[근무일자],$U1801),"yyyy-mm-dd"),INDEX(상세표[근무일자],$U1801)&amp;""))</f>
        <v/>
      </c>
      <c r="N1801">
        <f>IF($U1801="","",IF(ISNUMBER(INDEX(상세표[시작],$U1801)),TEXT(INDEX(상세표[시작],$U1801),"yyyy-mm-dd hh:mm"),INDEX(상세표[시작],$U1801)&amp;""))</f>
        <v/>
      </c>
      <c r="O1801">
        <f>IF($U1801="","",IF(ISNUMBER(INDEX(상세표[종료],$U1801)),TEXT(INDEX(상세표[종료],$U1801),"yyyy-mm-dd hh:mm"),INDEX(상세표[종료],$U1801)&amp;""))</f>
        <v/>
      </c>
      <c r="P1801" s="20">
        <f>IF($U1801="","",INDEX(상세표[06~07시],$U1801))</f>
        <v/>
      </c>
      <c r="Q1801" s="20">
        <f>IF($U1801="","",INDEX(상세표[07~18시],$U1801))</f>
        <v/>
      </c>
      <c r="R1801" s="20">
        <f>IF($U1801="","",INDEX(상세표[18~22시],$U1801))</f>
        <v/>
      </c>
      <c r="S1801" s="20">
        <f>IF($U1801="","",INDEX(상세표[22~06시],$U1801))</f>
        <v/>
      </c>
      <c r="T1801" s="20">
        <f>IF($U1801="","",INDEX(상세표[기록 시간외],$U1801))</f>
        <v/>
      </c>
      <c r="U1801" s="4">
        <f>IFERROR(MATCH(1796,상세표[발송순번],0),"")</f>
        <v/>
      </c>
    </row>
    <row r="1802">
      <c r="J1802">
        <f>IF($U1802="","",INDEX(상세표[사번],$U1802)&amp;"")</f>
        <v/>
      </c>
      <c r="K1802">
        <f>IF($U1802="","",INDEX(상세표[성명],$U1802)&amp;"")</f>
        <v/>
      </c>
      <c r="L1802">
        <f>IF($U1802="","",INDEX(상세표[직위],$U1802)&amp;"")</f>
        <v/>
      </c>
      <c r="M1802">
        <f>IF($U1802="","",IF(ISNUMBER(INDEX(상세표[근무일자],$U1802)),TEXT(INDEX(상세표[근무일자],$U1802),"yyyy-mm-dd"),INDEX(상세표[근무일자],$U1802)&amp;""))</f>
        <v/>
      </c>
      <c r="N1802">
        <f>IF($U1802="","",IF(ISNUMBER(INDEX(상세표[시작],$U1802)),TEXT(INDEX(상세표[시작],$U1802),"yyyy-mm-dd hh:mm"),INDEX(상세표[시작],$U1802)&amp;""))</f>
        <v/>
      </c>
      <c r="O1802">
        <f>IF($U1802="","",IF(ISNUMBER(INDEX(상세표[종료],$U1802)),TEXT(INDEX(상세표[종료],$U1802),"yyyy-mm-dd hh:mm"),INDEX(상세표[종료],$U1802)&amp;""))</f>
        <v/>
      </c>
      <c r="P1802" s="20">
        <f>IF($U1802="","",INDEX(상세표[06~07시],$U1802))</f>
        <v/>
      </c>
      <c r="Q1802" s="20">
        <f>IF($U1802="","",INDEX(상세표[07~18시],$U1802))</f>
        <v/>
      </c>
      <c r="R1802" s="20">
        <f>IF($U1802="","",INDEX(상세표[18~22시],$U1802))</f>
        <v/>
      </c>
      <c r="S1802" s="20">
        <f>IF($U1802="","",INDEX(상세표[22~06시],$U1802))</f>
        <v/>
      </c>
      <c r="T1802" s="20">
        <f>IF($U1802="","",INDEX(상세표[기록 시간외],$U1802))</f>
        <v/>
      </c>
      <c r="U1802" s="4">
        <f>IFERROR(MATCH(1797,상세표[발송순번],0),"")</f>
        <v/>
      </c>
    </row>
    <row r="1803">
      <c r="J1803">
        <f>IF($U1803="","",INDEX(상세표[사번],$U1803)&amp;"")</f>
        <v/>
      </c>
      <c r="K1803">
        <f>IF($U1803="","",INDEX(상세표[성명],$U1803)&amp;"")</f>
        <v/>
      </c>
      <c r="L1803">
        <f>IF($U1803="","",INDEX(상세표[직위],$U1803)&amp;"")</f>
        <v/>
      </c>
      <c r="M1803">
        <f>IF($U1803="","",IF(ISNUMBER(INDEX(상세표[근무일자],$U1803)),TEXT(INDEX(상세표[근무일자],$U1803),"yyyy-mm-dd"),INDEX(상세표[근무일자],$U1803)&amp;""))</f>
        <v/>
      </c>
      <c r="N1803">
        <f>IF($U1803="","",IF(ISNUMBER(INDEX(상세표[시작],$U1803)),TEXT(INDEX(상세표[시작],$U1803),"yyyy-mm-dd hh:mm"),INDEX(상세표[시작],$U1803)&amp;""))</f>
        <v/>
      </c>
      <c r="O1803">
        <f>IF($U1803="","",IF(ISNUMBER(INDEX(상세표[종료],$U1803)),TEXT(INDEX(상세표[종료],$U1803),"yyyy-mm-dd hh:mm"),INDEX(상세표[종료],$U1803)&amp;""))</f>
        <v/>
      </c>
      <c r="P1803" s="20">
        <f>IF($U1803="","",INDEX(상세표[06~07시],$U1803))</f>
        <v/>
      </c>
      <c r="Q1803" s="20">
        <f>IF($U1803="","",INDEX(상세표[07~18시],$U1803))</f>
        <v/>
      </c>
      <c r="R1803" s="20">
        <f>IF($U1803="","",INDEX(상세표[18~22시],$U1803))</f>
        <v/>
      </c>
      <c r="S1803" s="20">
        <f>IF($U1803="","",INDEX(상세표[22~06시],$U1803))</f>
        <v/>
      </c>
      <c r="T1803" s="20">
        <f>IF($U1803="","",INDEX(상세표[기록 시간외],$U1803))</f>
        <v/>
      </c>
      <c r="U1803" s="4">
        <f>IFERROR(MATCH(1798,상세표[발송순번],0),"")</f>
        <v/>
      </c>
    </row>
    <row r="1804">
      <c r="J1804">
        <f>IF($U1804="","",INDEX(상세표[사번],$U1804)&amp;"")</f>
        <v/>
      </c>
      <c r="K1804">
        <f>IF($U1804="","",INDEX(상세표[성명],$U1804)&amp;"")</f>
        <v/>
      </c>
      <c r="L1804">
        <f>IF($U1804="","",INDEX(상세표[직위],$U1804)&amp;"")</f>
        <v/>
      </c>
      <c r="M1804">
        <f>IF($U1804="","",IF(ISNUMBER(INDEX(상세표[근무일자],$U1804)),TEXT(INDEX(상세표[근무일자],$U1804),"yyyy-mm-dd"),INDEX(상세표[근무일자],$U1804)&amp;""))</f>
        <v/>
      </c>
      <c r="N1804">
        <f>IF($U1804="","",IF(ISNUMBER(INDEX(상세표[시작],$U1804)),TEXT(INDEX(상세표[시작],$U1804),"yyyy-mm-dd hh:mm"),INDEX(상세표[시작],$U1804)&amp;""))</f>
        <v/>
      </c>
      <c r="O1804">
        <f>IF($U1804="","",IF(ISNUMBER(INDEX(상세표[종료],$U1804)),TEXT(INDEX(상세표[종료],$U1804),"yyyy-mm-dd hh:mm"),INDEX(상세표[종료],$U1804)&amp;""))</f>
        <v/>
      </c>
      <c r="P1804" s="20">
        <f>IF($U1804="","",INDEX(상세표[06~07시],$U1804))</f>
        <v/>
      </c>
      <c r="Q1804" s="20">
        <f>IF($U1804="","",INDEX(상세표[07~18시],$U1804))</f>
        <v/>
      </c>
      <c r="R1804" s="20">
        <f>IF($U1804="","",INDEX(상세표[18~22시],$U1804))</f>
        <v/>
      </c>
      <c r="S1804" s="20">
        <f>IF($U1804="","",INDEX(상세표[22~06시],$U1804))</f>
        <v/>
      </c>
      <c r="T1804" s="20">
        <f>IF($U1804="","",INDEX(상세표[기록 시간외],$U1804))</f>
        <v/>
      </c>
      <c r="U1804" s="4">
        <f>IFERROR(MATCH(1799,상세표[발송순번],0),"")</f>
        <v/>
      </c>
    </row>
    <row r="1805">
      <c r="J1805">
        <f>IF($U1805="","",INDEX(상세표[사번],$U1805)&amp;"")</f>
        <v/>
      </c>
      <c r="K1805">
        <f>IF($U1805="","",INDEX(상세표[성명],$U1805)&amp;"")</f>
        <v/>
      </c>
      <c r="L1805">
        <f>IF($U1805="","",INDEX(상세표[직위],$U1805)&amp;"")</f>
        <v/>
      </c>
      <c r="M1805">
        <f>IF($U1805="","",IF(ISNUMBER(INDEX(상세표[근무일자],$U1805)),TEXT(INDEX(상세표[근무일자],$U1805),"yyyy-mm-dd"),INDEX(상세표[근무일자],$U1805)&amp;""))</f>
        <v/>
      </c>
      <c r="N1805">
        <f>IF($U1805="","",IF(ISNUMBER(INDEX(상세표[시작],$U1805)),TEXT(INDEX(상세표[시작],$U1805),"yyyy-mm-dd hh:mm"),INDEX(상세표[시작],$U1805)&amp;""))</f>
        <v/>
      </c>
      <c r="O1805">
        <f>IF($U1805="","",IF(ISNUMBER(INDEX(상세표[종료],$U1805)),TEXT(INDEX(상세표[종료],$U1805),"yyyy-mm-dd hh:mm"),INDEX(상세표[종료],$U1805)&amp;""))</f>
        <v/>
      </c>
      <c r="P1805" s="20">
        <f>IF($U1805="","",INDEX(상세표[06~07시],$U1805))</f>
        <v/>
      </c>
      <c r="Q1805" s="20">
        <f>IF($U1805="","",INDEX(상세표[07~18시],$U1805))</f>
        <v/>
      </c>
      <c r="R1805" s="20">
        <f>IF($U1805="","",INDEX(상세표[18~22시],$U1805))</f>
        <v/>
      </c>
      <c r="S1805" s="20">
        <f>IF($U1805="","",INDEX(상세표[22~06시],$U1805))</f>
        <v/>
      </c>
      <c r="T1805" s="20">
        <f>IF($U1805="","",INDEX(상세표[기록 시간외],$U1805))</f>
        <v/>
      </c>
      <c r="U1805" s="4">
        <f>IFERROR(MATCH(1800,상세표[발송순번],0),"")</f>
        <v/>
      </c>
    </row>
    <row r="1806">
      <c r="J1806">
        <f>IF($U1806="","",INDEX(상세표[사번],$U1806)&amp;"")</f>
        <v/>
      </c>
      <c r="K1806">
        <f>IF($U1806="","",INDEX(상세표[성명],$U1806)&amp;"")</f>
        <v/>
      </c>
      <c r="L1806">
        <f>IF($U1806="","",INDEX(상세표[직위],$U1806)&amp;"")</f>
        <v/>
      </c>
      <c r="M1806">
        <f>IF($U1806="","",IF(ISNUMBER(INDEX(상세표[근무일자],$U1806)),TEXT(INDEX(상세표[근무일자],$U1806),"yyyy-mm-dd"),INDEX(상세표[근무일자],$U1806)&amp;""))</f>
        <v/>
      </c>
      <c r="N1806">
        <f>IF($U1806="","",IF(ISNUMBER(INDEX(상세표[시작],$U1806)),TEXT(INDEX(상세표[시작],$U1806),"yyyy-mm-dd hh:mm"),INDEX(상세표[시작],$U1806)&amp;""))</f>
        <v/>
      </c>
      <c r="O1806">
        <f>IF($U1806="","",IF(ISNUMBER(INDEX(상세표[종료],$U1806)),TEXT(INDEX(상세표[종료],$U1806),"yyyy-mm-dd hh:mm"),INDEX(상세표[종료],$U1806)&amp;""))</f>
        <v/>
      </c>
      <c r="P1806" s="20">
        <f>IF($U1806="","",INDEX(상세표[06~07시],$U1806))</f>
        <v/>
      </c>
      <c r="Q1806" s="20">
        <f>IF($U1806="","",INDEX(상세표[07~18시],$U1806))</f>
        <v/>
      </c>
      <c r="R1806" s="20">
        <f>IF($U1806="","",INDEX(상세표[18~22시],$U1806))</f>
        <v/>
      </c>
      <c r="S1806" s="20">
        <f>IF($U1806="","",INDEX(상세표[22~06시],$U1806))</f>
        <v/>
      </c>
      <c r="T1806" s="20">
        <f>IF($U1806="","",INDEX(상세표[기록 시간외],$U1806))</f>
        <v/>
      </c>
      <c r="U1806" s="4">
        <f>IFERROR(MATCH(1801,상세표[발송순번],0),"")</f>
        <v/>
      </c>
    </row>
    <row r="1807">
      <c r="J1807">
        <f>IF($U1807="","",INDEX(상세표[사번],$U1807)&amp;"")</f>
        <v/>
      </c>
      <c r="K1807">
        <f>IF($U1807="","",INDEX(상세표[성명],$U1807)&amp;"")</f>
        <v/>
      </c>
      <c r="L1807">
        <f>IF($U1807="","",INDEX(상세표[직위],$U1807)&amp;"")</f>
        <v/>
      </c>
      <c r="M1807">
        <f>IF($U1807="","",IF(ISNUMBER(INDEX(상세표[근무일자],$U1807)),TEXT(INDEX(상세표[근무일자],$U1807),"yyyy-mm-dd"),INDEX(상세표[근무일자],$U1807)&amp;""))</f>
        <v/>
      </c>
      <c r="N1807">
        <f>IF($U1807="","",IF(ISNUMBER(INDEX(상세표[시작],$U1807)),TEXT(INDEX(상세표[시작],$U1807),"yyyy-mm-dd hh:mm"),INDEX(상세표[시작],$U1807)&amp;""))</f>
        <v/>
      </c>
      <c r="O1807">
        <f>IF($U1807="","",IF(ISNUMBER(INDEX(상세표[종료],$U1807)),TEXT(INDEX(상세표[종료],$U1807),"yyyy-mm-dd hh:mm"),INDEX(상세표[종료],$U1807)&amp;""))</f>
        <v/>
      </c>
      <c r="P1807" s="20">
        <f>IF($U1807="","",INDEX(상세표[06~07시],$U1807))</f>
        <v/>
      </c>
      <c r="Q1807" s="20">
        <f>IF($U1807="","",INDEX(상세표[07~18시],$U1807))</f>
        <v/>
      </c>
      <c r="R1807" s="20">
        <f>IF($U1807="","",INDEX(상세표[18~22시],$U1807))</f>
        <v/>
      </c>
      <c r="S1807" s="20">
        <f>IF($U1807="","",INDEX(상세표[22~06시],$U1807))</f>
        <v/>
      </c>
      <c r="T1807" s="20">
        <f>IF($U1807="","",INDEX(상세표[기록 시간외],$U1807))</f>
        <v/>
      </c>
      <c r="U1807" s="4">
        <f>IFERROR(MATCH(1802,상세표[발송순번],0),"")</f>
        <v/>
      </c>
    </row>
    <row r="1808">
      <c r="J1808">
        <f>IF($U1808="","",INDEX(상세표[사번],$U1808)&amp;"")</f>
        <v/>
      </c>
      <c r="K1808">
        <f>IF($U1808="","",INDEX(상세표[성명],$U1808)&amp;"")</f>
        <v/>
      </c>
      <c r="L1808">
        <f>IF($U1808="","",INDEX(상세표[직위],$U1808)&amp;"")</f>
        <v/>
      </c>
      <c r="M1808">
        <f>IF($U1808="","",IF(ISNUMBER(INDEX(상세표[근무일자],$U1808)),TEXT(INDEX(상세표[근무일자],$U1808),"yyyy-mm-dd"),INDEX(상세표[근무일자],$U1808)&amp;""))</f>
        <v/>
      </c>
      <c r="N1808">
        <f>IF($U1808="","",IF(ISNUMBER(INDEX(상세표[시작],$U1808)),TEXT(INDEX(상세표[시작],$U1808),"yyyy-mm-dd hh:mm"),INDEX(상세표[시작],$U1808)&amp;""))</f>
        <v/>
      </c>
      <c r="O1808">
        <f>IF($U1808="","",IF(ISNUMBER(INDEX(상세표[종료],$U1808)),TEXT(INDEX(상세표[종료],$U1808),"yyyy-mm-dd hh:mm"),INDEX(상세표[종료],$U1808)&amp;""))</f>
        <v/>
      </c>
      <c r="P1808" s="20">
        <f>IF($U1808="","",INDEX(상세표[06~07시],$U1808))</f>
        <v/>
      </c>
      <c r="Q1808" s="20">
        <f>IF($U1808="","",INDEX(상세표[07~18시],$U1808))</f>
        <v/>
      </c>
      <c r="R1808" s="20">
        <f>IF($U1808="","",INDEX(상세표[18~22시],$U1808))</f>
        <v/>
      </c>
      <c r="S1808" s="20">
        <f>IF($U1808="","",INDEX(상세표[22~06시],$U1808))</f>
        <v/>
      </c>
      <c r="T1808" s="20">
        <f>IF($U1808="","",INDEX(상세표[기록 시간외],$U1808))</f>
        <v/>
      </c>
      <c r="U1808" s="4">
        <f>IFERROR(MATCH(1803,상세표[발송순번],0),"")</f>
        <v/>
      </c>
    </row>
    <row r="1809">
      <c r="J1809">
        <f>IF($U1809="","",INDEX(상세표[사번],$U1809)&amp;"")</f>
        <v/>
      </c>
      <c r="K1809">
        <f>IF($U1809="","",INDEX(상세표[성명],$U1809)&amp;"")</f>
        <v/>
      </c>
      <c r="L1809">
        <f>IF($U1809="","",INDEX(상세표[직위],$U1809)&amp;"")</f>
        <v/>
      </c>
      <c r="M1809">
        <f>IF($U1809="","",IF(ISNUMBER(INDEX(상세표[근무일자],$U1809)),TEXT(INDEX(상세표[근무일자],$U1809),"yyyy-mm-dd"),INDEX(상세표[근무일자],$U1809)&amp;""))</f>
        <v/>
      </c>
      <c r="N1809">
        <f>IF($U1809="","",IF(ISNUMBER(INDEX(상세표[시작],$U1809)),TEXT(INDEX(상세표[시작],$U1809),"yyyy-mm-dd hh:mm"),INDEX(상세표[시작],$U1809)&amp;""))</f>
        <v/>
      </c>
      <c r="O1809">
        <f>IF($U1809="","",IF(ISNUMBER(INDEX(상세표[종료],$U1809)),TEXT(INDEX(상세표[종료],$U1809),"yyyy-mm-dd hh:mm"),INDEX(상세표[종료],$U1809)&amp;""))</f>
        <v/>
      </c>
      <c r="P1809" s="20">
        <f>IF($U1809="","",INDEX(상세표[06~07시],$U1809))</f>
        <v/>
      </c>
      <c r="Q1809" s="20">
        <f>IF($U1809="","",INDEX(상세표[07~18시],$U1809))</f>
        <v/>
      </c>
      <c r="R1809" s="20">
        <f>IF($U1809="","",INDEX(상세표[18~22시],$U1809))</f>
        <v/>
      </c>
      <c r="S1809" s="20">
        <f>IF($U1809="","",INDEX(상세표[22~06시],$U1809))</f>
        <v/>
      </c>
      <c r="T1809" s="20">
        <f>IF($U1809="","",INDEX(상세표[기록 시간외],$U1809))</f>
        <v/>
      </c>
      <c r="U1809" s="4">
        <f>IFERROR(MATCH(1804,상세표[발송순번],0),"")</f>
        <v/>
      </c>
    </row>
    <row r="1810">
      <c r="J1810">
        <f>IF($U1810="","",INDEX(상세표[사번],$U1810)&amp;"")</f>
        <v/>
      </c>
      <c r="K1810">
        <f>IF($U1810="","",INDEX(상세표[성명],$U1810)&amp;"")</f>
        <v/>
      </c>
      <c r="L1810">
        <f>IF($U1810="","",INDEX(상세표[직위],$U1810)&amp;"")</f>
        <v/>
      </c>
      <c r="M1810">
        <f>IF($U1810="","",IF(ISNUMBER(INDEX(상세표[근무일자],$U1810)),TEXT(INDEX(상세표[근무일자],$U1810),"yyyy-mm-dd"),INDEX(상세표[근무일자],$U1810)&amp;""))</f>
        <v/>
      </c>
      <c r="N1810">
        <f>IF($U1810="","",IF(ISNUMBER(INDEX(상세표[시작],$U1810)),TEXT(INDEX(상세표[시작],$U1810),"yyyy-mm-dd hh:mm"),INDEX(상세표[시작],$U1810)&amp;""))</f>
        <v/>
      </c>
      <c r="O1810">
        <f>IF($U1810="","",IF(ISNUMBER(INDEX(상세표[종료],$U1810)),TEXT(INDEX(상세표[종료],$U1810),"yyyy-mm-dd hh:mm"),INDEX(상세표[종료],$U1810)&amp;""))</f>
        <v/>
      </c>
      <c r="P1810" s="20">
        <f>IF($U1810="","",INDEX(상세표[06~07시],$U1810))</f>
        <v/>
      </c>
      <c r="Q1810" s="20">
        <f>IF($U1810="","",INDEX(상세표[07~18시],$U1810))</f>
        <v/>
      </c>
      <c r="R1810" s="20">
        <f>IF($U1810="","",INDEX(상세표[18~22시],$U1810))</f>
        <v/>
      </c>
      <c r="S1810" s="20">
        <f>IF($U1810="","",INDEX(상세표[22~06시],$U1810))</f>
        <v/>
      </c>
      <c r="T1810" s="20">
        <f>IF($U1810="","",INDEX(상세표[기록 시간외],$U1810))</f>
        <v/>
      </c>
      <c r="U1810" s="4">
        <f>IFERROR(MATCH(1805,상세표[발송순번],0),"")</f>
        <v/>
      </c>
    </row>
    <row r="1811">
      <c r="J1811">
        <f>IF($U1811="","",INDEX(상세표[사번],$U1811)&amp;"")</f>
        <v/>
      </c>
      <c r="K1811">
        <f>IF($U1811="","",INDEX(상세표[성명],$U1811)&amp;"")</f>
        <v/>
      </c>
      <c r="L1811">
        <f>IF($U1811="","",INDEX(상세표[직위],$U1811)&amp;"")</f>
        <v/>
      </c>
      <c r="M1811">
        <f>IF($U1811="","",IF(ISNUMBER(INDEX(상세표[근무일자],$U1811)),TEXT(INDEX(상세표[근무일자],$U1811),"yyyy-mm-dd"),INDEX(상세표[근무일자],$U1811)&amp;""))</f>
        <v/>
      </c>
      <c r="N1811">
        <f>IF($U1811="","",IF(ISNUMBER(INDEX(상세표[시작],$U1811)),TEXT(INDEX(상세표[시작],$U1811),"yyyy-mm-dd hh:mm"),INDEX(상세표[시작],$U1811)&amp;""))</f>
        <v/>
      </c>
      <c r="O1811">
        <f>IF($U1811="","",IF(ISNUMBER(INDEX(상세표[종료],$U1811)),TEXT(INDEX(상세표[종료],$U1811),"yyyy-mm-dd hh:mm"),INDEX(상세표[종료],$U1811)&amp;""))</f>
        <v/>
      </c>
      <c r="P1811" s="20">
        <f>IF($U1811="","",INDEX(상세표[06~07시],$U1811))</f>
        <v/>
      </c>
      <c r="Q1811" s="20">
        <f>IF($U1811="","",INDEX(상세표[07~18시],$U1811))</f>
        <v/>
      </c>
      <c r="R1811" s="20">
        <f>IF($U1811="","",INDEX(상세표[18~22시],$U1811))</f>
        <v/>
      </c>
      <c r="S1811" s="20">
        <f>IF($U1811="","",INDEX(상세표[22~06시],$U1811))</f>
        <v/>
      </c>
      <c r="T1811" s="20">
        <f>IF($U1811="","",INDEX(상세표[기록 시간외],$U1811))</f>
        <v/>
      </c>
      <c r="U1811" s="4">
        <f>IFERROR(MATCH(1806,상세표[발송순번],0),"")</f>
        <v/>
      </c>
    </row>
    <row r="1812">
      <c r="J1812">
        <f>IF($U1812="","",INDEX(상세표[사번],$U1812)&amp;"")</f>
        <v/>
      </c>
      <c r="K1812">
        <f>IF($U1812="","",INDEX(상세표[성명],$U1812)&amp;"")</f>
        <v/>
      </c>
      <c r="L1812">
        <f>IF($U1812="","",INDEX(상세표[직위],$U1812)&amp;"")</f>
        <v/>
      </c>
      <c r="M1812">
        <f>IF($U1812="","",IF(ISNUMBER(INDEX(상세표[근무일자],$U1812)),TEXT(INDEX(상세표[근무일자],$U1812),"yyyy-mm-dd"),INDEX(상세표[근무일자],$U1812)&amp;""))</f>
        <v/>
      </c>
      <c r="N1812">
        <f>IF($U1812="","",IF(ISNUMBER(INDEX(상세표[시작],$U1812)),TEXT(INDEX(상세표[시작],$U1812),"yyyy-mm-dd hh:mm"),INDEX(상세표[시작],$U1812)&amp;""))</f>
        <v/>
      </c>
      <c r="O1812">
        <f>IF($U1812="","",IF(ISNUMBER(INDEX(상세표[종료],$U1812)),TEXT(INDEX(상세표[종료],$U1812),"yyyy-mm-dd hh:mm"),INDEX(상세표[종료],$U1812)&amp;""))</f>
        <v/>
      </c>
      <c r="P1812" s="20">
        <f>IF($U1812="","",INDEX(상세표[06~07시],$U1812))</f>
        <v/>
      </c>
      <c r="Q1812" s="20">
        <f>IF($U1812="","",INDEX(상세표[07~18시],$U1812))</f>
        <v/>
      </c>
      <c r="R1812" s="20">
        <f>IF($U1812="","",INDEX(상세표[18~22시],$U1812))</f>
        <v/>
      </c>
      <c r="S1812" s="20">
        <f>IF($U1812="","",INDEX(상세표[22~06시],$U1812))</f>
        <v/>
      </c>
      <c r="T1812" s="20">
        <f>IF($U1812="","",INDEX(상세표[기록 시간외],$U1812))</f>
        <v/>
      </c>
      <c r="U1812" s="4">
        <f>IFERROR(MATCH(1807,상세표[발송순번],0),"")</f>
        <v/>
      </c>
    </row>
    <row r="1813">
      <c r="J1813">
        <f>IF($U1813="","",INDEX(상세표[사번],$U1813)&amp;"")</f>
        <v/>
      </c>
      <c r="K1813">
        <f>IF($U1813="","",INDEX(상세표[성명],$U1813)&amp;"")</f>
        <v/>
      </c>
      <c r="L1813">
        <f>IF($U1813="","",INDEX(상세표[직위],$U1813)&amp;"")</f>
        <v/>
      </c>
      <c r="M1813">
        <f>IF($U1813="","",IF(ISNUMBER(INDEX(상세표[근무일자],$U1813)),TEXT(INDEX(상세표[근무일자],$U1813),"yyyy-mm-dd"),INDEX(상세표[근무일자],$U1813)&amp;""))</f>
        <v/>
      </c>
      <c r="N1813">
        <f>IF($U1813="","",IF(ISNUMBER(INDEX(상세표[시작],$U1813)),TEXT(INDEX(상세표[시작],$U1813),"yyyy-mm-dd hh:mm"),INDEX(상세표[시작],$U1813)&amp;""))</f>
        <v/>
      </c>
      <c r="O1813">
        <f>IF($U1813="","",IF(ISNUMBER(INDEX(상세표[종료],$U1813)),TEXT(INDEX(상세표[종료],$U1813),"yyyy-mm-dd hh:mm"),INDEX(상세표[종료],$U1813)&amp;""))</f>
        <v/>
      </c>
      <c r="P1813" s="20">
        <f>IF($U1813="","",INDEX(상세표[06~07시],$U1813))</f>
        <v/>
      </c>
      <c r="Q1813" s="20">
        <f>IF($U1813="","",INDEX(상세표[07~18시],$U1813))</f>
        <v/>
      </c>
      <c r="R1813" s="20">
        <f>IF($U1813="","",INDEX(상세표[18~22시],$U1813))</f>
        <v/>
      </c>
      <c r="S1813" s="20">
        <f>IF($U1813="","",INDEX(상세표[22~06시],$U1813))</f>
        <v/>
      </c>
      <c r="T1813" s="20">
        <f>IF($U1813="","",INDEX(상세표[기록 시간외],$U1813))</f>
        <v/>
      </c>
      <c r="U1813" s="4">
        <f>IFERROR(MATCH(1808,상세표[발송순번],0),"")</f>
        <v/>
      </c>
    </row>
    <row r="1814">
      <c r="J1814">
        <f>IF($U1814="","",INDEX(상세표[사번],$U1814)&amp;"")</f>
        <v/>
      </c>
      <c r="K1814">
        <f>IF($U1814="","",INDEX(상세표[성명],$U1814)&amp;"")</f>
        <v/>
      </c>
      <c r="L1814">
        <f>IF($U1814="","",INDEX(상세표[직위],$U1814)&amp;"")</f>
        <v/>
      </c>
      <c r="M1814">
        <f>IF($U1814="","",IF(ISNUMBER(INDEX(상세표[근무일자],$U1814)),TEXT(INDEX(상세표[근무일자],$U1814),"yyyy-mm-dd"),INDEX(상세표[근무일자],$U1814)&amp;""))</f>
        <v/>
      </c>
      <c r="N1814">
        <f>IF($U1814="","",IF(ISNUMBER(INDEX(상세표[시작],$U1814)),TEXT(INDEX(상세표[시작],$U1814),"yyyy-mm-dd hh:mm"),INDEX(상세표[시작],$U1814)&amp;""))</f>
        <v/>
      </c>
      <c r="O1814">
        <f>IF($U1814="","",IF(ISNUMBER(INDEX(상세표[종료],$U1814)),TEXT(INDEX(상세표[종료],$U1814),"yyyy-mm-dd hh:mm"),INDEX(상세표[종료],$U1814)&amp;""))</f>
        <v/>
      </c>
      <c r="P1814" s="20">
        <f>IF($U1814="","",INDEX(상세표[06~07시],$U1814))</f>
        <v/>
      </c>
      <c r="Q1814" s="20">
        <f>IF($U1814="","",INDEX(상세표[07~18시],$U1814))</f>
        <v/>
      </c>
      <c r="R1814" s="20">
        <f>IF($U1814="","",INDEX(상세표[18~22시],$U1814))</f>
        <v/>
      </c>
      <c r="S1814" s="20">
        <f>IF($U1814="","",INDEX(상세표[22~06시],$U1814))</f>
        <v/>
      </c>
      <c r="T1814" s="20">
        <f>IF($U1814="","",INDEX(상세표[기록 시간외],$U1814))</f>
        <v/>
      </c>
      <c r="U1814" s="4">
        <f>IFERROR(MATCH(1809,상세표[발송순번],0),"")</f>
        <v/>
      </c>
    </row>
    <row r="1815">
      <c r="J1815">
        <f>IF($U1815="","",INDEX(상세표[사번],$U1815)&amp;"")</f>
        <v/>
      </c>
      <c r="K1815">
        <f>IF($U1815="","",INDEX(상세표[성명],$U1815)&amp;"")</f>
        <v/>
      </c>
      <c r="L1815">
        <f>IF($U1815="","",INDEX(상세표[직위],$U1815)&amp;"")</f>
        <v/>
      </c>
      <c r="M1815">
        <f>IF($U1815="","",IF(ISNUMBER(INDEX(상세표[근무일자],$U1815)),TEXT(INDEX(상세표[근무일자],$U1815),"yyyy-mm-dd"),INDEX(상세표[근무일자],$U1815)&amp;""))</f>
        <v/>
      </c>
      <c r="N1815">
        <f>IF($U1815="","",IF(ISNUMBER(INDEX(상세표[시작],$U1815)),TEXT(INDEX(상세표[시작],$U1815),"yyyy-mm-dd hh:mm"),INDEX(상세표[시작],$U1815)&amp;""))</f>
        <v/>
      </c>
      <c r="O1815">
        <f>IF($U1815="","",IF(ISNUMBER(INDEX(상세표[종료],$U1815)),TEXT(INDEX(상세표[종료],$U1815),"yyyy-mm-dd hh:mm"),INDEX(상세표[종료],$U1815)&amp;""))</f>
        <v/>
      </c>
      <c r="P1815" s="20">
        <f>IF($U1815="","",INDEX(상세표[06~07시],$U1815))</f>
        <v/>
      </c>
      <c r="Q1815" s="20">
        <f>IF($U1815="","",INDEX(상세표[07~18시],$U1815))</f>
        <v/>
      </c>
      <c r="R1815" s="20">
        <f>IF($U1815="","",INDEX(상세표[18~22시],$U1815))</f>
        <v/>
      </c>
      <c r="S1815" s="20">
        <f>IF($U1815="","",INDEX(상세표[22~06시],$U1815))</f>
        <v/>
      </c>
      <c r="T1815" s="20">
        <f>IF($U1815="","",INDEX(상세표[기록 시간외],$U1815))</f>
        <v/>
      </c>
      <c r="U1815" s="4">
        <f>IFERROR(MATCH(1810,상세표[발송순번],0),"")</f>
        <v/>
      </c>
    </row>
    <row r="1816">
      <c r="J1816">
        <f>IF($U1816="","",INDEX(상세표[사번],$U1816)&amp;"")</f>
        <v/>
      </c>
      <c r="K1816">
        <f>IF($U1816="","",INDEX(상세표[성명],$U1816)&amp;"")</f>
        <v/>
      </c>
      <c r="L1816">
        <f>IF($U1816="","",INDEX(상세표[직위],$U1816)&amp;"")</f>
        <v/>
      </c>
      <c r="M1816">
        <f>IF($U1816="","",IF(ISNUMBER(INDEX(상세표[근무일자],$U1816)),TEXT(INDEX(상세표[근무일자],$U1816),"yyyy-mm-dd"),INDEX(상세표[근무일자],$U1816)&amp;""))</f>
        <v/>
      </c>
      <c r="N1816">
        <f>IF($U1816="","",IF(ISNUMBER(INDEX(상세표[시작],$U1816)),TEXT(INDEX(상세표[시작],$U1816),"yyyy-mm-dd hh:mm"),INDEX(상세표[시작],$U1816)&amp;""))</f>
        <v/>
      </c>
      <c r="O1816">
        <f>IF($U1816="","",IF(ISNUMBER(INDEX(상세표[종료],$U1816)),TEXT(INDEX(상세표[종료],$U1816),"yyyy-mm-dd hh:mm"),INDEX(상세표[종료],$U1816)&amp;""))</f>
        <v/>
      </c>
      <c r="P1816" s="20">
        <f>IF($U1816="","",INDEX(상세표[06~07시],$U1816))</f>
        <v/>
      </c>
      <c r="Q1816" s="20">
        <f>IF($U1816="","",INDEX(상세표[07~18시],$U1816))</f>
        <v/>
      </c>
      <c r="R1816" s="20">
        <f>IF($U1816="","",INDEX(상세표[18~22시],$U1816))</f>
        <v/>
      </c>
      <c r="S1816" s="20">
        <f>IF($U1816="","",INDEX(상세표[22~06시],$U1816))</f>
        <v/>
      </c>
      <c r="T1816" s="20">
        <f>IF($U1816="","",INDEX(상세표[기록 시간외],$U1816))</f>
        <v/>
      </c>
      <c r="U1816" s="4">
        <f>IFERROR(MATCH(1811,상세표[발송순번],0),"")</f>
        <v/>
      </c>
    </row>
    <row r="1817">
      <c r="J1817">
        <f>IF($U1817="","",INDEX(상세표[사번],$U1817)&amp;"")</f>
        <v/>
      </c>
      <c r="K1817">
        <f>IF($U1817="","",INDEX(상세표[성명],$U1817)&amp;"")</f>
        <v/>
      </c>
      <c r="L1817">
        <f>IF($U1817="","",INDEX(상세표[직위],$U1817)&amp;"")</f>
        <v/>
      </c>
      <c r="M1817">
        <f>IF($U1817="","",IF(ISNUMBER(INDEX(상세표[근무일자],$U1817)),TEXT(INDEX(상세표[근무일자],$U1817),"yyyy-mm-dd"),INDEX(상세표[근무일자],$U1817)&amp;""))</f>
        <v/>
      </c>
      <c r="N1817">
        <f>IF($U1817="","",IF(ISNUMBER(INDEX(상세표[시작],$U1817)),TEXT(INDEX(상세표[시작],$U1817),"yyyy-mm-dd hh:mm"),INDEX(상세표[시작],$U1817)&amp;""))</f>
        <v/>
      </c>
      <c r="O1817">
        <f>IF($U1817="","",IF(ISNUMBER(INDEX(상세표[종료],$U1817)),TEXT(INDEX(상세표[종료],$U1817),"yyyy-mm-dd hh:mm"),INDEX(상세표[종료],$U1817)&amp;""))</f>
        <v/>
      </c>
      <c r="P1817" s="20">
        <f>IF($U1817="","",INDEX(상세표[06~07시],$U1817))</f>
        <v/>
      </c>
      <c r="Q1817" s="20">
        <f>IF($U1817="","",INDEX(상세표[07~18시],$U1817))</f>
        <v/>
      </c>
      <c r="R1817" s="20">
        <f>IF($U1817="","",INDEX(상세표[18~22시],$U1817))</f>
        <v/>
      </c>
      <c r="S1817" s="20">
        <f>IF($U1817="","",INDEX(상세표[22~06시],$U1817))</f>
        <v/>
      </c>
      <c r="T1817" s="20">
        <f>IF($U1817="","",INDEX(상세표[기록 시간외],$U1817))</f>
        <v/>
      </c>
      <c r="U1817" s="4">
        <f>IFERROR(MATCH(1812,상세표[발송순번],0),"")</f>
        <v/>
      </c>
    </row>
    <row r="1818">
      <c r="J1818">
        <f>IF($U1818="","",INDEX(상세표[사번],$U1818)&amp;"")</f>
        <v/>
      </c>
      <c r="K1818">
        <f>IF($U1818="","",INDEX(상세표[성명],$U1818)&amp;"")</f>
        <v/>
      </c>
      <c r="L1818">
        <f>IF($U1818="","",INDEX(상세표[직위],$U1818)&amp;"")</f>
        <v/>
      </c>
      <c r="M1818">
        <f>IF($U1818="","",IF(ISNUMBER(INDEX(상세표[근무일자],$U1818)),TEXT(INDEX(상세표[근무일자],$U1818),"yyyy-mm-dd"),INDEX(상세표[근무일자],$U1818)&amp;""))</f>
        <v/>
      </c>
      <c r="N1818">
        <f>IF($U1818="","",IF(ISNUMBER(INDEX(상세표[시작],$U1818)),TEXT(INDEX(상세표[시작],$U1818),"yyyy-mm-dd hh:mm"),INDEX(상세표[시작],$U1818)&amp;""))</f>
        <v/>
      </c>
      <c r="O1818">
        <f>IF($U1818="","",IF(ISNUMBER(INDEX(상세표[종료],$U1818)),TEXT(INDEX(상세표[종료],$U1818),"yyyy-mm-dd hh:mm"),INDEX(상세표[종료],$U1818)&amp;""))</f>
        <v/>
      </c>
      <c r="P1818" s="20">
        <f>IF($U1818="","",INDEX(상세표[06~07시],$U1818))</f>
        <v/>
      </c>
      <c r="Q1818" s="20">
        <f>IF($U1818="","",INDEX(상세표[07~18시],$U1818))</f>
        <v/>
      </c>
      <c r="R1818" s="20">
        <f>IF($U1818="","",INDEX(상세표[18~22시],$U1818))</f>
        <v/>
      </c>
      <c r="S1818" s="20">
        <f>IF($U1818="","",INDEX(상세표[22~06시],$U1818))</f>
        <v/>
      </c>
      <c r="T1818" s="20">
        <f>IF($U1818="","",INDEX(상세표[기록 시간외],$U1818))</f>
        <v/>
      </c>
      <c r="U1818" s="4">
        <f>IFERROR(MATCH(1813,상세표[발송순번],0),"")</f>
        <v/>
      </c>
    </row>
    <row r="1819">
      <c r="J1819">
        <f>IF($U1819="","",INDEX(상세표[사번],$U1819)&amp;"")</f>
        <v/>
      </c>
      <c r="K1819">
        <f>IF($U1819="","",INDEX(상세표[성명],$U1819)&amp;"")</f>
        <v/>
      </c>
      <c r="L1819">
        <f>IF($U1819="","",INDEX(상세표[직위],$U1819)&amp;"")</f>
        <v/>
      </c>
      <c r="M1819">
        <f>IF($U1819="","",IF(ISNUMBER(INDEX(상세표[근무일자],$U1819)),TEXT(INDEX(상세표[근무일자],$U1819),"yyyy-mm-dd"),INDEX(상세표[근무일자],$U1819)&amp;""))</f>
        <v/>
      </c>
      <c r="N1819">
        <f>IF($U1819="","",IF(ISNUMBER(INDEX(상세표[시작],$U1819)),TEXT(INDEX(상세표[시작],$U1819),"yyyy-mm-dd hh:mm"),INDEX(상세표[시작],$U1819)&amp;""))</f>
        <v/>
      </c>
      <c r="O1819">
        <f>IF($U1819="","",IF(ISNUMBER(INDEX(상세표[종료],$U1819)),TEXT(INDEX(상세표[종료],$U1819),"yyyy-mm-dd hh:mm"),INDEX(상세표[종료],$U1819)&amp;""))</f>
        <v/>
      </c>
      <c r="P1819" s="20">
        <f>IF($U1819="","",INDEX(상세표[06~07시],$U1819))</f>
        <v/>
      </c>
      <c r="Q1819" s="20">
        <f>IF($U1819="","",INDEX(상세표[07~18시],$U1819))</f>
        <v/>
      </c>
      <c r="R1819" s="20">
        <f>IF($U1819="","",INDEX(상세표[18~22시],$U1819))</f>
        <v/>
      </c>
      <c r="S1819" s="20">
        <f>IF($U1819="","",INDEX(상세표[22~06시],$U1819))</f>
        <v/>
      </c>
      <c r="T1819" s="20">
        <f>IF($U1819="","",INDEX(상세표[기록 시간외],$U1819))</f>
        <v/>
      </c>
      <c r="U1819" s="4">
        <f>IFERROR(MATCH(1814,상세표[발송순번],0),"")</f>
        <v/>
      </c>
    </row>
    <row r="1820">
      <c r="J1820">
        <f>IF($U1820="","",INDEX(상세표[사번],$U1820)&amp;"")</f>
        <v/>
      </c>
      <c r="K1820">
        <f>IF($U1820="","",INDEX(상세표[성명],$U1820)&amp;"")</f>
        <v/>
      </c>
      <c r="L1820">
        <f>IF($U1820="","",INDEX(상세표[직위],$U1820)&amp;"")</f>
        <v/>
      </c>
      <c r="M1820">
        <f>IF($U1820="","",IF(ISNUMBER(INDEX(상세표[근무일자],$U1820)),TEXT(INDEX(상세표[근무일자],$U1820),"yyyy-mm-dd"),INDEX(상세표[근무일자],$U1820)&amp;""))</f>
        <v/>
      </c>
      <c r="N1820">
        <f>IF($U1820="","",IF(ISNUMBER(INDEX(상세표[시작],$U1820)),TEXT(INDEX(상세표[시작],$U1820),"yyyy-mm-dd hh:mm"),INDEX(상세표[시작],$U1820)&amp;""))</f>
        <v/>
      </c>
      <c r="O1820">
        <f>IF($U1820="","",IF(ISNUMBER(INDEX(상세표[종료],$U1820)),TEXT(INDEX(상세표[종료],$U1820),"yyyy-mm-dd hh:mm"),INDEX(상세표[종료],$U1820)&amp;""))</f>
        <v/>
      </c>
      <c r="P1820" s="20">
        <f>IF($U1820="","",INDEX(상세표[06~07시],$U1820))</f>
        <v/>
      </c>
      <c r="Q1820" s="20">
        <f>IF($U1820="","",INDEX(상세표[07~18시],$U1820))</f>
        <v/>
      </c>
      <c r="R1820" s="20">
        <f>IF($U1820="","",INDEX(상세표[18~22시],$U1820))</f>
        <v/>
      </c>
      <c r="S1820" s="20">
        <f>IF($U1820="","",INDEX(상세표[22~06시],$U1820))</f>
        <v/>
      </c>
      <c r="T1820" s="20">
        <f>IF($U1820="","",INDEX(상세표[기록 시간외],$U1820))</f>
        <v/>
      </c>
      <c r="U1820" s="4">
        <f>IFERROR(MATCH(1815,상세표[발송순번],0),"")</f>
        <v/>
      </c>
    </row>
    <row r="1821">
      <c r="J1821">
        <f>IF($U1821="","",INDEX(상세표[사번],$U1821)&amp;"")</f>
        <v/>
      </c>
      <c r="K1821">
        <f>IF($U1821="","",INDEX(상세표[성명],$U1821)&amp;"")</f>
        <v/>
      </c>
      <c r="L1821">
        <f>IF($U1821="","",INDEX(상세표[직위],$U1821)&amp;"")</f>
        <v/>
      </c>
      <c r="M1821">
        <f>IF($U1821="","",IF(ISNUMBER(INDEX(상세표[근무일자],$U1821)),TEXT(INDEX(상세표[근무일자],$U1821),"yyyy-mm-dd"),INDEX(상세표[근무일자],$U1821)&amp;""))</f>
        <v/>
      </c>
      <c r="N1821">
        <f>IF($U1821="","",IF(ISNUMBER(INDEX(상세표[시작],$U1821)),TEXT(INDEX(상세표[시작],$U1821),"yyyy-mm-dd hh:mm"),INDEX(상세표[시작],$U1821)&amp;""))</f>
        <v/>
      </c>
      <c r="O1821">
        <f>IF($U1821="","",IF(ISNUMBER(INDEX(상세표[종료],$U1821)),TEXT(INDEX(상세표[종료],$U1821),"yyyy-mm-dd hh:mm"),INDEX(상세표[종료],$U1821)&amp;""))</f>
        <v/>
      </c>
      <c r="P1821" s="20">
        <f>IF($U1821="","",INDEX(상세표[06~07시],$U1821))</f>
        <v/>
      </c>
      <c r="Q1821" s="20">
        <f>IF($U1821="","",INDEX(상세표[07~18시],$U1821))</f>
        <v/>
      </c>
      <c r="R1821" s="20">
        <f>IF($U1821="","",INDEX(상세표[18~22시],$U1821))</f>
        <v/>
      </c>
      <c r="S1821" s="20">
        <f>IF($U1821="","",INDEX(상세표[22~06시],$U1821))</f>
        <v/>
      </c>
      <c r="T1821" s="20">
        <f>IF($U1821="","",INDEX(상세표[기록 시간외],$U1821))</f>
        <v/>
      </c>
      <c r="U1821" s="4">
        <f>IFERROR(MATCH(1816,상세표[발송순번],0),"")</f>
        <v/>
      </c>
    </row>
    <row r="1822">
      <c r="J1822">
        <f>IF($U1822="","",INDEX(상세표[사번],$U1822)&amp;"")</f>
        <v/>
      </c>
      <c r="K1822">
        <f>IF($U1822="","",INDEX(상세표[성명],$U1822)&amp;"")</f>
        <v/>
      </c>
      <c r="L1822">
        <f>IF($U1822="","",INDEX(상세표[직위],$U1822)&amp;"")</f>
        <v/>
      </c>
      <c r="M1822">
        <f>IF($U1822="","",IF(ISNUMBER(INDEX(상세표[근무일자],$U1822)),TEXT(INDEX(상세표[근무일자],$U1822),"yyyy-mm-dd"),INDEX(상세표[근무일자],$U1822)&amp;""))</f>
        <v/>
      </c>
      <c r="N1822">
        <f>IF($U1822="","",IF(ISNUMBER(INDEX(상세표[시작],$U1822)),TEXT(INDEX(상세표[시작],$U1822),"yyyy-mm-dd hh:mm"),INDEX(상세표[시작],$U1822)&amp;""))</f>
        <v/>
      </c>
      <c r="O1822">
        <f>IF($U1822="","",IF(ISNUMBER(INDEX(상세표[종료],$U1822)),TEXT(INDEX(상세표[종료],$U1822),"yyyy-mm-dd hh:mm"),INDEX(상세표[종료],$U1822)&amp;""))</f>
        <v/>
      </c>
      <c r="P1822" s="20">
        <f>IF($U1822="","",INDEX(상세표[06~07시],$U1822))</f>
        <v/>
      </c>
      <c r="Q1822" s="20">
        <f>IF($U1822="","",INDEX(상세표[07~18시],$U1822))</f>
        <v/>
      </c>
      <c r="R1822" s="20">
        <f>IF($U1822="","",INDEX(상세표[18~22시],$U1822))</f>
        <v/>
      </c>
      <c r="S1822" s="20">
        <f>IF($U1822="","",INDEX(상세표[22~06시],$U1822))</f>
        <v/>
      </c>
      <c r="T1822" s="20">
        <f>IF($U1822="","",INDEX(상세표[기록 시간외],$U1822))</f>
        <v/>
      </c>
      <c r="U1822" s="4">
        <f>IFERROR(MATCH(1817,상세표[발송순번],0),"")</f>
        <v/>
      </c>
    </row>
    <row r="1823">
      <c r="J1823">
        <f>IF($U1823="","",INDEX(상세표[사번],$U1823)&amp;"")</f>
        <v/>
      </c>
      <c r="K1823">
        <f>IF($U1823="","",INDEX(상세표[성명],$U1823)&amp;"")</f>
        <v/>
      </c>
      <c r="L1823">
        <f>IF($U1823="","",INDEX(상세표[직위],$U1823)&amp;"")</f>
        <v/>
      </c>
      <c r="M1823">
        <f>IF($U1823="","",IF(ISNUMBER(INDEX(상세표[근무일자],$U1823)),TEXT(INDEX(상세표[근무일자],$U1823),"yyyy-mm-dd"),INDEX(상세표[근무일자],$U1823)&amp;""))</f>
        <v/>
      </c>
      <c r="N1823">
        <f>IF($U1823="","",IF(ISNUMBER(INDEX(상세표[시작],$U1823)),TEXT(INDEX(상세표[시작],$U1823),"yyyy-mm-dd hh:mm"),INDEX(상세표[시작],$U1823)&amp;""))</f>
        <v/>
      </c>
      <c r="O1823">
        <f>IF($U1823="","",IF(ISNUMBER(INDEX(상세표[종료],$U1823)),TEXT(INDEX(상세표[종료],$U1823),"yyyy-mm-dd hh:mm"),INDEX(상세표[종료],$U1823)&amp;""))</f>
        <v/>
      </c>
      <c r="P1823" s="20">
        <f>IF($U1823="","",INDEX(상세표[06~07시],$U1823))</f>
        <v/>
      </c>
      <c r="Q1823" s="20">
        <f>IF($U1823="","",INDEX(상세표[07~18시],$U1823))</f>
        <v/>
      </c>
      <c r="R1823" s="20">
        <f>IF($U1823="","",INDEX(상세표[18~22시],$U1823))</f>
        <v/>
      </c>
      <c r="S1823" s="20">
        <f>IF($U1823="","",INDEX(상세표[22~06시],$U1823))</f>
        <v/>
      </c>
      <c r="T1823" s="20">
        <f>IF($U1823="","",INDEX(상세표[기록 시간외],$U1823))</f>
        <v/>
      </c>
      <c r="U1823" s="4">
        <f>IFERROR(MATCH(1818,상세표[발송순번],0),"")</f>
        <v/>
      </c>
    </row>
    <row r="1824">
      <c r="J1824">
        <f>IF($U1824="","",INDEX(상세표[사번],$U1824)&amp;"")</f>
        <v/>
      </c>
      <c r="K1824">
        <f>IF($U1824="","",INDEX(상세표[성명],$U1824)&amp;"")</f>
        <v/>
      </c>
      <c r="L1824">
        <f>IF($U1824="","",INDEX(상세표[직위],$U1824)&amp;"")</f>
        <v/>
      </c>
      <c r="M1824">
        <f>IF($U1824="","",IF(ISNUMBER(INDEX(상세표[근무일자],$U1824)),TEXT(INDEX(상세표[근무일자],$U1824),"yyyy-mm-dd"),INDEX(상세표[근무일자],$U1824)&amp;""))</f>
        <v/>
      </c>
      <c r="N1824">
        <f>IF($U1824="","",IF(ISNUMBER(INDEX(상세표[시작],$U1824)),TEXT(INDEX(상세표[시작],$U1824),"yyyy-mm-dd hh:mm"),INDEX(상세표[시작],$U1824)&amp;""))</f>
        <v/>
      </c>
      <c r="O1824">
        <f>IF($U1824="","",IF(ISNUMBER(INDEX(상세표[종료],$U1824)),TEXT(INDEX(상세표[종료],$U1824),"yyyy-mm-dd hh:mm"),INDEX(상세표[종료],$U1824)&amp;""))</f>
        <v/>
      </c>
      <c r="P1824" s="20">
        <f>IF($U1824="","",INDEX(상세표[06~07시],$U1824))</f>
        <v/>
      </c>
      <c r="Q1824" s="20">
        <f>IF($U1824="","",INDEX(상세표[07~18시],$U1824))</f>
        <v/>
      </c>
      <c r="R1824" s="20">
        <f>IF($U1824="","",INDEX(상세표[18~22시],$U1824))</f>
        <v/>
      </c>
      <c r="S1824" s="20">
        <f>IF($U1824="","",INDEX(상세표[22~06시],$U1824))</f>
        <v/>
      </c>
      <c r="T1824" s="20">
        <f>IF($U1824="","",INDEX(상세표[기록 시간외],$U1824))</f>
        <v/>
      </c>
      <c r="U1824" s="4">
        <f>IFERROR(MATCH(1819,상세표[발송순번],0),"")</f>
        <v/>
      </c>
    </row>
    <row r="1825">
      <c r="J1825">
        <f>IF($U1825="","",INDEX(상세표[사번],$U1825)&amp;"")</f>
        <v/>
      </c>
      <c r="K1825">
        <f>IF($U1825="","",INDEX(상세표[성명],$U1825)&amp;"")</f>
        <v/>
      </c>
      <c r="L1825">
        <f>IF($U1825="","",INDEX(상세표[직위],$U1825)&amp;"")</f>
        <v/>
      </c>
      <c r="M1825">
        <f>IF($U1825="","",IF(ISNUMBER(INDEX(상세표[근무일자],$U1825)),TEXT(INDEX(상세표[근무일자],$U1825),"yyyy-mm-dd"),INDEX(상세표[근무일자],$U1825)&amp;""))</f>
        <v/>
      </c>
      <c r="N1825">
        <f>IF($U1825="","",IF(ISNUMBER(INDEX(상세표[시작],$U1825)),TEXT(INDEX(상세표[시작],$U1825),"yyyy-mm-dd hh:mm"),INDEX(상세표[시작],$U1825)&amp;""))</f>
        <v/>
      </c>
      <c r="O1825">
        <f>IF($U1825="","",IF(ISNUMBER(INDEX(상세표[종료],$U1825)),TEXT(INDEX(상세표[종료],$U1825),"yyyy-mm-dd hh:mm"),INDEX(상세표[종료],$U1825)&amp;""))</f>
        <v/>
      </c>
      <c r="P1825" s="20">
        <f>IF($U1825="","",INDEX(상세표[06~07시],$U1825))</f>
        <v/>
      </c>
      <c r="Q1825" s="20">
        <f>IF($U1825="","",INDEX(상세표[07~18시],$U1825))</f>
        <v/>
      </c>
      <c r="R1825" s="20">
        <f>IF($U1825="","",INDEX(상세표[18~22시],$U1825))</f>
        <v/>
      </c>
      <c r="S1825" s="20">
        <f>IF($U1825="","",INDEX(상세표[22~06시],$U1825))</f>
        <v/>
      </c>
      <c r="T1825" s="20">
        <f>IF($U1825="","",INDEX(상세표[기록 시간외],$U1825))</f>
        <v/>
      </c>
      <c r="U1825" s="4">
        <f>IFERROR(MATCH(1820,상세표[발송순번],0),"")</f>
        <v/>
      </c>
    </row>
    <row r="1826">
      <c r="J1826">
        <f>IF($U1826="","",INDEX(상세표[사번],$U1826)&amp;"")</f>
        <v/>
      </c>
      <c r="K1826">
        <f>IF($U1826="","",INDEX(상세표[성명],$U1826)&amp;"")</f>
        <v/>
      </c>
      <c r="L1826">
        <f>IF($U1826="","",INDEX(상세표[직위],$U1826)&amp;"")</f>
        <v/>
      </c>
      <c r="M1826">
        <f>IF($U1826="","",IF(ISNUMBER(INDEX(상세표[근무일자],$U1826)),TEXT(INDEX(상세표[근무일자],$U1826),"yyyy-mm-dd"),INDEX(상세표[근무일자],$U1826)&amp;""))</f>
        <v/>
      </c>
      <c r="N1826">
        <f>IF($U1826="","",IF(ISNUMBER(INDEX(상세표[시작],$U1826)),TEXT(INDEX(상세표[시작],$U1826),"yyyy-mm-dd hh:mm"),INDEX(상세표[시작],$U1826)&amp;""))</f>
        <v/>
      </c>
      <c r="O1826">
        <f>IF($U1826="","",IF(ISNUMBER(INDEX(상세표[종료],$U1826)),TEXT(INDEX(상세표[종료],$U1826),"yyyy-mm-dd hh:mm"),INDEX(상세표[종료],$U1826)&amp;""))</f>
        <v/>
      </c>
      <c r="P1826" s="20">
        <f>IF($U1826="","",INDEX(상세표[06~07시],$U1826))</f>
        <v/>
      </c>
      <c r="Q1826" s="20">
        <f>IF($U1826="","",INDEX(상세표[07~18시],$U1826))</f>
        <v/>
      </c>
      <c r="R1826" s="20">
        <f>IF($U1826="","",INDEX(상세표[18~22시],$U1826))</f>
        <v/>
      </c>
      <c r="S1826" s="20">
        <f>IF($U1826="","",INDEX(상세표[22~06시],$U1826))</f>
        <v/>
      </c>
      <c r="T1826" s="20">
        <f>IF($U1826="","",INDEX(상세표[기록 시간외],$U1826))</f>
        <v/>
      </c>
      <c r="U1826" s="4">
        <f>IFERROR(MATCH(1821,상세표[발송순번],0),"")</f>
        <v/>
      </c>
    </row>
    <row r="1827">
      <c r="J1827">
        <f>IF($U1827="","",INDEX(상세표[사번],$U1827)&amp;"")</f>
        <v/>
      </c>
      <c r="K1827">
        <f>IF($U1827="","",INDEX(상세표[성명],$U1827)&amp;"")</f>
        <v/>
      </c>
      <c r="L1827">
        <f>IF($U1827="","",INDEX(상세표[직위],$U1827)&amp;"")</f>
        <v/>
      </c>
      <c r="M1827">
        <f>IF($U1827="","",IF(ISNUMBER(INDEX(상세표[근무일자],$U1827)),TEXT(INDEX(상세표[근무일자],$U1827),"yyyy-mm-dd"),INDEX(상세표[근무일자],$U1827)&amp;""))</f>
        <v/>
      </c>
      <c r="N1827">
        <f>IF($U1827="","",IF(ISNUMBER(INDEX(상세표[시작],$U1827)),TEXT(INDEX(상세표[시작],$U1827),"yyyy-mm-dd hh:mm"),INDEX(상세표[시작],$U1827)&amp;""))</f>
        <v/>
      </c>
      <c r="O1827">
        <f>IF($U1827="","",IF(ISNUMBER(INDEX(상세표[종료],$U1827)),TEXT(INDEX(상세표[종료],$U1827),"yyyy-mm-dd hh:mm"),INDEX(상세표[종료],$U1827)&amp;""))</f>
        <v/>
      </c>
      <c r="P1827" s="20">
        <f>IF($U1827="","",INDEX(상세표[06~07시],$U1827))</f>
        <v/>
      </c>
      <c r="Q1827" s="20">
        <f>IF($U1827="","",INDEX(상세표[07~18시],$U1827))</f>
        <v/>
      </c>
      <c r="R1827" s="20">
        <f>IF($U1827="","",INDEX(상세표[18~22시],$U1827))</f>
        <v/>
      </c>
      <c r="S1827" s="20">
        <f>IF($U1827="","",INDEX(상세표[22~06시],$U1827))</f>
        <v/>
      </c>
      <c r="T1827" s="20">
        <f>IF($U1827="","",INDEX(상세표[기록 시간외],$U1827))</f>
        <v/>
      </c>
      <c r="U1827" s="4">
        <f>IFERROR(MATCH(1822,상세표[발송순번],0),"")</f>
        <v/>
      </c>
    </row>
    <row r="1828">
      <c r="J1828">
        <f>IF($U1828="","",INDEX(상세표[사번],$U1828)&amp;"")</f>
        <v/>
      </c>
      <c r="K1828">
        <f>IF($U1828="","",INDEX(상세표[성명],$U1828)&amp;"")</f>
        <v/>
      </c>
      <c r="L1828">
        <f>IF($U1828="","",INDEX(상세표[직위],$U1828)&amp;"")</f>
        <v/>
      </c>
      <c r="M1828">
        <f>IF($U1828="","",IF(ISNUMBER(INDEX(상세표[근무일자],$U1828)),TEXT(INDEX(상세표[근무일자],$U1828),"yyyy-mm-dd"),INDEX(상세표[근무일자],$U1828)&amp;""))</f>
        <v/>
      </c>
      <c r="N1828">
        <f>IF($U1828="","",IF(ISNUMBER(INDEX(상세표[시작],$U1828)),TEXT(INDEX(상세표[시작],$U1828),"yyyy-mm-dd hh:mm"),INDEX(상세표[시작],$U1828)&amp;""))</f>
        <v/>
      </c>
      <c r="O1828">
        <f>IF($U1828="","",IF(ISNUMBER(INDEX(상세표[종료],$U1828)),TEXT(INDEX(상세표[종료],$U1828),"yyyy-mm-dd hh:mm"),INDEX(상세표[종료],$U1828)&amp;""))</f>
        <v/>
      </c>
      <c r="P1828" s="20">
        <f>IF($U1828="","",INDEX(상세표[06~07시],$U1828))</f>
        <v/>
      </c>
      <c r="Q1828" s="20">
        <f>IF($U1828="","",INDEX(상세표[07~18시],$U1828))</f>
        <v/>
      </c>
      <c r="R1828" s="20">
        <f>IF($U1828="","",INDEX(상세표[18~22시],$U1828))</f>
        <v/>
      </c>
      <c r="S1828" s="20">
        <f>IF($U1828="","",INDEX(상세표[22~06시],$U1828))</f>
        <v/>
      </c>
      <c r="T1828" s="20">
        <f>IF($U1828="","",INDEX(상세표[기록 시간외],$U1828))</f>
        <v/>
      </c>
      <c r="U1828" s="4">
        <f>IFERROR(MATCH(1823,상세표[발송순번],0),"")</f>
        <v/>
      </c>
    </row>
    <row r="1829">
      <c r="J1829">
        <f>IF($U1829="","",INDEX(상세표[사번],$U1829)&amp;"")</f>
        <v/>
      </c>
      <c r="K1829">
        <f>IF($U1829="","",INDEX(상세표[성명],$U1829)&amp;"")</f>
        <v/>
      </c>
      <c r="L1829">
        <f>IF($U1829="","",INDEX(상세표[직위],$U1829)&amp;"")</f>
        <v/>
      </c>
      <c r="M1829">
        <f>IF($U1829="","",IF(ISNUMBER(INDEX(상세표[근무일자],$U1829)),TEXT(INDEX(상세표[근무일자],$U1829),"yyyy-mm-dd"),INDEX(상세표[근무일자],$U1829)&amp;""))</f>
        <v/>
      </c>
      <c r="N1829">
        <f>IF($U1829="","",IF(ISNUMBER(INDEX(상세표[시작],$U1829)),TEXT(INDEX(상세표[시작],$U1829),"yyyy-mm-dd hh:mm"),INDEX(상세표[시작],$U1829)&amp;""))</f>
        <v/>
      </c>
      <c r="O1829">
        <f>IF($U1829="","",IF(ISNUMBER(INDEX(상세표[종료],$U1829)),TEXT(INDEX(상세표[종료],$U1829),"yyyy-mm-dd hh:mm"),INDEX(상세표[종료],$U1829)&amp;""))</f>
        <v/>
      </c>
      <c r="P1829" s="20">
        <f>IF($U1829="","",INDEX(상세표[06~07시],$U1829))</f>
        <v/>
      </c>
      <c r="Q1829" s="20">
        <f>IF($U1829="","",INDEX(상세표[07~18시],$U1829))</f>
        <v/>
      </c>
      <c r="R1829" s="20">
        <f>IF($U1829="","",INDEX(상세표[18~22시],$U1829))</f>
        <v/>
      </c>
      <c r="S1829" s="20">
        <f>IF($U1829="","",INDEX(상세표[22~06시],$U1829))</f>
        <v/>
      </c>
      <c r="T1829" s="20">
        <f>IF($U1829="","",INDEX(상세표[기록 시간외],$U1829))</f>
        <v/>
      </c>
      <c r="U1829" s="4">
        <f>IFERROR(MATCH(1824,상세표[발송순번],0),"")</f>
        <v/>
      </c>
    </row>
    <row r="1830">
      <c r="J1830">
        <f>IF($U1830="","",INDEX(상세표[사번],$U1830)&amp;"")</f>
        <v/>
      </c>
      <c r="K1830">
        <f>IF($U1830="","",INDEX(상세표[성명],$U1830)&amp;"")</f>
        <v/>
      </c>
      <c r="L1830">
        <f>IF($U1830="","",INDEX(상세표[직위],$U1830)&amp;"")</f>
        <v/>
      </c>
      <c r="M1830">
        <f>IF($U1830="","",IF(ISNUMBER(INDEX(상세표[근무일자],$U1830)),TEXT(INDEX(상세표[근무일자],$U1830),"yyyy-mm-dd"),INDEX(상세표[근무일자],$U1830)&amp;""))</f>
        <v/>
      </c>
      <c r="N1830">
        <f>IF($U1830="","",IF(ISNUMBER(INDEX(상세표[시작],$U1830)),TEXT(INDEX(상세표[시작],$U1830),"yyyy-mm-dd hh:mm"),INDEX(상세표[시작],$U1830)&amp;""))</f>
        <v/>
      </c>
      <c r="O1830">
        <f>IF($U1830="","",IF(ISNUMBER(INDEX(상세표[종료],$U1830)),TEXT(INDEX(상세표[종료],$U1830),"yyyy-mm-dd hh:mm"),INDEX(상세표[종료],$U1830)&amp;""))</f>
        <v/>
      </c>
      <c r="P1830" s="20">
        <f>IF($U1830="","",INDEX(상세표[06~07시],$U1830))</f>
        <v/>
      </c>
      <c r="Q1830" s="20">
        <f>IF($U1830="","",INDEX(상세표[07~18시],$U1830))</f>
        <v/>
      </c>
      <c r="R1830" s="20">
        <f>IF($U1830="","",INDEX(상세표[18~22시],$U1830))</f>
        <v/>
      </c>
      <c r="S1830" s="20">
        <f>IF($U1830="","",INDEX(상세표[22~06시],$U1830))</f>
        <v/>
      </c>
      <c r="T1830" s="20">
        <f>IF($U1830="","",INDEX(상세표[기록 시간외],$U1830))</f>
        <v/>
      </c>
      <c r="U1830" s="4">
        <f>IFERROR(MATCH(1825,상세표[발송순번],0),"")</f>
        <v/>
      </c>
    </row>
    <row r="1831">
      <c r="J1831">
        <f>IF($U1831="","",INDEX(상세표[사번],$U1831)&amp;"")</f>
        <v/>
      </c>
      <c r="K1831">
        <f>IF($U1831="","",INDEX(상세표[성명],$U1831)&amp;"")</f>
        <v/>
      </c>
      <c r="L1831">
        <f>IF($U1831="","",INDEX(상세표[직위],$U1831)&amp;"")</f>
        <v/>
      </c>
      <c r="M1831">
        <f>IF($U1831="","",IF(ISNUMBER(INDEX(상세표[근무일자],$U1831)),TEXT(INDEX(상세표[근무일자],$U1831),"yyyy-mm-dd"),INDEX(상세표[근무일자],$U1831)&amp;""))</f>
        <v/>
      </c>
      <c r="N1831">
        <f>IF($U1831="","",IF(ISNUMBER(INDEX(상세표[시작],$U1831)),TEXT(INDEX(상세표[시작],$U1831),"yyyy-mm-dd hh:mm"),INDEX(상세표[시작],$U1831)&amp;""))</f>
        <v/>
      </c>
      <c r="O1831">
        <f>IF($U1831="","",IF(ISNUMBER(INDEX(상세표[종료],$U1831)),TEXT(INDEX(상세표[종료],$U1831),"yyyy-mm-dd hh:mm"),INDEX(상세표[종료],$U1831)&amp;""))</f>
        <v/>
      </c>
      <c r="P1831" s="20">
        <f>IF($U1831="","",INDEX(상세표[06~07시],$U1831))</f>
        <v/>
      </c>
      <c r="Q1831" s="20">
        <f>IF($U1831="","",INDEX(상세표[07~18시],$U1831))</f>
        <v/>
      </c>
      <c r="R1831" s="20">
        <f>IF($U1831="","",INDEX(상세표[18~22시],$U1831))</f>
        <v/>
      </c>
      <c r="S1831" s="20">
        <f>IF($U1831="","",INDEX(상세표[22~06시],$U1831))</f>
        <v/>
      </c>
      <c r="T1831" s="20">
        <f>IF($U1831="","",INDEX(상세표[기록 시간외],$U1831))</f>
        <v/>
      </c>
      <c r="U1831" s="4">
        <f>IFERROR(MATCH(1826,상세표[발송순번],0),"")</f>
        <v/>
      </c>
    </row>
    <row r="1832">
      <c r="J1832">
        <f>IF($U1832="","",INDEX(상세표[사번],$U1832)&amp;"")</f>
        <v/>
      </c>
      <c r="K1832">
        <f>IF($U1832="","",INDEX(상세표[성명],$U1832)&amp;"")</f>
        <v/>
      </c>
      <c r="L1832">
        <f>IF($U1832="","",INDEX(상세표[직위],$U1832)&amp;"")</f>
        <v/>
      </c>
      <c r="M1832">
        <f>IF($U1832="","",IF(ISNUMBER(INDEX(상세표[근무일자],$U1832)),TEXT(INDEX(상세표[근무일자],$U1832),"yyyy-mm-dd"),INDEX(상세표[근무일자],$U1832)&amp;""))</f>
        <v/>
      </c>
      <c r="N1832">
        <f>IF($U1832="","",IF(ISNUMBER(INDEX(상세표[시작],$U1832)),TEXT(INDEX(상세표[시작],$U1832),"yyyy-mm-dd hh:mm"),INDEX(상세표[시작],$U1832)&amp;""))</f>
        <v/>
      </c>
      <c r="O1832">
        <f>IF($U1832="","",IF(ISNUMBER(INDEX(상세표[종료],$U1832)),TEXT(INDEX(상세표[종료],$U1832),"yyyy-mm-dd hh:mm"),INDEX(상세표[종료],$U1832)&amp;""))</f>
        <v/>
      </c>
      <c r="P1832" s="20">
        <f>IF($U1832="","",INDEX(상세표[06~07시],$U1832))</f>
        <v/>
      </c>
      <c r="Q1832" s="20">
        <f>IF($U1832="","",INDEX(상세표[07~18시],$U1832))</f>
        <v/>
      </c>
      <c r="R1832" s="20">
        <f>IF($U1832="","",INDEX(상세표[18~22시],$U1832))</f>
        <v/>
      </c>
      <c r="S1832" s="20">
        <f>IF($U1832="","",INDEX(상세표[22~06시],$U1832))</f>
        <v/>
      </c>
      <c r="T1832" s="20">
        <f>IF($U1832="","",INDEX(상세표[기록 시간외],$U1832))</f>
        <v/>
      </c>
      <c r="U1832" s="4">
        <f>IFERROR(MATCH(1827,상세표[발송순번],0),"")</f>
        <v/>
      </c>
    </row>
    <row r="1833">
      <c r="J1833">
        <f>IF($U1833="","",INDEX(상세표[사번],$U1833)&amp;"")</f>
        <v/>
      </c>
      <c r="K1833">
        <f>IF($U1833="","",INDEX(상세표[성명],$U1833)&amp;"")</f>
        <v/>
      </c>
      <c r="L1833">
        <f>IF($U1833="","",INDEX(상세표[직위],$U1833)&amp;"")</f>
        <v/>
      </c>
      <c r="M1833">
        <f>IF($U1833="","",IF(ISNUMBER(INDEX(상세표[근무일자],$U1833)),TEXT(INDEX(상세표[근무일자],$U1833),"yyyy-mm-dd"),INDEX(상세표[근무일자],$U1833)&amp;""))</f>
        <v/>
      </c>
      <c r="N1833">
        <f>IF($U1833="","",IF(ISNUMBER(INDEX(상세표[시작],$U1833)),TEXT(INDEX(상세표[시작],$U1833),"yyyy-mm-dd hh:mm"),INDEX(상세표[시작],$U1833)&amp;""))</f>
        <v/>
      </c>
      <c r="O1833">
        <f>IF($U1833="","",IF(ISNUMBER(INDEX(상세표[종료],$U1833)),TEXT(INDEX(상세표[종료],$U1833),"yyyy-mm-dd hh:mm"),INDEX(상세표[종료],$U1833)&amp;""))</f>
        <v/>
      </c>
      <c r="P1833" s="20">
        <f>IF($U1833="","",INDEX(상세표[06~07시],$U1833))</f>
        <v/>
      </c>
      <c r="Q1833" s="20">
        <f>IF($U1833="","",INDEX(상세표[07~18시],$U1833))</f>
        <v/>
      </c>
      <c r="R1833" s="20">
        <f>IF($U1833="","",INDEX(상세표[18~22시],$U1833))</f>
        <v/>
      </c>
      <c r="S1833" s="20">
        <f>IF($U1833="","",INDEX(상세표[22~06시],$U1833))</f>
        <v/>
      </c>
      <c r="T1833" s="20">
        <f>IF($U1833="","",INDEX(상세표[기록 시간외],$U1833))</f>
        <v/>
      </c>
      <c r="U1833" s="4">
        <f>IFERROR(MATCH(1828,상세표[발송순번],0),"")</f>
        <v/>
      </c>
    </row>
    <row r="1834">
      <c r="J1834">
        <f>IF($U1834="","",INDEX(상세표[사번],$U1834)&amp;"")</f>
        <v/>
      </c>
      <c r="K1834">
        <f>IF($U1834="","",INDEX(상세표[성명],$U1834)&amp;"")</f>
        <v/>
      </c>
      <c r="L1834">
        <f>IF($U1834="","",INDEX(상세표[직위],$U1834)&amp;"")</f>
        <v/>
      </c>
      <c r="M1834">
        <f>IF($U1834="","",IF(ISNUMBER(INDEX(상세표[근무일자],$U1834)),TEXT(INDEX(상세표[근무일자],$U1834),"yyyy-mm-dd"),INDEX(상세표[근무일자],$U1834)&amp;""))</f>
        <v/>
      </c>
      <c r="N1834">
        <f>IF($U1834="","",IF(ISNUMBER(INDEX(상세표[시작],$U1834)),TEXT(INDEX(상세표[시작],$U1834),"yyyy-mm-dd hh:mm"),INDEX(상세표[시작],$U1834)&amp;""))</f>
        <v/>
      </c>
      <c r="O1834">
        <f>IF($U1834="","",IF(ISNUMBER(INDEX(상세표[종료],$U1834)),TEXT(INDEX(상세표[종료],$U1834),"yyyy-mm-dd hh:mm"),INDEX(상세표[종료],$U1834)&amp;""))</f>
        <v/>
      </c>
      <c r="P1834" s="20">
        <f>IF($U1834="","",INDEX(상세표[06~07시],$U1834))</f>
        <v/>
      </c>
      <c r="Q1834" s="20">
        <f>IF($U1834="","",INDEX(상세표[07~18시],$U1834))</f>
        <v/>
      </c>
      <c r="R1834" s="20">
        <f>IF($U1834="","",INDEX(상세표[18~22시],$U1834))</f>
        <v/>
      </c>
      <c r="S1834" s="20">
        <f>IF($U1834="","",INDEX(상세표[22~06시],$U1834))</f>
        <v/>
      </c>
      <c r="T1834" s="20">
        <f>IF($U1834="","",INDEX(상세표[기록 시간외],$U1834))</f>
        <v/>
      </c>
      <c r="U1834" s="4">
        <f>IFERROR(MATCH(1829,상세표[발송순번],0),"")</f>
        <v/>
      </c>
    </row>
    <row r="1835">
      <c r="J1835">
        <f>IF($U1835="","",INDEX(상세표[사번],$U1835)&amp;"")</f>
        <v/>
      </c>
      <c r="K1835">
        <f>IF($U1835="","",INDEX(상세표[성명],$U1835)&amp;"")</f>
        <v/>
      </c>
      <c r="L1835">
        <f>IF($U1835="","",INDEX(상세표[직위],$U1835)&amp;"")</f>
        <v/>
      </c>
      <c r="M1835">
        <f>IF($U1835="","",IF(ISNUMBER(INDEX(상세표[근무일자],$U1835)),TEXT(INDEX(상세표[근무일자],$U1835),"yyyy-mm-dd"),INDEX(상세표[근무일자],$U1835)&amp;""))</f>
        <v/>
      </c>
      <c r="N1835">
        <f>IF($U1835="","",IF(ISNUMBER(INDEX(상세표[시작],$U1835)),TEXT(INDEX(상세표[시작],$U1835),"yyyy-mm-dd hh:mm"),INDEX(상세표[시작],$U1835)&amp;""))</f>
        <v/>
      </c>
      <c r="O1835">
        <f>IF($U1835="","",IF(ISNUMBER(INDEX(상세표[종료],$U1835)),TEXT(INDEX(상세표[종료],$U1835),"yyyy-mm-dd hh:mm"),INDEX(상세표[종료],$U1835)&amp;""))</f>
        <v/>
      </c>
      <c r="P1835" s="20">
        <f>IF($U1835="","",INDEX(상세표[06~07시],$U1835))</f>
        <v/>
      </c>
      <c r="Q1835" s="20">
        <f>IF($U1835="","",INDEX(상세표[07~18시],$U1835))</f>
        <v/>
      </c>
      <c r="R1835" s="20">
        <f>IF($U1835="","",INDEX(상세표[18~22시],$U1835))</f>
        <v/>
      </c>
      <c r="S1835" s="20">
        <f>IF($U1835="","",INDEX(상세표[22~06시],$U1835))</f>
        <v/>
      </c>
      <c r="T1835" s="20">
        <f>IF($U1835="","",INDEX(상세표[기록 시간외],$U1835))</f>
        <v/>
      </c>
      <c r="U1835" s="4">
        <f>IFERROR(MATCH(1830,상세표[발송순번],0),"")</f>
        <v/>
      </c>
    </row>
    <row r="1836">
      <c r="J1836">
        <f>IF($U1836="","",INDEX(상세표[사번],$U1836)&amp;"")</f>
        <v/>
      </c>
      <c r="K1836">
        <f>IF($U1836="","",INDEX(상세표[성명],$U1836)&amp;"")</f>
        <v/>
      </c>
      <c r="L1836">
        <f>IF($U1836="","",INDEX(상세표[직위],$U1836)&amp;"")</f>
        <v/>
      </c>
      <c r="M1836">
        <f>IF($U1836="","",IF(ISNUMBER(INDEX(상세표[근무일자],$U1836)),TEXT(INDEX(상세표[근무일자],$U1836),"yyyy-mm-dd"),INDEX(상세표[근무일자],$U1836)&amp;""))</f>
        <v/>
      </c>
      <c r="N1836">
        <f>IF($U1836="","",IF(ISNUMBER(INDEX(상세표[시작],$U1836)),TEXT(INDEX(상세표[시작],$U1836),"yyyy-mm-dd hh:mm"),INDEX(상세표[시작],$U1836)&amp;""))</f>
        <v/>
      </c>
      <c r="O1836">
        <f>IF($U1836="","",IF(ISNUMBER(INDEX(상세표[종료],$U1836)),TEXT(INDEX(상세표[종료],$U1836),"yyyy-mm-dd hh:mm"),INDEX(상세표[종료],$U1836)&amp;""))</f>
        <v/>
      </c>
      <c r="P1836" s="20">
        <f>IF($U1836="","",INDEX(상세표[06~07시],$U1836))</f>
        <v/>
      </c>
      <c r="Q1836" s="20">
        <f>IF($U1836="","",INDEX(상세표[07~18시],$U1836))</f>
        <v/>
      </c>
      <c r="R1836" s="20">
        <f>IF($U1836="","",INDEX(상세표[18~22시],$U1836))</f>
        <v/>
      </c>
      <c r="S1836" s="20">
        <f>IF($U1836="","",INDEX(상세표[22~06시],$U1836))</f>
        <v/>
      </c>
      <c r="T1836" s="20">
        <f>IF($U1836="","",INDEX(상세표[기록 시간외],$U1836))</f>
        <v/>
      </c>
      <c r="U1836" s="4">
        <f>IFERROR(MATCH(1831,상세표[발송순번],0),"")</f>
        <v/>
      </c>
    </row>
    <row r="1837">
      <c r="J1837">
        <f>IF($U1837="","",INDEX(상세표[사번],$U1837)&amp;"")</f>
        <v/>
      </c>
      <c r="K1837">
        <f>IF($U1837="","",INDEX(상세표[성명],$U1837)&amp;"")</f>
        <v/>
      </c>
      <c r="L1837">
        <f>IF($U1837="","",INDEX(상세표[직위],$U1837)&amp;"")</f>
        <v/>
      </c>
      <c r="M1837">
        <f>IF($U1837="","",IF(ISNUMBER(INDEX(상세표[근무일자],$U1837)),TEXT(INDEX(상세표[근무일자],$U1837),"yyyy-mm-dd"),INDEX(상세표[근무일자],$U1837)&amp;""))</f>
        <v/>
      </c>
      <c r="N1837">
        <f>IF($U1837="","",IF(ISNUMBER(INDEX(상세표[시작],$U1837)),TEXT(INDEX(상세표[시작],$U1837),"yyyy-mm-dd hh:mm"),INDEX(상세표[시작],$U1837)&amp;""))</f>
        <v/>
      </c>
      <c r="O1837">
        <f>IF($U1837="","",IF(ISNUMBER(INDEX(상세표[종료],$U1837)),TEXT(INDEX(상세표[종료],$U1837),"yyyy-mm-dd hh:mm"),INDEX(상세표[종료],$U1837)&amp;""))</f>
        <v/>
      </c>
      <c r="P1837" s="20">
        <f>IF($U1837="","",INDEX(상세표[06~07시],$U1837))</f>
        <v/>
      </c>
      <c r="Q1837" s="20">
        <f>IF($U1837="","",INDEX(상세표[07~18시],$U1837))</f>
        <v/>
      </c>
      <c r="R1837" s="20">
        <f>IF($U1837="","",INDEX(상세표[18~22시],$U1837))</f>
        <v/>
      </c>
      <c r="S1837" s="20">
        <f>IF($U1837="","",INDEX(상세표[22~06시],$U1837))</f>
        <v/>
      </c>
      <c r="T1837" s="20">
        <f>IF($U1837="","",INDEX(상세표[기록 시간외],$U1837))</f>
        <v/>
      </c>
      <c r="U1837" s="4">
        <f>IFERROR(MATCH(1832,상세표[발송순번],0),"")</f>
        <v/>
      </c>
    </row>
    <row r="1838">
      <c r="J1838">
        <f>IF($U1838="","",INDEX(상세표[사번],$U1838)&amp;"")</f>
        <v/>
      </c>
      <c r="K1838">
        <f>IF($U1838="","",INDEX(상세표[성명],$U1838)&amp;"")</f>
        <v/>
      </c>
      <c r="L1838">
        <f>IF($U1838="","",INDEX(상세표[직위],$U1838)&amp;"")</f>
        <v/>
      </c>
      <c r="M1838">
        <f>IF($U1838="","",IF(ISNUMBER(INDEX(상세표[근무일자],$U1838)),TEXT(INDEX(상세표[근무일자],$U1838),"yyyy-mm-dd"),INDEX(상세표[근무일자],$U1838)&amp;""))</f>
        <v/>
      </c>
      <c r="N1838">
        <f>IF($U1838="","",IF(ISNUMBER(INDEX(상세표[시작],$U1838)),TEXT(INDEX(상세표[시작],$U1838),"yyyy-mm-dd hh:mm"),INDEX(상세표[시작],$U1838)&amp;""))</f>
        <v/>
      </c>
      <c r="O1838">
        <f>IF($U1838="","",IF(ISNUMBER(INDEX(상세표[종료],$U1838)),TEXT(INDEX(상세표[종료],$U1838),"yyyy-mm-dd hh:mm"),INDEX(상세표[종료],$U1838)&amp;""))</f>
        <v/>
      </c>
      <c r="P1838" s="20">
        <f>IF($U1838="","",INDEX(상세표[06~07시],$U1838))</f>
        <v/>
      </c>
      <c r="Q1838" s="20">
        <f>IF($U1838="","",INDEX(상세표[07~18시],$U1838))</f>
        <v/>
      </c>
      <c r="R1838" s="20">
        <f>IF($U1838="","",INDEX(상세표[18~22시],$U1838))</f>
        <v/>
      </c>
      <c r="S1838" s="20">
        <f>IF($U1838="","",INDEX(상세표[22~06시],$U1838))</f>
        <v/>
      </c>
      <c r="T1838" s="20">
        <f>IF($U1838="","",INDEX(상세표[기록 시간외],$U1838))</f>
        <v/>
      </c>
      <c r="U1838" s="4">
        <f>IFERROR(MATCH(1833,상세표[발송순번],0),"")</f>
        <v/>
      </c>
    </row>
    <row r="1839">
      <c r="J1839">
        <f>IF($U1839="","",INDEX(상세표[사번],$U1839)&amp;"")</f>
        <v/>
      </c>
      <c r="K1839">
        <f>IF($U1839="","",INDEX(상세표[성명],$U1839)&amp;"")</f>
        <v/>
      </c>
      <c r="L1839">
        <f>IF($U1839="","",INDEX(상세표[직위],$U1839)&amp;"")</f>
        <v/>
      </c>
      <c r="M1839">
        <f>IF($U1839="","",IF(ISNUMBER(INDEX(상세표[근무일자],$U1839)),TEXT(INDEX(상세표[근무일자],$U1839),"yyyy-mm-dd"),INDEX(상세표[근무일자],$U1839)&amp;""))</f>
        <v/>
      </c>
      <c r="N1839">
        <f>IF($U1839="","",IF(ISNUMBER(INDEX(상세표[시작],$U1839)),TEXT(INDEX(상세표[시작],$U1839),"yyyy-mm-dd hh:mm"),INDEX(상세표[시작],$U1839)&amp;""))</f>
        <v/>
      </c>
      <c r="O1839">
        <f>IF($U1839="","",IF(ISNUMBER(INDEX(상세표[종료],$U1839)),TEXT(INDEX(상세표[종료],$U1839),"yyyy-mm-dd hh:mm"),INDEX(상세표[종료],$U1839)&amp;""))</f>
        <v/>
      </c>
      <c r="P1839" s="20">
        <f>IF($U1839="","",INDEX(상세표[06~07시],$U1839))</f>
        <v/>
      </c>
      <c r="Q1839" s="20">
        <f>IF($U1839="","",INDEX(상세표[07~18시],$U1839))</f>
        <v/>
      </c>
      <c r="R1839" s="20">
        <f>IF($U1839="","",INDEX(상세표[18~22시],$U1839))</f>
        <v/>
      </c>
      <c r="S1839" s="20">
        <f>IF($U1839="","",INDEX(상세표[22~06시],$U1839))</f>
        <v/>
      </c>
      <c r="T1839" s="20">
        <f>IF($U1839="","",INDEX(상세표[기록 시간외],$U1839))</f>
        <v/>
      </c>
      <c r="U1839" s="4">
        <f>IFERROR(MATCH(1834,상세표[발송순번],0),"")</f>
        <v/>
      </c>
    </row>
    <row r="1840">
      <c r="J1840">
        <f>IF($U1840="","",INDEX(상세표[사번],$U1840)&amp;"")</f>
        <v/>
      </c>
      <c r="K1840">
        <f>IF($U1840="","",INDEX(상세표[성명],$U1840)&amp;"")</f>
        <v/>
      </c>
      <c r="L1840">
        <f>IF($U1840="","",INDEX(상세표[직위],$U1840)&amp;"")</f>
        <v/>
      </c>
      <c r="M1840">
        <f>IF($U1840="","",IF(ISNUMBER(INDEX(상세표[근무일자],$U1840)),TEXT(INDEX(상세표[근무일자],$U1840),"yyyy-mm-dd"),INDEX(상세표[근무일자],$U1840)&amp;""))</f>
        <v/>
      </c>
      <c r="N1840">
        <f>IF($U1840="","",IF(ISNUMBER(INDEX(상세표[시작],$U1840)),TEXT(INDEX(상세표[시작],$U1840),"yyyy-mm-dd hh:mm"),INDEX(상세표[시작],$U1840)&amp;""))</f>
        <v/>
      </c>
      <c r="O1840">
        <f>IF($U1840="","",IF(ISNUMBER(INDEX(상세표[종료],$U1840)),TEXT(INDEX(상세표[종료],$U1840),"yyyy-mm-dd hh:mm"),INDEX(상세표[종료],$U1840)&amp;""))</f>
        <v/>
      </c>
      <c r="P1840" s="20">
        <f>IF($U1840="","",INDEX(상세표[06~07시],$U1840))</f>
        <v/>
      </c>
      <c r="Q1840" s="20">
        <f>IF($U1840="","",INDEX(상세표[07~18시],$U1840))</f>
        <v/>
      </c>
      <c r="R1840" s="20">
        <f>IF($U1840="","",INDEX(상세표[18~22시],$U1840))</f>
        <v/>
      </c>
      <c r="S1840" s="20">
        <f>IF($U1840="","",INDEX(상세표[22~06시],$U1840))</f>
        <v/>
      </c>
      <c r="T1840" s="20">
        <f>IF($U1840="","",INDEX(상세표[기록 시간외],$U1840))</f>
        <v/>
      </c>
      <c r="U1840" s="4">
        <f>IFERROR(MATCH(1835,상세표[발송순번],0),"")</f>
        <v/>
      </c>
    </row>
    <row r="1841">
      <c r="J1841">
        <f>IF($U1841="","",INDEX(상세표[사번],$U1841)&amp;"")</f>
        <v/>
      </c>
      <c r="K1841">
        <f>IF($U1841="","",INDEX(상세표[성명],$U1841)&amp;"")</f>
        <v/>
      </c>
      <c r="L1841">
        <f>IF($U1841="","",INDEX(상세표[직위],$U1841)&amp;"")</f>
        <v/>
      </c>
      <c r="M1841">
        <f>IF($U1841="","",IF(ISNUMBER(INDEX(상세표[근무일자],$U1841)),TEXT(INDEX(상세표[근무일자],$U1841),"yyyy-mm-dd"),INDEX(상세표[근무일자],$U1841)&amp;""))</f>
        <v/>
      </c>
      <c r="N1841">
        <f>IF($U1841="","",IF(ISNUMBER(INDEX(상세표[시작],$U1841)),TEXT(INDEX(상세표[시작],$U1841),"yyyy-mm-dd hh:mm"),INDEX(상세표[시작],$U1841)&amp;""))</f>
        <v/>
      </c>
      <c r="O1841">
        <f>IF($U1841="","",IF(ISNUMBER(INDEX(상세표[종료],$U1841)),TEXT(INDEX(상세표[종료],$U1841),"yyyy-mm-dd hh:mm"),INDEX(상세표[종료],$U1841)&amp;""))</f>
        <v/>
      </c>
      <c r="P1841" s="20">
        <f>IF($U1841="","",INDEX(상세표[06~07시],$U1841))</f>
        <v/>
      </c>
      <c r="Q1841" s="20">
        <f>IF($U1841="","",INDEX(상세표[07~18시],$U1841))</f>
        <v/>
      </c>
      <c r="R1841" s="20">
        <f>IF($U1841="","",INDEX(상세표[18~22시],$U1841))</f>
        <v/>
      </c>
      <c r="S1841" s="20">
        <f>IF($U1841="","",INDEX(상세표[22~06시],$U1841))</f>
        <v/>
      </c>
      <c r="T1841" s="20">
        <f>IF($U1841="","",INDEX(상세표[기록 시간외],$U1841))</f>
        <v/>
      </c>
      <c r="U1841" s="4">
        <f>IFERROR(MATCH(1836,상세표[발송순번],0),"")</f>
        <v/>
      </c>
    </row>
    <row r="1842">
      <c r="J1842">
        <f>IF($U1842="","",INDEX(상세표[사번],$U1842)&amp;"")</f>
        <v/>
      </c>
      <c r="K1842">
        <f>IF($U1842="","",INDEX(상세표[성명],$U1842)&amp;"")</f>
        <v/>
      </c>
      <c r="L1842">
        <f>IF($U1842="","",INDEX(상세표[직위],$U1842)&amp;"")</f>
        <v/>
      </c>
      <c r="M1842">
        <f>IF($U1842="","",IF(ISNUMBER(INDEX(상세표[근무일자],$U1842)),TEXT(INDEX(상세표[근무일자],$U1842),"yyyy-mm-dd"),INDEX(상세표[근무일자],$U1842)&amp;""))</f>
        <v/>
      </c>
      <c r="N1842">
        <f>IF($U1842="","",IF(ISNUMBER(INDEX(상세표[시작],$U1842)),TEXT(INDEX(상세표[시작],$U1842),"yyyy-mm-dd hh:mm"),INDEX(상세표[시작],$U1842)&amp;""))</f>
        <v/>
      </c>
      <c r="O1842">
        <f>IF($U1842="","",IF(ISNUMBER(INDEX(상세표[종료],$U1842)),TEXT(INDEX(상세표[종료],$U1842),"yyyy-mm-dd hh:mm"),INDEX(상세표[종료],$U1842)&amp;""))</f>
        <v/>
      </c>
      <c r="P1842" s="20">
        <f>IF($U1842="","",INDEX(상세표[06~07시],$U1842))</f>
        <v/>
      </c>
      <c r="Q1842" s="20">
        <f>IF($U1842="","",INDEX(상세표[07~18시],$U1842))</f>
        <v/>
      </c>
      <c r="R1842" s="20">
        <f>IF($U1842="","",INDEX(상세표[18~22시],$U1842))</f>
        <v/>
      </c>
      <c r="S1842" s="20">
        <f>IF($U1842="","",INDEX(상세표[22~06시],$U1842))</f>
        <v/>
      </c>
      <c r="T1842" s="20">
        <f>IF($U1842="","",INDEX(상세표[기록 시간외],$U1842))</f>
        <v/>
      </c>
      <c r="U1842" s="4">
        <f>IFERROR(MATCH(1837,상세표[발송순번],0),"")</f>
        <v/>
      </c>
    </row>
    <row r="1843">
      <c r="J1843">
        <f>IF($U1843="","",INDEX(상세표[사번],$U1843)&amp;"")</f>
        <v/>
      </c>
      <c r="K1843">
        <f>IF($U1843="","",INDEX(상세표[성명],$U1843)&amp;"")</f>
        <v/>
      </c>
      <c r="L1843">
        <f>IF($U1843="","",INDEX(상세표[직위],$U1843)&amp;"")</f>
        <v/>
      </c>
      <c r="M1843">
        <f>IF($U1843="","",IF(ISNUMBER(INDEX(상세표[근무일자],$U1843)),TEXT(INDEX(상세표[근무일자],$U1843),"yyyy-mm-dd"),INDEX(상세표[근무일자],$U1843)&amp;""))</f>
        <v/>
      </c>
      <c r="N1843">
        <f>IF($U1843="","",IF(ISNUMBER(INDEX(상세표[시작],$U1843)),TEXT(INDEX(상세표[시작],$U1843),"yyyy-mm-dd hh:mm"),INDEX(상세표[시작],$U1843)&amp;""))</f>
        <v/>
      </c>
      <c r="O1843">
        <f>IF($U1843="","",IF(ISNUMBER(INDEX(상세표[종료],$U1843)),TEXT(INDEX(상세표[종료],$U1843),"yyyy-mm-dd hh:mm"),INDEX(상세표[종료],$U1843)&amp;""))</f>
        <v/>
      </c>
      <c r="P1843" s="20">
        <f>IF($U1843="","",INDEX(상세표[06~07시],$U1843))</f>
        <v/>
      </c>
      <c r="Q1843" s="20">
        <f>IF($U1843="","",INDEX(상세표[07~18시],$U1843))</f>
        <v/>
      </c>
      <c r="R1843" s="20">
        <f>IF($U1843="","",INDEX(상세표[18~22시],$U1843))</f>
        <v/>
      </c>
      <c r="S1843" s="20">
        <f>IF($U1843="","",INDEX(상세표[22~06시],$U1843))</f>
        <v/>
      </c>
      <c r="T1843" s="20">
        <f>IF($U1843="","",INDEX(상세표[기록 시간외],$U1843))</f>
        <v/>
      </c>
      <c r="U1843" s="4">
        <f>IFERROR(MATCH(1838,상세표[발송순번],0),"")</f>
        <v/>
      </c>
    </row>
    <row r="1844">
      <c r="J1844">
        <f>IF($U1844="","",INDEX(상세표[사번],$U1844)&amp;"")</f>
        <v/>
      </c>
      <c r="K1844">
        <f>IF($U1844="","",INDEX(상세표[성명],$U1844)&amp;"")</f>
        <v/>
      </c>
      <c r="L1844">
        <f>IF($U1844="","",INDEX(상세표[직위],$U1844)&amp;"")</f>
        <v/>
      </c>
      <c r="M1844">
        <f>IF($U1844="","",IF(ISNUMBER(INDEX(상세표[근무일자],$U1844)),TEXT(INDEX(상세표[근무일자],$U1844),"yyyy-mm-dd"),INDEX(상세표[근무일자],$U1844)&amp;""))</f>
        <v/>
      </c>
      <c r="N1844">
        <f>IF($U1844="","",IF(ISNUMBER(INDEX(상세표[시작],$U1844)),TEXT(INDEX(상세표[시작],$U1844),"yyyy-mm-dd hh:mm"),INDEX(상세표[시작],$U1844)&amp;""))</f>
        <v/>
      </c>
      <c r="O1844">
        <f>IF($U1844="","",IF(ISNUMBER(INDEX(상세표[종료],$U1844)),TEXT(INDEX(상세표[종료],$U1844),"yyyy-mm-dd hh:mm"),INDEX(상세표[종료],$U1844)&amp;""))</f>
        <v/>
      </c>
      <c r="P1844" s="20">
        <f>IF($U1844="","",INDEX(상세표[06~07시],$U1844))</f>
        <v/>
      </c>
      <c r="Q1844" s="20">
        <f>IF($U1844="","",INDEX(상세표[07~18시],$U1844))</f>
        <v/>
      </c>
      <c r="R1844" s="20">
        <f>IF($U1844="","",INDEX(상세표[18~22시],$U1844))</f>
        <v/>
      </c>
      <c r="S1844" s="20">
        <f>IF($U1844="","",INDEX(상세표[22~06시],$U1844))</f>
        <v/>
      </c>
      <c r="T1844" s="20">
        <f>IF($U1844="","",INDEX(상세표[기록 시간외],$U1844))</f>
        <v/>
      </c>
      <c r="U1844" s="4">
        <f>IFERROR(MATCH(1839,상세표[발송순번],0),"")</f>
        <v/>
      </c>
    </row>
    <row r="1845">
      <c r="J1845">
        <f>IF($U1845="","",INDEX(상세표[사번],$U1845)&amp;"")</f>
        <v/>
      </c>
      <c r="K1845">
        <f>IF($U1845="","",INDEX(상세표[성명],$U1845)&amp;"")</f>
        <v/>
      </c>
      <c r="L1845">
        <f>IF($U1845="","",INDEX(상세표[직위],$U1845)&amp;"")</f>
        <v/>
      </c>
      <c r="M1845">
        <f>IF($U1845="","",IF(ISNUMBER(INDEX(상세표[근무일자],$U1845)),TEXT(INDEX(상세표[근무일자],$U1845),"yyyy-mm-dd"),INDEX(상세표[근무일자],$U1845)&amp;""))</f>
        <v/>
      </c>
      <c r="N1845">
        <f>IF($U1845="","",IF(ISNUMBER(INDEX(상세표[시작],$U1845)),TEXT(INDEX(상세표[시작],$U1845),"yyyy-mm-dd hh:mm"),INDEX(상세표[시작],$U1845)&amp;""))</f>
        <v/>
      </c>
      <c r="O1845">
        <f>IF($U1845="","",IF(ISNUMBER(INDEX(상세표[종료],$U1845)),TEXT(INDEX(상세표[종료],$U1845),"yyyy-mm-dd hh:mm"),INDEX(상세표[종료],$U1845)&amp;""))</f>
        <v/>
      </c>
      <c r="P1845" s="20">
        <f>IF($U1845="","",INDEX(상세표[06~07시],$U1845))</f>
        <v/>
      </c>
      <c r="Q1845" s="20">
        <f>IF($U1845="","",INDEX(상세표[07~18시],$U1845))</f>
        <v/>
      </c>
      <c r="R1845" s="20">
        <f>IF($U1845="","",INDEX(상세표[18~22시],$U1845))</f>
        <v/>
      </c>
      <c r="S1845" s="20">
        <f>IF($U1845="","",INDEX(상세표[22~06시],$U1845))</f>
        <v/>
      </c>
      <c r="T1845" s="20">
        <f>IF($U1845="","",INDEX(상세표[기록 시간외],$U1845))</f>
        <v/>
      </c>
      <c r="U1845" s="4">
        <f>IFERROR(MATCH(1840,상세표[발송순번],0),"")</f>
        <v/>
      </c>
    </row>
    <row r="1846">
      <c r="J1846">
        <f>IF($U1846="","",INDEX(상세표[사번],$U1846)&amp;"")</f>
        <v/>
      </c>
      <c r="K1846">
        <f>IF($U1846="","",INDEX(상세표[성명],$U1846)&amp;"")</f>
        <v/>
      </c>
      <c r="L1846">
        <f>IF($U1846="","",INDEX(상세표[직위],$U1846)&amp;"")</f>
        <v/>
      </c>
      <c r="M1846">
        <f>IF($U1846="","",IF(ISNUMBER(INDEX(상세표[근무일자],$U1846)),TEXT(INDEX(상세표[근무일자],$U1846),"yyyy-mm-dd"),INDEX(상세표[근무일자],$U1846)&amp;""))</f>
        <v/>
      </c>
      <c r="N1846">
        <f>IF($U1846="","",IF(ISNUMBER(INDEX(상세표[시작],$U1846)),TEXT(INDEX(상세표[시작],$U1846),"yyyy-mm-dd hh:mm"),INDEX(상세표[시작],$U1846)&amp;""))</f>
        <v/>
      </c>
      <c r="O1846">
        <f>IF($U1846="","",IF(ISNUMBER(INDEX(상세표[종료],$U1846)),TEXT(INDEX(상세표[종료],$U1846),"yyyy-mm-dd hh:mm"),INDEX(상세표[종료],$U1846)&amp;""))</f>
        <v/>
      </c>
      <c r="P1846" s="20">
        <f>IF($U1846="","",INDEX(상세표[06~07시],$U1846))</f>
        <v/>
      </c>
      <c r="Q1846" s="20">
        <f>IF($U1846="","",INDEX(상세표[07~18시],$U1846))</f>
        <v/>
      </c>
      <c r="R1846" s="20">
        <f>IF($U1846="","",INDEX(상세표[18~22시],$U1846))</f>
        <v/>
      </c>
      <c r="S1846" s="20">
        <f>IF($U1846="","",INDEX(상세표[22~06시],$U1846))</f>
        <v/>
      </c>
      <c r="T1846" s="20">
        <f>IF($U1846="","",INDEX(상세표[기록 시간외],$U1846))</f>
        <v/>
      </c>
      <c r="U1846" s="4">
        <f>IFERROR(MATCH(1841,상세표[발송순번],0),"")</f>
        <v/>
      </c>
    </row>
    <row r="1847">
      <c r="J1847">
        <f>IF($U1847="","",INDEX(상세표[사번],$U1847)&amp;"")</f>
        <v/>
      </c>
      <c r="K1847">
        <f>IF($U1847="","",INDEX(상세표[성명],$U1847)&amp;"")</f>
        <v/>
      </c>
      <c r="L1847">
        <f>IF($U1847="","",INDEX(상세표[직위],$U1847)&amp;"")</f>
        <v/>
      </c>
      <c r="M1847">
        <f>IF($U1847="","",IF(ISNUMBER(INDEX(상세표[근무일자],$U1847)),TEXT(INDEX(상세표[근무일자],$U1847),"yyyy-mm-dd"),INDEX(상세표[근무일자],$U1847)&amp;""))</f>
        <v/>
      </c>
      <c r="N1847">
        <f>IF($U1847="","",IF(ISNUMBER(INDEX(상세표[시작],$U1847)),TEXT(INDEX(상세표[시작],$U1847),"yyyy-mm-dd hh:mm"),INDEX(상세표[시작],$U1847)&amp;""))</f>
        <v/>
      </c>
      <c r="O1847">
        <f>IF($U1847="","",IF(ISNUMBER(INDEX(상세표[종료],$U1847)),TEXT(INDEX(상세표[종료],$U1847),"yyyy-mm-dd hh:mm"),INDEX(상세표[종료],$U1847)&amp;""))</f>
        <v/>
      </c>
      <c r="P1847" s="20">
        <f>IF($U1847="","",INDEX(상세표[06~07시],$U1847))</f>
        <v/>
      </c>
      <c r="Q1847" s="20">
        <f>IF($U1847="","",INDEX(상세표[07~18시],$U1847))</f>
        <v/>
      </c>
      <c r="R1847" s="20">
        <f>IF($U1847="","",INDEX(상세표[18~22시],$U1847))</f>
        <v/>
      </c>
      <c r="S1847" s="20">
        <f>IF($U1847="","",INDEX(상세표[22~06시],$U1847))</f>
        <v/>
      </c>
      <c r="T1847" s="20">
        <f>IF($U1847="","",INDEX(상세표[기록 시간외],$U1847))</f>
        <v/>
      </c>
      <c r="U1847" s="4">
        <f>IFERROR(MATCH(1842,상세표[발송순번],0),"")</f>
        <v/>
      </c>
    </row>
    <row r="1848">
      <c r="J1848">
        <f>IF($U1848="","",INDEX(상세표[사번],$U1848)&amp;"")</f>
        <v/>
      </c>
      <c r="K1848">
        <f>IF($U1848="","",INDEX(상세표[성명],$U1848)&amp;"")</f>
        <v/>
      </c>
      <c r="L1848">
        <f>IF($U1848="","",INDEX(상세표[직위],$U1848)&amp;"")</f>
        <v/>
      </c>
      <c r="M1848">
        <f>IF($U1848="","",IF(ISNUMBER(INDEX(상세표[근무일자],$U1848)),TEXT(INDEX(상세표[근무일자],$U1848),"yyyy-mm-dd"),INDEX(상세표[근무일자],$U1848)&amp;""))</f>
        <v/>
      </c>
      <c r="N1848">
        <f>IF($U1848="","",IF(ISNUMBER(INDEX(상세표[시작],$U1848)),TEXT(INDEX(상세표[시작],$U1848),"yyyy-mm-dd hh:mm"),INDEX(상세표[시작],$U1848)&amp;""))</f>
        <v/>
      </c>
      <c r="O1848">
        <f>IF($U1848="","",IF(ISNUMBER(INDEX(상세표[종료],$U1848)),TEXT(INDEX(상세표[종료],$U1848),"yyyy-mm-dd hh:mm"),INDEX(상세표[종료],$U1848)&amp;""))</f>
        <v/>
      </c>
      <c r="P1848" s="20">
        <f>IF($U1848="","",INDEX(상세표[06~07시],$U1848))</f>
        <v/>
      </c>
      <c r="Q1848" s="20">
        <f>IF($U1848="","",INDEX(상세표[07~18시],$U1848))</f>
        <v/>
      </c>
      <c r="R1848" s="20">
        <f>IF($U1848="","",INDEX(상세표[18~22시],$U1848))</f>
        <v/>
      </c>
      <c r="S1848" s="20">
        <f>IF($U1848="","",INDEX(상세표[22~06시],$U1848))</f>
        <v/>
      </c>
      <c r="T1848" s="20">
        <f>IF($U1848="","",INDEX(상세표[기록 시간외],$U1848))</f>
        <v/>
      </c>
      <c r="U1848" s="4">
        <f>IFERROR(MATCH(1843,상세표[발송순번],0),"")</f>
        <v/>
      </c>
    </row>
    <row r="1849">
      <c r="J1849">
        <f>IF($U1849="","",INDEX(상세표[사번],$U1849)&amp;"")</f>
        <v/>
      </c>
      <c r="K1849">
        <f>IF($U1849="","",INDEX(상세표[성명],$U1849)&amp;"")</f>
        <v/>
      </c>
      <c r="L1849">
        <f>IF($U1849="","",INDEX(상세표[직위],$U1849)&amp;"")</f>
        <v/>
      </c>
      <c r="M1849">
        <f>IF($U1849="","",IF(ISNUMBER(INDEX(상세표[근무일자],$U1849)),TEXT(INDEX(상세표[근무일자],$U1849),"yyyy-mm-dd"),INDEX(상세표[근무일자],$U1849)&amp;""))</f>
        <v/>
      </c>
      <c r="N1849">
        <f>IF($U1849="","",IF(ISNUMBER(INDEX(상세표[시작],$U1849)),TEXT(INDEX(상세표[시작],$U1849),"yyyy-mm-dd hh:mm"),INDEX(상세표[시작],$U1849)&amp;""))</f>
        <v/>
      </c>
      <c r="O1849">
        <f>IF($U1849="","",IF(ISNUMBER(INDEX(상세표[종료],$U1849)),TEXT(INDEX(상세표[종료],$U1849),"yyyy-mm-dd hh:mm"),INDEX(상세표[종료],$U1849)&amp;""))</f>
        <v/>
      </c>
      <c r="P1849" s="20">
        <f>IF($U1849="","",INDEX(상세표[06~07시],$U1849))</f>
        <v/>
      </c>
      <c r="Q1849" s="20">
        <f>IF($U1849="","",INDEX(상세표[07~18시],$U1849))</f>
        <v/>
      </c>
      <c r="R1849" s="20">
        <f>IF($U1849="","",INDEX(상세표[18~22시],$U1849))</f>
        <v/>
      </c>
      <c r="S1849" s="20">
        <f>IF($U1849="","",INDEX(상세표[22~06시],$U1849))</f>
        <v/>
      </c>
      <c r="T1849" s="20">
        <f>IF($U1849="","",INDEX(상세표[기록 시간외],$U1849))</f>
        <v/>
      </c>
      <c r="U1849" s="4">
        <f>IFERROR(MATCH(1844,상세표[발송순번],0),"")</f>
        <v/>
      </c>
    </row>
    <row r="1850">
      <c r="J1850">
        <f>IF($U1850="","",INDEX(상세표[사번],$U1850)&amp;"")</f>
        <v/>
      </c>
      <c r="K1850">
        <f>IF($U1850="","",INDEX(상세표[성명],$U1850)&amp;"")</f>
        <v/>
      </c>
      <c r="L1850">
        <f>IF($U1850="","",INDEX(상세표[직위],$U1850)&amp;"")</f>
        <v/>
      </c>
      <c r="M1850">
        <f>IF($U1850="","",IF(ISNUMBER(INDEX(상세표[근무일자],$U1850)),TEXT(INDEX(상세표[근무일자],$U1850),"yyyy-mm-dd"),INDEX(상세표[근무일자],$U1850)&amp;""))</f>
        <v/>
      </c>
      <c r="N1850">
        <f>IF($U1850="","",IF(ISNUMBER(INDEX(상세표[시작],$U1850)),TEXT(INDEX(상세표[시작],$U1850),"yyyy-mm-dd hh:mm"),INDEX(상세표[시작],$U1850)&amp;""))</f>
        <v/>
      </c>
      <c r="O1850">
        <f>IF($U1850="","",IF(ISNUMBER(INDEX(상세표[종료],$U1850)),TEXT(INDEX(상세표[종료],$U1850),"yyyy-mm-dd hh:mm"),INDEX(상세표[종료],$U1850)&amp;""))</f>
        <v/>
      </c>
      <c r="P1850" s="20">
        <f>IF($U1850="","",INDEX(상세표[06~07시],$U1850))</f>
        <v/>
      </c>
      <c r="Q1850" s="20">
        <f>IF($U1850="","",INDEX(상세표[07~18시],$U1850))</f>
        <v/>
      </c>
      <c r="R1850" s="20">
        <f>IF($U1850="","",INDEX(상세표[18~22시],$U1850))</f>
        <v/>
      </c>
      <c r="S1850" s="20">
        <f>IF($U1850="","",INDEX(상세표[22~06시],$U1850))</f>
        <v/>
      </c>
      <c r="T1850" s="20">
        <f>IF($U1850="","",INDEX(상세표[기록 시간외],$U1850))</f>
        <v/>
      </c>
      <c r="U1850" s="4">
        <f>IFERROR(MATCH(1845,상세표[발송순번],0),"")</f>
        <v/>
      </c>
    </row>
    <row r="1851">
      <c r="J1851">
        <f>IF($U1851="","",INDEX(상세표[사번],$U1851)&amp;"")</f>
        <v/>
      </c>
      <c r="K1851">
        <f>IF($U1851="","",INDEX(상세표[성명],$U1851)&amp;"")</f>
        <v/>
      </c>
      <c r="L1851">
        <f>IF($U1851="","",INDEX(상세표[직위],$U1851)&amp;"")</f>
        <v/>
      </c>
      <c r="M1851">
        <f>IF($U1851="","",IF(ISNUMBER(INDEX(상세표[근무일자],$U1851)),TEXT(INDEX(상세표[근무일자],$U1851),"yyyy-mm-dd"),INDEX(상세표[근무일자],$U1851)&amp;""))</f>
        <v/>
      </c>
      <c r="N1851">
        <f>IF($U1851="","",IF(ISNUMBER(INDEX(상세표[시작],$U1851)),TEXT(INDEX(상세표[시작],$U1851),"yyyy-mm-dd hh:mm"),INDEX(상세표[시작],$U1851)&amp;""))</f>
        <v/>
      </c>
      <c r="O1851">
        <f>IF($U1851="","",IF(ISNUMBER(INDEX(상세표[종료],$U1851)),TEXT(INDEX(상세표[종료],$U1851),"yyyy-mm-dd hh:mm"),INDEX(상세표[종료],$U1851)&amp;""))</f>
        <v/>
      </c>
      <c r="P1851" s="20">
        <f>IF($U1851="","",INDEX(상세표[06~07시],$U1851))</f>
        <v/>
      </c>
      <c r="Q1851" s="20">
        <f>IF($U1851="","",INDEX(상세표[07~18시],$U1851))</f>
        <v/>
      </c>
      <c r="R1851" s="20">
        <f>IF($U1851="","",INDEX(상세표[18~22시],$U1851))</f>
        <v/>
      </c>
      <c r="S1851" s="20">
        <f>IF($U1851="","",INDEX(상세표[22~06시],$U1851))</f>
        <v/>
      </c>
      <c r="T1851" s="20">
        <f>IF($U1851="","",INDEX(상세표[기록 시간외],$U1851))</f>
        <v/>
      </c>
      <c r="U1851" s="4">
        <f>IFERROR(MATCH(1846,상세표[발송순번],0),"")</f>
        <v/>
      </c>
    </row>
    <row r="1852">
      <c r="J1852">
        <f>IF($U1852="","",INDEX(상세표[사번],$U1852)&amp;"")</f>
        <v/>
      </c>
      <c r="K1852">
        <f>IF($U1852="","",INDEX(상세표[성명],$U1852)&amp;"")</f>
        <v/>
      </c>
      <c r="L1852">
        <f>IF($U1852="","",INDEX(상세표[직위],$U1852)&amp;"")</f>
        <v/>
      </c>
      <c r="M1852">
        <f>IF($U1852="","",IF(ISNUMBER(INDEX(상세표[근무일자],$U1852)),TEXT(INDEX(상세표[근무일자],$U1852),"yyyy-mm-dd"),INDEX(상세표[근무일자],$U1852)&amp;""))</f>
        <v/>
      </c>
      <c r="N1852">
        <f>IF($U1852="","",IF(ISNUMBER(INDEX(상세표[시작],$U1852)),TEXT(INDEX(상세표[시작],$U1852),"yyyy-mm-dd hh:mm"),INDEX(상세표[시작],$U1852)&amp;""))</f>
        <v/>
      </c>
      <c r="O1852">
        <f>IF($U1852="","",IF(ISNUMBER(INDEX(상세표[종료],$U1852)),TEXT(INDEX(상세표[종료],$U1852),"yyyy-mm-dd hh:mm"),INDEX(상세표[종료],$U1852)&amp;""))</f>
        <v/>
      </c>
      <c r="P1852" s="20">
        <f>IF($U1852="","",INDEX(상세표[06~07시],$U1852))</f>
        <v/>
      </c>
      <c r="Q1852" s="20">
        <f>IF($U1852="","",INDEX(상세표[07~18시],$U1852))</f>
        <v/>
      </c>
      <c r="R1852" s="20">
        <f>IF($U1852="","",INDEX(상세표[18~22시],$U1852))</f>
        <v/>
      </c>
      <c r="S1852" s="20">
        <f>IF($U1852="","",INDEX(상세표[22~06시],$U1852))</f>
        <v/>
      </c>
      <c r="T1852" s="20">
        <f>IF($U1852="","",INDEX(상세표[기록 시간외],$U1852))</f>
        <v/>
      </c>
      <c r="U1852" s="4">
        <f>IFERROR(MATCH(1847,상세표[발송순번],0),"")</f>
        <v/>
      </c>
    </row>
    <row r="1853">
      <c r="J1853">
        <f>IF($U1853="","",INDEX(상세표[사번],$U1853)&amp;"")</f>
        <v/>
      </c>
      <c r="K1853">
        <f>IF($U1853="","",INDEX(상세표[성명],$U1853)&amp;"")</f>
        <v/>
      </c>
      <c r="L1853">
        <f>IF($U1853="","",INDEX(상세표[직위],$U1853)&amp;"")</f>
        <v/>
      </c>
      <c r="M1853">
        <f>IF($U1853="","",IF(ISNUMBER(INDEX(상세표[근무일자],$U1853)),TEXT(INDEX(상세표[근무일자],$U1853),"yyyy-mm-dd"),INDEX(상세표[근무일자],$U1853)&amp;""))</f>
        <v/>
      </c>
      <c r="N1853">
        <f>IF($U1853="","",IF(ISNUMBER(INDEX(상세표[시작],$U1853)),TEXT(INDEX(상세표[시작],$U1853),"yyyy-mm-dd hh:mm"),INDEX(상세표[시작],$U1853)&amp;""))</f>
        <v/>
      </c>
      <c r="O1853">
        <f>IF($U1853="","",IF(ISNUMBER(INDEX(상세표[종료],$U1853)),TEXT(INDEX(상세표[종료],$U1853),"yyyy-mm-dd hh:mm"),INDEX(상세표[종료],$U1853)&amp;""))</f>
        <v/>
      </c>
      <c r="P1853" s="20">
        <f>IF($U1853="","",INDEX(상세표[06~07시],$U1853))</f>
        <v/>
      </c>
      <c r="Q1853" s="20">
        <f>IF($U1853="","",INDEX(상세표[07~18시],$U1853))</f>
        <v/>
      </c>
      <c r="R1853" s="20">
        <f>IF($U1853="","",INDEX(상세표[18~22시],$U1853))</f>
        <v/>
      </c>
      <c r="S1853" s="20">
        <f>IF($U1853="","",INDEX(상세표[22~06시],$U1853))</f>
        <v/>
      </c>
      <c r="T1853" s="20">
        <f>IF($U1853="","",INDEX(상세표[기록 시간외],$U1853))</f>
        <v/>
      </c>
      <c r="U1853" s="4">
        <f>IFERROR(MATCH(1848,상세표[발송순번],0),"")</f>
        <v/>
      </c>
    </row>
    <row r="1854">
      <c r="J1854">
        <f>IF($U1854="","",INDEX(상세표[사번],$U1854)&amp;"")</f>
        <v/>
      </c>
      <c r="K1854">
        <f>IF($U1854="","",INDEX(상세표[성명],$U1854)&amp;"")</f>
        <v/>
      </c>
      <c r="L1854">
        <f>IF($U1854="","",INDEX(상세표[직위],$U1854)&amp;"")</f>
        <v/>
      </c>
      <c r="M1854">
        <f>IF($U1854="","",IF(ISNUMBER(INDEX(상세표[근무일자],$U1854)),TEXT(INDEX(상세표[근무일자],$U1854),"yyyy-mm-dd"),INDEX(상세표[근무일자],$U1854)&amp;""))</f>
        <v/>
      </c>
      <c r="N1854">
        <f>IF($U1854="","",IF(ISNUMBER(INDEX(상세표[시작],$U1854)),TEXT(INDEX(상세표[시작],$U1854),"yyyy-mm-dd hh:mm"),INDEX(상세표[시작],$U1854)&amp;""))</f>
        <v/>
      </c>
      <c r="O1854">
        <f>IF($U1854="","",IF(ISNUMBER(INDEX(상세표[종료],$U1854)),TEXT(INDEX(상세표[종료],$U1854),"yyyy-mm-dd hh:mm"),INDEX(상세표[종료],$U1854)&amp;""))</f>
        <v/>
      </c>
      <c r="P1854" s="20">
        <f>IF($U1854="","",INDEX(상세표[06~07시],$U1854))</f>
        <v/>
      </c>
      <c r="Q1854" s="20">
        <f>IF($U1854="","",INDEX(상세표[07~18시],$U1854))</f>
        <v/>
      </c>
      <c r="R1854" s="20">
        <f>IF($U1854="","",INDEX(상세표[18~22시],$U1854))</f>
        <v/>
      </c>
      <c r="S1854" s="20">
        <f>IF($U1854="","",INDEX(상세표[22~06시],$U1854))</f>
        <v/>
      </c>
      <c r="T1854" s="20">
        <f>IF($U1854="","",INDEX(상세표[기록 시간외],$U1854))</f>
        <v/>
      </c>
      <c r="U1854" s="4">
        <f>IFERROR(MATCH(1849,상세표[발송순번],0),"")</f>
        <v/>
      </c>
    </row>
    <row r="1855">
      <c r="J1855">
        <f>IF($U1855="","",INDEX(상세표[사번],$U1855)&amp;"")</f>
        <v/>
      </c>
      <c r="K1855">
        <f>IF($U1855="","",INDEX(상세표[성명],$U1855)&amp;"")</f>
        <v/>
      </c>
      <c r="L1855">
        <f>IF($U1855="","",INDEX(상세표[직위],$U1855)&amp;"")</f>
        <v/>
      </c>
      <c r="M1855">
        <f>IF($U1855="","",IF(ISNUMBER(INDEX(상세표[근무일자],$U1855)),TEXT(INDEX(상세표[근무일자],$U1855),"yyyy-mm-dd"),INDEX(상세표[근무일자],$U1855)&amp;""))</f>
        <v/>
      </c>
      <c r="N1855">
        <f>IF($U1855="","",IF(ISNUMBER(INDEX(상세표[시작],$U1855)),TEXT(INDEX(상세표[시작],$U1855),"yyyy-mm-dd hh:mm"),INDEX(상세표[시작],$U1855)&amp;""))</f>
        <v/>
      </c>
      <c r="O1855">
        <f>IF($U1855="","",IF(ISNUMBER(INDEX(상세표[종료],$U1855)),TEXT(INDEX(상세표[종료],$U1855),"yyyy-mm-dd hh:mm"),INDEX(상세표[종료],$U1855)&amp;""))</f>
        <v/>
      </c>
      <c r="P1855" s="20">
        <f>IF($U1855="","",INDEX(상세표[06~07시],$U1855))</f>
        <v/>
      </c>
      <c r="Q1855" s="20">
        <f>IF($U1855="","",INDEX(상세표[07~18시],$U1855))</f>
        <v/>
      </c>
      <c r="R1855" s="20">
        <f>IF($U1855="","",INDEX(상세표[18~22시],$U1855))</f>
        <v/>
      </c>
      <c r="S1855" s="20">
        <f>IF($U1855="","",INDEX(상세표[22~06시],$U1855))</f>
        <v/>
      </c>
      <c r="T1855" s="20">
        <f>IF($U1855="","",INDEX(상세표[기록 시간외],$U1855))</f>
        <v/>
      </c>
      <c r="U1855" s="4">
        <f>IFERROR(MATCH(1850,상세표[발송순번],0),"")</f>
        <v/>
      </c>
    </row>
    <row r="1856">
      <c r="J1856">
        <f>IF($U1856="","",INDEX(상세표[사번],$U1856)&amp;"")</f>
        <v/>
      </c>
      <c r="K1856">
        <f>IF($U1856="","",INDEX(상세표[성명],$U1856)&amp;"")</f>
        <v/>
      </c>
      <c r="L1856">
        <f>IF($U1856="","",INDEX(상세표[직위],$U1856)&amp;"")</f>
        <v/>
      </c>
      <c r="M1856">
        <f>IF($U1856="","",IF(ISNUMBER(INDEX(상세표[근무일자],$U1856)),TEXT(INDEX(상세표[근무일자],$U1856),"yyyy-mm-dd"),INDEX(상세표[근무일자],$U1856)&amp;""))</f>
        <v/>
      </c>
      <c r="N1856">
        <f>IF($U1856="","",IF(ISNUMBER(INDEX(상세표[시작],$U1856)),TEXT(INDEX(상세표[시작],$U1856),"yyyy-mm-dd hh:mm"),INDEX(상세표[시작],$U1856)&amp;""))</f>
        <v/>
      </c>
      <c r="O1856">
        <f>IF($U1856="","",IF(ISNUMBER(INDEX(상세표[종료],$U1856)),TEXT(INDEX(상세표[종료],$U1856),"yyyy-mm-dd hh:mm"),INDEX(상세표[종료],$U1856)&amp;""))</f>
        <v/>
      </c>
      <c r="P1856" s="20">
        <f>IF($U1856="","",INDEX(상세표[06~07시],$U1856))</f>
        <v/>
      </c>
      <c r="Q1856" s="20">
        <f>IF($U1856="","",INDEX(상세표[07~18시],$U1856))</f>
        <v/>
      </c>
      <c r="R1856" s="20">
        <f>IF($U1856="","",INDEX(상세표[18~22시],$U1856))</f>
        <v/>
      </c>
      <c r="S1856" s="20">
        <f>IF($U1856="","",INDEX(상세표[22~06시],$U1856))</f>
        <v/>
      </c>
      <c r="T1856" s="20">
        <f>IF($U1856="","",INDEX(상세표[기록 시간외],$U1856))</f>
        <v/>
      </c>
      <c r="U1856" s="4">
        <f>IFERROR(MATCH(1851,상세표[발송순번],0),"")</f>
        <v/>
      </c>
    </row>
    <row r="1857">
      <c r="J1857">
        <f>IF($U1857="","",INDEX(상세표[사번],$U1857)&amp;"")</f>
        <v/>
      </c>
      <c r="K1857">
        <f>IF($U1857="","",INDEX(상세표[성명],$U1857)&amp;"")</f>
        <v/>
      </c>
      <c r="L1857">
        <f>IF($U1857="","",INDEX(상세표[직위],$U1857)&amp;"")</f>
        <v/>
      </c>
      <c r="M1857">
        <f>IF($U1857="","",IF(ISNUMBER(INDEX(상세표[근무일자],$U1857)),TEXT(INDEX(상세표[근무일자],$U1857),"yyyy-mm-dd"),INDEX(상세표[근무일자],$U1857)&amp;""))</f>
        <v/>
      </c>
      <c r="N1857">
        <f>IF($U1857="","",IF(ISNUMBER(INDEX(상세표[시작],$U1857)),TEXT(INDEX(상세표[시작],$U1857),"yyyy-mm-dd hh:mm"),INDEX(상세표[시작],$U1857)&amp;""))</f>
        <v/>
      </c>
      <c r="O1857">
        <f>IF($U1857="","",IF(ISNUMBER(INDEX(상세표[종료],$U1857)),TEXT(INDEX(상세표[종료],$U1857),"yyyy-mm-dd hh:mm"),INDEX(상세표[종료],$U1857)&amp;""))</f>
        <v/>
      </c>
      <c r="P1857" s="20">
        <f>IF($U1857="","",INDEX(상세표[06~07시],$U1857))</f>
        <v/>
      </c>
      <c r="Q1857" s="20">
        <f>IF($U1857="","",INDEX(상세표[07~18시],$U1857))</f>
        <v/>
      </c>
      <c r="R1857" s="20">
        <f>IF($U1857="","",INDEX(상세표[18~22시],$U1857))</f>
        <v/>
      </c>
      <c r="S1857" s="20">
        <f>IF($U1857="","",INDEX(상세표[22~06시],$U1857))</f>
        <v/>
      </c>
      <c r="T1857" s="20">
        <f>IF($U1857="","",INDEX(상세표[기록 시간외],$U1857))</f>
        <v/>
      </c>
      <c r="U1857" s="4">
        <f>IFERROR(MATCH(1852,상세표[발송순번],0),"")</f>
        <v/>
      </c>
    </row>
    <row r="1858">
      <c r="J1858">
        <f>IF($U1858="","",INDEX(상세표[사번],$U1858)&amp;"")</f>
        <v/>
      </c>
      <c r="K1858">
        <f>IF($U1858="","",INDEX(상세표[성명],$U1858)&amp;"")</f>
        <v/>
      </c>
      <c r="L1858">
        <f>IF($U1858="","",INDEX(상세표[직위],$U1858)&amp;"")</f>
        <v/>
      </c>
      <c r="M1858">
        <f>IF($U1858="","",IF(ISNUMBER(INDEX(상세표[근무일자],$U1858)),TEXT(INDEX(상세표[근무일자],$U1858),"yyyy-mm-dd"),INDEX(상세표[근무일자],$U1858)&amp;""))</f>
        <v/>
      </c>
      <c r="N1858">
        <f>IF($U1858="","",IF(ISNUMBER(INDEX(상세표[시작],$U1858)),TEXT(INDEX(상세표[시작],$U1858),"yyyy-mm-dd hh:mm"),INDEX(상세표[시작],$U1858)&amp;""))</f>
        <v/>
      </c>
      <c r="O1858">
        <f>IF($U1858="","",IF(ISNUMBER(INDEX(상세표[종료],$U1858)),TEXT(INDEX(상세표[종료],$U1858),"yyyy-mm-dd hh:mm"),INDEX(상세표[종료],$U1858)&amp;""))</f>
        <v/>
      </c>
      <c r="P1858" s="20">
        <f>IF($U1858="","",INDEX(상세표[06~07시],$U1858))</f>
        <v/>
      </c>
      <c r="Q1858" s="20">
        <f>IF($U1858="","",INDEX(상세표[07~18시],$U1858))</f>
        <v/>
      </c>
      <c r="R1858" s="20">
        <f>IF($U1858="","",INDEX(상세표[18~22시],$U1858))</f>
        <v/>
      </c>
      <c r="S1858" s="20">
        <f>IF($U1858="","",INDEX(상세표[22~06시],$U1858))</f>
        <v/>
      </c>
      <c r="T1858" s="20">
        <f>IF($U1858="","",INDEX(상세표[기록 시간외],$U1858))</f>
        <v/>
      </c>
      <c r="U1858" s="4">
        <f>IFERROR(MATCH(1853,상세표[발송순번],0),"")</f>
        <v/>
      </c>
    </row>
    <row r="1859">
      <c r="J1859">
        <f>IF($U1859="","",INDEX(상세표[사번],$U1859)&amp;"")</f>
        <v/>
      </c>
      <c r="K1859">
        <f>IF($U1859="","",INDEX(상세표[성명],$U1859)&amp;"")</f>
        <v/>
      </c>
      <c r="L1859">
        <f>IF($U1859="","",INDEX(상세표[직위],$U1859)&amp;"")</f>
        <v/>
      </c>
      <c r="M1859">
        <f>IF($U1859="","",IF(ISNUMBER(INDEX(상세표[근무일자],$U1859)),TEXT(INDEX(상세표[근무일자],$U1859),"yyyy-mm-dd"),INDEX(상세표[근무일자],$U1859)&amp;""))</f>
        <v/>
      </c>
      <c r="N1859">
        <f>IF($U1859="","",IF(ISNUMBER(INDEX(상세표[시작],$U1859)),TEXT(INDEX(상세표[시작],$U1859),"yyyy-mm-dd hh:mm"),INDEX(상세표[시작],$U1859)&amp;""))</f>
        <v/>
      </c>
      <c r="O1859">
        <f>IF($U1859="","",IF(ISNUMBER(INDEX(상세표[종료],$U1859)),TEXT(INDEX(상세표[종료],$U1859),"yyyy-mm-dd hh:mm"),INDEX(상세표[종료],$U1859)&amp;""))</f>
        <v/>
      </c>
      <c r="P1859" s="20">
        <f>IF($U1859="","",INDEX(상세표[06~07시],$U1859))</f>
        <v/>
      </c>
      <c r="Q1859" s="20">
        <f>IF($U1859="","",INDEX(상세표[07~18시],$U1859))</f>
        <v/>
      </c>
      <c r="R1859" s="20">
        <f>IF($U1859="","",INDEX(상세표[18~22시],$U1859))</f>
        <v/>
      </c>
      <c r="S1859" s="20">
        <f>IF($U1859="","",INDEX(상세표[22~06시],$U1859))</f>
        <v/>
      </c>
      <c r="T1859" s="20">
        <f>IF($U1859="","",INDEX(상세표[기록 시간외],$U1859))</f>
        <v/>
      </c>
      <c r="U1859" s="4">
        <f>IFERROR(MATCH(1854,상세표[발송순번],0),"")</f>
        <v/>
      </c>
    </row>
    <row r="1860">
      <c r="J1860">
        <f>IF($U1860="","",INDEX(상세표[사번],$U1860)&amp;"")</f>
        <v/>
      </c>
      <c r="K1860">
        <f>IF($U1860="","",INDEX(상세표[성명],$U1860)&amp;"")</f>
        <v/>
      </c>
      <c r="L1860">
        <f>IF($U1860="","",INDEX(상세표[직위],$U1860)&amp;"")</f>
        <v/>
      </c>
      <c r="M1860">
        <f>IF($U1860="","",IF(ISNUMBER(INDEX(상세표[근무일자],$U1860)),TEXT(INDEX(상세표[근무일자],$U1860),"yyyy-mm-dd"),INDEX(상세표[근무일자],$U1860)&amp;""))</f>
        <v/>
      </c>
      <c r="N1860">
        <f>IF($U1860="","",IF(ISNUMBER(INDEX(상세표[시작],$U1860)),TEXT(INDEX(상세표[시작],$U1860),"yyyy-mm-dd hh:mm"),INDEX(상세표[시작],$U1860)&amp;""))</f>
        <v/>
      </c>
      <c r="O1860">
        <f>IF($U1860="","",IF(ISNUMBER(INDEX(상세표[종료],$U1860)),TEXT(INDEX(상세표[종료],$U1860),"yyyy-mm-dd hh:mm"),INDEX(상세표[종료],$U1860)&amp;""))</f>
        <v/>
      </c>
      <c r="P1860" s="20">
        <f>IF($U1860="","",INDEX(상세표[06~07시],$U1860))</f>
        <v/>
      </c>
      <c r="Q1860" s="20">
        <f>IF($U1860="","",INDEX(상세표[07~18시],$U1860))</f>
        <v/>
      </c>
      <c r="R1860" s="20">
        <f>IF($U1860="","",INDEX(상세표[18~22시],$U1860))</f>
        <v/>
      </c>
      <c r="S1860" s="20">
        <f>IF($U1860="","",INDEX(상세표[22~06시],$U1860))</f>
        <v/>
      </c>
      <c r="T1860" s="20">
        <f>IF($U1860="","",INDEX(상세표[기록 시간외],$U1860))</f>
        <v/>
      </c>
      <c r="U1860" s="4">
        <f>IFERROR(MATCH(1855,상세표[발송순번],0),"")</f>
        <v/>
      </c>
    </row>
    <row r="1861">
      <c r="J1861">
        <f>IF($U1861="","",INDEX(상세표[사번],$U1861)&amp;"")</f>
        <v/>
      </c>
      <c r="K1861">
        <f>IF($U1861="","",INDEX(상세표[성명],$U1861)&amp;"")</f>
        <v/>
      </c>
      <c r="L1861">
        <f>IF($U1861="","",INDEX(상세표[직위],$U1861)&amp;"")</f>
        <v/>
      </c>
      <c r="M1861">
        <f>IF($U1861="","",IF(ISNUMBER(INDEX(상세표[근무일자],$U1861)),TEXT(INDEX(상세표[근무일자],$U1861),"yyyy-mm-dd"),INDEX(상세표[근무일자],$U1861)&amp;""))</f>
        <v/>
      </c>
      <c r="N1861">
        <f>IF($U1861="","",IF(ISNUMBER(INDEX(상세표[시작],$U1861)),TEXT(INDEX(상세표[시작],$U1861),"yyyy-mm-dd hh:mm"),INDEX(상세표[시작],$U1861)&amp;""))</f>
        <v/>
      </c>
      <c r="O1861">
        <f>IF($U1861="","",IF(ISNUMBER(INDEX(상세표[종료],$U1861)),TEXT(INDEX(상세표[종료],$U1861),"yyyy-mm-dd hh:mm"),INDEX(상세표[종료],$U1861)&amp;""))</f>
        <v/>
      </c>
      <c r="P1861" s="20">
        <f>IF($U1861="","",INDEX(상세표[06~07시],$U1861))</f>
        <v/>
      </c>
      <c r="Q1861" s="20">
        <f>IF($U1861="","",INDEX(상세표[07~18시],$U1861))</f>
        <v/>
      </c>
      <c r="R1861" s="20">
        <f>IF($U1861="","",INDEX(상세표[18~22시],$U1861))</f>
        <v/>
      </c>
      <c r="S1861" s="20">
        <f>IF($U1861="","",INDEX(상세표[22~06시],$U1861))</f>
        <v/>
      </c>
      <c r="T1861" s="20">
        <f>IF($U1861="","",INDEX(상세표[기록 시간외],$U1861))</f>
        <v/>
      </c>
      <c r="U1861" s="4">
        <f>IFERROR(MATCH(1856,상세표[발송순번],0),"")</f>
        <v/>
      </c>
    </row>
    <row r="1862">
      <c r="J1862">
        <f>IF($U1862="","",INDEX(상세표[사번],$U1862)&amp;"")</f>
        <v/>
      </c>
      <c r="K1862">
        <f>IF($U1862="","",INDEX(상세표[성명],$U1862)&amp;"")</f>
        <v/>
      </c>
      <c r="L1862">
        <f>IF($U1862="","",INDEX(상세표[직위],$U1862)&amp;"")</f>
        <v/>
      </c>
      <c r="M1862">
        <f>IF($U1862="","",IF(ISNUMBER(INDEX(상세표[근무일자],$U1862)),TEXT(INDEX(상세표[근무일자],$U1862),"yyyy-mm-dd"),INDEX(상세표[근무일자],$U1862)&amp;""))</f>
        <v/>
      </c>
      <c r="N1862">
        <f>IF($U1862="","",IF(ISNUMBER(INDEX(상세표[시작],$U1862)),TEXT(INDEX(상세표[시작],$U1862),"yyyy-mm-dd hh:mm"),INDEX(상세표[시작],$U1862)&amp;""))</f>
        <v/>
      </c>
      <c r="O1862">
        <f>IF($U1862="","",IF(ISNUMBER(INDEX(상세표[종료],$U1862)),TEXT(INDEX(상세표[종료],$U1862),"yyyy-mm-dd hh:mm"),INDEX(상세표[종료],$U1862)&amp;""))</f>
        <v/>
      </c>
      <c r="P1862" s="20">
        <f>IF($U1862="","",INDEX(상세표[06~07시],$U1862))</f>
        <v/>
      </c>
      <c r="Q1862" s="20">
        <f>IF($U1862="","",INDEX(상세표[07~18시],$U1862))</f>
        <v/>
      </c>
      <c r="R1862" s="20">
        <f>IF($U1862="","",INDEX(상세표[18~22시],$U1862))</f>
        <v/>
      </c>
      <c r="S1862" s="20">
        <f>IF($U1862="","",INDEX(상세표[22~06시],$U1862))</f>
        <v/>
      </c>
      <c r="T1862" s="20">
        <f>IF($U1862="","",INDEX(상세표[기록 시간외],$U1862))</f>
        <v/>
      </c>
      <c r="U1862" s="4">
        <f>IFERROR(MATCH(1857,상세표[발송순번],0),"")</f>
        <v/>
      </c>
    </row>
    <row r="1863">
      <c r="J1863">
        <f>IF($U1863="","",INDEX(상세표[사번],$U1863)&amp;"")</f>
        <v/>
      </c>
      <c r="K1863">
        <f>IF($U1863="","",INDEX(상세표[성명],$U1863)&amp;"")</f>
        <v/>
      </c>
      <c r="L1863">
        <f>IF($U1863="","",INDEX(상세표[직위],$U1863)&amp;"")</f>
        <v/>
      </c>
      <c r="M1863">
        <f>IF($U1863="","",IF(ISNUMBER(INDEX(상세표[근무일자],$U1863)),TEXT(INDEX(상세표[근무일자],$U1863),"yyyy-mm-dd"),INDEX(상세표[근무일자],$U1863)&amp;""))</f>
        <v/>
      </c>
      <c r="N1863">
        <f>IF($U1863="","",IF(ISNUMBER(INDEX(상세표[시작],$U1863)),TEXT(INDEX(상세표[시작],$U1863),"yyyy-mm-dd hh:mm"),INDEX(상세표[시작],$U1863)&amp;""))</f>
        <v/>
      </c>
      <c r="O1863">
        <f>IF($U1863="","",IF(ISNUMBER(INDEX(상세표[종료],$U1863)),TEXT(INDEX(상세표[종료],$U1863),"yyyy-mm-dd hh:mm"),INDEX(상세표[종료],$U1863)&amp;""))</f>
        <v/>
      </c>
      <c r="P1863" s="20">
        <f>IF($U1863="","",INDEX(상세표[06~07시],$U1863))</f>
        <v/>
      </c>
      <c r="Q1863" s="20">
        <f>IF($U1863="","",INDEX(상세표[07~18시],$U1863))</f>
        <v/>
      </c>
      <c r="R1863" s="20">
        <f>IF($U1863="","",INDEX(상세표[18~22시],$U1863))</f>
        <v/>
      </c>
      <c r="S1863" s="20">
        <f>IF($U1863="","",INDEX(상세표[22~06시],$U1863))</f>
        <v/>
      </c>
      <c r="T1863" s="20">
        <f>IF($U1863="","",INDEX(상세표[기록 시간외],$U1863))</f>
        <v/>
      </c>
      <c r="U1863" s="4">
        <f>IFERROR(MATCH(1858,상세표[발송순번],0),"")</f>
        <v/>
      </c>
    </row>
    <row r="1864">
      <c r="J1864">
        <f>IF($U1864="","",INDEX(상세표[사번],$U1864)&amp;"")</f>
        <v/>
      </c>
      <c r="K1864">
        <f>IF($U1864="","",INDEX(상세표[성명],$U1864)&amp;"")</f>
        <v/>
      </c>
      <c r="L1864">
        <f>IF($U1864="","",INDEX(상세표[직위],$U1864)&amp;"")</f>
        <v/>
      </c>
      <c r="M1864">
        <f>IF($U1864="","",IF(ISNUMBER(INDEX(상세표[근무일자],$U1864)),TEXT(INDEX(상세표[근무일자],$U1864),"yyyy-mm-dd"),INDEX(상세표[근무일자],$U1864)&amp;""))</f>
        <v/>
      </c>
      <c r="N1864">
        <f>IF($U1864="","",IF(ISNUMBER(INDEX(상세표[시작],$U1864)),TEXT(INDEX(상세표[시작],$U1864),"yyyy-mm-dd hh:mm"),INDEX(상세표[시작],$U1864)&amp;""))</f>
        <v/>
      </c>
      <c r="O1864">
        <f>IF($U1864="","",IF(ISNUMBER(INDEX(상세표[종료],$U1864)),TEXT(INDEX(상세표[종료],$U1864),"yyyy-mm-dd hh:mm"),INDEX(상세표[종료],$U1864)&amp;""))</f>
        <v/>
      </c>
      <c r="P1864" s="20">
        <f>IF($U1864="","",INDEX(상세표[06~07시],$U1864))</f>
        <v/>
      </c>
      <c r="Q1864" s="20">
        <f>IF($U1864="","",INDEX(상세표[07~18시],$U1864))</f>
        <v/>
      </c>
      <c r="R1864" s="20">
        <f>IF($U1864="","",INDEX(상세표[18~22시],$U1864))</f>
        <v/>
      </c>
      <c r="S1864" s="20">
        <f>IF($U1864="","",INDEX(상세표[22~06시],$U1864))</f>
        <v/>
      </c>
      <c r="T1864" s="20">
        <f>IF($U1864="","",INDEX(상세표[기록 시간외],$U1864))</f>
        <v/>
      </c>
      <c r="U1864" s="4">
        <f>IFERROR(MATCH(1859,상세표[발송순번],0),"")</f>
        <v/>
      </c>
    </row>
    <row r="1865">
      <c r="J1865">
        <f>IF($U1865="","",INDEX(상세표[사번],$U1865)&amp;"")</f>
        <v/>
      </c>
      <c r="K1865">
        <f>IF($U1865="","",INDEX(상세표[성명],$U1865)&amp;"")</f>
        <v/>
      </c>
      <c r="L1865">
        <f>IF($U1865="","",INDEX(상세표[직위],$U1865)&amp;"")</f>
        <v/>
      </c>
      <c r="M1865">
        <f>IF($U1865="","",IF(ISNUMBER(INDEX(상세표[근무일자],$U1865)),TEXT(INDEX(상세표[근무일자],$U1865),"yyyy-mm-dd"),INDEX(상세표[근무일자],$U1865)&amp;""))</f>
        <v/>
      </c>
      <c r="N1865">
        <f>IF($U1865="","",IF(ISNUMBER(INDEX(상세표[시작],$U1865)),TEXT(INDEX(상세표[시작],$U1865),"yyyy-mm-dd hh:mm"),INDEX(상세표[시작],$U1865)&amp;""))</f>
        <v/>
      </c>
      <c r="O1865">
        <f>IF($U1865="","",IF(ISNUMBER(INDEX(상세표[종료],$U1865)),TEXT(INDEX(상세표[종료],$U1865),"yyyy-mm-dd hh:mm"),INDEX(상세표[종료],$U1865)&amp;""))</f>
        <v/>
      </c>
      <c r="P1865" s="20">
        <f>IF($U1865="","",INDEX(상세표[06~07시],$U1865))</f>
        <v/>
      </c>
      <c r="Q1865" s="20">
        <f>IF($U1865="","",INDEX(상세표[07~18시],$U1865))</f>
        <v/>
      </c>
      <c r="R1865" s="20">
        <f>IF($U1865="","",INDEX(상세표[18~22시],$U1865))</f>
        <v/>
      </c>
      <c r="S1865" s="20">
        <f>IF($U1865="","",INDEX(상세표[22~06시],$U1865))</f>
        <v/>
      </c>
      <c r="T1865" s="20">
        <f>IF($U1865="","",INDEX(상세표[기록 시간외],$U1865))</f>
        <v/>
      </c>
      <c r="U1865" s="4">
        <f>IFERROR(MATCH(1860,상세표[발송순번],0),"")</f>
        <v/>
      </c>
    </row>
    <row r="1866">
      <c r="J1866">
        <f>IF($U1866="","",INDEX(상세표[사번],$U1866)&amp;"")</f>
        <v/>
      </c>
      <c r="K1866">
        <f>IF($U1866="","",INDEX(상세표[성명],$U1866)&amp;"")</f>
        <v/>
      </c>
      <c r="L1866">
        <f>IF($U1866="","",INDEX(상세표[직위],$U1866)&amp;"")</f>
        <v/>
      </c>
      <c r="M1866">
        <f>IF($U1866="","",IF(ISNUMBER(INDEX(상세표[근무일자],$U1866)),TEXT(INDEX(상세표[근무일자],$U1866),"yyyy-mm-dd"),INDEX(상세표[근무일자],$U1866)&amp;""))</f>
        <v/>
      </c>
      <c r="N1866">
        <f>IF($U1866="","",IF(ISNUMBER(INDEX(상세표[시작],$U1866)),TEXT(INDEX(상세표[시작],$U1866),"yyyy-mm-dd hh:mm"),INDEX(상세표[시작],$U1866)&amp;""))</f>
        <v/>
      </c>
      <c r="O1866">
        <f>IF($U1866="","",IF(ISNUMBER(INDEX(상세표[종료],$U1866)),TEXT(INDEX(상세표[종료],$U1866),"yyyy-mm-dd hh:mm"),INDEX(상세표[종료],$U1866)&amp;""))</f>
        <v/>
      </c>
      <c r="P1866" s="20">
        <f>IF($U1866="","",INDEX(상세표[06~07시],$U1866))</f>
        <v/>
      </c>
      <c r="Q1866" s="20">
        <f>IF($U1866="","",INDEX(상세표[07~18시],$U1866))</f>
        <v/>
      </c>
      <c r="R1866" s="20">
        <f>IF($U1866="","",INDEX(상세표[18~22시],$U1866))</f>
        <v/>
      </c>
      <c r="S1866" s="20">
        <f>IF($U1866="","",INDEX(상세표[22~06시],$U1866))</f>
        <v/>
      </c>
      <c r="T1866" s="20">
        <f>IF($U1866="","",INDEX(상세표[기록 시간외],$U1866))</f>
        <v/>
      </c>
      <c r="U1866" s="4">
        <f>IFERROR(MATCH(1861,상세표[발송순번],0),"")</f>
        <v/>
      </c>
    </row>
    <row r="1867">
      <c r="J1867">
        <f>IF($U1867="","",INDEX(상세표[사번],$U1867)&amp;"")</f>
        <v/>
      </c>
      <c r="K1867">
        <f>IF($U1867="","",INDEX(상세표[성명],$U1867)&amp;"")</f>
        <v/>
      </c>
      <c r="L1867">
        <f>IF($U1867="","",INDEX(상세표[직위],$U1867)&amp;"")</f>
        <v/>
      </c>
      <c r="M1867">
        <f>IF($U1867="","",IF(ISNUMBER(INDEX(상세표[근무일자],$U1867)),TEXT(INDEX(상세표[근무일자],$U1867),"yyyy-mm-dd"),INDEX(상세표[근무일자],$U1867)&amp;""))</f>
        <v/>
      </c>
      <c r="N1867">
        <f>IF($U1867="","",IF(ISNUMBER(INDEX(상세표[시작],$U1867)),TEXT(INDEX(상세표[시작],$U1867),"yyyy-mm-dd hh:mm"),INDEX(상세표[시작],$U1867)&amp;""))</f>
        <v/>
      </c>
      <c r="O1867">
        <f>IF($U1867="","",IF(ISNUMBER(INDEX(상세표[종료],$U1867)),TEXT(INDEX(상세표[종료],$U1867),"yyyy-mm-dd hh:mm"),INDEX(상세표[종료],$U1867)&amp;""))</f>
        <v/>
      </c>
      <c r="P1867" s="20">
        <f>IF($U1867="","",INDEX(상세표[06~07시],$U1867))</f>
        <v/>
      </c>
      <c r="Q1867" s="20">
        <f>IF($U1867="","",INDEX(상세표[07~18시],$U1867))</f>
        <v/>
      </c>
      <c r="R1867" s="20">
        <f>IF($U1867="","",INDEX(상세표[18~22시],$U1867))</f>
        <v/>
      </c>
      <c r="S1867" s="20">
        <f>IF($U1867="","",INDEX(상세표[22~06시],$U1867))</f>
        <v/>
      </c>
      <c r="T1867" s="20">
        <f>IF($U1867="","",INDEX(상세표[기록 시간외],$U1867))</f>
        <v/>
      </c>
      <c r="U1867" s="4">
        <f>IFERROR(MATCH(1862,상세표[발송순번],0),"")</f>
        <v/>
      </c>
    </row>
    <row r="1868">
      <c r="J1868">
        <f>IF($U1868="","",INDEX(상세표[사번],$U1868)&amp;"")</f>
        <v/>
      </c>
      <c r="K1868">
        <f>IF($U1868="","",INDEX(상세표[성명],$U1868)&amp;"")</f>
        <v/>
      </c>
      <c r="L1868">
        <f>IF($U1868="","",INDEX(상세표[직위],$U1868)&amp;"")</f>
        <v/>
      </c>
      <c r="M1868">
        <f>IF($U1868="","",IF(ISNUMBER(INDEX(상세표[근무일자],$U1868)),TEXT(INDEX(상세표[근무일자],$U1868),"yyyy-mm-dd"),INDEX(상세표[근무일자],$U1868)&amp;""))</f>
        <v/>
      </c>
      <c r="N1868">
        <f>IF($U1868="","",IF(ISNUMBER(INDEX(상세표[시작],$U1868)),TEXT(INDEX(상세표[시작],$U1868),"yyyy-mm-dd hh:mm"),INDEX(상세표[시작],$U1868)&amp;""))</f>
        <v/>
      </c>
      <c r="O1868">
        <f>IF($U1868="","",IF(ISNUMBER(INDEX(상세표[종료],$U1868)),TEXT(INDEX(상세표[종료],$U1868),"yyyy-mm-dd hh:mm"),INDEX(상세표[종료],$U1868)&amp;""))</f>
        <v/>
      </c>
      <c r="P1868" s="20">
        <f>IF($U1868="","",INDEX(상세표[06~07시],$U1868))</f>
        <v/>
      </c>
      <c r="Q1868" s="20">
        <f>IF($U1868="","",INDEX(상세표[07~18시],$U1868))</f>
        <v/>
      </c>
      <c r="R1868" s="20">
        <f>IF($U1868="","",INDEX(상세표[18~22시],$U1868))</f>
        <v/>
      </c>
      <c r="S1868" s="20">
        <f>IF($U1868="","",INDEX(상세표[22~06시],$U1868))</f>
        <v/>
      </c>
      <c r="T1868" s="20">
        <f>IF($U1868="","",INDEX(상세표[기록 시간외],$U1868))</f>
        <v/>
      </c>
      <c r="U1868" s="4">
        <f>IFERROR(MATCH(1863,상세표[발송순번],0),"")</f>
        <v/>
      </c>
    </row>
    <row r="1869">
      <c r="J1869">
        <f>IF($U1869="","",INDEX(상세표[사번],$U1869)&amp;"")</f>
        <v/>
      </c>
      <c r="K1869">
        <f>IF($U1869="","",INDEX(상세표[성명],$U1869)&amp;"")</f>
        <v/>
      </c>
      <c r="L1869">
        <f>IF($U1869="","",INDEX(상세표[직위],$U1869)&amp;"")</f>
        <v/>
      </c>
      <c r="M1869">
        <f>IF($U1869="","",IF(ISNUMBER(INDEX(상세표[근무일자],$U1869)),TEXT(INDEX(상세표[근무일자],$U1869),"yyyy-mm-dd"),INDEX(상세표[근무일자],$U1869)&amp;""))</f>
        <v/>
      </c>
      <c r="N1869">
        <f>IF($U1869="","",IF(ISNUMBER(INDEX(상세표[시작],$U1869)),TEXT(INDEX(상세표[시작],$U1869),"yyyy-mm-dd hh:mm"),INDEX(상세표[시작],$U1869)&amp;""))</f>
        <v/>
      </c>
      <c r="O1869">
        <f>IF($U1869="","",IF(ISNUMBER(INDEX(상세표[종료],$U1869)),TEXT(INDEX(상세표[종료],$U1869),"yyyy-mm-dd hh:mm"),INDEX(상세표[종료],$U1869)&amp;""))</f>
        <v/>
      </c>
      <c r="P1869" s="20">
        <f>IF($U1869="","",INDEX(상세표[06~07시],$U1869))</f>
        <v/>
      </c>
      <c r="Q1869" s="20">
        <f>IF($U1869="","",INDEX(상세표[07~18시],$U1869))</f>
        <v/>
      </c>
      <c r="R1869" s="20">
        <f>IF($U1869="","",INDEX(상세표[18~22시],$U1869))</f>
        <v/>
      </c>
      <c r="S1869" s="20">
        <f>IF($U1869="","",INDEX(상세표[22~06시],$U1869))</f>
        <v/>
      </c>
      <c r="T1869" s="20">
        <f>IF($U1869="","",INDEX(상세표[기록 시간외],$U1869))</f>
        <v/>
      </c>
      <c r="U1869" s="4">
        <f>IFERROR(MATCH(1864,상세표[발송순번],0),"")</f>
        <v/>
      </c>
    </row>
    <row r="1870">
      <c r="J1870">
        <f>IF($U1870="","",INDEX(상세표[사번],$U1870)&amp;"")</f>
        <v/>
      </c>
      <c r="K1870">
        <f>IF($U1870="","",INDEX(상세표[성명],$U1870)&amp;"")</f>
        <v/>
      </c>
      <c r="L1870">
        <f>IF($U1870="","",INDEX(상세표[직위],$U1870)&amp;"")</f>
        <v/>
      </c>
      <c r="M1870">
        <f>IF($U1870="","",IF(ISNUMBER(INDEX(상세표[근무일자],$U1870)),TEXT(INDEX(상세표[근무일자],$U1870),"yyyy-mm-dd"),INDEX(상세표[근무일자],$U1870)&amp;""))</f>
        <v/>
      </c>
      <c r="N1870">
        <f>IF($U1870="","",IF(ISNUMBER(INDEX(상세표[시작],$U1870)),TEXT(INDEX(상세표[시작],$U1870),"yyyy-mm-dd hh:mm"),INDEX(상세표[시작],$U1870)&amp;""))</f>
        <v/>
      </c>
      <c r="O1870">
        <f>IF($U1870="","",IF(ISNUMBER(INDEX(상세표[종료],$U1870)),TEXT(INDEX(상세표[종료],$U1870),"yyyy-mm-dd hh:mm"),INDEX(상세표[종료],$U1870)&amp;""))</f>
        <v/>
      </c>
      <c r="P1870" s="20">
        <f>IF($U1870="","",INDEX(상세표[06~07시],$U1870))</f>
        <v/>
      </c>
      <c r="Q1870" s="20">
        <f>IF($U1870="","",INDEX(상세표[07~18시],$U1870))</f>
        <v/>
      </c>
      <c r="R1870" s="20">
        <f>IF($U1870="","",INDEX(상세표[18~22시],$U1870))</f>
        <v/>
      </c>
      <c r="S1870" s="20">
        <f>IF($U1870="","",INDEX(상세표[22~06시],$U1870))</f>
        <v/>
      </c>
      <c r="T1870" s="20">
        <f>IF($U1870="","",INDEX(상세표[기록 시간외],$U1870))</f>
        <v/>
      </c>
      <c r="U1870" s="4">
        <f>IFERROR(MATCH(1865,상세표[발송순번],0),"")</f>
        <v/>
      </c>
    </row>
    <row r="1871">
      <c r="J1871">
        <f>IF($U1871="","",INDEX(상세표[사번],$U1871)&amp;"")</f>
        <v/>
      </c>
      <c r="K1871">
        <f>IF($U1871="","",INDEX(상세표[성명],$U1871)&amp;"")</f>
        <v/>
      </c>
      <c r="L1871">
        <f>IF($U1871="","",INDEX(상세표[직위],$U1871)&amp;"")</f>
        <v/>
      </c>
      <c r="M1871">
        <f>IF($U1871="","",IF(ISNUMBER(INDEX(상세표[근무일자],$U1871)),TEXT(INDEX(상세표[근무일자],$U1871),"yyyy-mm-dd"),INDEX(상세표[근무일자],$U1871)&amp;""))</f>
        <v/>
      </c>
      <c r="N1871">
        <f>IF($U1871="","",IF(ISNUMBER(INDEX(상세표[시작],$U1871)),TEXT(INDEX(상세표[시작],$U1871),"yyyy-mm-dd hh:mm"),INDEX(상세표[시작],$U1871)&amp;""))</f>
        <v/>
      </c>
      <c r="O1871">
        <f>IF($U1871="","",IF(ISNUMBER(INDEX(상세표[종료],$U1871)),TEXT(INDEX(상세표[종료],$U1871),"yyyy-mm-dd hh:mm"),INDEX(상세표[종료],$U1871)&amp;""))</f>
        <v/>
      </c>
      <c r="P1871" s="20">
        <f>IF($U1871="","",INDEX(상세표[06~07시],$U1871))</f>
        <v/>
      </c>
      <c r="Q1871" s="20">
        <f>IF($U1871="","",INDEX(상세표[07~18시],$U1871))</f>
        <v/>
      </c>
      <c r="R1871" s="20">
        <f>IF($U1871="","",INDEX(상세표[18~22시],$U1871))</f>
        <v/>
      </c>
      <c r="S1871" s="20">
        <f>IF($U1871="","",INDEX(상세표[22~06시],$U1871))</f>
        <v/>
      </c>
      <c r="T1871" s="20">
        <f>IF($U1871="","",INDEX(상세표[기록 시간외],$U1871))</f>
        <v/>
      </c>
      <c r="U1871" s="4">
        <f>IFERROR(MATCH(1866,상세표[발송순번],0),"")</f>
        <v/>
      </c>
    </row>
    <row r="1872">
      <c r="J1872">
        <f>IF($U1872="","",INDEX(상세표[사번],$U1872)&amp;"")</f>
        <v/>
      </c>
      <c r="K1872">
        <f>IF($U1872="","",INDEX(상세표[성명],$U1872)&amp;"")</f>
        <v/>
      </c>
      <c r="L1872">
        <f>IF($U1872="","",INDEX(상세표[직위],$U1872)&amp;"")</f>
        <v/>
      </c>
      <c r="M1872">
        <f>IF($U1872="","",IF(ISNUMBER(INDEX(상세표[근무일자],$U1872)),TEXT(INDEX(상세표[근무일자],$U1872),"yyyy-mm-dd"),INDEX(상세표[근무일자],$U1872)&amp;""))</f>
        <v/>
      </c>
      <c r="N1872">
        <f>IF($U1872="","",IF(ISNUMBER(INDEX(상세표[시작],$U1872)),TEXT(INDEX(상세표[시작],$U1872),"yyyy-mm-dd hh:mm"),INDEX(상세표[시작],$U1872)&amp;""))</f>
        <v/>
      </c>
      <c r="O1872">
        <f>IF($U1872="","",IF(ISNUMBER(INDEX(상세표[종료],$U1872)),TEXT(INDEX(상세표[종료],$U1872),"yyyy-mm-dd hh:mm"),INDEX(상세표[종료],$U1872)&amp;""))</f>
        <v/>
      </c>
      <c r="P1872" s="20">
        <f>IF($U1872="","",INDEX(상세표[06~07시],$U1872))</f>
        <v/>
      </c>
      <c r="Q1872" s="20">
        <f>IF($U1872="","",INDEX(상세표[07~18시],$U1872))</f>
        <v/>
      </c>
      <c r="R1872" s="20">
        <f>IF($U1872="","",INDEX(상세표[18~22시],$U1872))</f>
        <v/>
      </c>
      <c r="S1872" s="20">
        <f>IF($U1872="","",INDEX(상세표[22~06시],$U1872))</f>
        <v/>
      </c>
      <c r="T1872" s="20">
        <f>IF($U1872="","",INDEX(상세표[기록 시간외],$U1872))</f>
        <v/>
      </c>
      <c r="U1872" s="4">
        <f>IFERROR(MATCH(1867,상세표[발송순번],0),"")</f>
        <v/>
      </c>
    </row>
    <row r="1873">
      <c r="J1873">
        <f>IF($U1873="","",INDEX(상세표[사번],$U1873)&amp;"")</f>
        <v/>
      </c>
      <c r="K1873">
        <f>IF($U1873="","",INDEX(상세표[성명],$U1873)&amp;"")</f>
        <v/>
      </c>
      <c r="L1873">
        <f>IF($U1873="","",INDEX(상세표[직위],$U1873)&amp;"")</f>
        <v/>
      </c>
      <c r="M1873">
        <f>IF($U1873="","",IF(ISNUMBER(INDEX(상세표[근무일자],$U1873)),TEXT(INDEX(상세표[근무일자],$U1873),"yyyy-mm-dd"),INDEX(상세표[근무일자],$U1873)&amp;""))</f>
        <v/>
      </c>
      <c r="N1873">
        <f>IF($U1873="","",IF(ISNUMBER(INDEX(상세표[시작],$U1873)),TEXT(INDEX(상세표[시작],$U1873),"yyyy-mm-dd hh:mm"),INDEX(상세표[시작],$U1873)&amp;""))</f>
        <v/>
      </c>
      <c r="O1873">
        <f>IF($U1873="","",IF(ISNUMBER(INDEX(상세표[종료],$U1873)),TEXT(INDEX(상세표[종료],$U1873),"yyyy-mm-dd hh:mm"),INDEX(상세표[종료],$U1873)&amp;""))</f>
        <v/>
      </c>
      <c r="P1873" s="20">
        <f>IF($U1873="","",INDEX(상세표[06~07시],$U1873))</f>
        <v/>
      </c>
      <c r="Q1873" s="20">
        <f>IF($U1873="","",INDEX(상세표[07~18시],$U1873))</f>
        <v/>
      </c>
      <c r="R1873" s="20">
        <f>IF($U1873="","",INDEX(상세표[18~22시],$U1873))</f>
        <v/>
      </c>
      <c r="S1873" s="20">
        <f>IF($U1873="","",INDEX(상세표[22~06시],$U1873))</f>
        <v/>
      </c>
      <c r="T1873" s="20">
        <f>IF($U1873="","",INDEX(상세표[기록 시간외],$U1873))</f>
        <v/>
      </c>
      <c r="U1873" s="4">
        <f>IFERROR(MATCH(1868,상세표[발송순번],0),"")</f>
        <v/>
      </c>
    </row>
    <row r="1874">
      <c r="J1874">
        <f>IF($U1874="","",INDEX(상세표[사번],$U1874)&amp;"")</f>
        <v/>
      </c>
      <c r="K1874">
        <f>IF($U1874="","",INDEX(상세표[성명],$U1874)&amp;"")</f>
        <v/>
      </c>
      <c r="L1874">
        <f>IF($U1874="","",INDEX(상세표[직위],$U1874)&amp;"")</f>
        <v/>
      </c>
      <c r="M1874">
        <f>IF($U1874="","",IF(ISNUMBER(INDEX(상세표[근무일자],$U1874)),TEXT(INDEX(상세표[근무일자],$U1874),"yyyy-mm-dd"),INDEX(상세표[근무일자],$U1874)&amp;""))</f>
        <v/>
      </c>
      <c r="N1874">
        <f>IF($U1874="","",IF(ISNUMBER(INDEX(상세표[시작],$U1874)),TEXT(INDEX(상세표[시작],$U1874),"yyyy-mm-dd hh:mm"),INDEX(상세표[시작],$U1874)&amp;""))</f>
        <v/>
      </c>
      <c r="O1874">
        <f>IF($U1874="","",IF(ISNUMBER(INDEX(상세표[종료],$U1874)),TEXT(INDEX(상세표[종료],$U1874),"yyyy-mm-dd hh:mm"),INDEX(상세표[종료],$U1874)&amp;""))</f>
        <v/>
      </c>
      <c r="P1874" s="20">
        <f>IF($U1874="","",INDEX(상세표[06~07시],$U1874))</f>
        <v/>
      </c>
      <c r="Q1874" s="20">
        <f>IF($U1874="","",INDEX(상세표[07~18시],$U1874))</f>
        <v/>
      </c>
      <c r="R1874" s="20">
        <f>IF($U1874="","",INDEX(상세표[18~22시],$U1874))</f>
        <v/>
      </c>
      <c r="S1874" s="20">
        <f>IF($U1874="","",INDEX(상세표[22~06시],$U1874))</f>
        <v/>
      </c>
      <c r="T1874" s="20">
        <f>IF($U1874="","",INDEX(상세표[기록 시간외],$U1874))</f>
        <v/>
      </c>
      <c r="U1874" s="4">
        <f>IFERROR(MATCH(1869,상세표[발송순번],0),"")</f>
        <v/>
      </c>
    </row>
    <row r="1875">
      <c r="J1875">
        <f>IF($U1875="","",INDEX(상세표[사번],$U1875)&amp;"")</f>
        <v/>
      </c>
      <c r="K1875">
        <f>IF($U1875="","",INDEX(상세표[성명],$U1875)&amp;"")</f>
        <v/>
      </c>
      <c r="L1875">
        <f>IF($U1875="","",INDEX(상세표[직위],$U1875)&amp;"")</f>
        <v/>
      </c>
      <c r="M1875">
        <f>IF($U1875="","",IF(ISNUMBER(INDEX(상세표[근무일자],$U1875)),TEXT(INDEX(상세표[근무일자],$U1875),"yyyy-mm-dd"),INDEX(상세표[근무일자],$U1875)&amp;""))</f>
        <v/>
      </c>
      <c r="N1875">
        <f>IF($U1875="","",IF(ISNUMBER(INDEX(상세표[시작],$U1875)),TEXT(INDEX(상세표[시작],$U1875),"yyyy-mm-dd hh:mm"),INDEX(상세표[시작],$U1875)&amp;""))</f>
        <v/>
      </c>
      <c r="O1875">
        <f>IF($U1875="","",IF(ISNUMBER(INDEX(상세표[종료],$U1875)),TEXT(INDEX(상세표[종료],$U1875),"yyyy-mm-dd hh:mm"),INDEX(상세표[종료],$U1875)&amp;""))</f>
        <v/>
      </c>
      <c r="P1875" s="20">
        <f>IF($U1875="","",INDEX(상세표[06~07시],$U1875))</f>
        <v/>
      </c>
      <c r="Q1875" s="20">
        <f>IF($U1875="","",INDEX(상세표[07~18시],$U1875))</f>
        <v/>
      </c>
      <c r="R1875" s="20">
        <f>IF($U1875="","",INDEX(상세표[18~22시],$U1875))</f>
        <v/>
      </c>
      <c r="S1875" s="20">
        <f>IF($U1875="","",INDEX(상세표[22~06시],$U1875))</f>
        <v/>
      </c>
      <c r="T1875" s="20">
        <f>IF($U1875="","",INDEX(상세표[기록 시간외],$U1875))</f>
        <v/>
      </c>
      <c r="U1875" s="4">
        <f>IFERROR(MATCH(1870,상세표[발송순번],0),"")</f>
        <v/>
      </c>
    </row>
    <row r="1876">
      <c r="J1876">
        <f>IF($U1876="","",INDEX(상세표[사번],$U1876)&amp;"")</f>
        <v/>
      </c>
      <c r="K1876">
        <f>IF($U1876="","",INDEX(상세표[성명],$U1876)&amp;"")</f>
        <v/>
      </c>
      <c r="L1876">
        <f>IF($U1876="","",INDEX(상세표[직위],$U1876)&amp;"")</f>
        <v/>
      </c>
      <c r="M1876">
        <f>IF($U1876="","",IF(ISNUMBER(INDEX(상세표[근무일자],$U1876)),TEXT(INDEX(상세표[근무일자],$U1876),"yyyy-mm-dd"),INDEX(상세표[근무일자],$U1876)&amp;""))</f>
        <v/>
      </c>
      <c r="N1876">
        <f>IF($U1876="","",IF(ISNUMBER(INDEX(상세표[시작],$U1876)),TEXT(INDEX(상세표[시작],$U1876),"yyyy-mm-dd hh:mm"),INDEX(상세표[시작],$U1876)&amp;""))</f>
        <v/>
      </c>
      <c r="O1876">
        <f>IF($U1876="","",IF(ISNUMBER(INDEX(상세표[종료],$U1876)),TEXT(INDEX(상세표[종료],$U1876),"yyyy-mm-dd hh:mm"),INDEX(상세표[종료],$U1876)&amp;""))</f>
        <v/>
      </c>
      <c r="P1876" s="20">
        <f>IF($U1876="","",INDEX(상세표[06~07시],$U1876))</f>
        <v/>
      </c>
      <c r="Q1876" s="20">
        <f>IF($U1876="","",INDEX(상세표[07~18시],$U1876))</f>
        <v/>
      </c>
      <c r="R1876" s="20">
        <f>IF($U1876="","",INDEX(상세표[18~22시],$U1876))</f>
        <v/>
      </c>
      <c r="S1876" s="20">
        <f>IF($U1876="","",INDEX(상세표[22~06시],$U1876))</f>
        <v/>
      </c>
      <c r="T1876" s="20">
        <f>IF($U1876="","",INDEX(상세표[기록 시간외],$U1876))</f>
        <v/>
      </c>
      <c r="U1876" s="4">
        <f>IFERROR(MATCH(1871,상세표[발송순번],0),"")</f>
        <v/>
      </c>
    </row>
    <row r="1877">
      <c r="J1877">
        <f>IF($U1877="","",INDEX(상세표[사번],$U1877)&amp;"")</f>
        <v/>
      </c>
      <c r="K1877">
        <f>IF($U1877="","",INDEX(상세표[성명],$U1877)&amp;"")</f>
        <v/>
      </c>
      <c r="L1877">
        <f>IF($U1877="","",INDEX(상세표[직위],$U1877)&amp;"")</f>
        <v/>
      </c>
      <c r="M1877">
        <f>IF($U1877="","",IF(ISNUMBER(INDEX(상세표[근무일자],$U1877)),TEXT(INDEX(상세표[근무일자],$U1877),"yyyy-mm-dd"),INDEX(상세표[근무일자],$U1877)&amp;""))</f>
        <v/>
      </c>
      <c r="N1877">
        <f>IF($U1877="","",IF(ISNUMBER(INDEX(상세표[시작],$U1877)),TEXT(INDEX(상세표[시작],$U1877),"yyyy-mm-dd hh:mm"),INDEX(상세표[시작],$U1877)&amp;""))</f>
        <v/>
      </c>
      <c r="O1877">
        <f>IF($U1877="","",IF(ISNUMBER(INDEX(상세표[종료],$U1877)),TEXT(INDEX(상세표[종료],$U1877),"yyyy-mm-dd hh:mm"),INDEX(상세표[종료],$U1877)&amp;""))</f>
        <v/>
      </c>
      <c r="P1877" s="20">
        <f>IF($U1877="","",INDEX(상세표[06~07시],$U1877))</f>
        <v/>
      </c>
      <c r="Q1877" s="20">
        <f>IF($U1877="","",INDEX(상세표[07~18시],$U1877))</f>
        <v/>
      </c>
      <c r="R1877" s="20">
        <f>IF($U1877="","",INDEX(상세표[18~22시],$U1877))</f>
        <v/>
      </c>
      <c r="S1877" s="20">
        <f>IF($U1877="","",INDEX(상세표[22~06시],$U1877))</f>
        <v/>
      </c>
      <c r="T1877" s="20">
        <f>IF($U1877="","",INDEX(상세표[기록 시간외],$U1877))</f>
        <v/>
      </c>
      <c r="U1877" s="4">
        <f>IFERROR(MATCH(1872,상세표[발송순번],0),"")</f>
        <v/>
      </c>
    </row>
    <row r="1878">
      <c r="J1878">
        <f>IF($U1878="","",INDEX(상세표[사번],$U1878)&amp;"")</f>
        <v/>
      </c>
      <c r="K1878">
        <f>IF($U1878="","",INDEX(상세표[성명],$U1878)&amp;"")</f>
        <v/>
      </c>
      <c r="L1878">
        <f>IF($U1878="","",INDEX(상세표[직위],$U1878)&amp;"")</f>
        <v/>
      </c>
      <c r="M1878">
        <f>IF($U1878="","",IF(ISNUMBER(INDEX(상세표[근무일자],$U1878)),TEXT(INDEX(상세표[근무일자],$U1878),"yyyy-mm-dd"),INDEX(상세표[근무일자],$U1878)&amp;""))</f>
        <v/>
      </c>
      <c r="N1878">
        <f>IF($U1878="","",IF(ISNUMBER(INDEX(상세표[시작],$U1878)),TEXT(INDEX(상세표[시작],$U1878),"yyyy-mm-dd hh:mm"),INDEX(상세표[시작],$U1878)&amp;""))</f>
        <v/>
      </c>
      <c r="O1878">
        <f>IF($U1878="","",IF(ISNUMBER(INDEX(상세표[종료],$U1878)),TEXT(INDEX(상세표[종료],$U1878),"yyyy-mm-dd hh:mm"),INDEX(상세표[종료],$U1878)&amp;""))</f>
        <v/>
      </c>
      <c r="P1878" s="20">
        <f>IF($U1878="","",INDEX(상세표[06~07시],$U1878))</f>
        <v/>
      </c>
      <c r="Q1878" s="20">
        <f>IF($U1878="","",INDEX(상세표[07~18시],$U1878))</f>
        <v/>
      </c>
      <c r="R1878" s="20">
        <f>IF($U1878="","",INDEX(상세표[18~22시],$U1878))</f>
        <v/>
      </c>
      <c r="S1878" s="20">
        <f>IF($U1878="","",INDEX(상세표[22~06시],$U1878))</f>
        <v/>
      </c>
      <c r="T1878" s="20">
        <f>IF($U1878="","",INDEX(상세표[기록 시간외],$U1878))</f>
        <v/>
      </c>
      <c r="U1878" s="4">
        <f>IFERROR(MATCH(1873,상세표[발송순번],0),"")</f>
        <v/>
      </c>
    </row>
    <row r="1879">
      <c r="J1879">
        <f>IF($U1879="","",INDEX(상세표[사번],$U1879)&amp;"")</f>
        <v/>
      </c>
      <c r="K1879">
        <f>IF($U1879="","",INDEX(상세표[성명],$U1879)&amp;"")</f>
        <v/>
      </c>
      <c r="L1879">
        <f>IF($U1879="","",INDEX(상세표[직위],$U1879)&amp;"")</f>
        <v/>
      </c>
      <c r="M1879">
        <f>IF($U1879="","",IF(ISNUMBER(INDEX(상세표[근무일자],$U1879)),TEXT(INDEX(상세표[근무일자],$U1879),"yyyy-mm-dd"),INDEX(상세표[근무일자],$U1879)&amp;""))</f>
        <v/>
      </c>
      <c r="N1879">
        <f>IF($U1879="","",IF(ISNUMBER(INDEX(상세표[시작],$U1879)),TEXT(INDEX(상세표[시작],$U1879),"yyyy-mm-dd hh:mm"),INDEX(상세표[시작],$U1879)&amp;""))</f>
        <v/>
      </c>
      <c r="O1879">
        <f>IF($U1879="","",IF(ISNUMBER(INDEX(상세표[종료],$U1879)),TEXT(INDEX(상세표[종료],$U1879),"yyyy-mm-dd hh:mm"),INDEX(상세표[종료],$U1879)&amp;""))</f>
        <v/>
      </c>
      <c r="P1879" s="20">
        <f>IF($U1879="","",INDEX(상세표[06~07시],$U1879))</f>
        <v/>
      </c>
      <c r="Q1879" s="20">
        <f>IF($U1879="","",INDEX(상세표[07~18시],$U1879))</f>
        <v/>
      </c>
      <c r="R1879" s="20">
        <f>IF($U1879="","",INDEX(상세표[18~22시],$U1879))</f>
        <v/>
      </c>
      <c r="S1879" s="20">
        <f>IF($U1879="","",INDEX(상세표[22~06시],$U1879))</f>
        <v/>
      </c>
      <c r="T1879" s="20">
        <f>IF($U1879="","",INDEX(상세표[기록 시간외],$U1879))</f>
        <v/>
      </c>
      <c r="U1879" s="4">
        <f>IFERROR(MATCH(1874,상세표[발송순번],0),"")</f>
        <v/>
      </c>
    </row>
    <row r="1880">
      <c r="J1880">
        <f>IF($U1880="","",INDEX(상세표[사번],$U1880)&amp;"")</f>
        <v/>
      </c>
      <c r="K1880">
        <f>IF($U1880="","",INDEX(상세표[성명],$U1880)&amp;"")</f>
        <v/>
      </c>
      <c r="L1880">
        <f>IF($U1880="","",INDEX(상세표[직위],$U1880)&amp;"")</f>
        <v/>
      </c>
      <c r="M1880">
        <f>IF($U1880="","",IF(ISNUMBER(INDEX(상세표[근무일자],$U1880)),TEXT(INDEX(상세표[근무일자],$U1880),"yyyy-mm-dd"),INDEX(상세표[근무일자],$U1880)&amp;""))</f>
        <v/>
      </c>
      <c r="N1880">
        <f>IF($U1880="","",IF(ISNUMBER(INDEX(상세표[시작],$U1880)),TEXT(INDEX(상세표[시작],$U1880),"yyyy-mm-dd hh:mm"),INDEX(상세표[시작],$U1880)&amp;""))</f>
        <v/>
      </c>
      <c r="O1880">
        <f>IF($U1880="","",IF(ISNUMBER(INDEX(상세표[종료],$U1880)),TEXT(INDEX(상세표[종료],$U1880),"yyyy-mm-dd hh:mm"),INDEX(상세표[종료],$U1880)&amp;""))</f>
        <v/>
      </c>
      <c r="P1880" s="20">
        <f>IF($U1880="","",INDEX(상세표[06~07시],$U1880))</f>
        <v/>
      </c>
      <c r="Q1880" s="20">
        <f>IF($U1880="","",INDEX(상세표[07~18시],$U1880))</f>
        <v/>
      </c>
      <c r="R1880" s="20">
        <f>IF($U1880="","",INDEX(상세표[18~22시],$U1880))</f>
        <v/>
      </c>
      <c r="S1880" s="20">
        <f>IF($U1880="","",INDEX(상세표[22~06시],$U1880))</f>
        <v/>
      </c>
      <c r="T1880" s="20">
        <f>IF($U1880="","",INDEX(상세표[기록 시간외],$U1880))</f>
        <v/>
      </c>
      <c r="U1880" s="4">
        <f>IFERROR(MATCH(1875,상세표[발송순번],0),"")</f>
        <v/>
      </c>
    </row>
    <row r="1881">
      <c r="J1881">
        <f>IF($U1881="","",INDEX(상세표[사번],$U1881)&amp;"")</f>
        <v/>
      </c>
      <c r="K1881">
        <f>IF($U1881="","",INDEX(상세표[성명],$U1881)&amp;"")</f>
        <v/>
      </c>
      <c r="L1881">
        <f>IF($U1881="","",INDEX(상세표[직위],$U1881)&amp;"")</f>
        <v/>
      </c>
      <c r="M1881">
        <f>IF($U1881="","",IF(ISNUMBER(INDEX(상세표[근무일자],$U1881)),TEXT(INDEX(상세표[근무일자],$U1881),"yyyy-mm-dd"),INDEX(상세표[근무일자],$U1881)&amp;""))</f>
        <v/>
      </c>
      <c r="N1881">
        <f>IF($U1881="","",IF(ISNUMBER(INDEX(상세표[시작],$U1881)),TEXT(INDEX(상세표[시작],$U1881),"yyyy-mm-dd hh:mm"),INDEX(상세표[시작],$U1881)&amp;""))</f>
        <v/>
      </c>
      <c r="O1881">
        <f>IF($U1881="","",IF(ISNUMBER(INDEX(상세표[종료],$U1881)),TEXT(INDEX(상세표[종료],$U1881),"yyyy-mm-dd hh:mm"),INDEX(상세표[종료],$U1881)&amp;""))</f>
        <v/>
      </c>
      <c r="P1881" s="20">
        <f>IF($U1881="","",INDEX(상세표[06~07시],$U1881))</f>
        <v/>
      </c>
      <c r="Q1881" s="20">
        <f>IF($U1881="","",INDEX(상세표[07~18시],$U1881))</f>
        <v/>
      </c>
      <c r="R1881" s="20">
        <f>IF($U1881="","",INDEX(상세표[18~22시],$U1881))</f>
        <v/>
      </c>
      <c r="S1881" s="20">
        <f>IF($U1881="","",INDEX(상세표[22~06시],$U1881))</f>
        <v/>
      </c>
      <c r="T1881" s="20">
        <f>IF($U1881="","",INDEX(상세표[기록 시간외],$U1881))</f>
        <v/>
      </c>
      <c r="U1881" s="4">
        <f>IFERROR(MATCH(1876,상세표[발송순번],0),"")</f>
        <v/>
      </c>
    </row>
    <row r="1882">
      <c r="J1882">
        <f>IF($U1882="","",INDEX(상세표[사번],$U1882)&amp;"")</f>
        <v/>
      </c>
      <c r="K1882">
        <f>IF($U1882="","",INDEX(상세표[성명],$U1882)&amp;"")</f>
        <v/>
      </c>
      <c r="L1882">
        <f>IF($U1882="","",INDEX(상세표[직위],$U1882)&amp;"")</f>
        <v/>
      </c>
      <c r="M1882">
        <f>IF($U1882="","",IF(ISNUMBER(INDEX(상세표[근무일자],$U1882)),TEXT(INDEX(상세표[근무일자],$U1882),"yyyy-mm-dd"),INDEX(상세표[근무일자],$U1882)&amp;""))</f>
        <v/>
      </c>
      <c r="N1882">
        <f>IF($U1882="","",IF(ISNUMBER(INDEX(상세표[시작],$U1882)),TEXT(INDEX(상세표[시작],$U1882),"yyyy-mm-dd hh:mm"),INDEX(상세표[시작],$U1882)&amp;""))</f>
        <v/>
      </c>
      <c r="O1882">
        <f>IF($U1882="","",IF(ISNUMBER(INDEX(상세표[종료],$U1882)),TEXT(INDEX(상세표[종료],$U1882),"yyyy-mm-dd hh:mm"),INDEX(상세표[종료],$U1882)&amp;""))</f>
        <v/>
      </c>
      <c r="P1882" s="20">
        <f>IF($U1882="","",INDEX(상세표[06~07시],$U1882))</f>
        <v/>
      </c>
      <c r="Q1882" s="20">
        <f>IF($U1882="","",INDEX(상세표[07~18시],$U1882))</f>
        <v/>
      </c>
      <c r="R1882" s="20">
        <f>IF($U1882="","",INDEX(상세표[18~22시],$U1882))</f>
        <v/>
      </c>
      <c r="S1882" s="20">
        <f>IF($U1882="","",INDEX(상세표[22~06시],$U1882))</f>
        <v/>
      </c>
      <c r="T1882" s="20">
        <f>IF($U1882="","",INDEX(상세표[기록 시간외],$U1882))</f>
        <v/>
      </c>
      <c r="U1882" s="4">
        <f>IFERROR(MATCH(1877,상세표[발송순번],0),"")</f>
        <v/>
      </c>
    </row>
    <row r="1883">
      <c r="J1883">
        <f>IF($U1883="","",INDEX(상세표[사번],$U1883)&amp;"")</f>
        <v/>
      </c>
      <c r="K1883">
        <f>IF($U1883="","",INDEX(상세표[성명],$U1883)&amp;"")</f>
        <v/>
      </c>
      <c r="L1883">
        <f>IF($U1883="","",INDEX(상세표[직위],$U1883)&amp;"")</f>
        <v/>
      </c>
      <c r="M1883">
        <f>IF($U1883="","",IF(ISNUMBER(INDEX(상세표[근무일자],$U1883)),TEXT(INDEX(상세표[근무일자],$U1883),"yyyy-mm-dd"),INDEX(상세표[근무일자],$U1883)&amp;""))</f>
        <v/>
      </c>
      <c r="N1883">
        <f>IF($U1883="","",IF(ISNUMBER(INDEX(상세표[시작],$U1883)),TEXT(INDEX(상세표[시작],$U1883),"yyyy-mm-dd hh:mm"),INDEX(상세표[시작],$U1883)&amp;""))</f>
        <v/>
      </c>
      <c r="O1883">
        <f>IF($U1883="","",IF(ISNUMBER(INDEX(상세표[종료],$U1883)),TEXT(INDEX(상세표[종료],$U1883),"yyyy-mm-dd hh:mm"),INDEX(상세표[종료],$U1883)&amp;""))</f>
        <v/>
      </c>
      <c r="P1883" s="20">
        <f>IF($U1883="","",INDEX(상세표[06~07시],$U1883))</f>
        <v/>
      </c>
      <c r="Q1883" s="20">
        <f>IF($U1883="","",INDEX(상세표[07~18시],$U1883))</f>
        <v/>
      </c>
      <c r="R1883" s="20">
        <f>IF($U1883="","",INDEX(상세표[18~22시],$U1883))</f>
        <v/>
      </c>
      <c r="S1883" s="20">
        <f>IF($U1883="","",INDEX(상세표[22~06시],$U1883))</f>
        <v/>
      </c>
      <c r="T1883" s="20">
        <f>IF($U1883="","",INDEX(상세표[기록 시간외],$U1883))</f>
        <v/>
      </c>
      <c r="U1883" s="4">
        <f>IFERROR(MATCH(1878,상세표[발송순번],0),"")</f>
        <v/>
      </c>
    </row>
    <row r="1884">
      <c r="J1884">
        <f>IF($U1884="","",INDEX(상세표[사번],$U1884)&amp;"")</f>
        <v/>
      </c>
      <c r="K1884">
        <f>IF($U1884="","",INDEX(상세표[성명],$U1884)&amp;"")</f>
        <v/>
      </c>
      <c r="L1884">
        <f>IF($U1884="","",INDEX(상세표[직위],$U1884)&amp;"")</f>
        <v/>
      </c>
      <c r="M1884">
        <f>IF($U1884="","",IF(ISNUMBER(INDEX(상세표[근무일자],$U1884)),TEXT(INDEX(상세표[근무일자],$U1884),"yyyy-mm-dd"),INDEX(상세표[근무일자],$U1884)&amp;""))</f>
        <v/>
      </c>
      <c r="N1884">
        <f>IF($U1884="","",IF(ISNUMBER(INDEX(상세표[시작],$U1884)),TEXT(INDEX(상세표[시작],$U1884),"yyyy-mm-dd hh:mm"),INDEX(상세표[시작],$U1884)&amp;""))</f>
        <v/>
      </c>
      <c r="O1884">
        <f>IF($U1884="","",IF(ISNUMBER(INDEX(상세표[종료],$U1884)),TEXT(INDEX(상세표[종료],$U1884),"yyyy-mm-dd hh:mm"),INDEX(상세표[종료],$U1884)&amp;""))</f>
        <v/>
      </c>
      <c r="P1884" s="20">
        <f>IF($U1884="","",INDEX(상세표[06~07시],$U1884))</f>
        <v/>
      </c>
      <c r="Q1884" s="20">
        <f>IF($U1884="","",INDEX(상세표[07~18시],$U1884))</f>
        <v/>
      </c>
      <c r="R1884" s="20">
        <f>IF($U1884="","",INDEX(상세표[18~22시],$U1884))</f>
        <v/>
      </c>
      <c r="S1884" s="20">
        <f>IF($U1884="","",INDEX(상세표[22~06시],$U1884))</f>
        <v/>
      </c>
      <c r="T1884" s="20">
        <f>IF($U1884="","",INDEX(상세표[기록 시간외],$U1884))</f>
        <v/>
      </c>
      <c r="U1884" s="4">
        <f>IFERROR(MATCH(1879,상세표[발송순번],0),"")</f>
        <v/>
      </c>
    </row>
    <row r="1885">
      <c r="J1885">
        <f>IF($U1885="","",INDEX(상세표[사번],$U1885)&amp;"")</f>
        <v/>
      </c>
      <c r="K1885">
        <f>IF($U1885="","",INDEX(상세표[성명],$U1885)&amp;"")</f>
        <v/>
      </c>
      <c r="L1885">
        <f>IF($U1885="","",INDEX(상세표[직위],$U1885)&amp;"")</f>
        <v/>
      </c>
      <c r="M1885">
        <f>IF($U1885="","",IF(ISNUMBER(INDEX(상세표[근무일자],$U1885)),TEXT(INDEX(상세표[근무일자],$U1885),"yyyy-mm-dd"),INDEX(상세표[근무일자],$U1885)&amp;""))</f>
        <v/>
      </c>
      <c r="N1885">
        <f>IF($U1885="","",IF(ISNUMBER(INDEX(상세표[시작],$U1885)),TEXT(INDEX(상세표[시작],$U1885),"yyyy-mm-dd hh:mm"),INDEX(상세표[시작],$U1885)&amp;""))</f>
        <v/>
      </c>
      <c r="O1885">
        <f>IF($U1885="","",IF(ISNUMBER(INDEX(상세표[종료],$U1885)),TEXT(INDEX(상세표[종료],$U1885),"yyyy-mm-dd hh:mm"),INDEX(상세표[종료],$U1885)&amp;""))</f>
        <v/>
      </c>
      <c r="P1885" s="20">
        <f>IF($U1885="","",INDEX(상세표[06~07시],$U1885))</f>
        <v/>
      </c>
      <c r="Q1885" s="20">
        <f>IF($U1885="","",INDEX(상세표[07~18시],$U1885))</f>
        <v/>
      </c>
      <c r="R1885" s="20">
        <f>IF($U1885="","",INDEX(상세표[18~22시],$U1885))</f>
        <v/>
      </c>
      <c r="S1885" s="20">
        <f>IF($U1885="","",INDEX(상세표[22~06시],$U1885))</f>
        <v/>
      </c>
      <c r="T1885" s="20">
        <f>IF($U1885="","",INDEX(상세표[기록 시간외],$U1885))</f>
        <v/>
      </c>
      <c r="U1885" s="4">
        <f>IFERROR(MATCH(1880,상세표[발송순번],0),"")</f>
        <v/>
      </c>
    </row>
    <row r="1886">
      <c r="J1886">
        <f>IF($U1886="","",INDEX(상세표[사번],$U1886)&amp;"")</f>
        <v/>
      </c>
      <c r="K1886">
        <f>IF($U1886="","",INDEX(상세표[성명],$U1886)&amp;"")</f>
        <v/>
      </c>
      <c r="L1886">
        <f>IF($U1886="","",INDEX(상세표[직위],$U1886)&amp;"")</f>
        <v/>
      </c>
      <c r="M1886">
        <f>IF($U1886="","",IF(ISNUMBER(INDEX(상세표[근무일자],$U1886)),TEXT(INDEX(상세표[근무일자],$U1886),"yyyy-mm-dd"),INDEX(상세표[근무일자],$U1886)&amp;""))</f>
        <v/>
      </c>
      <c r="N1886">
        <f>IF($U1886="","",IF(ISNUMBER(INDEX(상세표[시작],$U1886)),TEXT(INDEX(상세표[시작],$U1886),"yyyy-mm-dd hh:mm"),INDEX(상세표[시작],$U1886)&amp;""))</f>
        <v/>
      </c>
      <c r="O1886">
        <f>IF($U1886="","",IF(ISNUMBER(INDEX(상세표[종료],$U1886)),TEXT(INDEX(상세표[종료],$U1886),"yyyy-mm-dd hh:mm"),INDEX(상세표[종료],$U1886)&amp;""))</f>
        <v/>
      </c>
      <c r="P1886" s="20">
        <f>IF($U1886="","",INDEX(상세표[06~07시],$U1886))</f>
        <v/>
      </c>
      <c r="Q1886" s="20">
        <f>IF($U1886="","",INDEX(상세표[07~18시],$U1886))</f>
        <v/>
      </c>
      <c r="R1886" s="20">
        <f>IF($U1886="","",INDEX(상세표[18~22시],$U1886))</f>
        <v/>
      </c>
      <c r="S1886" s="20">
        <f>IF($U1886="","",INDEX(상세표[22~06시],$U1886))</f>
        <v/>
      </c>
      <c r="T1886" s="20">
        <f>IF($U1886="","",INDEX(상세표[기록 시간외],$U1886))</f>
        <v/>
      </c>
      <c r="U1886" s="4">
        <f>IFERROR(MATCH(1881,상세표[발송순번],0),"")</f>
        <v/>
      </c>
    </row>
    <row r="1887">
      <c r="J1887">
        <f>IF($U1887="","",INDEX(상세표[사번],$U1887)&amp;"")</f>
        <v/>
      </c>
      <c r="K1887">
        <f>IF($U1887="","",INDEX(상세표[성명],$U1887)&amp;"")</f>
        <v/>
      </c>
      <c r="L1887">
        <f>IF($U1887="","",INDEX(상세표[직위],$U1887)&amp;"")</f>
        <v/>
      </c>
      <c r="M1887">
        <f>IF($U1887="","",IF(ISNUMBER(INDEX(상세표[근무일자],$U1887)),TEXT(INDEX(상세표[근무일자],$U1887),"yyyy-mm-dd"),INDEX(상세표[근무일자],$U1887)&amp;""))</f>
        <v/>
      </c>
      <c r="N1887">
        <f>IF($U1887="","",IF(ISNUMBER(INDEX(상세표[시작],$U1887)),TEXT(INDEX(상세표[시작],$U1887),"yyyy-mm-dd hh:mm"),INDEX(상세표[시작],$U1887)&amp;""))</f>
        <v/>
      </c>
      <c r="O1887">
        <f>IF($U1887="","",IF(ISNUMBER(INDEX(상세표[종료],$U1887)),TEXT(INDEX(상세표[종료],$U1887),"yyyy-mm-dd hh:mm"),INDEX(상세표[종료],$U1887)&amp;""))</f>
        <v/>
      </c>
      <c r="P1887" s="20">
        <f>IF($U1887="","",INDEX(상세표[06~07시],$U1887))</f>
        <v/>
      </c>
      <c r="Q1887" s="20">
        <f>IF($U1887="","",INDEX(상세표[07~18시],$U1887))</f>
        <v/>
      </c>
      <c r="R1887" s="20">
        <f>IF($U1887="","",INDEX(상세표[18~22시],$U1887))</f>
        <v/>
      </c>
      <c r="S1887" s="20">
        <f>IF($U1887="","",INDEX(상세표[22~06시],$U1887))</f>
        <v/>
      </c>
      <c r="T1887" s="20">
        <f>IF($U1887="","",INDEX(상세표[기록 시간외],$U1887))</f>
        <v/>
      </c>
      <c r="U1887" s="4">
        <f>IFERROR(MATCH(1882,상세표[발송순번],0),"")</f>
        <v/>
      </c>
    </row>
    <row r="1888">
      <c r="J1888">
        <f>IF($U1888="","",INDEX(상세표[사번],$U1888)&amp;"")</f>
        <v/>
      </c>
      <c r="K1888">
        <f>IF($U1888="","",INDEX(상세표[성명],$U1888)&amp;"")</f>
        <v/>
      </c>
      <c r="L1888">
        <f>IF($U1888="","",INDEX(상세표[직위],$U1888)&amp;"")</f>
        <v/>
      </c>
      <c r="M1888">
        <f>IF($U1888="","",IF(ISNUMBER(INDEX(상세표[근무일자],$U1888)),TEXT(INDEX(상세표[근무일자],$U1888),"yyyy-mm-dd"),INDEX(상세표[근무일자],$U1888)&amp;""))</f>
        <v/>
      </c>
      <c r="N1888">
        <f>IF($U1888="","",IF(ISNUMBER(INDEX(상세표[시작],$U1888)),TEXT(INDEX(상세표[시작],$U1888),"yyyy-mm-dd hh:mm"),INDEX(상세표[시작],$U1888)&amp;""))</f>
        <v/>
      </c>
      <c r="O1888">
        <f>IF($U1888="","",IF(ISNUMBER(INDEX(상세표[종료],$U1888)),TEXT(INDEX(상세표[종료],$U1888),"yyyy-mm-dd hh:mm"),INDEX(상세표[종료],$U1888)&amp;""))</f>
        <v/>
      </c>
      <c r="P1888" s="20">
        <f>IF($U1888="","",INDEX(상세표[06~07시],$U1888))</f>
        <v/>
      </c>
      <c r="Q1888" s="20">
        <f>IF($U1888="","",INDEX(상세표[07~18시],$U1888))</f>
        <v/>
      </c>
      <c r="R1888" s="20">
        <f>IF($U1888="","",INDEX(상세표[18~22시],$U1888))</f>
        <v/>
      </c>
      <c r="S1888" s="20">
        <f>IF($U1888="","",INDEX(상세표[22~06시],$U1888))</f>
        <v/>
      </c>
      <c r="T1888" s="20">
        <f>IF($U1888="","",INDEX(상세표[기록 시간외],$U1888))</f>
        <v/>
      </c>
      <c r="U1888" s="4">
        <f>IFERROR(MATCH(1883,상세표[발송순번],0),"")</f>
        <v/>
      </c>
    </row>
    <row r="1889">
      <c r="J1889">
        <f>IF($U1889="","",INDEX(상세표[사번],$U1889)&amp;"")</f>
        <v/>
      </c>
      <c r="K1889">
        <f>IF($U1889="","",INDEX(상세표[성명],$U1889)&amp;"")</f>
        <v/>
      </c>
      <c r="L1889">
        <f>IF($U1889="","",INDEX(상세표[직위],$U1889)&amp;"")</f>
        <v/>
      </c>
      <c r="M1889">
        <f>IF($U1889="","",IF(ISNUMBER(INDEX(상세표[근무일자],$U1889)),TEXT(INDEX(상세표[근무일자],$U1889),"yyyy-mm-dd"),INDEX(상세표[근무일자],$U1889)&amp;""))</f>
        <v/>
      </c>
      <c r="N1889">
        <f>IF($U1889="","",IF(ISNUMBER(INDEX(상세표[시작],$U1889)),TEXT(INDEX(상세표[시작],$U1889),"yyyy-mm-dd hh:mm"),INDEX(상세표[시작],$U1889)&amp;""))</f>
        <v/>
      </c>
      <c r="O1889">
        <f>IF($U1889="","",IF(ISNUMBER(INDEX(상세표[종료],$U1889)),TEXT(INDEX(상세표[종료],$U1889),"yyyy-mm-dd hh:mm"),INDEX(상세표[종료],$U1889)&amp;""))</f>
        <v/>
      </c>
      <c r="P1889" s="20">
        <f>IF($U1889="","",INDEX(상세표[06~07시],$U1889))</f>
        <v/>
      </c>
      <c r="Q1889" s="20">
        <f>IF($U1889="","",INDEX(상세표[07~18시],$U1889))</f>
        <v/>
      </c>
      <c r="R1889" s="20">
        <f>IF($U1889="","",INDEX(상세표[18~22시],$U1889))</f>
        <v/>
      </c>
      <c r="S1889" s="20">
        <f>IF($U1889="","",INDEX(상세표[22~06시],$U1889))</f>
        <v/>
      </c>
      <c r="T1889" s="20">
        <f>IF($U1889="","",INDEX(상세표[기록 시간외],$U1889))</f>
        <v/>
      </c>
      <c r="U1889" s="4">
        <f>IFERROR(MATCH(1884,상세표[발송순번],0),"")</f>
        <v/>
      </c>
    </row>
    <row r="1890">
      <c r="J1890">
        <f>IF($U1890="","",INDEX(상세표[사번],$U1890)&amp;"")</f>
        <v/>
      </c>
      <c r="K1890">
        <f>IF($U1890="","",INDEX(상세표[성명],$U1890)&amp;"")</f>
        <v/>
      </c>
      <c r="L1890">
        <f>IF($U1890="","",INDEX(상세표[직위],$U1890)&amp;"")</f>
        <v/>
      </c>
      <c r="M1890">
        <f>IF($U1890="","",IF(ISNUMBER(INDEX(상세표[근무일자],$U1890)),TEXT(INDEX(상세표[근무일자],$U1890),"yyyy-mm-dd"),INDEX(상세표[근무일자],$U1890)&amp;""))</f>
        <v/>
      </c>
      <c r="N1890">
        <f>IF($U1890="","",IF(ISNUMBER(INDEX(상세표[시작],$U1890)),TEXT(INDEX(상세표[시작],$U1890),"yyyy-mm-dd hh:mm"),INDEX(상세표[시작],$U1890)&amp;""))</f>
        <v/>
      </c>
      <c r="O1890">
        <f>IF($U1890="","",IF(ISNUMBER(INDEX(상세표[종료],$U1890)),TEXT(INDEX(상세표[종료],$U1890),"yyyy-mm-dd hh:mm"),INDEX(상세표[종료],$U1890)&amp;""))</f>
        <v/>
      </c>
      <c r="P1890" s="20">
        <f>IF($U1890="","",INDEX(상세표[06~07시],$U1890))</f>
        <v/>
      </c>
      <c r="Q1890" s="20">
        <f>IF($U1890="","",INDEX(상세표[07~18시],$U1890))</f>
        <v/>
      </c>
      <c r="R1890" s="20">
        <f>IF($U1890="","",INDEX(상세표[18~22시],$U1890))</f>
        <v/>
      </c>
      <c r="S1890" s="20">
        <f>IF($U1890="","",INDEX(상세표[22~06시],$U1890))</f>
        <v/>
      </c>
      <c r="T1890" s="20">
        <f>IF($U1890="","",INDEX(상세표[기록 시간외],$U1890))</f>
        <v/>
      </c>
      <c r="U1890" s="4">
        <f>IFERROR(MATCH(1885,상세표[발송순번],0),"")</f>
        <v/>
      </c>
    </row>
    <row r="1891">
      <c r="J1891">
        <f>IF($U1891="","",INDEX(상세표[사번],$U1891)&amp;"")</f>
        <v/>
      </c>
      <c r="K1891">
        <f>IF($U1891="","",INDEX(상세표[성명],$U1891)&amp;"")</f>
        <v/>
      </c>
      <c r="L1891">
        <f>IF($U1891="","",INDEX(상세표[직위],$U1891)&amp;"")</f>
        <v/>
      </c>
      <c r="M1891">
        <f>IF($U1891="","",IF(ISNUMBER(INDEX(상세표[근무일자],$U1891)),TEXT(INDEX(상세표[근무일자],$U1891),"yyyy-mm-dd"),INDEX(상세표[근무일자],$U1891)&amp;""))</f>
        <v/>
      </c>
      <c r="N1891">
        <f>IF($U1891="","",IF(ISNUMBER(INDEX(상세표[시작],$U1891)),TEXT(INDEX(상세표[시작],$U1891),"yyyy-mm-dd hh:mm"),INDEX(상세표[시작],$U1891)&amp;""))</f>
        <v/>
      </c>
      <c r="O1891">
        <f>IF($U1891="","",IF(ISNUMBER(INDEX(상세표[종료],$U1891)),TEXT(INDEX(상세표[종료],$U1891),"yyyy-mm-dd hh:mm"),INDEX(상세표[종료],$U1891)&amp;""))</f>
        <v/>
      </c>
      <c r="P1891" s="20">
        <f>IF($U1891="","",INDEX(상세표[06~07시],$U1891))</f>
        <v/>
      </c>
      <c r="Q1891" s="20">
        <f>IF($U1891="","",INDEX(상세표[07~18시],$U1891))</f>
        <v/>
      </c>
      <c r="R1891" s="20">
        <f>IF($U1891="","",INDEX(상세표[18~22시],$U1891))</f>
        <v/>
      </c>
      <c r="S1891" s="20">
        <f>IF($U1891="","",INDEX(상세표[22~06시],$U1891))</f>
        <v/>
      </c>
      <c r="T1891" s="20">
        <f>IF($U1891="","",INDEX(상세표[기록 시간외],$U1891))</f>
        <v/>
      </c>
      <c r="U1891" s="4">
        <f>IFERROR(MATCH(1886,상세표[발송순번],0),"")</f>
        <v/>
      </c>
    </row>
    <row r="1892">
      <c r="J1892">
        <f>IF($U1892="","",INDEX(상세표[사번],$U1892)&amp;"")</f>
        <v/>
      </c>
      <c r="K1892">
        <f>IF($U1892="","",INDEX(상세표[성명],$U1892)&amp;"")</f>
        <v/>
      </c>
      <c r="L1892">
        <f>IF($U1892="","",INDEX(상세표[직위],$U1892)&amp;"")</f>
        <v/>
      </c>
      <c r="M1892">
        <f>IF($U1892="","",IF(ISNUMBER(INDEX(상세표[근무일자],$U1892)),TEXT(INDEX(상세표[근무일자],$U1892),"yyyy-mm-dd"),INDEX(상세표[근무일자],$U1892)&amp;""))</f>
        <v/>
      </c>
      <c r="N1892">
        <f>IF($U1892="","",IF(ISNUMBER(INDEX(상세표[시작],$U1892)),TEXT(INDEX(상세표[시작],$U1892),"yyyy-mm-dd hh:mm"),INDEX(상세표[시작],$U1892)&amp;""))</f>
        <v/>
      </c>
      <c r="O1892">
        <f>IF($U1892="","",IF(ISNUMBER(INDEX(상세표[종료],$U1892)),TEXT(INDEX(상세표[종료],$U1892),"yyyy-mm-dd hh:mm"),INDEX(상세표[종료],$U1892)&amp;""))</f>
        <v/>
      </c>
      <c r="P1892" s="20">
        <f>IF($U1892="","",INDEX(상세표[06~07시],$U1892))</f>
        <v/>
      </c>
      <c r="Q1892" s="20">
        <f>IF($U1892="","",INDEX(상세표[07~18시],$U1892))</f>
        <v/>
      </c>
      <c r="R1892" s="20">
        <f>IF($U1892="","",INDEX(상세표[18~22시],$U1892))</f>
        <v/>
      </c>
      <c r="S1892" s="20">
        <f>IF($U1892="","",INDEX(상세표[22~06시],$U1892))</f>
        <v/>
      </c>
      <c r="T1892" s="20">
        <f>IF($U1892="","",INDEX(상세표[기록 시간외],$U1892))</f>
        <v/>
      </c>
      <c r="U1892" s="4">
        <f>IFERROR(MATCH(1887,상세표[발송순번],0),"")</f>
        <v/>
      </c>
    </row>
    <row r="1893">
      <c r="J1893">
        <f>IF($U1893="","",INDEX(상세표[사번],$U1893)&amp;"")</f>
        <v/>
      </c>
      <c r="K1893">
        <f>IF($U1893="","",INDEX(상세표[성명],$U1893)&amp;"")</f>
        <v/>
      </c>
      <c r="L1893">
        <f>IF($U1893="","",INDEX(상세표[직위],$U1893)&amp;"")</f>
        <v/>
      </c>
      <c r="M1893">
        <f>IF($U1893="","",IF(ISNUMBER(INDEX(상세표[근무일자],$U1893)),TEXT(INDEX(상세표[근무일자],$U1893),"yyyy-mm-dd"),INDEX(상세표[근무일자],$U1893)&amp;""))</f>
        <v/>
      </c>
      <c r="N1893">
        <f>IF($U1893="","",IF(ISNUMBER(INDEX(상세표[시작],$U1893)),TEXT(INDEX(상세표[시작],$U1893),"yyyy-mm-dd hh:mm"),INDEX(상세표[시작],$U1893)&amp;""))</f>
        <v/>
      </c>
      <c r="O1893">
        <f>IF($U1893="","",IF(ISNUMBER(INDEX(상세표[종료],$U1893)),TEXT(INDEX(상세표[종료],$U1893),"yyyy-mm-dd hh:mm"),INDEX(상세표[종료],$U1893)&amp;""))</f>
        <v/>
      </c>
      <c r="P1893" s="20">
        <f>IF($U1893="","",INDEX(상세표[06~07시],$U1893))</f>
        <v/>
      </c>
      <c r="Q1893" s="20">
        <f>IF($U1893="","",INDEX(상세표[07~18시],$U1893))</f>
        <v/>
      </c>
      <c r="R1893" s="20">
        <f>IF($U1893="","",INDEX(상세표[18~22시],$U1893))</f>
        <v/>
      </c>
      <c r="S1893" s="20">
        <f>IF($U1893="","",INDEX(상세표[22~06시],$U1893))</f>
        <v/>
      </c>
      <c r="T1893" s="20">
        <f>IF($U1893="","",INDEX(상세표[기록 시간외],$U1893))</f>
        <v/>
      </c>
      <c r="U1893" s="4">
        <f>IFERROR(MATCH(1888,상세표[발송순번],0),"")</f>
        <v/>
      </c>
    </row>
    <row r="1894">
      <c r="J1894">
        <f>IF($U1894="","",INDEX(상세표[사번],$U1894)&amp;"")</f>
        <v/>
      </c>
      <c r="K1894">
        <f>IF($U1894="","",INDEX(상세표[성명],$U1894)&amp;"")</f>
        <v/>
      </c>
      <c r="L1894">
        <f>IF($U1894="","",INDEX(상세표[직위],$U1894)&amp;"")</f>
        <v/>
      </c>
      <c r="M1894">
        <f>IF($U1894="","",IF(ISNUMBER(INDEX(상세표[근무일자],$U1894)),TEXT(INDEX(상세표[근무일자],$U1894),"yyyy-mm-dd"),INDEX(상세표[근무일자],$U1894)&amp;""))</f>
        <v/>
      </c>
      <c r="N1894">
        <f>IF($U1894="","",IF(ISNUMBER(INDEX(상세표[시작],$U1894)),TEXT(INDEX(상세표[시작],$U1894),"yyyy-mm-dd hh:mm"),INDEX(상세표[시작],$U1894)&amp;""))</f>
        <v/>
      </c>
      <c r="O1894">
        <f>IF($U1894="","",IF(ISNUMBER(INDEX(상세표[종료],$U1894)),TEXT(INDEX(상세표[종료],$U1894),"yyyy-mm-dd hh:mm"),INDEX(상세표[종료],$U1894)&amp;""))</f>
        <v/>
      </c>
      <c r="P1894" s="20">
        <f>IF($U1894="","",INDEX(상세표[06~07시],$U1894))</f>
        <v/>
      </c>
      <c r="Q1894" s="20">
        <f>IF($U1894="","",INDEX(상세표[07~18시],$U1894))</f>
        <v/>
      </c>
      <c r="R1894" s="20">
        <f>IF($U1894="","",INDEX(상세표[18~22시],$U1894))</f>
        <v/>
      </c>
      <c r="S1894" s="20">
        <f>IF($U1894="","",INDEX(상세표[22~06시],$U1894))</f>
        <v/>
      </c>
      <c r="T1894" s="20">
        <f>IF($U1894="","",INDEX(상세표[기록 시간외],$U1894))</f>
        <v/>
      </c>
      <c r="U1894" s="4">
        <f>IFERROR(MATCH(1889,상세표[발송순번],0),"")</f>
        <v/>
      </c>
    </row>
    <row r="1895">
      <c r="J1895">
        <f>IF($U1895="","",INDEX(상세표[사번],$U1895)&amp;"")</f>
        <v/>
      </c>
      <c r="K1895">
        <f>IF($U1895="","",INDEX(상세표[성명],$U1895)&amp;"")</f>
        <v/>
      </c>
      <c r="L1895">
        <f>IF($U1895="","",INDEX(상세표[직위],$U1895)&amp;"")</f>
        <v/>
      </c>
      <c r="M1895">
        <f>IF($U1895="","",IF(ISNUMBER(INDEX(상세표[근무일자],$U1895)),TEXT(INDEX(상세표[근무일자],$U1895),"yyyy-mm-dd"),INDEX(상세표[근무일자],$U1895)&amp;""))</f>
        <v/>
      </c>
      <c r="N1895">
        <f>IF($U1895="","",IF(ISNUMBER(INDEX(상세표[시작],$U1895)),TEXT(INDEX(상세표[시작],$U1895),"yyyy-mm-dd hh:mm"),INDEX(상세표[시작],$U1895)&amp;""))</f>
        <v/>
      </c>
      <c r="O1895">
        <f>IF($U1895="","",IF(ISNUMBER(INDEX(상세표[종료],$U1895)),TEXT(INDEX(상세표[종료],$U1895),"yyyy-mm-dd hh:mm"),INDEX(상세표[종료],$U1895)&amp;""))</f>
        <v/>
      </c>
      <c r="P1895" s="20">
        <f>IF($U1895="","",INDEX(상세표[06~07시],$U1895))</f>
        <v/>
      </c>
      <c r="Q1895" s="20">
        <f>IF($U1895="","",INDEX(상세표[07~18시],$U1895))</f>
        <v/>
      </c>
      <c r="R1895" s="20">
        <f>IF($U1895="","",INDEX(상세표[18~22시],$U1895))</f>
        <v/>
      </c>
      <c r="S1895" s="20">
        <f>IF($U1895="","",INDEX(상세표[22~06시],$U1895))</f>
        <v/>
      </c>
      <c r="T1895" s="20">
        <f>IF($U1895="","",INDEX(상세표[기록 시간외],$U1895))</f>
        <v/>
      </c>
      <c r="U1895" s="4">
        <f>IFERROR(MATCH(1890,상세표[발송순번],0),"")</f>
        <v/>
      </c>
    </row>
    <row r="1896">
      <c r="J1896">
        <f>IF($U1896="","",INDEX(상세표[사번],$U1896)&amp;"")</f>
        <v/>
      </c>
      <c r="K1896">
        <f>IF($U1896="","",INDEX(상세표[성명],$U1896)&amp;"")</f>
        <v/>
      </c>
      <c r="L1896">
        <f>IF($U1896="","",INDEX(상세표[직위],$U1896)&amp;"")</f>
        <v/>
      </c>
      <c r="M1896">
        <f>IF($U1896="","",IF(ISNUMBER(INDEX(상세표[근무일자],$U1896)),TEXT(INDEX(상세표[근무일자],$U1896),"yyyy-mm-dd"),INDEX(상세표[근무일자],$U1896)&amp;""))</f>
        <v/>
      </c>
      <c r="N1896">
        <f>IF($U1896="","",IF(ISNUMBER(INDEX(상세표[시작],$U1896)),TEXT(INDEX(상세표[시작],$U1896),"yyyy-mm-dd hh:mm"),INDEX(상세표[시작],$U1896)&amp;""))</f>
        <v/>
      </c>
      <c r="O1896">
        <f>IF($U1896="","",IF(ISNUMBER(INDEX(상세표[종료],$U1896)),TEXT(INDEX(상세표[종료],$U1896),"yyyy-mm-dd hh:mm"),INDEX(상세표[종료],$U1896)&amp;""))</f>
        <v/>
      </c>
      <c r="P1896" s="20">
        <f>IF($U1896="","",INDEX(상세표[06~07시],$U1896))</f>
        <v/>
      </c>
      <c r="Q1896" s="20">
        <f>IF($U1896="","",INDEX(상세표[07~18시],$U1896))</f>
        <v/>
      </c>
      <c r="R1896" s="20">
        <f>IF($U1896="","",INDEX(상세표[18~22시],$U1896))</f>
        <v/>
      </c>
      <c r="S1896" s="20">
        <f>IF($U1896="","",INDEX(상세표[22~06시],$U1896))</f>
        <v/>
      </c>
      <c r="T1896" s="20">
        <f>IF($U1896="","",INDEX(상세표[기록 시간외],$U1896))</f>
        <v/>
      </c>
      <c r="U1896" s="4">
        <f>IFERROR(MATCH(1891,상세표[발송순번],0),"")</f>
        <v/>
      </c>
    </row>
    <row r="1897">
      <c r="J1897">
        <f>IF($U1897="","",INDEX(상세표[사번],$U1897)&amp;"")</f>
        <v/>
      </c>
      <c r="K1897">
        <f>IF($U1897="","",INDEX(상세표[성명],$U1897)&amp;"")</f>
        <v/>
      </c>
      <c r="L1897">
        <f>IF($U1897="","",INDEX(상세표[직위],$U1897)&amp;"")</f>
        <v/>
      </c>
      <c r="M1897">
        <f>IF($U1897="","",IF(ISNUMBER(INDEX(상세표[근무일자],$U1897)),TEXT(INDEX(상세표[근무일자],$U1897),"yyyy-mm-dd"),INDEX(상세표[근무일자],$U1897)&amp;""))</f>
        <v/>
      </c>
      <c r="N1897">
        <f>IF($U1897="","",IF(ISNUMBER(INDEX(상세표[시작],$U1897)),TEXT(INDEX(상세표[시작],$U1897),"yyyy-mm-dd hh:mm"),INDEX(상세표[시작],$U1897)&amp;""))</f>
        <v/>
      </c>
      <c r="O1897">
        <f>IF($U1897="","",IF(ISNUMBER(INDEX(상세표[종료],$U1897)),TEXT(INDEX(상세표[종료],$U1897),"yyyy-mm-dd hh:mm"),INDEX(상세표[종료],$U1897)&amp;""))</f>
        <v/>
      </c>
      <c r="P1897" s="20">
        <f>IF($U1897="","",INDEX(상세표[06~07시],$U1897))</f>
        <v/>
      </c>
      <c r="Q1897" s="20">
        <f>IF($U1897="","",INDEX(상세표[07~18시],$U1897))</f>
        <v/>
      </c>
      <c r="R1897" s="20">
        <f>IF($U1897="","",INDEX(상세표[18~22시],$U1897))</f>
        <v/>
      </c>
      <c r="S1897" s="20">
        <f>IF($U1897="","",INDEX(상세표[22~06시],$U1897))</f>
        <v/>
      </c>
      <c r="T1897" s="20">
        <f>IF($U1897="","",INDEX(상세표[기록 시간외],$U1897))</f>
        <v/>
      </c>
      <c r="U1897" s="4">
        <f>IFERROR(MATCH(1892,상세표[발송순번],0),"")</f>
        <v/>
      </c>
    </row>
    <row r="1898">
      <c r="J1898">
        <f>IF($U1898="","",INDEX(상세표[사번],$U1898)&amp;"")</f>
        <v/>
      </c>
      <c r="K1898">
        <f>IF($U1898="","",INDEX(상세표[성명],$U1898)&amp;"")</f>
        <v/>
      </c>
      <c r="L1898">
        <f>IF($U1898="","",INDEX(상세표[직위],$U1898)&amp;"")</f>
        <v/>
      </c>
      <c r="M1898">
        <f>IF($U1898="","",IF(ISNUMBER(INDEX(상세표[근무일자],$U1898)),TEXT(INDEX(상세표[근무일자],$U1898),"yyyy-mm-dd"),INDEX(상세표[근무일자],$U1898)&amp;""))</f>
        <v/>
      </c>
      <c r="N1898">
        <f>IF($U1898="","",IF(ISNUMBER(INDEX(상세표[시작],$U1898)),TEXT(INDEX(상세표[시작],$U1898),"yyyy-mm-dd hh:mm"),INDEX(상세표[시작],$U1898)&amp;""))</f>
        <v/>
      </c>
      <c r="O1898">
        <f>IF($U1898="","",IF(ISNUMBER(INDEX(상세표[종료],$U1898)),TEXT(INDEX(상세표[종료],$U1898),"yyyy-mm-dd hh:mm"),INDEX(상세표[종료],$U1898)&amp;""))</f>
        <v/>
      </c>
      <c r="P1898" s="20">
        <f>IF($U1898="","",INDEX(상세표[06~07시],$U1898))</f>
        <v/>
      </c>
      <c r="Q1898" s="20">
        <f>IF($U1898="","",INDEX(상세표[07~18시],$U1898))</f>
        <v/>
      </c>
      <c r="R1898" s="20">
        <f>IF($U1898="","",INDEX(상세표[18~22시],$U1898))</f>
        <v/>
      </c>
      <c r="S1898" s="20">
        <f>IF($U1898="","",INDEX(상세표[22~06시],$U1898))</f>
        <v/>
      </c>
      <c r="T1898" s="20">
        <f>IF($U1898="","",INDEX(상세표[기록 시간외],$U1898))</f>
        <v/>
      </c>
      <c r="U1898" s="4">
        <f>IFERROR(MATCH(1893,상세표[발송순번],0),"")</f>
        <v/>
      </c>
    </row>
    <row r="1899">
      <c r="J1899">
        <f>IF($U1899="","",INDEX(상세표[사번],$U1899)&amp;"")</f>
        <v/>
      </c>
      <c r="K1899">
        <f>IF($U1899="","",INDEX(상세표[성명],$U1899)&amp;"")</f>
        <v/>
      </c>
      <c r="L1899">
        <f>IF($U1899="","",INDEX(상세표[직위],$U1899)&amp;"")</f>
        <v/>
      </c>
      <c r="M1899">
        <f>IF($U1899="","",IF(ISNUMBER(INDEX(상세표[근무일자],$U1899)),TEXT(INDEX(상세표[근무일자],$U1899),"yyyy-mm-dd"),INDEX(상세표[근무일자],$U1899)&amp;""))</f>
        <v/>
      </c>
      <c r="N1899">
        <f>IF($U1899="","",IF(ISNUMBER(INDEX(상세표[시작],$U1899)),TEXT(INDEX(상세표[시작],$U1899),"yyyy-mm-dd hh:mm"),INDEX(상세표[시작],$U1899)&amp;""))</f>
        <v/>
      </c>
      <c r="O1899">
        <f>IF($U1899="","",IF(ISNUMBER(INDEX(상세표[종료],$U1899)),TEXT(INDEX(상세표[종료],$U1899),"yyyy-mm-dd hh:mm"),INDEX(상세표[종료],$U1899)&amp;""))</f>
        <v/>
      </c>
      <c r="P1899" s="20">
        <f>IF($U1899="","",INDEX(상세표[06~07시],$U1899))</f>
        <v/>
      </c>
      <c r="Q1899" s="20">
        <f>IF($U1899="","",INDEX(상세표[07~18시],$U1899))</f>
        <v/>
      </c>
      <c r="R1899" s="20">
        <f>IF($U1899="","",INDEX(상세표[18~22시],$U1899))</f>
        <v/>
      </c>
      <c r="S1899" s="20">
        <f>IF($U1899="","",INDEX(상세표[22~06시],$U1899))</f>
        <v/>
      </c>
      <c r="T1899" s="20">
        <f>IF($U1899="","",INDEX(상세표[기록 시간외],$U1899))</f>
        <v/>
      </c>
      <c r="U1899" s="4">
        <f>IFERROR(MATCH(1894,상세표[발송순번],0),"")</f>
        <v/>
      </c>
    </row>
    <row r="1900">
      <c r="J1900">
        <f>IF($U1900="","",INDEX(상세표[사번],$U1900)&amp;"")</f>
        <v/>
      </c>
      <c r="K1900">
        <f>IF($U1900="","",INDEX(상세표[성명],$U1900)&amp;"")</f>
        <v/>
      </c>
      <c r="L1900">
        <f>IF($U1900="","",INDEX(상세표[직위],$U1900)&amp;"")</f>
        <v/>
      </c>
      <c r="M1900">
        <f>IF($U1900="","",IF(ISNUMBER(INDEX(상세표[근무일자],$U1900)),TEXT(INDEX(상세표[근무일자],$U1900),"yyyy-mm-dd"),INDEX(상세표[근무일자],$U1900)&amp;""))</f>
        <v/>
      </c>
      <c r="N1900">
        <f>IF($U1900="","",IF(ISNUMBER(INDEX(상세표[시작],$U1900)),TEXT(INDEX(상세표[시작],$U1900),"yyyy-mm-dd hh:mm"),INDEX(상세표[시작],$U1900)&amp;""))</f>
        <v/>
      </c>
      <c r="O1900">
        <f>IF($U1900="","",IF(ISNUMBER(INDEX(상세표[종료],$U1900)),TEXT(INDEX(상세표[종료],$U1900),"yyyy-mm-dd hh:mm"),INDEX(상세표[종료],$U1900)&amp;""))</f>
        <v/>
      </c>
      <c r="P1900" s="20">
        <f>IF($U1900="","",INDEX(상세표[06~07시],$U1900))</f>
        <v/>
      </c>
      <c r="Q1900" s="20">
        <f>IF($U1900="","",INDEX(상세표[07~18시],$U1900))</f>
        <v/>
      </c>
      <c r="R1900" s="20">
        <f>IF($U1900="","",INDEX(상세표[18~22시],$U1900))</f>
        <v/>
      </c>
      <c r="S1900" s="20">
        <f>IF($U1900="","",INDEX(상세표[22~06시],$U1900))</f>
        <v/>
      </c>
      <c r="T1900" s="20">
        <f>IF($U1900="","",INDEX(상세표[기록 시간외],$U1900))</f>
        <v/>
      </c>
      <c r="U1900" s="4">
        <f>IFERROR(MATCH(1895,상세표[발송순번],0),"")</f>
        <v/>
      </c>
    </row>
    <row r="1901">
      <c r="J1901">
        <f>IF($U1901="","",INDEX(상세표[사번],$U1901)&amp;"")</f>
        <v/>
      </c>
      <c r="K1901">
        <f>IF($U1901="","",INDEX(상세표[성명],$U1901)&amp;"")</f>
        <v/>
      </c>
      <c r="L1901">
        <f>IF($U1901="","",INDEX(상세표[직위],$U1901)&amp;"")</f>
        <v/>
      </c>
      <c r="M1901">
        <f>IF($U1901="","",IF(ISNUMBER(INDEX(상세표[근무일자],$U1901)),TEXT(INDEX(상세표[근무일자],$U1901),"yyyy-mm-dd"),INDEX(상세표[근무일자],$U1901)&amp;""))</f>
        <v/>
      </c>
      <c r="N1901">
        <f>IF($U1901="","",IF(ISNUMBER(INDEX(상세표[시작],$U1901)),TEXT(INDEX(상세표[시작],$U1901),"yyyy-mm-dd hh:mm"),INDEX(상세표[시작],$U1901)&amp;""))</f>
        <v/>
      </c>
      <c r="O1901">
        <f>IF($U1901="","",IF(ISNUMBER(INDEX(상세표[종료],$U1901)),TEXT(INDEX(상세표[종료],$U1901),"yyyy-mm-dd hh:mm"),INDEX(상세표[종료],$U1901)&amp;""))</f>
        <v/>
      </c>
      <c r="P1901" s="20">
        <f>IF($U1901="","",INDEX(상세표[06~07시],$U1901))</f>
        <v/>
      </c>
      <c r="Q1901" s="20">
        <f>IF($U1901="","",INDEX(상세표[07~18시],$U1901))</f>
        <v/>
      </c>
      <c r="R1901" s="20">
        <f>IF($U1901="","",INDEX(상세표[18~22시],$U1901))</f>
        <v/>
      </c>
      <c r="S1901" s="20">
        <f>IF($U1901="","",INDEX(상세표[22~06시],$U1901))</f>
        <v/>
      </c>
      <c r="T1901" s="20">
        <f>IF($U1901="","",INDEX(상세표[기록 시간외],$U1901))</f>
        <v/>
      </c>
      <c r="U1901" s="4">
        <f>IFERROR(MATCH(1896,상세표[발송순번],0),"")</f>
        <v/>
      </c>
    </row>
    <row r="1902">
      <c r="J1902">
        <f>IF($U1902="","",INDEX(상세표[사번],$U1902)&amp;"")</f>
        <v/>
      </c>
      <c r="K1902">
        <f>IF($U1902="","",INDEX(상세표[성명],$U1902)&amp;"")</f>
        <v/>
      </c>
      <c r="L1902">
        <f>IF($U1902="","",INDEX(상세표[직위],$U1902)&amp;"")</f>
        <v/>
      </c>
      <c r="M1902">
        <f>IF($U1902="","",IF(ISNUMBER(INDEX(상세표[근무일자],$U1902)),TEXT(INDEX(상세표[근무일자],$U1902),"yyyy-mm-dd"),INDEX(상세표[근무일자],$U1902)&amp;""))</f>
        <v/>
      </c>
      <c r="N1902">
        <f>IF($U1902="","",IF(ISNUMBER(INDEX(상세표[시작],$U1902)),TEXT(INDEX(상세표[시작],$U1902),"yyyy-mm-dd hh:mm"),INDEX(상세표[시작],$U1902)&amp;""))</f>
        <v/>
      </c>
      <c r="O1902">
        <f>IF($U1902="","",IF(ISNUMBER(INDEX(상세표[종료],$U1902)),TEXT(INDEX(상세표[종료],$U1902),"yyyy-mm-dd hh:mm"),INDEX(상세표[종료],$U1902)&amp;""))</f>
        <v/>
      </c>
      <c r="P1902" s="20">
        <f>IF($U1902="","",INDEX(상세표[06~07시],$U1902))</f>
        <v/>
      </c>
      <c r="Q1902" s="20">
        <f>IF($U1902="","",INDEX(상세표[07~18시],$U1902))</f>
        <v/>
      </c>
      <c r="R1902" s="20">
        <f>IF($U1902="","",INDEX(상세표[18~22시],$U1902))</f>
        <v/>
      </c>
      <c r="S1902" s="20">
        <f>IF($U1902="","",INDEX(상세표[22~06시],$U1902))</f>
        <v/>
      </c>
      <c r="T1902" s="20">
        <f>IF($U1902="","",INDEX(상세표[기록 시간외],$U1902))</f>
        <v/>
      </c>
      <c r="U1902" s="4">
        <f>IFERROR(MATCH(1897,상세표[발송순번],0),"")</f>
        <v/>
      </c>
    </row>
    <row r="1903">
      <c r="J1903">
        <f>IF($U1903="","",INDEX(상세표[사번],$U1903)&amp;"")</f>
        <v/>
      </c>
      <c r="K1903">
        <f>IF($U1903="","",INDEX(상세표[성명],$U1903)&amp;"")</f>
        <v/>
      </c>
      <c r="L1903">
        <f>IF($U1903="","",INDEX(상세표[직위],$U1903)&amp;"")</f>
        <v/>
      </c>
      <c r="M1903">
        <f>IF($U1903="","",IF(ISNUMBER(INDEX(상세표[근무일자],$U1903)),TEXT(INDEX(상세표[근무일자],$U1903),"yyyy-mm-dd"),INDEX(상세표[근무일자],$U1903)&amp;""))</f>
        <v/>
      </c>
      <c r="N1903">
        <f>IF($U1903="","",IF(ISNUMBER(INDEX(상세표[시작],$U1903)),TEXT(INDEX(상세표[시작],$U1903),"yyyy-mm-dd hh:mm"),INDEX(상세표[시작],$U1903)&amp;""))</f>
        <v/>
      </c>
      <c r="O1903">
        <f>IF($U1903="","",IF(ISNUMBER(INDEX(상세표[종료],$U1903)),TEXT(INDEX(상세표[종료],$U1903),"yyyy-mm-dd hh:mm"),INDEX(상세표[종료],$U1903)&amp;""))</f>
        <v/>
      </c>
      <c r="P1903" s="20">
        <f>IF($U1903="","",INDEX(상세표[06~07시],$U1903))</f>
        <v/>
      </c>
      <c r="Q1903" s="20">
        <f>IF($U1903="","",INDEX(상세표[07~18시],$U1903))</f>
        <v/>
      </c>
      <c r="R1903" s="20">
        <f>IF($U1903="","",INDEX(상세표[18~22시],$U1903))</f>
        <v/>
      </c>
      <c r="S1903" s="20">
        <f>IF($U1903="","",INDEX(상세표[22~06시],$U1903))</f>
        <v/>
      </c>
      <c r="T1903" s="20">
        <f>IF($U1903="","",INDEX(상세표[기록 시간외],$U1903))</f>
        <v/>
      </c>
      <c r="U1903" s="4">
        <f>IFERROR(MATCH(1898,상세표[발송순번],0),"")</f>
        <v/>
      </c>
    </row>
    <row r="1904">
      <c r="J1904">
        <f>IF($U1904="","",INDEX(상세표[사번],$U1904)&amp;"")</f>
        <v/>
      </c>
      <c r="K1904">
        <f>IF($U1904="","",INDEX(상세표[성명],$U1904)&amp;"")</f>
        <v/>
      </c>
      <c r="L1904">
        <f>IF($U1904="","",INDEX(상세표[직위],$U1904)&amp;"")</f>
        <v/>
      </c>
      <c r="M1904">
        <f>IF($U1904="","",IF(ISNUMBER(INDEX(상세표[근무일자],$U1904)),TEXT(INDEX(상세표[근무일자],$U1904),"yyyy-mm-dd"),INDEX(상세표[근무일자],$U1904)&amp;""))</f>
        <v/>
      </c>
      <c r="N1904">
        <f>IF($U1904="","",IF(ISNUMBER(INDEX(상세표[시작],$U1904)),TEXT(INDEX(상세표[시작],$U1904),"yyyy-mm-dd hh:mm"),INDEX(상세표[시작],$U1904)&amp;""))</f>
        <v/>
      </c>
      <c r="O1904">
        <f>IF($U1904="","",IF(ISNUMBER(INDEX(상세표[종료],$U1904)),TEXT(INDEX(상세표[종료],$U1904),"yyyy-mm-dd hh:mm"),INDEX(상세표[종료],$U1904)&amp;""))</f>
        <v/>
      </c>
      <c r="P1904" s="20">
        <f>IF($U1904="","",INDEX(상세표[06~07시],$U1904))</f>
        <v/>
      </c>
      <c r="Q1904" s="20">
        <f>IF($U1904="","",INDEX(상세표[07~18시],$U1904))</f>
        <v/>
      </c>
      <c r="R1904" s="20">
        <f>IF($U1904="","",INDEX(상세표[18~22시],$U1904))</f>
        <v/>
      </c>
      <c r="S1904" s="20">
        <f>IF($U1904="","",INDEX(상세표[22~06시],$U1904))</f>
        <v/>
      </c>
      <c r="T1904" s="20">
        <f>IF($U1904="","",INDEX(상세표[기록 시간외],$U1904))</f>
        <v/>
      </c>
      <c r="U1904" s="4">
        <f>IFERROR(MATCH(1899,상세표[발송순번],0),"")</f>
        <v/>
      </c>
    </row>
    <row r="1905">
      <c r="J1905">
        <f>IF($U1905="","",INDEX(상세표[사번],$U1905)&amp;"")</f>
        <v/>
      </c>
      <c r="K1905">
        <f>IF($U1905="","",INDEX(상세표[성명],$U1905)&amp;"")</f>
        <v/>
      </c>
      <c r="L1905">
        <f>IF($U1905="","",INDEX(상세표[직위],$U1905)&amp;"")</f>
        <v/>
      </c>
      <c r="M1905">
        <f>IF($U1905="","",IF(ISNUMBER(INDEX(상세표[근무일자],$U1905)),TEXT(INDEX(상세표[근무일자],$U1905),"yyyy-mm-dd"),INDEX(상세표[근무일자],$U1905)&amp;""))</f>
        <v/>
      </c>
      <c r="N1905">
        <f>IF($U1905="","",IF(ISNUMBER(INDEX(상세표[시작],$U1905)),TEXT(INDEX(상세표[시작],$U1905),"yyyy-mm-dd hh:mm"),INDEX(상세표[시작],$U1905)&amp;""))</f>
        <v/>
      </c>
      <c r="O1905">
        <f>IF($U1905="","",IF(ISNUMBER(INDEX(상세표[종료],$U1905)),TEXT(INDEX(상세표[종료],$U1905),"yyyy-mm-dd hh:mm"),INDEX(상세표[종료],$U1905)&amp;""))</f>
        <v/>
      </c>
      <c r="P1905" s="20">
        <f>IF($U1905="","",INDEX(상세표[06~07시],$U1905))</f>
        <v/>
      </c>
      <c r="Q1905" s="20">
        <f>IF($U1905="","",INDEX(상세표[07~18시],$U1905))</f>
        <v/>
      </c>
      <c r="R1905" s="20">
        <f>IF($U1905="","",INDEX(상세표[18~22시],$U1905))</f>
        <v/>
      </c>
      <c r="S1905" s="20">
        <f>IF($U1905="","",INDEX(상세표[22~06시],$U1905))</f>
        <v/>
      </c>
      <c r="T1905" s="20">
        <f>IF($U1905="","",INDEX(상세표[기록 시간외],$U1905))</f>
        <v/>
      </c>
      <c r="U1905" s="4">
        <f>IFERROR(MATCH(1900,상세표[발송순번],0),"")</f>
        <v/>
      </c>
    </row>
    <row r="1906">
      <c r="J1906">
        <f>IF($U1906="","",INDEX(상세표[사번],$U1906)&amp;"")</f>
        <v/>
      </c>
      <c r="K1906">
        <f>IF($U1906="","",INDEX(상세표[성명],$U1906)&amp;"")</f>
        <v/>
      </c>
      <c r="L1906">
        <f>IF($U1906="","",INDEX(상세표[직위],$U1906)&amp;"")</f>
        <v/>
      </c>
      <c r="M1906">
        <f>IF($U1906="","",IF(ISNUMBER(INDEX(상세표[근무일자],$U1906)),TEXT(INDEX(상세표[근무일자],$U1906),"yyyy-mm-dd"),INDEX(상세표[근무일자],$U1906)&amp;""))</f>
        <v/>
      </c>
      <c r="N1906">
        <f>IF($U1906="","",IF(ISNUMBER(INDEX(상세표[시작],$U1906)),TEXT(INDEX(상세표[시작],$U1906),"yyyy-mm-dd hh:mm"),INDEX(상세표[시작],$U1906)&amp;""))</f>
        <v/>
      </c>
      <c r="O1906">
        <f>IF($U1906="","",IF(ISNUMBER(INDEX(상세표[종료],$U1906)),TEXT(INDEX(상세표[종료],$U1906),"yyyy-mm-dd hh:mm"),INDEX(상세표[종료],$U1906)&amp;""))</f>
        <v/>
      </c>
      <c r="P1906" s="20">
        <f>IF($U1906="","",INDEX(상세표[06~07시],$U1906))</f>
        <v/>
      </c>
      <c r="Q1906" s="20">
        <f>IF($U1906="","",INDEX(상세표[07~18시],$U1906))</f>
        <v/>
      </c>
      <c r="R1906" s="20">
        <f>IF($U1906="","",INDEX(상세표[18~22시],$U1906))</f>
        <v/>
      </c>
      <c r="S1906" s="20">
        <f>IF($U1906="","",INDEX(상세표[22~06시],$U1906))</f>
        <v/>
      </c>
      <c r="T1906" s="20">
        <f>IF($U1906="","",INDEX(상세표[기록 시간외],$U1906))</f>
        <v/>
      </c>
      <c r="U1906" s="4">
        <f>IFERROR(MATCH(1901,상세표[발송순번],0),"")</f>
        <v/>
      </c>
    </row>
    <row r="1907">
      <c r="J1907">
        <f>IF($U1907="","",INDEX(상세표[사번],$U1907)&amp;"")</f>
        <v/>
      </c>
      <c r="K1907">
        <f>IF($U1907="","",INDEX(상세표[성명],$U1907)&amp;"")</f>
        <v/>
      </c>
      <c r="L1907">
        <f>IF($U1907="","",INDEX(상세표[직위],$U1907)&amp;"")</f>
        <v/>
      </c>
      <c r="M1907">
        <f>IF($U1907="","",IF(ISNUMBER(INDEX(상세표[근무일자],$U1907)),TEXT(INDEX(상세표[근무일자],$U1907),"yyyy-mm-dd"),INDEX(상세표[근무일자],$U1907)&amp;""))</f>
        <v/>
      </c>
      <c r="N1907">
        <f>IF($U1907="","",IF(ISNUMBER(INDEX(상세표[시작],$U1907)),TEXT(INDEX(상세표[시작],$U1907),"yyyy-mm-dd hh:mm"),INDEX(상세표[시작],$U1907)&amp;""))</f>
        <v/>
      </c>
      <c r="O1907">
        <f>IF($U1907="","",IF(ISNUMBER(INDEX(상세표[종료],$U1907)),TEXT(INDEX(상세표[종료],$U1907),"yyyy-mm-dd hh:mm"),INDEX(상세표[종료],$U1907)&amp;""))</f>
        <v/>
      </c>
      <c r="P1907" s="20">
        <f>IF($U1907="","",INDEX(상세표[06~07시],$U1907))</f>
        <v/>
      </c>
      <c r="Q1907" s="20">
        <f>IF($U1907="","",INDEX(상세표[07~18시],$U1907))</f>
        <v/>
      </c>
      <c r="R1907" s="20">
        <f>IF($U1907="","",INDEX(상세표[18~22시],$U1907))</f>
        <v/>
      </c>
      <c r="S1907" s="20">
        <f>IF($U1907="","",INDEX(상세표[22~06시],$U1907))</f>
        <v/>
      </c>
      <c r="T1907" s="20">
        <f>IF($U1907="","",INDEX(상세표[기록 시간외],$U1907))</f>
        <v/>
      </c>
      <c r="U1907" s="4">
        <f>IFERROR(MATCH(1902,상세표[발송순번],0),"")</f>
        <v/>
      </c>
    </row>
    <row r="1908">
      <c r="J1908">
        <f>IF($U1908="","",INDEX(상세표[사번],$U1908)&amp;"")</f>
        <v/>
      </c>
      <c r="K1908">
        <f>IF($U1908="","",INDEX(상세표[성명],$U1908)&amp;"")</f>
        <v/>
      </c>
      <c r="L1908">
        <f>IF($U1908="","",INDEX(상세표[직위],$U1908)&amp;"")</f>
        <v/>
      </c>
      <c r="M1908">
        <f>IF($U1908="","",IF(ISNUMBER(INDEX(상세표[근무일자],$U1908)),TEXT(INDEX(상세표[근무일자],$U1908),"yyyy-mm-dd"),INDEX(상세표[근무일자],$U1908)&amp;""))</f>
        <v/>
      </c>
      <c r="N1908">
        <f>IF($U1908="","",IF(ISNUMBER(INDEX(상세표[시작],$U1908)),TEXT(INDEX(상세표[시작],$U1908),"yyyy-mm-dd hh:mm"),INDEX(상세표[시작],$U1908)&amp;""))</f>
        <v/>
      </c>
      <c r="O1908">
        <f>IF($U1908="","",IF(ISNUMBER(INDEX(상세표[종료],$U1908)),TEXT(INDEX(상세표[종료],$U1908),"yyyy-mm-dd hh:mm"),INDEX(상세표[종료],$U1908)&amp;""))</f>
        <v/>
      </c>
      <c r="P1908" s="20">
        <f>IF($U1908="","",INDEX(상세표[06~07시],$U1908))</f>
        <v/>
      </c>
      <c r="Q1908" s="20">
        <f>IF($U1908="","",INDEX(상세표[07~18시],$U1908))</f>
        <v/>
      </c>
      <c r="R1908" s="20">
        <f>IF($U1908="","",INDEX(상세표[18~22시],$U1908))</f>
        <v/>
      </c>
      <c r="S1908" s="20">
        <f>IF($U1908="","",INDEX(상세표[22~06시],$U1908))</f>
        <v/>
      </c>
      <c r="T1908" s="20">
        <f>IF($U1908="","",INDEX(상세표[기록 시간외],$U1908))</f>
        <v/>
      </c>
      <c r="U1908" s="4">
        <f>IFERROR(MATCH(1903,상세표[발송순번],0),"")</f>
        <v/>
      </c>
    </row>
    <row r="1909">
      <c r="J1909">
        <f>IF($U1909="","",INDEX(상세표[사번],$U1909)&amp;"")</f>
        <v/>
      </c>
      <c r="K1909">
        <f>IF($U1909="","",INDEX(상세표[성명],$U1909)&amp;"")</f>
        <v/>
      </c>
      <c r="L1909">
        <f>IF($U1909="","",INDEX(상세표[직위],$U1909)&amp;"")</f>
        <v/>
      </c>
      <c r="M1909">
        <f>IF($U1909="","",IF(ISNUMBER(INDEX(상세표[근무일자],$U1909)),TEXT(INDEX(상세표[근무일자],$U1909),"yyyy-mm-dd"),INDEX(상세표[근무일자],$U1909)&amp;""))</f>
        <v/>
      </c>
      <c r="N1909">
        <f>IF($U1909="","",IF(ISNUMBER(INDEX(상세표[시작],$U1909)),TEXT(INDEX(상세표[시작],$U1909),"yyyy-mm-dd hh:mm"),INDEX(상세표[시작],$U1909)&amp;""))</f>
        <v/>
      </c>
      <c r="O1909">
        <f>IF($U1909="","",IF(ISNUMBER(INDEX(상세표[종료],$U1909)),TEXT(INDEX(상세표[종료],$U1909),"yyyy-mm-dd hh:mm"),INDEX(상세표[종료],$U1909)&amp;""))</f>
        <v/>
      </c>
      <c r="P1909" s="20">
        <f>IF($U1909="","",INDEX(상세표[06~07시],$U1909))</f>
        <v/>
      </c>
      <c r="Q1909" s="20">
        <f>IF($U1909="","",INDEX(상세표[07~18시],$U1909))</f>
        <v/>
      </c>
      <c r="R1909" s="20">
        <f>IF($U1909="","",INDEX(상세표[18~22시],$U1909))</f>
        <v/>
      </c>
      <c r="S1909" s="20">
        <f>IF($U1909="","",INDEX(상세표[22~06시],$U1909))</f>
        <v/>
      </c>
      <c r="T1909" s="20">
        <f>IF($U1909="","",INDEX(상세표[기록 시간외],$U1909))</f>
        <v/>
      </c>
      <c r="U1909" s="4">
        <f>IFERROR(MATCH(1904,상세표[발송순번],0),"")</f>
        <v/>
      </c>
    </row>
    <row r="1910">
      <c r="J1910">
        <f>IF($U1910="","",INDEX(상세표[사번],$U1910)&amp;"")</f>
        <v/>
      </c>
      <c r="K1910">
        <f>IF($U1910="","",INDEX(상세표[성명],$U1910)&amp;"")</f>
        <v/>
      </c>
      <c r="L1910">
        <f>IF($U1910="","",INDEX(상세표[직위],$U1910)&amp;"")</f>
        <v/>
      </c>
      <c r="M1910">
        <f>IF($U1910="","",IF(ISNUMBER(INDEX(상세표[근무일자],$U1910)),TEXT(INDEX(상세표[근무일자],$U1910),"yyyy-mm-dd"),INDEX(상세표[근무일자],$U1910)&amp;""))</f>
        <v/>
      </c>
      <c r="N1910">
        <f>IF($U1910="","",IF(ISNUMBER(INDEX(상세표[시작],$U1910)),TEXT(INDEX(상세표[시작],$U1910),"yyyy-mm-dd hh:mm"),INDEX(상세표[시작],$U1910)&amp;""))</f>
        <v/>
      </c>
      <c r="O1910">
        <f>IF($U1910="","",IF(ISNUMBER(INDEX(상세표[종료],$U1910)),TEXT(INDEX(상세표[종료],$U1910),"yyyy-mm-dd hh:mm"),INDEX(상세표[종료],$U1910)&amp;""))</f>
        <v/>
      </c>
      <c r="P1910" s="20">
        <f>IF($U1910="","",INDEX(상세표[06~07시],$U1910))</f>
        <v/>
      </c>
      <c r="Q1910" s="20">
        <f>IF($U1910="","",INDEX(상세표[07~18시],$U1910))</f>
        <v/>
      </c>
      <c r="R1910" s="20">
        <f>IF($U1910="","",INDEX(상세표[18~22시],$U1910))</f>
        <v/>
      </c>
      <c r="S1910" s="20">
        <f>IF($U1910="","",INDEX(상세표[22~06시],$U1910))</f>
        <v/>
      </c>
      <c r="T1910" s="20">
        <f>IF($U1910="","",INDEX(상세표[기록 시간외],$U1910))</f>
        <v/>
      </c>
      <c r="U1910" s="4">
        <f>IFERROR(MATCH(1905,상세표[발송순번],0),"")</f>
        <v/>
      </c>
    </row>
    <row r="1911">
      <c r="J1911">
        <f>IF($U1911="","",INDEX(상세표[사번],$U1911)&amp;"")</f>
        <v/>
      </c>
      <c r="K1911">
        <f>IF($U1911="","",INDEX(상세표[성명],$U1911)&amp;"")</f>
        <v/>
      </c>
      <c r="L1911">
        <f>IF($U1911="","",INDEX(상세표[직위],$U1911)&amp;"")</f>
        <v/>
      </c>
      <c r="M1911">
        <f>IF($U1911="","",IF(ISNUMBER(INDEX(상세표[근무일자],$U1911)),TEXT(INDEX(상세표[근무일자],$U1911),"yyyy-mm-dd"),INDEX(상세표[근무일자],$U1911)&amp;""))</f>
        <v/>
      </c>
      <c r="N1911">
        <f>IF($U1911="","",IF(ISNUMBER(INDEX(상세표[시작],$U1911)),TEXT(INDEX(상세표[시작],$U1911),"yyyy-mm-dd hh:mm"),INDEX(상세표[시작],$U1911)&amp;""))</f>
        <v/>
      </c>
      <c r="O1911">
        <f>IF($U1911="","",IF(ISNUMBER(INDEX(상세표[종료],$U1911)),TEXT(INDEX(상세표[종료],$U1911),"yyyy-mm-dd hh:mm"),INDEX(상세표[종료],$U1911)&amp;""))</f>
        <v/>
      </c>
      <c r="P1911" s="20">
        <f>IF($U1911="","",INDEX(상세표[06~07시],$U1911))</f>
        <v/>
      </c>
      <c r="Q1911" s="20">
        <f>IF($U1911="","",INDEX(상세표[07~18시],$U1911))</f>
        <v/>
      </c>
      <c r="R1911" s="20">
        <f>IF($U1911="","",INDEX(상세표[18~22시],$U1911))</f>
        <v/>
      </c>
      <c r="S1911" s="20">
        <f>IF($U1911="","",INDEX(상세표[22~06시],$U1911))</f>
        <v/>
      </c>
      <c r="T1911" s="20">
        <f>IF($U1911="","",INDEX(상세표[기록 시간외],$U1911))</f>
        <v/>
      </c>
      <c r="U1911" s="4">
        <f>IFERROR(MATCH(1906,상세표[발송순번],0),"")</f>
        <v/>
      </c>
    </row>
    <row r="1912">
      <c r="J1912">
        <f>IF($U1912="","",INDEX(상세표[사번],$U1912)&amp;"")</f>
        <v/>
      </c>
      <c r="K1912">
        <f>IF($U1912="","",INDEX(상세표[성명],$U1912)&amp;"")</f>
        <v/>
      </c>
      <c r="L1912">
        <f>IF($U1912="","",INDEX(상세표[직위],$U1912)&amp;"")</f>
        <v/>
      </c>
      <c r="M1912">
        <f>IF($U1912="","",IF(ISNUMBER(INDEX(상세표[근무일자],$U1912)),TEXT(INDEX(상세표[근무일자],$U1912),"yyyy-mm-dd"),INDEX(상세표[근무일자],$U1912)&amp;""))</f>
        <v/>
      </c>
      <c r="N1912">
        <f>IF($U1912="","",IF(ISNUMBER(INDEX(상세표[시작],$U1912)),TEXT(INDEX(상세표[시작],$U1912),"yyyy-mm-dd hh:mm"),INDEX(상세표[시작],$U1912)&amp;""))</f>
        <v/>
      </c>
      <c r="O1912">
        <f>IF($U1912="","",IF(ISNUMBER(INDEX(상세표[종료],$U1912)),TEXT(INDEX(상세표[종료],$U1912),"yyyy-mm-dd hh:mm"),INDEX(상세표[종료],$U1912)&amp;""))</f>
        <v/>
      </c>
      <c r="P1912" s="20">
        <f>IF($U1912="","",INDEX(상세표[06~07시],$U1912))</f>
        <v/>
      </c>
      <c r="Q1912" s="20">
        <f>IF($U1912="","",INDEX(상세표[07~18시],$U1912))</f>
        <v/>
      </c>
      <c r="R1912" s="20">
        <f>IF($U1912="","",INDEX(상세표[18~22시],$U1912))</f>
        <v/>
      </c>
      <c r="S1912" s="20">
        <f>IF($U1912="","",INDEX(상세표[22~06시],$U1912))</f>
        <v/>
      </c>
      <c r="T1912" s="20">
        <f>IF($U1912="","",INDEX(상세표[기록 시간외],$U1912))</f>
        <v/>
      </c>
      <c r="U1912" s="4">
        <f>IFERROR(MATCH(1907,상세표[발송순번],0),"")</f>
        <v/>
      </c>
    </row>
    <row r="1913">
      <c r="J1913">
        <f>IF($U1913="","",INDEX(상세표[사번],$U1913)&amp;"")</f>
        <v/>
      </c>
      <c r="K1913">
        <f>IF($U1913="","",INDEX(상세표[성명],$U1913)&amp;"")</f>
        <v/>
      </c>
      <c r="L1913">
        <f>IF($U1913="","",INDEX(상세표[직위],$U1913)&amp;"")</f>
        <v/>
      </c>
      <c r="M1913">
        <f>IF($U1913="","",IF(ISNUMBER(INDEX(상세표[근무일자],$U1913)),TEXT(INDEX(상세표[근무일자],$U1913),"yyyy-mm-dd"),INDEX(상세표[근무일자],$U1913)&amp;""))</f>
        <v/>
      </c>
      <c r="N1913">
        <f>IF($U1913="","",IF(ISNUMBER(INDEX(상세표[시작],$U1913)),TEXT(INDEX(상세표[시작],$U1913),"yyyy-mm-dd hh:mm"),INDEX(상세표[시작],$U1913)&amp;""))</f>
        <v/>
      </c>
      <c r="O1913">
        <f>IF($U1913="","",IF(ISNUMBER(INDEX(상세표[종료],$U1913)),TEXT(INDEX(상세표[종료],$U1913),"yyyy-mm-dd hh:mm"),INDEX(상세표[종료],$U1913)&amp;""))</f>
        <v/>
      </c>
      <c r="P1913" s="20">
        <f>IF($U1913="","",INDEX(상세표[06~07시],$U1913))</f>
        <v/>
      </c>
      <c r="Q1913" s="20">
        <f>IF($U1913="","",INDEX(상세표[07~18시],$U1913))</f>
        <v/>
      </c>
      <c r="R1913" s="20">
        <f>IF($U1913="","",INDEX(상세표[18~22시],$U1913))</f>
        <v/>
      </c>
      <c r="S1913" s="20">
        <f>IF($U1913="","",INDEX(상세표[22~06시],$U1913))</f>
        <v/>
      </c>
      <c r="T1913" s="20">
        <f>IF($U1913="","",INDEX(상세표[기록 시간외],$U1913))</f>
        <v/>
      </c>
      <c r="U1913" s="4">
        <f>IFERROR(MATCH(1908,상세표[발송순번],0),"")</f>
        <v/>
      </c>
    </row>
    <row r="1914">
      <c r="J1914">
        <f>IF($U1914="","",INDEX(상세표[사번],$U1914)&amp;"")</f>
        <v/>
      </c>
      <c r="K1914">
        <f>IF($U1914="","",INDEX(상세표[성명],$U1914)&amp;"")</f>
        <v/>
      </c>
      <c r="L1914">
        <f>IF($U1914="","",INDEX(상세표[직위],$U1914)&amp;"")</f>
        <v/>
      </c>
      <c r="M1914">
        <f>IF($U1914="","",IF(ISNUMBER(INDEX(상세표[근무일자],$U1914)),TEXT(INDEX(상세표[근무일자],$U1914),"yyyy-mm-dd"),INDEX(상세표[근무일자],$U1914)&amp;""))</f>
        <v/>
      </c>
      <c r="N1914">
        <f>IF($U1914="","",IF(ISNUMBER(INDEX(상세표[시작],$U1914)),TEXT(INDEX(상세표[시작],$U1914),"yyyy-mm-dd hh:mm"),INDEX(상세표[시작],$U1914)&amp;""))</f>
        <v/>
      </c>
      <c r="O1914">
        <f>IF($U1914="","",IF(ISNUMBER(INDEX(상세표[종료],$U1914)),TEXT(INDEX(상세표[종료],$U1914),"yyyy-mm-dd hh:mm"),INDEX(상세표[종료],$U1914)&amp;""))</f>
        <v/>
      </c>
      <c r="P1914" s="20">
        <f>IF($U1914="","",INDEX(상세표[06~07시],$U1914))</f>
        <v/>
      </c>
      <c r="Q1914" s="20">
        <f>IF($U1914="","",INDEX(상세표[07~18시],$U1914))</f>
        <v/>
      </c>
      <c r="R1914" s="20">
        <f>IF($U1914="","",INDEX(상세표[18~22시],$U1914))</f>
        <v/>
      </c>
      <c r="S1914" s="20">
        <f>IF($U1914="","",INDEX(상세표[22~06시],$U1914))</f>
        <v/>
      </c>
      <c r="T1914" s="20">
        <f>IF($U1914="","",INDEX(상세표[기록 시간외],$U1914))</f>
        <v/>
      </c>
      <c r="U1914" s="4">
        <f>IFERROR(MATCH(1909,상세표[발송순번],0),"")</f>
        <v/>
      </c>
    </row>
    <row r="1915">
      <c r="J1915">
        <f>IF($U1915="","",INDEX(상세표[사번],$U1915)&amp;"")</f>
        <v/>
      </c>
      <c r="K1915">
        <f>IF($U1915="","",INDEX(상세표[성명],$U1915)&amp;"")</f>
        <v/>
      </c>
      <c r="L1915">
        <f>IF($U1915="","",INDEX(상세표[직위],$U1915)&amp;"")</f>
        <v/>
      </c>
      <c r="M1915">
        <f>IF($U1915="","",IF(ISNUMBER(INDEX(상세표[근무일자],$U1915)),TEXT(INDEX(상세표[근무일자],$U1915),"yyyy-mm-dd"),INDEX(상세표[근무일자],$U1915)&amp;""))</f>
        <v/>
      </c>
      <c r="N1915">
        <f>IF($U1915="","",IF(ISNUMBER(INDEX(상세표[시작],$U1915)),TEXT(INDEX(상세표[시작],$U1915),"yyyy-mm-dd hh:mm"),INDEX(상세표[시작],$U1915)&amp;""))</f>
        <v/>
      </c>
      <c r="O1915">
        <f>IF($U1915="","",IF(ISNUMBER(INDEX(상세표[종료],$U1915)),TEXT(INDEX(상세표[종료],$U1915),"yyyy-mm-dd hh:mm"),INDEX(상세표[종료],$U1915)&amp;""))</f>
        <v/>
      </c>
      <c r="P1915" s="20">
        <f>IF($U1915="","",INDEX(상세표[06~07시],$U1915))</f>
        <v/>
      </c>
      <c r="Q1915" s="20">
        <f>IF($U1915="","",INDEX(상세표[07~18시],$U1915))</f>
        <v/>
      </c>
      <c r="R1915" s="20">
        <f>IF($U1915="","",INDEX(상세표[18~22시],$U1915))</f>
        <v/>
      </c>
      <c r="S1915" s="20">
        <f>IF($U1915="","",INDEX(상세표[22~06시],$U1915))</f>
        <v/>
      </c>
      <c r="T1915" s="20">
        <f>IF($U1915="","",INDEX(상세표[기록 시간외],$U1915))</f>
        <v/>
      </c>
      <c r="U1915" s="4">
        <f>IFERROR(MATCH(1910,상세표[발송순번],0),"")</f>
        <v/>
      </c>
    </row>
    <row r="1916">
      <c r="J1916">
        <f>IF($U1916="","",INDEX(상세표[사번],$U1916)&amp;"")</f>
        <v/>
      </c>
      <c r="K1916">
        <f>IF($U1916="","",INDEX(상세표[성명],$U1916)&amp;"")</f>
        <v/>
      </c>
      <c r="L1916">
        <f>IF($U1916="","",INDEX(상세표[직위],$U1916)&amp;"")</f>
        <v/>
      </c>
      <c r="M1916">
        <f>IF($U1916="","",IF(ISNUMBER(INDEX(상세표[근무일자],$U1916)),TEXT(INDEX(상세표[근무일자],$U1916),"yyyy-mm-dd"),INDEX(상세표[근무일자],$U1916)&amp;""))</f>
        <v/>
      </c>
      <c r="N1916">
        <f>IF($U1916="","",IF(ISNUMBER(INDEX(상세표[시작],$U1916)),TEXT(INDEX(상세표[시작],$U1916),"yyyy-mm-dd hh:mm"),INDEX(상세표[시작],$U1916)&amp;""))</f>
        <v/>
      </c>
      <c r="O1916">
        <f>IF($U1916="","",IF(ISNUMBER(INDEX(상세표[종료],$U1916)),TEXT(INDEX(상세표[종료],$U1916),"yyyy-mm-dd hh:mm"),INDEX(상세표[종료],$U1916)&amp;""))</f>
        <v/>
      </c>
      <c r="P1916" s="20">
        <f>IF($U1916="","",INDEX(상세표[06~07시],$U1916))</f>
        <v/>
      </c>
      <c r="Q1916" s="20">
        <f>IF($U1916="","",INDEX(상세표[07~18시],$U1916))</f>
        <v/>
      </c>
      <c r="R1916" s="20">
        <f>IF($U1916="","",INDEX(상세표[18~22시],$U1916))</f>
        <v/>
      </c>
      <c r="S1916" s="20">
        <f>IF($U1916="","",INDEX(상세표[22~06시],$U1916))</f>
        <v/>
      </c>
      <c r="T1916" s="20">
        <f>IF($U1916="","",INDEX(상세표[기록 시간외],$U1916))</f>
        <v/>
      </c>
      <c r="U1916" s="4">
        <f>IFERROR(MATCH(1911,상세표[발송순번],0),"")</f>
        <v/>
      </c>
    </row>
    <row r="1917">
      <c r="J1917">
        <f>IF($U1917="","",INDEX(상세표[사번],$U1917)&amp;"")</f>
        <v/>
      </c>
      <c r="K1917">
        <f>IF($U1917="","",INDEX(상세표[성명],$U1917)&amp;"")</f>
        <v/>
      </c>
      <c r="L1917">
        <f>IF($U1917="","",INDEX(상세표[직위],$U1917)&amp;"")</f>
        <v/>
      </c>
      <c r="M1917">
        <f>IF($U1917="","",IF(ISNUMBER(INDEX(상세표[근무일자],$U1917)),TEXT(INDEX(상세표[근무일자],$U1917),"yyyy-mm-dd"),INDEX(상세표[근무일자],$U1917)&amp;""))</f>
        <v/>
      </c>
      <c r="N1917">
        <f>IF($U1917="","",IF(ISNUMBER(INDEX(상세표[시작],$U1917)),TEXT(INDEX(상세표[시작],$U1917),"yyyy-mm-dd hh:mm"),INDEX(상세표[시작],$U1917)&amp;""))</f>
        <v/>
      </c>
      <c r="O1917">
        <f>IF($U1917="","",IF(ISNUMBER(INDEX(상세표[종료],$U1917)),TEXT(INDEX(상세표[종료],$U1917),"yyyy-mm-dd hh:mm"),INDEX(상세표[종료],$U1917)&amp;""))</f>
        <v/>
      </c>
      <c r="P1917" s="20">
        <f>IF($U1917="","",INDEX(상세표[06~07시],$U1917))</f>
        <v/>
      </c>
      <c r="Q1917" s="20">
        <f>IF($U1917="","",INDEX(상세표[07~18시],$U1917))</f>
        <v/>
      </c>
      <c r="R1917" s="20">
        <f>IF($U1917="","",INDEX(상세표[18~22시],$U1917))</f>
        <v/>
      </c>
      <c r="S1917" s="20">
        <f>IF($U1917="","",INDEX(상세표[22~06시],$U1917))</f>
        <v/>
      </c>
      <c r="T1917" s="20">
        <f>IF($U1917="","",INDEX(상세표[기록 시간외],$U1917))</f>
        <v/>
      </c>
      <c r="U1917" s="4">
        <f>IFERROR(MATCH(1912,상세표[발송순번],0),"")</f>
        <v/>
      </c>
    </row>
    <row r="1918">
      <c r="J1918">
        <f>IF($U1918="","",INDEX(상세표[사번],$U1918)&amp;"")</f>
        <v/>
      </c>
      <c r="K1918">
        <f>IF($U1918="","",INDEX(상세표[성명],$U1918)&amp;"")</f>
        <v/>
      </c>
      <c r="L1918">
        <f>IF($U1918="","",INDEX(상세표[직위],$U1918)&amp;"")</f>
        <v/>
      </c>
      <c r="M1918">
        <f>IF($U1918="","",IF(ISNUMBER(INDEX(상세표[근무일자],$U1918)),TEXT(INDEX(상세표[근무일자],$U1918),"yyyy-mm-dd"),INDEX(상세표[근무일자],$U1918)&amp;""))</f>
        <v/>
      </c>
      <c r="N1918">
        <f>IF($U1918="","",IF(ISNUMBER(INDEX(상세표[시작],$U1918)),TEXT(INDEX(상세표[시작],$U1918),"yyyy-mm-dd hh:mm"),INDEX(상세표[시작],$U1918)&amp;""))</f>
        <v/>
      </c>
      <c r="O1918">
        <f>IF($U1918="","",IF(ISNUMBER(INDEX(상세표[종료],$U1918)),TEXT(INDEX(상세표[종료],$U1918),"yyyy-mm-dd hh:mm"),INDEX(상세표[종료],$U1918)&amp;""))</f>
        <v/>
      </c>
      <c r="P1918" s="20">
        <f>IF($U1918="","",INDEX(상세표[06~07시],$U1918))</f>
        <v/>
      </c>
      <c r="Q1918" s="20">
        <f>IF($U1918="","",INDEX(상세표[07~18시],$U1918))</f>
        <v/>
      </c>
      <c r="R1918" s="20">
        <f>IF($U1918="","",INDEX(상세표[18~22시],$U1918))</f>
        <v/>
      </c>
      <c r="S1918" s="20">
        <f>IF($U1918="","",INDEX(상세표[22~06시],$U1918))</f>
        <v/>
      </c>
      <c r="T1918" s="20">
        <f>IF($U1918="","",INDEX(상세표[기록 시간외],$U1918))</f>
        <v/>
      </c>
      <c r="U1918" s="4">
        <f>IFERROR(MATCH(1913,상세표[발송순번],0),"")</f>
        <v/>
      </c>
    </row>
    <row r="1919">
      <c r="J1919">
        <f>IF($U1919="","",INDEX(상세표[사번],$U1919)&amp;"")</f>
        <v/>
      </c>
      <c r="K1919">
        <f>IF($U1919="","",INDEX(상세표[성명],$U1919)&amp;"")</f>
        <v/>
      </c>
      <c r="L1919">
        <f>IF($U1919="","",INDEX(상세표[직위],$U1919)&amp;"")</f>
        <v/>
      </c>
      <c r="M1919">
        <f>IF($U1919="","",IF(ISNUMBER(INDEX(상세표[근무일자],$U1919)),TEXT(INDEX(상세표[근무일자],$U1919),"yyyy-mm-dd"),INDEX(상세표[근무일자],$U1919)&amp;""))</f>
        <v/>
      </c>
      <c r="N1919">
        <f>IF($U1919="","",IF(ISNUMBER(INDEX(상세표[시작],$U1919)),TEXT(INDEX(상세표[시작],$U1919),"yyyy-mm-dd hh:mm"),INDEX(상세표[시작],$U1919)&amp;""))</f>
        <v/>
      </c>
      <c r="O1919">
        <f>IF($U1919="","",IF(ISNUMBER(INDEX(상세표[종료],$U1919)),TEXT(INDEX(상세표[종료],$U1919),"yyyy-mm-dd hh:mm"),INDEX(상세표[종료],$U1919)&amp;""))</f>
        <v/>
      </c>
      <c r="P1919" s="20">
        <f>IF($U1919="","",INDEX(상세표[06~07시],$U1919))</f>
        <v/>
      </c>
      <c r="Q1919" s="20">
        <f>IF($U1919="","",INDEX(상세표[07~18시],$U1919))</f>
        <v/>
      </c>
      <c r="R1919" s="20">
        <f>IF($U1919="","",INDEX(상세표[18~22시],$U1919))</f>
        <v/>
      </c>
      <c r="S1919" s="20">
        <f>IF($U1919="","",INDEX(상세표[22~06시],$U1919))</f>
        <v/>
      </c>
      <c r="T1919" s="20">
        <f>IF($U1919="","",INDEX(상세표[기록 시간외],$U1919))</f>
        <v/>
      </c>
      <c r="U1919" s="4">
        <f>IFERROR(MATCH(1914,상세표[발송순번],0),"")</f>
        <v/>
      </c>
    </row>
    <row r="1920">
      <c r="J1920">
        <f>IF($U1920="","",INDEX(상세표[사번],$U1920)&amp;"")</f>
        <v/>
      </c>
      <c r="K1920">
        <f>IF($U1920="","",INDEX(상세표[성명],$U1920)&amp;"")</f>
        <v/>
      </c>
      <c r="L1920">
        <f>IF($U1920="","",INDEX(상세표[직위],$U1920)&amp;"")</f>
        <v/>
      </c>
      <c r="M1920">
        <f>IF($U1920="","",IF(ISNUMBER(INDEX(상세표[근무일자],$U1920)),TEXT(INDEX(상세표[근무일자],$U1920),"yyyy-mm-dd"),INDEX(상세표[근무일자],$U1920)&amp;""))</f>
        <v/>
      </c>
      <c r="N1920">
        <f>IF($U1920="","",IF(ISNUMBER(INDEX(상세표[시작],$U1920)),TEXT(INDEX(상세표[시작],$U1920),"yyyy-mm-dd hh:mm"),INDEX(상세표[시작],$U1920)&amp;""))</f>
        <v/>
      </c>
      <c r="O1920">
        <f>IF($U1920="","",IF(ISNUMBER(INDEX(상세표[종료],$U1920)),TEXT(INDEX(상세표[종료],$U1920),"yyyy-mm-dd hh:mm"),INDEX(상세표[종료],$U1920)&amp;""))</f>
        <v/>
      </c>
      <c r="P1920" s="20">
        <f>IF($U1920="","",INDEX(상세표[06~07시],$U1920))</f>
        <v/>
      </c>
      <c r="Q1920" s="20">
        <f>IF($U1920="","",INDEX(상세표[07~18시],$U1920))</f>
        <v/>
      </c>
      <c r="R1920" s="20">
        <f>IF($U1920="","",INDEX(상세표[18~22시],$U1920))</f>
        <v/>
      </c>
      <c r="S1920" s="20">
        <f>IF($U1920="","",INDEX(상세표[22~06시],$U1920))</f>
        <v/>
      </c>
      <c r="T1920" s="20">
        <f>IF($U1920="","",INDEX(상세표[기록 시간외],$U1920))</f>
        <v/>
      </c>
      <c r="U1920" s="4">
        <f>IFERROR(MATCH(1915,상세표[발송순번],0),"")</f>
        <v/>
      </c>
    </row>
    <row r="1921">
      <c r="J1921">
        <f>IF($U1921="","",INDEX(상세표[사번],$U1921)&amp;"")</f>
        <v/>
      </c>
      <c r="K1921">
        <f>IF($U1921="","",INDEX(상세표[성명],$U1921)&amp;"")</f>
        <v/>
      </c>
      <c r="L1921">
        <f>IF($U1921="","",INDEX(상세표[직위],$U1921)&amp;"")</f>
        <v/>
      </c>
      <c r="M1921">
        <f>IF($U1921="","",IF(ISNUMBER(INDEX(상세표[근무일자],$U1921)),TEXT(INDEX(상세표[근무일자],$U1921),"yyyy-mm-dd"),INDEX(상세표[근무일자],$U1921)&amp;""))</f>
        <v/>
      </c>
      <c r="N1921">
        <f>IF($U1921="","",IF(ISNUMBER(INDEX(상세표[시작],$U1921)),TEXT(INDEX(상세표[시작],$U1921),"yyyy-mm-dd hh:mm"),INDEX(상세표[시작],$U1921)&amp;""))</f>
        <v/>
      </c>
      <c r="O1921">
        <f>IF($U1921="","",IF(ISNUMBER(INDEX(상세표[종료],$U1921)),TEXT(INDEX(상세표[종료],$U1921),"yyyy-mm-dd hh:mm"),INDEX(상세표[종료],$U1921)&amp;""))</f>
        <v/>
      </c>
      <c r="P1921" s="20">
        <f>IF($U1921="","",INDEX(상세표[06~07시],$U1921))</f>
        <v/>
      </c>
      <c r="Q1921" s="20">
        <f>IF($U1921="","",INDEX(상세표[07~18시],$U1921))</f>
        <v/>
      </c>
      <c r="R1921" s="20">
        <f>IF($U1921="","",INDEX(상세표[18~22시],$U1921))</f>
        <v/>
      </c>
      <c r="S1921" s="20">
        <f>IF($U1921="","",INDEX(상세표[22~06시],$U1921))</f>
        <v/>
      </c>
      <c r="T1921" s="20">
        <f>IF($U1921="","",INDEX(상세표[기록 시간외],$U1921))</f>
        <v/>
      </c>
      <c r="U1921" s="4">
        <f>IFERROR(MATCH(1916,상세표[발송순번],0),"")</f>
        <v/>
      </c>
    </row>
    <row r="1922">
      <c r="J1922">
        <f>IF($U1922="","",INDEX(상세표[사번],$U1922)&amp;"")</f>
        <v/>
      </c>
      <c r="K1922">
        <f>IF($U1922="","",INDEX(상세표[성명],$U1922)&amp;"")</f>
        <v/>
      </c>
      <c r="L1922">
        <f>IF($U1922="","",INDEX(상세표[직위],$U1922)&amp;"")</f>
        <v/>
      </c>
      <c r="M1922">
        <f>IF($U1922="","",IF(ISNUMBER(INDEX(상세표[근무일자],$U1922)),TEXT(INDEX(상세표[근무일자],$U1922),"yyyy-mm-dd"),INDEX(상세표[근무일자],$U1922)&amp;""))</f>
        <v/>
      </c>
      <c r="N1922">
        <f>IF($U1922="","",IF(ISNUMBER(INDEX(상세표[시작],$U1922)),TEXT(INDEX(상세표[시작],$U1922),"yyyy-mm-dd hh:mm"),INDEX(상세표[시작],$U1922)&amp;""))</f>
        <v/>
      </c>
      <c r="O1922">
        <f>IF($U1922="","",IF(ISNUMBER(INDEX(상세표[종료],$U1922)),TEXT(INDEX(상세표[종료],$U1922),"yyyy-mm-dd hh:mm"),INDEX(상세표[종료],$U1922)&amp;""))</f>
        <v/>
      </c>
      <c r="P1922" s="20">
        <f>IF($U1922="","",INDEX(상세표[06~07시],$U1922))</f>
        <v/>
      </c>
      <c r="Q1922" s="20">
        <f>IF($U1922="","",INDEX(상세표[07~18시],$U1922))</f>
        <v/>
      </c>
      <c r="R1922" s="20">
        <f>IF($U1922="","",INDEX(상세표[18~22시],$U1922))</f>
        <v/>
      </c>
      <c r="S1922" s="20">
        <f>IF($U1922="","",INDEX(상세표[22~06시],$U1922))</f>
        <v/>
      </c>
      <c r="T1922" s="20">
        <f>IF($U1922="","",INDEX(상세표[기록 시간외],$U1922))</f>
        <v/>
      </c>
      <c r="U1922" s="4">
        <f>IFERROR(MATCH(1917,상세표[발송순번],0),"")</f>
        <v/>
      </c>
    </row>
    <row r="1923">
      <c r="J1923">
        <f>IF($U1923="","",INDEX(상세표[사번],$U1923)&amp;"")</f>
        <v/>
      </c>
      <c r="K1923">
        <f>IF($U1923="","",INDEX(상세표[성명],$U1923)&amp;"")</f>
        <v/>
      </c>
      <c r="L1923">
        <f>IF($U1923="","",INDEX(상세표[직위],$U1923)&amp;"")</f>
        <v/>
      </c>
      <c r="M1923">
        <f>IF($U1923="","",IF(ISNUMBER(INDEX(상세표[근무일자],$U1923)),TEXT(INDEX(상세표[근무일자],$U1923),"yyyy-mm-dd"),INDEX(상세표[근무일자],$U1923)&amp;""))</f>
        <v/>
      </c>
      <c r="N1923">
        <f>IF($U1923="","",IF(ISNUMBER(INDEX(상세표[시작],$U1923)),TEXT(INDEX(상세표[시작],$U1923),"yyyy-mm-dd hh:mm"),INDEX(상세표[시작],$U1923)&amp;""))</f>
        <v/>
      </c>
      <c r="O1923">
        <f>IF($U1923="","",IF(ISNUMBER(INDEX(상세표[종료],$U1923)),TEXT(INDEX(상세표[종료],$U1923),"yyyy-mm-dd hh:mm"),INDEX(상세표[종료],$U1923)&amp;""))</f>
        <v/>
      </c>
      <c r="P1923" s="20">
        <f>IF($U1923="","",INDEX(상세표[06~07시],$U1923))</f>
        <v/>
      </c>
      <c r="Q1923" s="20">
        <f>IF($U1923="","",INDEX(상세표[07~18시],$U1923))</f>
        <v/>
      </c>
      <c r="R1923" s="20">
        <f>IF($U1923="","",INDEX(상세표[18~22시],$U1923))</f>
        <v/>
      </c>
      <c r="S1923" s="20">
        <f>IF($U1923="","",INDEX(상세표[22~06시],$U1923))</f>
        <v/>
      </c>
      <c r="T1923" s="20">
        <f>IF($U1923="","",INDEX(상세표[기록 시간외],$U1923))</f>
        <v/>
      </c>
      <c r="U1923" s="4">
        <f>IFERROR(MATCH(1918,상세표[발송순번],0),"")</f>
        <v/>
      </c>
    </row>
    <row r="1924">
      <c r="J1924">
        <f>IF($U1924="","",INDEX(상세표[사번],$U1924)&amp;"")</f>
        <v/>
      </c>
      <c r="K1924">
        <f>IF($U1924="","",INDEX(상세표[성명],$U1924)&amp;"")</f>
        <v/>
      </c>
      <c r="L1924">
        <f>IF($U1924="","",INDEX(상세표[직위],$U1924)&amp;"")</f>
        <v/>
      </c>
      <c r="M1924">
        <f>IF($U1924="","",IF(ISNUMBER(INDEX(상세표[근무일자],$U1924)),TEXT(INDEX(상세표[근무일자],$U1924),"yyyy-mm-dd"),INDEX(상세표[근무일자],$U1924)&amp;""))</f>
        <v/>
      </c>
      <c r="N1924">
        <f>IF($U1924="","",IF(ISNUMBER(INDEX(상세표[시작],$U1924)),TEXT(INDEX(상세표[시작],$U1924),"yyyy-mm-dd hh:mm"),INDEX(상세표[시작],$U1924)&amp;""))</f>
        <v/>
      </c>
      <c r="O1924">
        <f>IF($U1924="","",IF(ISNUMBER(INDEX(상세표[종료],$U1924)),TEXT(INDEX(상세표[종료],$U1924),"yyyy-mm-dd hh:mm"),INDEX(상세표[종료],$U1924)&amp;""))</f>
        <v/>
      </c>
      <c r="P1924" s="20">
        <f>IF($U1924="","",INDEX(상세표[06~07시],$U1924))</f>
        <v/>
      </c>
      <c r="Q1924" s="20">
        <f>IF($U1924="","",INDEX(상세표[07~18시],$U1924))</f>
        <v/>
      </c>
      <c r="R1924" s="20">
        <f>IF($U1924="","",INDEX(상세표[18~22시],$U1924))</f>
        <v/>
      </c>
      <c r="S1924" s="20">
        <f>IF($U1924="","",INDEX(상세표[22~06시],$U1924))</f>
        <v/>
      </c>
      <c r="T1924" s="20">
        <f>IF($U1924="","",INDEX(상세표[기록 시간외],$U1924))</f>
        <v/>
      </c>
      <c r="U1924" s="4">
        <f>IFERROR(MATCH(1919,상세표[발송순번],0),"")</f>
        <v/>
      </c>
    </row>
    <row r="1925">
      <c r="J1925">
        <f>IF($U1925="","",INDEX(상세표[사번],$U1925)&amp;"")</f>
        <v/>
      </c>
      <c r="K1925">
        <f>IF($U1925="","",INDEX(상세표[성명],$U1925)&amp;"")</f>
        <v/>
      </c>
      <c r="L1925">
        <f>IF($U1925="","",INDEX(상세표[직위],$U1925)&amp;"")</f>
        <v/>
      </c>
      <c r="M1925">
        <f>IF($U1925="","",IF(ISNUMBER(INDEX(상세표[근무일자],$U1925)),TEXT(INDEX(상세표[근무일자],$U1925),"yyyy-mm-dd"),INDEX(상세표[근무일자],$U1925)&amp;""))</f>
        <v/>
      </c>
      <c r="N1925">
        <f>IF($U1925="","",IF(ISNUMBER(INDEX(상세표[시작],$U1925)),TEXT(INDEX(상세표[시작],$U1925),"yyyy-mm-dd hh:mm"),INDEX(상세표[시작],$U1925)&amp;""))</f>
        <v/>
      </c>
      <c r="O1925">
        <f>IF($U1925="","",IF(ISNUMBER(INDEX(상세표[종료],$U1925)),TEXT(INDEX(상세표[종료],$U1925),"yyyy-mm-dd hh:mm"),INDEX(상세표[종료],$U1925)&amp;""))</f>
        <v/>
      </c>
      <c r="P1925" s="20">
        <f>IF($U1925="","",INDEX(상세표[06~07시],$U1925))</f>
        <v/>
      </c>
      <c r="Q1925" s="20">
        <f>IF($U1925="","",INDEX(상세표[07~18시],$U1925))</f>
        <v/>
      </c>
      <c r="R1925" s="20">
        <f>IF($U1925="","",INDEX(상세표[18~22시],$U1925))</f>
        <v/>
      </c>
      <c r="S1925" s="20">
        <f>IF($U1925="","",INDEX(상세표[22~06시],$U1925))</f>
        <v/>
      </c>
      <c r="T1925" s="20">
        <f>IF($U1925="","",INDEX(상세표[기록 시간외],$U1925))</f>
        <v/>
      </c>
      <c r="U1925" s="4">
        <f>IFERROR(MATCH(1920,상세표[발송순번],0),"")</f>
        <v/>
      </c>
    </row>
    <row r="1926">
      <c r="J1926">
        <f>IF($U1926="","",INDEX(상세표[사번],$U1926)&amp;"")</f>
        <v/>
      </c>
      <c r="K1926">
        <f>IF($U1926="","",INDEX(상세표[성명],$U1926)&amp;"")</f>
        <v/>
      </c>
      <c r="L1926">
        <f>IF($U1926="","",INDEX(상세표[직위],$U1926)&amp;"")</f>
        <v/>
      </c>
      <c r="M1926">
        <f>IF($U1926="","",IF(ISNUMBER(INDEX(상세표[근무일자],$U1926)),TEXT(INDEX(상세표[근무일자],$U1926),"yyyy-mm-dd"),INDEX(상세표[근무일자],$U1926)&amp;""))</f>
        <v/>
      </c>
      <c r="N1926">
        <f>IF($U1926="","",IF(ISNUMBER(INDEX(상세표[시작],$U1926)),TEXT(INDEX(상세표[시작],$U1926),"yyyy-mm-dd hh:mm"),INDEX(상세표[시작],$U1926)&amp;""))</f>
        <v/>
      </c>
      <c r="O1926">
        <f>IF($U1926="","",IF(ISNUMBER(INDEX(상세표[종료],$U1926)),TEXT(INDEX(상세표[종료],$U1926),"yyyy-mm-dd hh:mm"),INDEX(상세표[종료],$U1926)&amp;""))</f>
        <v/>
      </c>
      <c r="P1926" s="20">
        <f>IF($U1926="","",INDEX(상세표[06~07시],$U1926))</f>
        <v/>
      </c>
      <c r="Q1926" s="20">
        <f>IF($U1926="","",INDEX(상세표[07~18시],$U1926))</f>
        <v/>
      </c>
      <c r="R1926" s="20">
        <f>IF($U1926="","",INDEX(상세표[18~22시],$U1926))</f>
        <v/>
      </c>
      <c r="S1926" s="20">
        <f>IF($U1926="","",INDEX(상세표[22~06시],$U1926))</f>
        <v/>
      </c>
      <c r="T1926" s="20">
        <f>IF($U1926="","",INDEX(상세표[기록 시간외],$U1926))</f>
        <v/>
      </c>
      <c r="U1926" s="4">
        <f>IFERROR(MATCH(1921,상세표[발송순번],0),"")</f>
        <v/>
      </c>
    </row>
    <row r="1927">
      <c r="J1927">
        <f>IF($U1927="","",INDEX(상세표[사번],$U1927)&amp;"")</f>
        <v/>
      </c>
      <c r="K1927">
        <f>IF($U1927="","",INDEX(상세표[성명],$U1927)&amp;"")</f>
        <v/>
      </c>
      <c r="L1927">
        <f>IF($U1927="","",INDEX(상세표[직위],$U1927)&amp;"")</f>
        <v/>
      </c>
      <c r="M1927">
        <f>IF($U1927="","",IF(ISNUMBER(INDEX(상세표[근무일자],$U1927)),TEXT(INDEX(상세표[근무일자],$U1927),"yyyy-mm-dd"),INDEX(상세표[근무일자],$U1927)&amp;""))</f>
        <v/>
      </c>
      <c r="N1927">
        <f>IF($U1927="","",IF(ISNUMBER(INDEX(상세표[시작],$U1927)),TEXT(INDEX(상세표[시작],$U1927),"yyyy-mm-dd hh:mm"),INDEX(상세표[시작],$U1927)&amp;""))</f>
        <v/>
      </c>
      <c r="O1927">
        <f>IF($U1927="","",IF(ISNUMBER(INDEX(상세표[종료],$U1927)),TEXT(INDEX(상세표[종료],$U1927),"yyyy-mm-dd hh:mm"),INDEX(상세표[종료],$U1927)&amp;""))</f>
        <v/>
      </c>
      <c r="P1927" s="20">
        <f>IF($U1927="","",INDEX(상세표[06~07시],$U1927))</f>
        <v/>
      </c>
      <c r="Q1927" s="20">
        <f>IF($U1927="","",INDEX(상세표[07~18시],$U1927))</f>
        <v/>
      </c>
      <c r="R1927" s="20">
        <f>IF($U1927="","",INDEX(상세표[18~22시],$U1927))</f>
        <v/>
      </c>
      <c r="S1927" s="20">
        <f>IF($U1927="","",INDEX(상세표[22~06시],$U1927))</f>
        <v/>
      </c>
      <c r="T1927" s="20">
        <f>IF($U1927="","",INDEX(상세표[기록 시간외],$U1927))</f>
        <v/>
      </c>
      <c r="U1927" s="4">
        <f>IFERROR(MATCH(1922,상세표[발송순번],0),"")</f>
        <v/>
      </c>
    </row>
    <row r="1928">
      <c r="J1928">
        <f>IF($U1928="","",INDEX(상세표[사번],$U1928)&amp;"")</f>
        <v/>
      </c>
      <c r="K1928">
        <f>IF($U1928="","",INDEX(상세표[성명],$U1928)&amp;"")</f>
        <v/>
      </c>
      <c r="L1928">
        <f>IF($U1928="","",INDEX(상세표[직위],$U1928)&amp;"")</f>
        <v/>
      </c>
      <c r="M1928">
        <f>IF($U1928="","",IF(ISNUMBER(INDEX(상세표[근무일자],$U1928)),TEXT(INDEX(상세표[근무일자],$U1928),"yyyy-mm-dd"),INDEX(상세표[근무일자],$U1928)&amp;""))</f>
        <v/>
      </c>
      <c r="N1928">
        <f>IF($U1928="","",IF(ISNUMBER(INDEX(상세표[시작],$U1928)),TEXT(INDEX(상세표[시작],$U1928),"yyyy-mm-dd hh:mm"),INDEX(상세표[시작],$U1928)&amp;""))</f>
        <v/>
      </c>
      <c r="O1928">
        <f>IF($U1928="","",IF(ISNUMBER(INDEX(상세표[종료],$U1928)),TEXT(INDEX(상세표[종료],$U1928),"yyyy-mm-dd hh:mm"),INDEX(상세표[종료],$U1928)&amp;""))</f>
        <v/>
      </c>
      <c r="P1928" s="20">
        <f>IF($U1928="","",INDEX(상세표[06~07시],$U1928))</f>
        <v/>
      </c>
      <c r="Q1928" s="20">
        <f>IF($U1928="","",INDEX(상세표[07~18시],$U1928))</f>
        <v/>
      </c>
      <c r="R1928" s="20">
        <f>IF($U1928="","",INDEX(상세표[18~22시],$U1928))</f>
        <v/>
      </c>
      <c r="S1928" s="20">
        <f>IF($U1928="","",INDEX(상세표[22~06시],$U1928))</f>
        <v/>
      </c>
      <c r="T1928" s="20">
        <f>IF($U1928="","",INDEX(상세표[기록 시간외],$U1928))</f>
        <v/>
      </c>
      <c r="U1928" s="4">
        <f>IFERROR(MATCH(1923,상세표[발송순번],0),"")</f>
        <v/>
      </c>
    </row>
    <row r="1929">
      <c r="J1929">
        <f>IF($U1929="","",INDEX(상세표[사번],$U1929)&amp;"")</f>
        <v/>
      </c>
      <c r="K1929">
        <f>IF($U1929="","",INDEX(상세표[성명],$U1929)&amp;"")</f>
        <v/>
      </c>
      <c r="L1929">
        <f>IF($U1929="","",INDEX(상세표[직위],$U1929)&amp;"")</f>
        <v/>
      </c>
      <c r="M1929">
        <f>IF($U1929="","",IF(ISNUMBER(INDEX(상세표[근무일자],$U1929)),TEXT(INDEX(상세표[근무일자],$U1929),"yyyy-mm-dd"),INDEX(상세표[근무일자],$U1929)&amp;""))</f>
        <v/>
      </c>
      <c r="N1929">
        <f>IF($U1929="","",IF(ISNUMBER(INDEX(상세표[시작],$U1929)),TEXT(INDEX(상세표[시작],$U1929),"yyyy-mm-dd hh:mm"),INDEX(상세표[시작],$U1929)&amp;""))</f>
        <v/>
      </c>
      <c r="O1929">
        <f>IF($U1929="","",IF(ISNUMBER(INDEX(상세표[종료],$U1929)),TEXT(INDEX(상세표[종료],$U1929),"yyyy-mm-dd hh:mm"),INDEX(상세표[종료],$U1929)&amp;""))</f>
        <v/>
      </c>
      <c r="P1929" s="20">
        <f>IF($U1929="","",INDEX(상세표[06~07시],$U1929))</f>
        <v/>
      </c>
      <c r="Q1929" s="20">
        <f>IF($U1929="","",INDEX(상세표[07~18시],$U1929))</f>
        <v/>
      </c>
      <c r="R1929" s="20">
        <f>IF($U1929="","",INDEX(상세표[18~22시],$U1929))</f>
        <v/>
      </c>
      <c r="S1929" s="20">
        <f>IF($U1929="","",INDEX(상세표[22~06시],$U1929))</f>
        <v/>
      </c>
      <c r="T1929" s="20">
        <f>IF($U1929="","",INDEX(상세표[기록 시간외],$U1929))</f>
        <v/>
      </c>
      <c r="U1929" s="4">
        <f>IFERROR(MATCH(1924,상세표[발송순번],0),"")</f>
        <v/>
      </c>
    </row>
    <row r="1930">
      <c r="J1930">
        <f>IF($U1930="","",INDEX(상세표[사번],$U1930)&amp;"")</f>
        <v/>
      </c>
      <c r="K1930">
        <f>IF($U1930="","",INDEX(상세표[성명],$U1930)&amp;"")</f>
        <v/>
      </c>
      <c r="L1930">
        <f>IF($U1930="","",INDEX(상세표[직위],$U1930)&amp;"")</f>
        <v/>
      </c>
      <c r="M1930">
        <f>IF($U1930="","",IF(ISNUMBER(INDEX(상세표[근무일자],$U1930)),TEXT(INDEX(상세표[근무일자],$U1930),"yyyy-mm-dd"),INDEX(상세표[근무일자],$U1930)&amp;""))</f>
        <v/>
      </c>
      <c r="N1930">
        <f>IF($U1930="","",IF(ISNUMBER(INDEX(상세표[시작],$U1930)),TEXT(INDEX(상세표[시작],$U1930),"yyyy-mm-dd hh:mm"),INDEX(상세표[시작],$U1930)&amp;""))</f>
        <v/>
      </c>
      <c r="O1930">
        <f>IF($U1930="","",IF(ISNUMBER(INDEX(상세표[종료],$U1930)),TEXT(INDEX(상세표[종료],$U1930),"yyyy-mm-dd hh:mm"),INDEX(상세표[종료],$U1930)&amp;""))</f>
        <v/>
      </c>
      <c r="P1930" s="20">
        <f>IF($U1930="","",INDEX(상세표[06~07시],$U1930))</f>
        <v/>
      </c>
      <c r="Q1930" s="20">
        <f>IF($U1930="","",INDEX(상세표[07~18시],$U1930))</f>
        <v/>
      </c>
      <c r="R1930" s="20">
        <f>IF($U1930="","",INDEX(상세표[18~22시],$U1930))</f>
        <v/>
      </c>
      <c r="S1930" s="20">
        <f>IF($U1930="","",INDEX(상세표[22~06시],$U1930))</f>
        <v/>
      </c>
      <c r="T1930" s="20">
        <f>IF($U1930="","",INDEX(상세표[기록 시간외],$U1930))</f>
        <v/>
      </c>
      <c r="U1930" s="4">
        <f>IFERROR(MATCH(1925,상세표[발송순번],0),"")</f>
        <v/>
      </c>
    </row>
    <row r="1931">
      <c r="J1931">
        <f>IF($U1931="","",INDEX(상세표[사번],$U1931)&amp;"")</f>
        <v/>
      </c>
      <c r="K1931">
        <f>IF($U1931="","",INDEX(상세표[성명],$U1931)&amp;"")</f>
        <v/>
      </c>
      <c r="L1931">
        <f>IF($U1931="","",INDEX(상세표[직위],$U1931)&amp;"")</f>
        <v/>
      </c>
      <c r="M1931">
        <f>IF($U1931="","",IF(ISNUMBER(INDEX(상세표[근무일자],$U1931)),TEXT(INDEX(상세표[근무일자],$U1931),"yyyy-mm-dd"),INDEX(상세표[근무일자],$U1931)&amp;""))</f>
        <v/>
      </c>
      <c r="N1931">
        <f>IF($U1931="","",IF(ISNUMBER(INDEX(상세표[시작],$U1931)),TEXT(INDEX(상세표[시작],$U1931),"yyyy-mm-dd hh:mm"),INDEX(상세표[시작],$U1931)&amp;""))</f>
        <v/>
      </c>
      <c r="O1931">
        <f>IF($U1931="","",IF(ISNUMBER(INDEX(상세표[종료],$U1931)),TEXT(INDEX(상세표[종료],$U1931),"yyyy-mm-dd hh:mm"),INDEX(상세표[종료],$U1931)&amp;""))</f>
        <v/>
      </c>
      <c r="P1931" s="20">
        <f>IF($U1931="","",INDEX(상세표[06~07시],$U1931))</f>
        <v/>
      </c>
      <c r="Q1931" s="20">
        <f>IF($U1931="","",INDEX(상세표[07~18시],$U1931))</f>
        <v/>
      </c>
      <c r="R1931" s="20">
        <f>IF($U1931="","",INDEX(상세표[18~22시],$U1931))</f>
        <v/>
      </c>
      <c r="S1931" s="20">
        <f>IF($U1931="","",INDEX(상세표[22~06시],$U1931))</f>
        <v/>
      </c>
      <c r="T1931" s="20">
        <f>IF($U1931="","",INDEX(상세표[기록 시간외],$U1931))</f>
        <v/>
      </c>
      <c r="U1931" s="4">
        <f>IFERROR(MATCH(1926,상세표[발송순번],0),"")</f>
        <v/>
      </c>
    </row>
    <row r="1932">
      <c r="J1932">
        <f>IF($U1932="","",INDEX(상세표[사번],$U1932)&amp;"")</f>
        <v/>
      </c>
      <c r="K1932">
        <f>IF($U1932="","",INDEX(상세표[성명],$U1932)&amp;"")</f>
        <v/>
      </c>
      <c r="L1932">
        <f>IF($U1932="","",INDEX(상세표[직위],$U1932)&amp;"")</f>
        <v/>
      </c>
      <c r="M1932">
        <f>IF($U1932="","",IF(ISNUMBER(INDEX(상세표[근무일자],$U1932)),TEXT(INDEX(상세표[근무일자],$U1932),"yyyy-mm-dd"),INDEX(상세표[근무일자],$U1932)&amp;""))</f>
        <v/>
      </c>
      <c r="N1932">
        <f>IF($U1932="","",IF(ISNUMBER(INDEX(상세표[시작],$U1932)),TEXT(INDEX(상세표[시작],$U1932),"yyyy-mm-dd hh:mm"),INDEX(상세표[시작],$U1932)&amp;""))</f>
        <v/>
      </c>
      <c r="O1932">
        <f>IF($U1932="","",IF(ISNUMBER(INDEX(상세표[종료],$U1932)),TEXT(INDEX(상세표[종료],$U1932),"yyyy-mm-dd hh:mm"),INDEX(상세표[종료],$U1932)&amp;""))</f>
        <v/>
      </c>
      <c r="P1932" s="20">
        <f>IF($U1932="","",INDEX(상세표[06~07시],$U1932))</f>
        <v/>
      </c>
      <c r="Q1932" s="20">
        <f>IF($U1932="","",INDEX(상세표[07~18시],$U1932))</f>
        <v/>
      </c>
      <c r="R1932" s="20">
        <f>IF($U1932="","",INDEX(상세표[18~22시],$U1932))</f>
        <v/>
      </c>
      <c r="S1932" s="20">
        <f>IF($U1932="","",INDEX(상세표[22~06시],$U1932))</f>
        <v/>
      </c>
      <c r="T1932" s="20">
        <f>IF($U1932="","",INDEX(상세표[기록 시간외],$U1932))</f>
        <v/>
      </c>
      <c r="U1932" s="4">
        <f>IFERROR(MATCH(1927,상세표[발송순번],0),"")</f>
        <v/>
      </c>
    </row>
    <row r="1933">
      <c r="J1933">
        <f>IF($U1933="","",INDEX(상세표[사번],$U1933)&amp;"")</f>
        <v/>
      </c>
      <c r="K1933">
        <f>IF($U1933="","",INDEX(상세표[성명],$U1933)&amp;"")</f>
        <v/>
      </c>
      <c r="L1933">
        <f>IF($U1933="","",INDEX(상세표[직위],$U1933)&amp;"")</f>
        <v/>
      </c>
      <c r="M1933">
        <f>IF($U1933="","",IF(ISNUMBER(INDEX(상세표[근무일자],$U1933)),TEXT(INDEX(상세표[근무일자],$U1933),"yyyy-mm-dd"),INDEX(상세표[근무일자],$U1933)&amp;""))</f>
        <v/>
      </c>
      <c r="N1933">
        <f>IF($U1933="","",IF(ISNUMBER(INDEX(상세표[시작],$U1933)),TEXT(INDEX(상세표[시작],$U1933),"yyyy-mm-dd hh:mm"),INDEX(상세표[시작],$U1933)&amp;""))</f>
        <v/>
      </c>
      <c r="O1933">
        <f>IF($U1933="","",IF(ISNUMBER(INDEX(상세표[종료],$U1933)),TEXT(INDEX(상세표[종료],$U1933),"yyyy-mm-dd hh:mm"),INDEX(상세표[종료],$U1933)&amp;""))</f>
        <v/>
      </c>
      <c r="P1933" s="20">
        <f>IF($U1933="","",INDEX(상세표[06~07시],$U1933))</f>
        <v/>
      </c>
      <c r="Q1933" s="20">
        <f>IF($U1933="","",INDEX(상세표[07~18시],$U1933))</f>
        <v/>
      </c>
      <c r="R1933" s="20">
        <f>IF($U1933="","",INDEX(상세표[18~22시],$U1933))</f>
        <v/>
      </c>
      <c r="S1933" s="20">
        <f>IF($U1933="","",INDEX(상세표[22~06시],$U1933))</f>
        <v/>
      </c>
      <c r="T1933" s="20">
        <f>IF($U1933="","",INDEX(상세표[기록 시간외],$U1933))</f>
        <v/>
      </c>
      <c r="U1933" s="4">
        <f>IFERROR(MATCH(1928,상세표[발송순번],0),"")</f>
        <v/>
      </c>
    </row>
    <row r="1934">
      <c r="J1934">
        <f>IF($U1934="","",INDEX(상세표[사번],$U1934)&amp;"")</f>
        <v/>
      </c>
      <c r="K1934">
        <f>IF($U1934="","",INDEX(상세표[성명],$U1934)&amp;"")</f>
        <v/>
      </c>
      <c r="L1934">
        <f>IF($U1934="","",INDEX(상세표[직위],$U1934)&amp;"")</f>
        <v/>
      </c>
      <c r="M1934">
        <f>IF($U1934="","",IF(ISNUMBER(INDEX(상세표[근무일자],$U1934)),TEXT(INDEX(상세표[근무일자],$U1934),"yyyy-mm-dd"),INDEX(상세표[근무일자],$U1934)&amp;""))</f>
        <v/>
      </c>
      <c r="N1934">
        <f>IF($U1934="","",IF(ISNUMBER(INDEX(상세표[시작],$U1934)),TEXT(INDEX(상세표[시작],$U1934),"yyyy-mm-dd hh:mm"),INDEX(상세표[시작],$U1934)&amp;""))</f>
        <v/>
      </c>
      <c r="O1934">
        <f>IF($U1934="","",IF(ISNUMBER(INDEX(상세표[종료],$U1934)),TEXT(INDEX(상세표[종료],$U1934),"yyyy-mm-dd hh:mm"),INDEX(상세표[종료],$U1934)&amp;""))</f>
        <v/>
      </c>
      <c r="P1934" s="20">
        <f>IF($U1934="","",INDEX(상세표[06~07시],$U1934))</f>
        <v/>
      </c>
      <c r="Q1934" s="20">
        <f>IF($U1934="","",INDEX(상세표[07~18시],$U1934))</f>
        <v/>
      </c>
      <c r="R1934" s="20">
        <f>IF($U1934="","",INDEX(상세표[18~22시],$U1934))</f>
        <v/>
      </c>
      <c r="S1934" s="20">
        <f>IF($U1934="","",INDEX(상세표[22~06시],$U1934))</f>
        <v/>
      </c>
      <c r="T1934" s="20">
        <f>IF($U1934="","",INDEX(상세표[기록 시간외],$U1934))</f>
        <v/>
      </c>
      <c r="U1934" s="4">
        <f>IFERROR(MATCH(1929,상세표[발송순번],0),"")</f>
        <v/>
      </c>
    </row>
    <row r="1935">
      <c r="J1935">
        <f>IF($U1935="","",INDEX(상세표[사번],$U1935)&amp;"")</f>
        <v/>
      </c>
      <c r="K1935">
        <f>IF($U1935="","",INDEX(상세표[성명],$U1935)&amp;"")</f>
        <v/>
      </c>
      <c r="L1935">
        <f>IF($U1935="","",INDEX(상세표[직위],$U1935)&amp;"")</f>
        <v/>
      </c>
      <c r="M1935">
        <f>IF($U1935="","",IF(ISNUMBER(INDEX(상세표[근무일자],$U1935)),TEXT(INDEX(상세표[근무일자],$U1935),"yyyy-mm-dd"),INDEX(상세표[근무일자],$U1935)&amp;""))</f>
        <v/>
      </c>
      <c r="N1935">
        <f>IF($U1935="","",IF(ISNUMBER(INDEX(상세표[시작],$U1935)),TEXT(INDEX(상세표[시작],$U1935),"yyyy-mm-dd hh:mm"),INDEX(상세표[시작],$U1935)&amp;""))</f>
        <v/>
      </c>
      <c r="O1935">
        <f>IF($U1935="","",IF(ISNUMBER(INDEX(상세표[종료],$U1935)),TEXT(INDEX(상세표[종료],$U1935),"yyyy-mm-dd hh:mm"),INDEX(상세표[종료],$U1935)&amp;""))</f>
        <v/>
      </c>
      <c r="P1935" s="20">
        <f>IF($U1935="","",INDEX(상세표[06~07시],$U1935))</f>
        <v/>
      </c>
      <c r="Q1935" s="20">
        <f>IF($U1935="","",INDEX(상세표[07~18시],$U1935))</f>
        <v/>
      </c>
      <c r="R1935" s="20">
        <f>IF($U1935="","",INDEX(상세표[18~22시],$U1935))</f>
        <v/>
      </c>
      <c r="S1935" s="20">
        <f>IF($U1935="","",INDEX(상세표[22~06시],$U1935))</f>
        <v/>
      </c>
      <c r="T1935" s="20">
        <f>IF($U1935="","",INDEX(상세표[기록 시간외],$U1935))</f>
        <v/>
      </c>
      <c r="U1935" s="4">
        <f>IFERROR(MATCH(1930,상세표[발송순번],0),"")</f>
        <v/>
      </c>
    </row>
    <row r="1936">
      <c r="J1936">
        <f>IF($U1936="","",INDEX(상세표[사번],$U1936)&amp;"")</f>
        <v/>
      </c>
      <c r="K1936">
        <f>IF($U1936="","",INDEX(상세표[성명],$U1936)&amp;"")</f>
        <v/>
      </c>
      <c r="L1936">
        <f>IF($U1936="","",INDEX(상세표[직위],$U1936)&amp;"")</f>
        <v/>
      </c>
      <c r="M1936">
        <f>IF($U1936="","",IF(ISNUMBER(INDEX(상세표[근무일자],$U1936)),TEXT(INDEX(상세표[근무일자],$U1936),"yyyy-mm-dd"),INDEX(상세표[근무일자],$U1936)&amp;""))</f>
        <v/>
      </c>
      <c r="N1936">
        <f>IF($U1936="","",IF(ISNUMBER(INDEX(상세표[시작],$U1936)),TEXT(INDEX(상세표[시작],$U1936),"yyyy-mm-dd hh:mm"),INDEX(상세표[시작],$U1936)&amp;""))</f>
        <v/>
      </c>
      <c r="O1936">
        <f>IF($U1936="","",IF(ISNUMBER(INDEX(상세표[종료],$U1936)),TEXT(INDEX(상세표[종료],$U1936),"yyyy-mm-dd hh:mm"),INDEX(상세표[종료],$U1936)&amp;""))</f>
        <v/>
      </c>
      <c r="P1936" s="20">
        <f>IF($U1936="","",INDEX(상세표[06~07시],$U1936))</f>
        <v/>
      </c>
      <c r="Q1936" s="20">
        <f>IF($U1936="","",INDEX(상세표[07~18시],$U1936))</f>
        <v/>
      </c>
      <c r="R1936" s="20">
        <f>IF($U1936="","",INDEX(상세표[18~22시],$U1936))</f>
        <v/>
      </c>
      <c r="S1936" s="20">
        <f>IF($U1936="","",INDEX(상세표[22~06시],$U1936))</f>
        <v/>
      </c>
      <c r="T1936" s="20">
        <f>IF($U1936="","",INDEX(상세표[기록 시간외],$U1936))</f>
        <v/>
      </c>
      <c r="U1936" s="4">
        <f>IFERROR(MATCH(1931,상세표[발송순번],0),"")</f>
        <v/>
      </c>
    </row>
    <row r="1937">
      <c r="J1937">
        <f>IF($U1937="","",INDEX(상세표[사번],$U1937)&amp;"")</f>
        <v/>
      </c>
      <c r="K1937">
        <f>IF($U1937="","",INDEX(상세표[성명],$U1937)&amp;"")</f>
        <v/>
      </c>
      <c r="L1937">
        <f>IF($U1937="","",INDEX(상세표[직위],$U1937)&amp;"")</f>
        <v/>
      </c>
      <c r="M1937">
        <f>IF($U1937="","",IF(ISNUMBER(INDEX(상세표[근무일자],$U1937)),TEXT(INDEX(상세표[근무일자],$U1937),"yyyy-mm-dd"),INDEX(상세표[근무일자],$U1937)&amp;""))</f>
        <v/>
      </c>
      <c r="N1937">
        <f>IF($U1937="","",IF(ISNUMBER(INDEX(상세표[시작],$U1937)),TEXT(INDEX(상세표[시작],$U1937),"yyyy-mm-dd hh:mm"),INDEX(상세표[시작],$U1937)&amp;""))</f>
        <v/>
      </c>
      <c r="O1937">
        <f>IF($U1937="","",IF(ISNUMBER(INDEX(상세표[종료],$U1937)),TEXT(INDEX(상세표[종료],$U1937),"yyyy-mm-dd hh:mm"),INDEX(상세표[종료],$U1937)&amp;""))</f>
        <v/>
      </c>
      <c r="P1937" s="20">
        <f>IF($U1937="","",INDEX(상세표[06~07시],$U1937))</f>
        <v/>
      </c>
      <c r="Q1937" s="20">
        <f>IF($U1937="","",INDEX(상세표[07~18시],$U1937))</f>
        <v/>
      </c>
      <c r="R1937" s="20">
        <f>IF($U1937="","",INDEX(상세표[18~22시],$U1937))</f>
        <v/>
      </c>
      <c r="S1937" s="20">
        <f>IF($U1937="","",INDEX(상세표[22~06시],$U1937))</f>
        <v/>
      </c>
      <c r="T1937" s="20">
        <f>IF($U1937="","",INDEX(상세표[기록 시간외],$U1937))</f>
        <v/>
      </c>
      <c r="U1937" s="4">
        <f>IFERROR(MATCH(1932,상세표[발송순번],0),"")</f>
        <v/>
      </c>
    </row>
    <row r="1938">
      <c r="J1938">
        <f>IF($U1938="","",INDEX(상세표[사번],$U1938)&amp;"")</f>
        <v/>
      </c>
      <c r="K1938">
        <f>IF($U1938="","",INDEX(상세표[성명],$U1938)&amp;"")</f>
        <v/>
      </c>
      <c r="L1938">
        <f>IF($U1938="","",INDEX(상세표[직위],$U1938)&amp;"")</f>
        <v/>
      </c>
      <c r="M1938">
        <f>IF($U1938="","",IF(ISNUMBER(INDEX(상세표[근무일자],$U1938)),TEXT(INDEX(상세표[근무일자],$U1938),"yyyy-mm-dd"),INDEX(상세표[근무일자],$U1938)&amp;""))</f>
        <v/>
      </c>
      <c r="N1938">
        <f>IF($U1938="","",IF(ISNUMBER(INDEX(상세표[시작],$U1938)),TEXT(INDEX(상세표[시작],$U1938),"yyyy-mm-dd hh:mm"),INDEX(상세표[시작],$U1938)&amp;""))</f>
        <v/>
      </c>
      <c r="O1938">
        <f>IF($U1938="","",IF(ISNUMBER(INDEX(상세표[종료],$U1938)),TEXT(INDEX(상세표[종료],$U1938),"yyyy-mm-dd hh:mm"),INDEX(상세표[종료],$U1938)&amp;""))</f>
        <v/>
      </c>
      <c r="P1938" s="20">
        <f>IF($U1938="","",INDEX(상세표[06~07시],$U1938))</f>
        <v/>
      </c>
      <c r="Q1938" s="20">
        <f>IF($U1938="","",INDEX(상세표[07~18시],$U1938))</f>
        <v/>
      </c>
      <c r="R1938" s="20">
        <f>IF($U1938="","",INDEX(상세표[18~22시],$U1938))</f>
        <v/>
      </c>
      <c r="S1938" s="20">
        <f>IF($U1938="","",INDEX(상세표[22~06시],$U1938))</f>
        <v/>
      </c>
      <c r="T1938" s="20">
        <f>IF($U1938="","",INDEX(상세표[기록 시간외],$U1938))</f>
        <v/>
      </c>
      <c r="U1938" s="4">
        <f>IFERROR(MATCH(1933,상세표[발송순번],0),"")</f>
        <v/>
      </c>
    </row>
    <row r="1939">
      <c r="J1939">
        <f>IF($U1939="","",INDEX(상세표[사번],$U1939)&amp;"")</f>
        <v/>
      </c>
      <c r="K1939">
        <f>IF($U1939="","",INDEX(상세표[성명],$U1939)&amp;"")</f>
        <v/>
      </c>
      <c r="L1939">
        <f>IF($U1939="","",INDEX(상세표[직위],$U1939)&amp;"")</f>
        <v/>
      </c>
      <c r="M1939">
        <f>IF($U1939="","",IF(ISNUMBER(INDEX(상세표[근무일자],$U1939)),TEXT(INDEX(상세표[근무일자],$U1939),"yyyy-mm-dd"),INDEX(상세표[근무일자],$U1939)&amp;""))</f>
        <v/>
      </c>
      <c r="N1939">
        <f>IF($U1939="","",IF(ISNUMBER(INDEX(상세표[시작],$U1939)),TEXT(INDEX(상세표[시작],$U1939),"yyyy-mm-dd hh:mm"),INDEX(상세표[시작],$U1939)&amp;""))</f>
        <v/>
      </c>
      <c r="O1939">
        <f>IF($U1939="","",IF(ISNUMBER(INDEX(상세표[종료],$U1939)),TEXT(INDEX(상세표[종료],$U1939),"yyyy-mm-dd hh:mm"),INDEX(상세표[종료],$U1939)&amp;""))</f>
        <v/>
      </c>
      <c r="P1939" s="20">
        <f>IF($U1939="","",INDEX(상세표[06~07시],$U1939))</f>
        <v/>
      </c>
      <c r="Q1939" s="20">
        <f>IF($U1939="","",INDEX(상세표[07~18시],$U1939))</f>
        <v/>
      </c>
      <c r="R1939" s="20">
        <f>IF($U1939="","",INDEX(상세표[18~22시],$U1939))</f>
        <v/>
      </c>
      <c r="S1939" s="20">
        <f>IF($U1939="","",INDEX(상세표[22~06시],$U1939))</f>
        <v/>
      </c>
      <c r="T1939" s="20">
        <f>IF($U1939="","",INDEX(상세표[기록 시간외],$U1939))</f>
        <v/>
      </c>
      <c r="U1939" s="4">
        <f>IFERROR(MATCH(1934,상세표[발송순번],0),"")</f>
        <v/>
      </c>
    </row>
    <row r="1940">
      <c r="J1940">
        <f>IF($U1940="","",INDEX(상세표[사번],$U1940)&amp;"")</f>
        <v/>
      </c>
      <c r="K1940">
        <f>IF($U1940="","",INDEX(상세표[성명],$U1940)&amp;"")</f>
        <v/>
      </c>
      <c r="L1940">
        <f>IF($U1940="","",INDEX(상세표[직위],$U1940)&amp;"")</f>
        <v/>
      </c>
      <c r="M1940">
        <f>IF($U1940="","",IF(ISNUMBER(INDEX(상세표[근무일자],$U1940)),TEXT(INDEX(상세표[근무일자],$U1940),"yyyy-mm-dd"),INDEX(상세표[근무일자],$U1940)&amp;""))</f>
        <v/>
      </c>
      <c r="N1940">
        <f>IF($U1940="","",IF(ISNUMBER(INDEX(상세표[시작],$U1940)),TEXT(INDEX(상세표[시작],$U1940),"yyyy-mm-dd hh:mm"),INDEX(상세표[시작],$U1940)&amp;""))</f>
        <v/>
      </c>
      <c r="O1940">
        <f>IF($U1940="","",IF(ISNUMBER(INDEX(상세표[종료],$U1940)),TEXT(INDEX(상세표[종료],$U1940),"yyyy-mm-dd hh:mm"),INDEX(상세표[종료],$U1940)&amp;""))</f>
        <v/>
      </c>
      <c r="P1940" s="20">
        <f>IF($U1940="","",INDEX(상세표[06~07시],$U1940))</f>
        <v/>
      </c>
      <c r="Q1940" s="20">
        <f>IF($U1940="","",INDEX(상세표[07~18시],$U1940))</f>
        <v/>
      </c>
      <c r="R1940" s="20">
        <f>IF($U1940="","",INDEX(상세표[18~22시],$U1940))</f>
        <v/>
      </c>
      <c r="S1940" s="20">
        <f>IF($U1940="","",INDEX(상세표[22~06시],$U1940))</f>
        <v/>
      </c>
      <c r="T1940" s="20">
        <f>IF($U1940="","",INDEX(상세표[기록 시간외],$U1940))</f>
        <v/>
      </c>
      <c r="U1940" s="4">
        <f>IFERROR(MATCH(1935,상세표[발송순번],0),"")</f>
        <v/>
      </c>
    </row>
    <row r="1941">
      <c r="J1941">
        <f>IF($U1941="","",INDEX(상세표[사번],$U1941)&amp;"")</f>
        <v/>
      </c>
      <c r="K1941">
        <f>IF($U1941="","",INDEX(상세표[성명],$U1941)&amp;"")</f>
        <v/>
      </c>
      <c r="L1941">
        <f>IF($U1941="","",INDEX(상세표[직위],$U1941)&amp;"")</f>
        <v/>
      </c>
      <c r="M1941">
        <f>IF($U1941="","",IF(ISNUMBER(INDEX(상세표[근무일자],$U1941)),TEXT(INDEX(상세표[근무일자],$U1941),"yyyy-mm-dd"),INDEX(상세표[근무일자],$U1941)&amp;""))</f>
        <v/>
      </c>
      <c r="N1941">
        <f>IF($U1941="","",IF(ISNUMBER(INDEX(상세표[시작],$U1941)),TEXT(INDEX(상세표[시작],$U1941),"yyyy-mm-dd hh:mm"),INDEX(상세표[시작],$U1941)&amp;""))</f>
        <v/>
      </c>
      <c r="O1941">
        <f>IF($U1941="","",IF(ISNUMBER(INDEX(상세표[종료],$U1941)),TEXT(INDEX(상세표[종료],$U1941),"yyyy-mm-dd hh:mm"),INDEX(상세표[종료],$U1941)&amp;""))</f>
        <v/>
      </c>
      <c r="P1941" s="20">
        <f>IF($U1941="","",INDEX(상세표[06~07시],$U1941))</f>
        <v/>
      </c>
      <c r="Q1941" s="20">
        <f>IF($U1941="","",INDEX(상세표[07~18시],$U1941))</f>
        <v/>
      </c>
      <c r="R1941" s="20">
        <f>IF($U1941="","",INDEX(상세표[18~22시],$U1941))</f>
        <v/>
      </c>
      <c r="S1941" s="20">
        <f>IF($U1941="","",INDEX(상세표[22~06시],$U1941))</f>
        <v/>
      </c>
      <c r="T1941" s="20">
        <f>IF($U1941="","",INDEX(상세표[기록 시간외],$U1941))</f>
        <v/>
      </c>
      <c r="U1941" s="4">
        <f>IFERROR(MATCH(1936,상세표[발송순번],0),"")</f>
        <v/>
      </c>
    </row>
    <row r="1942">
      <c r="J1942">
        <f>IF($U1942="","",INDEX(상세표[사번],$U1942)&amp;"")</f>
        <v/>
      </c>
      <c r="K1942">
        <f>IF($U1942="","",INDEX(상세표[성명],$U1942)&amp;"")</f>
        <v/>
      </c>
      <c r="L1942">
        <f>IF($U1942="","",INDEX(상세표[직위],$U1942)&amp;"")</f>
        <v/>
      </c>
      <c r="M1942">
        <f>IF($U1942="","",IF(ISNUMBER(INDEX(상세표[근무일자],$U1942)),TEXT(INDEX(상세표[근무일자],$U1942),"yyyy-mm-dd"),INDEX(상세표[근무일자],$U1942)&amp;""))</f>
        <v/>
      </c>
      <c r="N1942">
        <f>IF($U1942="","",IF(ISNUMBER(INDEX(상세표[시작],$U1942)),TEXT(INDEX(상세표[시작],$U1942),"yyyy-mm-dd hh:mm"),INDEX(상세표[시작],$U1942)&amp;""))</f>
        <v/>
      </c>
      <c r="O1942">
        <f>IF($U1942="","",IF(ISNUMBER(INDEX(상세표[종료],$U1942)),TEXT(INDEX(상세표[종료],$U1942),"yyyy-mm-dd hh:mm"),INDEX(상세표[종료],$U1942)&amp;""))</f>
        <v/>
      </c>
      <c r="P1942" s="20">
        <f>IF($U1942="","",INDEX(상세표[06~07시],$U1942))</f>
        <v/>
      </c>
      <c r="Q1942" s="20">
        <f>IF($U1942="","",INDEX(상세표[07~18시],$U1942))</f>
        <v/>
      </c>
      <c r="R1942" s="20">
        <f>IF($U1942="","",INDEX(상세표[18~22시],$U1942))</f>
        <v/>
      </c>
      <c r="S1942" s="20">
        <f>IF($U1942="","",INDEX(상세표[22~06시],$U1942))</f>
        <v/>
      </c>
      <c r="T1942" s="20">
        <f>IF($U1942="","",INDEX(상세표[기록 시간외],$U1942))</f>
        <v/>
      </c>
      <c r="U1942" s="4">
        <f>IFERROR(MATCH(1937,상세표[발송순번],0),"")</f>
        <v/>
      </c>
    </row>
    <row r="1943">
      <c r="J1943">
        <f>IF($U1943="","",INDEX(상세표[사번],$U1943)&amp;"")</f>
        <v/>
      </c>
      <c r="K1943">
        <f>IF($U1943="","",INDEX(상세표[성명],$U1943)&amp;"")</f>
        <v/>
      </c>
      <c r="L1943">
        <f>IF($U1943="","",INDEX(상세표[직위],$U1943)&amp;"")</f>
        <v/>
      </c>
      <c r="M1943">
        <f>IF($U1943="","",IF(ISNUMBER(INDEX(상세표[근무일자],$U1943)),TEXT(INDEX(상세표[근무일자],$U1943),"yyyy-mm-dd"),INDEX(상세표[근무일자],$U1943)&amp;""))</f>
        <v/>
      </c>
      <c r="N1943">
        <f>IF($U1943="","",IF(ISNUMBER(INDEX(상세표[시작],$U1943)),TEXT(INDEX(상세표[시작],$U1943),"yyyy-mm-dd hh:mm"),INDEX(상세표[시작],$U1943)&amp;""))</f>
        <v/>
      </c>
      <c r="O1943">
        <f>IF($U1943="","",IF(ISNUMBER(INDEX(상세표[종료],$U1943)),TEXT(INDEX(상세표[종료],$U1943),"yyyy-mm-dd hh:mm"),INDEX(상세표[종료],$U1943)&amp;""))</f>
        <v/>
      </c>
      <c r="P1943" s="20">
        <f>IF($U1943="","",INDEX(상세표[06~07시],$U1943))</f>
        <v/>
      </c>
      <c r="Q1943" s="20">
        <f>IF($U1943="","",INDEX(상세표[07~18시],$U1943))</f>
        <v/>
      </c>
      <c r="R1943" s="20">
        <f>IF($U1943="","",INDEX(상세표[18~22시],$U1943))</f>
        <v/>
      </c>
      <c r="S1943" s="20">
        <f>IF($U1943="","",INDEX(상세표[22~06시],$U1943))</f>
        <v/>
      </c>
      <c r="T1943" s="20">
        <f>IF($U1943="","",INDEX(상세표[기록 시간외],$U1943))</f>
        <v/>
      </c>
      <c r="U1943" s="4">
        <f>IFERROR(MATCH(1938,상세표[발송순번],0),"")</f>
        <v/>
      </c>
    </row>
    <row r="1944">
      <c r="J1944">
        <f>IF($U1944="","",INDEX(상세표[사번],$U1944)&amp;"")</f>
        <v/>
      </c>
      <c r="K1944">
        <f>IF($U1944="","",INDEX(상세표[성명],$U1944)&amp;"")</f>
        <v/>
      </c>
      <c r="L1944">
        <f>IF($U1944="","",INDEX(상세표[직위],$U1944)&amp;"")</f>
        <v/>
      </c>
      <c r="M1944">
        <f>IF($U1944="","",IF(ISNUMBER(INDEX(상세표[근무일자],$U1944)),TEXT(INDEX(상세표[근무일자],$U1944),"yyyy-mm-dd"),INDEX(상세표[근무일자],$U1944)&amp;""))</f>
        <v/>
      </c>
      <c r="N1944">
        <f>IF($U1944="","",IF(ISNUMBER(INDEX(상세표[시작],$U1944)),TEXT(INDEX(상세표[시작],$U1944),"yyyy-mm-dd hh:mm"),INDEX(상세표[시작],$U1944)&amp;""))</f>
        <v/>
      </c>
      <c r="O1944">
        <f>IF($U1944="","",IF(ISNUMBER(INDEX(상세표[종료],$U1944)),TEXT(INDEX(상세표[종료],$U1944),"yyyy-mm-dd hh:mm"),INDEX(상세표[종료],$U1944)&amp;""))</f>
        <v/>
      </c>
      <c r="P1944" s="20">
        <f>IF($U1944="","",INDEX(상세표[06~07시],$U1944))</f>
        <v/>
      </c>
      <c r="Q1944" s="20">
        <f>IF($U1944="","",INDEX(상세표[07~18시],$U1944))</f>
        <v/>
      </c>
      <c r="R1944" s="20">
        <f>IF($U1944="","",INDEX(상세표[18~22시],$U1944))</f>
        <v/>
      </c>
      <c r="S1944" s="20">
        <f>IF($U1944="","",INDEX(상세표[22~06시],$U1944))</f>
        <v/>
      </c>
      <c r="T1944" s="20">
        <f>IF($U1944="","",INDEX(상세표[기록 시간외],$U1944))</f>
        <v/>
      </c>
      <c r="U1944" s="4">
        <f>IFERROR(MATCH(1939,상세표[발송순번],0),"")</f>
        <v/>
      </c>
    </row>
    <row r="1945">
      <c r="J1945">
        <f>IF($U1945="","",INDEX(상세표[사번],$U1945)&amp;"")</f>
        <v/>
      </c>
      <c r="K1945">
        <f>IF($U1945="","",INDEX(상세표[성명],$U1945)&amp;"")</f>
        <v/>
      </c>
      <c r="L1945">
        <f>IF($U1945="","",INDEX(상세표[직위],$U1945)&amp;"")</f>
        <v/>
      </c>
      <c r="M1945">
        <f>IF($U1945="","",IF(ISNUMBER(INDEX(상세표[근무일자],$U1945)),TEXT(INDEX(상세표[근무일자],$U1945),"yyyy-mm-dd"),INDEX(상세표[근무일자],$U1945)&amp;""))</f>
        <v/>
      </c>
      <c r="N1945">
        <f>IF($U1945="","",IF(ISNUMBER(INDEX(상세표[시작],$U1945)),TEXT(INDEX(상세표[시작],$U1945),"yyyy-mm-dd hh:mm"),INDEX(상세표[시작],$U1945)&amp;""))</f>
        <v/>
      </c>
      <c r="O1945">
        <f>IF($U1945="","",IF(ISNUMBER(INDEX(상세표[종료],$U1945)),TEXT(INDEX(상세표[종료],$U1945),"yyyy-mm-dd hh:mm"),INDEX(상세표[종료],$U1945)&amp;""))</f>
        <v/>
      </c>
      <c r="P1945" s="20">
        <f>IF($U1945="","",INDEX(상세표[06~07시],$U1945))</f>
        <v/>
      </c>
      <c r="Q1945" s="20">
        <f>IF($U1945="","",INDEX(상세표[07~18시],$U1945))</f>
        <v/>
      </c>
      <c r="R1945" s="20">
        <f>IF($U1945="","",INDEX(상세표[18~22시],$U1945))</f>
        <v/>
      </c>
      <c r="S1945" s="20">
        <f>IF($U1945="","",INDEX(상세표[22~06시],$U1945))</f>
        <v/>
      </c>
      <c r="T1945" s="20">
        <f>IF($U1945="","",INDEX(상세표[기록 시간외],$U1945))</f>
        <v/>
      </c>
      <c r="U1945" s="4">
        <f>IFERROR(MATCH(1940,상세표[발송순번],0),"")</f>
        <v/>
      </c>
    </row>
    <row r="1946">
      <c r="J1946">
        <f>IF($U1946="","",INDEX(상세표[사번],$U1946)&amp;"")</f>
        <v/>
      </c>
      <c r="K1946">
        <f>IF($U1946="","",INDEX(상세표[성명],$U1946)&amp;"")</f>
        <v/>
      </c>
      <c r="L1946">
        <f>IF($U1946="","",INDEX(상세표[직위],$U1946)&amp;"")</f>
        <v/>
      </c>
      <c r="M1946">
        <f>IF($U1946="","",IF(ISNUMBER(INDEX(상세표[근무일자],$U1946)),TEXT(INDEX(상세표[근무일자],$U1946),"yyyy-mm-dd"),INDEX(상세표[근무일자],$U1946)&amp;""))</f>
        <v/>
      </c>
      <c r="N1946">
        <f>IF($U1946="","",IF(ISNUMBER(INDEX(상세표[시작],$U1946)),TEXT(INDEX(상세표[시작],$U1946),"yyyy-mm-dd hh:mm"),INDEX(상세표[시작],$U1946)&amp;""))</f>
        <v/>
      </c>
      <c r="O1946">
        <f>IF($U1946="","",IF(ISNUMBER(INDEX(상세표[종료],$U1946)),TEXT(INDEX(상세표[종료],$U1946),"yyyy-mm-dd hh:mm"),INDEX(상세표[종료],$U1946)&amp;""))</f>
        <v/>
      </c>
      <c r="P1946" s="20">
        <f>IF($U1946="","",INDEX(상세표[06~07시],$U1946))</f>
        <v/>
      </c>
      <c r="Q1946" s="20">
        <f>IF($U1946="","",INDEX(상세표[07~18시],$U1946))</f>
        <v/>
      </c>
      <c r="R1946" s="20">
        <f>IF($U1946="","",INDEX(상세표[18~22시],$U1946))</f>
        <v/>
      </c>
      <c r="S1946" s="20">
        <f>IF($U1946="","",INDEX(상세표[22~06시],$U1946))</f>
        <v/>
      </c>
      <c r="T1946" s="20">
        <f>IF($U1946="","",INDEX(상세표[기록 시간외],$U1946))</f>
        <v/>
      </c>
      <c r="U1946" s="4">
        <f>IFERROR(MATCH(1941,상세표[발송순번],0),"")</f>
        <v/>
      </c>
    </row>
    <row r="1947">
      <c r="J1947">
        <f>IF($U1947="","",INDEX(상세표[사번],$U1947)&amp;"")</f>
        <v/>
      </c>
      <c r="K1947">
        <f>IF($U1947="","",INDEX(상세표[성명],$U1947)&amp;"")</f>
        <v/>
      </c>
      <c r="L1947">
        <f>IF($U1947="","",INDEX(상세표[직위],$U1947)&amp;"")</f>
        <v/>
      </c>
      <c r="M1947">
        <f>IF($U1947="","",IF(ISNUMBER(INDEX(상세표[근무일자],$U1947)),TEXT(INDEX(상세표[근무일자],$U1947),"yyyy-mm-dd"),INDEX(상세표[근무일자],$U1947)&amp;""))</f>
        <v/>
      </c>
      <c r="N1947">
        <f>IF($U1947="","",IF(ISNUMBER(INDEX(상세표[시작],$U1947)),TEXT(INDEX(상세표[시작],$U1947),"yyyy-mm-dd hh:mm"),INDEX(상세표[시작],$U1947)&amp;""))</f>
        <v/>
      </c>
      <c r="O1947">
        <f>IF($U1947="","",IF(ISNUMBER(INDEX(상세표[종료],$U1947)),TEXT(INDEX(상세표[종료],$U1947),"yyyy-mm-dd hh:mm"),INDEX(상세표[종료],$U1947)&amp;""))</f>
        <v/>
      </c>
      <c r="P1947" s="20">
        <f>IF($U1947="","",INDEX(상세표[06~07시],$U1947))</f>
        <v/>
      </c>
      <c r="Q1947" s="20">
        <f>IF($U1947="","",INDEX(상세표[07~18시],$U1947))</f>
        <v/>
      </c>
      <c r="R1947" s="20">
        <f>IF($U1947="","",INDEX(상세표[18~22시],$U1947))</f>
        <v/>
      </c>
      <c r="S1947" s="20">
        <f>IF($U1947="","",INDEX(상세표[22~06시],$U1947))</f>
        <v/>
      </c>
      <c r="T1947" s="20">
        <f>IF($U1947="","",INDEX(상세표[기록 시간외],$U1947))</f>
        <v/>
      </c>
      <c r="U1947" s="4">
        <f>IFERROR(MATCH(1942,상세표[발송순번],0),"")</f>
        <v/>
      </c>
    </row>
    <row r="1948">
      <c r="J1948">
        <f>IF($U1948="","",INDEX(상세표[사번],$U1948)&amp;"")</f>
        <v/>
      </c>
      <c r="K1948">
        <f>IF($U1948="","",INDEX(상세표[성명],$U1948)&amp;"")</f>
        <v/>
      </c>
      <c r="L1948">
        <f>IF($U1948="","",INDEX(상세표[직위],$U1948)&amp;"")</f>
        <v/>
      </c>
      <c r="M1948">
        <f>IF($U1948="","",IF(ISNUMBER(INDEX(상세표[근무일자],$U1948)),TEXT(INDEX(상세표[근무일자],$U1948),"yyyy-mm-dd"),INDEX(상세표[근무일자],$U1948)&amp;""))</f>
        <v/>
      </c>
      <c r="N1948">
        <f>IF($U1948="","",IF(ISNUMBER(INDEX(상세표[시작],$U1948)),TEXT(INDEX(상세표[시작],$U1948),"yyyy-mm-dd hh:mm"),INDEX(상세표[시작],$U1948)&amp;""))</f>
        <v/>
      </c>
      <c r="O1948">
        <f>IF($U1948="","",IF(ISNUMBER(INDEX(상세표[종료],$U1948)),TEXT(INDEX(상세표[종료],$U1948),"yyyy-mm-dd hh:mm"),INDEX(상세표[종료],$U1948)&amp;""))</f>
        <v/>
      </c>
      <c r="P1948" s="20">
        <f>IF($U1948="","",INDEX(상세표[06~07시],$U1948))</f>
        <v/>
      </c>
      <c r="Q1948" s="20">
        <f>IF($U1948="","",INDEX(상세표[07~18시],$U1948))</f>
        <v/>
      </c>
      <c r="R1948" s="20">
        <f>IF($U1948="","",INDEX(상세표[18~22시],$U1948))</f>
        <v/>
      </c>
      <c r="S1948" s="20">
        <f>IF($U1948="","",INDEX(상세표[22~06시],$U1948))</f>
        <v/>
      </c>
      <c r="T1948" s="20">
        <f>IF($U1948="","",INDEX(상세표[기록 시간외],$U1948))</f>
        <v/>
      </c>
      <c r="U1948" s="4">
        <f>IFERROR(MATCH(1943,상세표[발송순번],0),"")</f>
        <v/>
      </c>
    </row>
    <row r="1949">
      <c r="J1949">
        <f>IF($U1949="","",INDEX(상세표[사번],$U1949)&amp;"")</f>
        <v/>
      </c>
      <c r="K1949">
        <f>IF($U1949="","",INDEX(상세표[성명],$U1949)&amp;"")</f>
        <v/>
      </c>
      <c r="L1949">
        <f>IF($U1949="","",INDEX(상세표[직위],$U1949)&amp;"")</f>
        <v/>
      </c>
      <c r="M1949">
        <f>IF($U1949="","",IF(ISNUMBER(INDEX(상세표[근무일자],$U1949)),TEXT(INDEX(상세표[근무일자],$U1949),"yyyy-mm-dd"),INDEX(상세표[근무일자],$U1949)&amp;""))</f>
        <v/>
      </c>
      <c r="N1949">
        <f>IF($U1949="","",IF(ISNUMBER(INDEX(상세표[시작],$U1949)),TEXT(INDEX(상세표[시작],$U1949),"yyyy-mm-dd hh:mm"),INDEX(상세표[시작],$U1949)&amp;""))</f>
        <v/>
      </c>
      <c r="O1949">
        <f>IF($U1949="","",IF(ISNUMBER(INDEX(상세표[종료],$U1949)),TEXT(INDEX(상세표[종료],$U1949),"yyyy-mm-dd hh:mm"),INDEX(상세표[종료],$U1949)&amp;""))</f>
        <v/>
      </c>
      <c r="P1949" s="20">
        <f>IF($U1949="","",INDEX(상세표[06~07시],$U1949))</f>
        <v/>
      </c>
      <c r="Q1949" s="20">
        <f>IF($U1949="","",INDEX(상세표[07~18시],$U1949))</f>
        <v/>
      </c>
      <c r="R1949" s="20">
        <f>IF($U1949="","",INDEX(상세표[18~22시],$U1949))</f>
        <v/>
      </c>
      <c r="S1949" s="20">
        <f>IF($U1949="","",INDEX(상세표[22~06시],$U1949))</f>
        <v/>
      </c>
      <c r="T1949" s="20">
        <f>IF($U1949="","",INDEX(상세표[기록 시간외],$U1949))</f>
        <v/>
      </c>
      <c r="U1949" s="4">
        <f>IFERROR(MATCH(1944,상세표[발송순번],0),"")</f>
        <v/>
      </c>
    </row>
    <row r="1950">
      <c r="J1950">
        <f>IF($U1950="","",INDEX(상세표[사번],$U1950)&amp;"")</f>
        <v/>
      </c>
      <c r="K1950">
        <f>IF($U1950="","",INDEX(상세표[성명],$U1950)&amp;"")</f>
        <v/>
      </c>
      <c r="L1950">
        <f>IF($U1950="","",INDEX(상세표[직위],$U1950)&amp;"")</f>
        <v/>
      </c>
      <c r="M1950">
        <f>IF($U1950="","",IF(ISNUMBER(INDEX(상세표[근무일자],$U1950)),TEXT(INDEX(상세표[근무일자],$U1950),"yyyy-mm-dd"),INDEX(상세표[근무일자],$U1950)&amp;""))</f>
        <v/>
      </c>
      <c r="N1950">
        <f>IF($U1950="","",IF(ISNUMBER(INDEX(상세표[시작],$U1950)),TEXT(INDEX(상세표[시작],$U1950),"yyyy-mm-dd hh:mm"),INDEX(상세표[시작],$U1950)&amp;""))</f>
        <v/>
      </c>
      <c r="O1950">
        <f>IF($U1950="","",IF(ISNUMBER(INDEX(상세표[종료],$U1950)),TEXT(INDEX(상세표[종료],$U1950),"yyyy-mm-dd hh:mm"),INDEX(상세표[종료],$U1950)&amp;""))</f>
        <v/>
      </c>
      <c r="P1950" s="20">
        <f>IF($U1950="","",INDEX(상세표[06~07시],$U1950))</f>
        <v/>
      </c>
      <c r="Q1950" s="20">
        <f>IF($U1950="","",INDEX(상세표[07~18시],$U1950))</f>
        <v/>
      </c>
      <c r="R1950" s="20">
        <f>IF($U1950="","",INDEX(상세표[18~22시],$U1950))</f>
        <v/>
      </c>
      <c r="S1950" s="20">
        <f>IF($U1950="","",INDEX(상세표[22~06시],$U1950))</f>
        <v/>
      </c>
      <c r="T1950" s="20">
        <f>IF($U1950="","",INDEX(상세표[기록 시간외],$U1950))</f>
        <v/>
      </c>
      <c r="U1950" s="4">
        <f>IFERROR(MATCH(1945,상세표[발송순번],0),"")</f>
        <v/>
      </c>
    </row>
    <row r="1951">
      <c r="J1951">
        <f>IF($U1951="","",INDEX(상세표[사번],$U1951)&amp;"")</f>
        <v/>
      </c>
      <c r="K1951">
        <f>IF($U1951="","",INDEX(상세표[성명],$U1951)&amp;"")</f>
        <v/>
      </c>
      <c r="L1951">
        <f>IF($U1951="","",INDEX(상세표[직위],$U1951)&amp;"")</f>
        <v/>
      </c>
      <c r="M1951">
        <f>IF($U1951="","",IF(ISNUMBER(INDEX(상세표[근무일자],$U1951)),TEXT(INDEX(상세표[근무일자],$U1951),"yyyy-mm-dd"),INDEX(상세표[근무일자],$U1951)&amp;""))</f>
        <v/>
      </c>
      <c r="N1951">
        <f>IF($U1951="","",IF(ISNUMBER(INDEX(상세표[시작],$U1951)),TEXT(INDEX(상세표[시작],$U1951),"yyyy-mm-dd hh:mm"),INDEX(상세표[시작],$U1951)&amp;""))</f>
        <v/>
      </c>
      <c r="O1951">
        <f>IF($U1951="","",IF(ISNUMBER(INDEX(상세표[종료],$U1951)),TEXT(INDEX(상세표[종료],$U1951),"yyyy-mm-dd hh:mm"),INDEX(상세표[종료],$U1951)&amp;""))</f>
        <v/>
      </c>
      <c r="P1951" s="20">
        <f>IF($U1951="","",INDEX(상세표[06~07시],$U1951))</f>
        <v/>
      </c>
      <c r="Q1951" s="20">
        <f>IF($U1951="","",INDEX(상세표[07~18시],$U1951))</f>
        <v/>
      </c>
      <c r="R1951" s="20">
        <f>IF($U1951="","",INDEX(상세표[18~22시],$U1951))</f>
        <v/>
      </c>
      <c r="S1951" s="20">
        <f>IF($U1951="","",INDEX(상세표[22~06시],$U1951))</f>
        <v/>
      </c>
      <c r="T1951" s="20">
        <f>IF($U1951="","",INDEX(상세표[기록 시간외],$U1951))</f>
        <v/>
      </c>
      <c r="U1951" s="4">
        <f>IFERROR(MATCH(1946,상세표[발송순번],0),"")</f>
        <v/>
      </c>
    </row>
    <row r="1952">
      <c r="J1952">
        <f>IF($U1952="","",INDEX(상세표[사번],$U1952)&amp;"")</f>
        <v/>
      </c>
      <c r="K1952">
        <f>IF($U1952="","",INDEX(상세표[성명],$U1952)&amp;"")</f>
        <v/>
      </c>
      <c r="L1952">
        <f>IF($U1952="","",INDEX(상세표[직위],$U1952)&amp;"")</f>
        <v/>
      </c>
      <c r="M1952">
        <f>IF($U1952="","",IF(ISNUMBER(INDEX(상세표[근무일자],$U1952)),TEXT(INDEX(상세표[근무일자],$U1952),"yyyy-mm-dd"),INDEX(상세표[근무일자],$U1952)&amp;""))</f>
        <v/>
      </c>
      <c r="N1952">
        <f>IF($U1952="","",IF(ISNUMBER(INDEX(상세표[시작],$U1952)),TEXT(INDEX(상세표[시작],$U1952),"yyyy-mm-dd hh:mm"),INDEX(상세표[시작],$U1952)&amp;""))</f>
        <v/>
      </c>
      <c r="O1952">
        <f>IF($U1952="","",IF(ISNUMBER(INDEX(상세표[종료],$U1952)),TEXT(INDEX(상세표[종료],$U1952),"yyyy-mm-dd hh:mm"),INDEX(상세표[종료],$U1952)&amp;""))</f>
        <v/>
      </c>
      <c r="P1952" s="20">
        <f>IF($U1952="","",INDEX(상세표[06~07시],$U1952))</f>
        <v/>
      </c>
      <c r="Q1952" s="20">
        <f>IF($U1952="","",INDEX(상세표[07~18시],$U1952))</f>
        <v/>
      </c>
      <c r="R1952" s="20">
        <f>IF($U1952="","",INDEX(상세표[18~22시],$U1952))</f>
        <v/>
      </c>
      <c r="S1952" s="20">
        <f>IF($U1952="","",INDEX(상세표[22~06시],$U1952))</f>
        <v/>
      </c>
      <c r="T1952" s="20">
        <f>IF($U1952="","",INDEX(상세표[기록 시간외],$U1952))</f>
        <v/>
      </c>
      <c r="U1952" s="4">
        <f>IFERROR(MATCH(1947,상세표[발송순번],0),"")</f>
        <v/>
      </c>
    </row>
    <row r="1953">
      <c r="J1953">
        <f>IF($U1953="","",INDEX(상세표[사번],$U1953)&amp;"")</f>
        <v/>
      </c>
      <c r="K1953">
        <f>IF($U1953="","",INDEX(상세표[성명],$U1953)&amp;"")</f>
        <v/>
      </c>
      <c r="L1953">
        <f>IF($U1953="","",INDEX(상세표[직위],$U1953)&amp;"")</f>
        <v/>
      </c>
      <c r="M1953">
        <f>IF($U1953="","",IF(ISNUMBER(INDEX(상세표[근무일자],$U1953)),TEXT(INDEX(상세표[근무일자],$U1953),"yyyy-mm-dd"),INDEX(상세표[근무일자],$U1953)&amp;""))</f>
        <v/>
      </c>
      <c r="N1953">
        <f>IF($U1953="","",IF(ISNUMBER(INDEX(상세표[시작],$U1953)),TEXT(INDEX(상세표[시작],$U1953),"yyyy-mm-dd hh:mm"),INDEX(상세표[시작],$U1953)&amp;""))</f>
        <v/>
      </c>
      <c r="O1953">
        <f>IF($U1953="","",IF(ISNUMBER(INDEX(상세표[종료],$U1953)),TEXT(INDEX(상세표[종료],$U1953),"yyyy-mm-dd hh:mm"),INDEX(상세표[종료],$U1953)&amp;""))</f>
        <v/>
      </c>
      <c r="P1953" s="20">
        <f>IF($U1953="","",INDEX(상세표[06~07시],$U1953))</f>
        <v/>
      </c>
      <c r="Q1953" s="20">
        <f>IF($U1953="","",INDEX(상세표[07~18시],$U1953))</f>
        <v/>
      </c>
      <c r="R1953" s="20">
        <f>IF($U1953="","",INDEX(상세표[18~22시],$U1953))</f>
        <v/>
      </c>
      <c r="S1953" s="20">
        <f>IF($U1953="","",INDEX(상세표[22~06시],$U1953))</f>
        <v/>
      </c>
      <c r="T1953" s="20">
        <f>IF($U1953="","",INDEX(상세표[기록 시간외],$U1953))</f>
        <v/>
      </c>
      <c r="U1953" s="4">
        <f>IFERROR(MATCH(1948,상세표[발송순번],0),"")</f>
        <v/>
      </c>
    </row>
    <row r="1954">
      <c r="J1954">
        <f>IF($U1954="","",INDEX(상세표[사번],$U1954)&amp;"")</f>
        <v/>
      </c>
      <c r="K1954">
        <f>IF($U1954="","",INDEX(상세표[성명],$U1954)&amp;"")</f>
        <v/>
      </c>
      <c r="L1954">
        <f>IF($U1954="","",INDEX(상세표[직위],$U1954)&amp;"")</f>
        <v/>
      </c>
      <c r="M1954">
        <f>IF($U1954="","",IF(ISNUMBER(INDEX(상세표[근무일자],$U1954)),TEXT(INDEX(상세표[근무일자],$U1954),"yyyy-mm-dd"),INDEX(상세표[근무일자],$U1954)&amp;""))</f>
        <v/>
      </c>
      <c r="N1954">
        <f>IF($U1954="","",IF(ISNUMBER(INDEX(상세표[시작],$U1954)),TEXT(INDEX(상세표[시작],$U1954),"yyyy-mm-dd hh:mm"),INDEX(상세표[시작],$U1954)&amp;""))</f>
        <v/>
      </c>
      <c r="O1954">
        <f>IF($U1954="","",IF(ISNUMBER(INDEX(상세표[종료],$U1954)),TEXT(INDEX(상세표[종료],$U1954),"yyyy-mm-dd hh:mm"),INDEX(상세표[종료],$U1954)&amp;""))</f>
        <v/>
      </c>
      <c r="P1954" s="20">
        <f>IF($U1954="","",INDEX(상세표[06~07시],$U1954))</f>
        <v/>
      </c>
      <c r="Q1954" s="20">
        <f>IF($U1954="","",INDEX(상세표[07~18시],$U1954))</f>
        <v/>
      </c>
      <c r="R1954" s="20">
        <f>IF($U1954="","",INDEX(상세표[18~22시],$U1954))</f>
        <v/>
      </c>
      <c r="S1954" s="20">
        <f>IF($U1954="","",INDEX(상세표[22~06시],$U1954))</f>
        <v/>
      </c>
      <c r="T1954" s="20">
        <f>IF($U1954="","",INDEX(상세표[기록 시간외],$U1954))</f>
        <v/>
      </c>
      <c r="U1954" s="4">
        <f>IFERROR(MATCH(1949,상세표[발송순번],0),"")</f>
        <v/>
      </c>
    </row>
    <row r="1955">
      <c r="J1955">
        <f>IF($U1955="","",INDEX(상세표[사번],$U1955)&amp;"")</f>
        <v/>
      </c>
      <c r="K1955">
        <f>IF($U1955="","",INDEX(상세표[성명],$U1955)&amp;"")</f>
        <v/>
      </c>
      <c r="L1955">
        <f>IF($U1955="","",INDEX(상세표[직위],$U1955)&amp;"")</f>
        <v/>
      </c>
      <c r="M1955">
        <f>IF($U1955="","",IF(ISNUMBER(INDEX(상세표[근무일자],$U1955)),TEXT(INDEX(상세표[근무일자],$U1955),"yyyy-mm-dd"),INDEX(상세표[근무일자],$U1955)&amp;""))</f>
        <v/>
      </c>
      <c r="N1955">
        <f>IF($U1955="","",IF(ISNUMBER(INDEX(상세표[시작],$U1955)),TEXT(INDEX(상세표[시작],$U1955),"yyyy-mm-dd hh:mm"),INDEX(상세표[시작],$U1955)&amp;""))</f>
        <v/>
      </c>
      <c r="O1955">
        <f>IF($U1955="","",IF(ISNUMBER(INDEX(상세표[종료],$U1955)),TEXT(INDEX(상세표[종료],$U1955),"yyyy-mm-dd hh:mm"),INDEX(상세표[종료],$U1955)&amp;""))</f>
        <v/>
      </c>
      <c r="P1955" s="20">
        <f>IF($U1955="","",INDEX(상세표[06~07시],$U1955))</f>
        <v/>
      </c>
      <c r="Q1955" s="20">
        <f>IF($U1955="","",INDEX(상세표[07~18시],$U1955))</f>
        <v/>
      </c>
      <c r="R1955" s="20">
        <f>IF($U1955="","",INDEX(상세표[18~22시],$U1955))</f>
        <v/>
      </c>
      <c r="S1955" s="20">
        <f>IF($U1955="","",INDEX(상세표[22~06시],$U1955))</f>
        <v/>
      </c>
      <c r="T1955" s="20">
        <f>IF($U1955="","",INDEX(상세표[기록 시간외],$U1955))</f>
        <v/>
      </c>
      <c r="U1955" s="4">
        <f>IFERROR(MATCH(1950,상세표[발송순번],0),"")</f>
        <v/>
      </c>
    </row>
    <row r="1956">
      <c r="J1956">
        <f>IF($U1956="","",INDEX(상세표[사번],$U1956)&amp;"")</f>
        <v/>
      </c>
      <c r="K1956">
        <f>IF($U1956="","",INDEX(상세표[성명],$U1956)&amp;"")</f>
        <v/>
      </c>
      <c r="L1956">
        <f>IF($U1956="","",INDEX(상세표[직위],$U1956)&amp;"")</f>
        <v/>
      </c>
      <c r="M1956">
        <f>IF($U1956="","",IF(ISNUMBER(INDEX(상세표[근무일자],$U1956)),TEXT(INDEX(상세표[근무일자],$U1956),"yyyy-mm-dd"),INDEX(상세표[근무일자],$U1956)&amp;""))</f>
        <v/>
      </c>
      <c r="N1956">
        <f>IF($U1956="","",IF(ISNUMBER(INDEX(상세표[시작],$U1956)),TEXT(INDEX(상세표[시작],$U1956),"yyyy-mm-dd hh:mm"),INDEX(상세표[시작],$U1956)&amp;""))</f>
        <v/>
      </c>
      <c r="O1956">
        <f>IF($U1956="","",IF(ISNUMBER(INDEX(상세표[종료],$U1956)),TEXT(INDEX(상세표[종료],$U1956),"yyyy-mm-dd hh:mm"),INDEX(상세표[종료],$U1956)&amp;""))</f>
        <v/>
      </c>
      <c r="P1956" s="20">
        <f>IF($U1956="","",INDEX(상세표[06~07시],$U1956))</f>
        <v/>
      </c>
      <c r="Q1956" s="20">
        <f>IF($U1956="","",INDEX(상세표[07~18시],$U1956))</f>
        <v/>
      </c>
      <c r="R1956" s="20">
        <f>IF($U1956="","",INDEX(상세표[18~22시],$U1956))</f>
        <v/>
      </c>
      <c r="S1956" s="20">
        <f>IF($U1956="","",INDEX(상세표[22~06시],$U1956))</f>
        <v/>
      </c>
      <c r="T1956" s="20">
        <f>IF($U1956="","",INDEX(상세표[기록 시간외],$U1956))</f>
        <v/>
      </c>
      <c r="U1956" s="4">
        <f>IFERROR(MATCH(1951,상세표[발송순번],0),"")</f>
        <v/>
      </c>
    </row>
    <row r="1957">
      <c r="J1957">
        <f>IF($U1957="","",INDEX(상세표[사번],$U1957)&amp;"")</f>
        <v/>
      </c>
      <c r="K1957">
        <f>IF($U1957="","",INDEX(상세표[성명],$U1957)&amp;"")</f>
        <v/>
      </c>
      <c r="L1957">
        <f>IF($U1957="","",INDEX(상세표[직위],$U1957)&amp;"")</f>
        <v/>
      </c>
      <c r="M1957">
        <f>IF($U1957="","",IF(ISNUMBER(INDEX(상세표[근무일자],$U1957)),TEXT(INDEX(상세표[근무일자],$U1957),"yyyy-mm-dd"),INDEX(상세표[근무일자],$U1957)&amp;""))</f>
        <v/>
      </c>
      <c r="N1957">
        <f>IF($U1957="","",IF(ISNUMBER(INDEX(상세표[시작],$U1957)),TEXT(INDEX(상세표[시작],$U1957),"yyyy-mm-dd hh:mm"),INDEX(상세표[시작],$U1957)&amp;""))</f>
        <v/>
      </c>
      <c r="O1957">
        <f>IF($U1957="","",IF(ISNUMBER(INDEX(상세표[종료],$U1957)),TEXT(INDEX(상세표[종료],$U1957),"yyyy-mm-dd hh:mm"),INDEX(상세표[종료],$U1957)&amp;""))</f>
        <v/>
      </c>
      <c r="P1957" s="20">
        <f>IF($U1957="","",INDEX(상세표[06~07시],$U1957))</f>
        <v/>
      </c>
      <c r="Q1957" s="20">
        <f>IF($U1957="","",INDEX(상세표[07~18시],$U1957))</f>
        <v/>
      </c>
      <c r="R1957" s="20">
        <f>IF($U1957="","",INDEX(상세표[18~22시],$U1957))</f>
        <v/>
      </c>
      <c r="S1957" s="20">
        <f>IF($U1957="","",INDEX(상세표[22~06시],$U1957))</f>
        <v/>
      </c>
      <c r="T1957" s="20">
        <f>IF($U1957="","",INDEX(상세표[기록 시간외],$U1957))</f>
        <v/>
      </c>
      <c r="U1957" s="4">
        <f>IFERROR(MATCH(1952,상세표[발송순번],0),"")</f>
        <v/>
      </c>
    </row>
    <row r="1958">
      <c r="J1958">
        <f>IF($U1958="","",INDEX(상세표[사번],$U1958)&amp;"")</f>
        <v/>
      </c>
      <c r="K1958">
        <f>IF($U1958="","",INDEX(상세표[성명],$U1958)&amp;"")</f>
        <v/>
      </c>
      <c r="L1958">
        <f>IF($U1958="","",INDEX(상세표[직위],$U1958)&amp;"")</f>
        <v/>
      </c>
      <c r="M1958">
        <f>IF($U1958="","",IF(ISNUMBER(INDEX(상세표[근무일자],$U1958)),TEXT(INDEX(상세표[근무일자],$U1958),"yyyy-mm-dd"),INDEX(상세표[근무일자],$U1958)&amp;""))</f>
        <v/>
      </c>
      <c r="N1958">
        <f>IF($U1958="","",IF(ISNUMBER(INDEX(상세표[시작],$U1958)),TEXT(INDEX(상세표[시작],$U1958),"yyyy-mm-dd hh:mm"),INDEX(상세표[시작],$U1958)&amp;""))</f>
        <v/>
      </c>
      <c r="O1958">
        <f>IF($U1958="","",IF(ISNUMBER(INDEX(상세표[종료],$U1958)),TEXT(INDEX(상세표[종료],$U1958),"yyyy-mm-dd hh:mm"),INDEX(상세표[종료],$U1958)&amp;""))</f>
        <v/>
      </c>
      <c r="P1958" s="20">
        <f>IF($U1958="","",INDEX(상세표[06~07시],$U1958))</f>
        <v/>
      </c>
      <c r="Q1958" s="20">
        <f>IF($U1958="","",INDEX(상세표[07~18시],$U1958))</f>
        <v/>
      </c>
      <c r="R1958" s="20">
        <f>IF($U1958="","",INDEX(상세표[18~22시],$U1958))</f>
        <v/>
      </c>
      <c r="S1958" s="20">
        <f>IF($U1958="","",INDEX(상세표[22~06시],$U1958))</f>
        <v/>
      </c>
      <c r="T1958" s="20">
        <f>IF($U1958="","",INDEX(상세표[기록 시간외],$U1958))</f>
        <v/>
      </c>
      <c r="U1958" s="4">
        <f>IFERROR(MATCH(1953,상세표[발송순번],0),"")</f>
        <v/>
      </c>
    </row>
    <row r="1959">
      <c r="J1959">
        <f>IF($U1959="","",INDEX(상세표[사번],$U1959)&amp;"")</f>
        <v/>
      </c>
      <c r="K1959">
        <f>IF($U1959="","",INDEX(상세표[성명],$U1959)&amp;"")</f>
        <v/>
      </c>
      <c r="L1959">
        <f>IF($U1959="","",INDEX(상세표[직위],$U1959)&amp;"")</f>
        <v/>
      </c>
      <c r="M1959">
        <f>IF($U1959="","",IF(ISNUMBER(INDEX(상세표[근무일자],$U1959)),TEXT(INDEX(상세표[근무일자],$U1959),"yyyy-mm-dd"),INDEX(상세표[근무일자],$U1959)&amp;""))</f>
        <v/>
      </c>
      <c r="N1959">
        <f>IF($U1959="","",IF(ISNUMBER(INDEX(상세표[시작],$U1959)),TEXT(INDEX(상세표[시작],$U1959),"yyyy-mm-dd hh:mm"),INDEX(상세표[시작],$U1959)&amp;""))</f>
        <v/>
      </c>
      <c r="O1959">
        <f>IF($U1959="","",IF(ISNUMBER(INDEX(상세표[종료],$U1959)),TEXT(INDEX(상세표[종료],$U1959),"yyyy-mm-dd hh:mm"),INDEX(상세표[종료],$U1959)&amp;""))</f>
        <v/>
      </c>
      <c r="P1959" s="20">
        <f>IF($U1959="","",INDEX(상세표[06~07시],$U1959))</f>
        <v/>
      </c>
      <c r="Q1959" s="20">
        <f>IF($U1959="","",INDEX(상세표[07~18시],$U1959))</f>
        <v/>
      </c>
      <c r="R1959" s="20">
        <f>IF($U1959="","",INDEX(상세표[18~22시],$U1959))</f>
        <v/>
      </c>
      <c r="S1959" s="20">
        <f>IF($U1959="","",INDEX(상세표[22~06시],$U1959))</f>
        <v/>
      </c>
      <c r="T1959" s="20">
        <f>IF($U1959="","",INDEX(상세표[기록 시간외],$U1959))</f>
        <v/>
      </c>
      <c r="U1959" s="4">
        <f>IFERROR(MATCH(1954,상세표[발송순번],0),"")</f>
        <v/>
      </c>
    </row>
    <row r="1960">
      <c r="J1960">
        <f>IF($U1960="","",INDEX(상세표[사번],$U1960)&amp;"")</f>
        <v/>
      </c>
      <c r="K1960">
        <f>IF($U1960="","",INDEX(상세표[성명],$U1960)&amp;"")</f>
        <v/>
      </c>
      <c r="L1960">
        <f>IF($U1960="","",INDEX(상세표[직위],$U1960)&amp;"")</f>
        <v/>
      </c>
      <c r="M1960">
        <f>IF($U1960="","",IF(ISNUMBER(INDEX(상세표[근무일자],$U1960)),TEXT(INDEX(상세표[근무일자],$U1960),"yyyy-mm-dd"),INDEX(상세표[근무일자],$U1960)&amp;""))</f>
        <v/>
      </c>
      <c r="N1960">
        <f>IF($U1960="","",IF(ISNUMBER(INDEX(상세표[시작],$U1960)),TEXT(INDEX(상세표[시작],$U1960),"yyyy-mm-dd hh:mm"),INDEX(상세표[시작],$U1960)&amp;""))</f>
        <v/>
      </c>
      <c r="O1960">
        <f>IF($U1960="","",IF(ISNUMBER(INDEX(상세표[종료],$U1960)),TEXT(INDEX(상세표[종료],$U1960),"yyyy-mm-dd hh:mm"),INDEX(상세표[종료],$U1960)&amp;""))</f>
        <v/>
      </c>
      <c r="P1960" s="20">
        <f>IF($U1960="","",INDEX(상세표[06~07시],$U1960))</f>
        <v/>
      </c>
      <c r="Q1960" s="20">
        <f>IF($U1960="","",INDEX(상세표[07~18시],$U1960))</f>
        <v/>
      </c>
      <c r="R1960" s="20">
        <f>IF($U1960="","",INDEX(상세표[18~22시],$U1960))</f>
        <v/>
      </c>
      <c r="S1960" s="20">
        <f>IF($U1960="","",INDEX(상세표[22~06시],$U1960))</f>
        <v/>
      </c>
      <c r="T1960" s="20">
        <f>IF($U1960="","",INDEX(상세표[기록 시간외],$U1960))</f>
        <v/>
      </c>
      <c r="U1960" s="4">
        <f>IFERROR(MATCH(1955,상세표[발송순번],0),"")</f>
        <v/>
      </c>
    </row>
    <row r="1961">
      <c r="J1961">
        <f>IF($U1961="","",INDEX(상세표[사번],$U1961)&amp;"")</f>
        <v/>
      </c>
      <c r="K1961">
        <f>IF($U1961="","",INDEX(상세표[성명],$U1961)&amp;"")</f>
        <v/>
      </c>
      <c r="L1961">
        <f>IF($U1961="","",INDEX(상세표[직위],$U1961)&amp;"")</f>
        <v/>
      </c>
      <c r="M1961">
        <f>IF($U1961="","",IF(ISNUMBER(INDEX(상세표[근무일자],$U1961)),TEXT(INDEX(상세표[근무일자],$U1961),"yyyy-mm-dd"),INDEX(상세표[근무일자],$U1961)&amp;""))</f>
        <v/>
      </c>
      <c r="N1961">
        <f>IF($U1961="","",IF(ISNUMBER(INDEX(상세표[시작],$U1961)),TEXT(INDEX(상세표[시작],$U1961),"yyyy-mm-dd hh:mm"),INDEX(상세표[시작],$U1961)&amp;""))</f>
        <v/>
      </c>
      <c r="O1961">
        <f>IF($U1961="","",IF(ISNUMBER(INDEX(상세표[종료],$U1961)),TEXT(INDEX(상세표[종료],$U1961),"yyyy-mm-dd hh:mm"),INDEX(상세표[종료],$U1961)&amp;""))</f>
        <v/>
      </c>
      <c r="P1961" s="20">
        <f>IF($U1961="","",INDEX(상세표[06~07시],$U1961))</f>
        <v/>
      </c>
      <c r="Q1961" s="20">
        <f>IF($U1961="","",INDEX(상세표[07~18시],$U1961))</f>
        <v/>
      </c>
      <c r="R1961" s="20">
        <f>IF($U1961="","",INDEX(상세표[18~22시],$U1961))</f>
        <v/>
      </c>
      <c r="S1961" s="20">
        <f>IF($U1961="","",INDEX(상세표[22~06시],$U1961))</f>
        <v/>
      </c>
      <c r="T1961" s="20">
        <f>IF($U1961="","",INDEX(상세표[기록 시간외],$U1961))</f>
        <v/>
      </c>
      <c r="U1961" s="4">
        <f>IFERROR(MATCH(1956,상세표[발송순번],0),"")</f>
        <v/>
      </c>
    </row>
    <row r="1962">
      <c r="J1962">
        <f>IF($U1962="","",INDEX(상세표[사번],$U1962)&amp;"")</f>
        <v/>
      </c>
      <c r="K1962">
        <f>IF($U1962="","",INDEX(상세표[성명],$U1962)&amp;"")</f>
        <v/>
      </c>
      <c r="L1962">
        <f>IF($U1962="","",INDEX(상세표[직위],$U1962)&amp;"")</f>
        <v/>
      </c>
      <c r="M1962">
        <f>IF($U1962="","",IF(ISNUMBER(INDEX(상세표[근무일자],$U1962)),TEXT(INDEX(상세표[근무일자],$U1962),"yyyy-mm-dd"),INDEX(상세표[근무일자],$U1962)&amp;""))</f>
        <v/>
      </c>
      <c r="N1962">
        <f>IF($U1962="","",IF(ISNUMBER(INDEX(상세표[시작],$U1962)),TEXT(INDEX(상세표[시작],$U1962),"yyyy-mm-dd hh:mm"),INDEX(상세표[시작],$U1962)&amp;""))</f>
        <v/>
      </c>
      <c r="O1962">
        <f>IF($U1962="","",IF(ISNUMBER(INDEX(상세표[종료],$U1962)),TEXT(INDEX(상세표[종료],$U1962),"yyyy-mm-dd hh:mm"),INDEX(상세표[종료],$U1962)&amp;""))</f>
        <v/>
      </c>
      <c r="P1962" s="20">
        <f>IF($U1962="","",INDEX(상세표[06~07시],$U1962))</f>
        <v/>
      </c>
      <c r="Q1962" s="20">
        <f>IF($U1962="","",INDEX(상세표[07~18시],$U1962))</f>
        <v/>
      </c>
      <c r="R1962" s="20">
        <f>IF($U1962="","",INDEX(상세표[18~22시],$U1962))</f>
        <v/>
      </c>
      <c r="S1962" s="20">
        <f>IF($U1962="","",INDEX(상세표[22~06시],$U1962))</f>
        <v/>
      </c>
      <c r="T1962" s="20">
        <f>IF($U1962="","",INDEX(상세표[기록 시간외],$U1962))</f>
        <v/>
      </c>
      <c r="U1962" s="4">
        <f>IFERROR(MATCH(1957,상세표[발송순번],0),"")</f>
        <v/>
      </c>
    </row>
    <row r="1963">
      <c r="J1963">
        <f>IF($U1963="","",INDEX(상세표[사번],$U1963)&amp;"")</f>
        <v/>
      </c>
      <c r="K1963">
        <f>IF($U1963="","",INDEX(상세표[성명],$U1963)&amp;"")</f>
        <v/>
      </c>
      <c r="L1963">
        <f>IF($U1963="","",INDEX(상세표[직위],$U1963)&amp;"")</f>
        <v/>
      </c>
      <c r="M1963">
        <f>IF($U1963="","",IF(ISNUMBER(INDEX(상세표[근무일자],$U1963)),TEXT(INDEX(상세표[근무일자],$U1963),"yyyy-mm-dd"),INDEX(상세표[근무일자],$U1963)&amp;""))</f>
        <v/>
      </c>
      <c r="N1963">
        <f>IF($U1963="","",IF(ISNUMBER(INDEX(상세표[시작],$U1963)),TEXT(INDEX(상세표[시작],$U1963),"yyyy-mm-dd hh:mm"),INDEX(상세표[시작],$U1963)&amp;""))</f>
        <v/>
      </c>
      <c r="O1963">
        <f>IF($U1963="","",IF(ISNUMBER(INDEX(상세표[종료],$U1963)),TEXT(INDEX(상세표[종료],$U1963),"yyyy-mm-dd hh:mm"),INDEX(상세표[종료],$U1963)&amp;""))</f>
        <v/>
      </c>
      <c r="P1963" s="20">
        <f>IF($U1963="","",INDEX(상세표[06~07시],$U1963))</f>
        <v/>
      </c>
      <c r="Q1963" s="20">
        <f>IF($U1963="","",INDEX(상세표[07~18시],$U1963))</f>
        <v/>
      </c>
      <c r="R1963" s="20">
        <f>IF($U1963="","",INDEX(상세표[18~22시],$U1963))</f>
        <v/>
      </c>
      <c r="S1963" s="20">
        <f>IF($U1963="","",INDEX(상세표[22~06시],$U1963))</f>
        <v/>
      </c>
      <c r="T1963" s="20">
        <f>IF($U1963="","",INDEX(상세표[기록 시간외],$U1963))</f>
        <v/>
      </c>
      <c r="U1963" s="4">
        <f>IFERROR(MATCH(1958,상세표[발송순번],0),"")</f>
        <v/>
      </c>
    </row>
    <row r="1964">
      <c r="J1964">
        <f>IF($U1964="","",INDEX(상세표[사번],$U1964)&amp;"")</f>
        <v/>
      </c>
      <c r="K1964">
        <f>IF($U1964="","",INDEX(상세표[성명],$U1964)&amp;"")</f>
        <v/>
      </c>
      <c r="L1964">
        <f>IF($U1964="","",INDEX(상세표[직위],$U1964)&amp;"")</f>
        <v/>
      </c>
      <c r="M1964">
        <f>IF($U1964="","",IF(ISNUMBER(INDEX(상세표[근무일자],$U1964)),TEXT(INDEX(상세표[근무일자],$U1964),"yyyy-mm-dd"),INDEX(상세표[근무일자],$U1964)&amp;""))</f>
        <v/>
      </c>
      <c r="N1964">
        <f>IF($U1964="","",IF(ISNUMBER(INDEX(상세표[시작],$U1964)),TEXT(INDEX(상세표[시작],$U1964),"yyyy-mm-dd hh:mm"),INDEX(상세표[시작],$U1964)&amp;""))</f>
        <v/>
      </c>
      <c r="O1964">
        <f>IF($U1964="","",IF(ISNUMBER(INDEX(상세표[종료],$U1964)),TEXT(INDEX(상세표[종료],$U1964),"yyyy-mm-dd hh:mm"),INDEX(상세표[종료],$U1964)&amp;""))</f>
        <v/>
      </c>
      <c r="P1964" s="20">
        <f>IF($U1964="","",INDEX(상세표[06~07시],$U1964))</f>
        <v/>
      </c>
      <c r="Q1964" s="20">
        <f>IF($U1964="","",INDEX(상세표[07~18시],$U1964))</f>
        <v/>
      </c>
      <c r="R1964" s="20">
        <f>IF($U1964="","",INDEX(상세표[18~22시],$U1964))</f>
        <v/>
      </c>
      <c r="S1964" s="20">
        <f>IF($U1964="","",INDEX(상세표[22~06시],$U1964))</f>
        <v/>
      </c>
      <c r="T1964" s="20">
        <f>IF($U1964="","",INDEX(상세표[기록 시간외],$U1964))</f>
        <v/>
      </c>
      <c r="U1964" s="4">
        <f>IFERROR(MATCH(1959,상세표[발송순번],0),"")</f>
        <v/>
      </c>
    </row>
    <row r="1965">
      <c r="J1965">
        <f>IF($U1965="","",INDEX(상세표[사번],$U1965)&amp;"")</f>
        <v/>
      </c>
      <c r="K1965">
        <f>IF($U1965="","",INDEX(상세표[성명],$U1965)&amp;"")</f>
        <v/>
      </c>
      <c r="L1965">
        <f>IF($U1965="","",INDEX(상세표[직위],$U1965)&amp;"")</f>
        <v/>
      </c>
      <c r="M1965">
        <f>IF($U1965="","",IF(ISNUMBER(INDEX(상세표[근무일자],$U1965)),TEXT(INDEX(상세표[근무일자],$U1965),"yyyy-mm-dd"),INDEX(상세표[근무일자],$U1965)&amp;""))</f>
        <v/>
      </c>
      <c r="N1965">
        <f>IF($U1965="","",IF(ISNUMBER(INDEX(상세표[시작],$U1965)),TEXT(INDEX(상세표[시작],$U1965),"yyyy-mm-dd hh:mm"),INDEX(상세표[시작],$U1965)&amp;""))</f>
        <v/>
      </c>
      <c r="O1965">
        <f>IF($U1965="","",IF(ISNUMBER(INDEX(상세표[종료],$U1965)),TEXT(INDEX(상세표[종료],$U1965),"yyyy-mm-dd hh:mm"),INDEX(상세표[종료],$U1965)&amp;""))</f>
        <v/>
      </c>
      <c r="P1965" s="20">
        <f>IF($U1965="","",INDEX(상세표[06~07시],$U1965))</f>
        <v/>
      </c>
      <c r="Q1965" s="20">
        <f>IF($U1965="","",INDEX(상세표[07~18시],$U1965))</f>
        <v/>
      </c>
      <c r="R1965" s="20">
        <f>IF($U1965="","",INDEX(상세표[18~22시],$U1965))</f>
        <v/>
      </c>
      <c r="S1965" s="20">
        <f>IF($U1965="","",INDEX(상세표[22~06시],$U1965))</f>
        <v/>
      </c>
      <c r="T1965" s="20">
        <f>IF($U1965="","",INDEX(상세표[기록 시간외],$U1965))</f>
        <v/>
      </c>
      <c r="U1965" s="4">
        <f>IFERROR(MATCH(1960,상세표[발송순번],0),"")</f>
        <v/>
      </c>
    </row>
    <row r="1966">
      <c r="J1966">
        <f>IF($U1966="","",INDEX(상세표[사번],$U1966)&amp;"")</f>
        <v/>
      </c>
      <c r="K1966">
        <f>IF($U1966="","",INDEX(상세표[성명],$U1966)&amp;"")</f>
        <v/>
      </c>
      <c r="L1966">
        <f>IF($U1966="","",INDEX(상세표[직위],$U1966)&amp;"")</f>
        <v/>
      </c>
      <c r="M1966">
        <f>IF($U1966="","",IF(ISNUMBER(INDEX(상세표[근무일자],$U1966)),TEXT(INDEX(상세표[근무일자],$U1966),"yyyy-mm-dd"),INDEX(상세표[근무일자],$U1966)&amp;""))</f>
        <v/>
      </c>
      <c r="N1966">
        <f>IF($U1966="","",IF(ISNUMBER(INDEX(상세표[시작],$U1966)),TEXT(INDEX(상세표[시작],$U1966),"yyyy-mm-dd hh:mm"),INDEX(상세표[시작],$U1966)&amp;""))</f>
        <v/>
      </c>
      <c r="O1966">
        <f>IF($U1966="","",IF(ISNUMBER(INDEX(상세표[종료],$U1966)),TEXT(INDEX(상세표[종료],$U1966),"yyyy-mm-dd hh:mm"),INDEX(상세표[종료],$U1966)&amp;""))</f>
        <v/>
      </c>
      <c r="P1966" s="20">
        <f>IF($U1966="","",INDEX(상세표[06~07시],$U1966))</f>
        <v/>
      </c>
      <c r="Q1966" s="20">
        <f>IF($U1966="","",INDEX(상세표[07~18시],$U1966))</f>
        <v/>
      </c>
      <c r="R1966" s="20">
        <f>IF($U1966="","",INDEX(상세표[18~22시],$U1966))</f>
        <v/>
      </c>
      <c r="S1966" s="20">
        <f>IF($U1966="","",INDEX(상세표[22~06시],$U1966))</f>
        <v/>
      </c>
      <c r="T1966" s="20">
        <f>IF($U1966="","",INDEX(상세표[기록 시간외],$U1966))</f>
        <v/>
      </c>
      <c r="U1966" s="4">
        <f>IFERROR(MATCH(1961,상세표[발송순번],0),"")</f>
        <v/>
      </c>
    </row>
    <row r="1967">
      <c r="J1967">
        <f>IF($U1967="","",INDEX(상세표[사번],$U1967)&amp;"")</f>
        <v/>
      </c>
      <c r="K1967">
        <f>IF($U1967="","",INDEX(상세표[성명],$U1967)&amp;"")</f>
        <v/>
      </c>
      <c r="L1967">
        <f>IF($U1967="","",INDEX(상세표[직위],$U1967)&amp;"")</f>
        <v/>
      </c>
      <c r="M1967">
        <f>IF($U1967="","",IF(ISNUMBER(INDEX(상세표[근무일자],$U1967)),TEXT(INDEX(상세표[근무일자],$U1967),"yyyy-mm-dd"),INDEX(상세표[근무일자],$U1967)&amp;""))</f>
        <v/>
      </c>
      <c r="N1967">
        <f>IF($U1967="","",IF(ISNUMBER(INDEX(상세표[시작],$U1967)),TEXT(INDEX(상세표[시작],$U1967),"yyyy-mm-dd hh:mm"),INDEX(상세표[시작],$U1967)&amp;""))</f>
        <v/>
      </c>
      <c r="O1967">
        <f>IF($U1967="","",IF(ISNUMBER(INDEX(상세표[종료],$U1967)),TEXT(INDEX(상세표[종료],$U1967),"yyyy-mm-dd hh:mm"),INDEX(상세표[종료],$U1967)&amp;""))</f>
        <v/>
      </c>
      <c r="P1967" s="20">
        <f>IF($U1967="","",INDEX(상세표[06~07시],$U1967))</f>
        <v/>
      </c>
      <c r="Q1967" s="20">
        <f>IF($U1967="","",INDEX(상세표[07~18시],$U1967))</f>
        <v/>
      </c>
      <c r="R1967" s="20">
        <f>IF($U1967="","",INDEX(상세표[18~22시],$U1967))</f>
        <v/>
      </c>
      <c r="S1967" s="20">
        <f>IF($U1967="","",INDEX(상세표[22~06시],$U1967))</f>
        <v/>
      </c>
      <c r="T1967" s="20">
        <f>IF($U1967="","",INDEX(상세표[기록 시간외],$U1967))</f>
        <v/>
      </c>
      <c r="U1967" s="4">
        <f>IFERROR(MATCH(1962,상세표[발송순번],0),"")</f>
        <v/>
      </c>
    </row>
    <row r="1968">
      <c r="J1968">
        <f>IF($U1968="","",INDEX(상세표[사번],$U1968)&amp;"")</f>
        <v/>
      </c>
      <c r="K1968">
        <f>IF($U1968="","",INDEX(상세표[성명],$U1968)&amp;"")</f>
        <v/>
      </c>
      <c r="L1968">
        <f>IF($U1968="","",INDEX(상세표[직위],$U1968)&amp;"")</f>
        <v/>
      </c>
      <c r="M1968">
        <f>IF($U1968="","",IF(ISNUMBER(INDEX(상세표[근무일자],$U1968)),TEXT(INDEX(상세표[근무일자],$U1968),"yyyy-mm-dd"),INDEX(상세표[근무일자],$U1968)&amp;""))</f>
        <v/>
      </c>
      <c r="N1968">
        <f>IF($U1968="","",IF(ISNUMBER(INDEX(상세표[시작],$U1968)),TEXT(INDEX(상세표[시작],$U1968),"yyyy-mm-dd hh:mm"),INDEX(상세표[시작],$U1968)&amp;""))</f>
        <v/>
      </c>
      <c r="O1968">
        <f>IF($U1968="","",IF(ISNUMBER(INDEX(상세표[종료],$U1968)),TEXT(INDEX(상세표[종료],$U1968),"yyyy-mm-dd hh:mm"),INDEX(상세표[종료],$U1968)&amp;""))</f>
        <v/>
      </c>
      <c r="P1968" s="20">
        <f>IF($U1968="","",INDEX(상세표[06~07시],$U1968))</f>
        <v/>
      </c>
      <c r="Q1968" s="20">
        <f>IF($U1968="","",INDEX(상세표[07~18시],$U1968))</f>
        <v/>
      </c>
      <c r="R1968" s="20">
        <f>IF($U1968="","",INDEX(상세표[18~22시],$U1968))</f>
        <v/>
      </c>
      <c r="S1968" s="20">
        <f>IF($U1968="","",INDEX(상세표[22~06시],$U1968))</f>
        <v/>
      </c>
      <c r="T1968" s="20">
        <f>IF($U1968="","",INDEX(상세표[기록 시간외],$U1968))</f>
        <v/>
      </c>
      <c r="U1968" s="4">
        <f>IFERROR(MATCH(1963,상세표[발송순번],0),"")</f>
        <v/>
      </c>
    </row>
    <row r="1969">
      <c r="J1969">
        <f>IF($U1969="","",INDEX(상세표[사번],$U1969)&amp;"")</f>
        <v/>
      </c>
      <c r="K1969">
        <f>IF($U1969="","",INDEX(상세표[성명],$U1969)&amp;"")</f>
        <v/>
      </c>
      <c r="L1969">
        <f>IF($U1969="","",INDEX(상세표[직위],$U1969)&amp;"")</f>
        <v/>
      </c>
      <c r="M1969">
        <f>IF($U1969="","",IF(ISNUMBER(INDEX(상세표[근무일자],$U1969)),TEXT(INDEX(상세표[근무일자],$U1969),"yyyy-mm-dd"),INDEX(상세표[근무일자],$U1969)&amp;""))</f>
        <v/>
      </c>
      <c r="N1969">
        <f>IF($U1969="","",IF(ISNUMBER(INDEX(상세표[시작],$U1969)),TEXT(INDEX(상세표[시작],$U1969),"yyyy-mm-dd hh:mm"),INDEX(상세표[시작],$U1969)&amp;""))</f>
        <v/>
      </c>
      <c r="O1969">
        <f>IF($U1969="","",IF(ISNUMBER(INDEX(상세표[종료],$U1969)),TEXT(INDEX(상세표[종료],$U1969),"yyyy-mm-dd hh:mm"),INDEX(상세표[종료],$U1969)&amp;""))</f>
        <v/>
      </c>
      <c r="P1969" s="20">
        <f>IF($U1969="","",INDEX(상세표[06~07시],$U1969))</f>
        <v/>
      </c>
      <c r="Q1969" s="20">
        <f>IF($U1969="","",INDEX(상세표[07~18시],$U1969))</f>
        <v/>
      </c>
      <c r="R1969" s="20">
        <f>IF($U1969="","",INDEX(상세표[18~22시],$U1969))</f>
        <v/>
      </c>
      <c r="S1969" s="20">
        <f>IF($U1969="","",INDEX(상세표[22~06시],$U1969))</f>
        <v/>
      </c>
      <c r="T1969" s="20">
        <f>IF($U1969="","",INDEX(상세표[기록 시간외],$U1969))</f>
        <v/>
      </c>
      <c r="U1969" s="4">
        <f>IFERROR(MATCH(1964,상세표[발송순번],0),"")</f>
        <v/>
      </c>
    </row>
    <row r="1970">
      <c r="J1970">
        <f>IF($U1970="","",INDEX(상세표[사번],$U1970)&amp;"")</f>
        <v/>
      </c>
      <c r="K1970">
        <f>IF($U1970="","",INDEX(상세표[성명],$U1970)&amp;"")</f>
        <v/>
      </c>
      <c r="L1970">
        <f>IF($U1970="","",INDEX(상세표[직위],$U1970)&amp;"")</f>
        <v/>
      </c>
      <c r="M1970">
        <f>IF($U1970="","",IF(ISNUMBER(INDEX(상세표[근무일자],$U1970)),TEXT(INDEX(상세표[근무일자],$U1970),"yyyy-mm-dd"),INDEX(상세표[근무일자],$U1970)&amp;""))</f>
        <v/>
      </c>
      <c r="N1970">
        <f>IF($U1970="","",IF(ISNUMBER(INDEX(상세표[시작],$U1970)),TEXT(INDEX(상세표[시작],$U1970),"yyyy-mm-dd hh:mm"),INDEX(상세표[시작],$U1970)&amp;""))</f>
        <v/>
      </c>
      <c r="O1970">
        <f>IF($U1970="","",IF(ISNUMBER(INDEX(상세표[종료],$U1970)),TEXT(INDEX(상세표[종료],$U1970),"yyyy-mm-dd hh:mm"),INDEX(상세표[종료],$U1970)&amp;""))</f>
        <v/>
      </c>
      <c r="P1970" s="20">
        <f>IF($U1970="","",INDEX(상세표[06~07시],$U1970))</f>
        <v/>
      </c>
      <c r="Q1970" s="20">
        <f>IF($U1970="","",INDEX(상세표[07~18시],$U1970))</f>
        <v/>
      </c>
      <c r="R1970" s="20">
        <f>IF($U1970="","",INDEX(상세표[18~22시],$U1970))</f>
        <v/>
      </c>
      <c r="S1970" s="20">
        <f>IF($U1970="","",INDEX(상세표[22~06시],$U1970))</f>
        <v/>
      </c>
      <c r="T1970" s="20">
        <f>IF($U1970="","",INDEX(상세표[기록 시간외],$U1970))</f>
        <v/>
      </c>
      <c r="U1970" s="4">
        <f>IFERROR(MATCH(1965,상세표[발송순번],0),"")</f>
        <v/>
      </c>
    </row>
    <row r="1971">
      <c r="J1971">
        <f>IF($U1971="","",INDEX(상세표[사번],$U1971)&amp;"")</f>
        <v/>
      </c>
      <c r="K1971">
        <f>IF($U1971="","",INDEX(상세표[성명],$U1971)&amp;"")</f>
        <v/>
      </c>
      <c r="L1971">
        <f>IF($U1971="","",INDEX(상세표[직위],$U1971)&amp;"")</f>
        <v/>
      </c>
      <c r="M1971">
        <f>IF($U1971="","",IF(ISNUMBER(INDEX(상세표[근무일자],$U1971)),TEXT(INDEX(상세표[근무일자],$U1971),"yyyy-mm-dd"),INDEX(상세표[근무일자],$U1971)&amp;""))</f>
        <v/>
      </c>
      <c r="N1971">
        <f>IF($U1971="","",IF(ISNUMBER(INDEX(상세표[시작],$U1971)),TEXT(INDEX(상세표[시작],$U1971),"yyyy-mm-dd hh:mm"),INDEX(상세표[시작],$U1971)&amp;""))</f>
        <v/>
      </c>
      <c r="O1971">
        <f>IF($U1971="","",IF(ISNUMBER(INDEX(상세표[종료],$U1971)),TEXT(INDEX(상세표[종료],$U1971),"yyyy-mm-dd hh:mm"),INDEX(상세표[종료],$U1971)&amp;""))</f>
        <v/>
      </c>
      <c r="P1971" s="20">
        <f>IF($U1971="","",INDEX(상세표[06~07시],$U1971))</f>
        <v/>
      </c>
      <c r="Q1971" s="20">
        <f>IF($U1971="","",INDEX(상세표[07~18시],$U1971))</f>
        <v/>
      </c>
      <c r="R1971" s="20">
        <f>IF($U1971="","",INDEX(상세표[18~22시],$U1971))</f>
        <v/>
      </c>
      <c r="S1971" s="20">
        <f>IF($U1971="","",INDEX(상세표[22~06시],$U1971))</f>
        <v/>
      </c>
      <c r="T1971" s="20">
        <f>IF($U1971="","",INDEX(상세표[기록 시간외],$U1971))</f>
        <v/>
      </c>
      <c r="U1971" s="4">
        <f>IFERROR(MATCH(1966,상세표[발송순번],0),"")</f>
        <v/>
      </c>
    </row>
    <row r="1972">
      <c r="J1972">
        <f>IF($U1972="","",INDEX(상세표[사번],$U1972)&amp;"")</f>
        <v/>
      </c>
      <c r="K1972">
        <f>IF($U1972="","",INDEX(상세표[성명],$U1972)&amp;"")</f>
        <v/>
      </c>
      <c r="L1972">
        <f>IF($U1972="","",INDEX(상세표[직위],$U1972)&amp;"")</f>
        <v/>
      </c>
      <c r="M1972">
        <f>IF($U1972="","",IF(ISNUMBER(INDEX(상세표[근무일자],$U1972)),TEXT(INDEX(상세표[근무일자],$U1972),"yyyy-mm-dd"),INDEX(상세표[근무일자],$U1972)&amp;""))</f>
        <v/>
      </c>
      <c r="N1972">
        <f>IF($U1972="","",IF(ISNUMBER(INDEX(상세표[시작],$U1972)),TEXT(INDEX(상세표[시작],$U1972),"yyyy-mm-dd hh:mm"),INDEX(상세표[시작],$U1972)&amp;""))</f>
        <v/>
      </c>
      <c r="O1972">
        <f>IF($U1972="","",IF(ISNUMBER(INDEX(상세표[종료],$U1972)),TEXT(INDEX(상세표[종료],$U1972),"yyyy-mm-dd hh:mm"),INDEX(상세표[종료],$U1972)&amp;""))</f>
        <v/>
      </c>
      <c r="P1972" s="20">
        <f>IF($U1972="","",INDEX(상세표[06~07시],$U1972))</f>
        <v/>
      </c>
      <c r="Q1972" s="20">
        <f>IF($U1972="","",INDEX(상세표[07~18시],$U1972))</f>
        <v/>
      </c>
      <c r="R1972" s="20">
        <f>IF($U1972="","",INDEX(상세표[18~22시],$U1972))</f>
        <v/>
      </c>
      <c r="S1972" s="20">
        <f>IF($U1972="","",INDEX(상세표[22~06시],$U1972))</f>
        <v/>
      </c>
      <c r="T1972" s="20">
        <f>IF($U1972="","",INDEX(상세표[기록 시간외],$U1972))</f>
        <v/>
      </c>
      <c r="U1972" s="4">
        <f>IFERROR(MATCH(1967,상세표[발송순번],0),"")</f>
        <v/>
      </c>
    </row>
    <row r="1973">
      <c r="J1973">
        <f>IF($U1973="","",INDEX(상세표[사번],$U1973)&amp;"")</f>
        <v/>
      </c>
      <c r="K1973">
        <f>IF($U1973="","",INDEX(상세표[성명],$U1973)&amp;"")</f>
        <v/>
      </c>
      <c r="L1973">
        <f>IF($U1973="","",INDEX(상세표[직위],$U1973)&amp;"")</f>
        <v/>
      </c>
      <c r="M1973">
        <f>IF($U1973="","",IF(ISNUMBER(INDEX(상세표[근무일자],$U1973)),TEXT(INDEX(상세표[근무일자],$U1973),"yyyy-mm-dd"),INDEX(상세표[근무일자],$U1973)&amp;""))</f>
        <v/>
      </c>
      <c r="N1973">
        <f>IF($U1973="","",IF(ISNUMBER(INDEX(상세표[시작],$U1973)),TEXT(INDEX(상세표[시작],$U1973),"yyyy-mm-dd hh:mm"),INDEX(상세표[시작],$U1973)&amp;""))</f>
        <v/>
      </c>
      <c r="O1973">
        <f>IF($U1973="","",IF(ISNUMBER(INDEX(상세표[종료],$U1973)),TEXT(INDEX(상세표[종료],$U1973),"yyyy-mm-dd hh:mm"),INDEX(상세표[종료],$U1973)&amp;""))</f>
        <v/>
      </c>
      <c r="P1973" s="20">
        <f>IF($U1973="","",INDEX(상세표[06~07시],$U1973))</f>
        <v/>
      </c>
      <c r="Q1973" s="20">
        <f>IF($U1973="","",INDEX(상세표[07~18시],$U1973))</f>
        <v/>
      </c>
      <c r="R1973" s="20">
        <f>IF($U1973="","",INDEX(상세표[18~22시],$U1973))</f>
        <v/>
      </c>
      <c r="S1973" s="20">
        <f>IF($U1973="","",INDEX(상세표[22~06시],$U1973))</f>
        <v/>
      </c>
      <c r="T1973" s="20">
        <f>IF($U1973="","",INDEX(상세표[기록 시간외],$U1973))</f>
        <v/>
      </c>
      <c r="U1973" s="4">
        <f>IFERROR(MATCH(1968,상세표[발송순번],0),"")</f>
        <v/>
      </c>
    </row>
    <row r="1974">
      <c r="J1974">
        <f>IF($U1974="","",INDEX(상세표[사번],$U1974)&amp;"")</f>
        <v/>
      </c>
      <c r="K1974">
        <f>IF($U1974="","",INDEX(상세표[성명],$U1974)&amp;"")</f>
        <v/>
      </c>
      <c r="L1974">
        <f>IF($U1974="","",INDEX(상세표[직위],$U1974)&amp;"")</f>
        <v/>
      </c>
      <c r="M1974">
        <f>IF($U1974="","",IF(ISNUMBER(INDEX(상세표[근무일자],$U1974)),TEXT(INDEX(상세표[근무일자],$U1974),"yyyy-mm-dd"),INDEX(상세표[근무일자],$U1974)&amp;""))</f>
        <v/>
      </c>
      <c r="N1974">
        <f>IF($U1974="","",IF(ISNUMBER(INDEX(상세표[시작],$U1974)),TEXT(INDEX(상세표[시작],$U1974),"yyyy-mm-dd hh:mm"),INDEX(상세표[시작],$U1974)&amp;""))</f>
        <v/>
      </c>
      <c r="O1974">
        <f>IF($U1974="","",IF(ISNUMBER(INDEX(상세표[종료],$U1974)),TEXT(INDEX(상세표[종료],$U1974),"yyyy-mm-dd hh:mm"),INDEX(상세표[종료],$U1974)&amp;""))</f>
        <v/>
      </c>
      <c r="P1974" s="20">
        <f>IF($U1974="","",INDEX(상세표[06~07시],$U1974))</f>
        <v/>
      </c>
      <c r="Q1974" s="20">
        <f>IF($U1974="","",INDEX(상세표[07~18시],$U1974))</f>
        <v/>
      </c>
      <c r="R1974" s="20">
        <f>IF($U1974="","",INDEX(상세표[18~22시],$U1974))</f>
        <v/>
      </c>
      <c r="S1974" s="20">
        <f>IF($U1974="","",INDEX(상세표[22~06시],$U1974))</f>
        <v/>
      </c>
      <c r="T1974" s="20">
        <f>IF($U1974="","",INDEX(상세표[기록 시간외],$U1974))</f>
        <v/>
      </c>
      <c r="U1974" s="4">
        <f>IFERROR(MATCH(1969,상세표[발송순번],0),"")</f>
        <v/>
      </c>
    </row>
    <row r="1975">
      <c r="J1975">
        <f>IF($U1975="","",INDEX(상세표[사번],$U1975)&amp;"")</f>
        <v/>
      </c>
      <c r="K1975">
        <f>IF($U1975="","",INDEX(상세표[성명],$U1975)&amp;"")</f>
        <v/>
      </c>
      <c r="L1975">
        <f>IF($U1975="","",INDEX(상세표[직위],$U1975)&amp;"")</f>
        <v/>
      </c>
      <c r="M1975">
        <f>IF($U1975="","",IF(ISNUMBER(INDEX(상세표[근무일자],$U1975)),TEXT(INDEX(상세표[근무일자],$U1975),"yyyy-mm-dd"),INDEX(상세표[근무일자],$U1975)&amp;""))</f>
        <v/>
      </c>
      <c r="N1975">
        <f>IF($U1975="","",IF(ISNUMBER(INDEX(상세표[시작],$U1975)),TEXT(INDEX(상세표[시작],$U1975),"yyyy-mm-dd hh:mm"),INDEX(상세표[시작],$U1975)&amp;""))</f>
        <v/>
      </c>
      <c r="O1975">
        <f>IF($U1975="","",IF(ISNUMBER(INDEX(상세표[종료],$U1975)),TEXT(INDEX(상세표[종료],$U1975),"yyyy-mm-dd hh:mm"),INDEX(상세표[종료],$U1975)&amp;""))</f>
        <v/>
      </c>
      <c r="P1975" s="20">
        <f>IF($U1975="","",INDEX(상세표[06~07시],$U1975))</f>
        <v/>
      </c>
      <c r="Q1975" s="20">
        <f>IF($U1975="","",INDEX(상세표[07~18시],$U1975))</f>
        <v/>
      </c>
      <c r="R1975" s="20">
        <f>IF($U1975="","",INDEX(상세표[18~22시],$U1975))</f>
        <v/>
      </c>
      <c r="S1975" s="20">
        <f>IF($U1975="","",INDEX(상세표[22~06시],$U1975))</f>
        <v/>
      </c>
      <c r="T1975" s="20">
        <f>IF($U1975="","",INDEX(상세표[기록 시간외],$U1975))</f>
        <v/>
      </c>
      <c r="U1975" s="4">
        <f>IFERROR(MATCH(1970,상세표[발송순번],0),"")</f>
        <v/>
      </c>
    </row>
    <row r="1976">
      <c r="J1976">
        <f>IF($U1976="","",INDEX(상세표[사번],$U1976)&amp;"")</f>
        <v/>
      </c>
      <c r="K1976">
        <f>IF($U1976="","",INDEX(상세표[성명],$U1976)&amp;"")</f>
        <v/>
      </c>
      <c r="L1976">
        <f>IF($U1976="","",INDEX(상세표[직위],$U1976)&amp;"")</f>
        <v/>
      </c>
      <c r="M1976">
        <f>IF($U1976="","",IF(ISNUMBER(INDEX(상세표[근무일자],$U1976)),TEXT(INDEX(상세표[근무일자],$U1976),"yyyy-mm-dd"),INDEX(상세표[근무일자],$U1976)&amp;""))</f>
        <v/>
      </c>
      <c r="N1976">
        <f>IF($U1976="","",IF(ISNUMBER(INDEX(상세표[시작],$U1976)),TEXT(INDEX(상세표[시작],$U1976),"yyyy-mm-dd hh:mm"),INDEX(상세표[시작],$U1976)&amp;""))</f>
        <v/>
      </c>
      <c r="O1976">
        <f>IF($U1976="","",IF(ISNUMBER(INDEX(상세표[종료],$U1976)),TEXT(INDEX(상세표[종료],$U1976),"yyyy-mm-dd hh:mm"),INDEX(상세표[종료],$U1976)&amp;""))</f>
        <v/>
      </c>
      <c r="P1976" s="20">
        <f>IF($U1976="","",INDEX(상세표[06~07시],$U1976))</f>
        <v/>
      </c>
      <c r="Q1976" s="20">
        <f>IF($U1976="","",INDEX(상세표[07~18시],$U1976))</f>
        <v/>
      </c>
      <c r="R1976" s="20">
        <f>IF($U1976="","",INDEX(상세표[18~22시],$U1976))</f>
        <v/>
      </c>
      <c r="S1976" s="20">
        <f>IF($U1976="","",INDEX(상세표[22~06시],$U1976))</f>
        <v/>
      </c>
      <c r="T1976" s="20">
        <f>IF($U1976="","",INDEX(상세표[기록 시간외],$U1976))</f>
        <v/>
      </c>
      <c r="U1976" s="4">
        <f>IFERROR(MATCH(1971,상세표[발송순번],0),"")</f>
        <v/>
      </c>
    </row>
    <row r="1977">
      <c r="J1977">
        <f>IF($U1977="","",INDEX(상세표[사번],$U1977)&amp;"")</f>
        <v/>
      </c>
      <c r="K1977">
        <f>IF($U1977="","",INDEX(상세표[성명],$U1977)&amp;"")</f>
        <v/>
      </c>
      <c r="L1977">
        <f>IF($U1977="","",INDEX(상세표[직위],$U1977)&amp;"")</f>
        <v/>
      </c>
      <c r="M1977">
        <f>IF($U1977="","",IF(ISNUMBER(INDEX(상세표[근무일자],$U1977)),TEXT(INDEX(상세표[근무일자],$U1977),"yyyy-mm-dd"),INDEX(상세표[근무일자],$U1977)&amp;""))</f>
        <v/>
      </c>
      <c r="N1977">
        <f>IF($U1977="","",IF(ISNUMBER(INDEX(상세표[시작],$U1977)),TEXT(INDEX(상세표[시작],$U1977),"yyyy-mm-dd hh:mm"),INDEX(상세표[시작],$U1977)&amp;""))</f>
        <v/>
      </c>
      <c r="O1977">
        <f>IF($U1977="","",IF(ISNUMBER(INDEX(상세표[종료],$U1977)),TEXT(INDEX(상세표[종료],$U1977),"yyyy-mm-dd hh:mm"),INDEX(상세표[종료],$U1977)&amp;""))</f>
        <v/>
      </c>
      <c r="P1977" s="20">
        <f>IF($U1977="","",INDEX(상세표[06~07시],$U1977))</f>
        <v/>
      </c>
      <c r="Q1977" s="20">
        <f>IF($U1977="","",INDEX(상세표[07~18시],$U1977))</f>
        <v/>
      </c>
      <c r="R1977" s="20">
        <f>IF($U1977="","",INDEX(상세표[18~22시],$U1977))</f>
        <v/>
      </c>
      <c r="S1977" s="20">
        <f>IF($U1977="","",INDEX(상세표[22~06시],$U1977))</f>
        <v/>
      </c>
      <c r="T1977" s="20">
        <f>IF($U1977="","",INDEX(상세표[기록 시간외],$U1977))</f>
        <v/>
      </c>
      <c r="U1977" s="4">
        <f>IFERROR(MATCH(1972,상세표[발송순번],0),"")</f>
        <v/>
      </c>
    </row>
    <row r="1978">
      <c r="J1978">
        <f>IF($U1978="","",INDEX(상세표[사번],$U1978)&amp;"")</f>
        <v/>
      </c>
      <c r="K1978">
        <f>IF($U1978="","",INDEX(상세표[성명],$U1978)&amp;"")</f>
        <v/>
      </c>
      <c r="L1978">
        <f>IF($U1978="","",INDEX(상세표[직위],$U1978)&amp;"")</f>
        <v/>
      </c>
      <c r="M1978">
        <f>IF($U1978="","",IF(ISNUMBER(INDEX(상세표[근무일자],$U1978)),TEXT(INDEX(상세표[근무일자],$U1978),"yyyy-mm-dd"),INDEX(상세표[근무일자],$U1978)&amp;""))</f>
        <v/>
      </c>
      <c r="N1978">
        <f>IF($U1978="","",IF(ISNUMBER(INDEX(상세표[시작],$U1978)),TEXT(INDEX(상세표[시작],$U1978),"yyyy-mm-dd hh:mm"),INDEX(상세표[시작],$U1978)&amp;""))</f>
        <v/>
      </c>
      <c r="O1978">
        <f>IF($U1978="","",IF(ISNUMBER(INDEX(상세표[종료],$U1978)),TEXT(INDEX(상세표[종료],$U1978),"yyyy-mm-dd hh:mm"),INDEX(상세표[종료],$U1978)&amp;""))</f>
        <v/>
      </c>
      <c r="P1978" s="20">
        <f>IF($U1978="","",INDEX(상세표[06~07시],$U1978))</f>
        <v/>
      </c>
      <c r="Q1978" s="20">
        <f>IF($U1978="","",INDEX(상세표[07~18시],$U1978))</f>
        <v/>
      </c>
      <c r="R1978" s="20">
        <f>IF($U1978="","",INDEX(상세표[18~22시],$U1978))</f>
        <v/>
      </c>
      <c r="S1978" s="20">
        <f>IF($U1978="","",INDEX(상세표[22~06시],$U1978))</f>
        <v/>
      </c>
      <c r="T1978" s="20">
        <f>IF($U1978="","",INDEX(상세표[기록 시간외],$U1978))</f>
        <v/>
      </c>
      <c r="U1978" s="4">
        <f>IFERROR(MATCH(1973,상세표[발송순번],0),"")</f>
        <v/>
      </c>
    </row>
    <row r="1979">
      <c r="J1979">
        <f>IF($U1979="","",INDEX(상세표[사번],$U1979)&amp;"")</f>
        <v/>
      </c>
      <c r="K1979">
        <f>IF($U1979="","",INDEX(상세표[성명],$U1979)&amp;"")</f>
        <v/>
      </c>
      <c r="L1979">
        <f>IF($U1979="","",INDEX(상세표[직위],$U1979)&amp;"")</f>
        <v/>
      </c>
      <c r="M1979">
        <f>IF($U1979="","",IF(ISNUMBER(INDEX(상세표[근무일자],$U1979)),TEXT(INDEX(상세표[근무일자],$U1979),"yyyy-mm-dd"),INDEX(상세표[근무일자],$U1979)&amp;""))</f>
        <v/>
      </c>
      <c r="N1979">
        <f>IF($U1979="","",IF(ISNUMBER(INDEX(상세표[시작],$U1979)),TEXT(INDEX(상세표[시작],$U1979),"yyyy-mm-dd hh:mm"),INDEX(상세표[시작],$U1979)&amp;""))</f>
        <v/>
      </c>
      <c r="O1979">
        <f>IF($U1979="","",IF(ISNUMBER(INDEX(상세표[종료],$U1979)),TEXT(INDEX(상세표[종료],$U1979),"yyyy-mm-dd hh:mm"),INDEX(상세표[종료],$U1979)&amp;""))</f>
        <v/>
      </c>
      <c r="P1979" s="20">
        <f>IF($U1979="","",INDEX(상세표[06~07시],$U1979))</f>
        <v/>
      </c>
      <c r="Q1979" s="20">
        <f>IF($U1979="","",INDEX(상세표[07~18시],$U1979))</f>
        <v/>
      </c>
      <c r="R1979" s="20">
        <f>IF($U1979="","",INDEX(상세표[18~22시],$U1979))</f>
        <v/>
      </c>
      <c r="S1979" s="20">
        <f>IF($U1979="","",INDEX(상세표[22~06시],$U1979))</f>
        <v/>
      </c>
      <c r="T1979" s="20">
        <f>IF($U1979="","",INDEX(상세표[기록 시간외],$U1979))</f>
        <v/>
      </c>
      <c r="U1979" s="4">
        <f>IFERROR(MATCH(1974,상세표[발송순번],0),"")</f>
        <v/>
      </c>
    </row>
    <row r="1980">
      <c r="J1980">
        <f>IF($U1980="","",INDEX(상세표[사번],$U1980)&amp;"")</f>
        <v/>
      </c>
      <c r="K1980">
        <f>IF($U1980="","",INDEX(상세표[성명],$U1980)&amp;"")</f>
        <v/>
      </c>
      <c r="L1980">
        <f>IF($U1980="","",INDEX(상세표[직위],$U1980)&amp;"")</f>
        <v/>
      </c>
      <c r="M1980">
        <f>IF($U1980="","",IF(ISNUMBER(INDEX(상세표[근무일자],$U1980)),TEXT(INDEX(상세표[근무일자],$U1980),"yyyy-mm-dd"),INDEX(상세표[근무일자],$U1980)&amp;""))</f>
        <v/>
      </c>
      <c r="N1980">
        <f>IF($U1980="","",IF(ISNUMBER(INDEX(상세표[시작],$U1980)),TEXT(INDEX(상세표[시작],$U1980),"yyyy-mm-dd hh:mm"),INDEX(상세표[시작],$U1980)&amp;""))</f>
        <v/>
      </c>
      <c r="O1980">
        <f>IF($U1980="","",IF(ISNUMBER(INDEX(상세표[종료],$U1980)),TEXT(INDEX(상세표[종료],$U1980),"yyyy-mm-dd hh:mm"),INDEX(상세표[종료],$U1980)&amp;""))</f>
        <v/>
      </c>
      <c r="P1980" s="20">
        <f>IF($U1980="","",INDEX(상세표[06~07시],$U1980))</f>
        <v/>
      </c>
      <c r="Q1980" s="20">
        <f>IF($U1980="","",INDEX(상세표[07~18시],$U1980))</f>
        <v/>
      </c>
      <c r="R1980" s="20">
        <f>IF($U1980="","",INDEX(상세표[18~22시],$U1980))</f>
        <v/>
      </c>
      <c r="S1980" s="20">
        <f>IF($U1980="","",INDEX(상세표[22~06시],$U1980))</f>
        <v/>
      </c>
      <c r="T1980" s="20">
        <f>IF($U1980="","",INDEX(상세표[기록 시간외],$U1980))</f>
        <v/>
      </c>
      <c r="U1980" s="4">
        <f>IFERROR(MATCH(1975,상세표[발송순번],0),"")</f>
        <v/>
      </c>
    </row>
    <row r="1981">
      <c r="J1981">
        <f>IF($U1981="","",INDEX(상세표[사번],$U1981)&amp;"")</f>
        <v/>
      </c>
      <c r="K1981">
        <f>IF($U1981="","",INDEX(상세표[성명],$U1981)&amp;"")</f>
        <v/>
      </c>
      <c r="L1981">
        <f>IF($U1981="","",INDEX(상세표[직위],$U1981)&amp;"")</f>
        <v/>
      </c>
      <c r="M1981">
        <f>IF($U1981="","",IF(ISNUMBER(INDEX(상세표[근무일자],$U1981)),TEXT(INDEX(상세표[근무일자],$U1981),"yyyy-mm-dd"),INDEX(상세표[근무일자],$U1981)&amp;""))</f>
        <v/>
      </c>
      <c r="N1981">
        <f>IF($U1981="","",IF(ISNUMBER(INDEX(상세표[시작],$U1981)),TEXT(INDEX(상세표[시작],$U1981),"yyyy-mm-dd hh:mm"),INDEX(상세표[시작],$U1981)&amp;""))</f>
        <v/>
      </c>
      <c r="O1981">
        <f>IF($U1981="","",IF(ISNUMBER(INDEX(상세표[종료],$U1981)),TEXT(INDEX(상세표[종료],$U1981),"yyyy-mm-dd hh:mm"),INDEX(상세표[종료],$U1981)&amp;""))</f>
        <v/>
      </c>
      <c r="P1981" s="20">
        <f>IF($U1981="","",INDEX(상세표[06~07시],$U1981))</f>
        <v/>
      </c>
      <c r="Q1981" s="20">
        <f>IF($U1981="","",INDEX(상세표[07~18시],$U1981))</f>
        <v/>
      </c>
      <c r="R1981" s="20">
        <f>IF($U1981="","",INDEX(상세표[18~22시],$U1981))</f>
        <v/>
      </c>
      <c r="S1981" s="20">
        <f>IF($U1981="","",INDEX(상세표[22~06시],$U1981))</f>
        <v/>
      </c>
      <c r="T1981" s="20">
        <f>IF($U1981="","",INDEX(상세표[기록 시간외],$U1981))</f>
        <v/>
      </c>
      <c r="U1981" s="4">
        <f>IFERROR(MATCH(1976,상세표[발송순번],0),"")</f>
        <v/>
      </c>
    </row>
    <row r="1982">
      <c r="J1982">
        <f>IF($U1982="","",INDEX(상세표[사번],$U1982)&amp;"")</f>
        <v/>
      </c>
      <c r="K1982">
        <f>IF($U1982="","",INDEX(상세표[성명],$U1982)&amp;"")</f>
        <v/>
      </c>
      <c r="L1982">
        <f>IF($U1982="","",INDEX(상세표[직위],$U1982)&amp;"")</f>
        <v/>
      </c>
      <c r="M1982">
        <f>IF($U1982="","",IF(ISNUMBER(INDEX(상세표[근무일자],$U1982)),TEXT(INDEX(상세표[근무일자],$U1982),"yyyy-mm-dd"),INDEX(상세표[근무일자],$U1982)&amp;""))</f>
        <v/>
      </c>
      <c r="N1982">
        <f>IF($U1982="","",IF(ISNUMBER(INDEX(상세표[시작],$U1982)),TEXT(INDEX(상세표[시작],$U1982),"yyyy-mm-dd hh:mm"),INDEX(상세표[시작],$U1982)&amp;""))</f>
        <v/>
      </c>
      <c r="O1982">
        <f>IF($U1982="","",IF(ISNUMBER(INDEX(상세표[종료],$U1982)),TEXT(INDEX(상세표[종료],$U1982),"yyyy-mm-dd hh:mm"),INDEX(상세표[종료],$U1982)&amp;""))</f>
        <v/>
      </c>
      <c r="P1982" s="20">
        <f>IF($U1982="","",INDEX(상세표[06~07시],$U1982))</f>
        <v/>
      </c>
      <c r="Q1982" s="20">
        <f>IF($U1982="","",INDEX(상세표[07~18시],$U1982))</f>
        <v/>
      </c>
      <c r="R1982" s="20">
        <f>IF($U1982="","",INDEX(상세표[18~22시],$U1982))</f>
        <v/>
      </c>
      <c r="S1982" s="20">
        <f>IF($U1982="","",INDEX(상세표[22~06시],$U1982))</f>
        <v/>
      </c>
      <c r="T1982" s="20">
        <f>IF($U1982="","",INDEX(상세표[기록 시간외],$U1982))</f>
        <v/>
      </c>
      <c r="U1982" s="4">
        <f>IFERROR(MATCH(1977,상세표[발송순번],0),"")</f>
        <v/>
      </c>
    </row>
    <row r="1983">
      <c r="J1983">
        <f>IF($U1983="","",INDEX(상세표[사번],$U1983)&amp;"")</f>
        <v/>
      </c>
      <c r="K1983">
        <f>IF($U1983="","",INDEX(상세표[성명],$U1983)&amp;"")</f>
        <v/>
      </c>
      <c r="L1983">
        <f>IF($U1983="","",INDEX(상세표[직위],$U1983)&amp;"")</f>
        <v/>
      </c>
      <c r="M1983">
        <f>IF($U1983="","",IF(ISNUMBER(INDEX(상세표[근무일자],$U1983)),TEXT(INDEX(상세표[근무일자],$U1983),"yyyy-mm-dd"),INDEX(상세표[근무일자],$U1983)&amp;""))</f>
        <v/>
      </c>
      <c r="N1983">
        <f>IF($U1983="","",IF(ISNUMBER(INDEX(상세표[시작],$U1983)),TEXT(INDEX(상세표[시작],$U1983),"yyyy-mm-dd hh:mm"),INDEX(상세표[시작],$U1983)&amp;""))</f>
        <v/>
      </c>
      <c r="O1983">
        <f>IF($U1983="","",IF(ISNUMBER(INDEX(상세표[종료],$U1983)),TEXT(INDEX(상세표[종료],$U1983),"yyyy-mm-dd hh:mm"),INDEX(상세표[종료],$U1983)&amp;""))</f>
        <v/>
      </c>
      <c r="P1983" s="20">
        <f>IF($U1983="","",INDEX(상세표[06~07시],$U1983))</f>
        <v/>
      </c>
      <c r="Q1983" s="20">
        <f>IF($U1983="","",INDEX(상세표[07~18시],$U1983))</f>
        <v/>
      </c>
      <c r="R1983" s="20">
        <f>IF($U1983="","",INDEX(상세표[18~22시],$U1983))</f>
        <v/>
      </c>
      <c r="S1983" s="20">
        <f>IF($U1983="","",INDEX(상세표[22~06시],$U1983))</f>
        <v/>
      </c>
      <c r="T1983" s="20">
        <f>IF($U1983="","",INDEX(상세표[기록 시간외],$U1983))</f>
        <v/>
      </c>
      <c r="U1983" s="4">
        <f>IFERROR(MATCH(1978,상세표[발송순번],0),"")</f>
        <v/>
      </c>
    </row>
    <row r="1984">
      <c r="J1984">
        <f>IF($U1984="","",INDEX(상세표[사번],$U1984)&amp;"")</f>
        <v/>
      </c>
      <c r="K1984">
        <f>IF($U1984="","",INDEX(상세표[성명],$U1984)&amp;"")</f>
        <v/>
      </c>
      <c r="L1984">
        <f>IF($U1984="","",INDEX(상세표[직위],$U1984)&amp;"")</f>
        <v/>
      </c>
      <c r="M1984">
        <f>IF($U1984="","",IF(ISNUMBER(INDEX(상세표[근무일자],$U1984)),TEXT(INDEX(상세표[근무일자],$U1984),"yyyy-mm-dd"),INDEX(상세표[근무일자],$U1984)&amp;""))</f>
        <v/>
      </c>
      <c r="N1984">
        <f>IF($U1984="","",IF(ISNUMBER(INDEX(상세표[시작],$U1984)),TEXT(INDEX(상세표[시작],$U1984),"yyyy-mm-dd hh:mm"),INDEX(상세표[시작],$U1984)&amp;""))</f>
        <v/>
      </c>
      <c r="O1984">
        <f>IF($U1984="","",IF(ISNUMBER(INDEX(상세표[종료],$U1984)),TEXT(INDEX(상세표[종료],$U1984),"yyyy-mm-dd hh:mm"),INDEX(상세표[종료],$U1984)&amp;""))</f>
        <v/>
      </c>
      <c r="P1984" s="20">
        <f>IF($U1984="","",INDEX(상세표[06~07시],$U1984))</f>
        <v/>
      </c>
      <c r="Q1984" s="20">
        <f>IF($U1984="","",INDEX(상세표[07~18시],$U1984))</f>
        <v/>
      </c>
      <c r="R1984" s="20">
        <f>IF($U1984="","",INDEX(상세표[18~22시],$U1984))</f>
        <v/>
      </c>
      <c r="S1984" s="20">
        <f>IF($U1984="","",INDEX(상세표[22~06시],$U1984))</f>
        <v/>
      </c>
      <c r="T1984" s="20">
        <f>IF($U1984="","",INDEX(상세표[기록 시간외],$U1984))</f>
        <v/>
      </c>
      <c r="U1984" s="4">
        <f>IFERROR(MATCH(1979,상세표[발송순번],0),"")</f>
        <v/>
      </c>
    </row>
    <row r="1985">
      <c r="J1985">
        <f>IF($U1985="","",INDEX(상세표[사번],$U1985)&amp;"")</f>
        <v/>
      </c>
      <c r="K1985">
        <f>IF($U1985="","",INDEX(상세표[성명],$U1985)&amp;"")</f>
        <v/>
      </c>
      <c r="L1985">
        <f>IF($U1985="","",INDEX(상세표[직위],$U1985)&amp;"")</f>
        <v/>
      </c>
      <c r="M1985">
        <f>IF($U1985="","",IF(ISNUMBER(INDEX(상세표[근무일자],$U1985)),TEXT(INDEX(상세표[근무일자],$U1985),"yyyy-mm-dd"),INDEX(상세표[근무일자],$U1985)&amp;""))</f>
        <v/>
      </c>
      <c r="N1985">
        <f>IF($U1985="","",IF(ISNUMBER(INDEX(상세표[시작],$U1985)),TEXT(INDEX(상세표[시작],$U1985),"yyyy-mm-dd hh:mm"),INDEX(상세표[시작],$U1985)&amp;""))</f>
        <v/>
      </c>
      <c r="O1985">
        <f>IF($U1985="","",IF(ISNUMBER(INDEX(상세표[종료],$U1985)),TEXT(INDEX(상세표[종료],$U1985),"yyyy-mm-dd hh:mm"),INDEX(상세표[종료],$U1985)&amp;""))</f>
        <v/>
      </c>
      <c r="P1985" s="20">
        <f>IF($U1985="","",INDEX(상세표[06~07시],$U1985))</f>
        <v/>
      </c>
      <c r="Q1985" s="20">
        <f>IF($U1985="","",INDEX(상세표[07~18시],$U1985))</f>
        <v/>
      </c>
      <c r="R1985" s="20">
        <f>IF($U1985="","",INDEX(상세표[18~22시],$U1985))</f>
        <v/>
      </c>
      <c r="S1985" s="20">
        <f>IF($U1985="","",INDEX(상세표[22~06시],$U1985))</f>
        <v/>
      </c>
      <c r="T1985" s="20">
        <f>IF($U1985="","",INDEX(상세표[기록 시간외],$U1985))</f>
        <v/>
      </c>
      <c r="U1985" s="4">
        <f>IFERROR(MATCH(1980,상세표[발송순번],0),"")</f>
        <v/>
      </c>
    </row>
    <row r="1986">
      <c r="J1986">
        <f>IF($U1986="","",INDEX(상세표[사번],$U1986)&amp;"")</f>
        <v/>
      </c>
      <c r="K1986">
        <f>IF($U1986="","",INDEX(상세표[성명],$U1986)&amp;"")</f>
        <v/>
      </c>
      <c r="L1986">
        <f>IF($U1986="","",INDEX(상세표[직위],$U1986)&amp;"")</f>
        <v/>
      </c>
      <c r="M1986">
        <f>IF($U1986="","",IF(ISNUMBER(INDEX(상세표[근무일자],$U1986)),TEXT(INDEX(상세표[근무일자],$U1986),"yyyy-mm-dd"),INDEX(상세표[근무일자],$U1986)&amp;""))</f>
        <v/>
      </c>
      <c r="N1986">
        <f>IF($U1986="","",IF(ISNUMBER(INDEX(상세표[시작],$U1986)),TEXT(INDEX(상세표[시작],$U1986),"yyyy-mm-dd hh:mm"),INDEX(상세표[시작],$U1986)&amp;""))</f>
        <v/>
      </c>
      <c r="O1986">
        <f>IF($U1986="","",IF(ISNUMBER(INDEX(상세표[종료],$U1986)),TEXT(INDEX(상세표[종료],$U1986),"yyyy-mm-dd hh:mm"),INDEX(상세표[종료],$U1986)&amp;""))</f>
        <v/>
      </c>
      <c r="P1986" s="20">
        <f>IF($U1986="","",INDEX(상세표[06~07시],$U1986))</f>
        <v/>
      </c>
      <c r="Q1986" s="20">
        <f>IF($U1986="","",INDEX(상세표[07~18시],$U1986))</f>
        <v/>
      </c>
      <c r="R1986" s="20">
        <f>IF($U1986="","",INDEX(상세표[18~22시],$U1986))</f>
        <v/>
      </c>
      <c r="S1986" s="20">
        <f>IF($U1986="","",INDEX(상세표[22~06시],$U1986))</f>
        <v/>
      </c>
      <c r="T1986" s="20">
        <f>IF($U1986="","",INDEX(상세표[기록 시간외],$U1986))</f>
        <v/>
      </c>
      <c r="U1986" s="4">
        <f>IFERROR(MATCH(1981,상세표[발송순번],0),"")</f>
        <v/>
      </c>
    </row>
    <row r="1987">
      <c r="J1987">
        <f>IF($U1987="","",INDEX(상세표[사번],$U1987)&amp;"")</f>
        <v/>
      </c>
      <c r="K1987">
        <f>IF($U1987="","",INDEX(상세표[성명],$U1987)&amp;"")</f>
        <v/>
      </c>
      <c r="L1987">
        <f>IF($U1987="","",INDEX(상세표[직위],$U1987)&amp;"")</f>
        <v/>
      </c>
      <c r="M1987">
        <f>IF($U1987="","",IF(ISNUMBER(INDEX(상세표[근무일자],$U1987)),TEXT(INDEX(상세표[근무일자],$U1987),"yyyy-mm-dd"),INDEX(상세표[근무일자],$U1987)&amp;""))</f>
        <v/>
      </c>
      <c r="N1987">
        <f>IF($U1987="","",IF(ISNUMBER(INDEX(상세표[시작],$U1987)),TEXT(INDEX(상세표[시작],$U1987),"yyyy-mm-dd hh:mm"),INDEX(상세표[시작],$U1987)&amp;""))</f>
        <v/>
      </c>
      <c r="O1987">
        <f>IF($U1987="","",IF(ISNUMBER(INDEX(상세표[종료],$U1987)),TEXT(INDEX(상세표[종료],$U1987),"yyyy-mm-dd hh:mm"),INDEX(상세표[종료],$U1987)&amp;""))</f>
        <v/>
      </c>
      <c r="P1987" s="20">
        <f>IF($U1987="","",INDEX(상세표[06~07시],$U1987))</f>
        <v/>
      </c>
      <c r="Q1987" s="20">
        <f>IF($U1987="","",INDEX(상세표[07~18시],$U1987))</f>
        <v/>
      </c>
      <c r="R1987" s="20">
        <f>IF($U1987="","",INDEX(상세표[18~22시],$U1987))</f>
        <v/>
      </c>
      <c r="S1987" s="20">
        <f>IF($U1987="","",INDEX(상세표[22~06시],$U1987))</f>
        <v/>
      </c>
      <c r="T1987" s="20">
        <f>IF($U1987="","",INDEX(상세표[기록 시간외],$U1987))</f>
        <v/>
      </c>
      <c r="U1987" s="4">
        <f>IFERROR(MATCH(1982,상세표[발송순번],0),"")</f>
        <v/>
      </c>
    </row>
    <row r="1988">
      <c r="J1988">
        <f>IF($U1988="","",INDEX(상세표[사번],$U1988)&amp;"")</f>
        <v/>
      </c>
      <c r="K1988">
        <f>IF($U1988="","",INDEX(상세표[성명],$U1988)&amp;"")</f>
        <v/>
      </c>
      <c r="L1988">
        <f>IF($U1988="","",INDEX(상세표[직위],$U1988)&amp;"")</f>
        <v/>
      </c>
      <c r="M1988">
        <f>IF($U1988="","",IF(ISNUMBER(INDEX(상세표[근무일자],$U1988)),TEXT(INDEX(상세표[근무일자],$U1988),"yyyy-mm-dd"),INDEX(상세표[근무일자],$U1988)&amp;""))</f>
        <v/>
      </c>
      <c r="N1988">
        <f>IF($U1988="","",IF(ISNUMBER(INDEX(상세표[시작],$U1988)),TEXT(INDEX(상세표[시작],$U1988),"yyyy-mm-dd hh:mm"),INDEX(상세표[시작],$U1988)&amp;""))</f>
        <v/>
      </c>
      <c r="O1988">
        <f>IF($U1988="","",IF(ISNUMBER(INDEX(상세표[종료],$U1988)),TEXT(INDEX(상세표[종료],$U1988),"yyyy-mm-dd hh:mm"),INDEX(상세표[종료],$U1988)&amp;""))</f>
        <v/>
      </c>
      <c r="P1988" s="20">
        <f>IF($U1988="","",INDEX(상세표[06~07시],$U1988))</f>
        <v/>
      </c>
      <c r="Q1988" s="20">
        <f>IF($U1988="","",INDEX(상세표[07~18시],$U1988))</f>
        <v/>
      </c>
      <c r="R1988" s="20">
        <f>IF($U1988="","",INDEX(상세표[18~22시],$U1988))</f>
        <v/>
      </c>
      <c r="S1988" s="20">
        <f>IF($U1988="","",INDEX(상세표[22~06시],$U1988))</f>
        <v/>
      </c>
      <c r="T1988" s="20">
        <f>IF($U1988="","",INDEX(상세표[기록 시간외],$U1988))</f>
        <v/>
      </c>
      <c r="U1988" s="4">
        <f>IFERROR(MATCH(1983,상세표[발송순번],0),"")</f>
        <v/>
      </c>
    </row>
    <row r="1989">
      <c r="J1989">
        <f>IF($U1989="","",INDEX(상세표[사번],$U1989)&amp;"")</f>
        <v/>
      </c>
      <c r="K1989">
        <f>IF($U1989="","",INDEX(상세표[성명],$U1989)&amp;"")</f>
        <v/>
      </c>
      <c r="L1989">
        <f>IF($U1989="","",INDEX(상세표[직위],$U1989)&amp;"")</f>
        <v/>
      </c>
      <c r="M1989">
        <f>IF($U1989="","",IF(ISNUMBER(INDEX(상세표[근무일자],$U1989)),TEXT(INDEX(상세표[근무일자],$U1989),"yyyy-mm-dd"),INDEX(상세표[근무일자],$U1989)&amp;""))</f>
        <v/>
      </c>
      <c r="N1989">
        <f>IF($U1989="","",IF(ISNUMBER(INDEX(상세표[시작],$U1989)),TEXT(INDEX(상세표[시작],$U1989),"yyyy-mm-dd hh:mm"),INDEX(상세표[시작],$U1989)&amp;""))</f>
        <v/>
      </c>
      <c r="O1989">
        <f>IF($U1989="","",IF(ISNUMBER(INDEX(상세표[종료],$U1989)),TEXT(INDEX(상세표[종료],$U1989),"yyyy-mm-dd hh:mm"),INDEX(상세표[종료],$U1989)&amp;""))</f>
        <v/>
      </c>
      <c r="P1989" s="20">
        <f>IF($U1989="","",INDEX(상세표[06~07시],$U1989))</f>
        <v/>
      </c>
      <c r="Q1989" s="20">
        <f>IF($U1989="","",INDEX(상세표[07~18시],$U1989))</f>
        <v/>
      </c>
      <c r="R1989" s="20">
        <f>IF($U1989="","",INDEX(상세표[18~22시],$U1989))</f>
        <v/>
      </c>
      <c r="S1989" s="20">
        <f>IF($U1989="","",INDEX(상세표[22~06시],$U1989))</f>
        <v/>
      </c>
      <c r="T1989" s="20">
        <f>IF($U1989="","",INDEX(상세표[기록 시간외],$U1989))</f>
        <v/>
      </c>
      <c r="U1989" s="4">
        <f>IFERROR(MATCH(1984,상세표[발송순번],0),"")</f>
        <v/>
      </c>
    </row>
    <row r="1990">
      <c r="J1990">
        <f>IF($U1990="","",INDEX(상세표[사번],$U1990)&amp;"")</f>
        <v/>
      </c>
      <c r="K1990">
        <f>IF($U1990="","",INDEX(상세표[성명],$U1990)&amp;"")</f>
        <v/>
      </c>
      <c r="L1990">
        <f>IF($U1990="","",INDEX(상세표[직위],$U1990)&amp;"")</f>
        <v/>
      </c>
      <c r="M1990">
        <f>IF($U1990="","",IF(ISNUMBER(INDEX(상세표[근무일자],$U1990)),TEXT(INDEX(상세표[근무일자],$U1990),"yyyy-mm-dd"),INDEX(상세표[근무일자],$U1990)&amp;""))</f>
        <v/>
      </c>
      <c r="N1990">
        <f>IF($U1990="","",IF(ISNUMBER(INDEX(상세표[시작],$U1990)),TEXT(INDEX(상세표[시작],$U1990),"yyyy-mm-dd hh:mm"),INDEX(상세표[시작],$U1990)&amp;""))</f>
        <v/>
      </c>
      <c r="O1990">
        <f>IF($U1990="","",IF(ISNUMBER(INDEX(상세표[종료],$U1990)),TEXT(INDEX(상세표[종료],$U1990),"yyyy-mm-dd hh:mm"),INDEX(상세표[종료],$U1990)&amp;""))</f>
        <v/>
      </c>
      <c r="P1990" s="20">
        <f>IF($U1990="","",INDEX(상세표[06~07시],$U1990))</f>
        <v/>
      </c>
      <c r="Q1990" s="20">
        <f>IF($U1990="","",INDEX(상세표[07~18시],$U1990))</f>
        <v/>
      </c>
      <c r="R1990" s="20">
        <f>IF($U1990="","",INDEX(상세표[18~22시],$U1990))</f>
        <v/>
      </c>
      <c r="S1990" s="20">
        <f>IF($U1990="","",INDEX(상세표[22~06시],$U1990))</f>
        <v/>
      </c>
      <c r="T1990" s="20">
        <f>IF($U1990="","",INDEX(상세표[기록 시간외],$U1990))</f>
        <v/>
      </c>
      <c r="U1990" s="4">
        <f>IFERROR(MATCH(1985,상세표[발송순번],0),"")</f>
        <v/>
      </c>
    </row>
    <row r="1991">
      <c r="J1991">
        <f>IF($U1991="","",INDEX(상세표[사번],$U1991)&amp;"")</f>
        <v/>
      </c>
      <c r="K1991">
        <f>IF($U1991="","",INDEX(상세표[성명],$U1991)&amp;"")</f>
        <v/>
      </c>
      <c r="L1991">
        <f>IF($U1991="","",INDEX(상세표[직위],$U1991)&amp;"")</f>
        <v/>
      </c>
      <c r="M1991">
        <f>IF($U1991="","",IF(ISNUMBER(INDEX(상세표[근무일자],$U1991)),TEXT(INDEX(상세표[근무일자],$U1991),"yyyy-mm-dd"),INDEX(상세표[근무일자],$U1991)&amp;""))</f>
        <v/>
      </c>
      <c r="N1991">
        <f>IF($U1991="","",IF(ISNUMBER(INDEX(상세표[시작],$U1991)),TEXT(INDEX(상세표[시작],$U1991),"yyyy-mm-dd hh:mm"),INDEX(상세표[시작],$U1991)&amp;""))</f>
        <v/>
      </c>
      <c r="O1991">
        <f>IF($U1991="","",IF(ISNUMBER(INDEX(상세표[종료],$U1991)),TEXT(INDEX(상세표[종료],$U1991),"yyyy-mm-dd hh:mm"),INDEX(상세표[종료],$U1991)&amp;""))</f>
        <v/>
      </c>
      <c r="P1991" s="20">
        <f>IF($U1991="","",INDEX(상세표[06~07시],$U1991))</f>
        <v/>
      </c>
      <c r="Q1991" s="20">
        <f>IF($U1991="","",INDEX(상세표[07~18시],$U1991))</f>
        <v/>
      </c>
      <c r="R1991" s="20">
        <f>IF($U1991="","",INDEX(상세표[18~22시],$U1991))</f>
        <v/>
      </c>
      <c r="S1991" s="20">
        <f>IF($U1991="","",INDEX(상세표[22~06시],$U1991))</f>
        <v/>
      </c>
      <c r="T1991" s="20">
        <f>IF($U1991="","",INDEX(상세표[기록 시간외],$U1991))</f>
        <v/>
      </c>
      <c r="U1991" s="4">
        <f>IFERROR(MATCH(1986,상세표[발송순번],0),"")</f>
        <v/>
      </c>
    </row>
    <row r="1992">
      <c r="J1992">
        <f>IF($U1992="","",INDEX(상세표[사번],$U1992)&amp;"")</f>
        <v/>
      </c>
      <c r="K1992">
        <f>IF($U1992="","",INDEX(상세표[성명],$U1992)&amp;"")</f>
        <v/>
      </c>
      <c r="L1992">
        <f>IF($U1992="","",INDEX(상세표[직위],$U1992)&amp;"")</f>
        <v/>
      </c>
      <c r="M1992">
        <f>IF($U1992="","",IF(ISNUMBER(INDEX(상세표[근무일자],$U1992)),TEXT(INDEX(상세표[근무일자],$U1992),"yyyy-mm-dd"),INDEX(상세표[근무일자],$U1992)&amp;""))</f>
        <v/>
      </c>
      <c r="N1992">
        <f>IF($U1992="","",IF(ISNUMBER(INDEX(상세표[시작],$U1992)),TEXT(INDEX(상세표[시작],$U1992),"yyyy-mm-dd hh:mm"),INDEX(상세표[시작],$U1992)&amp;""))</f>
        <v/>
      </c>
      <c r="O1992">
        <f>IF($U1992="","",IF(ISNUMBER(INDEX(상세표[종료],$U1992)),TEXT(INDEX(상세표[종료],$U1992),"yyyy-mm-dd hh:mm"),INDEX(상세표[종료],$U1992)&amp;""))</f>
        <v/>
      </c>
      <c r="P1992" s="20">
        <f>IF($U1992="","",INDEX(상세표[06~07시],$U1992))</f>
        <v/>
      </c>
      <c r="Q1992" s="20">
        <f>IF($U1992="","",INDEX(상세표[07~18시],$U1992))</f>
        <v/>
      </c>
      <c r="R1992" s="20">
        <f>IF($U1992="","",INDEX(상세표[18~22시],$U1992))</f>
        <v/>
      </c>
      <c r="S1992" s="20">
        <f>IF($U1992="","",INDEX(상세표[22~06시],$U1992))</f>
        <v/>
      </c>
      <c r="T1992" s="20">
        <f>IF($U1992="","",INDEX(상세표[기록 시간외],$U1992))</f>
        <v/>
      </c>
      <c r="U1992" s="4">
        <f>IFERROR(MATCH(1987,상세표[발송순번],0),"")</f>
        <v/>
      </c>
    </row>
    <row r="1993">
      <c r="J1993">
        <f>IF($U1993="","",INDEX(상세표[사번],$U1993)&amp;"")</f>
        <v/>
      </c>
      <c r="K1993">
        <f>IF($U1993="","",INDEX(상세표[성명],$U1993)&amp;"")</f>
        <v/>
      </c>
      <c r="L1993">
        <f>IF($U1993="","",INDEX(상세표[직위],$U1993)&amp;"")</f>
        <v/>
      </c>
      <c r="M1993">
        <f>IF($U1993="","",IF(ISNUMBER(INDEX(상세표[근무일자],$U1993)),TEXT(INDEX(상세표[근무일자],$U1993),"yyyy-mm-dd"),INDEX(상세표[근무일자],$U1993)&amp;""))</f>
        <v/>
      </c>
      <c r="N1993">
        <f>IF($U1993="","",IF(ISNUMBER(INDEX(상세표[시작],$U1993)),TEXT(INDEX(상세표[시작],$U1993),"yyyy-mm-dd hh:mm"),INDEX(상세표[시작],$U1993)&amp;""))</f>
        <v/>
      </c>
      <c r="O1993">
        <f>IF($U1993="","",IF(ISNUMBER(INDEX(상세표[종료],$U1993)),TEXT(INDEX(상세표[종료],$U1993),"yyyy-mm-dd hh:mm"),INDEX(상세표[종료],$U1993)&amp;""))</f>
        <v/>
      </c>
      <c r="P1993" s="20">
        <f>IF($U1993="","",INDEX(상세표[06~07시],$U1993))</f>
        <v/>
      </c>
      <c r="Q1993" s="20">
        <f>IF($U1993="","",INDEX(상세표[07~18시],$U1993))</f>
        <v/>
      </c>
      <c r="R1993" s="20">
        <f>IF($U1993="","",INDEX(상세표[18~22시],$U1993))</f>
        <v/>
      </c>
      <c r="S1993" s="20">
        <f>IF($U1993="","",INDEX(상세표[22~06시],$U1993))</f>
        <v/>
      </c>
      <c r="T1993" s="20">
        <f>IF($U1993="","",INDEX(상세표[기록 시간외],$U1993))</f>
        <v/>
      </c>
      <c r="U1993" s="4">
        <f>IFERROR(MATCH(1988,상세표[발송순번],0),"")</f>
        <v/>
      </c>
    </row>
    <row r="1994">
      <c r="J1994">
        <f>IF($U1994="","",INDEX(상세표[사번],$U1994)&amp;"")</f>
        <v/>
      </c>
      <c r="K1994">
        <f>IF($U1994="","",INDEX(상세표[성명],$U1994)&amp;"")</f>
        <v/>
      </c>
      <c r="L1994">
        <f>IF($U1994="","",INDEX(상세표[직위],$U1994)&amp;"")</f>
        <v/>
      </c>
      <c r="M1994">
        <f>IF($U1994="","",IF(ISNUMBER(INDEX(상세표[근무일자],$U1994)),TEXT(INDEX(상세표[근무일자],$U1994),"yyyy-mm-dd"),INDEX(상세표[근무일자],$U1994)&amp;""))</f>
        <v/>
      </c>
      <c r="N1994">
        <f>IF($U1994="","",IF(ISNUMBER(INDEX(상세표[시작],$U1994)),TEXT(INDEX(상세표[시작],$U1994),"yyyy-mm-dd hh:mm"),INDEX(상세표[시작],$U1994)&amp;""))</f>
        <v/>
      </c>
      <c r="O1994">
        <f>IF($U1994="","",IF(ISNUMBER(INDEX(상세표[종료],$U1994)),TEXT(INDEX(상세표[종료],$U1994),"yyyy-mm-dd hh:mm"),INDEX(상세표[종료],$U1994)&amp;""))</f>
        <v/>
      </c>
      <c r="P1994" s="20">
        <f>IF($U1994="","",INDEX(상세표[06~07시],$U1994))</f>
        <v/>
      </c>
      <c r="Q1994" s="20">
        <f>IF($U1994="","",INDEX(상세표[07~18시],$U1994))</f>
        <v/>
      </c>
      <c r="R1994" s="20">
        <f>IF($U1994="","",INDEX(상세표[18~22시],$U1994))</f>
        <v/>
      </c>
      <c r="S1994" s="20">
        <f>IF($U1994="","",INDEX(상세표[22~06시],$U1994))</f>
        <v/>
      </c>
      <c r="T1994" s="20">
        <f>IF($U1994="","",INDEX(상세표[기록 시간외],$U1994))</f>
        <v/>
      </c>
      <c r="U1994" s="4">
        <f>IFERROR(MATCH(1989,상세표[발송순번],0),"")</f>
        <v/>
      </c>
    </row>
    <row r="1995">
      <c r="J1995">
        <f>IF($U1995="","",INDEX(상세표[사번],$U1995)&amp;"")</f>
        <v/>
      </c>
      <c r="K1995">
        <f>IF($U1995="","",INDEX(상세표[성명],$U1995)&amp;"")</f>
        <v/>
      </c>
      <c r="L1995">
        <f>IF($U1995="","",INDEX(상세표[직위],$U1995)&amp;"")</f>
        <v/>
      </c>
      <c r="M1995">
        <f>IF($U1995="","",IF(ISNUMBER(INDEX(상세표[근무일자],$U1995)),TEXT(INDEX(상세표[근무일자],$U1995),"yyyy-mm-dd"),INDEX(상세표[근무일자],$U1995)&amp;""))</f>
        <v/>
      </c>
      <c r="N1995">
        <f>IF($U1995="","",IF(ISNUMBER(INDEX(상세표[시작],$U1995)),TEXT(INDEX(상세표[시작],$U1995),"yyyy-mm-dd hh:mm"),INDEX(상세표[시작],$U1995)&amp;""))</f>
        <v/>
      </c>
      <c r="O1995">
        <f>IF($U1995="","",IF(ISNUMBER(INDEX(상세표[종료],$U1995)),TEXT(INDEX(상세표[종료],$U1995),"yyyy-mm-dd hh:mm"),INDEX(상세표[종료],$U1995)&amp;""))</f>
        <v/>
      </c>
      <c r="P1995" s="20">
        <f>IF($U1995="","",INDEX(상세표[06~07시],$U1995))</f>
        <v/>
      </c>
      <c r="Q1995" s="20">
        <f>IF($U1995="","",INDEX(상세표[07~18시],$U1995))</f>
        <v/>
      </c>
      <c r="R1995" s="20">
        <f>IF($U1995="","",INDEX(상세표[18~22시],$U1995))</f>
        <v/>
      </c>
      <c r="S1995" s="20">
        <f>IF($U1995="","",INDEX(상세표[22~06시],$U1995))</f>
        <v/>
      </c>
      <c r="T1995" s="20">
        <f>IF($U1995="","",INDEX(상세표[기록 시간외],$U1995))</f>
        <v/>
      </c>
      <c r="U1995" s="4">
        <f>IFERROR(MATCH(1990,상세표[발송순번],0),"")</f>
        <v/>
      </c>
    </row>
    <row r="1996">
      <c r="J1996">
        <f>IF($U1996="","",INDEX(상세표[사번],$U1996)&amp;"")</f>
        <v/>
      </c>
      <c r="K1996">
        <f>IF($U1996="","",INDEX(상세표[성명],$U1996)&amp;"")</f>
        <v/>
      </c>
      <c r="L1996">
        <f>IF($U1996="","",INDEX(상세표[직위],$U1996)&amp;"")</f>
        <v/>
      </c>
      <c r="M1996">
        <f>IF($U1996="","",IF(ISNUMBER(INDEX(상세표[근무일자],$U1996)),TEXT(INDEX(상세표[근무일자],$U1996),"yyyy-mm-dd"),INDEX(상세표[근무일자],$U1996)&amp;""))</f>
        <v/>
      </c>
      <c r="N1996">
        <f>IF($U1996="","",IF(ISNUMBER(INDEX(상세표[시작],$U1996)),TEXT(INDEX(상세표[시작],$U1996),"yyyy-mm-dd hh:mm"),INDEX(상세표[시작],$U1996)&amp;""))</f>
        <v/>
      </c>
      <c r="O1996">
        <f>IF($U1996="","",IF(ISNUMBER(INDEX(상세표[종료],$U1996)),TEXT(INDEX(상세표[종료],$U1996),"yyyy-mm-dd hh:mm"),INDEX(상세표[종료],$U1996)&amp;""))</f>
        <v/>
      </c>
      <c r="P1996" s="20">
        <f>IF($U1996="","",INDEX(상세표[06~07시],$U1996))</f>
        <v/>
      </c>
      <c r="Q1996" s="20">
        <f>IF($U1996="","",INDEX(상세표[07~18시],$U1996))</f>
        <v/>
      </c>
      <c r="R1996" s="20">
        <f>IF($U1996="","",INDEX(상세표[18~22시],$U1996))</f>
        <v/>
      </c>
      <c r="S1996" s="20">
        <f>IF($U1996="","",INDEX(상세표[22~06시],$U1996))</f>
        <v/>
      </c>
      <c r="T1996" s="20">
        <f>IF($U1996="","",INDEX(상세표[기록 시간외],$U1996))</f>
        <v/>
      </c>
      <c r="U1996" s="4">
        <f>IFERROR(MATCH(1991,상세표[발송순번],0),"")</f>
        <v/>
      </c>
    </row>
    <row r="1997">
      <c r="J1997">
        <f>IF($U1997="","",INDEX(상세표[사번],$U1997)&amp;"")</f>
        <v/>
      </c>
      <c r="K1997">
        <f>IF($U1997="","",INDEX(상세표[성명],$U1997)&amp;"")</f>
        <v/>
      </c>
      <c r="L1997">
        <f>IF($U1997="","",INDEX(상세표[직위],$U1997)&amp;"")</f>
        <v/>
      </c>
      <c r="M1997">
        <f>IF($U1997="","",IF(ISNUMBER(INDEX(상세표[근무일자],$U1997)),TEXT(INDEX(상세표[근무일자],$U1997),"yyyy-mm-dd"),INDEX(상세표[근무일자],$U1997)&amp;""))</f>
        <v/>
      </c>
      <c r="N1997">
        <f>IF($U1997="","",IF(ISNUMBER(INDEX(상세표[시작],$U1997)),TEXT(INDEX(상세표[시작],$U1997),"yyyy-mm-dd hh:mm"),INDEX(상세표[시작],$U1997)&amp;""))</f>
        <v/>
      </c>
      <c r="O1997">
        <f>IF($U1997="","",IF(ISNUMBER(INDEX(상세표[종료],$U1997)),TEXT(INDEX(상세표[종료],$U1997),"yyyy-mm-dd hh:mm"),INDEX(상세표[종료],$U1997)&amp;""))</f>
        <v/>
      </c>
      <c r="P1997" s="20">
        <f>IF($U1997="","",INDEX(상세표[06~07시],$U1997))</f>
        <v/>
      </c>
      <c r="Q1997" s="20">
        <f>IF($U1997="","",INDEX(상세표[07~18시],$U1997))</f>
        <v/>
      </c>
      <c r="R1997" s="20">
        <f>IF($U1997="","",INDEX(상세표[18~22시],$U1997))</f>
        <v/>
      </c>
      <c r="S1997" s="20">
        <f>IF($U1997="","",INDEX(상세표[22~06시],$U1997))</f>
        <v/>
      </c>
      <c r="T1997" s="20">
        <f>IF($U1997="","",INDEX(상세표[기록 시간외],$U1997))</f>
        <v/>
      </c>
      <c r="U1997" s="4">
        <f>IFERROR(MATCH(1992,상세표[발송순번],0),"")</f>
        <v/>
      </c>
    </row>
    <row r="1998">
      <c r="J1998">
        <f>IF($U1998="","",INDEX(상세표[사번],$U1998)&amp;"")</f>
        <v/>
      </c>
      <c r="K1998">
        <f>IF($U1998="","",INDEX(상세표[성명],$U1998)&amp;"")</f>
        <v/>
      </c>
      <c r="L1998">
        <f>IF($U1998="","",INDEX(상세표[직위],$U1998)&amp;"")</f>
        <v/>
      </c>
      <c r="M1998">
        <f>IF($U1998="","",IF(ISNUMBER(INDEX(상세표[근무일자],$U1998)),TEXT(INDEX(상세표[근무일자],$U1998),"yyyy-mm-dd"),INDEX(상세표[근무일자],$U1998)&amp;""))</f>
        <v/>
      </c>
      <c r="N1998">
        <f>IF($U1998="","",IF(ISNUMBER(INDEX(상세표[시작],$U1998)),TEXT(INDEX(상세표[시작],$U1998),"yyyy-mm-dd hh:mm"),INDEX(상세표[시작],$U1998)&amp;""))</f>
        <v/>
      </c>
      <c r="O1998">
        <f>IF($U1998="","",IF(ISNUMBER(INDEX(상세표[종료],$U1998)),TEXT(INDEX(상세표[종료],$U1998),"yyyy-mm-dd hh:mm"),INDEX(상세표[종료],$U1998)&amp;""))</f>
        <v/>
      </c>
      <c r="P1998" s="20">
        <f>IF($U1998="","",INDEX(상세표[06~07시],$U1998))</f>
        <v/>
      </c>
      <c r="Q1998" s="20">
        <f>IF($U1998="","",INDEX(상세표[07~18시],$U1998))</f>
        <v/>
      </c>
      <c r="R1998" s="20">
        <f>IF($U1998="","",INDEX(상세표[18~22시],$U1998))</f>
        <v/>
      </c>
      <c r="S1998" s="20">
        <f>IF($U1998="","",INDEX(상세표[22~06시],$U1998))</f>
        <v/>
      </c>
      <c r="T1998" s="20">
        <f>IF($U1998="","",INDEX(상세표[기록 시간외],$U1998))</f>
        <v/>
      </c>
      <c r="U1998" s="4">
        <f>IFERROR(MATCH(1993,상세표[발송순번],0),"")</f>
        <v/>
      </c>
    </row>
    <row r="1999">
      <c r="J1999">
        <f>IF($U1999="","",INDEX(상세표[사번],$U1999)&amp;"")</f>
        <v/>
      </c>
      <c r="K1999">
        <f>IF($U1999="","",INDEX(상세표[성명],$U1999)&amp;"")</f>
        <v/>
      </c>
      <c r="L1999">
        <f>IF($U1999="","",INDEX(상세표[직위],$U1999)&amp;"")</f>
        <v/>
      </c>
      <c r="M1999">
        <f>IF($U1999="","",IF(ISNUMBER(INDEX(상세표[근무일자],$U1999)),TEXT(INDEX(상세표[근무일자],$U1999),"yyyy-mm-dd"),INDEX(상세표[근무일자],$U1999)&amp;""))</f>
        <v/>
      </c>
      <c r="N1999">
        <f>IF($U1999="","",IF(ISNUMBER(INDEX(상세표[시작],$U1999)),TEXT(INDEX(상세표[시작],$U1999),"yyyy-mm-dd hh:mm"),INDEX(상세표[시작],$U1999)&amp;""))</f>
        <v/>
      </c>
      <c r="O1999">
        <f>IF($U1999="","",IF(ISNUMBER(INDEX(상세표[종료],$U1999)),TEXT(INDEX(상세표[종료],$U1999),"yyyy-mm-dd hh:mm"),INDEX(상세표[종료],$U1999)&amp;""))</f>
        <v/>
      </c>
      <c r="P1999" s="20">
        <f>IF($U1999="","",INDEX(상세표[06~07시],$U1999))</f>
        <v/>
      </c>
      <c r="Q1999" s="20">
        <f>IF($U1999="","",INDEX(상세표[07~18시],$U1999))</f>
        <v/>
      </c>
      <c r="R1999" s="20">
        <f>IF($U1999="","",INDEX(상세표[18~22시],$U1999))</f>
        <v/>
      </c>
      <c r="S1999" s="20">
        <f>IF($U1999="","",INDEX(상세표[22~06시],$U1999))</f>
        <v/>
      </c>
      <c r="T1999" s="20">
        <f>IF($U1999="","",INDEX(상세표[기록 시간외],$U1999))</f>
        <v/>
      </c>
      <c r="U1999" s="4">
        <f>IFERROR(MATCH(1994,상세표[발송순번],0),"")</f>
        <v/>
      </c>
    </row>
    <row r="2000">
      <c r="J2000">
        <f>IF($U2000="","",INDEX(상세표[사번],$U2000)&amp;"")</f>
        <v/>
      </c>
      <c r="K2000">
        <f>IF($U2000="","",INDEX(상세표[성명],$U2000)&amp;"")</f>
        <v/>
      </c>
      <c r="L2000">
        <f>IF($U2000="","",INDEX(상세표[직위],$U2000)&amp;"")</f>
        <v/>
      </c>
      <c r="M2000">
        <f>IF($U2000="","",IF(ISNUMBER(INDEX(상세표[근무일자],$U2000)),TEXT(INDEX(상세표[근무일자],$U2000),"yyyy-mm-dd"),INDEX(상세표[근무일자],$U2000)&amp;""))</f>
        <v/>
      </c>
      <c r="N2000">
        <f>IF($U2000="","",IF(ISNUMBER(INDEX(상세표[시작],$U2000)),TEXT(INDEX(상세표[시작],$U2000),"yyyy-mm-dd hh:mm"),INDEX(상세표[시작],$U2000)&amp;""))</f>
        <v/>
      </c>
      <c r="O2000">
        <f>IF($U2000="","",IF(ISNUMBER(INDEX(상세표[종료],$U2000)),TEXT(INDEX(상세표[종료],$U2000),"yyyy-mm-dd hh:mm"),INDEX(상세표[종료],$U2000)&amp;""))</f>
        <v/>
      </c>
      <c r="P2000" s="20">
        <f>IF($U2000="","",INDEX(상세표[06~07시],$U2000))</f>
        <v/>
      </c>
      <c r="Q2000" s="20">
        <f>IF($U2000="","",INDEX(상세표[07~18시],$U2000))</f>
        <v/>
      </c>
      <c r="R2000" s="20">
        <f>IF($U2000="","",INDEX(상세표[18~22시],$U2000))</f>
        <v/>
      </c>
      <c r="S2000" s="20">
        <f>IF($U2000="","",INDEX(상세표[22~06시],$U2000))</f>
        <v/>
      </c>
      <c r="T2000" s="20">
        <f>IF($U2000="","",INDEX(상세표[기록 시간외],$U2000))</f>
        <v/>
      </c>
      <c r="U2000" s="4">
        <f>IFERROR(MATCH(1995,상세표[발송순번],0),"")</f>
        <v/>
      </c>
    </row>
    <row r="2001">
      <c r="J2001">
        <f>IF($U2001="","",INDEX(상세표[사번],$U2001)&amp;"")</f>
        <v/>
      </c>
      <c r="K2001">
        <f>IF($U2001="","",INDEX(상세표[성명],$U2001)&amp;"")</f>
        <v/>
      </c>
      <c r="L2001">
        <f>IF($U2001="","",INDEX(상세표[직위],$U2001)&amp;"")</f>
        <v/>
      </c>
      <c r="M2001">
        <f>IF($U2001="","",IF(ISNUMBER(INDEX(상세표[근무일자],$U2001)),TEXT(INDEX(상세표[근무일자],$U2001),"yyyy-mm-dd"),INDEX(상세표[근무일자],$U2001)&amp;""))</f>
        <v/>
      </c>
      <c r="N2001">
        <f>IF($U2001="","",IF(ISNUMBER(INDEX(상세표[시작],$U2001)),TEXT(INDEX(상세표[시작],$U2001),"yyyy-mm-dd hh:mm"),INDEX(상세표[시작],$U2001)&amp;""))</f>
        <v/>
      </c>
      <c r="O2001">
        <f>IF($U2001="","",IF(ISNUMBER(INDEX(상세표[종료],$U2001)),TEXT(INDEX(상세표[종료],$U2001),"yyyy-mm-dd hh:mm"),INDEX(상세표[종료],$U2001)&amp;""))</f>
        <v/>
      </c>
      <c r="P2001" s="20">
        <f>IF($U2001="","",INDEX(상세표[06~07시],$U2001))</f>
        <v/>
      </c>
      <c r="Q2001" s="20">
        <f>IF($U2001="","",INDEX(상세표[07~18시],$U2001))</f>
        <v/>
      </c>
      <c r="R2001" s="20">
        <f>IF($U2001="","",INDEX(상세표[18~22시],$U2001))</f>
        <v/>
      </c>
      <c r="S2001" s="20">
        <f>IF($U2001="","",INDEX(상세표[22~06시],$U2001))</f>
        <v/>
      </c>
      <c r="T2001" s="20">
        <f>IF($U2001="","",INDEX(상세표[기록 시간외],$U2001))</f>
        <v/>
      </c>
      <c r="U2001" s="4">
        <f>IFERROR(MATCH(1996,상세표[발송순번],0),"")</f>
        <v/>
      </c>
    </row>
    <row r="2002">
      <c r="J2002">
        <f>IF($U2002="","",INDEX(상세표[사번],$U2002)&amp;"")</f>
        <v/>
      </c>
      <c r="K2002">
        <f>IF($U2002="","",INDEX(상세표[성명],$U2002)&amp;"")</f>
        <v/>
      </c>
      <c r="L2002">
        <f>IF($U2002="","",INDEX(상세표[직위],$U2002)&amp;"")</f>
        <v/>
      </c>
      <c r="M2002">
        <f>IF($U2002="","",IF(ISNUMBER(INDEX(상세표[근무일자],$U2002)),TEXT(INDEX(상세표[근무일자],$U2002),"yyyy-mm-dd"),INDEX(상세표[근무일자],$U2002)&amp;""))</f>
        <v/>
      </c>
      <c r="N2002">
        <f>IF($U2002="","",IF(ISNUMBER(INDEX(상세표[시작],$U2002)),TEXT(INDEX(상세표[시작],$U2002),"yyyy-mm-dd hh:mm"),INDEX(상세표[시작],$U2002)&amp;""))</f>
        <v/>
      </c>
      <c r="O2002">
        <f>IF($U2002="","",IF(ISNUMBER(INDEX(상세표[종료],$U2002)),TEXT(INDEX(상세표[종료],$U2002),"yyyy-mm-dd hh:mm"),INDEX(상세표[종료],$U2002)&amp;""))</f>
        <v/>
      </c>
      <c r="P2002" s="20">
        <f>IF($U2002="","",INDEX(상세표[06~07시],$U2002))</f>
        <v/>
      </c>
      <c r="Q2002" s="20">
        <f>IF($U2002="","",INDEX(상세표[07~18시],$U2002))</f>
        <v/>
      </c>
      <c r="R2002" s="20">
        <f>IF($U2002="","",INDEX(상세표[18~22시],$U2002))</f>
        <v/>
      </c>
      <c r="S2002" s="20">
        <f>IF($U2002="","",INDEX(상세표[22~06시],$U2002))</f>
        <v/>
      </c>
      <c r="T2002" s="20">
        <f>IF($U2002="","",INDEX(상세표[기록 시간외],$U2002))</f>
        <v/>
      </c>
      <c r="U2002" s="4">
        <f>IFERROR(MATCH(1997,상세표[발송순번],0),"")</f>
        <v/>
      </c>
    </row>
    <row r="2003">
      <c r="J2003">
        <f>IF($U2003="","",INDEX(상세표[사번],$U2003)&amp;"")</f>
        <v/>
      </c>
      <c r="K2003">
        <f>IF($U2003="","",INDEX(상세표[성명],$U2003)&amp;"")</f>
        <v/>
      </c>
      <c r="L2003">
        <f>IF($U2003="","",INDEX(상세표[직위],$U2003)&amp;"")</f>
        <v/>
      </c>
      <c r="M2003">
        <f>IF($U2003="","",IF(ISNUMBER(INDEX(상세표[근무일자],$U2003)),TEXT(INDEX(상세표[근무일자],$U2003),"yyyy-mm-dd"),INDEX(상세표[근무일자],$U2003)&amp;""))</f>
        <v/>
      </c>
      <c r="N2003">
        <f>IF($U2003="","",IF(ISNUMBER(INDEX(상세표[시작],$U2003)),TEXT(INDEX(상세표[시작],$U2003),"yyyy-mm-dd hh:mm"),INDEX(상세표[시작],$U2003)&amp;""))</f>
        <v/>
      </c>
      <c r="O2003">
        <f>IF($U2003="","",IF(ISNUMBER(INDEX(상세표[종료],$U2003)),TEXT(INDEX(상세표[종료],$U2003),"yyyy-mm-dd hh:mm"),INDEX(상세표[종료],$U2003)&amp;""))</f>
        <v/>
      </c>
      <c r="P2003" s="20">
        <f>IF($U2003="","",INDEX(상세표[06~07시],$U2003))</f>
        <v/>
      </c>
      <c r="Q2003" s="20">
        <f>IF($U2003="","",INDEX(상세표[07~18시],$U2003))</f>
        <v/>
      </c>
      <c r="R2003" s="20">
        <f>IF($U2003="","",INDEX(상세표[18~22시],$U2003))</f>
        <v/>
      </c>
      <c r="S2003" s="20">
        <f>IF($U2003="","",INDEX(상세표[22~06시],$U2003))</f>
        <v/>
      </c>
      <c r="T2003" s="20">
        <f>IF($U2003="","",INDEX(상세표[기록 시간외],$U2003))</f>
        <v/>
      </c>
      <c r="U2003" s="4">
        <f>IFERROR(MATCH(1998,상세표[발송순번],0),"")</f>
        <v/>
      </c>
    </row>
    <row r="2004">
      <c r="J2004">
        <f>IF($U2004="","",INDEX(상세표[사번],$U2004)&amp;"")</f>
        <v/>
      </c>
      <c r="K2004">
        <f>IF($U2004="","",INDEX(상세표[성명],$U2004)&amp;"")</f>
        <v/>
      </c>
      <c r="L2004">
        <f>IF($U2004="","",INDEX(상세표[직위],$U2004)&amp;"")</f>
        <v/>
      </c>
      <c r="M2004">
        <f>IF($U2004="","",IF(ISNUMBER(INDEX(상세표[근무일자],$U2004)),TEXT(INDEX(상세표[근무일자],$U2004),"yyyy-mm-dd"),INDEX(상세표[근무일자],$U2004)&amp;""))</f>
        <v/>
      </c>
      <c r="N2004">
        <f>IF($U2004="","",IF(ISNUMBER(INDEX(상세표[시작],$U2004)),TEXT(INDEX(상세표[시작],$U2004),"yyyy-mm-dd hh:mm"),INDEX(상세표[시작],$U2004)&amp;""))</f>
        <v/>
      </c>
      <c r="O2004">
        <f>IF($U2004="","",IF(ISNUMBER(INDEX(상세표[종료],$U2004)),TEXT(INDEX(상세표[종료],$U2004),"yyyy-mm-dd hh:mm"),INDEX(상세표[종료],$U2004)&amp;""))</f>
        <v/>
      </c>
      <c r="P2004" s="20">
        <f>IF($U2004="","",INDEX(상세표[06~07시],$U2004))</f>
        <v/>
      </c>
      <c r="Q2004" s="20">
        <f>IF($U2004="","",INDEX(상세표[07~18시],$U2004))</f>
        <v/>
      </c>
      <c r="R2004" s="20">
        <f>IF($U2004="","",INDEX(상세표[18~22시],$U2004))</f>
        <v/>
      </c>
      <c r="S2004" s="20">
        <f>IF($U2004="","",INDEX(상세표[22~06시],$U2004))</f>
        <v/>
      </c>
      <c r="T2004" s="20">
        <f>IF($U2004="","",INDEX(상세표[기록 시간외],$U2004))</f>
        <v/>
      </c>
      <c r="U2004" s="4">
        <f>IFERROR(MATCH(1999,상세표[발송순번],0),"")</f>
        <v/>
      </c>
    </row>
    <row r="2005">
      <c r="J2005">
        <f>IF($U2005="","",INDEX(상세표[사번],$U2005)&amp;"")</f>
        <v/>
      </c>
      <c r="K2005">
        <f>IF($U2005="","",INDEX(상세표[성명],$U2005)&amp;"")</f>
        <v/>
      </c>
      <c r="L2005">
        <f>IF($U2005="","",INDEX(상세표[직위],$U2005)&amp;"")</f>
        <v/>
      </c>
      <c r="M2005">
        <f>IF($U2005="","",IF(ISNUMBER(INDEX(상세표[근무일자],$U2005)),TEXT(INDEX(상세표[근무일자],$U2005),"yyyy-mm-dd"),INDEX(상세표[근무일자],$U2005)&amp;""))</f>
        <v/>
      </c>
      <c r="N2005">
        <f>IF($U2005="","",IF(ISNUMBER(INDEX(상세표[시작],$U2005)),TEXT(INDEX(상세표[시작],$U2005),"yyyy-mm-dd hh:mm"),INDEX(상세표[시작],$U2005)&amp;""))</f>
        <v/>
      </c>
      <c r="O2005">
        <f>IF($U2005="","",IF(ISNUMBER(INDEX(상세표[종료],$U2005)),TEXT(INDEX(상세표[종료],$U2005),"yyyy-mm-dd hh:mm"),INDEX(상세표[종료],$U2005)&amp;""))</f>
        <v/>
      </c>
      <c r="P2005" s="20">
        <f>IF($U2005="","",INDEX(상세표[06~07시],$U2005))</f>
        <v/>
      </c>
      <c r="Q2005" s="20">
        <f>IF($U2005="","",INDEX(상세표[07~18시],$U2005))</f>
        <v/>
      </c>
      <c r="R2005" s="20">
        <f>IF($U2005="","",INDEX(상세표[18~22시],$U2005))</f>
        <v/>
      </c>
      <c r="S2005" s="20">
        <f>IF($U2005="","",INDEX(상세표[22~06시],$U2005))</f>
        <v/>
      </c>
      <c r="T2005" s="20">
        <f>IF($U2005="","",INDEX(상세표[기록 시간외],$U2005))</f>
        <v/>
      </c>
      <c r="U2005" s="4">
        <f>IFERROR(MATCH(2000,상세표[발송순번],0),"")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" customWidth="1" min="3" max="3"/>
    <col width="3" customWidth="1" min="5" max="5"/>
    <col width="14" customWidth="1" min="6" max="6"/>
  </cols>
  <sheetData>
    <row r="1">
      <c r="A1" s="5" t="inlineStr">
        <is>
          <t>설정값 (노란 칸만 수정)</t>
        </is>
      </c>
      <c r="B1" s="5" t="inlineStr">
        <is>
          <t>값</t>
        </is>
      </c>
    </row>
    <row r="2">
      <c r="A2" s="22" t="inlineStr">
        <is>
          <t>연속으로 볼 최대 공백(분)</t>
        </is>
      </c>
      <c r="B2" s="23" t="n">
        <v>0</v>
      </c>
    </row>
    <row r="3">
      <c r="A3" s="4" t="inlineStr">
        <is>
          <t>※ 0이면 앞 근무의 종료 시각과 다음 근무의 시작 시각이 같을 때만 이어진 근무로 봅니다. 예: 10 → 10분 이내 공백도 연속.</t>
        </is>
      </c>
    </row>
    <row r="4">
      <c r="A4" s="22" t="inlineStr">
        <is>
          <t>대상월(급여 처리할 달, 1일)</t>
        </is>
      </c>
      <c r="B4" s="24">
        <f>DATE(YEAR(TODAY()),MONTH(TODAY())-1,1)</f>
        <v/>
      </c>
    </row>
    <row r="5">
      <c r="A5" s="3" t="inlineStr">
        <is>
          <t>공휴일 (주말·휴일 포함 여부 판단에 사용 — 표 아래에 계속 추가, 2027년은 확정 후 추가)</t>
        </is>
      </c>
      <c r="F5" s="3" t="inlineStr">
        <is>
          <t>병원 목록 (입력_월별근무지 드롭다운)</t>
        </is>
      </c>
    </row>
    <row r="6">
      <c r="A6" s="5" t="inlineStr">
        <is>
          <t>날짜</t>
        </is>
      </c>
      <c r="B6" s="5" t="inlineStr">
        <is>
          <t>이름</t>
        </is>
      </c>
      <c r="F6" s="5" t="inlineStr">
        <is>
          <t>병원</t>
        </is>
      </c>
    </row>
    <row r="7">
      <c r="A7" s="25" t="n">
        <v>46023</v>
      </c>
      <c r="B7" s="7" t="inlineStr">
        <is>
          <t>신정</t>
        </is>
      </c>
      <c r="F7" s="7" t="inlineStr">
        <is>
          <t>서울병원</t>
        </is>
      </c>
    </row>
    <row r="8">
      <c r="A8" s="25" t="n">
        <v>46069</v>
      </c>
      <c r="B8" s="7" t="inlineStr">
        <is>
          <t>설날 연휴</t>
        </is>
      </c>
      <c r="F8" s="7" t="inlineStr">
        <is>
          <t>인천병원</t>
        </is>
      </c>
    </row>
    <row r="9">
      <c r="A9" s="25" t="n">
        <v>46070</v>
      </c>
      <c r="B9" s="7" t="inlineStr">
        <is>
          <t>설날</t>
        </is>
      </c>
      <c r="F9" s="7" t="inlineStr">
        <is>
          <t>구리병원</t>
        </is>
      </c>
    </row>
    <row r="10">
      <c r="A10" s="25" t="n">
        <v>46071</v>
      </c>
      <c r="B10" s="7" t="inlineStr">
        <is>
          <t>설날 연휴</t>
        </is>
      </c>
      <c r="F10" s="7" t="inlineStr">
        <is>
          <t>창원병원</t>
        </is>
      </c>
    </row>
    <row r="11">
      <c r="A11" s="25" t="n">
        <v>46082</v>
      </c>
      <c r="B11" s="7" t="inlineStr">
        <is>
          <t>삼일절</t>
        </is>
      </c>
      <c r="F11" s="7" t="inlineStr">
        <is>
          <t>제주병원</t>
        </is>
      </c>
    </row>
    <row r="12">
      <c r="A12" s="25" t="n">
        <v>46083</v>
      </c>
      <c r="B12" s="7" t="inlineStr">
        <is>
          <t>대체공휴일(삼일절)</t>
        </is>
      </c>
      <c r="F12" s="7" t="inlineStr">
        <is>
          <t>오산병원</t>
        </is>
      </c>
    </row>
    <row r="13">
      <c r="A13" s="25" t="n">
        <v>46147</v>
      </c>
      <c r="B13" s="7" t="inlineStr">
        <is>
          <t>어린이날</t>
        </is>
      </c>
    </row>
    <row r="14">
      <c r="A14" s="25" t="n">
        <v>46166</v>
      </c>
      <c r="B14" s="7" t="inlineStr">
        <is>
          <t>부처님오신날</t>
        </is>
      </c>
    </row>
    <row r="15">
      <c r="A15" s="25" t="n">
        <v>46167</v>
      </c>
      <c r="B15" s="7" t="inlineStr">
        <is>
          <t>대체공휴일(부처님오신날)</t>
        </is>
      </c>
    </row>
    <row r="16">
      <c r="A16" s="25" t="n">
        <v>46176</v>
      </c>
      <c r="B16" s="7" t="inlineStr">
        <is>
          <t>전국동시지방선거</t>
        </is>
      </c>
    </row>
    <row r="17">
      <c r="A17" s="25" t="n">
        <v>46179</v>
      </c>
      <c r="B17" s="7" t="inlineStr">
        <is>
          <t>현충일</t>
        </is>
      </c>
    </row>
    <row r="18">
      <c r="A18" s="25" t="n">
        <v>46249</v>
      </c>
      <c r="B18" s="7" t="inlineStr">
        <is>
          <t>광복절</t>
        </is>
      </c>
    </row>
    <row r="19">
      <c r="A19" s="25" t="n">
        <v>46251</v>
      </c>
      <c r="B19" s="7" t="inlineStr">
        <is>
          <t>대체공휴일(광복절)</t>
        </is>
      </c>
    </row>
    <row r="20">
      <c r="A20" s="25" t="n">
        <v>46289</v>
      </c>
      <c r="B20" s="7" t="inlineStr">
        <is>
          <t>추석 연휴</t>
        </is>
      </c>
    </row>
    <row r="21">
      <c r="A21" s="25" t="n">
        <v>46290</v>
      </c>
      <c r="B21" s="7" t="inlineStr">
        <is>
          <t>추석</t>
        </is>
      </c>
    </row>
    <row r="22">
      <c r="A22" s="25" t="n">
        <v>46291</v>
      </c>
      <c r="B22" s="7" t="inlineStr">
        <is>
          <t>추석 연휴</t>
        </is>
      </c>
    </row>
    <row r="23">
      <c r="A23" s="25" t="n">
        <v>46298</v>
      </c>
      <c r="B23" s="7" t="inlineStr">
        <is>
          <t>개천절</t>
        </is>
      </c>
    </row>
    <row r="24">
      <c r="A24" s="25" t="n">
        <v>46300</v>
      </c>
      <c r="B24" s="7" t="inlineStr">
        <is>
          <t>대체공휴일(개천절)</t>
        </is>
      </c>
    </row>
    <row r="25">
      <c r="A25" s="25" t="n">
        <v>46304</v>
      </c>
      <c r="B25" s="7" t="inlineStr">
        <is>
          <t>한글날</t>
        </is>
      </c>
    </row>
    <row r="26">
      <c r="A26" s="25" t="n">
        <v>46381</v>
      </c>
      <c r="B26" s="7" t="inlineStr">
        <is>
          <t>성탄절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2026-10-19T00:22:50Z</dcterms:created>
  <dcterms:modified xmlns:dcterms="http://purl.org/dc/terms/" xmlns:xsi="http://www.w3.org/2001/XMLSchema-instance" xsi:type="dcterms:W3CDTF">2026-10-19T00:22:53Z</dcterms:modified>
</cp:coreProperties>
</file>